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omments1.xml" ContentType="application/vnd.openxmlformats-officedocument.spreadsheetml.comments+xml"/>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drawings/drawing1.xml" ContentType="application/vnd.openxmlformats-officedocument.drawing+xml"/>
  <Override PartName="/xl/customProperty13.bin" ContentType="application/vnd.openxmlformats-officedocument.spreadsheetml.customProperty"/>
  <Override PartName="/xl/comments3.xml" ContentType="application/vnd.openxmlformats-officedocument.spreadsheetml.comments+xml"/>
  <Override PartName="/xl/customProperty14.bin" ContentType="application/vnd.openxmlformats-officedocument.spreadsheetml.customProperty"/>
  <Override PartName="/xl/comments4.xml" ContentType="application/vnd.openxmlformats-officedocument.spreadsheetml.comments+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omments5.xml" ContentType="application/vnd.openxmlformats-officedocument.spreadsheetml.comments+xml"/>
  <Override PartName="/xl/customProperty21.bin" ContentType="application/vnd.openxmlformats-officedocument.spreadsheetml.customProperty"/>
  <Override PartName="/xl/customProperty22.bin" ContentType="application/vnd.openxmlformats-officedocument.spreadsheetml.customProperty"/>
  <Override PartName="/xl/drawings/drawing2.xml" ContentType="application/vnd.openxmlformats-officedocument.drawing+xml"/>
  <Override PartName="/xl/customProperty23.bin" ContentType="application/vnd.openxmlformats-officedocument.spreadsheetml.customProperty"/>
  <Override PartName="/xl/drawings/drawing3.xml" ContentType="application/vnd.openxmlformats-officedocument.drawing+xml"/>
  <Override PartName="/xl/customProperty24.bin" ContentType="application/vnd.openxmlformats-officedocument.spreadsheetml.customProperty"/>
  <Override PartName="/xl/drawings/drawing4.xml" ContentType="application/vnd.openxmlformats-officedocument.drawing+xml"/>
  <Override PartName="/xl/customProperty25.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C:\Users\aaoxo\Desktop\Rate Case &amp; MFR\POD\B\"/>
    </mc:Choice>
  </mc:AlternateContent>
  <xr:revisionPtr revIDLastSave="0" documentId="8_{4EB21AB2-0378-402A-A2BE-BDCDD1CFB1E3}" xr6:coauthVersionLast="47" xr6:coauthVersionMax="47" xr10:uidLastSave="{00000000-0000-0000-0000-000000000000}"/>
  <bookViews>
    <workbookView xWindow="-108" yWindow="-108" windowWidth="23256" windowHeight="12576" tabRatio="736" firstSheet="2" activeTab="2" xr2:uid="{04345516-FF31-4335-90A4-E67FAF7C0105}"/>
  </bookViews>
  <sheets>
    <sheet name="B-1" sheetId="1" state="hidden" r:id="rId1"/>
    <sheet name="B-2" sheetId="3" state="hidden" r:id="rId2"/>
    <sheet name="B-6" sheetId="36" r:id="rId3"/>
    <sheet name="B-3" sheetId="10" r:id="rId4"/>
    <sheet name="B-4" sheetId="31" r:id="rId5"/>
    <sheet name="B-5" sheetId="17" state="hidden" r:id="rId6"/>
    <sheet name="B-5 (detailed)" sheetId="18" state="hidden" r:id="rId7"/>
    <sheet name="B-7" sheetId="37" r:id="rId8"/>
    <sheet name="B-9" sheetId="38" r:id="rId9"/>
    <sheet name="Seg of CWIP" sheetId="39" r:id="rId10"/>
    <sheet name="B-17" sheetId="19" r:id="rId11"/>
    <sheet name="Test Year" sheetId="21" r:id="rId12"/>
    <sheet name="Prior Year" sheetId="11" state="hidden" r:id="rId13"/>
    <sheet name="Historical" sheetId="12" r:id="rId14"/>
    <sheet name="Prior Historical" sheetId="32" state="hidden" r:id="rId15"/>
    <sheet name="2023A Sch 1of3" sheetId="2" r:id="rId16"/>
    <sheet name="2024B Sch 1of3" sheetId="24" state="hidden" r:id="rId17"/>
    <sheet name="2025B Sch 1of3" sheetId="30" r:id="rId18"/>
    <sheet name="B-3 2022" sheetId="33" state="hidden" r:id="rId19"/>
    <sheet name="Separation Factors" sheetId="5" r:id="rId20"/>
    <sheet name="Tab B 22" sheetId="34" state="hidden" r:id="rId21"/>
    <sheet name="Tab B 23" sheetId="13" state="hidden" r:id="rId22"/>
    <sheet name="Tab B 24B" sheetId="25" state="hidden" r:id="rId23"/>
    <sheet name="Tab B 25B" sheetId="27" state="hidden"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C" localSheetId="17">#REF!</definedName>
    <definedName name="\C">#REF!</definedName>
    <definedName name="\E" localSheetId="17">#REF!</definedName>
    <definedName name="\E" localSheetId="18">#REF!</definedName>
    <definedName name="\E">#REF!</definedName>
    <definedName name="\J" localSheetId="17">#REF!</definedName>
    <definedName name="\J">#REF!</definedName>
    <definedName name="\K" localSheetId="17">#REF!</definedName>
    <definedName name="\K">#REF!</definedName>
    <definedName name="\L" localSheetId="17">#REF!</definedName>
    <definedName name="\L">#REF!</definedName>
    <definedName name="\M" localSheetId="17">#REF!</definedName>
    <definedName name="\M">#REF!</definedName>
    <definedName name="\N" localSheetId="17">#REF!</definedName>
    <definedName name="\N">#REF!</definedName>
    <definedName name="\O" localSheetId="17">#REF!</definedName>
    <definedName name="\O">#REF!</definedName>
    <definedName name="\P" localSheetId="17">#REF!</definedName>
    <definedName name="\P">#REF!</definedName>
    <definedName name="\Q" localSheetId="17">#REF!</definedName>
    <definedName name="\Q">#REF!</definedName>
    <definedName name="\R" localSheetId="17">#REF!</definedName>
    <definedName name="\R">#REF!</definedName>
    <definedName name="\S" localSheetId="17">#REF!</definedName>
    <definedName name="\S">#REF!</definedName>
    <definedName name="\T" localSheetId="17">#REF!</definedName>
    <definedName name="\T">#REF!</definedName>
    <definedName name="\U" localSheetId="17">#REF!</definedName>
    <definedName name="\U">#REF!</definedName>
    <definedName name="\V" localSheetId="17">#REF!</definedName>
    <definedName name="\V">#REF!</definedName>
    <definedName name="\X" localSheetId="17">#REF!</definedName>
    <definedName name="\X">#REF!</definedName>
    <definedName name="\Y" localSheetId="17">#REF!</definedName>
    <definedName name="\Y">#REF!</definedName>
    <definedName name="\Z" localSheetId="17">#REF!</definedName>
    <definedName name="\Z">#REF!</definedName>
    <definedName name="_______APR40" localSheetId="17">#REF!</definedName>
    <definedName name="_______APR40">#REF!</definedName>
    <definedName name="_______AUG40" localSheetId="17">#REF!</definedName>
    <definedName name="_______AUG40">#REF!</definedName>
    <definedName name="_______DEC40" localSheetId="17">#REF!</definedName>
    <definedName name="_______DEC40">#REF!</definedName>
    <definedName name="_______FEB40" localSheetId="17">#REF!</definedName>
    <definedName name="_______FEB40">#REF!</definedName>
    <definedName name="_______JAN40" localSheetId="17">#REF!</definedName>
    <definedName name="_______JAN40">#REF!</definedName>
    <definedName name="_______JUL40" localSheetId="17">#REF!</definedName>
    <definedName name="_______JUL40">#REF!</definedName>
    <definedName name="_______JUN40" localSheetId="17">#REF!</definedName>
    <definedName name="_______JUN40">#REF!</definedName>
    <definedName name="_______MAR40">"MARWHLFPC"</definedName>
    <definedName name="_______MAY40">#REF!</definedName>
    <definedName name="_______NOV40" localSheetId="17">#REF!</definedName>
    <definedName name="_______NOV40">#REF!</definedName>
    <definedName name="_______OCT40" localSheetId="17">#REF!</definedName>
    <definedName name="_______OCT40">#REF!</definedName>
    <definedName name="_______SEP40" localSheetId="17">#REF!</definedName>
    <definedName name="_______SEP40">#REF!</definedName>
    <definedName name="______APR40" localSheetId="17">#REF!</definedName>
    <definedName name="______APR40">#REF!</definedName>
    <definedName name="______AUG40" localSheetId="17">#REF!</definedName>
    <definedName name="______AUG40">#REF!</definedName>
    <definedName name="______DEC40" localSheetId="17">#REF!</definedName>
    <definedName name="______DEC40">#REF!</definedName>
    <definedName name="______FEB40" localSheetId="17">#REF!</definedName>
    <definedName name="______FEB40">#REF!</definedName>
    <definedName name="______JAN40" localSheetId="17">#REF!</definedName>
    <definedName name="______JAN40">#REF!</definedName>
    <definedName name="______JUL40" localSheetId="17">#REF!</definedName>
    <definedName name="______JUL40">#REF!</definedName>
    <definedName name="______JUN40" localSheetId="17">#REF!</definedName>
    <definedName name="______JUN40">#REF!</definedName>
    <definedName name="______MAR40">"MARWHLFPC"</definedName>
    <definedName name="______MAY40">#REF!</definedName>
    <definedName name="______NOV40" localSheetId="17">#REF!</definedName>
    <definedName name="______NOV40">#REF!</definedName>
    <definedName name="______OCT40" localSheetId="17">#REF!</definedName>
    <definedName name="______OCT40">#REF!</definedName>
    <definedName name="______SEP40" localSheetId="17">#REF!</definedName>
    <definedName name="______SEP40">#REF!</definedName>
    <definedName name="_____APR40" localSheetId="17">#REF!</definedName>
    <definedName name="_____APR40">#REF!</definedName>
    <definedName name="_____AUG40" localSheetId="17">#REF!</definedName>
    <definedName name="_____AUG40">#REF!</definedName>
    <definedName name="_____DEC40" localSheetId="17">#REF!</definedName>
    <definedName name="_____DEC40">#REF!</definedName>
    <definedName name="_____FEB40" localSheetId="17">#REF!</definedName>
    <definedName name="_____FEB40">#REF!</definedName>
    <definedName name="_____JAN40" localSheetId="17">#REF!</definedName>
    <definedName name="_____JAN40">#REF!</definedName>
    <definedName name="_____JUL40" localSheetId="17">#REF!</definedName>
    <definedName name="_____JUL40">#REF!</definedName>
    <definedName name="_____JUN40" localSheetId="17">#REF!</definedName>
    <definedName name="_____JUN40">#REF!</definedName>
    <definedName name="_____MAR40">"MARWHLFPC"</definedName>
    <definedName name="_____MAY40">#REF!</definedName>
    <definedName name="_____NOV40" localSheetId="17">#REF!</definedName>
    <definedName name="_____NOV40">#REF!</definedName>
    <definedName name="_____OCT40" localSheetId="17">#REF!</definedName>
    <definedName name="_____OCT40">#REF!</definedName>
    <definedName name="_____SEP40" localSheetId="17">#REF!</definedName>
    <definedName name="_____SEP40">#REF!</definedName>
    <definedName name="____APR40" localSheetId="17">#REF!</definedName>
    <definedName name="____APR40">#REF!</definedName>
    <definedName name="____AUG40" localSheetId="17">#REF!</definedName>
    <definedName name="____AUG40">#REF!</definedName>
    <definedName name="____DEC40" localSheetId="17">#REF!</definedName>
    <definedName name="____DEC40">#REF!</definedName>
    <definedName name="____FEB40" localSheetId="17">#REF!</definedName>
    <definedName name="____FEB40">#REF!</definedName>
    <definedName name="____JAN40" localSheetId="17">#REF!</definedName>
    <definedName name="____JAN40">#REF!</definedName>
    <definedName name="____JUL40" localSheetId="17">#REF!</definedName>
    <definedName name="____JUL40">#REF!</definedName>
    <definedName name="____JUN40" localSheetId="17">#REF!</definedName>
    <definedName name="____JUN40">#REF!</definedName>
    <definedName name="____MAR40">"MARWHLFPC"</definedName>
    <definedName name="____MAY40">#REF!</definedName>
    <definedName name="____NOV40" localSheetId="17">#REF!</definedName>
    <definedName name="____NOV40">#REF!</definedName>
    <definedName name="____OCT40" localSheetId="17">#REF!</definedName>
    <definedName name="____OCT40">#REF!</definedName>
    <definedName name="____PG13" localSheetId="17">#REF!</definedName>
    <definedName name="____PG13">#REF!</definedName>
    <definedName name="____PG14" localSheetId="17">#REF!</definedName>
    <definedName name="____PG14">#REF!</definedName>
    <definedName name="____PG15" localSheetId="17">#REF!</definedName>
    <definedName name="____PG15">#REF!</definedName>
    <definedName name="____PG16" localSheetId="17">#REF!</definedName>
    <definedName name="____PG16">#REF!</definedName>
    <definedName name="____SEP40" localSheetId="17">#REF!</definedName>
    <definedName name="____SEP40">#REF!</definedName>
    <definedName name="___APR40" localSheetId="17">#REF!</definedName>
    <definedName name="___APR40">#REF!</definedName>
    <definedName name="___AUG40" localSheetId="17">#REF!</definedName>
    <definedName name="___AUG40">#REF!</definedName>
    <definedName name="___DEC40" localSheetId="17">#REF!</definedName>
    <definedName name="___DEC40">#REF!</definedName>
    <definedName name="___FEB40" localSheetId="17">#REF!</definedName>
    <definedName name="___FEB40">#REF!</definedName>
    <definedName name="___JAN40" localSheetId="17">#REF!</definedName>
    <definedName name="___JAN40">#REF!</definedName>
    <definedName name="___JUL40" localSheetId="17">#REF!</definedName>
    <definedName name="___JUL40">#REF!</definedName>
    <definedName name="___JUN40" localSheetId="17">#REF!</definedName>
    <definedName name="___JUN40">#REF!</definedName>
    <definedName name="___MAR40">"MARWHLFPC"</definedName>
    <definedName name="___MAY40">#REF!</definedName>
    <definedName name="___NOV40" localSheetId="17">#REF!</definedName>
    <definedName name="___NOV40">#REF!</definedName>
    <definedName name="___OCT40" localSheetId="17">#REF!</definedName>
    <definedName name="___OCT40">#REF!</definedName>
    <definedName name="___SEP40" localSheetId="17">#REF!</definedName>
    <definedName name="___SEP40">#REF!</definedName>
    <definedName name="__181" localSheetId="17">#REF!</definedName>
    <definedName name="__181">#REF!</definedName>
    <definedName name="__APR40" localSheetId="17">#REF!</definedName>
    <definedName name="__APR40">#REF!</definedName>
    <definedName name="__AUG40" localSheetId="17">#REF!</definedName>
    <definedName name="__AUG40">#REF!</definedName>
    <definedName name="__DEC40" localSheetId="17">#REF!</definedName>
    <definedName name="__DEC40">#REF!</definedName>
    <definedName name="__FEB40" localSheetId="17">#REF!</definedName>
    <definedName name="__FEB40">#REF!</definedName>
    <definedName name="__JAN40" localSheetId="17">#REF!</definedName>
    <definedName name="__JAN40">#REF!</definedName>
    <definedName name="__JUL40" localSheetId="17">#REF!</definedName>
    <definedName name="__JUL40">#REF!</definedName>
    <definedName name="__JUN40" localSheetId="17">#REF!</definedName>
    <definedName name="__JUN40">#REF!</definedName>
    <definedName name="__MAR40">"MARWHLFPC"</definedName>
    <definedName name="__MAY40">#REF!</definedName>
    <definedName name="__NOV40" localSheetId="17">#REF!</definedName>
    <definedName name="__NOV40">#REF!</definedName>
    <definedName name="__OCT40" localSheetId="17">#REF!</definedName>
    <definedName name="__OCT40">#REF!</definedName>
    <definedName name="__PG13" localSheetId="17">#REF!</definedName>
    <definedName name="__PG13">#REF!</definedName>
    <definedName name="__PG14" localSheetId="17">#REF!</definedName>
    <definedName name="__PG14">#REF!</definedName>
    <definedName name="__PG15" localSheetId="17">#REF!</definedName>
    <definedName name="__PG15">#REF!</definedName>
    <definedName name="__PG16" localSheetId="17">#REF!</definedName>
    <definedName name="__PG16">#REF!</definedName>
    <definedName name="__PG34" localSheetId="17">#REF!</definedName>
    <definedName name="__PG34">#REF!</definedName>
    <definedName name="__PG38" localSheetId="17">#REF!</definedName>
    <definedName name="__PG38">#REF!</definedName>
    <definedName name="__SEP40" localSheetId="17">#REF!</definedName>
    <definedName name="__SEP40">#REF!</definedName>
    <definedName name="_12MEACT" localSheetId="16">'[1]Page 1'!#REF!</definedName>
    <definedName name="_12MEACT" localSheetId="17">#REF!</definedName>
    <definedName name="_12MEACT" localSheetId="18">'[1]Page 1'!#REF!</definedName>
    <definedName name="_12MEACT" localSheetId="4">'[1]Page 1'!#REF!</definedName>
    <definedName name="_12MEACT">#REF!</definedName>
    <definedName name="_12MEBUD" localSheetId="16">'[1]Page 1'!#REF!</definedName>
    <definedName name="_12MEBUD" localSheetId="17">#REF!</definedName>
    <definedName name="_12MEBUD" localSheetId="18">'[1]Page 1'!#REF!</definedName>
    <definedName name="_12MEBUD" localSheetId="4">'[1]Page 1'!#REF!</definedName>
    <definedName name="_12MEBUD">#REF!</definedName>
    <definedName name="_12MONRECON" localSheetId="16">#REF!</definedName>
    <definedName name="_12MONRECON" localSheetId="17">#REF!</definedName>
    <definedName name="_12MONRECON" localSheetId="18">#REF!</definedName>
    <definedName name="_12MONRECON">#REF!</definedName>
    <definedName name="_12MONWHL" localSheetId="16">#REF!</definedName>
    <definedName name="_12MONWHL" localSheetId="17">#REF!</definedName>
    <definedName name="_12MONWHL" localSheetId="18">#REF!</definedName>
    <definedName name="_12MONWHL">#REF!</definedName>
    <definedName name="_181" localSheetId="16">#REF!</definedName>
    <definedName name="_181" localSheetId="17">#REF!</definedName>
    <definedName name="_181" localSheetId="18">#REF!</definedName>
    <definedName name="_181">#REF!</definedName>
    <definedName name="_1997" localSheetId="17">#REF!</definedName>
    <definedName name="_1997">#REF!</definedName>
    <definedName name="_1999GOAL7" localSheetId="17">#REF!</definedName>
    <definedName name="_1999GOAL7">#REF!</definedName>
    <definedName name="_2QESP_EXT" localSheetId="17">#REF!</definedName>
    <definedName name="_2QESP_EXT">#REF!</definedName>
    <definedName name="_3A_CONSOLIDATE" localSheetId="17">#REF!</definedName>
    <definedName name="_3A_CONSOLIDATE">#REF!</definedName>
    <definedName name="_3B_CONSOLIDATE" localSheetId="17">#REF!</definedName>
    <definedName name="_3B_CONSOLIDATE">#REF!</definedName>
    <definedName name="_3C_CONSOLIDATE" localSheetId="17">#REF!</definedName>
    <definedName name="_3C_CONSOLIDATE">#REF!</definedName>
    <definedName name="_3D_CONSOLIDATE" localSheetId="17">#REF!</definedName>
    <definedName name="_3D_CONSOLIDATE">#REF!</definedName>
    <definedName name="_447" localSheetId="17">#REF!</definedName>
    <definedName name="_447">#REF!</definedName>
    <definedName name="_447_2" localSheetId="17">#REF!</definedName>
    <definedName name="_447_2">#REF!</definedName>
    <definedName name="_4Q_EXT" localSheetId="17">#REF!</definedName>
    <definedName name="_4Q_EXT">#REF!</definedName>
    <definedName name="_501547EXP" localSheetId="17">#REF!</definedName>
    <definedName name="_501547EXP">#REF!</definedName>
    <definedName name="_555" localSheetId="17">#REF!</definedName>
    <definedName name="_555">#REF!</definedName>
    <definedName name="_555_21_Nonrecvrbl_Purc_Pwr_Retail" localSheetId="17">#REF!</definedName>
    <definedName name="_555_21_Nonrecvrbl_Purc_Pwr_Retail">#REF!</definedName>
    <definedName name="_555447" localSheetId="17">#REF!</definedName>
    <definedName name="_555447">#REF!</definedName>
    <definedName name="_96DEC_1" localSheetId="17">#REF!</definedName>
    <definedName name="_96DEC_1">#REF!</definedName>
    <definedName name="_96DEC_2" localSheetId="17">#REF!</definedName>
    <definedName name="_96DEC_2">#REF!</definedName>
    <definedName name="_96NOV" localSheetId="17">#REF!</definedName>
    <definedName name="_96NOV">#REF!</definedName>
    <definedName name="_96NOV_2" localSheetId="17">#REF!</definedName>
    <definedName name="_96NOV_2">#REF!</definedName>
    <definedName name="_96OCT_1" localSheetId="17">#REF!</definedName>
    <definedName name="_96OCT_1">#REF!</definedName>
    <definedName name="_96OCT_2" localSheetId="17">#REF!</definedName>
    <definedName name="_96OCT_2">#REF!</definedName>
    <definedName name="_97APR_1" localSheetId="17">#REF!</definedName>
    <definedName name="_97APR_1">#REF!</definedName>
    <definedName name="_97APR_2" localSheetId="17">#REF!</definedName>
    <definedName name="_97APR_2">#REF!</definedName>
    <definedName name="_97FEB_1" localSheetId="17">#REF!</definedName>
    <definedName name="_97FEB_1">#REF!</definedName>
    <definedName name="_97FEB_2" localSheetId="17">#REF!</definedName>
    <definedName name="_97FEB_2">#REF!</definedName>
    <definedName name="_97JAN_1" localSheetId="17">#REF!</definedName>
    <definedName name="_97JAN_1">#REF!</definedName>
    <definedName name="_97JAN_2" localSheetId="17">#REF!</definedName>
    <definedName name="_97JAN_2">#REF!</definedName>
    <definedName name="_97MAR_1" localSheetId="17">#REF!</definedName>
    <definedName name="_97MAR_1">#REF!</definedName>
    <definedName name="_97MAR_2" localSheetId="17">#REF!</definedName>
    <definedName name="_97MAR_2">#REF!</definedName>
    <definedName name="_97MAY_1" localSheetId="17">#REF!</definedName>
    <definedName name="_97MAY_1">#REF!</definedName>
    <definedName name="_97MAY_2" localSheetId="17">#REF!</definedName>
    <definedName name="_97MAY_2">#REF!</definedName>
    <definedName name="_99_03GOAL" localSheetId="17">#REF!</definedName>
    <definedName name="_99_03GOAL">#REF!</definedName>
    <definedName name="_APR40" localSheetId="17">#REF!</definedName>
    <definedName name="_APR40">#REF!</definedName>
    <definedName name="_AUG40" localSheetId="17">#REF!</definedName>
    <definedName name="_AUG40">#REF!</definedName>
    <definedName name="_BSA2" localSheetId="17">#REF!</definedName>
    <definedName name="_BSA2">#REF!</definedName>
    <definedName name="_BSL2" localSheetId="17">#REF!</definedName>
    <definedName name="_BSL2">#REF!</definedName>
    <definedName name="_BUD1" localSheetId="17">#REF!</definedName>
    <definedName name="_BUD1">#REF!</definedName>
    <definedName name="_BUD2" localSheetId="17">#REF!</definedName>
    <definedName name="_BUD2">#REF!</definedName>
    <definedName name="_BUD3" localSheetId="17">#REF!</definedName>
    <definedName name="_BUD3">#REF!</definedName>
    <definedName name="_BUD4" localSheetId="17">#REF!</definedName>
    <definedName name="_BUD4">#REF!</definedName>
    <definedName name="_BUD5" localSheetId="17">#REF!</definedName>
    <definedName name="_BUD5">#REF!</definedName>
    <definedName name="_CFL2" localSheetId="17">#REF!</definedName>
    <definedName name="_CFL2">#REF!</definedName>
    <definedName name="_DEC40" localSheetId="17">#REF!</definedName>
    <definedName name="_DEC40">#REF!</definedName>
    <definedName name="_FEB40" localSheetId="17">#REF!</definedName>
    <definedName name="_FEB40">#REF!</definedName>
    <definedName name="_Fill" localSheetId="17" hidden="1">#REF!</definedName>
    <definedName name="_Fill" hidden="1">#REF!</definedName>
    <definedName name="_xlnm._FilterDatabase" localSheetId="17" hidden="1">#REF!</definedName>
    <definedName name="_xlnm._FilterDatabase" localSheetId="10" hidden="1">#REF!</definedName>
    <definedName name="_xlnm._FilterDatabase" localSheetId="3" hidden="1">'B-3'!$A$164:$T$327</definedName>
    <definedName name="_xlnm._FilterDatabase" localSheetId="18" hidden="1">'B-3 2022'!$A$1:$T$168</definedName>
    <definedName name="_xlnm._FilterDatabase" localSheetId="6" hidden="1">'B-5 (detailed)'!$U$13:$X$106</definedName>
    <definedName name="_xlnm._FilterDatabase" hidden="1">#REF!</definedName>
    <definedName name="_IST2" localSheetId="16">#REF!</definedName>
    <definedName name="_IST2" localSheetId="17">#REF!</definedName>
    <definedName name="_IST2" localSheetId="18">#REF!</definedName>
    <definedName name="_IST2">#REF!</definedName>
    <definedName name="_JAN40" localSheetId="17">#REF!</definedName>
    <definedName name="_JAN40">#REF!</definedName>
    <definedName name="_je3" localSheetId="17">#REF!</definedName>
    <definedName name="_je3" localSheetId="18">[2]A!#REF!</definedName>
    <definedName name="_je3" localSheetId="4">[2]A!#REF!</definedName>
    <definedName name="_je3">#REF!</definedName>
    <definedName name="_je4" localSheetId="17">#REF!</definedName>
    <definedName name="_je4" localSheetId="18">[2]A!#REF!</definedName>
    <definedName name="_je4" localSheetId="4">[2]A!#REF!</definedName>
    <definedName name="_je4">#REF!</definedName>
    <definedName name="_je5" localSheetId="17">#REF!</definedName>
    <definedName name="_je5" localSheetId="18">[2]A!#REF!</definedName>
    <definedName name="_je5" localSheetId="4">[2]A!#REF!</definedName>
    <definedName name="_je5">#REF!</definedName>
    <definedName name="_je6" localSheetId="17">#REF!</definedName>
    <definedName name="_je6" localSheetId="18">[2]A!#REF!</definedName>
    <definedName name="_je6" localSheetId="4">[2]A!#REF!</definedName>
    <definedName name="_je6">#REF!</definedName>
    <definedName name="_JUL40" localSheetId="17">#REF!</definedName>
    <definedName name="_JUL40">#REF!</definedName>
    <definedName name="_JUN40" localSheetId="17">#REF!</definedName>
    <definedName name="_JUN40">#REF!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4" hidden="1">#REF!</definedName>
    <definedName name="_Key1" localSheetId="5" hidden="1">#REF!</definedName>
    <definedName name="_Key1" localSheetId="2" hidden="1">#REF!</definedName>
    <definedName name="_Key1" hidden="1">#REF!</definedName>
    <definedName name="_MAR40">"MARWHLFPC"</definedName>
    <definedName name="_MAY40">#REF!</definedName>
    <definedName name="_NonRecov447_2" localSheetId="16">#REF!</definedName>
    <definedName name="_NonRecov447_2" localSheetId="17">#REF!</definedName>
    <definedName name="_NonRecov447_2">#REF!</definedName>
    <definedName name="_NOV40" localSheetId="17">#REF!</definedName>
    <definedName name="_NOV40">#REF!</definedName>
    <definedName name="_OCT40" localSheetId="17">#REF!</definedName>
    <definedName name="_OCT40">#REF!</definedName>
    <definedName name="_Order1" hidden="1">255</definedName>
    <definedName name="_PG03" localSheetId="16">#REF!</definedName>
    <definedName name="_PG03" localSheetId="17">#REF!</definedName>
    <definedName name="_PG03" localSheetId="18">#REF!</definedName>
    <definedName name="_PG03" localSheetId="4">#REF!</definedName>
    <definedName name="_PG03">#REF!</definedName>
    <definedName name="_PG04" localSheetId="16">#REF!</definedName>
    <definedName name="_PG04" localSheetId="17">#REF!</definedName>
    <definedName name="_PG04">#REF!</definedName>
    <definedName name="_PG05" localSheetId="16">#REF!</definedName>
    <definedName name="_PG05" localSheetId="17">#REF!</definedName>
    <definedName name="_PG05">#REF!</definedName>
    <definedName name="_PG1" localSheetId="17">#REF!</definedName>
    <definedName name="_PG1">#REF!</definedName>
    <definedName name="_PG10" localSheetId="17">#REF!</definedName>
    <definedName name="_PG10">#REF!</definedName>
    <definedName name="_PG13" localSheetId="17">#REF!</definedName>
    <definedName name="_PG13">#REF!</definedName>
    <definedName name="_PG14" localSheetId="17">#REF!</definedName>
    <definedName name="_PG14">#REF!</definedName>
    <definedName name="_PG15" localSheetId="17">#REF!</definedName>
    <definedName name="_PG15">#REF!</definedName>
    <definedName name="_PG16" localSheetId="17">#REF!</definedName>
    <definedName name="_PG16">#REF!</definedName>
    <definedName name="_PG2" localSheetId="17">#REF!</definedName>
    <definedName name="_PG2">#REF!</definedName>
    <definedName name="_PG31" localSheetId="17">#REF!</definedName>
    <definedName name="_PG31">#REF!</definedName>
    <definedName name="_PG38" localSheetId="17">#REF!</definedName>
    <definedName name="_PG38">#REF!</definedName>
    <definedName name="_SEP40" localSheetId="17">#REF!</definedName>
    <definedName name="_SEP40">#REF!</definedName>
    <definedName name="_Sort" localSheetId="15" hidden="1">#REF!</definedName>
    <definedName name="_Sort" localSheetId="17" hidden="1">#REF!</definedName>
    <definedName name="_Sort" localSheetId="5" hidden="1">#REF!</definedName>
    <definedName name="_Sort" localSheetId="2" hidden="1">#REF!</definedName>
    <definedName name="_Sort" hidden="1">#REF!</definedName>
    <definedName name="_TTT1" localSheetId="17">#REF!</definedName>
    <definedName name="_TTT1">#REF!</definedName>
    <definedName name="_TTT2" localSheetId="17">#REF!</definedName>
    <definedName name="_TTT2">#REF!</definedName>
    <definedName name="_TTT3" localSheetId="17">#REF!</definedName>
    <definedName name="_TTT3">#REF!</definedName>
    <definedName name="a">#REF!</definedName>
    <definedName name="aaa" localSheetId="16">#REF!</definedName>
    <definedName name="aaa" localSheetId="17">#REF!</definedName>
    <definedName name="aaa">#REF!</definedName>
    <definedName name="ACCT_VARIANCE" localSheetId="16">#REF!</definedName>
    <definedName name="ACCT_VARIANCE" localSheetId="17">#REF!</definedName>
    <definedName name="ACCT_VARIANCE">#REF!</definedName>
    <definedName name="ACCTG_BOTH" localSheetId="17">#REF!</definedName>
    <definedName name="ACCTG_BOTH">#REF!</definedName>
    <definedName name="ACTUAL" localSheetId="18">[3]ACTUAL!$A$1:$N$155</definedName>
    <definedName name="ACTUAL" localSheetId="4">[3]ACTUAL!$A$1:$N$155</definedName>
    <definedName name="ACTUAL">#REF!</definedName>
    <definedName name="adds" localSheetId="16">#REF!</definedName>
    <definedName name="adds" localSheetId="17">#REF!</definedName>
    <definedName name="adds" localSheetId="18">#REF!</definedName>
    <definedName name="adds">#REF!</definedName>
    <definedName name="ALLOWALOC" localSheetId="17">#REF!</definedName>
    <definedName name="ALLOWALOC">#REF!</definedName>
    <definedName name="ALLOWBB4HPP" localSheetId="17">#REF!</definedName>
    <definedName name="ALLOWBB4HPP">#REF!</definedName>
    <definedName name="AP_OTHER" localSheetId="17">#REF!</definedName>
    <definedName name="AP_OTHER" localSheetId="18">#REF!</definedName>
    <definedName name="AP_OTHER">#REF!</definedName>
    <definedName name="Apr" localSheetId="17">#REF!</definedName>
    <definedName name="Apr">#REF!</definedName>
    <definedName name="APRJE" localSheetId="17">'[4]JE FORMS'!#REF!</definedName>
    <definedName name="APRJE" localSheetId="10">'[4]JE FORMS'!#REF!</definedName>
    <definedName name="APRJE">#REF!</definedName>
    <definedName name="APRJE2" localSheetId="17">'[4]JE FORMS'!#REF!</definedName>
    <definedName name="APRJE2" localSheetId="10">'[4]JE FORMS'!#REF!</definedName>
    <definedName name="APRJE2">#REF!</definedName>
    <definedName name="APRJE3" localSheetId="10">'[4]JE FORMS'!#REF!</definedName>
    <definedName name="APRJE3">#REF!</definedName>
    <definedName name="APRRET" localSheetId="17">#REF!</definedName>
    <definedName name="APRRET">#REF!</definedName>
    <definedName name="APRWHLFPC" localSheetId="17">#REF!</definedName>
    <definedName name="APRWHLFPC">#REF!</definedName>
    <definedName name="APRWHLFTM" localSheetId="17">#REF!</definedName>
    <definedName name="APRWHLFTM">#REF!</definedName>
    <definedName name="APRWHLSTC" localSheetId="17">#REF!</definedName>
    <definedName name="APRWHLSTC">#REF!</definedName>
    <definedName name="APRWHLWAU" localSheetId="17">#REF!</definedName>
    <definedName name="APRWHLWAU">#REF!</definedName>
    <definedName name="AssetRange" localSheetId="17">#REF!</definedName>
    <definedName name="AssetRange" localSheetId="18">#REF!</definedName>
    <definedName name="AssetRange">#REF!</definedName>
    <definedName name="ASSUMPTIONS" localSheetId="17">#REF!</definedName>
    <definedName name="ASSUMPTIONS">#REF!</definedName>
    <definedName name="AUGFPC" localSheetId="17">#REF!</definedName>
    <definedName name="AUGFPC">#REF!</definedName>
    <definedName name="AUGJE" localSheetId="17">'[4]JE FORMS'!#REF!</definedName>
    <definedName name="AUGJE" localSheetId="10">'[4]JE FORMS'!#REF!</definedName>
    <definedName name="AUGJE">#REF!</definedName>
    <definedName name="AUGJE2" localSheetId="17">'[4]JE FORMS'!#REF!</definedName>
    <definedName name="AUGJE2" localSheetId="10">'[4]JE FORMS'!#REF!</definedName>
    <definedName name="AUGJE2">#REF!</definedName>
    <definedName name="AUGJE3" localSheetId="10">'[4]JE FORMS'!#REF!</definedName>
    <definedName name="AUGJE3">#REF!</definedName>
    <definedName name="AUGRET" localSheetId="17">#REF!</definedName>
    <definedName name="AUGRET">#REF!</definedName>
    <definedName name="AUGWHLFPC" localSheetId="17">#REF!</definedName>
    <definedName name="AUGWHLFPC">#REF!</definedName>
    <definedName name="AUGWHLFTM" localSheetId="17">#REF!</definedName>
    <definedName name="AUGWHLFTM">#REF!</definedName>
    <definedName name="AUGWHLSTC" localSheetId="17">#REF!</definedName>
    <definedName name="AUGWHLSTC">#REF!</definedName>
    <definedName name="AUGWHLWAU" localSheetId="17">#REF!</definedName>
    <definedName name="AUGWHLWAU">#REF!</definedName>
    <definedName name="B_PLAN_1" localSheetId="17">#REF!</definedName>
    <definedName name="B_PLAN_1" localSheetId="18">'[5]Business Plan'!#REF!</definedName>
    <definedName name="B_PLAN_1" localSheetId="4">'[5]Business Plan'!#REF!</definedName>
    <definedName name="B_PLAN_1">#REF!</definedName>
    <definedName name="B_PLAN_2" localSheetId="16">#REF!</definedName>
    <definedName name="B_PLAN_2" localSheetId="17">#REF!</definedName>
    <definedName name="B_PLAN_2" localSheetId="18">#REF!</definedName>
    <definedName name="B_PLAN_2">#REF!</definedName>
    <definedName name="B_PLAN_3" localSheetId="16">#REF!</definedName>
    <definedName name="B_PLAN_3" localSheetId="17">#REF!</definedName>
    <definedName name="B_PLAN_3">#REF!</definedName>
    <definedName name="B_PLAN_4" localSheetId="16">'[6]Business Plan'!#REF!</definedName>
    <definedName name="B_PLAN_4" localSheetId="17">#REF!</definedName>
    <definedName name="B_PLAN_4" localSheetId="18">'[5]Business Plan'!#REF!</definedName>
    <definedName name="B_PLAN_4" localSheetId="4">'[5]Business Plan'!#REF!</definedName>
    <definedName name="B_PLAN_4">#REF!</definedName>
    <definedName name="BalDatData" localSheetId="16">#REF!</definedName>
    <definedName name="BalDatData" localSheetId="17">#REF!</definedName>
    <definedName name="BalDatData" localSheetId="18">#REF!</definedName>
    <definedName name="BalDatData">#REF!</definedName>
    <definedName name="BENEFITS_EXP" localSheetId="16">#REF!</definedName>
    <definedName name="BENEFITS_EXP" localSheetId="17">#REF!</definedName>
    <definedName name="BENEFITS_EXP">#REF!</definedName>
    <definedName name="BS_ACC_NUM" localSheetId="17">#REF!</definedName>
    <definedName name="BS_ACC_NUM">#REF!</definedName>
    <definedName name="BS_Forecast" localSheetId="16">#REF!</definedName>
    <definedName name="BS_Forecast" localSheetId="17">#REF!</definedName>
    <definedName name="BS_Forecast">#REF!</definedName>
    <definedName name="BS_Plan" localSheetId="17">#REF!</definedName>
    <definedName name="BS_Plan">#REF!</definedName>
    <definedName name="BS_Plan2" localSheetId="17">#REF!</definedName>
    <definedName name="BS_Plan2">#REF!</definedName>
    <definedName name="BSACCTS" localSheetId="17">#REF!</definedName>
    <definedName name="BSACCTS">#REF!</definedName>
    <definedName name="BSDOWNLOAD" localSheetId="17">#REF!</definedName>
    <definedName name="BSDOWNLOAD">#REF!</definedName>
    <definedName name="BSFERC" localSheetId="17">#REF!</definedName>
    <definedName name="BSFERC">#REF!</definedName>
    <definedName name="BSHEADER" localSheetId="17">#REF!</definedName>
    <definedName name="BSHEADER">#REF!</definedName>
    <definedName name="BTLTAX" localSheetId="17">#REF!</definedName>
    <definedName name="BTLTAX">#REF!</definedName>
    <definedName name="BTLTAXES" localSheetId="17">#REF!</definedName>
    <definedName name="BTLTAXES">#REF!</definedName>
    <definedName name="BTLTXBUD" localSheetId="17">#REF!</definedName>
    <definedName name="BTLTXBUD">#REF!</definedName>
    <definedName name="BUD_COMP" localSheetId="17">#REF!</definedName>
    <definedName name="BUD_COMP">#REF!</definedName>
    <definedName name="BUDGET" localSheetId="17">#REF!</definedName>
    <definedName name="BUDGET" localSheetId="18">'[7]2005_BUDGET'!$A$2:$O$233</definedName>
    <definedName name="BUDGET" localSheetId="4">'[7]2005_BUDGET'!$A$2:$O$233</definedName>
    <definedName name="BUDGET">#REF!</definedName>
    <definedName name="Budget_Pres" localSheetId="17">#REF!</definedName>
    <definedName name="Budget_Pres">#REF!</definedName>
    <definedName name="BUDGET2000" localSheetId="17">#REF!</definedName>
    <definedName name="BUDGET2000" localSheetId="18">'[8]Page 4'!$A$2:$O$233</definedName>
    <definedName name="BUDGET2000" localSheetId="4">'[8]Page 4'!$A$2:$O$233</definedName>
    <definedName name="BUDGET2000">#REF!</definedName>
    <definedName name="BUDGET4A" localSheetId="16">#REF!</definedName>
    <definedName name="BUDGET4A" localSheetId="17">#REF!</definedName>
    <definedName name="BUDGET4A" localSheetId="18">#REF!</definedName>
    <definedName name="BUDGET4A">#REF!</definedName>
    <definedName name="BUDGET4B" localSheetId="16">#REF!</definedName>
    <definedName name="BUDGET4B" localSheetId="17">#REF!</definedName>
    <definedName name="BUDGET4B">#REF!</definedName>
    <definedName name="BUDGET4C" localSheetId="16">#REF!</definedName>
    <definedName name="BUDGET4C" localSheetId="17">#REF!</definedName>
    <definedName name="BUDGET4C">#REF!</definedName>
    <definedName name="BUDGETYEAR" localSheetId="17">#REF!</definedName>
    <definedName name="BUDGETYEAR">#REF!</definedName>
    <definedName name="C_13RETL" localSheetId="17">#REF!</definedName>
    <definedName name="C_13RETL">#REF!</definedName>
    <definedName name="C_13WHSL" localSheetId="17">#REF!</definedName>
    <definedName name="C_13WHSL">#REF!</definedName>
    <definedName name="C_14RETL" localSheetId="17">#REF!</definedName>
    <definedName name="C_14RETL">#REF!</definedName>
    <definedName name="C_15RETL" localSheetId="17">#REF!</definedName>
    <definedName name="C_15RETL">#REF!</definedName>
    <definedName name="C_15WHSL" localSheetId="17">#REF!</definedName>
    <definedName name="C_15WHSL">#REF!</definedName>
    <definedName name="C_FORECAST" localSheetId="18">'[3]CURRENT FORECAST'!$A$1:$N$153</definedName>
    <definedName name="C_FORECAST" localSheetId="4">'[3]CURRENT FORECAST'!$A$1:$N$153</definedName>
    <definedName name="C_FORECAST">#REF!</definedName>
    <definedName name="CAPTRUEUP" localSheetId="17">#REF!</definedName>
    <definedName name="CAPTRUEUP">#REF!</definedName>
    <definedName name="Cash_Flow_Bud" localSheetId="17">#REF!</definedName>
    <definedName name="Cash_Flow_Bud">#REF!</definedName>
    <definedName name="CASHFLS" localSheetId="17">#REF!</definedName>
    <definedName name="CASHFLS" localSheetId="18">'[9]CASH FLOWS BKUP'!#REF!</definedName>
    <definedName name="CASHFLS" localSheetId="4">'[9]CASH FLOWS BKUP'!#REF!</definedName>
    <definedName name="CASHFLS">#REF!</definedName>
    <definedName name="CBM" localSheetId="16">#REF!</definedName>
    <definedName name="CBM" localSheetId="17">#REF!</definedName>
    <definedName name="CBM" localSheetId="18">#REF!</definedName>
    <definedName name="CBM">#REF!</definedName>
    <definedName name="CBM_EXTEND" localSheetId="17">#REF!</definedName>
    <definedName name="CBM_EXTEND">#REF!</definedName>
    <definedName name="CF_Forecast" localSheetId="17">#REF!</definedName>
    <definedName name="CF_Forecast">#REF!</definedName>
    <definedName name="CF_Plan2" localSheetId="17">#REF!</definedName>
    <definedName name="CF_Plan2">#REF!</definedName>
    <definedName name="CFPRES" localSheetId="17">#REF!</definedName>
    <definedName name="CFPRES">#REF!</definedName>
    <definedName name="CM_GWH_SALES" localSheetId="17">#REF!</definedName>
    <definedName name="CM_GWH_SALES">#REF!</definedName>
    <definedName name="CMACT" localSheetId="17">#REF!</definedName>
    <definedName name="CMACT" localSheetId="18">'[1]Page 1'!#REF!</definedName>
    <definedName name="CMACT" localSheetId="4">'[1]Page 1'!#REF!</definedName>
    <definedName name="CMACT">#REF!</definedName>
    <definedName name="CMBUD" localSheetId="17">#REF!</definedName>
    <definedName name="CMBUD" localSheetId="18">'[1]Page 1'!#REF!</definedName>
    <definedName name="CMBUD" localSheetId="4">'[1]Page 1'!#REF!</definedName>
    <definedName name="CMBUD">#REF!</definedName>
    <definedName name="CMREVANAL" localSheetId="17">#REF!</definedName>
    <definedName name="CMREVANAL" localSheetId="18">#REF!</definedName>
    <definedName name="CMREVANAL" localSheetId="4">#REF!</definedName>
    <definedName name="CMREVANAL">#REF!</definedName>
    <definedName name="CMTAX" localSheetId="16">#REF!</definedName>
    <definedName name="CMTAX" localSheetId="17">#REF!</definedName>
    <definedName name="CMTAX" localSheetId="18">#REF!</definedName>
    <definedName name="CMTAX">#REF!</definedName>
    <definedName name="COAL" localSheetId="17">#REF!</definedName>
    <definedName name="COAL">#REF!</definedName>
    <definedName name="COAL1" localSheetId="17">#REF!</definedName>
    <definedName name="COAL1">#REF!</definedName>
    <definedName name="COAL2" localSheetId="17">#REF!</definedName>
    <definedName name="COAL2">#REF!</definedName>
    <definedName name="COAL3" localSheetId="17">#REF!</definedName>
    <definedName name="COAL3">#REF!</definedName>
    <definedName name="COM_EQ" localSheetId="17">#REF!</definedName>
    <definedName name="COM_EQ">#REF!</definedName>
    <definedName name="CON12ME" localSheetId="17">#REF!</definedName>
    <definedName name="CON12ME">#REF!</definedName>
    <definedName name="CON12MEWS" localSheetId="17">#REF!</definedName>
    <definedName name="CON12MEWS">#REF!</definedName>
    <definedName name="CONASSET" localSheetId="17">#REF!</definedName>
    <definedName name="CONASSET">#REF!</definedName>
    <definedName name="CONLIAB" localSheetId="17">#REF!</definedName>
    <definedName name="CONLIAB">#REF!</definedName>
    <definedName name="Cons_Assets" localSheetId="17">#REF!</definedName>
    <definedName name="Cons_Assets">#REF!</definedName>
    <definedName name="Cons_Elims" localSheetId="17">#REF!</definedName>
    <definedName name="Cons_Elims">#REF!</definedName>
    <definedName name="Cons_IS" localSheetId="17">#REF!</definedName>
    <definedName name="Cons_IS">#REF!</definedName>
    <definedName name="Cons_Liab" localSheetId="17">#REF!</definedName>
    <definedName name="Cons_Liab">#REF!</definedName>
    <definedName name="CONSCF4A" localSheetId="17">#REF!</definedName>
    <definedName name="CONSCF4A">#REF!</definedName>
    <definedName name="CONSCF4B" localSheetId="17">#REF!</definedName>
    <definedName name="CONSCF4B">#REF!</definedName>
    <definedName name="Consol_Act" localSheetId="17">#REF!</definedName>
    <definedName name="Consol_Act">#REF!</definedName>
    <definedName name="Consol_Bud" localSheetId="17">#REF!</definedName>
    <definedName name="Consol_Bud">#REF!</definedName>
    <definedName name="CONSOLP1" localSheetId="17">#REF!</definedName>
    <definedName name="CONSOLP1">#REF!</definedName>
    <definedName name="CONSOLP2" localSheetId="17">#REF!</definedName>
    <definedName name="CONSOLP2">#REF!</definedName>
    <definedName name="CONSOLP3" localSheetId="17">#REF!</definedName>
    <definedName name="CONSOLP3">#REF!</definedName>
    <definedName name="CONSOLP4" localSheetId="17">#REF!</definedName>
    <definedName name="CONSOLP4">#REF!</definedName>
    <definedName name="CONTENTS" localSheetId="17">#REF!</definedName>
    <definedName name="CONTENTS">#REF!</definedName>
    <definedName name="CONYTD" localSheetId="17">#REF!</definedName>
    <definedName name="CONYTD">#REF!</definedName>
    <definedName name="CURRENT" localSheetId="17">#REF!</definedName>
    <definedName name="CURRENT">#REF!</definedName>
    <definedName name="CurrYear" localSheetId="17">#REF!</definedName>
    <definedName name="CurrYear" localSheetId="18">[10]Controls!$D$8</definedName>
    <definedName name="CurrYear" localSheetId="4">[10]Controls!$D$8</definedName>
    <definedName name="CurrYear">#REF!</definedName>
    <definedName name="CY_BUDGET" localSheetId="18">'[3]CORP BUDGET'!$A$1:$N$153</definedName>
    <definedName name="CY_BUDGET" localSheetId="4">'[3]CORP BUDGET'!$A$1:$N$153</definedName>
    <definedName name="CY_BUDGET">#REF!</definedName>
    <definedName name="DAT" localSheetId="15">'[11]DAT ACCOUNTS'!$A$1:$D$65536</definedName>
    <definedName name="DAT" localSheetId="16">'[12]DAT ACCOUNTS'!$A$1:$D$65536</definedName>
    <definedName name="DAT" localSheetId="17">#REF!</definedName>
    <definedName name="DAT" localSheetId="18">'[13]DAT ACCOUNTS'!$A:$C</definedName>
    <definedName name="DAT" localSheetId="4">'[13]DAT ACCOUNTS'!$A:$C</definedName>
    <definedName name="DAT">#REF!</definedName>
    <definedName name="DD_CURMO">#REF!</definedName>
    <definedName name="DECJE">#REF!</definedName>
    <definedName name="DECJE2">#REF!</definedName>
    <definedName name="DECJE3">#REF!</definedName>
    <definedName name="DECRET" localSheetId="17">#REF!</definedName>
    <definedName name="DECRET">#REF!</definedName>
    <definedName name="DECWHLFPC" localSheetId="17">#REF!</definedName>
    <definedName name="DECWHLFPC">#REF!</definedName>
    <definedName name="DECWHLFTM" localSheetId="17">#REF!</definedName>
    <definedName name="DECWHLFTM">#REF!</definedName>
    <definedName name="DECWHLSTC" localSheetId="17">#REF!</definedName>
    <definedName name="DECWHLSTC">#REF!</definedName>
    <definedName name="DECWHLWAU" localSheetId="17">#REF!</definedName>
    <definedName name="DECWHLWAU">#REF!</definedName>
    <definedName name="DEFERRED" localSheetId="16">#REF!</definedName>
    <definedName name="DEFERRED" localSheetId="17">#REF!</definedName>
    <definedName name="DEFERRED" localSheetId="18">#REF!</definedName>
    <definedName name="DEFERRED">#REF!</definedName>
    <definedName name="DEFERREDCAP" localSheetId="16">#REF!</definedName>
    <definedName name="DEFERREDCAP" localSheetId="17">#REF!</definedName>
    <definedName name="DEFERREDCAP">#REF!</definedName>
    <definedName name="DEFERREDFUEL" localSheetId="16">#REF!</definedName>
    <definedName name="DEFERREDFUEL" localSheetId="17">#REF!</definedName>
    <definedName name="DEFERREDFUEL">#REF!</definedName>
    <definedName name="DELAINE" localSheetId="17">#REF!</definedName>
    <definedName name="DELAINE">#REF!</definedName>
    <definedName name="DELAINE1" localSheetId="17">#REF!</definedName>
    <definedName name="DELAINE1">#REF!</definedName>
    <definedName name="deprec" localSheetId="17">#REF!</definedName>
    <definedName name="deprec">#REF!</definedName>
    <definedName name="DETAIL146234" localSheetId="16">[7]DL1204!#REF!</definedName>
    <definedName name="DETAIL146234" localSheetId="17">#REF!</definedName>
    <definedName name="DETAIL146234" localSheetId="18">[7]DL1204!#REF!</definedName>
    <definedName name="DETAIL146234" localSheetId="4">[7]DL1204!#REF!</definedName>
    <definedName name="DETAIL146234">#REF!</definedName>
    <definedName name="dfdfdf" localSheetId="16">#REF!</definedName>
    <definedName name="dfdfdf" localSheetId="17">#REF!</definedName>
    <definedName name="dfdfdf" localSheetId="18">#REF!</definedName>
    <definedName name="dfdfdf">#REF!</definedName>
    <definedName name="DISC_2Q" localSheetId="17">#REF!</definedName>
    <definedName name="DISC_2Q">#REF!</definedName>
    <definedName name="DISC_3Q" localSheetId="17">#REF!</definedName>
    <definedName name="DISC_3Q">#REF!</definedName>
    <definedName name="DISC_4Q" localSheetId="17">#REF!</definedName>
    <definedName name="DISC_4Q">#REF!</definedName>
    <definedName name="DIST" localSheetId="17">#REF!</definedName>
    <definedName name="DIST">#REF!</definedName>
    <definedName name="DISTLIST" localSheetId="17">#REF!</definedName>
    <definedName name="DISTLIST">#REF!</definedName>
    <definedName name="DocketNum" localSheetId="17">#REF!</definedName>
    <definedName name="DocketNum" localSheetId="10">[14]Sheet1!$B$5</definedName>
    <definedName name="DocketNum" localSheetId="18">[14]Sheet1!$B$5</definedName>
    <definedName name="DocketNum" localSheetId="4">[14]Sheet1!$B$5</definedName>
    <definedName name="DocketNum">#REF!</definedName>
    <definedName name="Download" localSheetId="17">#REF!</definedName>
    <definedName name="Download" localSheetId="18">[15]Download!$A$1:$D$2526</definedName>
    <definedName name="Download" localSheetId="4">[15]Download!$A$1:$D$2526</definedName>
    <definedName name="Download">#REF!</definedName>
    <definedName name="DOWNLOAD_1099" localSheetId="16">#REF!</definedName>
    <definedName name="DOWNLOAD_1099" localSheetId="17">#REF!</definedName>
    <definedName name="DOWNLOAD_1099" localSheetId="18">#REF!</definedName>
    <definedName name="DOWNLOAD_1099">#REF!</definedName>
    <definedName name="EEGSA_Act" localSheetId="17">#REF!</definedName>
    <definedName name="EEGSA_Act">#REF!</definedName>
    <definedName name="EEGSA_Bud" localSheetId="17">#REF!</definedName>
    <definedName name="EEGSA_Bud">#REF!</definedName>
    <definedName name="EGY12MIS" localSheetId="17">#REF!</definedName>
    <definedName name="EGY12MIS">#REF!</definedName>
    <definedName name="EGYASSTS" localSheetId="17">#REF!</definedName>
    <definedName name="EGYASSTS">#REF!</definedName>
    <definedName name="EGYCFSCH" localSheetId="17">#REF!</definedName>
    <definedName name="EGYCFSCH">#REF!</definedName>
    <definedName name="EGYCMIS" localSheetId="17">#REF!</definedName>
    <definedName name="EGYCMIS">#REF!</definedName>
    <definedName name="EGYLIABS" localSheetId="17">#REF!</definedName>
    <definedName name="EGYLIABS">#REF!</definedName>
    <definedName name="EGYPCFSH" localSheetId="17">#REF!</definedName>
    <definedName name="EGYPCFSH">#REF!</definedName>
    <definedName name="EGYPCFSHPORT" localSheetId="17">#REF!</definedName>
    <definedName name="EGYPCFSHPORT">#REF!</definedName>
    <definedName name="EGYPRIS" localSheetId="17">#REF!</definedName>
    <definedName name="EGYPRIS">#REF!</definedName>
    <definedName name="EGYRESCH" localSheetId="17">#REF!</definedName>
    <definedName name="EGYRESCH">#REF!</definedName>
    <definedName name="ELIM_12ME" localSheetId="17">#REF!</definedName>
    <definedName name="ELIM_12ME">#REF!</definedName>
    <definedName name="ELIM_BS" localSheetId="17">#REF!</definedName>
    <definedName name="ELIM_BS">#REF!</definedName>
    <definedName name="ELIM_YTD" localSheetId="17">#REF!</definedName>
    <definedName name="ELIM_YTD">#REF!</definedName>
    <definedName name="ENERGY" localSheetId="17">#REF!</definedName>
    <definedName name="ENERGY">#REF!</definedName>
    <definedName name="ep" localSheetId="17">#REF!</definedName>
    <definedName name="ep">#REF!</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PMWorkbookOptions_3">"o1s4EqlE8B610JuPnYjkFU/L3HmrbcP/yRmOXPKJeuASuYH95ABG2Bo5qzh7MQfk03JwGK0NKLt9I9By1LsJPxS1jut7zu8JxEyKgi79ULV/eCqrdV+Q+RSSClKmGbbGrAXImtzYV8U24AbNU/OHzOhh4KKPLvYDwNFHgylXygMwB4VyxeYKXGlQL9TKAAUaQYmzzSpXNdlZz2mvjMBtFC5nrgNjk9TEDFha5ZkAApn7r9H0krD4WnzpCpqk"</definedName>
    <definedName name="EPMWorkbookOptions_4" hidden="1">"6E8MeRREvS+0SUnYctgROJHUxwqaIzX4wXPcx/xMOvmNNbl/cg/z5an9Q+apQ7hbm/7/T6tqTxcJuZJ2ulppmqvR9OFiZW5QrEsa03IVRaNUYmmmfO2KPTcxUkfSBGP2lr12Zi5oLRuCKKp9RT95KbNsucxx3OFLuXSDSzlhMS3Ynt40NKmrajrZEBLh0sxduJlpniDcpqALPbWvidLJyq1UGbpWqx6uXPb2lLuiMS1dXdWFthFX3GvX7Dmp"</definedName>
    <definedName name="EPMWorkbookOptions_5" hidden="1">"KZHH2S/QtnH9L6FzS0ZWun392km5nAJHaJX1P/g9SNOVCssescXmbq+6zTnc2EWS3fX1v4jPyUh8bnUTpf5yVm+rrT5/4llO+fbW7ozBtE4V1YiNd5FmpXmCSGXjT18yRwu1cntCTVjcOHRstw1ZmjfJUu8u2sw0TxCt1tXFvkZ4Fj9Tt9Xb0+0akUSv5K8t3lWameYJKtXlzukHE8fLs3aEPLlqnS0NuErBrJoMkSddLZiVOluw64MqYmoI"</definedName>
    <definedName name="EPMWorkbookOptions_6" hidden="1">"IbAvQJ4zBtMllWzba8W/+sq1q/TMjMRHNXdOVpzQ9TsnGTppSd+vnZHLqe8dSej1Nan3iTW+fntbkITF+f6jK2my2pTvu5CjQKlsdoJSGH8ckMR23DDiqaxbTilrEpt0vX0xbN24fZmM12CAIRypnhqAl1zqSRtjnOgCwrOgqtdDb5AgN80xNrk1R0YWxZwv7vds29Pwqd0wA2sNN10g5PAnwg4yXegAHhK/Re9b9q9fVt6LO3uNfwGmFkse"</definedName>
    <definedName name="EPMWorkbookOptions_7" hidden="1">"7icAAA=="</definedName>
    <definedName name="EPS" localSheetId="17">#REF!</definedName>
    <definedName name="EPS" localSheetId="18">#REF!</definedName>
    <definedName name="EPS" localSheetId="4">#REF!</definedName>
    <definedName name="EPS">#REF!</definedName>
    <definedName name="Equity" localSheetId="17">#REF!</definedName>
    <definedName name="Equity">#REF!</definedName>
    <definedName name="ESOP_GOAL" localSheetId="17">#REF!</definedName>
    <definedName name="ESOP_GOAL">#REF!</definedName>
    <definedName name="ESOPWP" localSheetId="17">#REF!</definedName>
    <definedName name="ESOPWP">#REF!</definedName>
    <definedName name="EV__EVCOM_OPTIONS__" hidden="1">8</definedName>
    <definedName name="EV__EXPOPTIONS__" hidden="1">1</definedName>
    <definedName name="EV__LASTREFTIME__" hidden="1">"(GMT-05:00)4/18/2017 4:58:12 PM"</definedName>
    <definedName name="EV__MAXEXPCOLS__" hidden="1">100</definedName>
    <definedName name="EV__MAXEXPROWS__" hidden="1">1000</definedName>
    <definedName name="EV__MEMORYCVW__" hidden="1">0</definedName>
    <definedName name="EV__WBEVMODE__" hidden="1">0</definedName>
    <definedName name="EV__WBREFOPTIONS__" hidden="1">134217735</definedName>
    <definedName name="EV__WBVERSION__" hidden="1">0</definedName>
    <definedName name="FCST" localSheetId="17">#REF!</definedName>
    <definedName name="FCST" localSheetId="18">#REF!</definedName>
    <definedName name="FCST" localSheetId="4">#REF!</definedName>
    <definedName name="FCST">#REF!</definedName>
    <definedName name="FEBJE" localSheetId="17">'[4]JE FORMS'!#REF!</definedName>
    <definedName name="FEBJE" localSheetId="10">'[4]JE FORMS'!#REF!</definedName>
    <definedName name="FEBJE">#REF!</definedName>
    <definedName name="FEBJE2" localSheetId="10">'[4]JE FORMS'!#REF!</definedName>
    <definedName name="FEBJE2">#REF!</definedName>
    <definedName name="FEBJE3" localSheetId="10">'[4]JE FORMS'!#REF!</definedName>
    <definedName name="FEBJE3">#REF!</definedName>
    <definedName name="FEBRET" localSheetId="17">#REF!</definedName>
    <definedName name="FEBRET">#REF!</definedName>
    <definedName name="FEBWHLFPC" localSheetId="17">#REF!</definedName>
    <definedName name="FEBWHLFPC">#REF!</definedName>
    <definedName name="FEBWHLFTM" localSheetId="17">#REF!</definedName>
    <definedName name="FEBWHLFTM">#REF!</definedName>
    <definedName name="FEBWHLSTC" localSheetId="17">#REF!</definedName>
    <definedName name="FEBWHLSTC">#REF!</definedName>
    <definedName name="FEBWHLWAU" localSheetId="17">#REF!</definedName>
    <definedName name="FEBWHLWAU">#REF!</definedName>
    <definedName name="FOR_DENISE_O." localSheetId="16">[7]DL1204!#REF!</definedName>
    <definedName name="FOR_DENISE_O." localSheetId="17">#REF!</definedName>
    <definedName name="FOR_DENISE_O." localSheetId="18">[7]DL1204!#REF!</definedName>
    <definedName name="FOR_DENISE_O." localSheetId="4">[7]DL1204!#REF!</definedName>
    <definedName name="FOR_DENISE_O.">#REF!</definedName>
    <definedName name="FORE_VS_FORE" localSheetId="16">#REF!</definedName>
    <definedName name="FORE_VS_FORE" localSheetId="17">#REF!</definedName>
    <definedName name="FORE_VS_FORE" localSheetId="18">#REF!</definedName>
    <definedName name="FORE_VS_FORE">#REF!</definedName>
    <definedName name="FORM42_2A" localSheetId="17">#REF!</definedName>
    <definedName name="FORM42_2A" localSheetId="18">#REF!</definedName>
    <definedName name="FORM42_2A">#REF!</definedName>
    <definedName name="FORM42_5A" localSheetId="17">#REF!</definedName>
    <definedName name="FORM42_5A">#REF!</definedName>
    <definedName name="FORM42_7A" localSheetId="17">#REF!</definedName>
    <definedName name="FORM42_7A">#REF!</definedName>
    <definedName name="FRANCHISE_TAX" localSheetId="16">#REF!</definedName>
    <definedName name="FRANCHISE_TAX" localSheetId="17">#REF!</definedName>
    <definedName name="FRANCHISE_TAX">#REF!</definedName>
    <definedName name="FRCST_NI" localSheetId="17">#REF!</definedName>
    <definedName name="FRCST_NI">#REF!</definedName>
    <definedName name="FRCST_NI_DISC" localSheetId="17">#REF!</definedName>
    <definedName name="FRCST_NI_DISC">#REF!</definedName>
    <definedName name="FRCST_OP_INC" localSheetId="17">#REF!</definedName>
    <definedName name="FRCST_OP_INC">#REF!</definedName>
    <definedName name="Fuel_Separation_Factor" localSheetId="17">#REF!</definedName>
    <definedName name="Fuel_Separation_Factor">#REF!</definedName>
    <definedName name="GOAL7" localSheetId="17">#REF!</definedName>
    <definedName name="GOAL7">#REF!</definedName>
    <definedName name="GOAL7ACT" localSheetId="17">#REF!</definedName>
    <definedName name="GOAL7ACT">#REF!</definedName>
    <definedName name="GOAL7BUD" localSheetId="17">#REF!</definedName>
    <definedName name="GOAL7BUD">#REF!</definedName>
    <definedName name="GROSS_TAX" localSheetId="16">#REF!</definedName>
    <definedName name="GROSS_TAX" localSheetId="17">#REF!</definedName>
    <definedName name="GROSS_TAX" localSheetId="18">#REF!</definedName>
    <definedName name="GROSS_TAX">#REF!</definedName>
    <definedName name="HIDECOLUM" localSheetId="17">#REF!</definedName>
    <definedName name="HIDECOLUM" localSheetId="18">'[16]IS Energy Consol_Emera Jun-18'!#REF!</definedName>
    <definedName name="HIDECOLUM" localSheetId="4">'[16]IS Energy Consol_Emera Jun-18'!#REF!</definedName>
    <definedName name="HIDECOLUM">#REF!</definedName>
    <definedName name="HIDECOLUMN" localSheetId="17">#REF!</definedName>
    <definedName name="HIDECOLUMN" localSheetId="18">'[16]IS Energy Consol_Emera Jun-18'!$N$1</definedName>
    <definedName name="HIDECOLUMN" localSheetId="4">'[16]IS Energy Consol_Emera Jun-18'!$N$1</definedName>
    <definedName name="HIDECOLUMN">#REF!</definedName>
    <definedName name="HIDECOLUMN2" localSheetId="17">#REF!</definedName>
    <definedName name="HIDECOLUMN2" localSheetId="18">'[16]IS Energy Consol_Emera Jun-18'!#REF!</definedName>
    <definedName name="HIDECOLUMN2" localSheetId="4">'[16]IS Energy Consol_Emera Jun-18'!#REF!</definedName>
    <definedName name="HIDECOLUMN2">#REF!</definedName>
    <definedName name="hills_cnty_sales_tax_2005">#REF!</definedName>
    <definedName name="hills_cnty_surtax_2005">#REF!</definedName>
    <definedName name="hills_cnty_total_sales_rate_2005">#REF!</definedName>
    <definedName name="HP_I_Assets" localSheetId="16">#REF!</definedName>
    <definedName name="HP_I_Assets" localSheetId="17">#REF!</definedName>
    <definedName name="HP_I_Assets" localSheetId="18">#REF!</definedName>
    <definedName name="HP_I_Assets">#REF!</definedName>
    <definedName name="HP_I_BS" localSheetId="17">#REF!</definedName>
    <definedName name="HP_I_BS">#REF!</definedName>
    <definedName name="HP_I_Elims" localSheetId="17">#REF!</definedName>
    <definedName name="HP_I_Elims">#REF!</definedName>
    <definedName name="HP_I_Liab" localSheetId="17">#REF!</definedName>
    <definedName name="HP_I_Liab">#REF!</definedName>
    <definedName name="HP_I_PL" localSheetId="17">#REF!</definedName>
    <definedName name="HP_I_PL">#REF!</definedName>
    <definedName name="INOUT_TPS_NI" localSheetId="17">#REF!</definedName>
    <definedName name="INOUT_TPS_NI">#REF!</definedName>
    <definedName name="INPUT_COAL" localSheetId="17">#REF!</definedName>
    <definedName name="INPUT_COAL">#REF!</definedName>
    <definedName name="INPUT_DISC" localSheetId="17">#REF!</definedName>
    <definedName name="INPUT_DISC">#REF!</definedName>
    <definedName name="input_ni_1999" localSheetId="17">#REF!</definedName>
    <definedName name="input_ni_1999">#REF!</definedName>
    <definedName name="INPUT_NI_ACT" localSheetId="17">#REF!</definedName>
    <definedName name="INPUT_NI_ACT">#REF!</definedName>
    <definedName name="INPUT_NI_BUD" localSheetId="17">#REF!</definedName>
    <definedName name="INPUT_NI_BUD">#REF!</definedName>
    <definedName name="INPUT_TPS" localSheetId="17">#REF!</definedName>
    <definedName name="INPUT_TPS">#REF!</definedName>
    <definedName name="INPUT_TT" localSheetId="17">#REF!</definedName>
    <definedName name="INPUT_TT">#REF!</definedName>
    <definedName name="INTEREST_EXPENSE" localSheetId="17">#REF!</definedName>
    <definedName name="INTEREST_EXPENSE">#REF!</definedName>
    <definedName name="Interest_Note" localSheetId="17">#REF!</definedName>
    <definedName name="Interest_Note">#REF!</definedName>
    <definedName name="INTERESTRECLASS" localSheetId="17">#REF!</definedName>
    <definedName name="INTERESTRECLASS">#REF!</definedName>
    <definedName name="INTEXP" localSheetId="17">#REF!</definedName>
    <definedName name="INTEXP">#REF!</definedName>
    <definedName name="INUT_TPS_NI" localSheetId="17">#REF!</definedName>
    <definedName name="INUT_TPS_NI">#REF!</definedName>
    <definedName name="Inventory_Note" localSheetId="17">#REF!</definedName>
    <definedName name="Inventory_Note">#REF!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42786.5434953704</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39314.6042013889</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R" hidden="1">"c5517"</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_Forecast" localSheetId="16">#REF!</definedName>
    <definedName name="IS_Forecast" localSheetId="17">#REF!</definedName>
    <definedName name="IS_Forecast" localSheetId="18">#REF!</definedName>
    <definedName name="IS_Forecast" localSheetId="4">#REF!</definedName>
    <definedName name="IS_Forecast">#REF!</definedName>
    <definedName name="IS_Monthly" localSheetId="17">#REF!</definedName>
    <definedName name="IS_Monthly">#REF!</definedName>
    <definedName name="IS_Plan" localSheetId="17">#REF!</definedName>
    <definedName name="IS_Plan">#REF!</definedName>
    <definedName name="IS_Plan2" localSheetId="17">#REF!</definedName>
    <definedName name="IS_Plan2">#REF!</definedName>
    <definedName name="IS2_" localSheetId="17">#REF!</definedName>
    <definedName name="IS2_">#REF!</definedName>
    <definedName name="JANJE" localSheetId="17">'[4]JE FORMS'!#REF!</definedName>
    <definedName name="JANJE" localSheetId="10">'[4]JE FORMS'!#REF!</definedName>
    <definedName name="JANJE">#REF!</definedName>
    <definedName name="JANJE2" localSheetId="17">'[4]JE FORMS'!#REF!</definedName>
    <definedName name="JANJE2" localSheetId="10">'[4]JE FORMS'!#REF!</definedName>
    <definedName name="JANJE2">#REF!</definedName>
    <definedName name="JANJE3" localSheetId="10">'[4]JE FORMS'!#REF!</definedName>
    <definedName name="JANJE3">#REF!</definedName>
    <definedName name="JANRET" localSheetId="17">#REF!</definedName>
    <definedName name="JANRET">#REF!</definedName>
    <definedName name="JANWHLFPC" localSheetId="17">#REF!</definedName>
    <definedName name="JANWHLFPC">#REF!</definedName>
    <definedName name="JANWHLFTM" localSheetId="17">#REF!</definedName>
    <definedName name="JANWHLFTM">#REF!</definedName>
    <definedName name="JANWHLSTC" localSheetId="17">#REF!</definedName>
    <definedName name="JANWHLSTC">#REF!</definedName>
    <definedName name="JANWHLWAU" localSheetId="17">#REF!</definedName>
    <definedName name="JANWHLWAU">#REF!</definedName>
    <definedName name="JE_four_Entry" localSheetId="17">#REF!</definedName>
    <definedName name="JE_four_Entry">#REF!</definedName>
    <definedName name="JE_four_Spreadsheet" localSheetId="17">#REF!</definedName>
    <definedName name="JE_four_Spreadsheet">#REF!</definedName>
    <definedName name="JE7FSRECON" localSheetId="17">#REF!</definedName>
    <definedName name="JE7FSRECON">#REF!</definedName>
    <definedName name="jjj" localSheetId="16" hidden="1">{"Page 1",#N/A,FALSE,"INDSDUE2";"Page 2",#N/A,FALSE,"INDSDUE2"}</definedName>
    <definedName name="jjj" localSheetId="17" hidden="1">{"Page 1",#N/A,FALSE,"INDSDUE2";"Page 2",#N/A,FALSE,"INDSDUE2"}</definedName>
    <definedName name="jjj" localSheetId="10" hidden="1">{"Page 1",#N/A,FALSE,"INDSDUE2";"Page 2",#N/A,FALSE,"INDSDUE2"}</definedName>
    <definedName name="jjj" localSheetId="18" hidden="1">{"Page 1",#N/A,FALSE,"INDSDUE2";"Page 2",#N/A,FALSE,"INDSDUE2"}</definedName>
    <definedName name="jjj" localSheetId="4" hidden="1">{"Page 1",#N/A,FALSE,"INDSDUE2";"Page 2",#N/A,FALSE,"INDSDUE2"}</definedName>
    <definedName name="jjj" hidden="1">{"Page 1",#N/A,FALSE,"INDSDUE2";"Page 2",#N/A,FALSE,"INDSDUE2"}</definedName>
    <definedName name="Journal" localSheetId="17">#REF!</definedName>
    <definedName name="Journal" localSheetId="18">#REF!</definedName>
    <definedName name="Journal" localSheetId="4">#REF!</definedName>
    <definedName name="Journal">#REF!</definedName>
    <definedName name="JULJE" localSheetId="17">'[4]JE FORMS'!#REF!</definedName>
    <definedName name="JULJE" localSheetId="10">'[4]JE FORMS'!#REF!</definedName>
    <definedName name="JULJE">#REF!</definedName>
    <definedName name="JULJE2" localSheetId="17">'[4]JE FORMS'!#REF!</definedName>
    <definedName name="JULJE2" localSheetId="10">'[4]JE FORMS'!#REF!</definedName>
    <definedName name="JULJE2">#REF!</definedName>
    <definedName name="JULJE3" localSheetId="10">'[4]JE FORMS'!#REF!</definedName>
    <definedName name="JULJE3">#REF!</definedName>
    <definedName name="JULRET" localSheetId="17">#REF!</definedName>
    <definedName name="JULRET">#REF!</definedName>
    <definedName name="JULWHLFPC" localSheetId="17">#REF!</definedName>
    <definedName name="JULWHLFPC">#REF!</definedName>
    <definedName name="JULWHLFTM" localSheetId="17">#REF!</definedName>
    <definedName name="JULWHLFTM">#REF!</definedName>
    <definedName name="JULWHLSTC" localSheetId="17">#REF!</definedName>
    <definedName name="JULWHLSTC">#REF!</definedName>
    <definedName name="JULWHLWAU" localSheetId="17">#REF!</definedName>
    <definedName name="JULWHLWAU">#REF!</definedName>
    <definedName name="JUNJE" localSheetId="17">'[4]JE FORMS'!#REF!</definedName>
    <definedName name="JUNJE" localSheetId="10">'[4]JE FORMS'!#REF!</definedName>
    <definedName name="JUNJE">#REF!</definedName>
    <definedName name="JUNJE2" localSheetId="17">'[4]JE FORMS'!#REF!</definedName>
    <definedName name="JUNJE2" localSheetId="10">'[4]JE FORMS'!#REF!</definedName>
    <definedName name="JUNJE2">#REF!</definedName>
    <definedName name="JUNJE3" localSheetId="10">'[4]JE FORMS'!#REF!</definedName>
    <definedName name="JUNJE3">#REF!</definedName>
    <definedName name="JUNPG2" localSheetId="17">#REF!</definedName>
    <definedName name="JUNPG2">#REF!</definedName>
    <definedName name="JUNREDO1" localSheetId="17">#REF!</definedName>
    <definedName name="JUNREDO1">#REF!</definedName>
    <definedName name="JUNRET" localSheetId="17">#REF!</definedName>
    <definedName name="JUNRET">#REF!</definedName>
    <definedName name="JUNWHLFPC" localSheetId="17">#REF!</definedName>
    <definedName name="JUNWHLFPC">#REF!</definedName>
    <definedName name="JUNWHLFTM" localSheetId="17">#REF!</definedName>
    <definedName name="JUNWHLFTM">#REF!</definedName>
    <definedName name="JUNWHLSTC" localSheetId="17">#REF!</definedName>
    <definedName name="JUNWHLSTC">#REF!</definedName>
    <definedName name="JUNWHLWAU" localSheetId="17">#REF!</definedName>
    <definedName name="JUNWHLWAU">#REF!</definedName>
    <definedName name="KUABILLING" localSheetId="17">#REF!</definedName>
    <definedName name="KUABILLING">#REF!</definedName>
    <definedName name="KUASUPPD" localSheetId="17">#REF!</definedName>
    <definedName name="KUASUPPD">#REF!</definedName>
    <definedName name="LiabEquityRange" localSheetId="17">#REF!</definedName>
    <definedName name="LiabEquityRange">#REF!</definedName>
    <definedName name="LIZ" localSheetId="17">#REF!</definedName>
    <definedName name="LIZ">#REF!</definedName>
    <definedName name="LORICLARKDATA" localSheetId="17">#REF!</definedName>
    <definedName name="LORICLARKDATA" localSheetId="18">[7]DL1204!#REF!</definedName>
    <definedName name="LORICLARKDATA" localSheetId="4">[7]DL1204!#REF!</definedName>
    <definedName name="LORICLARKDATA">#REF!</definedName>
    <definedName name="MACROS" localSheetId="17">#REF!</definedName>
    <definedName name="MACROS" localSheetId="18">[17]UPDATES!$A$6</definedName>
    <definedName name="MACROS" localSheetId="4">[17]UPDATES!$A$6</definedName>
    <definedName name="MACROS">#REF!</definedName>
    <definedName name="MARJE" localSheetId="10">'[4]JE FORMS'!#REF!</definedName>
    <definedName name="MARJE">#REF!</definedName>
    <definedName name="MARJE2" localSheetId="10">'[4]JE FORMS'!#REF!</definedName>
    <definedName name="MARJE2">#REF!</definedName>
    <definedName name="MARJE3" localSheetId="10">'[4]JE FORMS'!#REF!</definedName>
    <definedName name="MARJE3">#REF!</definedName>
    <definedName name="MARJE4" localSheetId="10">'[4]JE FORMS'!#REF!</definedName>
    <definedName name="MARJE4">#REF!</definedName>
    <definedName name="MARJEADJ">#REF!</definedName>
    <definedName name="MARRET" localSheetId="17">#REF!</definedName>
    <definedName name="MARRET">#REF!</definedName>
    <definedName name="MARWHLFPC" localSheetId="17">#REF!</definedName>
    <definedName name="MARWHLFPC">#REF!</definedName>
    <definedName name="MARWHLFTM" localSheetId="17">#REF!</definedName>
    <definedName name="MARWHLFTM">#REF!</definedName>
    <definedName name="MARWHLSTC" localSheetId="17">#REF!</definedName>
    <definedName name="MARWHLSTC">#REF!</definedName>
    <definedName name="MARWHLWAU" localSheetId="17">#REF!</definedName>
    <definedName name="MARWHLWAU">#REF!</definedName>
    <definedName name="May" localSheetId="17">#REF!</definedName>
    <definedName name="May">#REF!</definedName>
    <definedName name="MAYJE" localSheetId="17">'[4]JE FORMS'!#REF!</definedName>
    <definedName name="MAYJE" localSheetId="10">'[4]JE FORMS'!#REF!</definedName>
    <definedName name="MAYJE">#REF!</definedName>
    <definedName name="MAYJE2" localSheetId="17">'[4]JE FORMS'!#REF!</definedName>
    <definedName name="MAYJE2" localSheetId="10">'[4]JE FORMS'!#REF!</definedName>
    <definedName name="MAYJE2">#REF!</definedName>
    <definedName name="MAYJE3" localSheetId="10">'[4]JE FORMS'!#REF!</definedName>
    <definedName name="MAYJE3">#REF!</definedName>
    <definedName name="MAYJE4" localSheetId="10">'[4]JE FORMS'!#REF!</definedName>
    <definedName name="MAYJE4">#REF!</definedName>
    <definedName name="MAYREDO1" localSheetId="17">#REF!</definedName>
    <definedName name="MAYREDO1">#REF!</definedName>
    <definedName name="MAYRET" localSheetId="17">#REF!</definedName>
    <definedName name="MAYRET">#REF!</definedName>
    <definedName name="MAYWHLFPC" localSheetId="17">#REF!</definedName>
    <definedName name="MAYWHLFPC">#REF!</definedName>
    <definedName name="MAYWHLFTM" localSheetId="17">#REF!</definedName>
    <definedName name="MAYWHLFTM">#REF!</definedName>
    <definedName name="MAYWHLSTC" localSheetId="17">#REF!</definedName>
    <definedName name="MAYWHLSTC">#REF!</definedName>
    <definedName name="MAYWHLWAU" localSheetId="17">#REF!</definedName>
    <definedName name="MAYWHLWAU">#REF!</definedName>
    <definedName name="MEMO" localSheetId="16">#REF!</definedName>
    <definedName name="MEMO" localSheetId="17">#REF!</definedName>
    <definedName name="MEMO" localSheetId="18">#REF!</definedName>
    <definedName name="MEMO">#REF!</definedName>
    <definedName name="MONRECON" localSheetId="16">#REF!</definedName>
    <definedName name="MONRECON" localSheetId="17">#REF!</definedName>
    <definedName name="MONRECON">#REF!</definedName>
    <definedName name="Month_Summary" localSheetId="17">#REF!</definedName>
    <definedName name="Month_Summary">#REF!</definedName>
    <definedName name="Months" localSheetId="18">[3]MONTHS!$A$3:$A$18</definedName>
    <definedName name="Months" localSheetId="4">[3]MONTHS!$A$3:$A$18</definedName>
    <definedName name="Months">#REF!</definedName>
    <definedName name="MONWHL" localSheetId="16">#REF!</definedName>
    <definedName name="MONWHL" localSheetId="17">#REF!</definedName>
    <definedName name="MONWHL" localSheetId="18">#REF!</definedName>
    <definedName name="MONWHL">#REF!</definedName>
    <definedName name="Net_Income" localSheetId="16">#REF!</definedName>
    <definedName name="Net_Income" localSheetId="17">#REF!</definedName>
    <definedName name="Net_Income" localSheetId="18">#REF!</definedName>
    <definedName name="Net_Income">#REF!</definedName>
    <definedName name="Next_Year" localSheetId="18">[18]Lists!$A$16:$A$17</definedName>
    <definedName name="Next_Year" localSheetId="4">[18]Lists!$A$16:$A$17</definedName>
    <definedName name="Next_Year">#REF!</definedName>
    <definedName name="ni_1999_ext" localSheetId="16">#REF!</definedName>
    <definedName name="ni_1999_ext" localSheetId="17">#REF!</definedName>
    <definedName name="ni_1999_ext" localSheetId="18">#REF!</definedName>
    <definedName name="ni_1999_ext">#REF!</definedName>
    <definedName name="NI_2Q" localSheetId="16">#REF!</definedName>
    <definedName name="NI_2Q" localSheetId="17">#REF!</definedName>
    <definedName name="NI_2Q" localSheetId="18">#REF!</definedName>
    <definedName name="NI_2Q">#REF!</definedName>
    <definedName name="NI_3Q" localSheetId="16">#REF!</definedName>
    <definedName name="NI_3Q" localSheetId="17">#REF!</definedName>
    <definedName name="NI_3Q" localSheetId="18">#REF!</definedName>
    <definedName name="NI_3Q">#REF!</definedName>
    <definedName name="NI_4Q" localSheetId="17">#REF!</definedName>
    <definedName name="NI_4Q">#REF!</definedName>
    <definedName name="NONREC" localSheetId="17">#REF!</definedName>
    <definedName name="NONREC">#REF!</definedName>
    <definedName name="NOVJE" localSheetId="17">'[4]JE FORMS'!#REF!</definedName>
    <definedName name="NOVJE" localSheetId="10">'[4]JE FORMS'!#REF!</definedName>
    <definedName name="NOVJE">#REF!</definedName>
    <definedName name="NOVJE2" localSheetId="17">'[4]JE FORMS'!#REF!</definedName>
    <definedName name="NOVJE2" localSheetId="10">'[4]JE FORMS'!#REF!</definedName>
    <definedName name="NOVJE2">#REF!</definedName>
    <definedName name="NOVJE3" localSheetId="10">'[4]JE FORMS'!#REF!</definedName>
    <definedName name="NOVJE3">#REF!</definedName>
    <definedName name="NOVRET" localSheetId="17">#REF!</definedName>
    <definedName name="NOVRET">#REF!</definedName>
    <definedName name="NOVWHLFPC" localSheetId="17">#REF!</definedName>
    <definedName name="NOVWHLFPC">#REF!</definedName>
    <definedName name="NOVWHLFTM" localSheetId="17">#REF!</definedName>
    <definedName name="NOVWHLFTM">#REF!</definedName>
    <definedName name="NOVWHLSTC" localSheetId="17">#REF!</definedName>
    <definedName name="NOVWHLSTC">#REF!</definedName>
    <definedName name="NOVWHLWAU" localSheetId="17">#REF!</definedName>
    <definedName name="NOVWHLWAU">#REF!</definedName>
    <definedName name="o" localSheetId="17">#REF!</definedName>
    <definedName name="o">#REF!</definedName>
    <definedName name="O_MADDER" localSheetId="17">#REF!</definedName>
    <definedName name="O_MADDER">#REF!</definedName>
    <definedName name="OCTJE" localSheetId="17">'[4]JE FORMS'!#REF!</definedName>
    <definedName name="OCTJE" localSheetId="10">'[4]JE FORMS'!#REF!</definedName>
    <definedName name="OCTJE">#REF!</definedName>
    <definedName name="OCTJE2" localSheetId="17">'[4]JE FORMS'!#REF!</definedName>
    <definedName name="OCTJE2" localSheetId="10">'[4]JE FORMS'!#REF!</definedName>
    <definedName name="OCTJE2">#REF!</definedName>
    <definedName name="OCTJE3" localSheetId="10">'[4]JE FORMS'!#REF!</definedName>
    <definedName name="OCTJE3">#REF!</definedName>
    <definedName name="OCTRET" localSheetId="17">#REF!</definedName>
    <definedName name="OCTRET">#REF!</definedName>
    <definedName name="octwhlfpc" localSheetId="17">#REF!</definedName>
    <definedName name="octwhlfpc">#REF!</definedName>
    <definedName name="octwhlftm" localSheetId="17">#REF!</definedName>
    <definedName name="octwhlftm">#REF!</definedName>
    <definedName name="octwhlstc" localSheetId="17">#REF!</definedName>
    <definedName name="octwhlstc">#REF!</definedName>
    <definedName name="octwhlwau" localSheetId="17">#REF!</definedName>
    <definedName name="octwhlwau">#REF!</definedName>
    <definedName name="OMTOLERANCE">#REF!</definedName>
    <definedName name="ONE" localSheetId="16">#REF!</definedName>
    <definedName name="ONE" localSheetId="17">#REF!</definedName>
    <definedName name="ONE">#REF!</definedName>
    <definedName name="OORACT" localSheetId="17">#REF!</definedName>
    <definedName name="OORACT">#REF!</definedName>
    <definedName name="OORBUD" localSheetId="17">#REF!</definedName>
    <definedName name="OORBUD">#REF!</definedName>
    <definedName name="OORSSGOAL" localSheetId="17">#REF!</definedName>
    <definedName name="OORSSGOAL">#REF!</definedName>
    <definedName name="OP_INC_1998" localSheetId="17">#REF!</definedName>
    <definedName name="OP_INC_1998">#REF!</definedName>
    <definedName name="OP_INC_2Q" localSheetId="17">#REF!</definedName>
    <definedName name="OP_INC_2Q">#REF!</definedName>
    <definedName name="OP_INC_3Q" localSheetId="17">#REF!</definedName>
    <definedName name="OP_INC_3Q">#REF!</definedName>
    <definedName name="OP_INC_4Q" localSheetId="17">#REF!</definedName>
    <definedName name="OP_INC_4Q">#REF!</definedName>
    <definedName name="OP_INC_ACTUAL" localSheetId="17">#REF!</definedName>
    <definedName name="OP_INC_ACTUAL">#REF!</definedName>
    <definedName name="OP_INC_BUDGET" localSheetId="17">#REF!</definedName>
    <definedName name="OP_INC_BUDGET">#REF!</definedName>
    <definedName name="OTHER_CF" localSheetId="17">#REF!</definedName>
    <definedName name="OTHER_CF">#REF!</definedName>
    <definedName name="OTHER_CR" localSheetId="17">#REF!</definedName>
    <definedName name="OTHER_CR">#REF!</definedName>
    <definedName name="OtherCurLiab_Note" localSheetId="17">#REF!</definedName>
    <definedName name="OtherCurLiab_Note">#REF!</definedName>
    <definedName name="OtherIncExp_Note" localSheetId="17">#REF!</definedName>
    <definedName name="OtherIncExp_Note">#REF!</definedName>
    <definedName name="OUC" localSheetId="17">#REF!</definedName>
    <definedName name="OUC">#REF!</definedName>
    <definedName name="OUC_AMORTIZATIO" localSheetId="17">#REF!</definedName>
    <definedName name="OUC_AMORTIZATIO">#REF!</definedName>
    <definedName name="Page_8" localSheetId="17">#REF!</definedName>
    <definedName name="Page_8">#REF!</definedName>
    <definedName name="Page1" localSheetId="17">#REF!</definedName>
    <definedName name="Page1">#REF!</definedName>
    <definedName name="PAGE10" localSheetId="17">#REF!</definedName>
    <definedName name="PAGE10">#REF!</definedName>
    <definedName name="PAGE1A" localSheetId="17">#REF!</definedName>
    <definedName name="PAGE1A">#REF!</definedName>
    <definedName name="PAGE1C" localSheetId="17">#REF!</definedName>
    <definedName name="PAGE1C">#REF!</definedName>
    <definedName name="PAGE1D" localSheetId="17">#REF!</definedName>
    <definedName name="PAGE1D">#REF!</definedName>
    <definedName name="PAGE1D2" localSheetId="17">#REF!</definedName>
    <definedName name="PAGE1D2">#REF!</definedName>
    <definedName name="Page2" localSheetId="17">#REF!</definedName>
    <definedName name="Page2">#REF!</definedName>
    <definedName name="PAGE2A" localSheetId="17">#REF!</definedName>
    <definedName name="PAGE2A">#REF!</definedName>
    <definedName name="PAGE2B" localSheetId="17">#REF!</definedName>
    <definedName name="PAGE2B">#REF!</definedName>
    <definedName name="PAGE4A" localSheetId="17">#REF!</definedName>
    <definedName name="PAGE4A">#REF!</definedName>
    <definedName name="PAGE4AWS" localSheetId="17">#REF!</definedName>
    <definedName name="PAGE4AWS">#REF!</definedName>
    <definedName name="PAGE4B" localSheetId="17">#REF!</definedName>
    <definedName name="PAGE4B">#REF!</definedName>
    <definedName name="PAGE4C" localSheetId="17">#REF!</definedName>
    <definedName name="PAGE4C">#REF!</definedName>
    <definedName name="PAGE4D" localSheetId="17">#REF!</definedName>
    <definedName name="PAGE4D">#REF!</definedName>
    <definedName name="PAGE6" localSheetId="17">#REF!</definedName>
    <definedName name="PAGE6">#REF!</definedName>
    <definedName name="PAGE7" localSheetId="17">#REF!</definedName>
    <definedName name="PAGE7">#REF!</definedName>
    <definedName name="PAGE8" localSheetId="17">#REF!</definedName>
    <definedName name="PAGE8">#REF!</definedName>
    <definedName name="PAGE9" localSheetId="17">#REF!</definedName>
    <definedName name="PAGE9">#REF!</definedName>
    <definedName name="PagePrint" localSheetId="17">#REF!</definedName>
    <definedName name="PagePrint">#REF!</definedName>
    <definedName name="Par_Act" localSheetId="17">#REF!</definedName>
    <definedName name="Par_Act">#REF!</definedName>
    <definedName name="Par_Bud" localSheetId="17">#REF!</definedName>
    <definedName name="Par_Bud">#REF!</definedName>
    <definedName name="PE_C_MO" localSheetId="17">#REF!</definedName>
    <definedName name="PE_C_MO">#REF!</definedName>
    <definedName name="PE_C_QTR" localSheetId="17">#REF!</definedName>
    <definedName name="PE_C_QTR">#REF!</definedName>
    <definedName name="PE_C_YTD" localSheetId="17">#REF!</definedName>
    <definedName name="PE_C_YTD">#REF!</definedName>
    <definedName name="PE_CPYIS" localSheetId="17">#REF!</definedName>
    <definedName name="PE_CPYIS" localSheetId="18">'[1]PEC Income Stmt'!#REF!</definedName>
    <definedName name="PE_CPYIS" localSheetId="4">'[1]PEC Income Stmt'!#REF!</definedName>
    <definedName name="PE_CPYIS">#REF!</definedName>
    <definedName name="PEOPLES" localSheetId="16">#REF!</definedName>
    <definedName name="PEOPLES" localSheetId="17">#REF!</definedName>
    <definedName name="PEOPLES" localSheetId="18">#REF!</definedName>
    <definedName name="PEOPLES">#REF!</definedName>
    <definedName name="Period">#REF!</definedName>
    <definedName name="PG_13_OF16" localSheetId="16">#REF!</definedName>
    <definedName name="PG_13_OF16" localSheetId="17">#REF!</definedName>
    <definedName name="PG_13_OF16">#REF!</definedName>
    <definedName name="PG_15_OF_16" localSheetId="16">#REF!</definedName>
    <definedName name="PG_15_OF_16" localSheetId="17">#REF!</definedName>
    <definedName name="PG_15_OF_16">#REF!</definedName>
    <definedName name="PG_16_OF_16" localSheetId="16">#REF!</definedName>
    <definedName name="PG_16_OF_16" localSheetId="17">#REF!</definedName>
    <definedName name="PG_16_OF_16">#REF!</definedName>
    <definedName name="PG_8_OF_16" localSheetId="17">#REF!</definedName>
    <definedName name="PG_8_OF_16">#REF!</definedName>
    <definedName name="PG4ABUD" localSheetId="17">#REF!</definedName>
    <definedName name="PG4ABUD">#REF!</definedName>
    <definedName name="PGIII_10" localSheetId="17">#REF!</definedName>
    <definedName name="PGIII_10">#REF!</definedName>
    <definedName name="PGIII_11" localSheetId="17">#REF!</definedName>
    <definedName name="PGIII_11">#REF!</definedName>
    <definedName name="PGIII_12" localSheetId="17">#REF!</definedName>
    <definedName name="PGIII_12">#REF!</definedName>
    <definedName name="PGIII_13" localSheetId="17">#REF!</definedName>
    <definedName name="PGIII_13">#REF!</definedName>
    <definedName name="PGIII_14" localSheetId="17">#REF!</definedName>
    <definedName name="PGIII_14">#REF!</definedName>
    <definedName name="PGIII_15" localSheetId="17">#REF!</definedName>
    <definedName name="PGIII_15">#REF!</definedName>
    <definedName name="PGIII_1A" localSheetId="17">#REF!</definedName>
    <definedName name="PGIII_1A">#REF!</definedName>
    <definedName name="PGIII_2" localSheetId="17">#REF!</definedName>
    <definedName name="PGIII_2">#REF!</definedName>
    <definedName name="PGIII_3" localSheetId="17">#REF!</definedName>
    <definedName name="PGIII_3">#REF!</definedName>
    <definedName name="PGIII_4" localSheetId="17">#REF!</definedName>
    <definedName name="PGIII_4">#REF!</definedName>
    <definedName name="PGIII_5" localSheetId="17">#REF!</definedName>
    <definedName name="PGIII_5">#REF!</definedName>
    <definedName name="PGIII_6" localSheetId="17">#REF!</definedName>
    <definedName name="PGIII_6">#REF!</definedName>
    <definedName name="PGIII_7" localSheetId="17">#REF!</definedName>
    <definedName name="PGIII_7">#REF!</definedName>
    <definedName name="PGIII_8" localSheetId="17">#REF!</definedName>
    <definedName name="PGIII_8">#REF!</definedName>
    <definedName name="PGIII_9" localSheetId="17">#REF!</definedName>
    <definedName name="PGIII_9">#REF!</definedName>
    <definedName name="PKDH">#REF!</definedName>
    <definedName name="PLANBOOK" localSheetId="17">#REF!</definedName>
    <definedName name="PLANBOOK">#REF!</definedName>
    <definedName name="PLANBOOK_CF1" localSheetId="16">#REF!</definedName>
    <definedName name="PLANBOOK_CF1" localSheetId="17">#REF!</definedName>
    <definedName name="PLANBOOK_CF1">#REF!</definedName>
    <definedName name="PLANBOOK_CF2" localSheetId="16">#REF!</definedName>
    <definedName name="PLANBOOK_CF2" localSheetId="17">#REF!</definedName>
    <definedName name="PLANBOOK_CF2">#REF!</definedName>
    <definedName name="PLANBOOK_CF3" localSheetId="17">#REF!</definedName>
    <definedName name="PLANBOOK_CF3">#REF!</definedName>
    <definedName name="PLANBSP1" localSheetId="17">#REF!</definedName>
    <definedName name="PLANBSP1">#REF!</definedName>
    <definedName name="PLANBSP2" localSheetId="17">#REF!</definedName>
    <definedName name="PLANBSP2">#REF!</definedName>
    <definedName name="PLANCAPS" localSheetId="17">#REF!</definedName>
    <definedName name="PLANCAPS">#REF!</definedName>
    <definedName name="PLANCFP3" localSheetId="17">#REF!</definedName>
    <definedName name="PLANCFP3">#REF!</definedName>
    <definedName name="PLANCFP4" localSheetId="17">#REF!</definedName>
    <definedName name="PLANCFP4">#REF!</definedName>
    <definedName name="PLANCFP5" localSheetId="17">#REF!</definedName>
    <definedName name="PLANCFP5">#REF!</definedName>
    <definedName name="PLANCFP6" localSheetId="17">#REF!</definedName>
    <definedName name="PLANCFP6">#REF!</definedName>
    <definedName name="PLANCFP7" localSheetId="17">#REF!</definedName>
    <definedName name="PLANCFP7">#REF!</definedName>
    <definedName name="PLANIS" localSheetId="17">#REF!</definedName>
    <definedName name="PLANIS">#REF!</definedName>
    <definedName name="PLANISP1" localSheetId="17">#REF!</definedName>
    <definedName name="PLANISP1">#REF!</definedName>
    <definedName name="PLANISP2" localSheetId="17">#REF!</definedName>
    <definedName name="PLANISP2">#REF!</definedName>
    <definedName name="PLANISP3" localSheetId="17">#REF!</definedName>
    <definedName name="PLANISP3">#REF!</definedName>
    <definedName name="PLine1" localSheetId="17">#REF!</definedName>
    <definedName name="PLine1" localSheetId="10">[14]Sheet1!$B$8</definedName>
    <definedName name="PLine1" localSheetId="18">[14]Sheet1!$B$8</definedName>
    <definedName name="PLine1" localSheetId="4">[14]Sheet1!$B$8</definedName>
    <definedName name="PLine1">#REF!</definedName>
    <definedName name="PLine2" localSheetId="17">#REF!</definedName>
    <definedName name="PLine2" localSheetId="10">[14]Sheet1!$B$9</definedName>
    <definedName name="PLine2" localSheetId="18">[14]Sheet1!$B$9</definedName>
    <definedName name="PLine2" localSheetId="4">[14]Sheet1!$B$9</definedName>
    <definedName name="PLine2">#REF!</definedName>
    <definedName name="PLine3" localSheetId="17">#REF!</definedName>
    <definedName name="PLine3" localSheetId="10">[14]Sheet1!$B$10</definedName>
    <definedName name="PLine3" localSheetId="18">[14]Sheet1!$B$10</definedName>
    <definedName name="PLine3" localSheetId="4">[14]Sheet1!$B$10</definedName>
    <definedName name="PLine3">#REF!</definedName>
    <definedName name="PLine4" localSheetId="17">#REF!</definedName>
    <definedName name="PLine4" localSheetId="10">[14]Sheet1!$B$11</definedName>
    <definedName name="PLine4" localSheetId="18">[14]Sheet1!$B$11</definedName>
    <definedName name="PLine4" localSheetId="4">[14]Sheet1!$B$11</definedName>
    <definedName name="PLine4">#REF!</definedName>
    <definedName name="PLNQTBS1" localSheetId="16">#REF!</definedName>
    <definedName name="PLNQTBS1" localSheetId="17">#REF!</definedName>
    <definedName name="PLNQTBS1" localSheetId="18">#REF!</definedName>
    <definedName name="PLNQTBS1">#REF!</definedName>
    <definedName name="PLNQTBS2" localSheetId="16">#REF!</definedName>
    <definedName name="PLNQTBS2" localSheetId="17">#REF!</definedName>
    <definedName name="PLNQTBS2">#REF!</definedName>
    <definedName name="PMTAX" localSheetId="16">#REF!</definedName>
    <definedName name="PMTAX" localSheetId="17">#REF!</definedName>
    <definedName name="PMTAX">#REF!</definedName>
    <definedName name="PP_51004" localSheetId="18">'[3]51004'!$A$1:$AV$1000</definedName>
    <definedName name="PP_51004" localSheetId="4">'[3]51004'!$A$1:$AV$1000</definedName>
    <definedName name="PP_51004">#REF!</definedName>
    <definedName name="PP_51004_CB" localSheetId="18">'[3]51004 CB'!$A$1:$AV$1000</definedName>
    <definedName name="PP_51004_CB" localSheetId="4">'[3]51004 CB'!$A$1:$AV$1000</definedName>
    <definedName name="PP_51004_CB">#REF!</definedName>
    <definedName name="PP_51004_NO" localSheetId="18">'[3]51004 Non Oper'!$A$1:$AV$1000</definedName>
    <definedName name="PP_51004_NO" localSheetId="4">'[3]51004 Non Oper'!$A$1:$AV$1000</definedName>
    <definedName name="PP_51004_NO">#REF!</definedName>
    <definedName name="PP_51004_NO_CB" localSheetId="18">'[3]51004 Non Oper CB'!$A$1:$AV$1000</definedName>
    <definedName name="PP_51004_NO_CB" localSheetId="4">'[3]51004 Non Oper CB'!$A$1:$AV$1000</definedName>
    <definedName name="PP_51004_NO_CB">#REF!</definedName>
    <definedName name="PP_51024" localSheetId="18">'[3]51024'!$A$1:$AV$1000</definedName>
    <definedName name="PP_51024" localSheetId="4">'[3]51024'!$A$1:$AV$1000</definedName>
    <definedName name="PP_51024">#REF!</definedName>
    <definedName name="PP_51024_CB" localSheetId="18">'[3]51024 CB'!$A$1:$AV$1000</definedName>
    <definedName name="PP_51024_CB" localSheetId="4">'[3]51024 CB'!$A$1:$AV$1000</definedName>
    <definedName name="PP_51024_CB">#REF!</definedName>
    <definedName name="PP_51052" localSheetId="18">'[3]51052'!$A$1:$AW$1000</definedName>
    <definedName name="PP_51052" localSheetId="4">'[3]51052'!$A$1:$AW$1000</definedName>
    <definedName name="PP_51052">#REF!</definedName>
    <definedName name="PP_51052_CB" localSheetId="18">'[3]51052 CB'!$A$1:$AV$1000</definedName>
    <definedName name="PP_51052_CB" localSheetId="4">'[3]51052 CB'!$A$1:$AV$1000</definedName>
    <definedName name="PP_51052_CB">#REF!</definedName>
    <definedName name="PP_51052_No_FT" localSheetId="18">'[3]51052 act 2820610 no Flowthr'!$A$1:$AV$999</definedName>
    <definedName name="PP_51052_No_FT" localSheetId="4">'[3]51052 act 2820610 no Flowthr'!$A$1:$AV$999</definedName>
    <definedName name="PP_51052_No_FT">#REF!</definedName>
    <definedName name="PP_51052_No_FT_CB" localSheetId="18">'[3]51052 act 2820610 no Flowthr CB'!$A$1:$AV$1000</definedName>
    <definedName name="PP_51052_No_FT_CB" localSheetId="4">'[3]51052 act 2820610 no Flowthr CB'!$A$1:$AV$1000</definedName>
    <definedName name="PP_51052_No_FT_CB">#REF!</definedName>
    <definedName name="PP_54530" localSheetId="18">'[3]54530'!$A$1:$AV$1000</definedName>
    <definedName name="PP_54530" localSheetId="4">'[3]54530'!$A$1:$AV$1000</definedName>
    <definedName name="PP_54530">#REF!</definedName>
    <definedName name="PP_54530_CB" localSheetId="18">'[3]54530 CB'!$A$1:$AV$1000</definedName>
    <definedName name="PP_54530_CB" localSheetId="4">'[3]54530 CB'!$A$1:$AV$1000</definedName>
    <definedName name="PP_54530_CB">#REF!</definedName>
    <definedName name="PP_ACCT_BAL" localSheetId="18">'[3]51040'!$A$6:$E$500</definedName>
    <definedName name="PP_ACCT_BAL" localSheetId="4">'[3]51040'!$A$6:$E$500</definedName>
    <definedName name="PP_ACCT_BAL">#REF!</definedName>
    <definedName name="PP_ACCT_BAL_CB" localSheetId="18">'[3]51040 CB'!$A$6:$E$500</definedName>
    <definedName name="PP_ACCT_BAL_CB" localSheetId="4">'[3]51040 CB'!$A$6:$E$500</definedName>
    <definedName name="PP_ACCT_BAL_CB">#REF!</definedName>
    <definedName name="PPE" localSheetId="16">#REF!</definedName>
    <definedName name="PPE" localSheetId="17">#REF!</definedName>
    <definedName name="PPE" localSheetId="18">#REF!</definedName>
    <definedName name="PPE">#REF!</definedName>
    <definedName name="PRESBSA1" localSheetId="17">#REF!</definedName>
    <definedName name="PRESBSA1" localSheetId="18">#REF!</definedName>
    <definedName name="PRESBSA1">#REF!</definedName>
    <definedName name="PRESBSA2" localSheetId="17">#REF!</definedName>
    <definedName name="PRESBSA2" localSheetId="18">#REF!</definedName>
    <definedName name="PRESBSA2">#REF!</definedName>
    <definedName name="PRESCFLW" localSheetId="17">#REF!</definedName>
    <definedName name="PRESCFLW">#REF!</definedName>
    <definedName name="PRINT" localSheetId="17">#REF!</definedName>
    <definedName name="PRINT">#REF!</definedName>
    <definedName name="PRINT_2Q" localSheetId="17">#REF!</definedName>
    <definedName name="PRINT_2Q">#REF!</definedName>
    <definedName name="PRINT_3Q" localSheetId="17">#REF!</definedName>
    <definedName name="PRINT_3Q">#REF!</definedName>
    <definedName name="PRINT_4Q" localSheetId="17">#REF!</definedName>
    <definedName name="PRINT_4Q">#REF!</definedName>
    <definedName name="_xlnm.Print_Area" localSheetId="15">'2023A Sch 1of3'!$B$2:$T$58,'2023A Sch 1of3'!$B$63:$T$119</definedName>
    <definedName name="_xlnm.Print_Area" localSheetId="16">'2024B Sch 1of3'!$A$1:$T$59,'2024B Sch 1of3'!$A$62:$T$120</definedName>
    <definedName name="_xlnm.Print_Area" localSheetId="17">'2025B Sch 1of3'!$A$1:$T$59,'2025B Sch 1of3'!$A$62:$T$120</definedName>
    <definedName name="_xlnm.Print_Area" localSheetId="0">'B-1'!$A$1:$S$51</definedName>
    <definedName name="_xlnm.Print_Area" localSheetId="10">'B-17'!$A$1:$S$156</definedName>
    <definedName name="_xlnm.Print_Area" localSheetId="1">'B-2'!$A$1:$R$52</definedName>
    <definedName name="_xlnm.Print_Area" localSheetId="3">'B-3'!$A$1:$T$162</definedName>
    <definedName name="_xlnm.Print_Area" localSheetId="18">'B-3 2022'!$A$1:$T$161</definedName>
    <definedName name="_xlnm.Print_Area" localSheetId="4">'B-4'!$A$1:$S$162</definedName>
    <definedName name="_xlnm.Print_Area" localSheetId="5">'B-5'!$A$1:$S$51</definedName>
    <definedName name="_xlnm.Print_Area" localSheetId="6">'B-5 (detailed)'!$A$1:$S$108</definedName>
    <definedName name="_xlnm.Print_Area" localSheetId="2">'B-6'!$A$1:$S$545</definedName>
    <definedName name="_xlnm.Print_Area">#REF!</definedName>
    <definedName name="Print_Area1" localSheetId="17">#REF!</definedName>
    <definedName name="Print_Area1" localSheetId="18">#REF!</definedName>
    <definedName name="Print_Area1" localSheetId="4">#REF!</definedName>
    <definedName name="Print_Area1">#REF!</definedName>
    <definedName name="PRINT_COMPANIES" localSheetId="17">#REF!</definedName>
    <definedName name="PRINT_COMPANIES">#REF!</definedName>
    <definedName name="PRINT_INPUT" localSheetId="17">#REF!</definedName>
    <definedName name="PRINT_INPUT">#REF!</definedName>
    <definedName name="PRINT_TECO" localSheetId="17">#REF!</definedName>
    <definedName name="PRINT_TECO">#REF!</definedName>
    <definedName name="PrintRangeC1" localSheetId="17">#REF!</definedName>
    <definedName name="PrintRangeC1">#REF!</definedName>
    <definedName name="PYBS" localSheetId="17">#REF!</definedName>
    <definedName name="PYBS">#REF!</definedName>
    <definedName name="PYEGYASSTS" localSheetId="17">#REF!</definedName>
    <definedName name="PYEGYASSTS">#REF!</definedName>
    <definedName name="PYEGYLIABS" localSheetId="17">#REF!</definedName>
    <definedName name="PYEGYLIABS">#REF!</definedName>
    <definedName name="PYISWP" localSheetId="17">#REF!</definedName>
    <definedName name="PYISWP">#REF!</definedName>
    <definedName name="PYVAR" localSheetId="17">#REF!</definedName>
    <definedName name="PYVAR">#REF!</definedName>
    <definedName name="Q1F" localSheetId="18">'[3]2018 Q1F'!$A$1:$N$153</definedName>
    <definedName name="Q1F" localSheetId="4">'[3]2018 Q1F'!$A$1:$N$153</definedName>
    <definedName name="Q1F">#REF!</definedName>
    <definedName name="Q3F" localSheetId="18">'[3]2018 Q3F'!$A$1:$N$155</definedName>
    <definedName name="Q3F" localSheetId="4">'[3]2018 Q3F'!$A$1:$N$155</definedName>
    <definedName name="Q3F">#REF!</definedName>
    <definedName name="QTD" localSheetId="16">#REF!</definedName>
    <definedName name="QTD" localSheetId="17">#REF!</definedName>
    <definedName name="QTD" localSheetId="18">#REF!</definedName>
    <definedName name="QTD">#REF!</definedName>
    <definedName name="QTR_GWH_SALES" localSheetId="17">#REF!</definedName>
    <definedName name="QTR_GWH_SALES" localSheetId="18">#REF!</definedName>
    <definedName name="QTR_GWH_SALES">#REF!</definedName>
    <definedName name="QTRREVAN" localSheetId="17">#REF!</definedName>
    <definedName name="QTRREVAN" localSheetId="18">#REF!</definedName>
    <definedName name="QTRREVAN">#REF!</definedName>
    <definedName name="REFORECAST_1" localSheetId="17">#REF!</definedName>
    <definedName name="REFORECAST_1" localSheetId="18">'[19]OOR PRESENT.'!#REF!</definedName>
    <definedName name="REFORECAST_1" localSheetId="4">'[19]OOR PRESENT.'!#REF!</definedName>
    <definedName name="REFORECAST_1">#REF!</definedName>
    <definedName name="REFORECAST_2" localSheetId="17">#REF!</definedName>
    <definedName name="REFORECAST_2" localSheetId="18">'[19]OOR PRESENT.'!#REF!</definedName>
    <definedName name="REFORECAST_2" localSheetId="4">'[19]OOR PRESENT.'!#REF!</definedName>
    <definedName name="REFORECAST_2">#REF!</definedName>
    <definedName name="REFORECAST_3" localSheetId="17">#REF!</definedName>
    <definedName name="REFORECAST_3" localSheetId="18">'[19]OOR PRESENT.'!#REF!</definedName>
    <definedName name="REFORECAST_3" localSheetId="4">'[19]OOR PRESENT.'!#REF!</definedName>
    <definedName name="REFORECAST_3">#REF!</definedName>
    <definedName name="REFORECAST_4" localSheetId="17">#REF!</definedName>
    <definedName name="REFORECAST_4" localSheetId="18">'[19]OOR PRESENT.'!#REF!</definedName>
    <definedName name="REFORECAST_4" localSheetId="4">'[19]OOR PRESENT.'!#REF!</definedName>
    <definedName name="REFORECAST_4">#REF!</definedName>
    <definedName name="REFORECAST_5" localSheetId="17">#REF!</definedName>
    <definedName name="REFORECAST_5" localSheetId="18">'[19]OOR PRESENT.'!#REF!</definedName>
    <definedName name="REFORECAST_5" localSheetId="4">'[19]OOR PRESENT.'!#REF!</definedName>
    <definedName name="REFORECAST_5">#REF!</definedName>
    <definedName name="REFORECASTYEAR" localSheetId="17">#REF!</definedName>
    <definedName name="REFORECASTYEAR">#REF!</definedName>
    <definedName name="REGTAX" localSheetId="16">#REF!</definedName>
    <definedName name="REGTAX" localSheetId="17">#REF!</definedName>
    <definedName name="REGTAX" localSheetId="18">#REF!</definedName>
    <definedName name="REGTAX">#REF!</definedName>
    <definedName name="RESERVES">#REF!</definedName>
    <definedName name="RETAIL_PG9_OF_16" localSheetId="16">#REF!</definedName>
    <definedName name="RETAIL_PG9_OF_16" localSheetId="17">#REF!</definedName>
    <definedName name="RETAIL_PG9_OF_16">#REF!</definedName>
    <definedName name="rev153data" localSheetId="16">#REF!</definedName>
    <definedName name="rev153data" localSheetId="17">#REF!</definedName>
    <definedName name="rev153data">#REF!</definedName>
    <definedName name="rev451data" localSheetId="16">#REF!</definedName>
    <definedName name="rev451data" localSheetId="17">#REF!</definedName>
    <definedName name="rev451data">#REF!</definedName>
    <definedName name="REVEXPRECON" localSheetId="17">#REF!</definedName>
    <definedName name="REVEXPRECON">#REF!</definedName>
    <definedName name="REVIEW" localSheetId="17">#REF!</definedName>
    <definedName name="REVIEW">#REF!</definedName>
    <definedName name="sally" localSheetId="17">#REF!</definedName>
    <definedName name="sally" localSheetId="18">[20]UPDATES!$A$6</definedName>
    <definedName name="sally" localSheetId="4">[20]UPDATES!$A$6</definedName>
    <definedName name="sally">#REF!</definedName>
    <definedName name="ScheduleData" localSheetId="18">[21]Schedules!$C$3:$G$102</definedName>
    <definedName name="ScheduleData" localSheetId="4">[21]Schedules!$C$3:$G$102</definedName>
    <definedName name="ScheduleData">#REF!</definedName>
    <definedName name="SEPJE">#REF!</definedName>
    <definedName name="SEPJE2">#REF!</definedName>
    <definedName name="SEPJE3">#REF!</definedName>
    <definedName name="sepret" localSheetId="17">#REF!</definedName>
    <definedName name="sepret">#REF!</definedName>
    <definedName name="sepwhlfpc" localSheetId="17">#REF!</definedName>
    <definedName name="sepwhlfpc">#REF!</definedName>
    <definedName name="sepwhlftm" localSheetId="17">#REF!</definedName>
    <definedName name="sepwhlftm">#REF!</definedName>
    <definedName name="sepwhlstc" localSheetId="17">#REF!</definedName>
    <definedName name="sepwhlstc">#REF!</definedName>
    <definedName name="sepwhlwau" localSheetId="17">#REF!</definedName>
    <definedName name="sepwhlwau">#REF!</definedName>
    <definedName name="SUMMARY" localSheetId="16">#REF!</definedName>
    <definedName name="SUMMARY" localSheetId="17">#REF!</definedName>
    <definedName name="SUMMARY" localSheetId="18">#REF!</definedName>
    <definedName name="SUMMARY">#REF!</definedName>
    <definedName name="SUPRESS" localSheetId="16">#REF!</definedName>
    <definedName name="SUPRESS" localSheetId="17">#REF!</definedName>
    <definedName name="SUPRESS">#REF!</definedName>
    <definedName name="SUPRESS2" localSheetId="16">#REF!</definedName>
    <definedName name="SUPRESS2" localSheetId="17">#REF!</definedName>
    <definedName name="SUPRESS2">#REF!</definedName>
    <definedName name="SURV" localSheetId="15">'[22]SURV ACCOUNTS'!$A$1:$C$65536</definedName>
    <definedName name="SURV" localSheetId="17">#REF!</definedName>
    <definedName name="SURV" localSheetId="18">'[23]SURV ACCOUNTS'!$A$1:$C$65536</definedName>
    <definedName name="SURV" localSheetId="4">'[23]SURV ACCOUNTS'!$A$1:$C$65536</definedName>
    <definedName name="SURV">#REF!</definedName>
    <definedName name="SURVEY" localSheetId="16">#REF!</definedName>
    <definedName name="SURVEY" localSheetId="17">#REF!</definedName>
    <definedName name="SURVEY" localSheetId="18">#REF!</definedName>
    <definedName name="SURVEY">#REF!</definedName>
    <definedName name="T_T" localSheetId="18">'[3]2018 10+2'!$A$1:$N$153</definedName>
    <definedName name="T_T" localSheetId="4">'[3]2018 10+2'!$A$1:$N$153</definedName>
    <definedName name="T_T">#REF!</definedName>
    <definedName name="TABLE" localSheetId="16">#REF!</definedName>
    <definedName name="TABLE" localSheetId="17">#REF!</definedName>
    <definedName name="TABLE" localSheetId="18">#REF!</definedName>
    <definedName name="TABLE">#REF!</definedName>
    <definedName name="TAMPA_ELECTRIC__COMPANY">"MARWHLFPC"</definedName>
    <definedName name="TAXRATE" localSheetId="16">#REF!</definedName>
    <definedName name="TAXRATE" localSheetId="17">#REF!</definedName>
    <definedName name="TAXRATE" localSheetId="18">#REF!</definedName>
    <definedName name="TAXRATE" localSheetId="4">#REF!</definedName>
    <definedName name="TAXRATE">#REF!</definedName>
    <definedName name="TAXUP" localSheetId="16">#REF!</definedName>
    <definedName name="TAXUP" localSheetId="17">#REF!</definedName>
    <definedName name="TAXUP">#REF!</definedName>
    <definedName name="TAXWSHT" localSheetId="16">#REF!</definedName>
    <definedName name="TAXWSHT" localSheetId="17">#REF!</definedName>
    <definedName name="TAXWSHT">#REF!</definedName>
    <definedName name="TBRR" localSheetId="17">#REF!</definedName>
    <definedName name="TBRR">#REF!</definedName>
    <definedName name="TBRRBUD" localSheetId="17">#REF!</definedName>
    <definedName name="TBRRBUD">#REF!</definedName>
    <definedName name="TECO_TRANSPORT" localSheetId="17">#REF!</definedName>
    <definedName name="TECO_TRANSPORT">#REF!</definedName>
    <definedName name="TEFIS99" localSheetId="17">#REF!</definedName>
    <definedName name="TEFIS99">#REF!</definedName>
    <definedName name="TITLE_CELL" localSheetId="17">#REF!</definedName>
    <definedName name="TITLE_CELL">#REF!</definedName>
    <definedName name="TMPV_Act" localSheetId="17">#REF!</definedName>
    <definedName name="TMPV_Act">#REF!</definedName>
    <definedName name="TMPV_Bud" localSheetId="17">#REF!</definedName>
    <definedName name="TMPV_Bud">#REF!</definedName>
    <definedName name="Tolerance">#REF!</definedName>
    <definedName name="TPS_EXT" localSheetId="16">#REF!</definedName>
    <definedName name="TPS_EXT" localSheetId="17">#REF!</definedName>
    <definedName name="TPS_EXT">#REF!</definedName>
    <definedName name="TPSGO_Act" localSheetId="16">#REF!</definedName>
    <definedName name="TPSGO_Act" localSheetId="17">#REF!</definedName>
    <definedName name="TPSGO_Act">#REF!</definedName>
    <definedName name="TPSGO_Bud" localSheetId="16">#REF!</definedName>
    <definedName name="TPSGO_Bud" localSheetId="17">#REF!</definedName>
    <definedName name="TPSGO_Bud">#REF!</definedName>
    <definedName name="TPSNETINC" localSheetId="17">#REF!</definedName>
    <definedName name="TPSNETINC">#REF!</definedName>
    <definedName name="TPSOPINC" localSheetId="17">#REF!</definedName>
    <definedName name="TPSOPINC">#REF!</definedName>
    <definedName name="Transmission_Infrastructure_Inspections" localSheetId="17">#REF!</definedName>
    <definedName name="Transmission_Infrastructure_Inspections">#REF!</definedName>
    <definedName name="Trial_Balance_2019_Actuals">#REF!</definedName>
    <definedName name="TRUEUP" localSheetId="17">#REF!</definedName>
    <definedName name="TRUEUP">#REF!</definedName>
    <definedName name="TSS_CM" localSheetId="17">#REF!</definedName>
    <definedName name="TSS_CM">#REF!</definedName>
    <definedName name="TSS_YTD" localSheetId="17">#REF!</definedName>
    <definedName name="TSS_YTD">#REF!</definedName>
    <definedName name="TTT" localSheetId="16">#REF!</definedName>
    <definedName name="TTT" localSheetId="17">#REF!</definedName>
    <definedName name="TTT">#REF!</definedName>
    <definedName name="TWO" localSheetId="17">#REF!</definedName>
    <definedName name="TWO">#REF!</definedName>
    <definedName name="UPDATED" localSheetId="17">#REF!</definedName>
    <definedName name="UPDATED" localSheetId="18">[24]Input!$B$3</definedName>
    <definedName name="UPDATED" localSheetId="4">[24]Input!$B$3</definedName>
    <definedName name="UPDATED">#REF!</definedName>
    <definedName name="VEHDEPWT" localSheetId="16">#REF!</definedName>
    <definedName name="VEHDEPWT" localSheetId="17">#REF!</definedName>
    <definedName name="VEHDEPWT" localSheetId="18">#REF!</definedName>
    <definedName name="VEHDEPWT">#REF!</definedName>
    <definedName name="VPOOR98F" localSheetId="17">#REF!</definedName>
    <definedName name="VPOOR98F">#REF!</definedName>
    <definedName name="VPOOR99" localSheetId="17">#REF!</definedName>
    <definedName name="VPOOR99">#REF!</definedName>
    <definedName name="WHSL" localSheetId="16">#REF!</definedName>
    <definedName name="WHSL" localSheetId="17">#REF!</definedName>
    <definedName name="WHSL">#REF!</definedName>
    <definedName name="WHSL100_" localSheetId="16">#REF!</definedName>
    <definedName name="WHSL100_" localSheetId="17">#REF!</definedName>
    <definedName name="WHSL100_">#REF!</definedName>
    <definedName name="WHSLDEFERRED" localSheetId="17">#REF!</definedName>
    <definedName name="WHSLDEFERRED">#REF!</definedName>
    <definedName name="WKS_BUDCASHFLOW" localSheetId="17">#REF!</definedName>
    <definedName name="WKS_BUDCASHFLOW">#REF!</definedName>
    <definedName name="WKS_CMCASHFLOW" localSheetId="17">#REF!</definedName>
    <definedName name="WKS_CMCASHFLOW">#REF!</definedName>
    <definedName name="WKS_CMYTDVEHDEP" localSheetId="17">#REF!</definedName>
    <definedName name="WKS_CMYTDVEHDEP">#REF!</definedName>
    <definedName name="WKS_PMBUDCASHFL" localSheetId="17">#REF!</definedName>
    <definedName name="WKS_PMBUDCASHFL">#REF!</definedName>
    <definedName name="WKS_PMCASHFLO" localSheetId="17">#REF!</definedName>
    <definedName name="WKS_PMCASHFLO">#REF!</definedName>
    <definedName name="WKS_PMCMCASHFLO" localSheetId="17">#REF!</definedName>
    <definedName name="WKS_PMCMCASHFLO">#REF!</definedName>
    <definedName name="WKS_PMYTDCASHFL" localSheetId="17">#REF!</definedName>
    <definedName name="WKS_PMYTDCASHFL">#REF!</definedName>
    <definedName name="WKS_PMYTDVEHDP" localSheetId="17">#REF!</definedName>
    <definedName name="WKS_PMYTDVEHDP">#REF!</definedName>
    <definedName name="WKS_YTDCASHFLOW" localSheetId="17">#REF!</definedName>
    <definedName name="WKS_YTDCASHFLOW">#REF!</definedName>
    <definedName name="WORK_PROJECT_DESCRIPTION" localSheetId="17">#REF!</definedName>
    <definedName name="WORK_PROJECT_DESCRIPTION" localSheetId="18">[24]Working!$AE:$AE</definedName>
    <definedName name="WORK_PROJECT_DESCRIPTION" localSheetId="4">[24]Working!$AE:$AE</definedName>
    <definedName name="WORK_PROJECT_DESCRIPTION">#REF!</definedName>
    <definedName name="WORK_TOTAL" localSheetId="17">#REF!</definedName>
    <definedName name="WORK_TOTAL" localSheetId="18">[24]Working!$X:$X</definedName>
    <definedName name="WORK_TOTAL" localSheetId="4">[24]Working!$X:$X</definedName>
    <definedName name="WORK_TOTAL">#REF!</definedName>
    <definedName name="WORK_YEAR" localSheetId="17">#REF!</definedName>
    <definedName name="WORK_YEAR" localSheetId="18">[24]Working!$K:$K</definedName>
    <definedName name="WORK_YEAR" localSheetId="4">[24]Working!$K:$K</definedName>
    <definedName name="WORK_YEAR">#REF!</definedName>
    <definedName name="wrn.Print." localSheetId="16" hidden="1">{"Page 1",#N/A,FALSE,"INDSDUE2";"Page 2",#N/A,FALSE,"INDSDUE2"}</definedName>
    <definedName name="wrn.Print." localSheetId="17" hidden="1">{"Page 1",#N/A,FALSE,"INDSDUE2";"Page 2",#N/A,FALSE,"INDSDUE2"}</definedName>
    <definedName name="wrn.Print." localSheetId="10" hidden="1">{"Page 1",#N/A,FALSE,"INDSDUE2";"Page 2",#N/A,FALSE,"INDSDUE2"}</definedName>
    <definedName name="wrn.Print." localSheetId="18" hidden="1">{"Page 1",#N/A,FALSE,"INDSDUE2";"Page 2",#N/A,FALSE,"INDSDUE2"}</definedName>
    <definedName name="wrn.Print." localSheetId="4" hidden="1">{"Page 1",#N/A,FALSE,"INDSDUE2";"Page 2",#N/A,FALSE,"INDSDUE2"}</definedName>
    <definedName name="wrn.Print." hidden="1">{"Page 1",#N/A,FALSE,"INDSDUE2";"Page 2",#N/A,FALSE,"INDSDUE2"}</definedName>
    <definedName name="YTD" localSheetId="17">#REF!</definedName>
    <definedName name="YTD" localSheetId="18">#REF!</definedName>
    <definedName name="YTD" localSheetId="4">#REF!</definedName>
    <definedName name="YTD">#REF!</definedName>
    <definedName name="YTD_GWH_SALES" localSheetId="17">#REF!</definedName>
    <definedName name="YTD_GWH_SALES" localSheetId="18">#REF!</definedName>
    <definedName name="YTD_GWH_SALES">#REF!</definedName>
    <definedName name="YTD_NCE" localSheetId="17">#REF!</definedName>
    <definedName name="YTD_NCE">#REF!</definedName>
    <definedName name="YTD_Summary" localSheetId="17">#REF!</definedName>
    <definedName name="YTD_Summary">#REF!</definedName>
    <definedName name="YTDACT" localSheetId="16">'[1]Page 1'!#REF!</definedName>
    <definedName name="YTDACT" localSheetId="17">#REF!</definedName>
    <definedName name="YTDACT" localSheetId="18">'[1]Page 1'!#REF!</definedName>
    <definedName name="YTDACT" localSheetId="4">'[1]Page 1'!#REF!</definedName>
    <definedName name="YTDACT">#REF!</definedName>
    <definedName name="YTDBUD" localSheetId="16">'[1]Page 1'!#REF!</definedName>
    <definedName name="YTDBUD" localSheetId="17">#REF!</definedName>
    <definedName name="YTDBUD" localSheetId="18">'[1]Page 1'!#REF!</definedName>
    <definedName name="YTDBUD" localSheetId="4">'[1]Page 1'!#REF!</definedName>
    <definedName name="YTDBUD">#REF!</definedName>
    <definedName name="Z_04C50DBC_5ECC_4DCB_8D72_95A5786BB5CD_.wvu.PrintArea" localSheetId="6" hidden="1">'B-5 (detailed)'!$A$1:$V$116</definedName>
    <definedName name="Z_83CAFB33_E752_4756_A19E_93B2B1EDA1A9_.wvu.PrintArea" localSheetId="6" hidden="1">'B-5 (detailed)'!$A$1:$S$108</definedName>
    <definedName name="Z_83CAFB33_E752_4756_A19E_93B2B1EDA1A9_.wvu.Rows" localSheetId="6" hidden="1">'B-5 (detailed)'!$1:$2</definedName>
    <definedName name="Z_DFE28E2B_16B9_4BF5_B508_32ADF7E10C38_.wvu.PrintArea" localSheetId="6" hidden="1">'B-5 (detailed)'!$A$1:$S$108</definedName>
    <definedName name="Z_DFE28E2B_16B9_4BF5_B508_32ADF7E10C38_.wvu.Rows" localSheetId="6" hidden="1">'B-5 (detailed)'!$1:$2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27" i="36" l="1"/>
  <c r="Q226" i="36"/>
  <c r="Q225" i="36"/>
  <c r="Q173" i="36"/>
  <c r="Q172" i="36"/>
  <c r="Q171" i="36"/>
  <c r="Q119" i="36"/>
  <c r="Q118" i="36"/>
  <c r="Q117" i="36"/>
  <c r="Q64" i="36"/>
  <c r="Q63" i="36"/>
  <c r="Q62" i="36"/>
  <c r="Q8" i="36"/>
  <c r="Q7" i="36"/>
  <c r="Q6" i="36"/>
  <c r="Q499" i="36"/>
  <c r="Q498" i="36"/>
  <c r="Q497" i="36"/>
  <c r="Q445" i="36"/>
  <c r="Q444" i="36"/>
  <c r="Q443" i="36"/>
  <c r="Q391" i="36"/>
  <c r="Q390" i="36"/>
  <c r="Q389" i="36"/>
  <c r="Q336" i="36"/>
  <c r="Q335" i="36"/>
  <c r="Q334" i="36"/>
  <c r="A545" i="36"/>
  <c r="A491" i="36"/>
  <c r="A437" i="36"/>
  <c r="A383" i="36"/>
  <c r="A273" i="36"/>
  <c r="A219" i="36"/>
  <c r="A165" i="36"/>
  <c r="A111" i="36"/>
  <c r="G376" i="36"/>
  <c r="J376" i="36" s="1"/>
  <c r="G375" i="36"/>
  <c r="J375" i="36" s="1"/>
  <c r="G321" i="36"/>
  <c r="G320" i="36"/>
  <c r="J320" i="36" s="1"/>
  <c r="F18" i="30"/>
  <c r="D18" i="30"/>
  <c r="F18" i="2"/>
  <c r="D18" i="2"/>
  <c r="G104" i="36"/>
  <c r="G103" i="36"/>
  <c r="J103" i="36" s="1"/>
  <c r="G37" i="36"/>
  <c r="G53" i="36"/>
  <c r="J53" i="36" s="1"/>
  <c r="G48" i="36"/>
  <c r="J48" i="36" s="1"/>
  <c r="G47" i="36"/>
  <c r="J47" i="36" s="1"/>
  <c r="G348" i="36"/>
  <c r="G346" i="36"/>
  <c r="G357" i="36"/>
  <c r="G380" i="36"/>
  <c r="G377" i="36"/>
  <c r="J377" i="36" s="1"/>
  <c r="G374" i="36"/>
  <c r="J374" i="36" s="1"/>
  <c r="G324" i="36"/>
  <c r="G76" i="36"/>
  <c r="G74" i="36"/>
  <c r="G302" i="36"/>
  <c r="G310" i="36"/>
  <c r="G293" i="36"/>
  <c r="G291" i="36"/>
  <c r="S502" i="37"/>
  <c r="S494" i="37"/>
  <c r="S489" i="37"/>
  <c r="S476" i="37"/>
  <c r="G297" i="36"/>
  <c r="G108" i="36"/>
  <c r="G105" i="36"/>
  <c r="J105" i="36" s="1"/>
  <c r="G85" i="36"/>
  <c r="G46" i="36"/>
  <c r="J46" i="36" s="1"/>
  <c r="G29" i="36"/>
  <c r="G52" i="36" l="1"/>
  <c r="G49" i="36"/>
  <c r="J49" i="36" s="1"/>
  <c r="G20" i="36"/>
  <c r="G18" i="36"/>
  <c r="G24" i="36" l="1"/>
  <c r="G274" i="37"/>
  <c r="J29" i="36"/>
  <c r="G404" i="36"/>
  <c r="G155" i="36" l="1"/>
  <c r="G154" i="36"/>
  <c r="G483" i="36"/>
  <c r="G485" i="36"/>
  <c r="G484" i="36"/>
  <c r="G464" i="36"/>
  <c r="J464" i="36" s="1"/>
  <c r="G463" i="36"/>
  <c r="J463" i="36" s="1"/>
  <c r="G465" i="36"/>
  <c r="J465" i="36" s="1"/>
  <c r="G462" i="36"/>
  <c r="J462" i="36" s="1"/>
  <c r="G412" i="36"/>
  <c r="J412" i="36" s="1"/>
  <c r="G411" i="36"/>
  <c r="J411" i="36" s="1"/>
  <c r="G192" i="36"/>
  <c r="J192" i="36" s="1"/>
  <c r="G212" i="36"/>
  <c r="G193" i="36"/>
  <c r="J193" i="36" s="1"/>
  <c r="G191" i="36"/>
  <c r="J191" i="36" s="1"/>
  <c r="G190" i="36"/>
  <c r="J190" i="36" s="1"/>
  <c r="G140" i="36"/>
  <c r="J140" i="36" s="1"/>
  <c r="G139" i="36"/>
  <c r="J139" i="36" s="1"/>
  <c r="G102" i="36"/>
  <c r="G101" i="36"/>
  <c r="H29" i="19"/>
  <c r="L119" i="19"/>
  <c r="L120" i="19"/>
  <c r="L121" i="19"/>
  <c r="L122" i="19"/>
  <c r="O122" i="19" s="1"/>
  <c r="L123" i="19"/>
  <c r="L124" i="19"/>
  <c r="L125" i="19"/>
  <c r="O125" i="19" s="1"/>
  <c r="L126" i="19"/>
  <c r="O126" i="19" s="1"/>
  <c r="L128" i="19"/>
  <c r="L129" i="19"/>
  <c r="H14" i="19"/>
  <c r="J14" i="19"/>
  <c r="H15" i="19"/>
  <c r="J15" i="19"/>
  <c r="L15" i="19"/>
  <c r="O15" i="19"/>
  <c r="H16" i="19"/>
  <c r="J16" i="19"/>
  <c r="H19" i="19"/>
  <c r="J19" i="19"/>
  <c r="L19" i="19"/>
  <c r="L14" i="19" s="1"/>
  <c r="O19" i="19"/>
  <c r="H20" i="19"/>
  <c r="J20" i="19"/>
  <c r="O20" i="19" s="1"/>
  <c r="L20" i="19"/>
  <c r="H21" i="19"/>
  <c r="J21" i="19"/>
  <c r="L21" i="19"/>
  <c r="O21" i="19"/>
  <c r="H22" i="19"/>
  <c r="J22" i="19"/>
  <c r="O22" i="19" s="1"/>
  <c r="L22" i="19"/>
  <c r="H23" i="19"/>
  <c r="J23" i="19"/>
  <c r="L23" i="19"/>
  <c r="O23" i="19"/>
  <c r="H24" i="19"/>
  <c r="J24" i="19"/>
  <c r="O24" i="19" s="1"/>
  <c r="L24" i="19"/>
  <c r="H25" i="19"/>
  <c r="J25" i="19"/>
  <c r="L25" i="19"/>
  <c r="O25" i="19"/>
  <c r="H26" i="19"/>
  <c r="J26" i="19"/>
  <c r="O26" i="19" s="1"/>
  <c r="L26" i="19"/>
  <c r="H27" i="19"/>
  <c r="J27" i="19"/>
  <c r="L27" i="19"/>
  <c r="O27" i="19"/>
  <c r="H28" i="19"/>
  <c r="J28" i="19"/>
  <c r="O28" i="19" s="1"/>
  <c r="L28" i="19"/>
  <c r="L29" i="19"/>
  <c r="H30" i="19"/>
  <c r="H31" i="19"/>
  <c r="J31" i="19"/>
  <c r="L31" i="19"/>
  <c r="O31" i="19" s="1"/>
  <c r="H32" i="19"/>
  <c r="J32" i="19"/>
  <c r="O32" i="19" s="1"/>
  <c r="L32" i="19"/>
  <c r="H33" i="19"/>
  <c r="J33" i="19"/>
  <c r="L33" i="19"/>
  <c r="O33" i="19" s="1"/>
  <c r="H34" i="19"/>
  <c r="J34" i="19"/>
  <c r="O34" i="19" s="1"/>
  <c r="L34" i="19"/>
  <c r="H35" i="19"/>
  <c r="J35" i="19"/>
  <c r="L35" i="19"/>
  <c r="O35" i="19"/>
  <c r="H36" i="19"/>
  <c r="J36" i="19"/>
  <c r="O36" i="19" s="1"/>
  <c r="L36" i="19"/>
  <c r="H37" i="19"/>
  <c r="J37" i="19"/>
  <c r="L37" i="19"/>
  <c r="O37" i="19"/>
  <c r="H38" i="19"/>
  <c r="J38" i="19"/>
  <c r="O38" i="19" s="1"/>
  <c r="L38" i="19"/>
  <c r="H43" i="19"/>
  <c r="J43" i="19"/>
  <c r="O43" i="19" s="1"/>
  <c r="O47" i="19" s="1"/>
  <c r="L43" i="19"/>
  <c r="H44" i="19"/>
  <c r="J44" i="19"/>
  <c r="L44" i="19"/>
  <c r="O44" i="19"/>
  <c r="H45" i="19"/>
  <c r="J45" i="19"/>
  <c r="O45" i="19" s="1"/>
  <c r="L45" i="19"/>
  <c r="H46" i="19"/>
  <c r="H47" i="19" s="1"/>
  <c r="J46" i="19"/>
  <c r="L46" i="19"/>
  <c r="O46" i="19"/>
  <c r="J47" i="19"/>
  <c r="A53" i="19"/>
  <c r="H53" i="19"/>
  <c r="G54" i="19"/>
  <c r="G55" i="19"/>
  <c r="Q55" i="19"/>
  <c r="G56" i="19"/>
  <c r="Q56" i="19"/>
  <c r="G57" i="19"/>
  <c r="Q57" i="19"/>
  <c r="A58" i="19"/>
  <c r="Q58" i="19"/>
  <c r="H60" i="19"/>
  <c r="J60" i="19"/>
  <c r="H65" i="19"/>
  <c r="J65" i="19"/>
  <c r="O65" i="19" s="1"/>
  <c r="L65" i="19"/>
  <c r="H66" i="19"/>
  <c r="J66" i="19"/>
  <c r="L66" i="19"/>
  <c r="O66" i="19"/>
  <c r="H67" i="19"/>
  <c r="J67" i="19"/>
  <c r="O67" i="19" s="1"/>
  <c r="L67" i="19"/>
  <c r="H68" i="19"/>
  <c r="J68" i="19"/>
  <c r="L68" i="19"/>
  <c r="O68" i="19"/>
  <c r="H69" i="19"/>
  <c r="J69" i="19"/>
  <c r="O69" i="19" s="1"/>
  <c r="L69" i="19"/>
  <c r="H70" i="19"/>
  <c r="J70" i="19"/>
  <c r="L70" i="19"/>
  <c r="O70" i="19"/>
  <c r="H71" i="19"/>
  <c r="J71" i="19"/>
  <c r="O71" i="19" s="1"/>
  <c r="L71" i="19"/>
  <c r="H72" i="19"/>
  <c r="J72" i="19"/>
  <c r="H75" i="19"/>
  <c r="H85" i="19" s="1"/>
  <c r="H95" i="19" s="1"/>
  <c r="J75" i="19"/>
  <c r="O75" i="19" s="1"/>
  <c r="L75" i="19"/>
  <c r="J76" i="19"/>
  <c r="L76" i="19"/>
  <c r="O76" i="19" s="1"/>
  <c r="H77" i="19"/>
  <c r="J77" i="19"/>
  <c r="O77" i="19" s="1"/>
  <c r="L77" i="19"/>
  <c r="H78" i="19"/>
  <c r="J78" i="19"/>
  <c r="L78" i="19"/>
  <c r="O78" i="19"/>
  <c r="H79" i="19"/>
  <c r="J79" i="19"/>
  <c r="O79" i="19" s="1"/>
  <c r="L79" i="19"/>
  <c r="H80" i="19"/>
  <c r="J80" i="19"/>
  <c r="L80" i="19"/>
  <c r="O80" i="19"/>
  <c r="H81" i="19"/>
  <c r="J81" i="19"/>
  <c r="O81" i="19" s="1"/>
  <c r="L81" i="19"/>
  <c r="H82" i="19"/>
  <c r="J82" i="19"/>
  <c r="L82" i="19"/>
  <c r="O82" i="19"/>
  <c r="H83" i="19"/>
  <c r="J83" i="19"/>
  <c r="J85" i="19" s="1"/>
  <c r="L83" i="19"/>
  <c r="H84" i="19"/>
  <c r="J84" i="19"/>
  <c r="L84" i="19"/>
  <c r="O84" i="19"/>
  <c r="H88" i="19"/>
  <c r="J88" i="19"/>
  <c r="L88" i="19"/>
  <c r="O88" i="19"/>
  <c r="H89" i="19"/>
  <c r="J89" i="19"/>
  <c r="O89" i="19" s="1"/>
  <c r="L89" i="19"/>
  <c r="H90" i="19"/>
  <c r="J90" i="19"/>
  <c r="O90" i="19" s="1"/>
  <c r="L90" i="19"/>
  <c r="H91" i="19"/>
  <c r="J91" i="19"/>
  <c r="O91" i="19" s="1"/>
  <c r="L91" i="19"/>
  <c r="H92" i="19"/>
  <c r="A104" i="19"/>
  <c r="Q104" i="19"/>
  <c r="A105" i="19"/>
  <c r="H105" i="19"/>
  <c r="G106" i="19"/>
  <c r="G107" i="19"/>
  <c r="Q107" i="19"/>
  <c r="G108" i="19"/>
  <c r="Q108" i="19"/>
  <c r="G109" i="19"/>
  <c r="Q109" i="19"/>
  <c r="A110" i="19"/>
  <c r="Q110" i="19"/>
  <c r="H112" i="19"/>
  <c r="J112" i="19"/>
  <c r="O119" i="19"/>
  <c r="O120" i="19"/>
  <c r="O121" i="19"/>
  <c r="O123" i="19"/>
  <c r="O124" i="19"/>
  <c r="H130" i="19"/>
  <c r="J30" i="19"/>
  <c r="O128" i="19"/>
  <c r="O129" i="19"/>
  <c r="U132" i="19"/>
  <c r="U136" i="19"/>
  <c r="U138" i="19" s="1"/>
  <c r="V136" i="19"/>
  <c r="V138" i="19" s="1"/>
  <c r="U137" i="19"/>
  <c r="V137" i="19"/>
  <c r="A156" i="19"/>
  <c r="Q156" i="19"/>
  <c r="J12" i="31"/>
  <c r="J18" i="31" s="1"/>
  <c r="J77" i="31" s="1"/>
  <c r="V146" i="31" s="1"/>
  <c r="L12" i="31"/>
  <c r="L18" i="31" s="1"/>
  <c r="J13" i="31"/>
  <c r="L13" i="31"/>
  <c r="J14" i="31"/>
  <c r="L14" i="31"/>
  <c r="J15" i="31"/>
  <c r="L15" i="31"/>
  <c r="J16" i="31"/>
  <c r="L16" i="31"/>
  <c r="J17" i="31"/>
  <c r="L17" i="31"/>
  <c r="J21" i="31"/>
  <c r="L21" i="31"/>
  <c r="L23" i="31" s="1"/>
  <c r="J22" i="31"/>
  <c r="J23" i="31" s="1"/>
  <c r="L22" i="31"/>
  <c r="J26" i="31"/>
  <c r="J45" i="31" s="1"/>
  <c r="L26" i="31"/>
  <c r="J27" i="31"/>
  <c r="L27" i="31"/>
  <c r="L45" i="31" s="1"/>
  <c r="J28" i="31"/>
  <c r="L28" i="31"/>
  <c r="J29" i="31"/>
  <c r="L29" i="31"/>
  <c r="J30" i="31"/>
  <c r="L30" i="31"/>
  <c r="J31" i="31"/>
  <c r="L31" i="31"/>
  <c r="J32" i="31"/>
  <c r="L32" i="31"/>
  <c r="J33" i="31"/>
  <c r="L33" i="31"/>
  <c r="J34" i="31"/>
  <c r="L34" i="31"/>
  <c r="J35" i="31"/>
  <c r="L35" i="31"/>
  <c r="J36" i="31"/>
  <c r="L36" i="31"/>
  <c r="J37" i="31"/>
  <c r="L37" i="31"/>
  <c r="J38" i="31"/>
  <c r="L38" i="31"/>
  <c r="J39" i="31"/>
  <c r="L39" i="31"/>
  <c r="J40" i="31"/>
  <c r="L40" i="31"/>
  <c r="J41" i="31"/>
  <c r="L41" i="31"/>
  <c r="J42" i="31"/>
  <c r="L42" i="31"/>
  <c r="J43" i="31"/>
  <c r="L43" i="31"/>
  <c r="J44" i="31"/>
  <c r="L44" i="31"/>
  <c r="A55" i="31"/>
  <c r="I55" i="31"/>
  <c r="G56" i="31"/>
  <c r="G57" i="31"/>
  <c r="Q57" i="31"/>
  <c r="Q58" i="31"/>
  <c r="Q59" i="31"/>
  <c r="A60" i="31"/>
  <c r="Q60" i="31"/>
  <c r="J64" i="31"/>
  <c r="L64" i="31"/>
  <c r="J67" i="31"/>
  <c r="L67" i="31"/>
  <c r="J68" i="31"/>
  <c r="J75" i="31" s="1"/>
  <c r="L68" i="31"/>
  <c r="J69" i="31"/>
  <c r="L69" i="31"/>
  <c r="J70" i="31"/>
  <c r="L70" i="31"/>
  <c r="J71" i="31"/>
  <c r="L71" i="31"/>
  <c r="J72" i="31"/>
  <c r="L72" i="31"/>
  <c r="J73" i="31"/>
  <c r="L73" i="31"/>
  <c r="J74" i="31"/>
  <c r="L74" i="31"/>
  <c r="L75" i="31"/>
  <c r="J81" i="31"/>
  <c r="L81" i="31"/>
  <c r="L86" i="31" s="1"/>
  <c r="J82" i="31"/>
  <c r="L82" i="31"/>
  <c r="J83" i="31"/>
  <c r="J86" i="31" s="1"/>
  <c r="L83" i="31"/>
  <c r="J84" i="31"/>
  <c r="L84" i="31"/>
  <c r="J85" i="31"/>
  <c r="L85" i="31"/>
  <c r="J90" i="31"/>
  <c r="J93" i="31" s="1"/>
  <c r="L90" i="31"/>
  <c r="L93" i="31" s="1"/>
  <c r="J91" i="31"/>
  <c r="L91" i="31"/>
  <c r="J92" i="31"/>
  <c r="L92" i="31"/>
  <c r="A108" i="31"/>
  <c r="Q108" i="31"/>
  <c r="A109" i="31"/>
  <c r="I109" i="31"/>
  <c r="G110" i="31"/>
  <c r="G111" i="31"/>
  <c r="Q111" i="31"/>
  <c r="Q112" i="31"/>
  <c r="Q113" i="31"/>
  <c r="A114" i="31"/>
  <c r="Q114" i="31"/>
  <c r="J118" i="31"/>
  <c r="L118" i="31"/>
  <c r="J121" i="31"/>
  <c r="J128" i="31" s="1"/>
  <c r="L121" i="31"/>
  <c r="L128" i="31" s="1"/>
  <c r="J122" i="31"/>
  <c r="L122" i="31"/>
  <c r="J123" i="31"/>
  <c r="L123" i="31"/>
  <c r="J124" i="31"/>
  <c r="L124" i="31"/>
  <c r="J125" i="31"/>
  <c r="L125" i="31"/>
  <c r="J126" i="31"/>
  <c r="L126" i="31"/>
  <c r="J127" i="31"/>
  <c r="L127" i="31"/>
  <c r="J131" i="31"/>
  <c r="J144" i="31" s="1"/>
  <c r="L131" i="31"/>
  <c r="J132" i="31"/>
  <c r="L132" i="31"/>
  <c r="J133" i="31"/>
  <c r="L133" i="31"/>
  <c r="L144" i="31" s="1"/>
  <c r="J134" i="31"/>
  <c r="L134" i="31"/>
  <c r="J135" i="31"/>
  <c r="L135" i="31"/>
  <c r="J136" i="31"/>
  <c r="L136" i="31"/>
  <c r="J137" i="31"/>
  <c r="L137" i="31"/>
  <c r="J138" i="31"/>
  <c r="L138" i="31"/>
  <c r="J139" i="31"/>
  <c r="L139" i="31"/>
  <c r="J140" i="31"/>
  <c r="L140" i="31"/>
  <c r="J141" i="31"/>
  <c r="L141" i="31"/>
  <c r="J142" i="31"/>
  <c r="L142" i="31"/>
  <c r="J143" i="31"/>
  <c r="L143" i="31"/>
  <c r="V145" i="31"/>
  <c r="W145" i="31"/>
  <c r="J147" i="31"/>
  <c r="L147" i="31"/>
  <c r="J148" i="31"/>
  <c r="L148" i="31"/>
  <c r="J149" i="31"/>
  <c r="L149" i="31"/>
  <c r="J150" i="31"/>
  <c r="L150" i="31"/>
  <c r="V150" i="31"/>
  <c r="W150" i="31"/>
  <c r="J151" i="31"/>
  <c r="L151" i="31"/>
  <c r="J152" i="31"/>
  <c r="L152" i="31"/>
  <c r="J153" i="31"/>
  <c r="L153" i="31"/>
  <c r="J154" i="31"/>
  <c r="L154" i="31"/>
  <c r="J155" i="31"/>
  <c r="L155" i="31"/>
  <c r="J156" i="31"/>
  <c r="L156" i="31"/>
  <c r="J157" i="31"/>
  <c r="L157" i="31"/>
  <c r="A162" i="31"/>
  <c r="Q162" i="31"/>
  <c r="U168" i="31"/>
  <c r="J413" i="36" l="1"/>
  <c r="G466" i="36"/>
  <c r="J466" i="36" s="1"/>
  <c r="J194" i="36"/>
  <c r="G413" i="36"/>
  <c r="G194" i="36"/>
  <c r="J141" i="36"/>
  <c r="G141" i="36"/>
  <c r="H39" i="19"/>
  <c r="H50" i="19" s="1"/>
  <c r="O30" i="19"/>
  <c r="J29" i="19"/>
  <c r="O72" i="19"/>
  <c r="O92" i="19"/>
  <c r="O14" i="19"/>
  <c r="O16" i="19" s="1"/>
  <c r="J130" i="19"/>
  <c r="O127" i="19"/>
  <c r="O130" i="19" s="1"/>
  <c r="U133" i="19" s="1"/>
  <c r="J92" i="19"/>
  <c r="J95" i="19" s="1"/>
  <c r="O83" i="19"/>
  <c r="O85" i="19" s="1"/>
  <c r="O95" i="19" s="1"/>
  <c r="V147" i="31"/>
  <c r="J159" i="31"/>
  <c r="L159" i="31"/>
  <c r="L77" i="31"/>
  <c r="V151" i="31" s="1"/>
  <c r="V152" i="31" s="1"/>
  <c r="M194" i="36" l="1"/>
  <c r="M141" i="36"/>
  <c r="H99" i="19"/>
  <c r="H133" i="19" s="1"/>
  <c r="U139" i="19" s="1"/>
  <c r="J39" i="19"/>
  <c r="J50" i="19" s="1"/>
  <c r="J99" i="19" s="1"/>
  <c r="J133" i="19" s="1"/>
  <c r="V139" i="19" s="1"/>
  <c r="O29" i="19"/>
  <c r="O39" i="19" s="1"/>
  <c r="O50" i="19" s="1"/>
  <c r="O99" i="19" s="1"/>
  <c r="O133" i="19" s="1"/>
  <c r="W151" i="31"/>
  <c r="W152" i="31" s="1"/>
  <c r="L163" i="31"/>
  <c r="W146" i="31"/>
  <c r="W147" i="31" s="1"/>
  <c r="J163" i="31"/>
  <c r="G135" i="36" l="1"/>
  <c r="M212" i="36"/>
  <c r="M213" i="36"/>
  <c r="M214" i="36"/>
  <c r="M211" i="36"/>
  <c r="G214" i="36"/>
  <c r="G213" i="36"/>
  <c r="M401" i="36"/>
  <c r="M402" i="36"/>
  <c r="M403" i="36"/>
  <c r="M404" i="36"/>
  <c r="M400" i="36"/>
  <c r="M407" i="36"/>
  <c r="G407" i="36"/>
  <c r="G486" i="36"/>
  <c r="J486" i="36" s="1"/>
  <c r="J485" i="36"/>
  <c r="J484" i="36"/>
  <c r="G469" i="36"/>
  <c r="J469" i="36" s="1"/>
  <c r="J470" i="36"/>
  <c r="G471" i="36"/>
  <c r="J471" i="36" s="1"/>
  <c r="G472" i="36"/>
  <c r="J472" i="36" s="1"/>
  <c r="G473" i="36"/>
  <c r="J473" i="36" s="1"/>
  <c r="G474" i="36"/>
  <c r="J474" i="36" s="1"/>
  <c r="G475" i="36"/>
  <c r="J475" i="36" s="1"/>
  <c r="G476" i="36"/>
  <c r="J476" i="36" s="1"/>
  <c r="G477" i="36"/>
  <c r="J477" i="36" s="1"/>
  <c r="G478" i="36"/>
  <c r="J478" i="36" s="1"/>
  <c r="G479" i="36"/>
  <c r="J479" i="36" s="1"/>
  <c r="G417" i="36"/>
  <c r="J417" i="36" s="1"/>
  <c r="G418" i="36"/>
  <c r="J418" i="36" s="1"/>
  <c r="G419" i="36"/>
  <c r="J419" i="36" s="1"/>
  <c r="G420" i="36"/>
  <c r="J420" i="36" s="1"/>
  <c r="G421" i="36"/>
  <c r="J421" i="36" s="1"/>
  <c r="G422" i="36"/>
  <c r="J422" i="36" s="1"/>
  <c r="G423" i="36"/>
  <c r="J423" i="36" s="1"/>
  <c r="G424" i="36"/>
  <c r="J424" i="36" s="1"/>
  <c r="G425" i="36"/>
  <c r="J425" i="36" s="1"/>
  <c r="G426" i="36"/>
  <c r="J426" i="36" s="1"/>
  <c r="G427" i="36"/>
  <c r="J427" i="36" s="1"/>
  <c r="G428" i="36"/>
  <c r="J428" i="36" s="1"/>
  <c r="G429" i="36"/>
  <c r="J429" i="36" s="1"/>
  <c r="G430" i="36"/>
  <c r="J430" i="36" s="1"/>
  <c r="G431" i="36"/>
  <c r="J431" i="36" s="1"/>
  <c r="G432" i="36"/>
  <c r="J432" i="36" s="1"/>
  <c r="G433" i="36"/>
  <c r="J433" i="36" s="1"/>
  <c r="G434" i="36"/>
  <c r="J434" i="36" s="1"/>
  <c r="G416" i="36"/>
  <c r="J416" i="36" s="1"/>
  <c r="G456" i="36"/>
  <c r="J456" i="36" s="1"/>
  <c r="G454" i="36"/>
  <c r="J454" i="36" s="1"/>
  <c r="G455" i="36"/>
  <c r="J455" i="36" s="1"/>
  <c r="G453" i="36"/>
  <c r="G403" i="36"/>
  <c r="G402" i="36"/>
  <c r="G401" i="36"/>
  <c r="G400" i="36"/>
  <c r="G211" i="36"/>
  <c r="G197" i="36"/>
  <c r="G198" i="36"/>
  <c r="G199" i="36"/>
  <c r="G200" i="36"/>
  <c r="G201" i="36"/>
  <c r="G202" i="36"/>
  <c r="G203" i="36"/>
  <c r="G204" i="36"/>
  <c r="G205" i="36"/>
  <c r="G206" i="36"/>
  <c r="G207" i="36"/>
  <c r="G184" i="36"/>
  <c r="G182" i="36"/>
  <c r="G183" i="36"/>
  <c r="G181" i="36"/>
  <c r="G145" i="36"/>
  <c r="G146" i="36"/>
  <c r="G147" i="36"/>
  <c r="G148" i="36"/>
  <c r="G149" i="36"/>
  <c r="G150" i="36"/>
  <c r="G151" i="36"/>
  <c r="G152" i="36"/>
  <c r="G153" i="36"/>
  <c r="G156" i="36"/>
  <c r="G157" i="36"/>
  <c r="G158" i="36"/>
  <c r="G159" i="36"/>
  <c r="G160" i="36"/>
  <c r="G161" i="36"/>
  <c r="G162" i="36"/>
  <c r="G144" i="36"/>
  <c r="J101" i="36"/>
  <c r="J102" i="36"/>
  <c r="J104" i="36"/>
  <c r="G94" i="36"/>
  <c r="J94" i="36" s="1"/>
  <c r="G95" i="36"/>
  <c r="J95" i="36" s="1"/>
  <c r="G96" i="36"/>
  <c r="J96" i="36" s="1"/>
  <c r="G97" i="36"/>
  <c r="J97" i="36" s="1"/>
  <c r="G98" i="36"/>
  <c r="J98" i="36" s="1"/>
  <c r="G99" i="36"/>
  <c r="J99" i="36" s="1"/>
  <c r="G100" i="36"/>
  <c r="J100" i="36" s="1"/>
  <c r="G93" i="36"/>
  <c r="G106" i="36" l="1"/>
  <c r="J453" i="36"/>
  <c r="J457" i="36" s="1"/>
  <c r="G457" i="36"/>
  <c r="G185" i="36"/>
  <c r="J402" i="36"/>
  <c r="J404" i="36"/>
  <c r="J400" i="36"/>
  <c r="J403" i="36"/>
  <c r="J93" i="36"/>
  <c r="J106" i="36" s="1"/>
  <c r="J401" i="36"/>
  <c r="J480" i="36"/>
  <c r="J407" i="36"/>
  <c r="J483" i="36"/>
  <c r="M106" i="36" l="1"/>
  <c r="M130" i="36" s="1"/>
  <c r="G132" i="36"/>
  <c r="G131" i="36"/>
  <c r="G130" i="36"/>
  <c r="G129" i="36"/>
  <c r="G128" i="36"/>
  <c r="G82" i="36"/>
  <c r="J82" i="36" s="1"/>
  <c r="G83" i="36"/>
  <c r="J83" i="36" s="1"/>
  <c r="G84" i="36"/>
  <c r="J84" i="36" s="1"/>
  <c r="J85" i="36"/>
  <c r="G86" i="36"/>
  <c r="J86" i="36" s="1"/>
  <c r="G87" i="36"/>
  <c r="J87" i="36" s="1"/>
  <c r="G88" i="36"/>
  <c r="J88" i="36" s="1"/>
  <c r="G89" i="36"/>
  <c r="J89" i="36" s="1"/>
  <c r="G81" i="36"/>
  <c r="J81" i="36" s="1"/>
  <c r="G80" i="36"/>
  <c r="J80" i="36" s="1"/>
  <c r="J75" i="36"/>
  <c r="J76" i="36"/>
  <c r="J74" i="36"/>
  <c r="G71" i="36"/>
  <c r="G372" i="36"/>
  <c r="J372" i="36" s="1"/>
  <c r="G373" i="36"/>
  <c r="J373" i="36" s="1"/>
  <c r="G366" i="36"/>
  <c r="J366" i="36" s="1"/>
  <c r="G367" i="36"/>
  <c r="J367" i="36" s="1"/>
  <c r="G368" i="36"/>
  <c r="J368" i="36" s="1"/>
  <c r="G369" i="36"/>
  <c r="J369" i="36" s="1"/>
  <c r="G370" i="36"/>
  <c r="J370" i="36" s="1"/>
  <c r="G371" i="36"/>
  <c r="J371" i="36" s="1"/>
  <c r="G365" i="36"/>
  <c r="G361" i="36"/>
  <c r="J361" i="36" s="1"/>
  <c r="G352" i="36"/>
  <c r="G360" i="36"/>
  <c r="J360" i="36" s="1"/>
  <c r="G353" i="36"/>
  <c r="G354" i="36"/>
  <c r="J354" i="36" s="1"/>
  <c r="G355" i="36"/>
  <c r="J355" i="36" s="1"/>
  <c r="G356" i="36"/>
  <c r="J356" i="36" s="1"/>
  <c r="J357" i="36"/>
  <c r="G358" i="36"/>
  <c r="J358" i="36" s="1"/>
  <c r="G359" i="36"/>
  <c r="J359" i="36" s="1"/>
  <c r="G343" i="36"/>
  <c r="J37" i="36"/>
  <c r="G45" i="36"/>
  <c r="J45" i="36" s="1"/>
  <c r="G39" i="36"/>
  <c r="J39" i="36" s="1"/>
  <c r="G40" i="36"/>
  <c r="J40" i="36" s="1"/>
  <c r="G41" i="36"/>
  <c r="J41" i="36" s="1"/>
  <c r="G42" i="36"/>
  <c r="J42" i="36" s="1"/>
  <c r="G43" i="36"/>
  <c r="J43" i="36" s="1"/>
  <c r="G44" i="36"/>
  <c r="J44" i="36" s="1"/>
  <c r="G38" i="36"/>
  <c r="G25" i="36"/>
  <c r="J25" i="36" s="1"/>
  <c r="G26" i="36"/>
  <c r="J26" i="36" s="1"/>
  <c r="G27" i="36"/>
  <c r="J27" i="36" s="1"/>
  <c r="G28" i="36"/>
  <c r="J28" i="36" s="1"/>
  <c r="G30" i="36"/>
  <c r="J30" i="36" s="1"/>
  <c r="G31" i="36"/>
  <c r="J31" i="36" s="1"/>
  <c r="G32" i="36"/>
  <c r="J32" i="36" s="1"/>
  <c r="G33" i="36"/>
  <c r="J33" i="36" s="1"/>
  <c r="J24" i="36"/>
  <c r="J19" i="36"/>
  <c r="J20" i="36"/>
  <c r="J18" i="36"/>
  <c r="G15" i="36"/>
  <c r="G50" i="36" l="1"/>
  <c r="G378" i="36"/>
  <c r="J34" i="36"/>
  <c r="J38" i="36"/>
  <c r="J50" i="36" s="1"/>
  <c r="J131" i="36"/>
  <c r="J71" i="36"/>
  <c r="J129" i="36"/>
  <c r="J130" i="36"/>
  <c r="G362" i="36"/>
  <c r="J353" i="36"/>
  <c r="J352" i="36" l="1"/>
  <c r="J362" i="36" s="1"/>
  <c r="J348" i="36"/>
  <c r="J347" i="36"/>
  <c r="J346" i="36"/>
  <c r="J343" i="36"/>
  <c r="J292" i="36"/>
  <c r="Q224" i="36"/>
  <c r="Q223" i="36"/>
  <c r="Q222" i="36"/>
  <c r="P222" i="36"/>
  <c r="Q170" i="36"/>
  <c r="Q169" i="36"/>
  <c r="Q168" i="36"/>
  <c r="P168" i="36"/>
  <c r="Q116" i="36"/>
  <c r="Q115" i="36"/>
  <c r="Q114" i="36"/>
  <c r="P114" i="36"/>
  <c r="Q61" i="36"/>
  <c r="Q60" i="36"/>
  <c r="Q59" i="36"/>
  <c r="P59" i="36"/>
  <c r="G215" i="36"/>
  <c r="J214" i="36"/>
  <c r="J213" i="36"/>
  <c r="J212" i="36"/>
  <c r="J211" i="36"/>
  <c r="J207" i="36"/>
  <c r="J206" i="36"/>
  <c r="J205" i="36"/>
  <c r="J204" i="36"/>
  <c r="J203" i="36"/>
  <c r="J202" i="36"/>
  <c r="J201" i="36"/>
  <c r="J200" i="36"/>
  <c r="J199" i="36"/>
  <c r="J198" i="36"/>
  <c r="J197" i="36"/>
  <c r="J184" i="36"/>
  <c r="J183" i="36"/>
  <c r="J181" i="36"/>
  <c r="J162" i="36"/>
  <c r="J161" i="36"/>
  <c r="J160" i="36"/>
  <c r="J159" i="36"/>
  <c r="J158" i="36"/>
  <c r="J157" i="36"/>
  <c r="J156" i="36"/>
  <c r="J155" i="36"/>
  <c r="J154" i="36"/>
  <c r="J153" i="36"/>
  <c r="J152" i="36"/>
  <c r="J151" i="36"/>
  <c r="J150" i="36"/>
  <c r="J149" i="36"/>
  <c r="J148" i="36"/>
  <c r="J147" i="36"/>
  <c r="J146" i="36"/>
  <c r="J145" i="36"/>
  <c r="J144" i="36"/>
  <c r="A180" i="36"/>
  <c r="A181" i="36" s="1"/>
  <c r="A182" i="36" s="1"/>
  <c r="A183" i="36" s="1"/>
  <c r="A184" i="36" s="1"/>
  <c r="A185" i="36" s="1"/>
  <c r="A186" i="36" s="1"/>
  <c r="A187" i="36" s="1"/>
  <c r="A188" i="36" s="1"/>
  <c r="A189" i="36" s="1"/>
  <c r="A190" i="36" s="1"/>
  <c r="A191" i="36" s="1"/>
  <c r="A192" i="36" s="1"/>
  <c r="A193" i="36" s="1"/>
  <c r="A194" i="36" s="1"/>
  <c r="A195" i="36" s="1"/>
  <c r="A196" i="36" s="1"/>
  <c r="A197" i="36" s="1"/>
  <c r="A198" i="36" s="1"/>
  <c r="A199" i="36" s="1"/>
  <c r="A200" i="36" s="1"/>
  <c r="A201" i="36" s="1"/>
  <c r="A202" i="36" s="1"/>
  <c r="A203" i="36" s="1"/>
  <c r="A204" i="36" s="1"/>
  <c r="A205" i="36" s="1"/>
  <c r="A206" i="36" s="1"/>
  <c r="A207" i="36" s="1"/>
  <c r="A208" i="36" s="1"/>
  <c r="A209" i="36" s="1"/>
  <c r="A210" i="36" s="1"/>
  <c r="A211" i="36" s="1"/>
  <c r="A212" i="36" s="1"/>
  <c r="A213" i="36" s="1"/>
  <c r="A214" i="36" s="1"/>
  <c r="A215" i="36" s="1"/>
  <c r="A216" i="36" s="1"/>
  <c r="J173" i="36"/>
  <c r="G173" i="36"/>
  <c r="A173" i="36"/>
  <c r="A227" i="36" s="1"/>
  <c r="J170" i="36"/>
  <c r="G170" i="36"/>
  <c r="J169" i="36"/>
  <c r="J168" i="36"/>
  <c r="G133" i="36"/>
  <c r="A126" i="36"/>
  <c r="A127" i="36" s="1"/>
  <c r="A128" i="36" s="1"/>
  <c r="A129" i="36" s="1"/>
  <c r="A130" i="36" s="1"/>
  <c r="A131" i="36" s="1"/>
  <c r="A132" i="36" s="1"/>
  <c r="A133" i="36" s="1"/>
  <c r="A134" i="36" s="1"/>
  <c r="A135" i="36" s="1"/>
  <c r="A136" i="36" s="1"/>
  <c r="A137" i="36" s="1"/>
  <c r="A138" i="36" s="1"/>
  <c r="A139" i="36" s="1"/>
  <c r="A140" i="36" s="1"/>
  <c r="A141" i="36" s="1"/>
  <c r="A142" i="36" s="1"/>
  <c r="A143" i="36" s="1"/>
  <c r="A144" i="36" s="1"/>
  <c r="A145" i="36" s="1"/>
  <c r="A146" i="36" s="1"/>
  <c r="A147" i="36" s="1"/>
  <c r="A148" i="36" s="1"/>
  <c r="A149" i="36" s="1"/>
  <c r="A150" i="36" s="1"/>
  <c r="A151" i="36" s="1"/>
  <c r="A152" i="36" s="1"/>
  <c r="A153" i="36" s="1"/>
  <c r="A154" i="36" s="1"/>
  <c r="A155" i="36" s="1"/>
  <c r="A156" i="36" s="1"/>
  <c r="A157" i="36" s="1"/>
  <c r="A158" i="36" s="1"/>
  <c r="A159" i="36" s="1"/>
  <c r="A160" i="36" s="1"/>
  <c r="A161" i="36" s="1"/>
  <c r="A162" i="36" s="1"/>
  <c r="J119" i="36"/>
  <c r="G119" i="36"/>
  <c r="A119" i="36"/>
  <c r="J116" i="36"/>
  <c r="G116" i="36"/>
  <c r="J115" i="36"/>
  <c r="J114" i="36"/>
  <c r="B164" i="36"/>
  <c r="B218" i="36" s="1"/>
  <c r="J90" i="36"/>
  <c r="G90" i="36"/>
  <c r="J77" i="36"/>
  <c r="G77" i="36"/>
  <c r="J64" i="36"/>
  <c r="G64" i="36"/>
  <c r="A64" i="36"/>
  <c r="J61" i="36"/>
  <c r="G61" i="36"/>
  <c r="J60" i="36"/>
  <c r="J59" i="36"/>
  <c r="J21" i="36"/>
  <c r="J15" i="36"/>
  <c r="J52" i="36" l="1"/>
  <c r="M52" i="36" s="1"/>
  <c r="J108" i="36"/>
  <c r="M108" i="36" s="1"/>
  <c r="G109" i="36"/>
  <c r="M90" i="36"/>
  <c r="M77" i="36"/>
  <c r="J215" i="36"/>
  <c r="J163" i="36"/>
  <c r="J208" i="36"/>
  <c r="J182" i="36"/>
  <c r="J185" i="36" s="1"/>
  <c r="G34" i="36"/>
  <c r="G21" i="36"/>
  <c r="G208" i="36"/>
  <c r="G234" i="36" s="1"/>
  <c r="G163" i="36"/>
  <c r="G187" i="36" s="1"/>
  <c r="M21" i="36" l="1"/>
  <c r="M128" i="36" s="1"/>
  <c r="J128" i="36" s="1"/>
  <c r="G54" i="36"/>
  <c r="M163" i="36"/>
  <c r="M208" i="36"/>
  <c r="M185" i="36"/>
  <c r="J187" i="36"/>
  <c r="M215" i="36"/>
  <c r="J234" i="36"/>
  <c r="M234" i="36" s="1"/>
  <c r="M34" i="36"/>
  <c r="M50" i="36"/>
  <c r="M109" i="36"/>
  <c r="M133" i="36" l="1"/>
  <c r="J132" i="36"/>
  <c r="M132" i="36" s="1"/>
  <c r="G125" i="36"/>
  <c r="G288" i="36" l="1"/>
  <c r="J321" i="36"/>
  <c r="G319" i="36"/>
  <c r="J319" i="36" s="1"/>
  <c r="G318" i="36"/>
  <c r="J318" i="36" s="1"/>
  <c r="G311" i="36"/>
  <c r="J311" i="36" s="1"/>
  <c r="G312" i="36"/>
  <c r="J312" i="36" s="1"/>
  <c r="G313" i="36"/>
  <c r="J313" i="36" s="1"/>
  <c r="G314" i="36"/>
  <c r="J314" i="36" s="1"/>
  <c r="G315" i="36"/>
  <c r="J315" i="36" s="1"/>
  <c r="G316" i="36"/>
  <c r="J316" i="36" s="1"/>
  <c r="G317" i="36"/>
  <c r="J317" i="36" s="1"/>
  <c r="J310" i="36"/>
  <c r="G306" i="36"/>
  <c r="J306" i="36" s="1"/>
  <c r="G298" i="36"/>
  <c r="J298" i="36" s="1"/>
  <c r="G299" i="36"/>
  <c r="J299" i="36" s="1"/>
  <c r="G300" i="36"/>
  <c r="J300" i="36" s="1"/>
  <c r="G301" i="36"/>
  <c r="J301" i="36" s="1"/>
  <c r="J302" i="36"/>
  <c r="G303" i="36"/>
  <c r="J303" i="36" s="1"/>
  <c r="G304" i="36"/>
  <c r="J304" i="36" s="1"/>
  <c r="G305" i="36"/>
  <c r="J305" i="36" s="1"/>
  <c r="J288" i="36" l="1"/>
  <c r="G480" i="36"/>
  <c r="J293" i="36"/>
  <c r="J291" i="36"/>
  <c r="G307" i="36" l="1"/>
  <c r="J297" i="36"/>
  <c r="A452" i="36"/>
  <c r="A453" i="36" s="1"/>
  <c r="A454" i="36" s="1"/>
  <c r="A455" i="36" s="1"/>
  <c r="A456" i="36" s="1"/>
  <c r="A457" i="36" s="1"/>
  <c r="A458" i="36" s="1"/>
  <c r="A459" i="36" s="1"/>
  <c r="A460" i="36" s="1"/>
  <c r="A461" i="36" s="1"/>
  <c r="A462" i="36" s="1"/>
  <c r="A463" i="36" s="1"/>
  <c r="A464" i="36" s="1"/>
  <c r="A465" i="36" s="1"/>
  <c r="A466" i="36" s="1"/>
  <c r="A467" i="36" s="1"/>
  <c r="A468" i="36" s="1"/>
  <c r="A469" i="36" s="1"/>
  <c r="A470" i="36" s="1"/>
  <c r="A471" i="36" s="1"/>
  <c r="A472" i="36" s="1"/>
  <c r="A473" i="36" s="1"/>
  <c r="A474" i="36" s="1"/>
  <c r="A475" i="36" s="1"/>
  <c r="A476" i="36" s="1"/>
  <c r="A477" i="36" s="1"/>
  <c r="A478" i="36" s="1"/>
  <c r="A479" i="36" s="1"/>
  <c r="A480" i="36" s="1"/>
  <c r="A481" i="36" s="1"/>
  <c r="A482" i="36" s="1"/>
  <c r="A483" i="36" s="1"/>
  <c r="A484" i="36" s="1"/>
  <c r="A485" i="36" s="1"/>
  <c r="A486" i="36" s="1"/>
  <c r="A487" i="36" s="1"/>
  <c r="A488" i="36" s="1"/>
  <c r="J445" i="36"/>
  <c r="G445" i="36"/>
  <c r="A445" i="36"/>
  <c r="A499" i="36" s="1"/>
  <c r="J442" i="36"/>
  <c r="G442" i="36"/>
  <c r="J441" i="36"/>
  <c r="J440" i="36"/>
  <c r="A398" i="36"/>
  <c r="A399" i="36" s="1"/>
  <c r="A400" i="36" s="1"/>
  <c r="A401" i="36" s="1"/>
  <c r="A402" i="36" s="1"/>
  <c r="A403" i="36" s="1"/>
  <c r="A404" i="36" s="1"/>
  <c r="A405" i="36" s="1"/>
  <c r="A406" i="36" s="1"/>
  <c r="A407" i="36" s="1"/>
  <c r="A408" i="36" s="1"/>
  <c r="A409" i="36" s="1"/>
  <c r="A410" i="36" s="1"/>
  <c r="A411" i="36" s="1"/>
  <c r="A412" i="36" s="1"/>
  <c r="A413" i="36" s="1"/>
  <c r="A414" i="36" s="1"/>
  <c r="A415" i="36" s="1"/>
  <c r="A416" i="36" s="1"/>
  <c r="A417" i="36" s="1"/>
  <c r="A418" i="36" s="1"/>
  <c r="A419" i="36" s="1"/>
  <c r="A420" i="36" s="1"/>
  <c r="A421" i="36" s="1"/>
  <c r="A422" i="36" s="1"/>
  <c r="A423" i="36" s="1"/>
  <c r="A424" i="36" s="1"/>
  <c r="A425" i="36" s="1"/>
  <c r="A426" i="36" s="1"/>
  <c r="A427" i="36" s="1"/>
  <c r="A428" i="36" s="1"/>
  <c r="A429" i="36" s="1"/>
  <c r="A430" i="36" s="1"/>
  <c r="A431" i="36" s="1"/>
  <c r="A432" i="36" s="1"/>
  <c r="A433" i="36" s="1"/>
  <c r="A434" i="36" s="1"/>
  <c r="J391" i="36"/>
  <c r="G391" i="36"/>
  <c r="A391" i="36"/>
  <c r="J388" i="36"/>
  <c r="G388" i="36"/>
  <c r="J387" i="36"/>
  <c r="J386" i="36"/>
  <c r="B382" i="36"/>
  <c r="B436" i="36" s="1"/>
  <c r="B490" i="36" s="1"/>
  <c r="J365" i="36"/>
  <c r="J378" i="36" s="1"/>
  <c r="J336" i="36"/>
  <c r="G336" i="36"/>
  <c r="A336" i="36"/>
  <c r="J333" i="36"/>
  <c r="G333" i="36"/>
  <c r="J332" i="36"/>
  <c r="J331" i="36"/>
  <c r="G294" i="36"/>
  <c r="G322" i="36" l="1"/>
  <c r="G326" i="36" s="1"/>
  <c r="J322" i="36"/>
  <c r="J349" i="36"/>
  <c r="J380" i="36" s="1"/>
  <c r="M380" i="36" s="1"/>
  <c r="J307" i="36"/>
  <c r="G487" i="36"/>
  <c r="G506" i="36" s="1"/>
  <c r="G349" i="36"/>
  <c r="G405" i="36"/>
  <c r="J294" i="36"/>
  <c r="G435" i="36"/>
  <c r="G459" i="36" s="1"/>
  <c r="M480" i="36"/>
  <c r="J435" i="36"/>
  <c r="J324" i="36" l="1"/>
  <c r="M324" i="36" s="1"/>
  <c r="G381" i="36"/>
  <c r="G397" i="36" s="1"/>
  <c r="P160" i="3" l="1"/>
  <c r="A160" i="3"/>
  <c r="P106" i="3"/>
  <c r="A106" i="3"/>
  <c r="A162" i="10"/>
  <c r="S118" i="10"/>
  <c r="R118" i="10"/>
  <c r="Q118" i="10"/>
  <c r="P118" i="10"/>
  <c r="O118" i="10"/>
  <c r="N118" i="10"/>
  <c r="M118" i="10"/>
  <c r="L118" i="10"/>
  <c r="K118" i="10"/>
  <c r="J118" i="10"/>
  <c r="I118" i="10"/>
  <c r="H118" i="10"/>
  <c r="G118" i="10"/>
  <c r="F118" i="10"/>
  <c r="G64" i="10"/>
  <c r="H64" i="10"/>
  <c r="I64" i="10"/>
  <c r="J64" i="10"/>
  <c r="K64" i="10"/>
  <c r="L64" i="10"/>
  <c r="M64" i="10"/>
  <c r="N64" i="10"/>
  <c r="O64" i="10"/>
  <c r="P64" i="10"/>
  <c r="Q64" i="10"/>
  <c r="R64" i="10"/>
  <c r="S64" i="10"/>
  <c r="F64" i="10"/>
  <c r="P89" i="3" l="1"/>
  <c r="P83" i="3"/>
  <c r="P91" i="3" s="1"/>
  <c r="P67" i="3"/>
  <c r="R32" i="3"/>
  <c r="R26" i="3"/>
  <c r="R38" i="3" s="1"/>
  <c r="P14" i="3" l="1"/>
  <c r="G21" i="33"/>
  <c r="H21" i="33"/>
  <c r="I21" i="33"/>
  <c r="J21" i="33"/>
  <c r="K21" i="33"/>
  <c r="L21" i="33"/>
  <c r="M21" i="33"/>
  <c r="N21" i="33"/>
  <c r="O21" i="33"/>
  <c r="P21" i="33"/>
  <c r="Q21" i="33"/>
  <c r="R21" i="33"/>
  <c r="F147" i="33"/>
  <c r="G147" i="33" l="1"/>
  <c r="G146" i="33" s="1"/>
  <c r="H147" i="33"/>
  <c r="H146" i="33" s="1"/>
  <c r="I147" i="33"/>
  <c r="I146" i="33" s="1"/>
  <c r="J147" i="33"/>
  <c r="J146" i="33" s="1"/>
  <c r="K147" i="33"/>
  <c r="K146" i="33" s="1"/>
  <c r="L147" i="33"/>
  <c r="L146" i="33" s="1"/>
  <c r="M147" i="33"/>
  <c r="M146" i="33" s="1"/>
  <c r="N147" i="33"/>
  <c r="N146" i="33" s="1"/>
  <c r="O147" i="33"/>
  <c r="O146" i="33" s="1"/>
  <c r="P147" i="33"/>
  <c r="P146" i="33" s="1"/>
  <c r="Q147" i="33"/>
  <c r="Q146" i="33" s="1"/>
  <c r="R147" i="33"/>
  <c r="R146" i="33" s="1"/>
  <c r="G149" i="33"/>
  <c r="G148" i="33" s="1"/>
  <c r="H149" i="33"/>
  <c r="H148" i="33" s="1"/>
  <c r="I149" i="33"/>
  <c r="I148" i="33" s="1"/>
  <c r="J149" i="33"/>
  <c r="J148" i="33" s="1"/>
  <c r="K149" i="33"/>
  <c r="K148" i="33" s="1"/>
  <c r="L149" i="33"/>
  <c r="L148" i="33" s="1"/>
  <c r="M149" i="33"/>
  <c r="M148" i="33" s="1"/>
  <c r="N149" i="33"/>
  <c r="N148" i="33" s="1"/>
  <c r="O149" i="33"/>
  <c r="O148" i="33" s="1"/>
  <c r="P149" i="33"/>
  <c r="P148" i="33" s="1"/>
  <c r="Q149" i="33"/>
  <c r="Q148" i="33" s="1"/>
  <c r="R149" i="33"/>
  <c r="R148" i="33" s="1"/>
  <c r="G150" i="33"/>
  <c r="H150" i="33"/>
  <c r="I150" i="33"/>
  <c r="J150" i="33"/>
  <c r="K150" i="33"/>
  <c r="L150" i="33"/>
  <c r="M150" i="33"/>
  <c r="N150" i="33"/>
  <c r="O150" i="33"/>
  <c r="P150" i="33"/>
  <c r="Q150" i="33"/>
  <c r="R150" i="33"/>
  <c r="G151" i="33"/>
  <c r="H151" i="33"/>
  <c r="I151" i="33"/>
  <c r="J151" i="33"/>
  <c r="K151" i="33"/>
  <c r="L151" i="33"/>
  <c r="M151" i="33"/>
  <c r="N151" i="33"/>
  <c r="O151" i="33"/>
  <c r="P151" i="33"/>
  <c r="Q151" i="33"/>
  <c r="R151" i="33"/>
  <c r="G152" i="33"/>
  <c r="H152" i="33"/>
  <c r="I152" i="33"/>
  <c r="J152" i="33"/>
  <c r="K152" i="33"/>
  <c r="L152" i="33"/>
  <c r="M152" i="33"/>
  <c r="N152" i="33"/>
  <c r="O152" i="33"/>
  <c r="P152" i="33"/>
  <c r="Q152" i="33"/>
  <c r="R152" i="33"/>
  <c r="G153" i="33"/>
  <c r="H153" i="33"/>
  <c r="I153" i="33"/>
  <c r="J153" i="33"/>
  <c r="K153" i="33"/>
  <c r="L153" i="33"/>
  <c r="M153" i="33"/>
  <c r="N153" i="33"/>
  <c r="O153" i="33"/>
  <c r="P153" i="33"/>
  <c r="Q153" i="33"/>
  <c r="R153" i="33"/>
  <c r="G154" i="33"/>
  <c r="H154" i="33"/>
  <c r="I154" i="33"/>
  <c r="J154" i="33"/>
  <c r="K154" i="33"/>
  <c r="L154" i="33"/>
  <c r="M154" i="33"/>
  <c r="N154" i="33"/>
  <c r="O154" i="33"/>
  <c r="P154" i="33"/>
  <c r="Q154" i="33"/>
  <c r="R154" i="33"/>
  <c r="G155" i="33"/>
  <c r="H155" i="33"/>
  <c r="I155" i="33"/>
  <c r="J155" i="33"/>
  <c r="K155" i="33"/>
  <c r="L155" i="33"/>
  <c r="M155" i="33"/>
  <c r="N155" i="33"/>
  <c r="O155" i="33"/>
  <c r="P155" i="33"/>
  <c r="Q155" i="33"/>
  <c r="R155" i="33"/>
  <c r="G130" i="33"/>
  <c r="H130" i="33"/>
  <c r="I130" i="33"/>
  <c r="J130" i="33"/>
  <c r="K130" i="33"/>
  <c r="L130" i="33"/>
  <c r="M130" i="33"/>
  <c r="N130" i="33"/>
  <c r="O130" i="33"/>
  <c r="P130" i="33"/>
  <c r="Q130" i="33"/>
  <c r="R130" i="33"/>
  <c r="G131" i="33"/>
  <c r="H131" i="33"/>
  <c r="I131" i="33"/>
  <c r="J131" i="33"/>
  <c r="K131" i="33"/>
  <c r="L131" i="33"/>
  <c r="M131" i="33"/>
  <c r="N131" i="33"/>
  <c r="O131" i="33"/>
  <c r="P131" i="33"/>
  <c r="Q131" i="33"/>
  <c r="R131" i="33"/>
  <c r="G132" i="33"/>
  <c r="H132" i="33"/>
  <c r="I132" i="33"/>
  <c r="J132" i="33"/>
  <c r="K132" i="33"/>
  <c r="L132" i="33"/>
  <c r="M132" i="33"/>
  <c r="N132" i="33"/>
  <c r="O132" i="33"/>
  <c r="P132" i="33"/>
  <c r="Q132" i="33"/>
  <c r="R132" i="33"/>
  <c r="G133" i="33"/>
  <c r="H133" i="33"/>
  <c r="I133" i="33"/>
  <c r="J133" i="33"/>
  <c r="K133" i="33"/>
  <c r="L133" i="33"/>
  <c r="M133" i="33"/>
  <c r="N133" i="33"/>
  <c r="O133" i="33"/>
  <c r="P133" i="33"/>
  <c r="Q133" i="33"/>
  <c r="R133" i="33"/>
  <c r="G134" i="33"/>
  <c r="H134" i="33"/>
  <c r="I134" i="33"/>
  <c r="J134" i="33"/>
  <c r="K134" i="33"/>
  <c r="L134" i="33"/>
  <c r="M134" i="33"/>
  <c r="N134" i="33"/>
  <c r="O134" i="33"/>
  <c r="P134" i="33"/>
  <c r="Q134" i="33"/>
  <c r="R134" i="33"/>
  <c r="G136" i="33"/>
  <c r="G135" i="33" s="1"/>
  <c r="H136" i="33"/>
  <c r="H135" i="33" s="1"/>
  <c r="I136" i="33"/>
  <c r="I135" i="33" s="1"/>
  <c r="J136" i="33"/>
  <c r="J135" i="33" s="1"/>
  <c r="K136" i="33"/>
  <c r="K135" i="33" s="1"/>
  <c r="L136" i="33"/>
  <c r="L135" i="33" s="1"/>
  <c r="M136" i="33"/>
  <c r="M135" i="33" s="1"/>
  <c r="N136" i="33"/>
  <c r="N135" i="33" s="1"/>
  <c r="O136" i="33"/>
  <c r="O135" i="33" s="1"/>
  <c r="P136" i="33"/>
  <c r="P135" i="33" s="1"/>
  <c r="Q136" i="33"/>
  <c r="Q135" i="33" s="1"/>
  <c r="R136" i="33"/>
  <c r="R135" i="33" s="1"/>
  <c r="G137" i="33"/>
  <c r="H137" i="33"/>
  <c r="I137" i="33"/>
  <c r="J137" i="33"/>
  <c r="K137" i="33"/>
  <c r="L137" i="33"/>
  <c r="M137" i="33"/>
  <c r="N137" i="33"/>
  <c r="O137" i="33"/>
  <c r="P137" i="33"/>
  <c r="Q137" i="33"/>
  <c r="R137" i="33"/>
  <c r="G138" i="33"/>
  <c r="H138" i="33"/>
  <c r="I138" i="33"/>
  <c r="J138" i="33"/>
  <c r="K138" i="33"/>
  <c r="L138" i="33"/>
  <c r="M138" i="33"/>
  <c r="N138" i="33"/>
  <c r="O138" i="33"/>
  <c r="P138" i="33"/>
  <c r="Q138" i="33"/>
  <c r="R138" i="33"/>
  <c r="G139" i="33"/>
  <c r="H139" i="33"/>
  <c r="I139" i="33"/>
  <c r="J139" i="33"/>
  <c r="K139" i="33"/>
  <c r="L139" i="33"/>
  <c r="M139" i="33"/>
  <c r="N139" i="33"/>
  <c r="O139" i="33"/>
  <c r="P139" i="33"/>
  <c r="Q139" i="33"/>
  <c r="R139" i="33"/>
  <c r="G140" i="33"/>
  <c r="H140" i="33"/>
  <c r="I140" i="33"/>
  <c r="J140" i="33"/>
  <c r="K140" i="33"/>
  <c r="L140" i="33"/>
  <c r="M140" i="33"/>
  <c r="N140" i="33"/>
  <c r="O140" i="33"/>
  <c r="P140" i="33"/>
  <c r="Q140" i="33"/>
  <c r="R140" i="33"/>
  <c r="G141" i="33"/>
  <c r="H141" i="33"/>
  <c r="I141" i="33"/>
  <c r="J141" i="33"/>
  <c r="K141" i="33"/>
  <c r="L141" i="33"/>
  <c r="M141" i="33"/>
  <c r="N141" i="33"/>
  <c r="O141" i="33"/>
  <c r="P141" i="33"/>
  <c r="Q141" i="33"/>
  <c r="R141" i="33"/>
  <c r="G142" i="33"/>
  <c r="H142" i="33"/>
  <c r="I142" i="33"/>
  <c r="J142" i="33"/>
  <c r="K142" i="33"/>
  <c r="L142" i="33"/>
  <c r="M142" i="33"/>
  <c r="N142" i="33"/>
  <c r="O142" i="33"/>
  <c r="P142" i="33"/>
  <c r="Q142" i="33"/>
  <c r="R142" i="33"/>
  <c r="G120" i="33"/>
  <c r="H120" i="33"/>
  <c r="I120" i="33"/>
  <c r="J120" i="33"/>
  <c r="K120" i="33"/>
  <c r="L120" i="33"/>
  <c r="M120" i="33"/>
  <c r="N120" i="33"/>
  <c r="O120" i="33"/>
  <c r="P120" i="33"/>
  <c r="Q120" i="33"/>
  <c r="R120" i="33"/>
  <c r="G121" i="33"/>
  <c r="H121" i="33"/>
  <c r="I121" i="33"/>
  <c r="J121" i="33"/>
  <c r="K121" i="33"/>
  <c r="L121" i="33"/>
  <c r="M121" i="33"/>
  <c r="N121" i="33"/>
  <c r="O121" i="33"/>
  <c r="P121" i="33"/>
  <c r="Q121" i="33"/>
  <c r="R121" i="33"/>
  <c r="G122" i="33"/>
  <c r="H122" i="33"/>
  <c r="I122" i="33"/>
  <c r="J122" i="33"/>
  <c r="K122" i="33"/>
  <c r="L122" i="33"/>
  <c r="M122" i="33"/>
  <c r="N122" i="33"/>
  <c r="O122" i="33"/>
  <c r="P122" i="33"/>
  <c r="Q122" i="33"/>
  <c r="R122" i="33"/>
  <c r="G123" i="33"/>
  <c r="H123" i="33"/>
  <c r="I123" i="33"/>
  <c r="J123" i="33"/>
  <c r="K123" i="33"/>
  <c r="L123" i="33"/>
  <c r="M123" i="33"/>
  <c r="N123" i="33"/>
  <c r="O123" i="33"/>
  <c r="P123" i="33"/>
  <c r="Q123" i="33"/>
  <c r="R123" i="33"/>
  <c r="G124" i="33"/>
  <c r="H124" i="33"/>
  <c r="I124" i="33"/>
  <c r="J124" i="33"/>
  <c r="K124" i="33"/>
  <c r="L124" i="33"/>
  <c r="M124" i="33"/>
  <c r="N124" i="33"/>
  <c r="O124" i="33"/>
  <c r="P124" i="33"/>
  <c r="Q124" i="33"/>
  <c r="R124" i="33"/>
  <c r="G125" i="33"/>
  <c r="H125" i="33"/>
  <c r="I125" i="33"/>
  <c r="J125" i="33"/>
  <c r="K125" i="33"/>
  <c r="L125" i="33"/>
  <c r="M125" i="33"/>
  <c r="N125" i="33"/>
  <c r="O125" i="33"/>
  <c r="P125" i="33"/>
  <c r="Q125" i="33"/>
  <c r="R125" i="33"/>
  <c r="G126" i="33"/>
  <c r="H126" i="33"/>
  <c r="I126" i="33"/>
  <c r="J126" i="33"/>
  <c r="K126" i="33"/>
  <c r="L126" i="33"/>
  <c r="M126" i="33"/>
  <c r="N126" i="33"/>
  <c r="O126" i="33"/>
  <c r="P126" i="33"/>
  <c r="Q126" i="33"/>
  <c r="R126" i="33"/>
  <c r="G89" i="33"/>
  <c r="H89" i="33"/>
  <c r="I89" i="33"/>
  <c r="J89" i="33"/>
  <c r="K89" i="33"/>
  <c r="L89" i="33"/>
  <c r="M89" i="33"/>
  <c r="N89" i="33"/>
  <c r="O89" i="33"/>
  <c r="P89" i="33"/>
  <c r="Q89" i="33"/>
  <c r="R89" i="33"/>
  <c r="G90" i="33"/>
  <c r="H90" i="33"/>
  <c r="I90" i="33"/>
  <c r="J90" i="33"/>
  <c r="K90" i="33"/>
  <c r="L90" i="33"/>
  <c r="M90" i="33"/>
  <c r="N90" i="33"/>
  <c r="O90" i="33"/>
  <c r="P90" i="33"/>
  <c r="Q90" i="33"/>
  <c r="R90" i="33"/>
  <c r="G91" i="33"/>
  <c r="H91" i="33"/>
  <c r="I91" i="33"/>
  <c r="J91" i="33"/>
  <c r="K91" i="33"/>
  <c r="L91" i="33"/>
  <c r="M91" i="33"/>
  <c r="N91" i="33"/>
  <c r="O91" i="33"/>
  <c r="P91" i="33"/>
  <c r="Q91" i="33"/>
  <c r="R91" i="33"/>
  <c r="G80" i="33"/>
  <c r="H80" i="33"/>
  <c r="I80" i="33"/>
  <c r="J80" i="33"/>
  <c r="K80" i="33"/>
  <c r="L80" i="33"/>
  <c r="M80" i="33"/>
  <c r="N80" i="33"/>
  <c r="O80" i="33"/>
  <c r="P80" i="33"/>
  <c r="Q80" i="33"/>
  <c r="R80" i="33"/>
  <c r="G81" i="33"/>
  <c r="H81" i="33"/>
  <c r="I81" i="33"/>
  <c r="J81" i="33"/>
  <c r="K81" i="33"/>
  <c r="L81" i="33"/>
  <c r="M81" i="33"/>
  <c r="N81" i="33"/>
  <c r="O81" i="33"/>
  <c r="P81" i="33"/>
  <c r="Q81" i="33"/>
  <c r="R81" i="33"/>
  <c r="G82" i="33"/>
  <c r="H82" i="33"/>
  <c r="I82" i="33"/>
  <c r="J82" i="33"/>
  <c r="K82" i="33"/>
  <c r="L82" i="33"/>
  <c r="M82" i="33"/>
  <c r="N82" i="33"/>
  <c r="O82" i="33"/>
  <c r="P82" i="33"/>
  <c r="Q82" i="33"/>
  <c r="R82" i="33"/>
  <c r="G83" i="33"/>
  <c r="H83" i="33"/>
  <c r="I83" i="33"/>
  <c r="J83" i="33"/>
  <c r="K83" i="33"/>
  <c r="L83" i="33"/>
  <c r="M83" i="33"/>
  <c r="N83" i="33"/>
  <c r="O83" i="33"/>
  <c r="P83" i="33"/>
  <c r="Q83" i="33"/>
  <c r="R83" i="33"/>
  <c r="G84" i="33"/>
  <c r="H84" i="33"/>
  <c r="I84" i="33"/>
  <c r="J84" i="33"/>
  <c r="K84" i="33"/>
  <c r="L84" i="33"/>
  <c r="M84" i="33"/>
  <c r="N84" i="33"/>
  <c r="O84" i="33"/>
  <c r="P84" i="33"/>
  <c r="Q84" i="33"/>
  <c r="R84" i="33"/>
  <c r="G66" i="33"/>
  <c r="H66" i="33"/>
  <c r="I66" i="33"/>
  <c r="J66" i="33"/>
  <c r="K66" i="33"/>
  <c r="L66" i="33"/>
  <c r="M66" i="33"/>
  <c r="N66" i="33"/>
  <c r="O66" i="33"/>
  <c r="P66" i="33"/>
  <c r="Q66" i="33"/>
  <c r="R66" i="33"/>
  <c r="G68" i="33"/>
  <c r="G67" i="33" s="1"/>
  <c r="H68" i="33"/>
  <c r="H67" i="33" s="1"/>
  <c r="I68" i="33"/>
  <c r="I67" i="33" s="1"/>
  <c r="J68" i="33"/>
  <c r="J67" i="33" s="1"/>
  <c r="K68" i="33"/>
  <c r="K67" i="33" s="1"/>
  <c r="L68" i="33"/>
  <c r="L67" i="33" s="1"/>
  <c r="M68" i="33"/>
  <c r="M67" i="33" s="1"/>
  <c r="N68" i="33"/>
  <c r="N67" i="33" s="1"/>
  <c r="O68" i="33"/>
  <c r="O67" i="33" s="1"/>
  <c r="P68" i="33"/>
  <c r="P67" i="33" s="1"/>
  <c r="Q68" i="33"/>
  <c r="Q67" i="33" s="1"/>
  <c r="R68" i="33"/>
  <c r="R67" i="33" s="1"/>
  <c r="G69" i="33"/>
  <c r="H69" i="33"/>
  <c r="I69" i="33"/>
  <c r="J69" i="33"/>
  <c r="K69" i="33"/>
  <c r="L69" i="33"/>
  <c r="M69" i="33"/>
  <c r="N69" i="33"/>
  <c r="O69" i="33"/>
  <c r="P69" i="33"/>
  <c r="Q69" i="33"/>
  <c r="R69" i="33"/>
  <c r="G70" i="33"/>
  <c r="H70" i="33"/>
  <c r="I70" i="33"/>
  <c r="J70" i="33"/>
  <c r="K70" i="33"/>
  <c r="L70" i="33"/>
  <c r="M70" i="33"/>
  <c r="N70" i="33"/>
  <c r="O70" i="33"/>
  <c r="P70" i="33"/>
  <c r="Q70" i="33"/>
  <c r="R70" i="33"/>
  <c r="G71" i="33"/>
  <c r="H71" i="33"/>
  <c r="I71" i="33"/>
  <c r="J71" i="33"/>
  <c r="K71" i="33"/>
  <c r="L71" i="33"/>
  <c r="M71" i="33"/>
  <c r="N71" i="33"/>
  <c r="O71" i="33"/>
  <c r="P71" i="33"/>
  <c r="Q71" i="33"/>
  <c r="R71" i="33"/>
  <c r="G72" i="33"/>
  <c r="H72" i="33"/>
  <c r="I72" i="33"/>
  <c r="J72" i="33"/>
  <c r="K72" i="33"/>
  <c r="L72" i="33"/>
  <c r="M72" i="33"/>
  <c r="N72" i="33"/>
  <c r="O72" i="33"/>
  <c r="P72" i="33"/>
  <c r="Q72" i="33"/>
  <c r="R72" i="33"/>
  <c r="G73" i="33"/>
  <c r="H73" i="33"/>
  <c r="I73" i="33"/>
  <c r="J73" i="33"/>
  <c r="K73" i="33"/>
  <c r="L73" i="33"/>
  <c r="M73" i="33"/>
  <c r="N73" i="33"/>
  <c r="O73" i="33"/>
  <c r="P73" i="33"/>
  <c r="Q73" i="33"/>
  <c r="R73" i="33"/>
  <c r="G25" i="33"/>
  <c r="H25" i="33"/>
  <c r="I25" i="33"/>
  <c r="J25" i="33"/>
  <c r="K25" i="33"/>
  <c r="L25" i="33"/>
  <c r="M25" i="33"/>
  <c r="N25" i="33"/>
  <c r="O25" i="33"/>
  <c r="P25" i="33"/>
  <c r="Q25" i="33"/>
  <c r="R25" i="33"/>
  <c r="G26" i="33"/>
  <c r="H26" i="33"/>
  <c r="I26" i="33"/>
  <c r="J26" i="33"/>
  <c r="K26" i="33"/>
  <c r="L26" i="33"/>
  <c r="M26" i="33"/>
  <c r="N26" i="33"/>
  <c r="O26" i="33"/>
  <c r="P26" i="33"/>
  <c r="Q26" i="33"/>
  <c r="R26" i="33"/>
  <c r="G27" i="33"/>
  <c r="H27" i="33"/>
  <c r="I27" i="33"/>
  <c r="J27" i="33"/>
  <c r="K27" i="33"/>
  <c r="L27" i="33"/>
  <c r="M27" i="33"/>
  <c r="N27" i="33"/>
  <c r="O27" i="33"/>
  <c r="P27" i="33"/>
  <c r="Q27" i="33"/>
  <c r="R27" i="33"/>
  <c r="G28" i="33"/>
  <c r="H28" i="33"/>
  <c r="I28" i="33"/>
  <c r="J28" i="33"/>
  <c r="K28" i="33"/>
  <c r="L28" i="33"/>
  <c r="M28" i="33"/>
  <c r="N28" i="33"/>
  <c r="O28" i="33"/>
  <c r="P28" i="33"/>
  <c r="Q28" i="33"/>
  <c r="R28" i="33"/>
  <c r="G29" i="33"/>
  <c r="H29" i="33"/>
  <c r="I29" i="33"/>
  <c r="J29" i="33"/>
  <c r="K29" i="33"/>
  <c r="L29" i="33"/>
  <c r="M29" i="33"/>
  <c r="N29" i="33"/>
  <c r="O29" i="33"/>
  <c r="P29" i="33"/>
  <c r="Q29" i="33"/>
  <c r="R29" i="33"/>
  <c r="G30" i="33"/>
  <c r="H30" i="33"/>
  <c r="I30" i="33"/>
  <c r="J30" i="33"/>
  <c r="K30" i="33"/>
  <c r="L30" i="33"/>
  <c r="M30" i="33"/>
  <c r="N30" i="33"/>
  <c r="O30" i="33"/>
  <c r="P30" i="33"/>
  <c r="Q30" i="33"/>
  <c r="R30" i="33"/>
  <c r="G31" i="33"/>
  <c r="H31" i="33"/>
  <c r="I31" i="33"/>
  <c r="J31" i="33"/>
  <c r="K31" i="33"/>
  <c r="L31" i="33"/>
  <c r="M31" i="33"/>
  <c r="N31" i="33"/>
  <c r="O31" i="33"/>
  <c r="P31" i="33"/>
  <c r="Q31" i="33"/>
  <c r="R31" i="33"/>
  <c r="G32" i="33"/>
  <c r="H32" i="33"/>
  <c r="I32" i="33"/>
  <c r="J32" i="33"/>
  <c r="K32" i="33"/>
  <c r="L32" i="33"/>
  <c r="M32" i="33"/>
  <c r="N32" i="33"/>
  <c r="O32" i="33"/>
  <c r="P32" i="33"/>
  <c r="Q32" i="33"/>
  <c r="R32" i="33"/>
  <c r="G33" i="33"/>
  <c r="H33" i="33"/>
  <c r="I33" i="33"/>
  <c r="J33" i="33"/>
  <c r="K33" i="33"/>
  <c r="L33" i="33"/>
  <c r="M33" i="33"/>
  <c r="N33" i="33"/>
  <c r="O33" i="33"/>
  <c r="P33" i="33"/>
  <c r="Q33" i="33"/>
  <c r="R33" i="33"/>
  <c r="G34" i="33"/>
  <c r="H34" i="33"/>
  <c r="I34" i="33"/>
  <c r="J34" i="33"/>
  <c r="K34" i="33"/>
  <c r="L34" i="33"/>
  <c r="M34" i="33"/>
  <c r="N34" i="33"/>
  <c r="O34" i="33"/>
  <c r="P34" i="33"/>
  <c r="Q34" i="33"/>
  <c r="R34" i="33"/>
  <c r="G35" i="33"/>
  <c r="H35" i="33"/>
  <c r="I35" i="33"/>
  <c r="J35" i="33"/>
  <c r="K35" i="33"/>
  <c r="L35" i="33"/>
  <c r="M35" i="33"/>
  <c r="N35" i="33"/>
  <c r="O35" i="33"/>
  <c r="P35" i="33"/>
  <c r="Q35" i="33"/>
  <c r="R35" i="33"/>
  <c r="G36" i="33"/>
  <c r="H36" i="33"/>
  <c r="I36" i="33"/>
  <c r="J36" i="33"/>
  <c r="K36" i="33"/>
  <c r="L36" i="33"/>
  <c r="M36" i="33"/>
  <c r="N36" i="33"/>
  <c r="O36" i="33"/>
  <c r="P36" i="33"/>
  <c r="Q36" i="33"/>
  <c r="R36" i="33"/>
  <c r="G37" i="33"/>
  <c r="H37" i="33"/>
  <c r="I37" i="33"/>
  <c r="J37" i="33"/>
  <c r="K37" i="33"/>
  <c r="L37" i="33"/>
  <c r="M37" i="33"/>
  <c r="N37" i="33"/>
  <c r="O37" i="33"/>
  <c r="P37" i="33"/>
  <c r="Q37" i="33"/>
  <c r="R37" i="33"/>
  <c r="G38" i="33"/>
  <c r="H38" i="33"/>
  <c r="I38" i="33"/>
  <c r="J38" i="33"/>
  <c r="K38" i="33"/>
  <c r="L38" i="33"/>
  <c r="M38" i="33"/>
  <c r="N38" i="33"/>
  <c r="O38" i="33"/>
  <c r="P38" i="33"/>
  <c r="Q38" i="33"/>
  <c r="R38" i="33"/>
  <c r="G39" i="33"/>
  <c r="H39" i="33"/>
  <c r="I39" i="33"/>
  <c r="J39" i="33"/>
  <c r="K39" i="33"/>
  <c r="L39" i="33"/>
  <c r="M39" i="33"/>
  <c r="N39" i="33"/>
  <c r="O39" i="33"/>
  <c r="P39" i="33"/>
  <c r="Q39" i="33"/>
  <c r="R39" i="33"/>
  <c r="G40" i="33"/>
  <c r="H40" i="33"/>
  <c r="I40" i="33"/>
  <c r="J40" i="33"/>
  <c r="K40" i="33"/>
  <c r="L40" i="33"/>
  <c r="M40" i="33"/>
  <c r="N40" i="33"/>
  <c r="O40" i="33"/>
  <c r="P40" i="33"/>
  <c r="Q40" i="33"/>
  <c r="R40" i="33"/>
  <c r="G41" i="33"/>
  <c r="H41" i="33"/>
  <c r="I41" i="33"/>
  <c r="J41" i="33"/>
  <c r="K41" i="33"/>
  <c r="L41" i="33"/>
  <c r="M41" i="33"/>
  <c r="N41" i="33"/>
  <c r="O41" i="33"/>
  <c r="P41" i="33"/>
  <c r="Q41" i="33"/>
  <c r="R41" i="33"/>
  <c r="G42" i="33"/>
  <c r="H42" i="33"/>
  <c r="I42" i="33"/>
  <c r="J42" i="33"/>
  <c r="K42" i="33"/>
  <c r="L42" i="33"/>
  <c r="M42" i="33"/>
  <c r="N42" i="33"/>
  <c r="O42" i="33"/>
  <c r="P42" i="33"/>
  <c r="Q42" i="33"/>
  <c r="R42" i="33"/>
  <c r="G43" i="33"/>
  <c r="H43" i="33"/>
  <c r="I43" i="33"/>
  <c r="J43" i="33"/>
  <c r="K43" i="33"/>
  <c r="L43" i="33"/>
  <c r="M43" i="33"/>
  <c r="N43" i="33"/>
  <c r="O43" i="33"/>
  <c r="P43" i="33"/>
  <c r="Q43" i="33"/>
  <c r="R43" i="33"/>
  <c r="G20" i="33"/>
  <c r="H20" i="33"/>
  <c r="I20" i="33"/>
  <c r="J20" i="33"/>
  <c r="K20" i="33"/>
  <c r="L20" i="33"/>
  <c r="M20" i="33"/>
  <c r="N20" i="33"/>
  <c r="O20" i="33"/>
  <c r="P20" i="33"/>
  <c r="Q20" i="33"/>
  <c r="R20" i="33"/>
  <c r="G16" i="33"/>
  <c r="H16" i="33"/>
  <c r="I16" i="33"/>
  <c r="J16" i="33"/>
  <c r="K16" i="33"/>
  <c r="L16" i="33"/>
  <c r="M16" i="33"/>
  <c r="N16" i="33"/>
  <c r="O16" i="33"/>
  <c r="P16" i="33"/>
  <c r="Q16" i="33"/>
  <c r="R16" i="33"/>
  <c r="R15" i="33"/>
  <c r="Q15" i="33"/>
  <c r="P15" i="33"/>
  <c r="O15" i="33"/>
  <c r="N15" i="33"/>
  <c r="M15" i="33"/>
  <c r="L15" i="33"/>
  <c r="K15" i="33"/>
  <c r="J15" i="33"/>
  <c r="I15" i="33"/>
  <c r="H15" i="33"/>
  <c r="G15" i="33"/>
  <c r="F14" i="33"/>
  <c r="G14" i="33"/>
  <c r="H14" i="33"/>
  <c r="I14" i="33"/>
  <c r="J14" i="33"/>
  <c r="K14" i="33"/>
  <c r="L14" i="33"/>
  <c r="M14" i="33"/>
  <c r="N14" i="33"/>
  <c r="O14" i="33"/>
  <c r="P14" i="33"/>
  <c r="Q14" i="33"/>
  <c r="R14" i="33"/>
  <c r="G13" i="33"/>
  <c r="H13" i="33"/>
  <c r="I13" i="33"/>
  <c r="J13" i="33"/>
  <c r="K13" i="33"/>
  <c r="L13" i="33"/>
  <c r="M13" i="33"/>
  <c r="N13" i="33"/>
  <c r="O13" i="33"/>
  <c r="P13" i="33"/>
  <c r="Q13" i="33"/>
  <c r="R13" i="33"/>
  <c r="F13" i="33"/>
  <c r="F155" i="33"/>
  <c r="S155" i="33" s="1"/>
  <c r="F154" i="33"/>
  <c r="F153" i="33"/>
  <c r="S153" i="33" s="1"/>
  <c r="F152" i="33"/>
  <c r="F151" i="33"/>
  <c r="S151" i="33" s="1"/>
  <c r="F150" i="33"/>
  <c r="F149" i="33"/>
  <c r="F148" i="33" s="1"/>
  <c r="F146" i="33"/>
  <c r="F142" i="33"/>
  <c r="F141" i="33"/>
  <c r="S141" i="33" s="1"/>
  <c r="F140" i="33"/>
  <c r="F139" i="33"/>
  <c r="S139" i="33" s="1"/>
  <c r="F138" i="33"/>
  <c r="S138" i="33" s="1"/>
  <c r="F137" i="33"/>
  <c r="S137" i="33" s="1"/>
  <c r="F136" i="33"/>
  <c r="F135" i="33" s="1"/>
  <c r="F134" i="33"/>
  <c r="S134" i="33" s="1"/>
  <c r="F133" i="33"/>
  <c r="S133" i="33" s="1"/>
  <c r="F132" i="33"/>
  <c r="S132" i="33" s="1"/>
  <c r="F131" i="33"/>
  <c r="S131" i="33" s="1"/>
  <c r="F130" i="33"/>
  <c r="S130" i="33" s="1"/>
  <c r="F126" i="33"/>
  <c r="S126" i="33" s="1"/>
  <c r="F125" i="33"/>
  <c r="S125" i="33" s="1"/>
  <c r="F124" i="33"/>
  <c r="F123" i="33"/>
  <c r="S123" i="33" s="1"/>
  <c r="F122" i="33"/>
  <c r="S122" i="33" s="1"/>
  <c r="F121" i="33"/>
  <c r="S121" i="33" s="1"/>
  <c r="F120" i="33"/>
  <c r="F91" i="33"/>
  <c r="F90" i="33"/>
  <c r="S90" i="33" s="1"/>
  <c r="F89" i="33"/>
  <c r="F84" i="33"/>
  <c r="F83" i="33"/>
  <c r="F82" i="33"/>
  <c r="S82" i="33" s="1"/>
  <c r="F81" i="33"/>
  <c r="F80" i="33"/>
  <c r="F73" i="33"/>
  <c r="F72" i="33"/>
  <c r="S72" i="33" s="1"/>
  <c r="F71" i="33"/>
  <c r="F70" i="33"/>
  <c r="F69" i="33"/>
  <c r="F68" i="33"/>
  <c r="F67" i="33" s="1"/>
  <c r="F66" i="33"/>
  <c r="F43" i="33"/>
  <c r="F42" i="33"/>
  <c r="F41" i="33"/>
  <c r="F40" i="33"/>
  <c r="F39" i="33"/>
  <c r="F38" i="33"/>
  <c r="F37" i="33"/>
  <c r="F36" i="33"/>
  <c r="F35" i="33"/>
  <c r="F34" i="33"/>
  <c r="F33" i="33"/>
  <c r="F32" i="33"/>
  <c r="F31" i="33"/>
  <c r="F30" i="33"/>
  <c r="F29" i="33"/>
  <c r="F28" i="33"/>
  <c r="F27" i="33"/>
  <c r="F26" i="33"/>
  <c r="F25" i="33"/>
  <c r="F21" i="33"/>
  <c r="F20" i="33"/>
  <c r="F16" i="33"/>
  <c r="F15" i="33"/>
  <c r="G12" i="33"/>
  <c r="H12" i="33"/>
  <c r="I12" i="33"/>
  <c r="J12" i="33"/>
  <c r="K12" i="33"/>
  <c r="L12" i="33"/>
  <c r="M12" i="33"/>
  <c r="N12" i="33"/>
  <c r="O12" i="33"/>
  <c r="P12" i="33"/>
  <c r="Q12" i="33"/>
  <c r="R12" i="33"/>
  <c r="F12" i="33"/>
  <c r="G11" i="33"/>
  <c r="H11" i="33"/>
  <c r="I11" i="33"/>
  <c r="J11" i="33"/>
  <c r="K11" i="33"/>
  <c r="L11" i="33"/>
  <c r="M11" i="33"/>
  <c r="N11" i="33"/>
  <c r="O11" i="33"/>
  <c r="P11" i="33"/>
  <c r="Q11" i="33"/>
  <c r="R11" i="33"/>
  <c r="F11" i="33"/>
  <c r="S152" i="33"/>
  <c r="S150" i="33"/>
  <c r="S147" i="33"/>
  <c r="S140" i="33"/>
  <c r="S124" i="33"/>
  <c r="Q127" i="33"/>
  <c r="O127" i="33"/>
  <c r="M127" i="33"/>
  <c r="K127" i="33"/>
  <c r="I127" i="33"/>
  <c r="G127" i="33"/>
  <c r="R113" i="33"/>
  <c r="R112" i="33"/>
  <c r="G112" i="33"/>
  <c r="R111" i="33"/>
  <c r="G111" i="33"/>
  <c r="G110" i="33"/>
  <c r="I109" i="33"/>
  <c r="Q92" i="33"/>
  <c r="O92" i="33"/>
  <c r="M92" i="33"/>
  <c r="K92" i="33"/>
  <c r="I92" i="33"/>
  <c r="G92" i="33"/>
  <c r="S84" i="33"/>
  <c r="S81" i="33"/>
  <c r="Q85" i="33"/>
  <c r="O85" i="33"/>
  <c r="M85" i="33"/>
  <c r="K85" i="33"/>
  <c r="I85" i="33"/>
  <c r="G85" i="33"/>
  <c r="S70" i="33"/>
  <c r="R60" i="33"/>
  <c r="R114" i="33" s="1"/>
  <c r="R59" i="33"/>
  <c r="R58" i="33"/>
  <c r="G58" i="33"/>
  <c r="R57" i="33"/>
  <c r="G57" i="33"/>
  <c r="G56" i="33"/>
  <c r="I55" i="33"/>
  <c r="R44" i="33"/>
  <c r="Q44" i="33"/>
  <c r="P44" i="33"/>
  <c r="O44" i="33"/>
  <c r="N44" i="33"/>
  <c r="M44" i="33"/>
  <c r="L44" i="33"/>
  <c r="K44" i="33"/>
  <c r="J44" i="33"/>
  <c r="I44" i="33"/>
  <c r="H44" i="33"/>
  <c r="G44" i="33"/>
  <c r="N22" i="33"/>
  <c r="J22" i="33"/>
  <c r="H22" i="33"/>
  <c r="R22" i="33"/>
  <c r="P22" i="33"/>
  <c r="L22" i="33"/>
  <c r="F22" i="33"/>
  <c r="I17" i="33" l="1"/>
  <c r="S136" i="33"/>
  <c r="S149" i="33"/>
  <c r="O22" i="33"/>
  <c r="K22" i="33"/>
  <c r="I22" i="33"/>
  <c r="M17" i="33"/>
  <c r="S16" i="33"/>
  <c r="F44" i="33"/>
  <c r="Q22" i="33"/>
  <c r="M22" i="33"/>
  <c r="G22" i="33"/>
  <c r="K17" i="33"/>
  <c r="S21" i="33"/>
  <c r="P17" i="33"/>
  <c r="R74" i="33"/>
  <c r="P74" i="33"/>
  <c r="N74" i="33"/>
  <c r="L74" i="33"/>
  <c r="J74" i="33"/>
  <c r="H74" i="33"/>
  <c r="S83" i="33"/>
  <c r="S91" i="33"/>
  <c r="Q17" i="33"/>
  <c r="S73" i="33"/>
  <c r="S71" i="33"/>
  <c r="S69" i="33"/>
  <c r="Q74" i="33"/>
  <c r="O74" i="33"/>
  <c r="M74" i="33"/>
  <c r="K74" i="33"/>
  <c r="K76" i="33" s="1"/>
  <c r="I74" i="33"/>
  <c r="G74" i="33"/>
  <c r="S142" i="33"/>
  <c r="S154" i="33"/>
  <c r="R156" i="33"/>
  <c r="P156" i="33"/>
  <c r="N156" i="33"/>
  <c r="L156" i="33"/>
  <c r="J156" i="33"/>
  <c r="H156" i="33"/>
  <c r="S146" i="33"/>
  <c r="S68" i="33"/>
  <c r="S13" i="33"/>
  <c r="H17" i="33"/>
  <c r="J17" i="33"/>
  <c r="L17" i="33"/>
  <c r="N17" i="33"/>
  <c r="S67" i="33"/>
  <c r="F74" i="33"/>
  <c r="S135" i="33"/>
  <c r="S14" i="33"/>
  <c r="S15" i="33"/>
  <c r="S26" i="33"/>
  <c r="S27" i="33"/>
  <c r="S28" i="33"/>
  <c r="S29" i="33"/>
  <c r="S30" i="33"/>
  <c r="S31" i="33"/>
  <c r="S32" i="33"/>
  <c r="S33" i="33"/>
  <c r="S34" i="33"/>
  <c r="S35" i="33"/>
  <c r="S36" i="33"/>
  <c r="S37" i="33"/>
  <c r="S38" i="33"/>
  <c r="S39" i="33"/>
  <c r="S40" i="33"/>
  <c r="S41" i="33"/>
  <c r="S42" i="33"/>
  <c r="S43" i="33"/>
  <c r="S80" i="33"/>
  <c r="S85" i="33" s="1"/>
  <c r="H85" i="33"/>
  <c r="J85" i="33"/>
  <c r="L85" i="33"/>
  <c r="N85" i="33"/>
  <c r="P85" i="33"/>
  <c r="R85" i="33"/>
  <c r="H92" i="33"/>
  <c r="J92" i="33"/>
  <c r="L92" i="33"/>
  <c r="N92" i="33"/>
  <c r="P92" i="33"/>
  <c r="R92" i="33"/>
  <c r="S120" i="33"/>
  <c r="S127" i="33" s="1"/>
  <c r="H127" i="33"/>
  <c r="J127" i="33"/>
  <c r="L127" i="33"/>
  <c r="N127" i="33"/>
  <c r="P127" i="33"/>
  <c r="R127" i="33"/>
  <c r="G143" i="33"/>
  <c r="I143" i="33"/>
  <c r="K143" i="33"/>
  <c r="M143" i="33"/>
  <c r="O143" i="33"/>
  <c r="Q143" i="33"/>
  <c r="H143" i="33"/>
  <c r="J143" i="33"/>
  <c r="L143" i="33"/>
  <c r="N143" i="33"/>
  <c r="P143" i="33"/>
  <c r="R143" i="33"/>
  <c r="I156" i="33"/>
  <c r="K156" i="33"/>
  <c r="M156" i="33"/>
  <c r="O156" i="33"/>
  <c r="Q156" i="33"/>
  <c r="S148" i="33"/>
  <c r="R17" i="33"/>
  <c r="O17" i="33"/>
  <c r="O76" i="33" s="1"/>
  <c r="S12" i="33"/>
  <c r="F17" i="33"/>
  <c r="S11" i="33"/>
  <c r="G17" i="33"/>
  <c r="G76" i="33" s="1"/>
  <c r="S20" i="33"/>
  <c r="S22" i="33" s="1"/>
  <c r="S25" i="33"/>
  <c r="S66" i="33"/>
  <c r="S89" i="33"/>
  <c r="S92" i="33" s="1"/>
  <c r="F92" i="33"/>
  <c r="F85" i="33"/>
  <c r="S143" i="33"/>
  <c r="F127" i="33"/>
  <c r="F143" i="33"/>
  <c r="F156" i="33"/>
  <c r="U508" i="32"/>
  <c r="U507" i="32"/>
  <c r="U506" i="32"/>
  <c r="U505" i="32"/>
  <c r="U504" i="32"/>
  <c r="U503" i="32"/>
  <c r="U502" i="32"/>
  <c r="U501" i="32"/>
  <c r="B436" i="32"/>
  <c r="A436" i="32"/>
  <c r="B435" i="32"/>
  <c r="A435" i="32"/>
  <c r="B434" i="32"/>
  <c r="A434" i="32"/>
  <c r="U433" i="32"/>
  <c r="B433" i="32"/>
  <c r="A433" i="32"/>
  <c r="U432" i="32"/>
  <c r="B432" i="32"/>
  <c r="A432" i="32"/>
  <c r="U431" i="32"/>
  <c r="B431" i="32"/>
  <c r="A431" i="32"/>
  <c r="U430" i="32"/>
  <c r="B430" i="32"/>
  <c r="A430" i="32"/>
  <c r="U429" i="32"/>
  <c r="U435" i="32" s="1"/>
  <c r="B429" i="32"/>
  <c r="A429" i="32"/>
  <c r="B428" i="32"/>
  <c r="A428" i="32"/>
  <c r="B427" i="32"/>
  <c r="A427" i="32"/>
  <c r="U426" i="32"/>
  <c r="B426" i="32"/>
  <c r="A426" i="32"/>
  <c r="U425" i="32"/>
  <c r="B425" i="32"/>
  <c r="A425" i="32"/>
  <c r="U424" i="32"/>
  <c r="B424" i="32"/>
  <c r="A424" i="32"/>
  <c r="U423" i="32"/>
  <c r="B423" i="32"/>
  <c r="A423" i="32"/>
  <c r="U422" i="32"/>
  <c r="B422" i="32"/>
  <c r="A422" i="32"/>
  <c r="U421" i="32"/>
  <c r="B421" i="32"/>
  <c r="A421" i="32"/>
  <c r="U420" i="32"/>
  <c r="B420" i="32"/>
  <c r="A420" i="32"/>
  <c r="U419" i="32"/>
  <c r="B419" i="32"/>
  <c r="A419" i="32"/>
  <c r="U418" i="32"/>
  <c r="B418" i="32"/>
  <c r="A418" i="32"/>
  <c r="U417" i="32"/>
  <c r="B417" i="32"/>
  <c r="A417" i="32"/>
  <c r="U416" i="32"/>
  <c r="B416" i="32"/>
  <c r="A416" i="32"/>
  <c r="U415" i="32"/>
  <c r="B415" i="32"/>
  <c r="A415" i="32"/>
  <c r="U414" i="32"/>
  <c r="B414" i="32"/>
  <c r="A414" i="32"/>
  <c r="U413" i="32"/>
  <c r="B413" i="32"/>
  <c r="A413" i="32"/>
  <c r="U412" i="32"/>
  <c r="B412" i="32"/>
  <c r="A412" i="32"/>
  <c r="U411" i="32"/>
  <c r="B411" i="32"/>
  <c r="A411" i="32"/>
  <c r="U410" i="32"/>
  <c r="B410" i="32"/>
  <c r="A410" i="32"/>
  <c r="U409" i="32"/>
  <c r="B409" i="32"/>
  <c r="A409" i="32"/>
  <c r="U408" i="32"/>
  <c r="B408" i="32"/>
  <c r="A408" i="32"/>
  <c r="U407" i="32"/>
  <c r="B407" i="32"/>
  <c r="A407" i="32"/>
  <c r="U406" i="32"/>
  <c r="B406" i="32"/>
  <c r="A406" i="32"/>
  <c r="U405" i="32"/>
  <c r="B405" i="32"/>
  <c r="A405" i="32"/>
  <c r="U404" i="32"/>
  <c r="B404" i="32"/>
  <c r="A404" i="32"/>
  <c r="U403" i="32"/>
  <c r="B403" i="32"/>
  <c r="A403" i="32"/>
  <c r="U402" i="32"/>
  <c r="B402" i="32"/>
  <c r="A402" i="32"/>
  <c r="U401" i="32"/>
  <c r="B401" i="32"/>
  <c r="A401" i="32"/>
  <c r="U400" i="32"/>
  <c r="B400" i="32"/>
  <c r="A400" i="32"/>
  <c r="U399" i="32"/>
  <c r="B399" i="32"/>
  <c r="A399" i="32"/>
  <c r="U398" i="32"/>
  <c r="B398" i="32"/>
  <c r="A398" i="32"/>
  <c r="U397" i="32"/>
  <c r="B397" i="32"/>
  <c r="A397" i="32"/>
  <c r="U396" i="32"/>
  <c r="B396" i="32"/>
  <c r="A396" i="32"/>
  <c r="U395" i="32"/>
  <c r="B395" i="32"/>
  <c r="A395" i="32"/>
  <c r="U394" i="32"/>
  <c r="B394" i="32"/>
  <c r="A394" i="32"/>
  <c r="U393" i="32"/>
  <c r="B393" i="32"/>
  <c r="A393" i="32"/>
  <c r="U392" i="32"/>
  <c r="B392" i="32"/>
  <c r="A392" i="32"/>
  <c r="U391" i="32"/>
  <c r="B391" i="32"/>
  <c r="A391" i="32"/>
  <c r="U390" i="32"/>
  <c r="B390" i="32"/>
  <c r="A390" i="32"/>
  <c r="U389" i="32"/>
  <c r="B389" i="32"/>
  <c r="A389" i="32"/>
  <c r="U388" i="32"/>
  <c r="B388" i="32"/>
  <c r="A388" i="32"/>
  <c r="U387" i="32"/>
  <c r="B387" i="32"/>
  <c r="A387" i="32"/>
  <c r="U386" i="32"/>
  <c r="B386" i="32"/>
  <c r="A386" i="32"/>
  <c r="U385" i="32"/>
  <c r="B385" i="32"/>
  <c r="A385" i="32"/>
  <c r="U384" i="32"/>
  <c r="B384" i="32"/>
  <c r="A384" i="32"/>
  <c r="U383" i="32"/>
  <c r="B383" i="32"/>
  <c r="A383" i="32"/>
  <c r="U382" i="32"/>
  <c r="B382" i="32"/>
  <c r="A382" i="32"/>
  <c r="U381" i="32"/>
  <c r="B381" i="32"/>
  <c r="A381" i="32"/>
  <c r="U380" i="32"/>
  <c r="B380" i="32"/>
  <c r="A380" i="32"/>
  <c r="U379" i="32"/>
  <c r="B379" i="32"/>
  <c r="A379" i="32"/>
  <c r="U378" i="32"/>
  <c r="B378" i="32"/>
  <c r="A378" i="32"/>
  <c r="U377" i="32"/>
  <c r="B377" i="32"/>
  <c r="A377" i="32"/>
  <c r="U376" i="32"/>
  <c r="B376" i="32"/>
  <c r="A376" i="32"/>
  <c r="U375" i="32"/>
  <c r="B375" i="32"/>
  <c r="A375" i="32"/>
  <c r="U374" i="32"/>
  <c r="B374" i="32"/>
  <c r="A374" i="32"/>
  <c r="U373" i="32"/>
  <c r="B373" i="32"/>
  <c r="A373" i="32"/>
  <c r="U372" i="32"/>
  <c r="B372" i="32"/>
  <c r="A372" i="32"/>
  <c r="U371" i="32"/>
  <c r="B371" i="32"/>
  <c r="A371" i="32"/>
  <c r="U370" i="32"/>
  <c r="B370" i="32"/>
  <c r="A370" i="32"/>
  <c r="U369" i="32"/>
  <c r="B369" i="32"/>
  <c r="A369" i="32"/>
  <c r="U368" i="32"/>
  <c r="B368" i="32"/>
  <c r="A368" i="32"/>
  <c r="U367" i="32"/>
  <c r="B367" i="32"/>
  <c r="A367" i="32"/>
  <c r="U366" i="32"/>
  <c r="B366" i="32"/>
  <c r="A366" i="32"/>
  <c r="U365" i="32"/>
  <c r="B365" i="32"/>
  <c r="A365" i="32"/>
  <c r="U364" i="32"/>
  <c r="B364" i="32"/>
  <c r="A364" i="32"/>
  <c r="U363" i="32"/>
  <c r="B363" i="32"/>
  <c r="A363" i="32"/>
  <c r="U362" i="32"/>
  <c r="B362" i="32"/>
  <c r="A362" i="32"/>
  <c r="U361" i="32"/>
  <c r="B361" i="32"/>
  <c r="A361" i="32"/>
  <c r="U360" i="32"/>
  <c r="B360" i="32"/>
  <c r="A360" i="32"/>
  <c r="U359" i="32"/>
  <c r="B359" i="32"/>
  <c r="A359" i="32"/>
  <c r="U358" i="32"/>
  <c r="B358" i="32"/>
  <c r="A358" i="32"/>
  <c r="U357" i="32"/>
  <c r="B357" i="32"/>
  <c r="A357" i="32"/>
  <c r="U356" i="32"/>
  <c r="B356" i="32"/>
  <c r="A356" i="32"/>
  <c r="U355" i="32"/>
  <c r="B355" i="32"/>
  <c r="A355" i="32"/>
  <c r="U354" i="32"/>
  <c r="B354" i="32"/>
  <c r="A354" i="32"/>
  <c r="U353" i="32"/>
  <c r="B353" i="32"/>
  <c r="A353" i="32"/>
  <c r="U352" i="32"/>
  <c r="B352" i="32"/>
  <c r="A352" i="32"/>
  <c r="U351" i="32"/>
  <c r="B351" i="32"/>
  <c r="A351" i="32"/>
  <c r="U350" i="32"/>
  <c r="B350" i="32"/>
  <c r="A350" i="32"/>
  <c r="U349" i="32"/>
  <c r="B349" i="32"/>
  <c r="A349" i="32"/>
  <c r="U348" i="32"/>
  <c r="B348" i="32"/>
  <c r="A348" i="32"/>
  <c r="U347" i="32"/>
  <c r="B347" i="32"/>
  <c r="A347" i="32"/>
  <c r="U346" i="32"/>
  <c r="B346" i="32"/>
  <c r="A346" i="32"/>
  <c r="U345" i="32"/>
  <c r="B345" i="32"/>
  <c r="A345" i="32"/>
  <c r="U344" i="32"/>
  <c r="B344" i="32"/>
  <c r="A344" i="32"/>
  <c r="U343" i="32"/>
  <c r="B343" i="32"/>
  <c r="A343" i="32"/>
  <c r="U342" i="32"/>
  <c r="B342" i="32"/>
  <c r="A342" i="32"/>
  <c r="U341" i="32"/>
  <c r="B341" i="32"/>
  <c r="A341" i="32"/>
  <c r="U340" i="32"/>
  <c r="B340" i="32"/>
  <c r="A340" i="32"/>
  <c r="U339" i="32"/>
  <c r="B339" i="32"/>
  <c r="A339" i="32"/>
  <c r="U338" i="32"/>
  <c r="B338" i="32"/>
  <c r="A338" i="32"/>
  <c r="U337" i="32"/>
  <c r="B337" i="32"/>
  <c r="A337" i="32"/>
  <c r="U336" i="32"/>
  <c r="B336" i="32"/>
  <c r="A336" i="32"/>
  <c r="U335" i="32"/>
  <c r="B335" i="32"/>
  <c r="A335" i="32"/>
  <c r="U334" i="32"/>
  <c r="B334" i="32"/>
  <c r="A334" i="32"/>
  <c r="U333" i="32"/>
  <c r="B333" i="32"/>
  <c r="A333" i="32"/>
  <c r="U332" i="32"/>
  <c r="B332" i="32"/>
  <c r="A332" i="32"/>
  <c r="U331" i="32"/>
  <c r="B331" i="32"/>
  <c r="A331" i="32"/>
  <c r="U330" i="32"/>
  <c r="B330" i="32"/>
  <c r="A330" i="32"/>
  <c r="U329" i="32"/>
  <c r="B329" i="32"/>
  <c r="A329" i="32"/>
  <c r="U328" i="32"/>
  <c r="B328" i="32"/>
  <c r="A328" i="32"/>
  <c r="U327" i="32"/>
  <c r="B327" i="32"/>
  <c r="A327" i="32"/>
  <c r="U326" i="32"/>
  <c r="B326" i="32"/>
  <c r="A326" i="32"/>
  <c r="U325" i="32"/>
  <c r="B325" i="32"/>
  <c r="A325" i="32"/>
  <c r="U324" i="32"/>
  <c r="B324" i="32"/>
  <c r="A324" i="32"/>
  <c r="U323" i="32"/>
  <c r="B323" i="32"/>
  <c r="A323" i="32"/>
  <c r="U322" i="32"/>
  <c r="B322" i="32"/>
  <c r="A322" i="32"/>
  <c r="U321" i="32"/>
  <c r="B321" i="32"/>
  <c r="A321" i="32"/>
  <c r="U320" i="32"/>
  <c r="B320" i="32"/>
  <c r="A320" i="32"/>
  <c r="U319" i="32"/>
  <c r="B319" i="32"/>
  <c r="A319" i="32"/>
  <c r="U318" i="32"/>
  <c r="B318" i="32"/>
  <c r="A318" i="32"/>
  <c r="U317" i="32"/>
  <c r="B317" i="32"/>
  <c r="A317" i="32"/>
  <c r="U316" i="32"/>
  <c r="B316" i="32"/>
  <c r="A316" i="32"/>
  <c r="U315" i="32"/>
  <c r="B315" i="32"/>
  <c r="A315" i="32"/>
  <c r="U314" i="32"/>
  <c r="B314" i="32"/>
  <c r="A314" i="32"/>
  <c r="U313" i="32"/>
  <c r="B313" i="32"/>
  <c r="A313" i="32"/>
  <c r="U312" i="32"/>
  <c r="B312" i="32"/>
  <c r="A312" i="32"/>
  <c r="U311" i="32"/>
  <c r="B311" i="32"/>
  <c r="A311" i="32"/>
  <c r="U310" i="32"/>
  <c r="B310" i="32"/>
  <c r="A310" i="32"/>
  <c r="U309" i="32"/>
  <c r="B309" i="32"/>
  <c r="A309" i="32"/>
  <c r="U308" i="32"/>
  <c r="B308" i="32"/>
  <c r="A308" i="32"/>
  <c r="U307" i="32"/>
  <c r="B307" i="32"/>
  <c r="A307" i="32"/>
  <c r="U306" i="32"/>
  <c r="B306" i="32"/>
  <c r="A306" i="32"/>
  <c r="U305" i="32"/>
  <c r="B305" i="32"/>
  <c r="A305" i="32"/>
  <c r="U304" i="32"/>
  <c r="B304" i="32"/>
  <c r="A304" i="32"/>
  <c r="U303" i="32"/>
  <c r="B303" i="32"/>
  <c r="A303" i="32"/>
  <c r="U302" i="32"/>
  <c r="B302" i="32"/>
  <c r="A302" i="32"/>
  <c r="U301" i="32"/>
  <c r="B301" i="32"/>
  <c r="A301" i="32"/>
  <c r="U300" i="32"/>
  <c r="B300" i="32"/>
  <c r="A300" i="32"/>
  <c r="U299" i="32"/>
  <c r="B299" i="32"/>
  <c r="A299" i="32"/>
  <c r="U298" i="32"/>
  <c r="B298" i="32"/>
  <c r="A298" i="32"/>
  <c r="U297" i="32"/>
  <c r="B297" i="32"/>
  <c r="A297" i="32"/>
  <c r="U296" i="32"/>
  <c r="B296" i="32"/>
  <c r="A296" i="32"/>
  <c r="U295" i="32"/>
  <c r="B295" i="32"/>
  <c r="A295" i="32"/>
  <c r="U294" i="32"/>
  <c r="B294" i="32"/>
  <c r="A294" i="32"/>
  <c r="U293" i="32"/>
  <c r="B293" i="32"/>
  <c r="A293" i="32"/>
  <c r="U292" i="32"/>
  <c r="B292" i="32"/>
  <c r="A292" i="32"/>
  <c r="U291" i="32"/>
  <c r="B291" i="32"/>
  <c r="A291" i="32"/>
  <c r="U290" i="32"/>
  <c r="B290" i="32"/>
  <c r="A290" i="32"/>
  <c r="U289" i="32"/>
  <c r="B289" i="32"/>
  <c r="A289" i="32"/>
  <c r="U288" i="32"/>
  <c r="B288" i="32"/>
  <c r="A288" i="32"/>
  <c r="U287" i="32"/>
  <c r="B287" i="32"/>
  <c r="A287" i="32"/>
  <c r="U286" i="32"/>
  <c r="B286" i="32"/>
  <c r="A286" i="32"/>
  <c r="U285" i="32"/>
  <c r="B285" i="32"/>
  <c r="A285" i="32"/>
  <c r="U284" i="32"/>
  <c r="B284" i="32"/>
  <c r="A284" i="32"/>
  <c r="U283" i="32"/>
  <c r="B283" i="32"/>
  <c r="A283" i="32"/>
  <c r="U282" i="32"/>
  <c r="B282" i="32"/>
  <c r="A282" i="32"/>
  <c r="U281" i="32"/>
  <c r="B281" i="32"/>
  <c r="A281" i="32"/>
  <c r="U280" i="32"/>
  <c r="B280" i="32"/>
  <c r="A280" i="32"/>
  <c r="U279" i="32"/>
  <c r="B279" i="32"/>
  <c r="A279" i="32"/>
  <c r="U278" i="32"/>
  <c r="B278" i="32"/>
  <c r="A278" i="32"/>
  <c r="U277" i="32"/>
  <c r="B277" i="32"/>
  <c r="A277" i="32"/>
  <c r="U276" i="32"/>
  <c r="B276" i="32"/>
  <c r="A276" i="32"/>
  <c r="U275" i="32"/>
  <c r="B275" i="32"/>
  <c r="A275" i="32"/>
  <c r="U274" i="32"/>
  <c r="B274" i="32"/>
  <c r="A274" i="32"/>
  <c r="U273" i="32"/>
  <c r="B273" i="32"/>
  <c r="A273" i="32"/>
  <c r="U272" i="32"/>
  <c r="B272" i="32"/>
  <c r="A272" i="32"/>
  <c r="U271" i="32"/>
  <c r="B271" i="32"/>
  <c r="A271" i="32"/>
  <c r="U270" i="32"/>
  <c r="B270" i="32"/>
  <c r="A270" i="32"/>
  <c r="U269" i="32"/>
  <c r="B269" i="32"/>
  <c r="A269" i="32"/>
  <c r="U268" i="32"/>
  <c r="B268" i="32"/>
  <c r="A268" i="32"/>
  <c r="U267" i="32"/>
  <c r="B267" i="32"/>
  <c r="A267" i="32"/>
  <c r="U266" i="32"/>
  <c r="B266" i="32"/>
  <c r="A266" i="32"/>
  <c r="U265" i="32"/>
  <c r="B265" i="32"/>
  <c r="A265" i="32"/>
  <c r="U264" i="32"/>
  <c r="B264" i="32"/>
  <c r="A264" i="32"/>
  <c r="U263" i="32"/>
  <c r="B263" i="32"/>
  <c r="A263" i="32"/>
  <c r="U262" i="32"/>
  <c r="B262" i="32"/>
  <c r="A262" i="32"/>
  <c r="U261" i="32"/>
  <c r="B261" i="32"/>
  <c r="A261" i="32"/>
  <c r="U260" i="32"/>
  <c r="B260" i="32"/>
  <c r="A260" i="32"/>
  <c r="U259" i="32"/>
  <c r="B259" i="32"/>
  <c r="A259" i="32"/>
  <c r="U258" i="32"/>
  <c r="B258" i="32"/>
  <c r="A258" i="32"/>
  <c r="U257" i="32"/>
  <c r="B257" i="32"/>
  <c r="A257" i="32"/>
  <c r="U256" i="32"/>
  <c r="B256" i="32"/>
  <c r="A256" i="32"/>
  <c r="U255" i="32"/>
  <c r="B255" i="32"/>
  <c r="A255" i="32"/>
  <c r="U254" i="32"/>
  <c r="B254" i="32"/>
  <c r="A254" i="32"/>
  <c r="U253" i="32"/>
  <c r="B253" i="32"/>
  <c r="A253" i="32"/>
  <c r="U252" i="32"/>
  <c r="B252" i="32"/>
  <c r="A252" i="32"/>
  <c r="U251" i="32"/>
  <c r="B251" i="32"/>
  <c r="A251" i="32"/>
  <c r="U250" i="32"/>
  <c r="B250" i="32"/>
  <c r="A250" i="32"/>
  <c r="U249" i="32"/>
  <c r="B249" i="32"/>
  <c r="A249" i="32"/>
  <c r="U248" i="32"/>
  <c r="B248" i="32"/>
  <c r="A248" i="32"/>
  <c r="U247" i="32"/>
  <c r="B247" i="32"/>
  <c r="A247" i="32"/>
  <c r="U246" i="32"/>
  <c r="B246" i="32"/>
  <c r="A246" i="32"/>
  <c r="U245" i="32"/>
  <c r="B245" i="32"/>
  <c r="A245" i="32"/>
  <c r="U244" i="32"/>
  <c r="B244" i="32"/>
  <c r="A244" i="32"/>
  <c r="U243" i="32"/>
  <c r="B243" i="32"/>
  <c r="A243" i="32"/>
  <c r="U242" i="32"/>
  <c r="B242" i="32"/>
  <c r="A242" i="32"/>
  <c r="U241" i="32"/>
  <c r="B241" i="32"/>
  <c r="A241" i="32"/>
  <c r="U240" i="32"/>
  <c r="B240" i="32"/>
  <c r="A240" i="32"/>
  <c r="U239" i="32"/>
  <c r="B239" i="32"/>
  <c r="A239" i="32"/>
  <c r="U238" i="32"/>
  <c r="B238" i="32"/>
  <c r="A238" i="32"/>
  <c r="U237" i="32"/>
  <c r="B237" i="32"/>
  <c r="A237" i="32"/>
  <c r="U236" i="32"/>
  <c r="B236" i="32"/>
  <c r="A236" i="32"/>
  <c r="U235" i="32"/>
  <c r="B235" i="32"/>
  <c r="A235" i="32"/>
  <c r="U234" i="32"/>
  <c r="B234" i="32"/>
  <c r="A234" i="32"/>
  <c r="U233" i="32"/>
  <c r="B233" i="32"/>
  <c r="A233" i="32"/>
  <c r="U232" i="32"/>
  <c r="B232" i="32"/>
  <c r="A232" i="32"/>
  <c r="U231" i="32"/>
  <c r="B231" i="32"/>
  <c r="A231" i="32"/>
  <c r="U230" i="32"/>
  <c r="B230" i="32"/>
  <c r="A230" i="32"/>
  <c r="U229" i="32"/>
  <c r="B229" i="32"/>
  <c r="A229" i="32"/>
  <c r="U228" i="32"/>
  <c r="B228" i="32"/>
  <c r="A228" i="32"/>
  <c r="U227" i="32"/>
  <c r="B227" i="32"/>
  <c r="A227" i="32"/>
  <c r="U226" i="32"/>
  <c r="B226" i="32"/>
  <c r="A226" i="32"/>
  <c r="U225" i="32"/>
  <c r="B225" i="32"/>
  <c r="A225" i="32"/>
  <c r="U224" i="32"/>
  <c r="B224" i="32"/>
  <c r="A224" i="32"/>
  <c r="U223" i="32"/>
  <c r="B223" i="32"/>
  <c r="A223" i="32"/>
  <c r="U222" i="32"/>
  <c r="B222" i="32"/>
  <c r="A222" i="32"/>
  <c r="U221" i="32"/>
  <c r="B221" i="32"/>
  <c r="A221" i="32"/>
  <c r="U220" i="32"/>
  <c r="B220" i="32"/>
  <c r="A220" i="32"/>
  <c r="U219" i="32"/>
  <c r="B219" i="32"/>
  <c r="A219" i="32"/>
  <c r="U218" i="32"/>
  <c r="B218" i="32"/>
  <c r="A218" i="32"/>
  <c r="U217" i="32"/>
  <c r="B217" i="32"/>
  <c r="A217" i="32"/>
  <c r="U216" i="32"/>
  <c r="B216" i="32"/>
  <c r="A216" i="32"/>
  <c r="U215" i="32"/>
  <c r="B215" i="32"/>
  <c r="A215" i="32"/>
  <c r="U214" i="32"/>
  <c r="B214" i="32"/>
  <c r="A214" i="32"/>
  <c r="U213" i="32"/>
  <c r="B213" i="32"/>
  <c r="A213" i="32"/>
  <c r="U212" i="32"/>
  <c r="B212" i="32"/>
  <c r="A212" i="32"/>
  <c r="U211" i="32"/>
  <c r="B211" i="32"/>
  <c r="A211" i="32"/>
  <c r="U210" i="32"/>
  <c r="B210" i="32"/>
  <c r="A210" i="32"/>
  <c r="U209" i="32"/>
  <c r="B209" i="32"/>
  <c r="A209" i="32"/>
  <c r="U208" i="32"/>
  <c r="B208" i="32"/>
  <c r="A208" i="32"/>
  <c r="U207" i="32"/>
  <c r="B207" i="32"/>
  <c r="A207" i="32"/>
  <c r="U206" i="32"/>
  <c r="B206" i="32"/>
  <c r="A206" i="32"/>
  <c r="U205" i="32"/>
  <c r="B205" i="32"/>
  <c r="A205" i="32"/>
  <c r="U204" i="32"/>
  <c r="B204" i="32"/>
  <c r="A204" i="32"/>
  <c r="U203" i="32"/>
  <c r="B203" i="32"/>
  <c r="A203" i="32"/>
  <c r="U202" i="32"/>
  <c r="B202" i="32"/>
  <c r="A202" i="32"/>
  <c r="U201" i="32"/>
  <c r="B201" i="32"/>
  <c r="A201" i="32"/>
  <c r="U200" i="32"/>
  <c r="B200" i="32"/>
  <c r="A200" i="32"/>
  <c r="U199" i="32"/>
  <c r="B199" i="32"/>
  <c r="A199" i="32"/>
  <c r="U198" i="32"/>
  <c r="B198" i="32"/>
  <c r="A198" i="32"/>
  <c r="U197" i="32"/>
  <c r="B197" i="32"/>
  <c r="A197" i="32"/>
  <c r="U196" i="32"/>
  <c r="B196" i="32"/>
  <c r="A196" i="32"/>
  <c r="U195" i="32"/>
  <c r="B195" i="32"/>
  <c r="A195" i="32"/>
  <c r="U194" i="32"/>
  <c r="B194" i="32"/>
  <c r="A194" i="32"/>
  <c r="U193" i="32"/>
  <c r="B193" i="32"/>
  <c r="A193" i="32"/>
  <c r="U192" i="32"/>
  <c r="B192" i="32"/>
  <c r="A192" i="32"/>
  <c r="U191" i="32"/>
  <c r="B191" i="32"/>
  <c r="A191" i="32"/>
  <c r="U190" i="32"/>
  <c r="B190" i="32"/>
  <c r="A190" i="32"/>
  <c r="U189" i="32"/>
  <c r="B189" i="32"/>
  <c r="A189" i="32"/>
  <c r="U188" i="32"/>
  <c r="B188" i="32"/>
  <c r="A188" i="32"/>
  <c r="U187" i="32"/>
  <c r="B187" i="32"/>
  <c r="A187" i="32"/>
  <c r="U186" i="32"/>
  <c r="B186" i="32"/>
  <c r="A186" i="32"/>
  <c r="U185" i="32"/>
  <c r="B185" i="32"/>
  <c r="A185" i="32"/>
  <c r="U184" i="32"/>
  <c r="B184" i="32"/>
  <c r="A184" i="32"/>
  <c r="U183" i="32"/>
  <c r="B183" i="32"/>
  <c r="A183" i="32"/>
  <c r="U182" i="32"/>
  <c r="B182" i="32"/>
  <c r="A182" i="32"/>
  <c r="U181" i="32"/>
  <c r="B181" i="32"/>
  <c r="A181" i="32"/>
  <c r="U180" i="32"/>
  <c r="B180" i="32"/>
  <c r="A180" i="32"/>
  <c r="U179" i="32"/>
  <c r="B179" i="32"/>
  <c r="A179" i="32"/>
  <c r="U178" i="32"/>
  <c r="B178" i="32"/>
  <c r="A178" i="32"/>
  <c r="U177" i="32"/>
  <c r="B177" i="32"/>
  <c r="A177" i="32"/>
  <c r="U176" i="32"/>
  <c r="B176" i="32"/>
  <c r="A176" i="32"/>
  <c r="U175" i="32"/>
  <c r="B175" i="32"/>
  <c r="A175" i="32"/>
  <c r="U174" i="32"/>
  <c r="B174" i="32"/>
  <c r="A174" i="32"/>
  <c r="U173" i="32"/>
  <c r="B173" i="32"/>
  <c r="A173" i="32"/>
  <c r="U172" i="32"/>
  <c r="B172" i="32"/>
  <c r="A172" i="32"/>
  <c r="U171" i="32"/>
  <c r="B171" i="32"/>
  <c r="A171" i="32"/>
  <c r="U170" i="32"/>
  <c r="B170" i="32"/>
  <c r="A170" i="32"/>
  <c r="U169" i="32"/>
  <c r="B169" i="32"/>
  <c r="A169" i="32"/>
  <c r="U168" i="32"/>
  <c r="B168" i="32"/>
  <c r="A168" i="32"/>
  <c r="U167" i="32"/>
  <c r="B167" i="32"/>
  <c r="A167" i="32"/>
  <c r="U166" i="32"/>
  <c r="B166" i="32"/>
  <c r="A166" i="32"/>
  <c r="U165" i="32"/>
  <c r="B165" i="32"/>
  <c r="A165" i="32"/>
  <c r="U164" i="32"/>
  <c r="B164" i="32"/>
  <c r="A164" i="32"/>
  <c r="U163" i="32"/>
  <c r="B163" i="32"/>
  <c r="A163" i="32"/>
  <c r="U162" i="32"/>
  <c r="B162" i="32"/>
  <c r="A162" i="32"/>
  <c r="U161" i="32"/>
  <c r="B161" i="32"/>
  <c r="A161" i="32"/>
  <c r="U160" i="32"/>
  <c r="B160" i="32"/>
  <c r="A160" i="32"/>
  <c r="U159" i="32"/>
  <c r="B159" i="32"/>
  <c r="A159" i="32"/>
  <c r="U158" i="32"/>
  <c r="B158" i="32"/>
  <c r="A158" i="32"/>
  <c r="U157" i="32"/>
  <c r="B157" i="32"/>
  <c r="A157" i="32"/>
  <c r="U156" i="32"/>
  <c r="B156" i="32"/>
  <c r="A156" i="32"/>
  <c r="U155" i="32"/>
  <c r="B155" i="32"/>
  <c r="A155" i="32"/>
  <c r="U154" i="32"/>
  <c r="B154" i="32"/>
  <c r="A154" i="32"/>
  <c r="U153" i="32"/>
  <c r="B153" i="32"/>
  <c r="A153" i="32"/>
  <c r="U152" i="32"/>
  <c r="B152" i="32"/>
  <c r="A152" i="32"/>
  <c r="U151" i="32"/>
  <c r="B151" i="32"/>
  <c r="A151" i="32"/>
  <c r="U150" i="32"/>
  <c r="B150" i="32"/>
  <c r="A150" i="32"/>
  <c r="U149" i="32"/>
  <c r="B149" i="32"/>
  <c r="A149" i="32"/>
  <c r="U148" i="32"/>
  <c r="B148" i="32"/>
  <c r="A148" i="32"/>
  <c r="U147" i="32"/>
  <c r="B147" i="32"/>
  <c r="A147" i="32"/>
  <c r="U146" i="32"/>
  <c r="B146" i="32"/>
  <c r="A146" i="32"/>
  <c r="U145" i="32"/>
  <c r="B145" i="32"/>
  <c r="A145" i="32"/>
  <c r="U144" i="32"/>
  <c r="B144" i="32"/>
  <c r="A144" i="32"/>
  <c r="U143" i="32"/>
  <c r="B143" i="32"/>
  <c r="A143" i="32"/>
  <c r="U142" i="32"/>
  <c r="B142" i="32"/>
  <c r="A142" i="32"/>
  <c r="U141" i="32"/>
  <c r="B141" i="32"/>
  <c r="A141" i="32"/>
  <c r="U140" i="32"/>
  <c r="B140" i="32"/>
  <c r="A140" i="32"/>
  <c r="U139" i="32"/>
  <c r="B139" i="32"/>
  <c r="A139" i="32"/>
  <c r="U138" i="32"/>
  <c r="B138" i="32"/>
  <c r="A138" i="32"/>
  <c r="U137" i="32"/>
  <c r="B137" i="32"/>
  <c r="A137" i="32"/>
  <c r="U136" i="32"/>
  <c r="B136" i="32"/>
  <c r="A136" i="32"/>
  <c r="U135" i="32"/>
  <c r="B135" i="32"/>
  <c r="A135" i="32"/>
  <c r="U134" i="32"/>
  <c r="B134" i="32"/>
  <c r="A134" i="32"/>
  <c r="U133" i="32"/>
  <c r="B133" i="32"/>
  <c r="A133" i="32"/>
  <c r="U132" i="32"/>
  <c r="B132" i="32"/>
  <c r="A132" i="32"/>
  <c r="U131" i="32"/>
  <c r="B131" i="32"/>
  <c r="A131" i="32"/>
  <c r="U130" i="32"/>
  <c r="B130" i="32"/>
  <c r="A130" i="32"/>
  <c r="U129" i="32"/>
  <c r="B129" i="32"/>
  <c r="A129" i="32"/>
  <c r="U128" i="32"/>
  <c r="B128" i="32"/>
  <c r="A128" i="32"/>
  <c r="U127" i="32"/>
  <c r="B127" i="32"/>
  <c r="A127" i="32"/>
  <c r="U126" i="32"/>
  <c r="B126" i="32"/>
  <c r="A126" i="32"/>
  <c r="U125" i="32"/>
  <c r="B125" i="32"/>
  <c r="A125" i="32"/>
  <c r="U124" i="32"/>
  <c r="B124" i="32"/>
  <c r="A124" i="32"/>
  <c r="U123" i="32"/>
  <c r="B123" i="32"/>
  <c r="A123" i="32"/>
  <c r="U122" i="32"/>
  <c r="B122" i="32"/>
  <c r="A122" i="32"/>
  <c r="U121" i="32"/>
  <c r="B121" i="32"/>
  <c r="A121" i="32"/>
  <c r="U120" i="32"/>
  <c r="B120" i="32"/>
  <c r="A120" i="32"/>
  <c r="U119" i="32"/>
  <c r="B119" i="32"/>
  <c r="A119" i="32"/>
  <c r="U118" i="32"/>
  <c r="B118" i="32"/>
  <c r="A118" i="32"/>
  <c r="U117" i="32"/>
  <c r="B117" i="32"/>
  <c r="A117" i="32"/>
  <c r="U116" i="32"/>
  <c r="B116" i="32"/>
  <c r="A116" i="32"/>
  <c r="U115" i="32"/>
  <c r="B115" i="32"/>
  <c r="A115" i="32"/>
  <c r="U114" i="32"/>
  <c r="B114" i="32"/>
  <c r="A114" i="32"/>
  <c r="U113" i="32"/>
  <c r="B113" i="32"/>
  <c r="A113" i="32"/>
  <c r="U112" i="32"/>
  <c r="B112" i="32"/>
  <c r="A112" i="32"/>
  <c r="U111" i="32"/>
  <c r="B111" i="32"/>
  <c r="A111" i="32"/>
  <c r="U110" i="32"/>
  <c r="B110" i="32"/>
  <c r="A110" i="32"/>
  <c r="U109" i="32"/>
  <c r="B109" i="32"/>
  <c r="A109" i="32"/>
  <c r="U108" i="32"/>
  <c r="B108" i="32"/>
  <c r="A108" i="32"/>
  <c r="U107" i="32"/>
  <c r="B107" i="32"/>
  <c r="A107" i="32"/>
  <c r="U106" i="32"/>
  <c r="B106" i="32"/>
  <c r="A106" i="32"/>
  <c r="U105" i="32"/>
  <c r="B105" i="32"/>
  <c r="A105" i="32"/>
  <c r="U104" i="32"/>
  <c r="B104" i="32"/>
  <c r="A104" i="32"/>
  <c r="U103" i="32"/>
  <c r="B103" i="32"/>
  <c r="A103" i="32"/>
  <c r="U102" i="32"/>
  <c r="B102" i="32"/>
  <c r="A102" i="32"/>
  <c r="U101" i="32"/>
  <c r="B101" i="32"/>
  <c r="A101" i="32"/>
  <c r="U100" i="32"/>
  <c r="B100" i="32"/>
  <c r="A100" i="32"/>
  <c r="U99" i="32"/>
  <c r="B99" i="32"/>
  <c r="A99" i="32"/>
  <c r="U98" i="32"/>
  <c r="B98" i="32"/>
  <c r="A98" i="32"/>
  <c r="U97" i="32"/>
  <c r="B97" i="32"/>
  <c r="A97" i="32"/>
  <c r="U96" i="32"/>
  <c r="B96" i="32"/>
  <c r="A96" i="32"/>
  <c r="U95" i="32"/>
  <c r="B95" i="32"/>
  <c r="A95" i="32"/>
  <c r="U94" i="32"/>
  <c r="B94" i="32"/>
  <c r="A94" i="32"/>
  <c r="U93" i="32"/>
  <c r="B93" i="32"/>
  <c r="A93" i="32"/>
  <c r="U92" i="32"/>
  <c r="B92" i="32"/>
  <c r="A92" i="32"/>
  <c r="U91" i="32"/>
  <c r="B91" i="32"/>
  <c r="A91" i="32"/>
  <c r="U90" i="32"/>
  <c r="B90" i="32"/>
  <c r="A90" i="32"/>
  <c r="U89" i="32"/>
  <c r="B89" i="32"/>
  <c r="A89" i="32"/>
  <c r="U88" i="32"/>
  <c r="B88" i="32"/>
  <c r="A88" i="32"/>
  <c r="U87" i="32"/>
  <c r="B87" i="32"/>
  <c r="A87" i="32"/>
  <c r="U86" i="32"/>
  <c r="B86" i="32"/>
  <c r="A86" i="32"/>
  <c r="U85" i="32"/>
  <c r="B85" i="32"/>
  <c r="A85" i="32"/>
  <c r="U84" i="32"/>
  <c r="B84" i="32"/>
  <c r="A84" i="32"/>
  <c r="U83" i="32"/>
  <c r="B83" i="32"/>
  <c r="A83" i="32"/>
  <c r="U82" i="32"/>
  <c r="B82" i="32"/>
  <c r="A82" i="32"/>
  <c r="U81" i="32"/>
  <c r="B81" i="32"/>
  <c r="A81" i="32"/>
  <c r="U80" i="32"/>
  <c r="B80" i="32"/>
  <c r="A80" i="32"/>
  <c r="U79" i="32"/>
  <c r="B79" i="32"/>
  <c r="A79" i="32"/>
  <c r="U78" i="32"/>
  <c r="B78" i="32"/>
  <c r="A78" i="32"/>
  <c r="U77" i="32"/>
  <c r="B77" i="32"/>
  <c r="A77" i="32"/>
  <c r="U76" i="32"/>
  <c r="B76" i="32"/>
  <c r="A76" i="32"/>
  <c r="U75" i="32"/>
  <c r="B75" i="32"/>
  <c r="A75" i="32"/>
  <c r="U74" i="32"/>
  <c r="B74" i="32"/>
  <c r="A74" i="32"/>
  <c r="U73" i="32"/>
  <c r="B73" i="32"/>
  <c r="A73" i="32"/>
  <c r="U72" i="32"/>
  <c r="B72" i="32"/>
  <c r="A72" i="32"/>
  <c r="U71" i="32"/>
  <c r="B71" i="32"/>
  <c r="A71" i="32"/>
  <c r="U70" i="32"/>
  <c r="B70" i="32"/>
  <c r="A70" i="32"/>
  <c r="U69" i="32"/>
  <c r="B69" i="32"/>
  <c r="A69" i="32"/>
  <c r="U68" i="32"/>
  <c r="B68" i="32"/>
  <c r="A68" i="32"/>
  <c r="U67" i="32"/>
  <c r="B67" i="32"/>
  <c r="A67" i="32"/>
  <c r="U66" i="32"/>
  <c r="B66" i="32"/>
  <c r="A66" i="32"/>
  <c r="U65" i="32"/>
  <c r="B65" i="32"/>
  <c r="A65" i="32"/>
  <c r="U64" i="32"/>
  <c r="B64" i="32"/>
  <c r="A64" i="32"/>
  <c r="U63" i="32"/>
  <c r="B63" i="32"/>
  <c r="A63" i="32"/>
  <c r="U62" i="32"/>
  <c r="B62" i="32"/>
  <c r="A62" i="32"/>
  <c r="U61" i="32"/>
  <c r="B61" i="32"/>
  <c r="A61" i="32"/>
  <c r="U60" i="32"/>
  <c r="B60" i="32"/>
  <c r="A60" i="32"/>
  <c r="U59" i="32"/>
  <c r="B59" i="32"/>
  <c r="A59" i="32"/>
  <c r="U58" i="32"/>
  <c r="B58" i="32"/>
  <c r="A58" i="32"/>
  <c r="U57" i="32"/>
  <c r="B57" i="32"/>
  <c r="A57" i="32"/>
  <c r="U56" i="32"/>
  <c r="B56" i="32"/>
  <c r="A56" i="32"/>
  <c r="U55" i="32"/>
  <c r="B55" i="32"/>
  <c r="A55" i="32"/>
  <c r="U54" i="32"/>
  <c r="B54" i="32"/>
  <c r="A54" i="32"/>
  <c r="U53" i="32"/>
  <c r="B53" i="32"/>
  <c r="A53" i="32"/>
  <c r="U52" i="32"/>
  <c r="B52" i="32"/>
  <c r="A52" i="32"/>
  <c r="U51" i="32"/>
  <c r="B51" i="32"/>
  <c r="A51" i="32"/>
  <c r="U50" i="32"/>
  <c r="B50" i="32"/>
  <c r="A50" i="32"/>
  <c r="U49" i="32"/>
  <c r="B49" i="32"/>
  <c r="A49" i="32"/>
  <c r="U48" i="32"/>
  <c r="B48" i="32"/>
  <c r="A48" i="32"/>
  <c r="U47" i="32"/>
  <c r="B47" i="32"/>
  <c r="A47" i="32"/>
  <c r="U46" i="32"/>
  <c r="B46" i="32"/>
  <c r="A46" i="32"/>
  <c r="U45" i="32"/>
  <c r="B45" i="32"/>
  <c r="A45" i="32"/>
  <c r="U44" i="32"/>
  <c r="B44" i="32"/>
  <c r="A44" i="32"/>
  <c r="U43" i="32"/>
  <c r="B43" i="32"/>
  <c r="A43" i="32"/>
  <c r="U42" i="32"/>
  <c r="B42" i="32"/>
  <c r="A42" i="32"/>
  <c r="U41" i="32"/>
  <c r="B41" i="32"/>
  <c r="A41" i="32"/>
  <c r="U40" i="32"/>
  <c r="B40" i="32"/>
  <c r="A40" i="32"/>
  <c r="U39" i="32"/>
  <c r="B39" i="32"/>
  <c r="A39" i="32"/>
  <c r="U38" i="32"/>
  <c r="B38" i="32"/>
  <c r="A38" i="32"/>
  <c r="U37" i="32"/>
  <c r="B37" i="32"/>
  <c r="A37" i="32"/>
  <c r="U36" i="32"/>
  <c r="B36" i="32"/>
  <c r="A36" i="32"/>
  <c r="U35" i="32"/>
  <c r="B35" i="32"/>
  <c r="A35" i="32"/>
  <c r="U34" i="32"/>
  <c r="B34" i="32"/>
  <c r="A34" i="32"/>
  <c r="U33" i="32"/>
  <c r="B33" i="32"/>
  <c r="A33" i="32"/>
  <c r="U32" i="32"/>
  <c r="B32" i="32"/>
  <c r="A32" i="32"/>
  <c r="U31" i="32"/>
  <c r="B31" i="32"/>
  <c r="A31" i="32"/>
  <c r="U30" i="32"/>
  <c r="B30" i="32"/>
  <c r="A30" i="32"/>
  <c r="U29" i="32"/>
  <c r="B29" i="32"/>
  <c r="A29" i="32"/>
  <c r="U28" i="32"/>
  <c r="B28" i="32"/>
  <c r="A28" i="32"/>
  <c r="U27" i="32"/>
  <c r="B27" i="32"/>
  <c r="A27" i="32"/>
  <c r="U26" i="32"/>
  <c r="B26" i="32"/>
  <c r="A26" i="32"/>
  <c r="U25" i="32"/>
  <c r="B25" i="32"/>
  <c r="A25" i="32"/>
  <c r="U24" i="32"/>
  <c r="B24" i="32"/>
  <c r="A24" i="32"/>
  <c r="U23" i="32"/>
  <c r="B23" i="32"/>
  <c r="A23" i="32"/>
  <c r="U22" i="32"/>
  <c r="B22" i="32"/>
  <c r="A22" i="32"/>
  <c r="U21" i="32"/>
  <c r="B21" i="32"/>
  <c r="A21" i="32"/>
  <c r="U20" i="32"/>
  <c r="B20" i="32"/>
  <c r="A20" i="32"/>
  <c r="U19" i="32"/>
  <c r="B19" i="32"/>
  <c r="A19" i="32"/>
  <c r="U18" i="32"/>
  <c r="B18" i="32"/>
  <c r="A18" i="32"/>
  <c r="U17" i="32"/>
  <c r="B17" i="32"/>
  <c r="A17" i="32"/>
  <c r="U16" i="32"/>
  <c r="B16" i="32"/>
  <c r="A16" i="32"/>
  <c r="U15" i="32"/>
  <c r="B15" i="32"/>
  <c r="A15" i="32"/>
  <c r="U14" i="32"/>
  <c r="B14" i="32"/>
  <c r="A14" i="32"/>
  <c r="U13" i="32"/>
  <c r="B13" i="32"/>
  <c r="A13" i="32"/>
  <c r="U12" i="32"/>
  <c r="B12" i="32"/>
  <c r="A12" i="32"/>
  <c r="U11" i="32"/>
  <c r="B11" i="32"/>
  <c r="A11" i="32"/>
  <c r="U10" i="32"/>
  <c r="B10" i="32"/>
  <c r="A10" i="32"/>
  <c r="U9" i="32"/>
  <c r="B9" i="32"/>
  <c r="A9" i="32"/>
  <c r="U8" i="32"/>
  <c r="B8" i="32"/>
  <c r="A8" i="32"/>
  <c r="U7" i="32"/>
  <c r="B7" i="32"/>
  <c r="A7" i="32"/>
  <c r="U6" i="32"/>
  <c r="U1" i="32" s="1"/>
  <c r="B6" i="32"/>
  <c r="A6" i="32"/>
  <c r="S2" i="32"/>
  <c r="R2" i="32"/>
  <c r="Q2" i="32"/>
  <c r="P2" i="32"/>
  <c r="O2" i="32"/>
  <c r="N2" i="32"/>
  <c r="M2" i="32"/>
  <c r="L2" i="32"/>
  <c r="K2" i="32"/>
  <c r="J2" i="32"/>
  <c r="I2" i="32"/>
  <c r="H2" i="32"/>
  <c r="G2" i="32"/>
  <c r="S1" i="32"/>
  <c r="R1" i="32"/>
  <c r="Q1" i="32"/>
  <c r="P1" i="32"/>
  <c r="O1" i="32"/>
  <c r="N1" i="32"/>
  <c r="M1" i="32"/>
  <c r="L1" i="32"/>
  <c r="K1" i="32"/>
  <c r="J1" i="32"/>
  <c r="I1" i="32"/>
  <c r="H1" i="32"/>
  <c r="G1" i="32"/>
  <c r="F76" i="33" l="1"/>
  <c r="P76" i="33"/>
  <c r="I76" i="33"/>
  <c r="I158" i="33"/>
  <c r="O158" i="33"/>
  <c r="Q76" i="33"/>
  <c r="K158" i="33"/>
  <c r="Q158" i="33"/>
  <c r="S74" i="33"/>
  <c r="R76" i="33"/>
  <c r="M76" i="33"/>
  <c r="M158" i="33"/>
  <c r="G163" i="33"/>
  <c r="F163" i="33"/>
  <c r="O163" i="33"/>
  <c r="P163" i="33"/>
  <c r="K163" i="33"/>
  <c r="K166" i="33"/>
  <c r="Q163" i="33"/>
  <c r="Q166" i="33"/>
  <c r="I163" i="33"/>
  <c r="I166" i="33"/>
  <c r="S44" i="33"/>
  <c r="S17" i="33"/>
  <c r="L76" i="33"/>
  <c r="H76" i="33"/>
  <c r="N76" i="33"/>
  <c r="J76" i="33"/>
  <c r="S156" i="33"/>
  <c r="S158" i="33"/>
  <c r="S76" i="33"/>
  <c r="P158" i="33"/>
  <c r="L158" i="33"/>
  <c r="H158" i="33"/>
  <c r="G156" i="33"/>
  <c r="G158" i="33" s="1"/>
  <c r="R158" i="33"/>
  <c r="N158" i="33"/>
  <c r="J158" i="33"/>
  <c r="F158" i="33"/>
  <c r="U2" i="32"/>
  <c r="V68" i="32"/>
  <c r="U436" i="32"/>
  <c r="U437" i="32" s="1"/>
  <c r="U506" i="12"/>
  <c r="U507" i="12"/>
  <c r="U502" i="11"/>
  <c r="U503" i="11"/>
  <c r="U504" i="11"/>
  <c r="U505" i="11"/>
  <c r="U506" i="11"/>
  <c r="U507" i="11"/>
  <c r="U508" i="11"/>
  <c r="U504" i="12"/>
  <c r="U505" i="12"/>
  <c r="F164" i="33" l="1"/>
  <c r="J164" i="33"/>
  <c r="R164" i="33"/>
  <c r="L164" i="33"/>
  <c r="M164" i="33"/>
  <c r="R163" i="33"/>
  <c r="Q164" i="33"/>
  <c r="I164" i="33"/>
  <c r="N164" i="33"/>
  <c r="G164" i="33"/>
  <c r="H164" i="33"/>
  <c r="P164" i="33"/>
  <c r="S164" i="33"/>
  <c r="M163" i="33"/>
  <c r="K164" i="33"/>
  <c r="O164" i="33"/>
  <c r="M166" i="33"/>
  <c r="O166" i="33"/>
  <c r="S163" i="33"/>
  <c r="S166" i="33"/>
  <c r="H166" i="33"/>
  <c r="H163" i="33"/>
  <c r="F166" i="33"/>
  <c r="J166" i="33"/>
  <c r="J163" i="33"/>
  <c r="N166" i="33"/>
  <c r="N163" i="33"/>
  <c r="L166" i="33"/>
  <c r="L163" i="33"/>
  <c r="R166" i="33"/>
  <c r="P166" i="33"/>
  <c r="G166" i="33"/>
  <c r="Q30" i="13"/>
  <c r="Q31" i="13"/>
  <c r="Q32" i="13"/>
  <c r="Q33" i="13"/>
  <c r="Q34" i="13"/>
  <c r="Q35" i="13"/>
  <c r="Q36" i="13"/>
  <c r="Q37" i="13"/>
  <c r="Q38" i="13"/>
  <c r="Q39" i="13"/>
  <c r="Q40" i="13"/>
  <c r="Q41" i="13"/>
  <c r="Q29" i="13"/>
  <c r="Q28" i="13"/>
  <c r="Q27" i="13"/>
  <c r="Q26" i="13"/>
  <c r="Q25" i="13"/>
  <c r="Q24" i="13"/>
  <c r="Q23" i="13"/>
  <c r="Q22" i="13"/>
  <c r="Q21" i="13"/>
  <c r="Q20" i="13"/>
  <c r="Q19" i="13"/>
  <c r="Q18" i="13"/>
  <c r="Q17" i="13"/>
  <c r="Q16" i="13"/>
  <c r="Q15" i="13"/>
  <c r="Q14" i="13"/>
  <c r="Q13" i="13"/>
  <c r="Q12" i="13"/>
  <c r="Q11" i="13"/>
  <c r="Q10" i="13"/>
  <c r="Q9" i="13"/>
  <c r="Q8" i="13"/>
  <c r="Q7" i="13"/>
  <c r="Q6" i="13"/>
  <c r="Q29" i="25"/>
  <c r="Q28" i="25"/>
  <c r="Q27" i="25"/>
  <c r="Q26" i="25"/>
  <c r="Q25" i="25"/>
  <c r="Q24" i="25"/>
  <c r="Q23" i="25"/>
  <c r="Q22" i="25"/>
  <c r="Q21" i="25"/>
  <c r="Q20" i="25"/>
  <c r="Q19" i="25"/>
  <c r="Q18" i="25"/>
  <c r="Q17" i="25"/>
  <c r="Q16" i="25"/>
  <c r="Q15" i="25"/>
  <c r="Q14" i="25"/>
  <c r="Q13" i="25"/>
  <c r="Q12" i="25"/>
  <c r="Q11" i="25"/>
  <c r="Q10" i="25"/>
  <c r="Q9" i="25"/>
  <c r="Q8" i="25"/>
  <c r="Q7" i="25"/>
  <c r="Q6" i="25"/>
  <c r="U508" i="12" l="1"/>
  <c r="Q29" i="27"/>
  <c r="Q28" i="27"/>
  <c r="Q27" i="27"/>
  <c r="Q26" i="27"/>
  <c r="Q25" i="27"/>
  <c r="Q24" i="27"/>
  <c r="Q23" i="27"/>
  <c r="Q22" i="27"/>
  <c r="Q21" i="27"/>
  <c r="Q20" i="27"/>
  <c r="Q19" i="27"/>
  <c r="Q18" i="27"/>
  <c r="Q17" i="27"/>
  <c r="Q16" i="27"/>
  <c r="Q15" i="27"/>
  <c r="Q14" i="27"/>
  <c r="Q13" i="27"/>
  <c r="Q12" i="27"/>
  <c r="Q11" i="27"/>
  <c r="Q10" i="27"/>
  <c r="Q9" i="27"/>
  <c r="Q8" i="27"/>
  <c r="Q7" i="27"/>
  <c r="Q6" i="27"/>
  <c r="AH126" i="3" l="1"/>
  <c r="AF126" i="3"/>
  <c r="AB124" i="3"/>
  <c r="AB131" i="3" s="1"/>
  <c r="Z124" i="3"/>
  <c r="Z131" i="3" s="1"/>
  <c r="AH72" i="3"/>
  <c r="AF72" i="3"/>
  <c r="P94" i="3"/>
  <c r="P93" i="3"/>
  <c r="P95" i="3"/>
  <c r="P74" i="3"/>
  <c r="AB70" i="3"/>
  <c r="AB77" i="3" s="1"/>
  <c r="Z70" i="3"/>
  <c r="Z77" i="3" s="1"/>
  <c r="U502" i="12"/>
  <c r="U503" i="12"/>
  <c r="U501" i="12"/>
  <c r="P45" i="3"/>
  <c r="Q26" i="3"/>
  <c r="P26" i="3" s="1"/>
  <c r="Q18" i="3"/>
  <c r="Q30" i="3" s="1"/>
  <c r="Q17" i="3"/>
  <c r="Q42" i="3" s="1"/>
  <c r="Q14" i="3"/>
  <c r="AH19" i="3"/>
  <c r="AF19" i="3"/>
  <c r="AB25" i="3"/>
  <c r="Z25" i="3"/>
  <c r="Q38" i="3" l="1"/>
  <c r="P38" i="3" s="1"/>
  <c r="Q32" i="3"/>
  <c r="P32" i="3" s="1"/>
  <c r="AB28" i="3"/>
  <c r="Q16" i="3"/>
  <c r="Z28" i="3"/>
  <c r="Q20" i="3"/>
  <c r="Q34" i="3"/>
  <c r="Q22" i="3"/>
  <c r="Q40" i="3"/>
  <c r="Q24" i="3"/>
  <c r="Q41" i="3"/>
  <c r="Q43" i="3"/>
  <c r="Q44" i="3"/>
  <c r="Q45" i="3"/>
  <c r="R45" i="3" s="1"/>
  <c r="Q19" i="3"/>
  <c r="Q21" i="3"/>
  <c r="Q36" i="3"/>
  <c r="Q28" i="3"/>
  <c r="Q39" i="3"/>
  <c r="A223" i="10"/>
  <c r="A385" i="10" s="1"/>
  <c r="A169" i="10"/>
  <c r="A331" i="10" s="1"/>
  <c r="A114" i="10"/>
  <c r="A277" i="10" s="1"/>
  <c r="A439" i="10" s="1"/>
  <c r="A60" i="10"/>
  <c r="W118" i="1"/>
  <c r="Q92" i="3"/>
  <c r="Q91" i="3"/>
  <c r="Q71" i="3"/>
  <c r="Q70" i="3"/>
  <c r="Q67" i="3"/>
  <c r="W18" i="1"/>
  <c r="W14" i="1"/>
  <c r="E13" i="1"/>
  <c r="Q19" i="1"/>
  <c r="Q17" i="1"/>
  <c r="Q13" i="1"/>
  <c r="L19" i="1"/>
  <c r="L23" i="1" s="1"/>
  <c r="L17" i="1"/>
  <c r="L13" i="1"/>
  <c r="J19" i="1"/>
  <c r="J17" i="1"/>
  <c r="J15" i="1" s="1"/>
  <c r="J13" i="1"/>
  <c r="G19" i="1"/>
  <c r="G23" i="1" s="1"/>
  <c r="G17" i="1"/>
  <c r="G13" i="1"/>
  <c r="E19" i="1"/>
  <c r="E17" i="1"/>
  <c r="R23" i="1"/>
  <c r="R25" i="1" s="1"/>
  <c r="Q23" i="1"/>
  <c r="M23" i="1"/>
  <c r="M25" i="1" s="1"/>
  <c r="I21" i="1"/>
  <c r="O21" i="1" s="1"/>
  <c r="S21" i="1" s="1"/>
  <c r="J23" i="1"/>
  <c r="L71" i="1"/>
  <c r="J25" i="1" l="1"/>
  <c r="Q15" i="1"/>
  <c r="E15" i="1"/>
  <c r="G25" i="1"/>
  <c r="I19" i="1"/>
  <c r="O19" i="1" s="1"/>
  <c r="S19" i="1" s="1"/>
  <c r="L15" i="1"/>
  <c r="L25" i="1"/>
  <c r="Q25" i="1"/>
  <c r="I23" i="1"/>
  <c r="O23" i="1" s="1"/>
  <c r="I13" i="1"/>
  <c r="O13" i="1" s="1"/>
  <c r="S13" i="1" s="1"/>
  <c r="I17" i="1"/>
  <c r="E23" i="1"/>
  <c r="E25" i="1" s="1"/>
  <c r="G15" i="1"/>
  <c r="U101" i="18"/>
  <c r="U103" i="18"/>
  <c r="U105" i="18"/>
  <c r="U92" i="18"/>
  <c r="U93" i="18"/>
  <c r="U75" i="18"/>
  <c r="U77" i="18"/>
  <c r="U78" i="18"/>
  <c r="U26" i="18"/>
  <c r="U27" i="18"/>
  <c r="U31" i="18"/>
  <c r="W101" i="18"/>
  <c r="W103" i="18"/>
  <c r="W105" i="18"/>
  <c r="W75" i="18"/>
  <c r="W77" i="18"/>
  <c r="W78" i="18"/>
  <c r="W31" i="18"/>
  <c r="W26" i="18"/>
  <c r="W27" i="18"/>
  <c r="W70" i="1" l="1"/>
  <c r="S23" i="1"/>
  <c r="W23" i="1"/>
  <c r="O17" i="1"/>
  <c r="I15" i="1"/>
  <c r="I25" i="1"/>
  <c r="Q58" i="1"/>
  <c r="Q111" i="3"/>
  <c r="Q112" i="3"/>
  <c r="Q113" i="3"/>
  <c r="Q110" i="3"/>
  <c r="O15" i="1" l="1"/>
  <c r="S17" i="1"/>
  <c r="O25" i="1"/>
  <c r="L123" i="1"/>
  <c r="J121" i="1"/>
  <c r="G121" i="1"/>
  <c r="E121" i="1"/>
  <c r="W122" i="1" l="1"/>
  <c r="S25" i="1"/>
  <c r="S15" i="1"/>
  <c r="Q123" i="1"/>
  <c r="L117" i="1"/>
  <c r="L121" i="1"/>
  <c r="G117" i="1"/>
  <c r="E117" i="1"/>
  <c r="G123" i="1"/>
  <c r="J117" i="1"/>
  <c r="Q117" i="1"/>
  <c r="Q121" i="1"/>
  <c r="E123" i="1" l="1"/>
  <c r="J123" i="1" l="1"/>
  <c r="Q144" i="3" l="1"/>
  <c r="Q143" i="3"/>
  <c r="Q124" i="3"/>
  <c r="Q140" i="3" s="1"/>
  <c r="Q123" i="3"/>
  <c r="Q133" i="3" s="1"/>
  <c r="Q121" i="3"/>
  <c r="Q122" i="3" s="1"/>
  <c r="W154" i="3"/>
  <c r="V154" i="3"/>
  <c r="P149" i="3"/>
  <c r="P148" i="3"/>
  <c r="P147" i="3"/>
  <c r="P146" i="3"/>
  <c r="P145" i="3"/>
  <c r="P144" i="3"/>
  <c r="P143" i="3"/>
  <c r="P142" i="3"/>
  <c r="P141" i="3"/>
  <c r="P140" i="3"/>
  <c r="P138" i="3"/>
  <c r="P136" i="3"/>
  <c r="P135" i="3"/>
  <c r="AB134" i="3"/>
  <c r="Z134" i="3"/>
  <c r="P133" i="3"/>
  <c r="P131" i="3"/>
  <c r="P129" i="3"/>
  <c r="P127" i="3"/>
  <c r="P126" i="3"/>
  <c r="P125" i="3"/>
  <c r="P122" i="3"/>
  <c r="P121" i="3"/>
  <c r="X101" i="3"/>
  <c r="W101" i="3"/>
  <c r="P97" i="3"/>
  <c r="P96" i="3"/>
  <c r="P92" i="3"/>
  <c r="R91" i="3"/>
  <c r="P69" i="3"/>
  <c r="P87" i="3"/>
  <c r="P85" i="3"/>
  <c r="AB80" i="3"/>
  <c r="Z80" i="3"/>
  <c r="P81" i="3"/>
  <c r="P79" i="3"/>
  <c r="P77" i="3"/>
  <c r="P75" i="3"/>
  <c r="Q73" i="3"/>
  <c r="P73" i="3"/>
  <c r="P72" i="3"/>
  <c r="Q81" i="3"/>
  <c r="Q95" i="3"/>
  <c r="R95" i="3" s="1"/>
  <c r="Q72" i="3"/>
  <c r="X46" i="3"/>
  <c r="W46" i="3"/>
  <c r="P44" i="3"/>
  <c r="R44" i="3" s="1"/>
  <c r="P16" i="3"/>
  <c r="R16" i="3" s="1"/>
  <c r="P43" i="3"/>
  <c r="R43" i="3" s="1"/>
  <c r="P42" i="3"/>
  <c r="R42" i="3" s="1"/>
  <c r="P41" i="3"/>
  <c r="R41" i="3" s="1"/>
  <c r="P40" i="3"/>
  <c r="R40" i="3" s="1"/>
  <c r="P39" i="3"/>
  <c r="R39" i="3" s="1"/>
  <c r="P30" i="3"/>
  <c r="R30" i="3" s="1"/>
  <c r="P28" i="3"/>
  <c r="R28" i="3" s="1"/>
  <c r="P24" i="3"/>
  <c r="R24" i="3" s="1"/>
  <c r="P22" i="3"/>
  <c r="R22" i="3" s="1"/>
  <c r="P36" i="3"/>
  <c r="R36" i="3" s="1"/>
  <c r="P34" i="3"/>
  <c r="R34" i="3" s="1"/>
  <c r="P21" i="3"/>
  <c r="R21" i="3" s="1"/>
  <c r="P20" i="3"/>
  <c r="R20" i="3" s="1"/>
  <c r="P19" i="3"/>
  <c r="R19" i="3" s="1"/>
  <c r="R18" i="3"/>
  <c r="R17" i="3"/>
  <c r="R14" i="3"/>
  <c r="R127" i="1"/>
  <c r="R129" i="1" s="1"/>
  <c r="M127" i="1"/>
  <c r="M129" i="1" s="1"/>
  <c r="I125" i="1"/>
  <c r="O125" i="1" s="1"/>
  <c r="S125" i="1" s="1"/>
  <c r="Q127" i="1"/>
  <c r="L127" i="1"/>
  <c r="L129" i="1" s="1"/>
  <c r="J127" i="1"/>
  <c r="J129" i="1" s="1"/>
  <c r="G127" i="1"/>
  <c r="G129" i="1" s="1"/>
  <c r="E127" i="1"/>
  <c r="E129" i="1" s="1"/>
  <c r="I121" i="1"/>
  <c r="A120" i="1"/>
  <c r="A121" i="1" s="1"/>
  <c r="A122" i="1" s="1"/>
  <c r="A123" i="1" s="1"/>
  <c r="A124" i="1" s="1"/>
  <c r="A125" i="1" s="1"/>
  <c r="A126" i="1" s="1"/>
  <c r="A127" i="1" s="1"/>
  <c r="A128" i="1" s="1"/>
  <c r="A129" i="1" s="1"/>
  <c r="A130" i="1" s="1"/>
  <c r="A131" i="1" s="1"/>
  <c r="A132" i="1" s="1"/>
  <c r="A133" i="1" s="1"/>
  <c r="A134" i="1" s="1"/>
  <c r="A135" i="1" s="1"/>
  <c r="A136" i="1" s="1"/>
  <c r="A137" i="1" s="1"/>
  <c r="G119" i="1"/>
  <c r="E119" i="1"/>
  <c r="Q109" i="1"/>
  <c r="Q108" i="1"/>
  <c r="Q107" i="1"/>
  <c r="R75" i="1"/>
  <c r="R77" i="1" s="1"/>
  <c r="M75" i="1"/>
  <c r="M77" i="1" s="1"/>
  <c r="L75" i="1"/>
  <c r="I73" i="1"/>
  <c r="O73" i="1" s="1"/>
  <c r="S73" i="1" s="1"/>
  <c r="A68" i="1"/>
  <c r="A69" i="1" s="1"/>
  <c r="A70" i="1" s="1"/>
  <c r="A71" i="1" s="1"/>
  <c r="A72" i="1" s="1"/>
  <c r="A73" i="1" s="1"/>
  <c r="A74" i="1" s="1"/>
  <c r="A75" i="1" s="1"/>
  <c r="A76" i="1" s="1"/>
  <c r="A77" i="1" s="1"/>
  <c r="A78" i="1" s="1"/>
  <c r="A79" i="1" s="1"/>
  <c r="A80" i="1" s="1"/>
  <c r="A81" i="1" s="1"/>
  <c r="A82" i="1" s="1"/>
  <c r="A83" i="1" s="1"/>
  <c r="A84" i="1" s="1"/>
  <c r="A85" i="1" s="1"/>
  <c r="Q57" i="1"/>
  <c r="Q56" i="1"/>
  <c r="Q55" i="1"/>
  <c r="A16" i="1"/>
  <c r="A17" i="1" s="1"/>
  <c r="A18" i="1" s="1"/>
  <c r="A19" i="1" s="1"/>
  <c r="A20" i="1" s="1"/>
  <c r="A21" i="1" s="1"/>
  <c r="A22" i="1" s="1"/>
  <c r="A23" i="1" s="1"/>
  <c r="A24" i="1" s="1"/>
  <c r="A25" i="1" s="1"/>
  <c r="A26" i="1" s="1"/>
  <c r="A27" i="1" s="1"/>
  <c r="A28" i="1" s="1"/>
  <c r="A29" i="1" s="1"/>
  <c r="A30" i="1" s="1"/>
  <c r="A31" i="1" s="1"/>
  <c r="A32" i="1" s="1"/>
  <c r="A33" i="1" s="1"/>
  <c r="U508" i="21"/>
  <c r="U507" i="21"/>
  <c r="U506" i="21"/>
  <c r="U503" i="21"/>
  <c r="U501" i="21"/>
  <c r="U426" i="21"/>
  <c r="B426" i="21"/>
  <c r="A426" i="21"/>
  <c r="U425" i="21"/>
  <c r="B425" i="21"/>
  <c r="A425" i="21"/>
  <c r="U424" i="21"/>
  <c r="B424" i="21"/>
  <c r="A424" i="21"/>
  <c r="U423" i="21"/>
  <c r="B423" i="21"/>
  <c r="A423" i="21"/>
  <c r="U422" i="21"/>
  <c r="B422" i="21"/>
  <c r="A422" i="21"/>
  <c r="U421" i="21"/>
  <c r="B421" i="21"/>
  <c r="A421" i="21"/>
  <c r="U420" i="21"/>
  <c r="B420" i="21"/>
  <c r="A420" i="21"/>
  <c r="U419" i="21"/>
  <c r="B419" i="21"/>
  <c r="A419" i="21"/>
  <c r="U418" i="21"/>
  <c r="B418" i="21"/>
  <c r="A418" i="21"/>
  <c r="U417" i="21"/>
  <c r="B417" i="21"/>
  <c r="A417" i="21"/>
  <c r="U416" i="21"/>
  <c r="B416" i="21"/>
  <c r="A416" i="21"/>
  <c r="U415" i="21"/>
  <c r="B415" i="21"/>
  <c r="A415" i="21"/>
  <c r="U414" i="21"/>
  <c r="B414" i="21"/>
  <c r="A414" i="21"/>
  <c r="U413" i="21"/>
  <c r="B413" i="21"/>
  <c r="A413" i="21"/>
  <c r="U412" i="21"/>
  <c r="B412" i="21"/>
  <c r="A412" i="21"/>
  <c r="U411" i="21"/>
  <c r="B411" i="21"/>
  <c r="A411" i="21"/>
  <c r="U410" i="21"/>
  <c r="B410" i="21"/>
  <c r="A410" i="21"/>
  <c r="U409" i="21"/>
  <c r="B409" i="21"/>
  <c r="A409" i="21"/>
  <c r="U408" i="21"/>
  <c r="B408" i="21"/>
  <c r="A408" i="21"/>
  <c r="U407" i="21"/>
  <c r="B407" i="21"/>
  <c r="A407" i="21"/>
  <c r="U406" i="21"/>
  <c r="B406" i="21"/>
  <c r="A406" i="21"/>
  <c r="U405" i="21"/>
  <c r="B405" i="21"/>
  <c r="A405" i="21"/>
  <c r="U404" i="21"/>
  <c r="B404" i="21"/>
  <c r="A404" i="21"/>
  <c r="U403" i="21"/>
  <c r="B403" i="21"/>
  <c r="A403" i="21"/>
  <c r="U402" i="21"/>
  <c r="B402" i="21"/>
  <c r="A402" i="21"/>
  <c r="U401" i="21"/>
  <c r="B401" i="21"/>
  <c r="A401" i="21"/>
  <c r="U400" i="21"/>
  <c r="B400" i="21"/>
  <c r="A400" i="21"/>
  <c r="U399" i="21"/>
  <c r="B399" i="21"/>
  <c r="A399" i="21"/>
  <c r="U398" i="21"/>
  <c r="B398" i="21"/>
  <c r="A398" i="21"/>
  <c r="U397" i="21"/>
  <c r="B397" i="21"/>
  <c r="A397" i="21"/>
  <c r="U396" i="21"/>
  <c r="B396" i="21"/>
  <c r="A396" i="21"/>
  <c r="U395" i="21"/>
  <c r="B395" i="21"/>
  <c r="A395" i="21"/>
  <c r="U394" i="21"/>
  <c r="B394" i="21"/>
  <c r="A394" i="21"/>
  <c r="U393" i="21"/>
  <c r="B393" i="21"/>
  <c r="A393" i="21"/>
  <c r="U392" i="21"/>
  <c r="B392" i="21"/>
  <c r="A392" i="21"/>
  <c r="U391" i="21"/>
  <c r="B391" i="21"/>
  <c r="A391" i="21"/>
  <c r="U390" i="21"/>
  <c r="B390" i="21"/>
  <c r="A390" i="21"/>
  <c r="U389" i="21"/>
  <c r="B389" i="21"/>
  <c r="A389" i="21"/>
  <c r="U388" i="21"/>
  <c r="B388" i="21"/>
  <c r="A388" i="21"/>
  <c r="U387" i="21"/>
  <c r="B387" i="21"/>
  <c r="A387" i="21"/>
  <c r="U386" i="21"/>
  <c r="B386" i="21"/>
  <c r="A386" i="21"/>
  <c r="U385" i="21"/>
  <c r="B385" i="21"/>
  <c r="A385" i="21"/>
  <c r="U384" i="21"/>
  <c r="B384" i="21"/>
  <c r="A384" i="21"/>
  <c r="U383" i="21"/>
  <c r="B383" i="21"/>
  <c r="A383" i="21"/>
  <c r="U382" i="21"/>
  <c r="B382" i="21"/>
  <c r="A382" i="21"/>
  <c r="U381" i="21"/>
  <c r="B381" i="21"/>
  <c r="A381" i="21"/>
  <c r="U380" i="21"/>
  <c r="B380" i="21"/>
  <c r="A380" i="21"/>
  <c r="U379" i="21"/>
  <c r="B379" i="21"/>
  <c r="A379" i="21"/>
  <c r="U378" i="21"/>
  <c r="B378" i="21"/>
  <c r="A378" i="21"/>
  <c r="U377" i="21"/>
  <c r="B377" i="21"/>
  <c r="A377" i="21"/>
  <c r="U376" i="21"/>
  <c r="B376" i="21"/>
  <c r="A376" i="21"/>
  <c r="U375" i="21"/>
  <c r="B375" i="21"/>
  <c r="A375" i="21"/>
  <c r="U374" i="21"/>
  <c r="B374" i="21"/>
  <c r="A374" i="21"/>
  <c r="U373" i="21"/>
  <c r="B373" i="21"/>
  <c r="A373" i="21"/>
  <c r="U372" i="21"/>
  <c r="B372" i="21"/>
  <c r="A372" i="21"/>
  <c r="U371" i="21"/>
  <c r="B371" i="21"/>
  <c r="A371" i="21"/>
  <c r="U370" i="21"/>
  <c r="B370" i="21"/>
  <c r="A370" i="21"/>
  <c r="U369" i="21"/>
  <c r="B369" i="21"/>
  <c r="A369" i="21"/>
  <c r="U368" i="21"/>
  <c r="B368" i="21"/>
  <c r="A368" i="21"/>
  <c r="U367" i="21"/>
  <c r="B367" i="21"/>
  <c r="A367" i="21"/>
  <c r="U366" i="21"/>
  <c r="B366" i="21"/>
  <c r="A366" i="21"/>
  <c r="U365" i="21"/>
  <c r="B365" i="21"/>
  <c r="A365" i="21"/>
  <c r="U364" i="21"/>
  <c r="B364" i="21"/>
  <c r="A364" i="21"/>
  <c r="U363" i="21"/>
  <c r="B363" i="21"/>
  <c r="A363" i="21"/>
  <c r="U362" i="21"/>
  <c r="B362" i="21"/>
  <c r="A362" i="21"/>
  <c r="U361" i="21"/>
  <c r="B361" i="21"/>
  <c r="A361" i="21"/>
  <c r="U360" i="21"/>
  <c r="B360" i="21"/>
  <c r="A360" i="21"/>
  <c r="U359" i="21"/>
  <c r="B359" i="21"/>
  <c r="A359" i="21"/>
  <c r="U358" i="21"/>
  <c r="B358" i="21"/>
  <c r="A358" i="21"/>
  <c r="U357" i="21"/>
  <c r="B357" i="21"/>
  <c r="A357" i="21"/>
  <c r="U356" i="21"/>
  <c r="B356" i="21"/>
  <c r="A356" i="21"/>
  <c r="U355" i="21"/>
  <c r="B355" i="21"/>
  <c r="A355" i="21"/>
  <c r="U354" i="21"/>
  <c r="B354" i="21"/>
  <c r="A354" i="21"/>
  <c r="U353" i="21"/>
  <c r="B353" i="21"/>
  <c r="A353" i="21"/>
  <c r="U352" i="21"/>
  <c r="B352" i="21"/>
  <c r="A352" i="21"/>
  <c r="U351" i="21"/>
  <c r="B351" i="21"/>
  <c r="A351" i="21"/>
  <c r="U350" i="21"/>
  <c r="B350" i="21"/>
  <c r="A350" i="21"/>
  <c r="U349" i="21"/>
  <c r="B349" i="21"/>
  <c r="A349" i="21"/>
  <c r="U348" i="21"/>
  <c r="B348" i="21"/>
  <c r="A348" i="21"/>
  <c r="U347" i="21"/>
  <c r="B347" i="21"/>
  <c r="A347" i="21"/>
  <c r="U346" i="21"/>
  <c r="B346" i="21"/>
  <c r="A346" i="21"/>
  <c r="U345" i="21"/>
  <c r="B345" i="21"/>
  <c r="A345" i="21"/>
  <c r="U344" i="21"/>
  <c r="B344" i="21"/>
  <c r="A344" i="21"/>
  <c r="U343" i="21"/>
  <c r="B343" i="21"/>
  <c r="A343" i="21"/>
  <c r="U342" i="21"/>
  <c r="B342" i="21"/>
  <c r="A342" i="21"/>
  <c r="U341" i="21"/>
  <c r="B341" i="21"/>
  <c r="A341" i="21"/>
  <c r="U340" i="21"/>
  <c r="B340" i="21"/>
  <c r="A340" i="21"/>
  <c r="U339" i="21"/>
  <c r="B339" i="21"/>
  <c r="A339" i="21"/>
  <c r="U338" i="21"/>
  <c r="B338" i="21"/>
  <c r="A338" i="21"/>
  <c r="U337" i="21"/>
  <c r="B337" i="21"/>
  <c r="A337" i="21"/>
  <c r="U336" i="21"/>
  <c r="B336" i="21"/>
  <c r="A336" i="21"/>
  <c r="U335" i="21"/>
  <c r="B335" i="21"/>
  <c r="A335" i="21"/>
  <c r="U334" i="21"/>
  <c r="B334" i="21"/>
  <c r="A334" i="21"/>
  <c r="U333" i="21"/>
  <c r="B333" i="21"/>
  <c r="A333" i="21"/>
  <c r="U332" i="21"/>
  <c r="B332" i="21"/>
  <c r="A332" i="21"/>
  <c r="U331" i="21"/>
  <c r="B331" i="21"/>
  <c r="A331" i="21"/>
  <c r="U330" i="21"/>
  <c r="B330" i="21"/>
  <c r="A330" i="21"/>
  <c r="U329" i="21"/>
  <c r="B329" i="21"/>
  <c r="A329" i="21"/>
  <c r="U328" i="21"/>
  <c r="B328" i="21"/>
  <c r="A328" i="21"/>
  <c r="U327" i="21"/>
  <c r="B327" i="21"/>
  <c r="A327" i="21"/>
  <c r="U326" i="21"/>
  <c r="B326" i="21"/>
  <c r="A326" i="21"/>
  <c r="U325" i="21"/>
  <c r="B325" i="21"/>
  <c r="A325" i="21"/>
  <c r="U324" i="21"/>
  <c r="B324" i="21"/>
  <c r="A324" i="21"/>
  <c r="U323" i="21"/>
  <c r="B323" i="21"/>
  <c r="A323" i="21"/>
  <c r="U322" i="21"/>
  <c r="B322" i="21"/>
  <c r="A322" i="21"/>
  <c r="U321" i="21"/>
  <c r="B321" i="21"/>
  <c r="A321" i="21"/>
  <c r="U320" i="21"/>
  <c r="B320" i="21"/>
  <c r="A320" i="21"/>
  <c r="U319" i="21"/>
  <c r="B319" i="21"/>
  <c r="A319" i="21"/>
  <c r="U318" i="21"/>
  <c r="B318" i="21"/>
  <c r="A318" i="21"/>
  <c r="U317" i="21"/>
  <c r="B317" i="21"/>
  <c r="A317" i="21"/>
  <c r="U316" i="21"/>
  <c r="B316" i="21"/>
  <c r="A316" i="21"/>
  <c r="U315" i="21"/>
  <c r="B315" i="21"/>
  <c r="A315" i="21"/>
  <c r="U314" i="21"/>
  <c r="B314" i="21"/>
  <c r="A314" i="21"/>
  <c r="U313" i="21"/>
  <c r="B313" i="21"/>
  <c r="A313" i="21"/>
  <c r="U312" i="21"/>
  <c r="B312" i="21"/>
  <c r="A312" i="21"/>
  <c r="U311" i="21"/>
  <c r="B311" i="21"/>
  <c r="A311" i="21"/>
  <c r="U310" i="21"/>
  <c r="B310" i="21"/>
  <c r="A310" i="21"/>
  <c r="U309" i="21"/>
  <c r="B309" i="21"/>
  <c r="A309" i="21"/>
  <c r="U308" i="21"/>
  <c r="B308" i="21"/>
  <c r="A308" i="21"/>
  <c r="U307" i="21"/>
  <c r="B307" i="21"/>
  <c r="A307" i="21"/>
  <c r="U306" i="21"/>
  <c r="B306" i="21"/>
  <c r="A306" i="21"/>
  <c r="U305" i="21"/>
  <c r="B305" i="21"/>
  <c r="A305" i="21"/>
  <c r="U304" i="21"/>
  <c r="B304" i="21"/>
  <c r="A304" i="21"/>
  <c r="U303" i="21"/>
  <c r="B303" i="21"/>
  <c r="A303" i="21"/>
  <c r="U302" i="21"/>
  <c r="B302" i="21"/>
  <c r="A302" i="21"/>
  <c r="U301" i="21"/>
  <c r="B301" i="21"/>
  <c r="A301" i="21"/>
  <c r="U300" i="21"/>
  <c r="B300" i="21"/>
  <c r="A300" i="21"/>
  <c r="U299" i="21"/>
  <c r="B299" i="21"/>
  <c r="A299" i="21"/>
  <c r="U298" i="21"/>
  <c r="B298" i="21"/>
  <c r="A298" i="21"/>
  <c r="U297" i="21"/>
  <c r="B297" i="21"/>
  <c r="A297" i="21"/>
  <c r="U296" i="21"/>
  <c r="B296" i="21"/>
  <c r="A296" i="21"/>
  <c r="U295" i="21"/>
  <c r="B295" i="21"/>
  <c r="A295" i="21"/>
  <c r="U294" i="21"/>
  <c r="B294" i="21"/>
  <c r="A294" i="21"/>
  <c r="U293" i="21"/>
  <c r="B293" i="21"/>
  <c r="A293" i="21"/>
  <c r="U292" i="21"/>
  <c r="B292" i="21"/>
  <c r="A292" i="21"/>
  <c r="U291" i="21"/>
  <c r="B291" i="21"/>
  <c r="A291" i="21"/>
  <c r="U290" i="21"/>
  <c r="B290" i="21"/>
  <c r="A290" i="21"/>
  <c r="U289" i="21"/>
  <c r="B289" i="21"/>
  <c r="A289" i="21"/>
  <c r="U288" i="21"/>
  <c r="B288" i="21"/>
  <c r="A288" i="21"/>
  <c r="U287" i="21"/>
  <c r="B287" i="21"/>
  <c r="A287" i="21"/>
  <c r="U286" i="21"/>
  <c r="B286" i="21"/>
  <c r="A286" i="21"/>
  <c r="U285" i="21"/>
  <c r="B285" i="21"/>
  <c r="A285" i="21"/>
  <c r="U284" i="21"/>
  <c r="B284" i="21"/>
  <c r="A284" i="21"/>
  <c r="U283" i="21"/>
  <c r="B283" i="21"/>
  <c r="A283" i="21"/>
  <c r="U282" i="21"/>
  <c r="B282" i="21"/>
  <c r="A282" i="21"/>
  <c r="U281" i="21"/>
  <c r="B281" i="21"/>
  <c r="A281" i="21"/>
  <c r="U280" i="21"/>
  <c r="B280" i="21"/>
  <c r="A280" i="21"/>
  <c r="U279" i="21"/>
  <c r="B279" i="21"/>
  <c r="A279" i="21"/>
  <c r="U278" i="21"/>
  <c r="B278" i="21"/>
  <c r="A278" i="21"/>
  <c r="U277" i="21"/>
  <c r="B277" i="21"/>
  <c r="A277" i="21"/>
  <c r="U276" i="21"/>
  <c r="B276" i="21"/>
  <c r="A276" i="21"/>
  <c r="U275" i="21"/>
  <c r="B275" i="21"/>
  <c r="A275" i="21"/>
  <c r="U274" i="21"/>
  <c r="B274" i="21"/>
  <c r="A274" i="21"/>
  <c r="U273" i="21"/>
  <c r="B273" i="21"/>
  <c r="A273" i="21"/>
  <c r="U272" i="21"/>
  <c r="B272" i="21"/>
  <c r="A272" i="21"/>
  <c r="U271" i="21"/>
  <c r="B271" i="21"/>
  <c r="A271" i="21"/>
  <c r="U270" i="21"/>
  <c r="B270" i="21"/>
  <c r="A270" i="21"/>
  <c r="U269" i="21"/>
  <c r="B269" i="21"/>
  <c r="A269" i="21"/>
  <c r="U268" i="21"/>
  <c r="B268" i="21"/>
  <c r="A268" i="21"/>
  <c r="U267" i="21"/>
  <c r="B267" i="21"/>
  <c r="A267" i="21"/>
  <c r="U266" i="21"/>
  <c r="B266" i="21"/>
  <c r="A266" i="21"/>
  <c r="U265" i="21"/>
  <c r="B265" i="21"/>
  <c r="A265" i="21"/>
  <c r="U264" i="21"/>
  <c r="B264" i="21"/>
  <c r="A264" i="21"/>
  <c r="U263" i="21"/>
  <c r="B263" i="21"/>
  <c r="A263" i="21"/>
  <c r="U262" i="21"/>
  <c r="B262" i="21"/>
  <c r="A262" i="21"/>
  <c r="U261" i="21"/>
  <c r="B261" i="21"/>
  <c r="A261" i="21"/>
  <c r="U260" i="21"/>
  <c r="B260" i="21"/>
  <c r="A260" i="21"/>
  <c r="U259" i="21"/>
  <c r="B259" i="21"/>
  <c r="A259" i="21"/>
  <c r="U258" i="21"/>
  <c r="B258" i="21"/>
  <c r="A258" i="21"/>
  <c r="U257" i="21"/>
  <c r="B257" i="21"/>
  <c r="A257" i="21"/>
  <c r="U256" i="21"/>
  <c r="B256" i="21"/>
  <c r="A256" i="21"/>
  <c r="U255" i="21"/>
  <c r="B255" i="21"/>
  <c r="A255" i="21"/>
  <c r="U254" i="21"/>
  <c r="B254" i="21"/>
  <c r="A254" i="21"/>
  <c r="U253" i="21"/>
  <c r="B253" i="21"/>
  <c r="A253" i="21"/>
  <c r="U252" i="21"/>
  <c r="B252" i="21"/>
  <c r="A252" i="21"/>
  <c r="U251" i="21"/>
  <c r="B251" i="21"/>
  <c r="A251" i="21"/>
  <c r="U250" i="21"/>
  <c r="B250" i="21"/>
  <c r="A250" i="21"/>
  <c r="U249" i="21"/>
  <c r="B249" i="21"/>
  <c r="A249" i="21"/>
  <c r="U248" i="21"/>
  <c r="B248" i="21"/>
  <c r="A248" i="21"/>
  <c r="U247" i="21"/>
  <c r="B247" i="21"/>
  <c r="A247" i="21"/>
  <c r="U246" i="21"/>
  <c r="B246" i="21"/>
  <c r="A246" i="21"/>
  <c r="U245" i="21"/>
  <c r="B245" i="21"/>
  <c r="A245" i="21"/>
  <c r="U244" i="21"/>
  <c r="B244" i="21"/>
  <c r="A244" i="21"/>
  <c r="U243" i="21"/>
  <c r="B243" i="21"/>
  <c r="A243" i="21"/>
  <c r="U242" i="21"/>
  <c r="B242" i="21"/>
  <c r="A242" i="21"/>
  <c r="U241" i="21"/>
  <c r="B241" i="21"/>
  <c r="A241" i="21"/>
  <c r="U240" i="21"/>
  <c r="B240" i="21"/>
  <c r="A240" i="21"/>
  <c r="U239" i="21"/>
  <c r="B239" i="21"/>
  <c r="A239" i="21"/>
  <c r="U238" i="21"/>
  <c r="B238" i="21"/>
  <c r="A238" i="21"/>
  <c r="U237" i="21"/>
  <c r="B237" i="21"/>
  <c r="A237" i="21"/>
  <c r="U236" i="21"/>
  <c r="B236" i="21"/>
  <c r="A236" i="21"/>
  <c r="U235" i="21"/>
  <c r="B235" i="21"/>
  <c r="A235" i="21"/>
  <c r="U234" i="21"/>
  <c r="B234" i="21"/>
  <c r="A234" i="21"/>
  <c r="U233" i="21"/>
  <c r="B233" i="21"/>
  <c r="A233" i="21"/>
  <c r="U232" i="21"/>
  <c r="B232" i="21"/>
  <c r="A232" i="21"/>
  <c r="U231" i="21"/>
  <c r="B231" i="21"/>
  <c r="A231" i="21"/>
  <c r="U230" i="21"/>
  <c r="B230" i="21"/>
  <c r="A230" i="21"/>
  <c r="U229" i="21"/>
  <c r="B229" i="21"/>
  <c r="A229" i="21"/>
  <c r="U228" i="21"/>
  <c r="B228" i="21"/>
  <c r="A228" i="21"/>
  <c r="U227" i="21"/>
  <c r="B227" i="21"/>
  <c r="A227" i="21"/>
  <c r="U226" i="21"/>
  <c r="B226" i="21"/>
  <c r="A226" i="21"/>
  <c r="U225" i="21"/>
  <c r="B225" i="21"/>
  <c r="A225" i="21"/>
  <c r="U224" i="21"/>
  <c r="B224" i="21"/>
  <c r="A224" i="21"/>
  <c r="U223" i="21"/>
  <c r="B223" i="21"/>
  <c r="A223" i="21"/>
  <c r="U222" i="21"/>
  <c r="B222" i="21"/>
  <c r="A222" i="21"/>
  <c r="U221" i="21"/>
  <c r="B221" i="21"/>
  <c r="A221" i="21"/>
  <c r="U220" i="21"/>
  <c r="B220" i="21"/>
  <c r="A220" i="21"/>
  <c r="U219" i="21"/>
  <c r="B219" i="21"/>
  <c r="A219" i="21"/>
  <c r="U218" i="21"/>
  <c r="B218" i="21"/>
  <c r="A218" i="21"/>
  <c r="U217" i="21"/>
  <c r="B217" i="21"/>
  <c r="A217" i="21"/>
  <c r="U216" i="21"/>
  <c r="B216" i="21"/>
  <c r="A216" i="21"/>
  <c r="U215" i="21"/>
  <c r="B215" i="21"/>
  <c r="A215" i="21"/>
  <c r="U214" i="21"/>
  <c r="B214" i="21"/>
  <c r="A214" i="21"/>
  <c r="U213" i="21"/>
  <c r="B213" i="21"/>
  <c r="A213" i="21"/>
  <c r="U212" i="21"/>
  <c r="B212" i="21"/>
  <c r="A212" i="21"/>
  <c r="U211" i="21"/>
  <c r="B211" i="21"/>
  <c r="A211" i="21"/>
  <c r="U210" i="21"/>
  <c r="B210" i="21"/>
  <c r="A210" i="21"/>
  <c r="U209" i="21"/>
  <c r="B209" i="21"/>
  <c r="A209" i="21"/>
  <c r="U208" i="21"/>
  <c r="B208" i="21"/>
  <c r="A208" i="21"/>
  <c r="U207" i="21"/>
  <c r="B207" i="21"/>
  <c r="A207" i="21"/>
  <c r="U206" i="21"/>
  <c r="B206" i="21"/>
  <c r="A206" i="21"/>
  <c r="U205" i="21"/>
  <c r="B205" i="21"/>
  <c r="A205" i="21"/>
  <c r="U204" i="21"/>
  <c r="B204" i="21"/>
  <c r="A204" i="21"/>
  <c r="U203" i="21"/>
  <c r="B203" i="21"/>
  <c r="A203" i="21"/>
  <c r="U202" i="21"/>
  <c r="B202" i="21"/>
  <c r="A202" i="21"/>
  <c r="U201" i="21"/>
  <c r="B201" i="21"/>
  <c r="A201" i="21"/>
  <c r="U200" i="21"/>
  <c r="B200" i="21"/>
  <c r="A200" i="21"/>
  <c r="U199" i="21"/>
  <c r="B199" i="21"/>
  <c r="A199" i="21"/>
  <c r="U198" i="21"/>
  <c r="B198" i="21"/>
  <c r="A198" i="21"/>
  <c r="U197" i="21"/>
  <c r="B197" i="21"/>
  <c r="A197" i="21"/>
  <c r="U196" i="21"/>
  <c r="B196" i="21"/>
  <c r="A196" i="21"/>
  <c r="U195" i="21"/>
  <c r="B195" i="21"/>
  <c r="A195" i="21"/>
  <c r="U194" i="21"/>
  <c r="B194" i="21"/>
  <c r="A194" i="21"/>
  <c r="U193" i="21"/>
  <c r="B193" i="21"/>
  <c r="A193" i="21"/>
  <c r="U192" i="21"/>
  <c r="B192" i="21"/>
  <c r="A192" i="21"/>
  <c r="U191" i="21"/>
  <c r="B191" i="21"/>
  <c r="A191" i="21"/>
  <c r="U190" i="21"/>
  <c r="B190" i="21"/>
  <c r="A190" i="21"/>
  <c r="U189" i="21"/>
  <c r="B189" i="21"/>
  <c r="A189" i="21"/>
  <c r="U188" i="21"/>
  <c r="B188" i="21"/>
  <c r="A188" i="21"/>
  <c r="U187" i="21"/>
  <c r="B187" i="21"/>
  <c r="A187" i="21"/>
  <c r="U186" i="21"/>
  <c r="B186" i="21"/>
  <c r="A186" i="21"/>
  <c r="U185" i="21"/>
  <c r="B185" i="21"/>
  <c r="A185" i="21"/>
  <c r="U184" i="21"/>
  <c r="B184" i="21"/>
  <c r="A184" i="21"/>
  <c r="U183" i="21"/>
  <c r="B183" i="21"/>
  <c r="A183" i="21"/>
  <c r="U182" i="21"/>
  <c r="B182" i="21"/>
  <c r="A182" i="21"/>
  <c r="U181" i="21"/>
  <c r="B181" i="21"/>
  <c r="A181" i="21"/>
  <c r="U180" i="21"/>
  <c r="B180" i="21"/>
  <c r="A180" i="21"/>
  <c r="U179" i="21"/>
  <c r="B179" i="21"/>
  <c r="A179" i="21"/>
  <c r="U178" i="21"/>
  <c r="B178" i="21"/>
  <c r="A178" i="21"/>
  <c r="U177" i="21"/>
  <c r="B177" i="21"/>
  <c r="A177" i="21"/>
  <c r="U176" i="21"/>
  <c r="B176" i="21"/>
  <c r="A176" i="21"/>
  <c r="U175" i="21"/>
  <c r="B175" i="21"/>
  <c r="A175" i="21"/>
  <c r="U174" i="21"/>
  <c r="B174" i="21"/>
  <c r="A174" i="21"/>
  <c r="U173" i="21"/>
  <c r="B173" i="21"/>
  <c r="A173" i="21"/>
  <c r="U172" i="21"/>
  <c r="B172" i="21"/>
  <c r="A172" i="21"/>
  <c r="U171" i="21"/>
  <c r="B171" i="21"/>
  <c r="A171" i="21"/>
  <c r="U170" i="21"/>
  <c r="B170" i="21"/>
  <c r="A170" i="21"/>
  <c r="U169" i="21"/>
  <c r="B169" i="21"/>
  <c r="A169" i="21"/>
  <c r="U168" i="21"/>
  <c r="B168" i="21"/>
  <c r="A168" i="21"/>
  <c r="U167" i="21"/>
  <c r="B167" i="21"/>
  <c r="A167" i="21"/>
  <c r="U166" i="21"/>
  <c r="B166" i="21"/>
  <c r="A166" i="21"/>
  <c r="U165" i="21"/>
  <c r="B165" i="21"/>
  <c r="A165" i="21"/>
  <c r="U164" i="21"/>
  <c r="B164" i="21"/>
  <c r="A164" i="21"/>
  <c r="U163" i="21"/>
  <c r="B163" i="21"/>
  <c r="A163" i="21"/>
  <c r="U162" i="21"/>
  <c r="B162" i="21"/>
  <c r="A162" i="21"/>
  <c r="U161" i="21"/>
  <c r="B161" i="21"/>
  <c r="A161" i="21"/>
  <c r="U160" i="21"/>
  <c r="B160" i="21"/>
  <c r="A160" i="21"/>
  <c r="U159" i="21"/>
  <c r="B159" i="21"/>
  <c r="A159" i="21"/>
  <c r="U158" i="21"/>
  <c r="B158" i="21"/>
  <c r="A158" i="21"/>
  <c r="U157" i="21"/>
  <c r="B157" i="21"/>
  <c r="A157" i="21"/>
  <c r="U156" i="21"/>
  <c r="B156" i="21"/>
  <c r="A156" i="21"/>
  <c r="U155" i="21"/>
  <c r="B155" i="21"/>
  <c r="A155" i="21"/>
  <c r="U154" i="21"/>
  <c r="B154" i="21"/>
  <c r="A154" i="21"/>
  <c r="U153" i="21"/>
  <c r="B153" i="21"/>
  <c r="A153" i="21"/>
  <c r="U152" i="21"/>
  <c r="B152" i="21"/>
  <c r="A152" i="21"/>
  <c r="U151" i="21"/>
  <c r="B151" i="21"/>
  <c r="A151" i="21"/>
  <c r="U150" i="21"/>
  <c r="B150" i="21"/>
  <c r="A150" i="21"/>
  <c r="U149" i="21"/>
  <c r="B149" i="21"/>
  <c r="A149" i="21"/>
  <c r="U148" i="21"/>
  <c r="B148" i="21"/>
  <c r="A148" i="21"/>
  <c r="U147" i="21"/>
  <c r="B147" i="21"/>
  <c r="A147" i="21"/>
  <c r="U146" i="21"/>
  <c r="B146" i="21"/>
  <c r="A146" i="21"/>
  <c r="U145" i="21"/>
  <c r="B145" i="21"/>
  <c r="A145" i="21"/>
  <c r="U144" i="21"/>
  <c r="B144" i="21"/>
  <c r="A144" i="21"/>
  <c r="U143" i="21"/>
  <c r="B143" i="21"/>
  <c r="A143" i="21"/>
  <c r="U142" i="21"/>
  <c r="B142" i="21"/>
  <c r="A142" i="21"/>
  <c r="U141" i="21"/>
  <c r="B141" i="21"/>
  <c r="A141" i="21"/>
  <c r="U140" i="21"/>
  <c r="B140" i="21"/>
  <c r="A140" i="21"/>
  <c r="U139" i="21"/>
  <c r="B139" i="21"/>
  <c r="A139" i="21"/>
  <c r="U138" i="21"/>
  <c r="B138" i="21"/>
  <c r="A138" i="21"/>
  <c r="U137" i="21"/>
  <c r="B137" i="21"/>
  <c r="A137" i="21"/>
  <c r="U136" i="21"/>
  <c r="B136" i="21"/>
  <c r="A136" i="21"/>
  <c r="U135" i="21"/>
  <c r="B135" i="21"/>
  <c r="A135" i="21"/>
  <c r="U134" i="21"/>
  <c r="B134" i="21"/>
  <c r="A134" i="21"/>
  <c r="U133" i="21"/>
  <c r="B133" i="21"/>
  <c r="A133" i="21"/>
  <c r="U132" i="21"/>
  <c r="B132" i="21"/>
  <c r="A132" i="21"/>
  <c r="U131" i="21"/>
  <c r="B131" i="21"/>
  <c r="A131" i="21"/>
  <c r="U130" i="21"/>
  <c r="B130" i="21"/>
  <c r="A130" i="21"/>
  <c r="U129" i="21"/>
  <c r="B129" i="21"/>
  <c r="A129" i="21"/>
  <c r="U128" i="21"/>
  <c r="B128" i="21"/>
  <c r="A128" i="21"/>
  <c r="U127" i="21"/>
  <c r="B127" i="21"/>
  <c r="A127" i="21"/>
  <c r="U126" i="21"/>
  <c r="B126" i="21"/>
  <c r="A126" i="21"/>
  <c r="U125" i="21"/>
  <c r="B125" i="21"/>
  <c r="A125" i="21"/>
  <c r="U124" i="21"/>
  <c r="B124" i="21"/>
  <c r="A124" i="21"/>
  <c r="U123" i="21"/>
  <c r="B123" i="21"/>
  <c r="A123" i="21"/>
  <c r="U122" i="21"/>
  <c r="B122" i="21"/>
  <c r="A122" i="21"/>
  <c r="U121" i="21"/>
  <c r="B121" i="21"/>
  <c r="A121" i="21"/>
  <c r="U120" i="21"/>
  <c r="B120" i="21"/>
  <c r="A120" i="21"/>
  <c r="U119" i="21"/>
  <c r="B119" i="21"/>
  <c r="A119" i="21"/>
  <c r="U118" i="21"/>
  <c r="B118" i="21"/>
  <c r="A118" i="21"/>
  <c r="U117" i="21"/>
  <c r="G23" i="17" s="1"/>
  <c r="B117" i="21"/>
  <c r="A117" i="21"/>
  <c r="U116" i="21"/>
  <c r="B116" i="21"/>
  <c r="A116" i="21"/>
  <c r="U115" i="21"/>
  <c r="B115" i="21"/>
  <c r="A115" i="21"/>
  <c r="U114" i="21"/>
  <c r="B114" i="21"/>
  <c r="A114" i="21"/>
  <c r="U113" i="21"/>
  <c r="B113" i="21"/>
  <c r="A113" i="21"/>
  <c r="U112" i="21"/>
  <c r="B112" i="21"/>
  <c r="A112" i="21"/>
  <c r="U111" i="21"/>
  <c r="B111" i="21"/>
  <c r="A111" i="21"/>
  <c r="U110" i="21"/>
  <c r="B110" i="21"/>
  <c r="A110" i="21"/>
  <c r="U109" i="21"/>
  <c r="B109" i="21"/>
  <c r="A109" i="21"/>
  <c r="U108" i="21"/>
  <c r="B108" i="21"/>
  <c r="A108" i="21"/>
  <c r="U107" i="21"/>
  <c r="B107" i="21"/>
  <c r="A107" i="21"/>
  <c r="U106" i="21"/>
  <c r="B106" i="21"/>
  <c r="A106" i="21"/>
  <c r="U105" i="21"/>
  <c r="B105" i="21"/>
  <c r="A105" i="21"/>
  <c r="U104" i="21"/>
  <c r="B104" i="21"/>
  <c r="A104" i="21"/>
  <c r="U103" i="21"/>
  <c r="B103" i="21"/>
  <c r="A103" i="21"/>
  <c r="U102" i="21"/>
  <c r="B102" i="21"/>
  <c r="A102" i="21"/>
  <c r="U101" i="21"/>
  <c r="B101" i="21"/>
  <c r="A101" i="21"/>
  <c r="U100" i="21"/>
  <c r="B100" i="21"/>
  <c r="A100" i="21"/>
  <c r="U99" i="21"/>
  <c r="B99" i="21"/>
  <c r="A99" i="21"/>
  <c r="U98" i="21"/>
  <c r="B98" i="21"/>
  <c r="A98" i="21"/>
  <c r="U97" i="21"/>
  <c r="B97" i="21"/>
  <c r="A97" i="21"/>
  <c r="U96" i="21"/>
  <c r="B96" i="21"/>
  <c r="A96" i="21"/>
  <c r="U95" i="21"/>
  <c r="B95" i="21"/>
  <c r="A95" i="21"/>
  <c r="U94" i="21"/>
  <c r="B94" i="21"/>
  <c r="A94" i="21"/>
  <c r="U93" i="21"/>
  <c r="B93" i="21"/>
  <c r="A93" i="21"/>
  <c r="U92" i="21"/>
  <c r="B92" i="21"/>
  <c r="A92" i="21"/>
  <c r="U91" i="21"/>
  <c r="B91" i="21"/>
  <c r="A91" i="21"/>
  <c r="U90" i="21"/>
  <c r="B90" i="21"/>
  <c r="A90" i="21"/>
  <c r="U89" i="21"/>
  <c r="B89" i="21"/>
  <c r="A89" i="21"/>
  <c r="U88" i="21"/>
  <c r="B88" i="21"/>
  <c r="A88" i="21"/>
  <c r="U87" i="21"/>
  <c r="B87" i="21"/>
  <c r="A87" i="21"/>
  <c r="U86" i="21"/>
  <c r="B86" i="21"/>
  <c r="A86" i="21"/>
  <c r="U85" i="21"/>
  <c r="B85" i="21"/>
  <c r="A85" i="21"/>
  <c r="U84" i="21"/>
  <c r="B84" i="21"/>
  <c r="A84" i="21"/>
  <c r="U83" i="21"/>
  <c r="B83" i="21"/>
  <c r="A83" i="21"/>
  <c r="U82" i="21"/>
  <c r="B82" i="21"/>
  <c r="A82" i="21"/>
  <c r="U81" i="21"/>
  <c r="B81" i="21"/>
  <c r="A81" i="21"/>
  <c r="U80" i="21"/>
  <c r="B80" i="21"/>
  <c r="A80" i="21"/>
  <c r="U79" i="21"/>
  <c r="B79" i="21"/>
  <c r="A79" i="21"/>
  <c r="U78" i="21"/>
  <c r="B78" i="21"/>
  <c r="A78" i="21"/>
  <c r="U77" i="21"/>
  <c r="B77" i="21"/>
  <c r="A77" i="21"/>
  <c r="U76" i="21"/>
  <c r="B76" i="21"/>
  <c r="A76" i="21"/>
  <c r="U75" i="21"/>
  <c r="B75" i="21"/>
  <c r="A75" i="21"/>
  <c r="U74" i="21"/>
  <c r="B74" i="21"/>
  <c r="A74" i="21"/>
  <c r="U73" i="21"/>
  <c r="B73" i="21"/>
  <c r="A73" i="21"/>
  <c r="U72" i="21"/>
  <c r="B72" i="21"/>
  <c r="A72" i="21"/>
  <c r="U71" i="21"/>
  <c r="B71" i="21"/>
  <c r="A71" i="21"/>
  <c r="U70" i="21"/>
  <c r="B70" i="21"/>
  <c r="A70" i="21"/>
  <c r="U69" i="21"/>
  <c r="B69" i="21"/>
  <c r="A69" i="21"/>
  <c r="U68" i="21"/>
  <c r="B68" i="21"/>
  <c r="A68" i="21"/>
  <c r="U67" i="21"/>
  <c r="B67" i="21"/>
  <c r="A67" i="21"/>
  <c r="U66" i="21"/>
  <c r="B66" i="21"/>
  <c r="A66" i="21"/>
  <c r="U65" i="21"/>
  <c r="B65" i="21"/>
  <c r="A65" i="21"/>
  <c r="U64" i="21"/>
  <c r="B64" i="21"/>
  <c r="A64" i="21"/>
  <c r="U63" i="21"/>
  <c r="B63" i="21"/>
  <c r="A63" i="21"/>
  <c r="U62" i="21"/>
  <c r="B62" i="21"/>
  <c r="A62" i="21"/>
  <c r="U61" i="21"/>
  <c r="B61" i="21"/>
  <c r="A61" i="21"/>
  <c r="U60" i="21"/>
  <c r="B60" i="21"/>
  <c r="A60" i="21"/>
  <c r="U59" i="21"/>
  <c r="B59" i="21"/>
  <c r="A59" i="21"/>
  <c r="U58" i="21"/>
  <c r="B58" i="21"/>
  <c r="A58" i="21"/>
  <c r="U57" i="21"/>
  <c r="B57" i="21"/>
  <c r="A57" i="21"/>
  <c r="U56" i="21"/>
  <c r="B56" i="21"/>
  <c r="A56" i="21"/>
  <c r="U55" i="21"/>
  <c r="B55" i="21"/>
  <c r="A55" i="21"/>
  <c r="U54" i="21"/>
  <c r="B54" i="21"/>
  <c r="A54" i="21"/>
  <c r="U53" i="21"/>
  <c r="B53" i="21"/>
  <c r="A53" i="21"/>
  <c r="U52" i="21"/>
  <c r="B52" i="21"/>
  <c r="A52" i="21"/>
  <c r="U51" i="21"/>
  <c r="B51" i="21"/>
  <c r="A51" i="21"/>
  <c r="U50" i="21"/>
  <c r="B50" i="21"/>
  <c r="A50" i="21"/>
  <c r="U49" i="21"/>
  <c r="B49" i="21"/>
  <c r="A49" i="21"/>
  <c r="U48" i="21"/>
  <c r="B48" i="21"/>
  <c r="A48" i="21"/>
  <c r="U47" i="21"/>
  <c r="B47" i="21"/>
  <c r="A47" i="21"/>
  <c r="U46" i="21"/>
  <c r="B46" i="21"/>
  <c r="A46" i="21"/>
  <c r="U45" i="21"/>
  <c r="B45" i="21"/>
  <c r="A45" i="21"/>
  <c r="U44" i="21"/>
  <c r="B44" i="21"/>
  <c r="A44" i="21"/>
  <c r="U43" i="21"/>
  <c r="B43" i="21"/>
  <c r="A43" i="21"/>
  <c r="U42" i="21"/>
  <c r="B42" i="21"/>
  <c r="A42" i="21"/>
  <c r="U41" i="21"/>
  <c r="B41" i="21"/>
  <c r="A41" i="21"/>
  <c r="U40" i="21"/>
  <c r="B40" i="21"/>
  <c r="A40" i="21"/>
  <c r="U39" i="21"/>
  <c r="B39" i="21"/>
  <c r="A39" i="21"/>
  <c r="U38" i="21"/>
  <c r="B38" i="21"/>
  <c r="A38" i="21"/>
  <c r="U37" i="21"/>
  <c r="B37" i="21"/>
  <c r="A37" i="21"/>
  <c r="U36" i="21"/>
  <c r="B36" i="21"/>
  <c r="A36" i="21"/>
  <c r="U35" i="21"/>
  <c r="B35" i="21"/>
  <c r="A35" i="21"/>
  <c r="U34" i="21"/>
  <c r="B34" i="21"/>
  <c r="A34" i="21"/>
  <c r="U33" i="21"/>
  <c r="B33" i="21"/>
  <c r="A33" i="21"/>
  <c r="U32" i="21"/>
  <c r="B32" i="21"/>
  <c r="A32" i="21"/>
  <c r="U31" i="21"/>
  <c r="B31" i="21"/>
  <c r="A31" i="21"/>
  <c r="U30" i="21"/>
  <c r="B30" i="21"/>
  <c r="A30" i="21"/>
  <c r="U29" i="21"/>
  <c r="B29" i="21"/>
  <c r="A29" i="21"/>
  <c r="U28" i="21"/>
  <c r="B28" i="21"/>
  <c r="A28" i="21"/>
  <c r="U27" i="21"/>
  <c r="G21" i="17" s="1"/>
  <c r="B27" i="21"/>
  <c r="A27" i="21"/>
  <c r="U26" i="21"/>
  <c r="B26" i="21"/>
  <c r="A26" i="21"/>
  <c r="U25" i="21"/>
  <c r="B25" i="21"/>
  <c r="A25" i="21"/>
  <c r="U24" i="21"/>
  <c r="B24" i="21"/>
  <c r="A24" i="21"/>
  <c r="U23" i="21"/>
  <c r="B23" i="21"/>
  <c r="A23" i="21"/>
  <c r="U22" i="21"/>
  <c r="B22" i="21"/>
  <c r="A22" i="21"/>
  <c r="U21" i="21"/>
  <c r="B21" i="21"/>
  <c r="A21" i="21"/>
  <c r="U20" i="21"/>
  <c r="B20" i="21"/>
  <c r="A20" i="21"/>
  <c r="U19" i="21"/>
  <c r="B19" i="21"/>
  <c r="A19" i="21"/>
  <c r="U18" i="21"/>
  <c r="B18" i="21"/>
  <c r="A18" i="21"/>
  <c r="U17" i="21"/>
  <c r="G19" i="17" s="1"/>
  <c r="B17" i="21"/>
  <c r="A17" i="21"/>
  <c r="U16" i="21"/>
  <c r="B16" i="21"/>
  <c r="A16" i="21"/>
  <c r="U15" i="21"/>
  <c r="G17" i="17" s="1"/>
  <c r="B15" i="21"/>
  <c r="A15" i="21"/>
  <c r="U14" i="21"/>
  <c r="B14" i="21"/>
  <c r="A14" i="21"/>
  <c r="U13" i="21"/>
  <c r="B13" i="21"/>
  <c r="A13" i="21"/>
  <c r="U12" i="21"/>
  <c r="G15" i="17" s="1"/>
  <c r="B12" i="21"/>
  <c r="A12" i="21"/>
  <c r="U11" i="21"/>
  <c r="B11" i="21"/>
  <c r="A11" i="21"/>
  <c r="U10" i="21"/>
  <c r="B10" i="21"/>
  <c r="A10" i="21"/>
  <c r="U9" i="21"/>
  <c r="B9" i="21"/>
  <c r="A9" i="21"/>
  <c r="U8" i="21"/>
  <c r="B8" i="21"/>
  <c r="A8" i="21"/>
  <c r="U7" i="21"/>
  <c r="B7" i="21"/>
  <c r="A7" i="21"/>
  <c r="U6" i="21"/>
  <c r="B6" i="21"/>
  <c r="A6" i="21"/>
  <c r="S2" i="21"/>
  <c r="R2" i="21"/>
  <c r="Q2" i="21"/>
  <c r="P2" i="21"/>
  <c r="O2" i="21"/>
  <c r="N2" i="21"/>
  <c r="M2" i="21"/>
  <c r="L2" i="21"/>
  <c r="K2" i="21"/>
  <c r="J2" i="21"/>
  <c r="I2" i="21"/>
  <c r="H2" i="21"/>
  <c r="G2" i="21"/>
  <c r="S1" i="21"/>
  <c r="R1" i="21"/>
  <c r="Q1" i="21"/>
  <c r="P1" i="21"/>
  <c r="O1" i="21"/>
  <c r="N1" i="21"/>
  <c r="M1" i="21"/>
  <c r="L1" i="21"/>
  <c r="K1" i="21"/>
  <c r="J1" i="21"/>
  <c r="I1" i="21"/>
  <c r="H1" i="21"/>
  <c r="G1" i="21"/>
  <c r="G13" i="17" l="1"/>
  <c r="Q145" i="3"/>
  <c r="R145" i="3" s="1"/>
  <c r="Q146" i="3"/>
  <c r="R146" i="3" s="1"/>
  <c r="R81" i="3"/>
  <c r="Q135" i="3"/>
  <c r="R135" i="3" s="1"/>
  <c r="R73" i="3"/>
  <c r="R48" i="3"/>
  <c r="P48" i="3"/>
  <c r="W47" i="3" s="1"/>
  <c r="W48" i="3" s="1"/>
  <c r="U2" i="21"/>
  <c r="U1" i="21"/>
  <c r="P151" i="3"/>
  <c r="V155" i="3" s="1"/>
  <c r="V156" i="3" s="1"/>
  <c r="R133" i="3"/>
  <c r="P99" i="3"/>
  <c r="W102" i="3" s="1"/>
  <c r="W103" i="3" s="1"/>
  <c r="Q93" i="3"/>
  <c r="R93" i="3" s="1"/>
  <c r="Q79" i="3"/>
  <c r="R79" i="3" s="1"/>
  <c r="R92" i="3"/>
  <c r="Q87" i="3"/>
  <c r="R87" i="3" s="1"/>
  <c r="Q129" i="1"/>
  <c r="J119" i="1"/>
  <c r="Q69" i="3"/>
  <c r="R69" i="3" s="1"/>
  <c r="Q94" i="3"/>
  <c r="R94" i="3" s="1"/>
  <c r="Q77" i="3"/>
  <c r="R77" i="3" s="1"/>
  <c r="R144" i="3"/>
  <c r="R143" i="3"/>
  <c r="Q131" i="3"/>
  <c r="R131" i="3" s="1"/>
  <c r="R140" i="3"/>
  <c r="Q129" i="3"/>
  <c r="R129" i="3" s="1"/>
  <c r="Q136" i="3"/>
  <c r="R136" i="3" s="1"/>
  <c r="R72" i="3"/>
  <c r="Q125" i="3"/>
  <c r="R125" i="3" s="1"/>
  <c r="Q141" i="3"/>
  <c r="R141" i="3" s="1"/>
  <c r="Q149" i="3"/>
  <c r="R149" i="3" s="1"/>
  <c r="R121" i="3"/>
  <c r="Q96" i="3"/>
  <c r="R96" i="3" s="1"/>
  <c r="Q138" i="3"/>
  <c r="R138" i="3" s="1"/>
  <c r="Q147" i="3"/>
  <c r="R147" i="3" s="1"/>
  <c r="Q74" i="3"/>
  <c r="R74" i="3" s="1"/>
  <c r="R122" i="3"/>
  <c r="Q126" i="3"/>
  <c r="R126" i="3" s="1"/>
  <c r="Q142" i="3"/>
  <c r="R142" i="3" s="1"/>
  <c r="Q97" i="3"/>
  <c r="R97" i="3" s="1"/>
  <c r="Q148" i="3"/>
  <c r="R148" i="3" s="1"/>
  <c r="R67" i="3"/>
  <c r="Q75" i="3"/>
  <c r="R75" i="3" s="1"/>
  <c r="Q127" i="3"/>
  <c r="R127" i="3" s="1"/>
  <c r="Q85" i="3"/>
  <c r="R85" i="3" s="1"/>
  <c r="O121" i="1"/>
  <c r="W15" i="1"/>
  <c r="W16" i="1" s="1"/>
  <c r="L119" i="1"/>
  <c r="Q119" i="1"/>
  <c r="I117" i="1"/>
  <c r="O117" i="1" s="1"/>
  <c r="S117" i="1" s="1"/>
  <c r="W119" i="1" s="1"/>
  <c r="I123" i="1"/>
  <c r="X47" i="3" l="1"/>
  <c r="X48" i="3" s="1"/>
  <c r="W22" i="1"/>
  <c r="R151" i="3"/>
  <c r="R99" i="3"/>
  <c r="I119" i="1"/>
  <c r="O123" i="1"/>
  <c r="S123" i="1" s="1"/>
  <c r="I127" i="1"/>
  <c r="O119" i="1"/>
  <c r="S121" i="1"/>
  <c r="W155" i="3" l="1"/>
  <c r="W156" i="3" s="1"/>
  <c r="W126" i="1"/>
  <c r="X102" i="3"/>
  <c r="X103" i="3" s="1"/>
  <c r="W74" i="1"/>
  <c r="S119" i="1"/>
  <c r="W24" i="1"/>
  <c r="W19" i="1"/>
  <c r="W20" i="1" s="1"/>
  <c r="O127" i="1"/>
  <c r="O129" i="1" s="1"/>
  <c r="I129" i="1"/>
  <c r="W127" i="1"/>
  <c r="S127" i="1"/>
  <c r="S129" i="1" s="1"/>
  <c r="W123" i="1" s="1"/>
  <c r="G29" i="18" l="1"/>
  <c r="G28" i="18"/>
  <c r="X55" i="18"/>
  <c r="G30" i="18" l="1"/>
  <c r="Q65" i="1" l="1"/>
  <c r="J65" i="1"/>
  <c r="L65" i="1"/>
  <c r="G65" i="1"/>
  <c r="E65" i="1"/>
  <c r="J69" i="1" l="1"/>
  <c r="G69" i="1"/>
  <c r="E69" i="1"/>
  <c r="L69" i="1"/>
  <c r="G71" i="1"/>
  <c r="W66" i="1"/>
  <c r="Q69" i="1"/>
  <c r="E71" i="1"/>
  <c r="Q71" i="1" l="1"/>
  <c r="Q75" i="1" s="1"/>
  <c r="Q77" i="1" s="1"/>
  <c r="E75" i="1"/>
  <c r="E77" i="1" s="1"/>
  <c r="I65" i="1"/>
  <c r="O65" i="1" s="1"/>
  <c r="S65" i="1" s="1"/>
  <c r="W67" i="1" s="1"/>
  <c r="G75" i="1"/>
  <c r="G77" i="1" s="1"/>
  <c r="I69" i="1"/>
  <c r="E67" i="1"/>
  <c r="G67" i="1"/>
  <c r="Q67" i="1"/>
  <c r="J67" i="1"/>
  <c r="J71" i="1" l="1"/>
  <c r="J75" i="1" s="1"/>
  <c r="J77" i="1" s="1"/>
  <c r="I67" i="1"/>
  <c r="O69" i="1"/>
  <c r="I71" i="1"/>
  <c r="L77" i="1"/>
  <c r="L67" i="1"/>
  <c r="O71" i="1" l="1"/>
  <c r="S71" i="1" s="1"/>
  <c r="I75" i="1"/>
  <c r="S69" i="1"/>
  <c r="S67" i="1" s="1"/>
  <c r="O67" i="1"/>
  <c r="O75" i="1" l="1"/>
  <c r="O77" i="1" s="1"/>
  <c r="I77" i="1"/>
  <c r="S75" i="1"/>
  <c r="S77" i="1" s="1"/>
  <c r="W71" i="1" s="1"/>
  <c r="W75" i="1"/>
  <c r="W76" i="1" s="1"/>
  <c r="G99" i="18" l="1"/>
  <c r="G98" i="18"/>
  <c r="G95" i="18"/>
  <c r="G94" i="18"/>
  <c r="G90" i="18"/>
  <c r="G89" i="18"/>
  <c r="G88" i="18"/>
  <c r="G87" i="18"/>
  <c r="G86" i="18"/>
  <c r="G84" i="18"/>
  <c r="G82" i="18"/>
  <c r="G81" i="18"/>
  <c r="G80" i="18"/>
  <c r="G79" i="18"/>
  <c r="G73" i="18"/>
  <c r="G72" i="18"/>
  <c r="G71" i="18"/>
  <c r="G15" i="18"/>
  <c r="G53" i="18"/>
  <c r="G52" i="18"/>
  <c r="G51" i="18"/>
  <c r="G50" i="18"/>
  <c r="G49" i="18"/>
  <c r="G48" i="18"/>
  <c r="G47" i="18"/>
  <c r="G46" i="18"/>
  <c r="G45" i="18"/>
  <c r="G44" i="18"/>
  <c r="G43" i="18"/>
  <c r="G42" i="18"/>
  <c r="G41" i="18"/>
  <c r="G40" i="18"/>
  <c r="G39" i="18"/>
  <c r="G38" i="18"/>
  <c r="G37" i="18"/>
  <c r="G36" i="18"/>
  <c r="G35" i="18"/>
  <c r="G34" i="18"/>
  <c r="G33" i="18"/>
  <c r="G24" i="18"/>
  <c r="G23" i="18"/>
  <c r="G22" i="18"/>
  <c r="G20" i="18"/>
  <c r="G19" i="18"/>
  <c r="G18" i="18"/>
  <c r="G17" i="18"/>
  <c r="G16" i="18"/>
  <c r="G54" i="18" l="1"/>
  <c r="G21" i="18"/>
  <c r="G25" i="18" s="1"/>
  <c r="F472" i="10"/>
  <c r="G472" i="10"/>
  <c r="H472" i="10"/>
  <c r="I472" i="10"/>
  <c r="J472" i="10"/>
  <c r="K472" i="10"/>
  <c r="L472" i="10"/>
  <c r="M472" i="10"/>
  <c r="N472" i="10"/>
  <c r="O472" i="10"/>
  <c r="P472" i="10"/>
  <c r="Q472" i="10"/>
  <c r="R472" i="10"/>
  <c r="F445" i="10" l="1"/>
  <c r="R480" i="10"/>
  <c r="R479" i="10"/>
  <c r="R478" i="10"/>
  <c r="R477" i="10"/>
  <c r="R476" i="10"/>
  <c r="R475" i="10"/>
  <c r="R474" i="10"/>
  <c r="R473" i="10" s="1"/>
  <c r="R471" i="10"/>
  <c r="R467" i="10"/>
  <c r="R466" i="10"/>
  <c r="R465" i="10"/>
  <c r="R464" i="10"/>
  <c r="R463" i="10"/>
  <c r="R462" i="10"/>
  <c r="R461" i="10"/>
  <c r="R460" i="10" s="1"/>
  <c r="R459" i="10"/>
  <c r="R458" i="10"/>
  <c r="R457" i="10"/>
  <c r="R456" i="10"/>
  <c r="R455" i="10"/>
  <c r="R451" i="10"/>
  <c r="R450" i="10"/>
  <c r="R449" i="10"/>
  <c r="R448" i="10"/>
  <c r="R447" i="10"/>
  <c r="R446" i="10"/>
  <c r="R445" i="10"/>
  <c r="Q480" i="10"/>
  <c r="Q479" i="10"/>
  <c r="Q478" i="10"/>
  <c r="Q477" i="10"/>
  <c r="Q476" i="10"/>
  <c r="Q475" i="10"/>
  <c r="Q474" i="10"/>
  <c r="Q473" i="10" s="1"/>
  <c r="Q471" i="10"/>
  <c r="Q467" i="10"/>
  <c r="Q466" i="10"/>
  <c r="Q465" i="10"/>
  <c r="Q464" i="10"/>
  <c r="Q463" i="10"/>
  <c r="Q462" i="10"/>
  <c r="Q461" i="10"/>
  <c r="Q460" i="10" s="1"/>
  <c r="Q459" i="10"/>
  <c r="Q458" i="10"/>
  <c r="Q457" i="10"/>
  <c r="Q456" i="10"/>
  <c r="Q455" i="10"/>
  <c r="Q451" i="10"/>
  <c r="Q450" i="10"/>
  <c r="Q449" i="10"/>
  <c r="Q448" i="10"/>
  <c r="Q447" i="10"/>
  <c r="Q446" i="10"/>
  <c r="Q445" i="10"/>
  <c r="P480" i="10"/>
  <c r="P479" i="10"/>
  <c r="P478" i="10"/>
  <c r="P477" i="10"/>
  <c r="P476" i="10"/>
  <c r="P475" i="10"/>
  <c r="P474" i="10"/>
  <c r="P473" i="10" s="1"/>
  <c r="P471" i="10"/>
  <c r="P467" i="10"/>
  <c r="P466" i="10"/>
  <c r="P465" i="10"/>
  <c r="P464" i="10"/>
  <c r="P463" i="10"/>
  <c r="P462" i="10"/>
  <c r="P461" i="10"/>
  <c r="P460" i="10" s="1"/>
  <c r="P459" i="10"/>
  <c r="P458" i="10"/>
  <c r="P457" i="10"/>
  <c r="P456" i="10"/>
  <c r="P455" i="10"/>
  <c r="P451" i="10"/>
  <c r="P450" i="10"/>
  <c r="P449" i="10"/>
  <c r="P448" i="10"/>
  <c r="P447" i="10"/>
  <c r="P446" i="10"/>
  <c r="P445" i="10"/>
  <c r="O480" i="10"/>
  <c r="O479" i="10"/>
  <c r="O478" i="10"/>
  <c r="O477" i="10"/>
  <c r="O476" i="10"/>
  <c r="O475" i="10"/>
  <c r="O474" i="10"/>
  <c r="O473" i="10" s="1"/>
  <c r="O471" i="10"/>
  <c r="O467" i="10"/>
  <c r="O466" i="10"/>
  <c r="O465" i="10"/>
  <c r="O464" i="10"/>
  <c r="O463" i="10"/>
  <c r="O462" i="10"/>
  <c r="O461" i="10"/>
  <c r="O460" i="10" s="1"/>
  <c r="O459" i="10"/>
  <c r="O458" i="10"/>
  <c r="O457" i="10"/>
  <c r="O456" i="10"/>
  <c r="O455" i="10"/>
  <c r="O451" i="10"/>
  <c r="O450" i="10"/>
  <c r="O449" i="10"/>
  <c r="O448" i="10"/>
  <c r="O447" i="10"/>
  <c r="O446" i="10"/>
  <c r="O445" i="10"/>
  <c r="N480" i="10"/>
  <c r="N479" i="10"/>
  <c r="N478" i="10"/>
  <c r="N477" i="10"/>
  <c r="N476" i="10"/>
  <c r="N475" i="10"/>
  <c r="N474" i="10"/>
  <c r="N473" i="10" s="1"/>
  <c r="N471" i="10"/>
  <c r="N467" i="10"/>
  <c r="N466" i="10"/>
  <c r="N465" i="10"/>
  <c r="N464" i="10"/>
  <c r="N463" i="10"/>
  <c r="N462" i="10"/>
  <c r="N461" i="10"/>
  <c r="N460" i="10" s="1"/>
  <c r="N459" i="10"/>
  <c r="N458" i="10"/>
  <c r="N457" i="10"/>
  <c r="N456" i="10"/>
  <c r="N455" i="10"/>
  <c r="N451" i="10"/>
  <c r="N450" i="10"/>
  <c r="N449" i="10"/>
  <c r="N448" i="10"/>
  <c r="N447" i="10"/>
  <c r="N446" i="10"/>
  <c r="N445" i="10"/>
  <c r="M480" i="10"/>
  <c r="M479" i="10"/>
  <c r="M478" i="10"/>
  <c r="M477" i="10"/>
  <c r="M476" i="10"/>
  <c r="M475" i="10"/>
  <c r="M474" i="10"/>
  <c r="M473" i="10" s="1"/>
  <c r="M471" i="10"/>
  <c r="M467" i="10"/>
  <c r="M466" i="10"/>
  <c r="M465" i="10"/>
  <c r="M464" i="10"/>
  <c r="M463" i="10"/>
  <c r="M462" i="10"/>
  <c r="M461" i="10"/>
  <c r="M460" i="10" s="1"/>
  <c r="M459" i="10"/>
  <c r="M458" i="10"/>
  <c r="M457" i="10"/>
  <c r="M456" i="10"/>
  <c r="M455" i="10"/>
  <c r="M451" i="10"/>
  <c r="M450" i="10"/>
  <c r="M449" i="10"/>
  <c r="M448" i="10"/>
  <c r="M447" i="10"/>
  <c r="M446" i="10"/>
  <c r="M445" i="10"/>
  <c r="L480" i="10"/>
  <c r="L479" i="10"/>
  <c r="L478" i="10"/>
  <c r="L477" i="10"/>
  <c r="L476" i="10"/>
  <c r="L475" i="10"/>
  <c r="L474" i="10"/>
  <c r="L473" i="10" s="1"/>
  <c r="L471" i="10"/>
  <c r="L467" i="10"/>
  <c r="L466" i="10"/>
  <c r="L465" i="10"/>
  <c r="L464" i="10"/>
  <c r="L463" i="10"/>
  <c r="L462" i="10"/>
  <c r="L461" i="10"/>
  <c r="L460" i="10" s="1"/>
  <c r="L459" i="10"/>
  <c r="L458" i="10"/>
  <c r="L457" i="10"/>
  <c r="L456" i="10"/>
  <c r="L455" i="10"/>
  <c r="L451" i="10"/>
  <c r="L450" i="10"/>
  <c r="L449" i="10"/>
  <c r="L448" i="10"/>
  <c r="L447" i="10"/>
  <c r="L446" i="10"/>
  <c r="L445" i="10"/>
  <c r="K480" i="10"/>
  <c r="K479" i="10"/>
  <c r="K478" i="10"/>
  <c r="K477" i="10"/>
  <c r="K476" i="10"/>
  <c r="K475" i="10"/>
  <c r="K474" i="10"/>
  <c r="K473" i="10" s="1"/>
  <c r="K471" i="10"/>
  <c r="K467" i="10"/>
  <c r="K466" i="10"/>
  <c r="K465" i="10"/>
  <c r="K464" i="10"/>
  <c r="K463" i="10"/>
  <c r="K462" i="10"/>
  <c r="K461" i="10"/>
  <c r="K460" i="10" s="1"/>
  <c r="K459" i="10"/>
  <c r="K458" i="10"/>
  <c r="K457" i="10"/>
  <c r="K456" i="10"/>
  <c r="K455" i="10"/>
  <c r="K451" i="10"/>
  <c r="K450" i="10"/>
  <c r="K449" i="10"/>
  <c r="K448" i="10"/>
  <c r="K447" i="10"/>
  <c r="K446" i="10"/>
  <c r="K445" i="10"/>
  <c r="J480" i="10"/>
  <c r="J479" i="10"/>
  <c r="J478" i="10"/>
  <c r="J477" i="10"/>
  <c r="J476" i="10"/>
  <c r="J475" i="10"/>
  <c r="J474" i="10"/>
  <c r="J473" i="10" s="1"/>
  <c r="J471" i="10"/>
  <c r="J467" i="10"/>
  <c r="J466" i="10"/>
  <c r="J465" i="10"/>
  <c r="J464" i="10"/>
  <c r="J463" i="10"/>
  <c r="J462" i="10"/>
  <c r="J461" i="10"/>
  <c r="J460" i="10" s="1"/>
  <c r="J459" i="10"/>
  <c r="J458" i="10"/>
  <c r="J457" i="10"/>
  <c r="J456" i="10"/>
  <c r="J455" i="10"/>
  <c r="J451" i="10"/>
  <c r="J450" i="10"/>
  <c r="J449" i="10"/>
  <c r="J448" i="10"/>
  <c r="J447" i="10"/>
  <c r="J446" i="10"/>
  <c r="J445" i="10"/>
  <c r="I480" i="10"/>
  <c r="I479" i="10"/>
  <c r="I478" i="10"/>
  <c r="I477" i="10"/>
  <c r="I476" i="10"/>
  <c r="I475" i="10"/>
  <c r="I474" i="10"/>
  <c r="I473" i="10" s="1"/>
  <c r="I471" i="10"/>
  <c r="I467" i="10"/>
  <c r="I466" i="10"/>
  <c r="I465" i="10"/>
  <c r="I464" i="10"/>
  <c r="I463" i="10"/>
  <c r="I462" i="10"/>
  <c r="I461" i="10"/>
  <c r="I460" i="10" s="1"/>
  <c r="I459" i="10"/>
  <c r="I458" i="10"/>
  <c r="I457" i="10"/>
  <c r="I456" i="10"/>
  <c r="I455" i="10"/>
  <c r="I451" i="10"/>
  <c r="I450" i="10"/>
  <c r="I449" i="10"/>
  <c r="I448" i="10"/>
  <c r="I447" i="10"/>
  <c r="I446" i="10"/>
  <c r="I445" i="10"/>
  <c r="H480" i="10"/>
  <c r="H479" i="10"/>
  <c r="H478" i="10"/>
  <c r="H477" i="10"/>
  <c r="H476" i="10"/>
  <c r="H475" i="10"/>
  <c r="H474" i="10"/>
  <c r="H473" i="10" s="1"/>
  <c r="H471" i="10"/>
  <c r="H467" i="10"/>
  <c r="H466" i="10"/>
  <c r="H465" i="10"/>
  <c r="H464" i="10"/>
  <c r="H463" i="10"/>
  <c r="H462" i="10"/>
  <c r="H461" i="10"/>
  <c r="H460" i="10" s="1"/>
  <c r="H459" i="10"/>
  <c r="H458" i="10"/>
  <c r="H457" i="10"/>
  <c r="H456" i="10"/>
  <c r="H455" i="10"/>
  <c r="H451" i="10"/>
  <c r="H450" i="10"/>
  <c r="H449" i="10"/>
  <c r="H448" i="10"/>
  <c r="H447" i="10"/>
  <c r="H446" i="10"/>
  <c r="H445" i="10"/>
  <c r="G480" i="10"/>
  <c r="G479" i="10"/>
  <c r="G478" i="10"/>
  <c r="G477" i="10"/>
  <c r="G476" i="10"/>
  <c r="G475" i="10"/>
  <c r="G474" i="10"/>
  <c r="G473" i="10" s="1"/>
  <c r="G471" i="10"/>
  <c r="G467" i="10"/>
  <c r="G466" i="10"/>
  <c r="G465" i="10"/>
  <c r="G464" i="10"/>
  <c r="G463" i="10"/>
  <c r="G462" i="10"/>
  <c r="G461" i="10"/>
  <c r="G460" i="10" s="1"/>
  <c r="G459" i="10"/>
  <c r="G458" i="10"/>
  <c r="G457" i="10"/>
  <c r="G456" i="10"/>
  <c r="G455" i="10"/>
  <c r="G451" i="10"/>
  <c r="G450" i="10"/>
  <c r="G449" i="10"/>
  <c r="G448" i="10"/>
  <c r="G447" i="10"/>
  <c r="G446" i="10"/>
  <c r="G445" i="10"/>
  <c r="F480" i="10"/>
  <c r="F479" i="10"/>
  <c r="F478" i="10"/>
  <c r="F477" i="10"/>
  <c r="F476" i="10"/>
  <c r="F475" i="10"/>
  <c r="F474" i="10"/>
  <c r="F473" i="10" s="1"/>
  <c r="F471" i="10"/>
  <c r="F467" i="10"/>
  <c r="F466" i="10"/>
  <c r="F465" i="10"/>
  <c r="F464" i="10"/>
  <c r="F463" i="10"/>
  <c r="F462" i="10"/>
  <c r="F461" i="10"/>
  <c r="F460" i="10" s="1"/>
  <c r="F459" i="10"/>
  <c r="F458" i="10"/>
  <c r="F457" i="10"/>
  <c r="F456" i="10"/>
  <c r="F455" i="10"/>
  <c r="F451" i="10"/>
  <c r="F450" i="10"/>
  <c r="F449" i="10"/>
  <c r="F448" i="10"/>
  <c r="F447" i="10"/>
  <c r="F446" i="10"/>
  <c r="F391" i="10"/>
  <c r="R416" i="10"/>
  <c r="R415" i="10"/>
  <c r="R414" i="10"/>
  <c r="R409" i="10"/>
  <c r="R408" i="10"/>
  <c r="R407" i="10"/>
  <c r="R406" i="10"/>
  <c r="R405" i="10"/>
  <c r="R398" i="10"/>
  <c r="R397" i="10"/>
  <c r="R396" i="10"/>
  <c r="R395" i="10"/>
  <c r="R394" i="10"/>
  <c r="R393" i="10"/>
  <c r="R392" i="10" s="1"/>
  <c r="R391" i="10"/>
  <c r="Q416" i="10"/>
  <c r="Q415" i="10"/>
  <c r="Q414" i="10"/>
  <c r="Q409" i="10"/>
  <c r="Q408" i="10"/>
  <c r="Q407" i="10"/>
  <c r="Q406" i="10"/>
  <c r="Q405" i="10"/>
  <c r="Q398" i="10"/>
  <c r="Q397" i="10"/>
  <c r="Q396" i="10"/>
  <c r="Q395" i="10"/>
  <c r="Q394" i="10"/>
  <c r="Q393" i="10"/>
  <c r="Q392" i="10" s="1"/>
  <c r="Q391" i="10"/>
  <c r="P416" i="10"/>
  <c r="P415" i="10"/>
  <c r="P414" i="10"/>
  <c r="P409" i="10"/>
  <c r="P408" i="10"/>
  <c r="P407" i="10"/>
  <c r="P406" i="10"/>
  <c r="P405" i="10"/>
  <c r="P398" i="10"/>
  <c r="P397" i="10"/>
  <c r="P396" i="10"/>
  <c r="P395" i="10"/>
  <c r="P394" i="10"/>
  <c r="P393" i="10"/>
  <c r="P392" i="10" s="1"/>
  <c r="P391" i="10"/>
  <c r="O416" i="10"/>
  <c r="O415" i="10"/>
  <c r="O414" i="10"/>
  <c r="O409" i="10"/>
  <c r="O408" i="10"/>
  <c r="O407" i="10"/>
  <c r="O406" i="10"/>
  <c r="O405" i="10"/>
  <c r="O398" i="10"/>
  <c r="O397" i="10"/>
  <c r="O396" i="10"/>
  <c r="O395" i="10"/>
  <c r="O394" i="10"/>
  <c r="O393" i="10"/>
  <c r="O392" i="10" s="1"/>
  <c r="O391" i="10"/>
  <c r="N416" i="10"/>
  <c r="N415" i="10"/>
  <c r="N414" i="10"/>
  <c r="N409" i="10"/>
  <c r="N408" i="10"/>
  <c r="N407" i="10"/>
  <c r="N406" i="10"/>
  <c r="N405" i="10"/>
  <c r="N398" i="10"/>
  <c r="N397" i="10"/>
  <c r="N396" i="10"/>
  <c r="N395" i="10"/>
  <c r="N394" i="10"/>
  <c r="N393" i="10"/>
  <c r="N392" i="10" s="1"/>
  <c r="N391" i="10"/>
  <c r="M416" i="10"/>
  <c r="M415" i="10"/>
  <c r="M414" i="10"/>
  <c r="M409" i="10"/>
  <c r="M408" i="10"/>
  <c r="M407" i="10"/>
  <c r="M406" i="10"/>
  <c r="M405" i="10"/>
  <c r="M398" i="10"/>
  <c r="M397" i="10"/>
  <c r="M396" i="10"/>
  <c r="M395" i="10"/>
  <c r="M394" i="10"/>
  <c r="M393" i="10"/>
  <c r="M392" i="10" s="1"/>
  <c r="M391" i="10"/>
  <c r="L416" i="10"/>
  <c r="L415" i="10"/>
  <c r="L414" i="10"/>
  <c r="L409" i="10"/>
  <c r="L408" i="10"/>
  <c r="L407" i="10"/>
  <c r="L406" i="10"/>
  <c r="L405" i="10"/>
  <c r="L398" i="10"/>
  <c r="L397" i="10"/>
  <c r="L396" i="10"/>
  <c r="L395" i="10"/>
  <c r="L394" i="10"/>
  <c r="L393" i="10"/>
  <c r="L392" i="10" s="1"/>
  <c r="L391" i="10"/>
  <c r="K416" i="10"/>
  <c r="K415" i="10"/>
  <c r="K414" i="10"/>
  <c r="K409" i="10"/>
  <c r="K408" i="10"/>
  <c r="K407" i="10"/>
  <c r="K406" i="10"/>
  <c r="K405" i="10"/>
  <c r="K398" i="10"/>
  <c r="K397" i="10"/>
  <c r="K396" i="10"/>
  <c r="K395" i="10"/>
  <c r="K394" i="10"/>
  <c r="K393" i="10"/>
  <c r="K392" i="10" s="1"/>
  <c r="K391" i="10"/>
  <c r="J416" i="10"/>
  <c r="J415" i="10"/>
  <c r="J414" i="10"/>
  <c r="J409" i="10"/>
  <c r="J408" i="10"/>
  <c r="J407" i="10"/>
  <c r="J406" i="10"/>
  <c r="J405" i="10"/>
  <c r="J398" i="10"/>
  <c r="J397" i="10"/>
  <c r="J396" i="10"/>
  <c r="J395" i="10"/>
  <c r="J394" i="10"/>
  <c r="J393" i="10"/>
  <c r="J392" i="10" s="1"/>
  <c r="J391" i="10"/>
  <c r="I416" i="10"/>
  <c r="I415" i="10"/>
  <c r="I414" i="10"/>
  <c r="I409" i="10"/>
  <c r="I408" i="10"/>
  <c r="I407" i="10"/>
  <c r="I406" i="10"/>
  <c r="I405" i="10"/>
  <c r="I398" i="10"/>
  <c r="I397" i="10"/>
  <c r="I396" i="10"/>
  <c r="I395" i="10"/>
  <c r="I394" i="10"/>
  <c r="I393" i="10"/>
  <c r="I392" i="10" s="1"/>
  <c r="I391" i="10"/>
  <c r="H416" i="10"/>
  <c r="H415" i="10"/>
  <c r="H414" i="10"/>
  <c r="H409" i="10"/>
  <c r="H408" i="10"/>
  <c r="H407" i="10"/>
  <c r="H406" i="10"/>
  <c r="H405" i="10"/>
  <c r="H398" i="10"/>
  <c r="H397" i="10"/>
  <c r="H396" i="10"/>
  <c r="H395" i="10"/>
  <c r="H394" i="10"/>
  <c r="H393" i="10"/>
  <c r="H392" i="10" s="1"/>
  <c r="H391" i="10"/>
  <c r="G416" i="10"/>
  <c r="G415" i="10"/>
  <c r="G414" i="10"/>
  <c r="G409" i="10"/>
  <c r="G408" i="10"/>
  <c r="G407" i="10"/>
  <c r="G406" i="10"/>
  <c r="G405" i="10"/>
  <c r="G398" i="10"/>
  <c r="G397" i="10"/>
  <c r="G396" i="10"/>
  <c r="G395" i="10"/>
  <c r="G394" i="10"/>
  <c r="G393" i="10"/>
  <c r="G392" i="10" s="1"/>
  <c r="G391" i="10"/>
  <c r="F416" i="10"/>
  <c r="F415" i="10"/>
  <c r="F414" i="10"/>
  <c r="F409" i="10"/>
  <c r="F408" i="10"/>
  <c r="F407" i="10"/>
  <c r="F406" i="10"/>
  <c r="F405" i="10"/>
  <c r="F398" i="10"/>
  <c r="F397" i="10"/>
  <c r="F396" i="10"/>
  <c r="F395" i="10"/>
  <c r="F394" i="10"/>
  <c r="F393" i="10"/>
  <c r="F392" i="10" s="1"/>
  <c r="F336" i="10"/>
  <c r="R368" i="10"/>
  <c r="R367" i="10"/>
  <c r="R366" i="10"/>
  <c r="R365" i="10"/>
  <c r="R364" i="10"/>
  <c r="R363" i="10"/>
  <c r="R362" i="10"/>
  <c r="R361" i="10"/>
  <c r="R360" i="10"/>
  <c r="R359" i="10"/>
  <c r="R358" i="10"/>
  <c r="R357" i="10"/>
  <c r="R356" i="10"/>
  <c r="R355" i="10"/>
  <c r="R354" i="10"/>
  <c r="R353" i="10"/>
  <c r="R352" i="10"/>
  <c r="R351" i="10"/>
  <c r="R350" i="10"/>
  <c r="R346" i="10"/>
  <c r="R345" i="10"/>
  <c r="R341" i="10"/>
  <c r="R340" i="10"/>
  <c r="R339" i="10"/>
  <c r="R338" i="10"/>
  <c r="R337" i="10"/>
  <c r="R336" i="10"/>
  <c r="Q368" i="10"/>
  <c r="Q367" i="10"/>
  <c r="Q366" i="10"/>
  <c r="Q365" i="10"/>
  <c r="Q364" i="10"/>
  <c r="Q363" i="10"/>
  <c r="Q362" i="10"/>
  <c r="Q361" i="10"/>
  <c r="Q360" i="10"/>
  <c r="Q359" i="10"/>
  <c r="Q358" i="10"/>
  <c r="Q357" i="10"/>
  <c r="Q356" i="10"/>
  <c r="Q355" i="10"/>
  <c r="Q354" i="10"/>
  <c r="Q353" i="10"/>
  <c r="Q352" i="10"/>
  <c r="Q351" i="10"/>
  <c r="Q350" i="10"/>
  <c r="Q346" i="10"/>
  <c r="Q345" i="10"/>
  <c r="Q341" i="10"/>
  <c r="Q340" i="10"/>
  <c r="Q339" i="10"/>
  <c r="Q338" i="10"/>
  <c r="Q337" i="10"/>
  <c r="Q336" i="10"/>
  <c r="P368" i="10"/>
  <c r="P367" i="10"/>
  <c r="P366" i="10"/>
  <c r="P365" i="10"/>
  <c r="P364" i="10"/>
  <c r="P363" i="10"/>
  <c r="P362" i="10"/>
  <c r="P361" i="10"/>
  <c r="P360" i="10"/>
  <c r="P359" i="10"/>
  <c r="P358" i="10"/>
  <c r="P357" i="10"/>
  <c r="P356" i="10"/>
  <c r="P355" i="10"/>
  <c r="P354" i="10"/>
  <c r="P353" i="10"/>
  <c r="P352" i="10"/>
  <c r="P351" i="10"/>
  <c r="P350" i="10"/>
  <c r="P346" i="10"/>
  <c r="P345" i="10"/>
  <c r="P341" i="10"/>
  <c r="P340" i="10"/>
  <c r="P339" i="10"/>
  <c r="P338" i="10"/>
  <c r="P337" i="10"/>
  <c r="P336" i="10"/>
  <c r="O368" i="10"/>
  <c r="O367" i="10"/>
  <c r="O366" i="10"/>
  <c r="O365" i="10"/>
  <c r="O364" i="10"/>
  <c r="O363" i="10"/>
  <c r="O362" i="10"/>
  <c r="O361" i="10"/>
  <c r="O360" i="10"/>
  <c r="O359" i="10"/>
  <c r="O358" i="10"/>
  <c r="O357" i="10"/>
  <c r="O356" i="10"/>
  <c r="O355" i="10"/>
  <c r="O354" i="10"/>
  <c r="O353" i="10"/>
  <c r="O352" i="10"/>
  <c r="O351" i="10"/>
  <c r="O350" i="10"/>
  <c r="O346" i="10"/>
  <c r="O345" i="10"/>
  <c r="O341" i="10"/>
  <c r="O340" i="10"/>
  <c r="O339" i="10"/>
  <c r="O338" i="10"/>
  <c r="O337" i="10"/>
  <c r="O336" i="10"/>
  <c r="N368" i="10"/>
  <c r="N367" i="10"/>
  <c r="N366" i="10"/>
  <c r="N365" i="10"/>
  <c r="N364" i="10"/>
  <c r="N363" i="10"/>
  <c r="N362" i="10"/>
  <c r="N361" i="10"/>
  <c r="N360" i="10"/>
  <c r="N359" i="10"/>
  <c r="N358" i="10"/>
  <c r="N357" i="10"/>
  <c r="N356" i="10"/>
  <c r="N355" i="10"/>
  <c r="N354" i="10"/>
  <c r="N353" i="10"/>
  <c r="N352" i="10"/>
  <c r="N351" i="10"/>
  <c r="N350" i="10"/>
  <c r="N346" i="10"/>
  <c r="N345" i="10"/>
  <c r="N341" i="10"/>
  <c r="N340" i="10"/>
  <c r="N339" i="10"/>
  <c r="N338" i="10"/>
  <c r="N337" i="10"/>
  <c r="N336" i="10"/>
  <c r="M368" i="10"/>
  <c r="M367" i="10"/>
  <c r="M366" i="10"/>
  <c r="M365" i="10"/>
  <c r="M364" i="10"/>
  <c r="M363" i="10"/>
  <c r="M362" i="10"/>
  <c r="M361" i="10"/>
  <c r="M360" i="10"/>
  <c r="M359" i="10"/>
  <c r="M358" i="10"/>
  <c r="M357" i="10"/>
  <c r="M356" i="10"/>
  <c r="M355" i="10"/>
  <c r="M354" i="10"/>
  <c r="M353" i="10"/>
  <c r="M352" i="10"/>
  <c r="M351" i="10"/>
  <c r="M350" i="10"/>
  <c r="M346" i="10"/>
  <c r="M345" i="10"/>
  <c r="M341" i="10"/>
  <c r="M340" i="10"/>
  <c r="M339" i="10"/>
  <c r="M338" i="10"/>
  <c r="M337" i="10"/>
  <c r="M336" i="10"/>
  <c r="L368" i="10"/>
  <c r="L367" i="10"/>
  <c r="L366" i="10"/>
  <c r="L365" i="10"/>
  <c r="L364" i="10"/>
  <c r="L363" i="10"/>
  <c r="L362" i="10"/>
  <c r="L361" i="10"/>
  <c r="L360" i="10"/>
  <c r="L359" i="10"/>
  <c r="L358" i="10"/>
  <c r="L357" i="10"/>
  <c r="L356" i="10"/>
  <c r="L355" i="10"/>
  <c r="L354" i="10"/>
  <c r="L353" i="10"/>
  <c r="L352" i="10"/>
  <c r="L351" i="10"/>
  <c r="L350" i="10"/>
  <c r="L346" i="10"/>
  <c r="L345" i="10"/>
  <c r="L341" i="10"/>
  <c r="L340" i="10"/>
  <c r="L339" i="10"/>
  <c r="L338" i="10"/>
  <c r="L337" i="10"/>
  <c r="L336" i="10"/>
  <c r="K368" i="10"/>
  <c r="K367" i="10"/>
  <c r="K366" i="10"/>
  <c r="K365" i="10"/>
  <c r="K364" i="10"/>
  <c r="K363" i="10"/>
  <c r="K362" i="10"/>
  <c r="K361" i="10"/>
  <c r="K360" i="10"/>
  <c r="K359" i="10"/>
  <c r="K358" i="10"/>
  <c r="K357" i="10"/>
  <c r="K356" i="10"/>
  <c r="K355" i="10"/>
  <c r="K354" i="10"/>
  <c r="K353" i="10"/>
  <c r="K352" i="10"/>
  <c r="K351" i="10"/>
  <c r="K350" i="10"/>
  <c r="K346" i="10"/>
  <c r="K345" i="10"/>
  <c r="K341" i="10"/>
  <c r="K340" i="10"/>
  <c r="K339" i="10"/>
  <c r="K338" i="10"/>
  <c r="K337" i="10"/>
  <c r="K336" i="10"/>
  <c r="J368" i="10"/>
  <c r="J367" i="10"/>
  <c r="J366" i="10"/>
  <c r="J365" i="10"/>
  <c r="J364" i="10"/>
  <c r="J363" i="10"/>
  <c r="J362" i="10"/>
  <c r="J361" i="10"/>
  <c r="J360" i="10"/>
  <c r="J359" i="10"/>
  <c r="J358" i="10"/>
  <c r="J357" i="10"/>
  <c r="J356" i="10"/>
  <c r="J355" i="10"/>
  <c r="J354" i="10"/>
  <c r="J353" i="10"/>
  <c r="J352" i="10"/>
  <c r="J351" i="10"/>
  <c r="J350" i="10"/>
  <c r="J346" i="10"/>
  <c r="J345" i="10"/>
  <c r="J341" i="10"/>
  <c r="J340" i="10"/>
  <c r="J339" i="10"/>
  <c r="J338" i="10"/>
  <c r="J337" i="10"/>
  <c r="J336" i="10"/>
  <c r="I368" i="10"/>
  <c r="I367" i="10"/>
  <c r="I366" i="10"/>
  <c r="I365" i="10"/>
  <c r="I364" i="10"/>
  <c r="I363" i="10"/>
  <c r="I362" i="10"/>
  <c r="I361" i="10"/>
  <c r="I360" i="10"/>
  <c r="I359" i="10"/>
  <c r="I358" i="10"/>
  <c r="I357" i="10"/>
  <c r="I356" i="10"/>
  <c r="I355" i="10"/>
  <c r="I354" i="10"/>
  <c r="I353" i="10"/>
  <c r="I352" i="10"/>
  <c r="I351" i="10"/>
  <c r="I350" i="10"/>
  <c r="I346" i="10"/>
  <c r="I345" i="10"/>
  <c r="I341" i="10"/>
  <c r="I340" i="10"/>
  <c r="I339" i="10"/>
  <c r="I338" i="10"/>
  <c r="I337" i="10"/>
  <c r="I336" i="10"/>
  <c r="H368" i="10"/>
  <c r="H367" i="10"/>
  <c r="H366" i="10"/>
  <c r="H365" i="10"/>
  <c r="H364" i="10"/>
  <c r="H363" i="10"/>
  <c r="H362" i="10"/>
  <c r="H361" i="10"/>
  <c r="H360" i="10"/>
  <c r="H359" i="10"/>
  <c r="H358" i="10"/>
  <c r="H357" i="10"/>
  <c r="H356" i="10"/>
  <c r="H355" i="10"/>
  <c r="H354" i="10"/>
  <c r="H353" i="10"/>
  <c r="H352" i="10"/>
  <c r="H351" i="10"/>
  <c r="H350" i="10"/>
  <c r="H346" i="10"/>
  <c r="H345" i="10"/>
  <c r="H341" i="10"/>
  <c r="H340" i="10"/>
  <c r="H339" i="10"/>
  <c r="H338" i="10"/>
  <c r="H337" i="10"/>
  <c r="H336" i="10"/>
  <c r="G368" i="10"/>
  <c r="G367" i="10"/>
  <c r="G366" i="10"/>
  <c r="G365" i="10"/>
  <c r="G364" i="10"/>
  <c r="G363" i="10"/>
  <c r="G362" i="10"/>
  <c r="G361" i="10"/>
  <c r="G360" i="10"/>
  <c r="G359" i="10"/>
  <c r="G358" i="10"/>
  <c r="G357" i="10"/>
  <c r="G356" i="10"/>
  <c r="G355" i="10"/>
  <c r="G354" i="10"/>
  <c r="G353" i="10"/>
  <c r="G352" i="10"/>
  <c r="G351" i="10"/>
  <c r="G350" i="10"/>
  <c r="G346" i="10"/>
  <c r="G345" i="10"/>
  <c r="G341" i="10"/>
  <c r="G340" i="10"/>
  <c r="G339" i="10"/>
  <c r="G338" i="10"/>
  <c r="G337" i="10"/>
  <c r="G336" i="10"/>
  <c r="F368" i="10"/>
  <c r="F367" i="10"/>
  <c r="F366" i="10"/>
  <c r="F365" i="10"/>
  <c r="F364" i="10"/>
  <c r="F363" i="10"/>
  <c r="F362" i="10"/>
  <c r="F361" i="10"/>
  <c r="F360" i="10"/>
  <c r="F359" i="10"/>
  <c r="F358" i="10"/>
  <c r="F357" i="10"/>
  <c r="F356" i="10"/>
  <c r="F355" i="10"/>
  <c r="F354" i="10"/>
  <c r="F353" i="10"/>
  <c r="F352" i="10"/>
  <c r="F351" i="10"/>
  <c r="F350" i="10"/>
  <c r="F346" i="10"/>
  <c r="F345" i="10"/>
  <c r="F341" i="10"/>
  <c r="F340" i="10"/>
  <c r="F339" i="10"/>
  <c r="F338" i="10"/>
  <c r="F337" i="10"/>
  <c r="S443" i="10"/>
  <c r="R443" i="10"/>
  <c r="Q443" i="10"/>
  <c r="P443" i="10"/>
  <c r="O443" i="10"/>
  <c r="N443" i="10"/>
  <c r="M443" i="10"/>
  <c r="L443" i="10"/>
  <c r="K443" i="10"/>
  <c r="J443" i="10"/>
  <c r="I443" i="10"/>
  <c r="H443" i="10"/>
  <c r="G443" i="10"/>
  <c r="F443" i="10"/>
  <c r="G437" i="10"/>
  <c r="G436" i="10"/>
  <c r="G435" i="10"/>
  <c r="I434" i="10"/>
  <c r="A434" i="10"/>
  <c r="A433" i="10"/>
  <c r="S389" i="10"/>
  <c r="R389" i="10"/>
  <c r="Q389" i="10"/>
  <c r="P389" i="10"/>
  <c r="O389" i="10"/>
  <c r="N389" i="10"/>
  <c r="M389" i="10"/>
  <c r="L389" i="10"/>
  <c r="K389" i="10"/>
  <c r="J389" i="10"/>
  <c r="I389" i="10"/>
  <c r="H389" i="10"/>
  <c r="G389" i="10"/>
  <c r="F389" i="10"/>
  <c r="G383" i="10"/>
  <c r="G382" i="10"/>
  <c r="G381" i="10"/>
  <c r="I380" i="10"/>
  <c r="A380" i="10"/>
  <c r="H347" i="10" l="1"/>
  <c r="P347" i="10"/>
  <c r="R417" i="10"/>
  <c r="G417" i="10"/>
  <c r="G347" i="10"/>
  <c r="O347" i="10"/>
  <c r="J417" i="10"/>
  <c r="R410" i="10"/>
  <c r="R347" i="10"/>
  <c r="N347" i="10"/>
  <c r="H417" i="10"/>
  <c r="M347" i="10"/>
  <c r="J347" i="10"/>
  <c r="P481" i="10"/>
  <c r="P417" i="10"/>
  <c r="K452" i="10"/>
  <c r="S463" i="10"/>
  <c r="S353" i="10"/>
  <c r="N369" i="10"/>
  <c r="J410" i="10"/>
  <c r="O417" i="10"/>
  <c r="P399" i="10"/>
  <c r="F347" i="10"/>
  <c r="S457" i="10"/>
  <c r="K468" i="10"/>
  <c r="F369" i="10"/>
  <c r="K342" i="10"/>
  <c r="S339" i="10"/>
  <c r="S361" i="10"/>
  <c r="O369" i="10"/>
  <c r="S446" i="10"/>
  <c r="H399" i="10"/>
  <c r="S475" i="10"/>
  <c r="M342" i="10"/>
  <c r="I481" i="10"/>
  <c r="F342" i="10"/>
  <c r="G342" i="10"/>
  <c r="S351" i="10"/>
  <c r="S360" i="10"/>
  <c r="S367" i="10"/>
  <c r="I410" i="10"/>
  <c r="Q410" i="10"/>
  <c r="S407" i="10"/>
  <c r="S415" i="10"/>
  <c r="S416" i="10"/>
  <c r="F452" i="10"/>
  <c r="N452" i="10"/>
  <c r="S459" i="10"/>
  <c r="S465" i="10"/>
  <c r="L481" i="10"/>
  <c r="K481" i="10"/>
  <c r="Q481" i="10"/>
  <c r="N342" i="10"/>
  <c r="L342" i="10"/>
  <c r="O342" i="10"/>
  <c r="S352" i="10"/>
  <c r="S359" i="10"/>
  <c r="S368" i="10"/>
  <c r="J399" i="10"/>
  <c r="R399" i="10"/>
  <c r="H342" i="10"/>
  <c r="P342" i="10"/>
  <c r="S341" i="10"/>
  <c r="I347" i="10"/>
  <c r="Q347" i="10"/>
  <c r="I369" i="10"/>
  <c r="Q369" i="10"/>
  <c r="K399" i="10"/>
  <c r="S398" i="10"/>
  <c r="S408" i="10"/>
  <c r="S409" i="10"/>
  <c r="I417" i="10"/>
  <c r="Q417" i="10"/>
  <c r="S445" i="10"/>
  <c r="G452" i="10"/>
  <c r="O452" i="10"/>
  <c r="S456" i="10"/>
  <c r="N468" i="10"/>
  <c r="S462" i="10"/>
  <c r="S478" i="10"/>
  <c r="Q342" i="10"/>
  <c r="R369" i="10"/>
  <c r="P369" i="10"/>
  <c r="S365" i="10"/>
  <c r="L399" i="10"/>
  <c r="S395" i="10"/>
  <c r="J452" i="10"/>
  <c r="R452" i="10"/>
  <c r="L468" i="10"/>
  <c r="S345" i="10"/>
  <c r="S354" i="10"/>
  <c r="S362" i="10"/>
  <c r="S396" i="10"/>
  <c r="S397" i="10"/>
  <c r="L410" i="10"/>
  <c r="G410" i="10"/>
  <c r="O410" i="10"/>
  <c r="F417" i="10"/>
  <c r="N417" i="10"/>
  <c r="H452" i="10"/>
  <c r="P452" i="10"/>
  <c r="S447" i="10"/>
  <c r="M468" i="10"/>
  <c r="S458" i="10"/>
  <c r="S464" i="10"/>
  <c r="N481" i="10"/>
  <c r="S480" i="10"/>
  <c r="J369" i="10"/>
  <c r="S357" i="10"/>
  <c r="S467" i="10"/>
  <c r="R342" i="10"/>
  <c r="S346" i="10"/>
  <c r="S340" i="10"/>
  <c r="L347" i="10"/>
  <c r="L369" i="10"/>
  <c r="S355" i="10"/>
  <c r="S356" i="10"/>
  <c r="S363" i="10"/>
  <c r="S364" i="10"/>
  <c r="F399" i="10"/>
  <c r="N399" i="10"/>
  <c r="M410" i="10"/>
  <c r="H410" i="10"/>
  <c r="P410" i="10"/>
  <c r="L417" i="10"/>
  <c r="I452" i="10"/>
  <c r="Q452" i="10"/>
  <c r="S455" i="10"/>
  <c r="S461" i="10"/>
  <c r="G481" i="10"/>
  <c r="O481" i="10"/>
  <c r="S477" i="10"/>
  <c r="I342" i="10"/>
  <c r="H369" i="10"/>
  <c r="S450" i="10"/>
  <c r="J342" i="10"/>
  <c r="S337" i="10"/>
  <c r="M369" i="10"/>
  <c r="S391" i="10"/>
  <c r="O399" i="10"/>
  <c r="S394" i="10"/>
  <c r="F410" i="10"/>
  <c r="N410" i="10"/>
  <c r="M417" i="10"/>
  <c r="M452" i="10"/>
  <c r="S449" i="10"/>
  <c r="G468" i="10"/>
  <c r="O468" i="10"/>
  <c r="J468" i="10"/>
  <c r="R468" i="10"/>
  <c r="S466" i="10"/>
  <c r="S474" i="10"/>
  <c r="S479" i="10"/>
  <c r="S350" i="10"/>
  <c r="S358" i="10"/>
  <c r="S366" i="10"/>
  <c r="I399" i="10"/>
  <c r="Q399" i="10"/>
  <c r="K410" i="10"/>
  <c r="S414" i="10"/>
  <c r="L452" i="10"/>
  <c r="S451" i="10"/>
  <c r="I468" i="10"/>
  <c r="Q468" i="10"/>
  <c r="H481" i="10"/>
  <c r="J481" i="10"/>
  <c r="R481" i="10"/>
  <c r="S476" i="10"/>
  <c r="S392" i="10"/>
  <c r="M481" i="10"/>
  <c r="M399" i="10"/>
  <c r="S471" i="10"/>
  <c r="S460" i="10"/>
  <c r="H468" i="10"/>
  <c r="P468" i="10"/>
  <c r="S338" i="10"/>
  <c r="S336" i="10"/>
  <c r="K347" i="10"/>
  <c r="K369" i="10"/>
  <c r="F468" i="10"/>
  <c r="S448" i="10"/>
  <c r="S472" i="10"/>
  <c r="U462" i="10" s="1"/>
  <c r="G369" i="10"/>
  <c r="S393" i="10"/>
  <c r="G399" i="10"/>
  <c r="S405" i="10"/>
  <c r="S473" i="10"/>
  <c r="S406" i="10"/>
  <c r="K417" i="10"/>
  <c r="U461" i="10" l="1"/>
  <c r="G85" i="18"/>
  <c r="G91" i="18" s="1"/>
  <c r="G96" i="18"/>
  <c r="G70" i="18"/>
  <c r="G74" i="18" s="1"/>
  <c r="G76" i="18" s="1"/>
  <c r="G97" i="18"/>
  <c r="N401" i="10"/>
  <c r="N488" i="10" s="1"/>
  <c r="M401" i="10"/>
  <c r="M488" i="10" s="1"/>
  <c r="G401" i="10"/>
  <c r="G488" i="10" s="1"/>
  <c r="S417" i="10"/>
  <c r="J401" i="10"/>
  <c r="J488" i="10" s="1"/>
  <c r="F401" i="10"/>
  <c r="P483" i="10"/>
  <c r="R401" i="10"/>
  <c r="R488" i="10" s="1"/>
  <c r="O401" i="10"/>
  <c r="O488" i="10" s="1"/>
  <c r="H401" i="10"/>
  <c r="H488" i="10" s="1"/>
  <c r="P401" i="10"/>
  <c r="P488" i="10" s="1"/>
  <c r="Q401" i="10"/>
  <c r="Q488" i="10" s="1"/>
  <c r="I483" i="10"/>
  <c r="G483" i="10"/>
  <c r="R483" i="10"/>
  <c r="N483" i="10"/>
  <c r="L483" i="10"/>
  <c r="J483" i="10"/>
  <c r="H483" i="10"/>
  <c r="I401" i="10"/>
  <c r="I488" i="10" s="1"/>
  <c r="L401" i="10"/>
  <c r="L488" i="10" s="1"/>
  <c r="Q483" i="10"/>
  <c r="M483" i="10"/>
  <c r="S369" i="10"/>
  <c r="K401" i="10"/>
  <c r="K488" i="10" s="1"/>
  <c r="S399" i="10"/>
  <c r="S468" i="10"/>
  <c r="S410" i="10"/>
  <c r="K483" i="10"/>
  <c r="S342" i="10"/>
  <c r="S347" i="10"/>
  <c r="S452" i="10"/>
  <c r="O483" i="10"/>
  <c r="F481" i="10"/>
  <c r="F483" i="10" s="1"/>
  <c r="F489" i="10" s="1"/>
  <c r="S481" i="10"/>
  <c r="G100" i="18" l="1"/>
  <c r="G102" i="18" s="1"/>
  <c r="G104" i="18" s="1"/>
  <c r="J491" i="10"/>
  <c r="J489" i="10"/>
  <c r="L491" i="10"/>
  <c r="L489" i="10"/>
  <c r="N489" i="10"/>
  <c r="N491" i="10"/>
  <c r="P489" i="10"/>
  <c r="P491" i="10"/>
  <c r="H489" i="10"/>
  <c r="H491" i="10"/>
  <c r="O489" i="10"/>
  <c r="O491" i="10"/>
  <c r="R491" i="10"/>
  <c r="R489" i="10"/>
  <c r="G489" i="10"/>
  <c r="G491" i="10"/>
  <c r="I489" i="10"/>
  <c r="I491" i="10"/>
  <c r="M491" i="10"/>
  <c r="M489" i="10"/>
  <c r="Q489" i="10"/>
  <c r="Q491" i="10"/>
  <c r="F488" i="10"/>
  <c r="F491" i="10"/>
  <c r="K489" i="10"/>
  <c r="K491" i="10"/>
  <c r="U342" i="10"/>
  <c r="U343" i="10" s="1"/>
  <c r="S401" i="10"/>
  <c r="S483" i="10"/>
  <c r="S489" i="10" s="1"/>
  <c r="S491" i="10" l="1"/>
  <c r="S488" i="10"/>
  <c r="G110" i="18"/>
  <c r="G106" i="18"/>
  <c r="G111" i="18" l="1"/>
  <c r="R11" i="18" l="1"/>
  <c r="K83" i="18"/>
  <c r="L83" i="18" l="1"/>
  <c r="U83" i="18"/>
  <c r="V55" i="18"/>
  <c r="G312" i="10" l="1"/>
  <c r="H312" i="10"/>
  <c r="I312" i="10"/>
  <c r="J312" i="10"/>
  <c r="K312" i="10"/>
  <c r="L312" i="10"/>
  <c r="M312" i="10"/>
  <c r="N312" i="10"/>
  <c r="O312" i="10"/>
  <c r="P312" i="10"/>
  <c r="Q312" i="10"/>
  <c r="R312" i="10"/>
  <c r="F312" i="10"/>
  <c r="A51" i="17" l="1"/>
  <c r="X14" i="18" l="1"/>
  <c r="G68" i="10"/>
  <c r="H68" i="10"/>
  <c r="I68" i="10"/>
  <c r="J68" i="10"/>
  <c r="K68" i="10"/>
  <c r="L68" i="10"/>
  <c r="M68" i="10"/>
  <c r="N68" i="10"/>
  <c r="O68" i="10"/>
  <c r="P68" i="10"/>
  <c r="Q68" i="10"/>
  <c r="R68" i="10"/>
  <c r="F68" i="10"/>
  <c r="S68" i="10" l="1"/>
  <c r="U433" i="12" l="1"/>
  <c r="U432" i="12"/>
  <c r="U431" i="12"/>
  <c r="U430" i="12"/>
  <c r="U436" i="12" s="1"/>
  <c r="U429" i="12"/>
  <c r="U435" i="12" s="1"/>
  <c r="U426" i="12"/>
  <c r="U425" i="12"/>
  <c r="U424" i="12"/>
  <c r="U423" i="12"/>
  <c r="U422" i="12"/>
  <c r="U421" i="12"/>
  <c r="U420" i="12"/>
  <c r="U419" i="12"/>
  <c r="U418" i="12"/>
  <c r="U417" i="12"/>
  <c r="U416" i="12"/>
  <c r="U415" i="12"/>
  <c r="U414" i="12"/>
  <c r="U413" i="12"/>
  <c r="U412" i="12"/>
  <c r="U411" i="12"/>
  <c r="U410" i="12"/>
  <c r="U409" i="12"/>
  <c r="U408" i="12"/>
  <c r="U407" i="12"/>
  <c r="U406" i="12"/>
  <c r="U405" i="12"/>
  <c r="U404" i="12"/>
  <c r="U403" i="12"/>
  <c r="U402" i="12"/>
  <c r="U401" i="12"/>
  <c r="U400" i="12"/>
  <c r="U399" i="12"/>
  <c r="U398" i="12"/>
  <c r="U397" i="12"/>
  <c r="U396" i="12"/>
  <c r="U395" i="12"/>
  <c r="U394" i="12"/>
  <c r="U393" i="12"/>
  <c r="U392" i="12"/>
  <c r="U391" i="12"/>
  <c r="U390" i="12"/>
  <c r="U389" i="12"/>
  <c r="U388" i="12"/>
  <c r="U387" i="12"/>
  <c r="U386" i="12"/>
  <c r="U385" i="12"/>
  <c r="U384" i="12"/>
  <c r="U383" i="12"/>
  <c r="U382" i="12"/>
  <c r="U381" i="12"/>
  <c r="U380" i="12"/>
  <c r="U379" i="12"/>
  <c r="U378" i="12"/>
  <c r="U377" i="12"/>
  <c r="U376" i="12"/>
  <c r="U375" i="12"/>
  <c r="U374" i="12"/>
  <c r="U373" i="12"/>
  <c r="U372" i="12"/>
  <c r="U371" i="12"/>
  <c r="U370" i="12"/>
  <c r="U369" i="12"/>
  <c r="U368" i="12"/>
  <c r="U367" i="12"/>
  <c r="U366" i="12"/>
  <c r="U365" i="12"/>
  <c r="U364" i="12"/>
  <c r="U363" i="12"/>
  <c r="U362" i="12"/>
  <c r="U361" i="12"/>
  <c r="U360" i="12"/>
  <c r="U359" i="12"/>
  <c r="U358" i="12"/>
  <c r="U357" i="12"/>
  <c r="U356" i="12"/>
  <c r="U355" i="12"/>
  <c r="U354" i="12"/>
  <c r="U353" i="12"/>
  <c r="U352" i="12"/>
  <c r="U351" i="12"/>
  <c r="U350" i="12"/>
  <c r="U349" i="12"/>
  <c r="U348" i="12"/>
  <c r="U347" i="12"/>
  <c r="U346" i="12"/>
  <c r="U345" i="12"/>
  <c r="U344" i="12"/>
  <c r="U343" i="12"/>
  <c r="U342" i="12"/>
  <c r="U341" i="12"/>
  <c r="U340" i="12"/>
  <c r="U339" i="12"/>
  <c r="U338" i="12"/>
  <c r="U337" i="12"/>
  <c r="U336" i="12"/>
  <c r="U335" i="12"/>
  <c r="U334" i="12"/>
  <c r="U333" i="12"/>
  <c r="U332" i="12"/>
  <c r="U331" i="12"/>
  <c r="U330" i="12"/>
  <c r="U329" i="12"/>
  <c r="U328" i="12"/>
  <c r="U327" i="12"/>
  <c r="U326" i="12"/>
  <c r="U325" i="12"/>
  <c r="U324" i="12"/>
  <c r="U323" i="12"/>
  <c r="U322" i="12"/>
  <c r="U321" i="12"/>
  <c r="U320" i="12"/>
  <c r="U319" i="12"/>
  <c r="U318" i="12"/>
  <c r="U317" i="12"/>
  <c r="U316" i="12"/>
  <c r="U315" i="12"/>
  <c r="U314" i="12"/>
  <c r="U313" i="12"/>
  <c r="U312" i="12"/>
  <c r="U311" i="12"/>
  <c r="U310" i="12"/>
  <c r="U309" i="12"/>
  <c r="U308" i="12"/>
  <c r="U307" i="12"/>
  <c r="U306" i="12"/>
  <c r="U305" i="12"/>
  <c r="U304" i="12"/>
  <c r="U303" i="12"/>
  <c r="U302" i="12"/>
  <c r="U301" i="12"/>
  <c r="U300" i="12"/>
  <c r="U299" i="12"/>
  <c r="U298" i="12"/>
  <c r="U297" i="12"/>
  <c r="U296" i="12"/>
  <c r="U295" i="12"/>
  <c r="U294" i="12"/>
  <c r="U293" i="12"/>
  <c r="U292" i="12"/>
  <c r="U291" i="12"/>
  <c r="U290" i="12"/>
  <c r="U289" i="12"/>
  <c r="U288" i="12"/>
  <c r="U287" i="12"/>
  <c r="U286" i="12"/>
  <c r="U285" i="12"/>
  <c r="U284" i="12"/>
  <c r="U283" i="12"/>
  <c r="U282" i="12"/>
  <c r="U281" i="12"/>
  <c r="U280" i="12"/>
  <c r="U279" i="12"/>
  <c r="U278" i="12"/>
  <c r="U277" i="12"/>
  <c r="U276" i="12"/>
  <c r="U275" i="12"/>
  <c r="U274" i="12"/>
  <c r="U273" i="12"/>
  <c r="U272" i="12"/>
  <c r="U271" i="12"/>
  <c r="U270" i="12"/>
  <c r="U269" i="12"/>
  <c r="U268" i="12"/>
  <c r="U267" i="12"/>
  <c r="U266" i="12"/>
  <c r="U265" i="12"/>
  <c r="U264" i="12"/>
  <c r="U263" i="12"/>
  <c r="U262" i="12"/>
  <c r="U261" i="12"/>
  <c r="U260" i="12"/>
  <c r="U259" i="12"/>
  <c r="U258" i="12"/>
  <c r="U257" i="12"/>
  <c r="U256" i="12"/>
  <c r="U255" i="12"/>
  <c r="U254" i="12"/>
  <c r="U253" i="12"/>
  <c r="U252" i="12"/>
  <c r="U251" i="12"/>
  <c r="U250" i="12"/>
  <c r="U249" i="12"/>
  <c r="U248" i="12"/>
  <c r="U247" i="12"/>
  <c r="U246" i="12"/>
  <c r="U245" i="12"/>
  <c r="U244" i="12"/>
  <c r="U243" i="12"/>
  <c r="U242" i="12"/>
  <c r="U241" i="12"/>
  <c r="U240" i="12"/>
  <c r="U239" i="12"/>
  <c r="U238" i="12"/>
  <c r="U237" i="12"/>
  <c r="U236" i="12"/>
  <c r="U235" i="12"/>
  <c r="U234" i="12"/>
  <c r="U233" i="12"/>
  <c r="U232" i="12"/>
  <c r="U231" i="12"/>
  <c r="U230" i="12"/>
  <c r="U229" i="12"/>
  <c r="U228" i="12"/>
  <c r="U227" i="12"/>
  <c r="U226" i="12"/>
  <c r="U225" i="12"/>
  <c r="U224" i="12"/>
  <c r="U223" i="12"/>
  <c r="U222" i="12"/>
  <c r="U221" i="12"/>
  <c r="U220" i="12"/>
  <c r="U219" i="12"/>
  <c r="U218" i="12"/>
  <c r="U217" i="12"/>
  <c r="U216" i="12"/>
  <c r="U215" i="12"/>
  <c r="U214" i="12"/>
  <c r="U213" i="12"/>
  <c r="U212" i="12"/>
  <c r="U211" i="12"/>
  <c r="U210" i="12"/>
  <c r="U209" i="12"/>
  <c r="U208" i="12"/>
  <c r="U207" i="12"/>
  <c r="U206" i="12"/>
  <c r="U205" i="12"/>
  <c r="U204" i="12"/>
  <c r="U203" i="12"/>
  <c r="U202" i="12"/>
  <c r="U201" i="12"/>
  <c r="U200" i="12"/>
  <c r="U199" i="12"/>
  <c r="U198" i="12"/>
  <c r="U197" i="12"/>
  <c r="U196" i="12"/>
  <c r="U195" i="12"/>
  <c r="U194" i="12"/>
  <c r="U193" i="12"/>
  <c r="U192" i="12"/>
  <c r="U191" i="12"/>
  <c r="U190" i="12"/>
  <c r="U189" i="12"/>
  <c r="U188" i="12"/>
  <c r="U187" i="12"/>
  <c r="U186" i="12"/>
  <c r="U185" i="12"/>
  <c r="U184" i="12"/>
  <c r="U183" i="12"/>
  <c r="U182" i="12"/>
  <c r="U181" i="12"/>
  <c r="U180" i="12"/>
  <c r="U179" i="12"/>
  <c r="U178" i="12"/>
  <c r="U177" i="12"/>
  <c r="U176" i="12"/>
  <c r="U175" i="12"/>
  <c r="U174" i="12"/>
  <c r="U173" i="12"/>
  <c r="U172" i="12"/>
  <c r="U171" i="12"/>
  <c r="U170" i="12"/>
  <c r="U169" i="12"/>
  <c r="U168" i="12"/>
  <c r="U167" i="12"/>
  <c r="U166" i="12"/>
  <c r="U165" i="12"/>
  <c r="U164" i="12"/>
  <c r="U163" i="12"/>
  <c r="U162" i="12"/>
  <c r="U161" i="12"/>
  <c r="U160" i="12"/>
  <c r="U159" i="12"/>
  <c r="U158" i="12"/>
  <c r="U157" i="12"/>
  <c r="U156" i="12"/>
  <c r="U155" i="12"/>
  <c r="U154" i="12"/>
  <c r="U153" i="12"/>
  <c r="U152" i="12"/>
  <c r="U151" i="12"/>
  <c r="U150" i="12"/>
  <c r="U149" i="12"/>
  <c r="U148" i="12"/>
  <c r="U147" i="12"/>
  <c r="U146" i="12"/>
  <c r="U145" i="12"/>
  <c r="U144" i="12"/>
  <c r="U143" i="12"/>
  <c r="U142" i="12"/>
  <c r="U141" i="12"/>
  <c r="U140" i="12"/>
  <c r="U139" i="12"/>
  <c r="U138" i="12"/>
  <c r="U137" i="12"/>
  <c r="U136" i="12"/>
  <c r="U135" i="12"/>
  <c r="U134" i="12"/>
  <c r="U133" i="12"/>
  <c r="U132" i="12"/>
  <c r="U131" i="12"/>
  <c r="U130" i="12"/>
  <c r="U129" i="12"/>
  <c r="U128" i="12"/>
  <c r="U127" i="12"/>
  <c r="U126" i="12"/>
  <c r="U125" i="12"/>
  <c r="U124" i="12"/>
  <c r="U123" i="12"/>
  <c r="U122" i="12"/>
  <c r="U121" i="12"/>
  <c r="U120" i="12"/>
  <c r="U11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U28" i="12"/>
  <c r="U27" i="12"/>
  <c r="U26" i="12"/>
  <c r="U25" i="12"/>
  <c r="U24" i="12"/>
  <c r="U23" i="12"/>
  <c r="U22" i="12"/>
  <c r="U21" i="12"/>
  <c r="U20" i="12"/>
  <c r="U19" i="12"/>
  <c r="U18" i="12"/>
  <c r="U17" i="12"/>
  <c r="U16" i="12"/>
  <c r="U15" i="12"/>
  <c r="U14" i="12"/>
  <c r="U13" i="12"/>
  <c r="U12" i="12"/>
  <c r="U11" i="12"/>
  <c r="U10" i="12"/>
  <c r="U9" i="12"/>
  <c r="U8" i="12"/>
  <c r="U7" i="12"/>
  <c r="U6" i="12"/>
  <c r="U437" i="12" l="1"/>
  <c r="V68" i="12"/>
  <c r="U1" i="12"/>
  <c r="U2" i="12"/>
  <c r="X105" i="18" l="1"/>
  <c r="X103" i="18"/>
  <c r="X101" i="18"/>
  <c r="X93" i="18"/>
  <c r="X92" i="18"/>
  <c r="X78" i="18"/>
  <c r="X77" i="18"/>
  <c r="X75" i="18"/>
  <c r="X69" i="18"/>
  <c r="X68" i="18"/>
  <c r="X67" i="18"/>
  <c r="X66" i="18"/>
  <c r="X65" i="18"/>
  <c r="X64" i="18"/>
  <c r="X63" i="18"/>
  <c r="X62" i="18"/>
  <c r="Q62" i="18"/>
  <c r="A62" i="18"/>
  <c r="X61" i="18"/>
  <c r="Q61" i="18"/>
  <c r="X60" i="18"/>
  <c r="Q60" i="18"/>
  <c r="G60" i="18"/>
  <c r="X59" i="18"/>
  <c r="Q59" i="18"/>
  <c r="G59" i="18"/>
  <c r="X58" i="18"/>
  <c r="G58" i="18"/>
  <c r="X57" i="18"/>
  <c r="H57" i="18"/>
  <c r="A57" i="18"/>
  <c r="X56" i="18"/>
  <c r="X26" i="18"/>
  <c r="A60" i="17"/>
  <c r="W83" i="18" l="1"/>
  <c r="X83" i="18" s="1"/>
  <c r="X91" i="18" l="1"/>
  <c r="X21" i="18"/>
  <c r="B436" i="12" l="1"/>
  <c r="A436" i="12"/>
  <c r="B435" i="12"/>
  <c r="A435" i="12"/>
  <c r="B434" i="12"/>
  <c r="A434" i="12"/>
  <c r="B433" i="12"/>
  <c r="A433" i="12"/>
  <c r="B432" i="12"/>
  <c r="A432" i="12"/>
  <c r="B431" i="12"/>
  <c r="A431" i="12"/>
  <c r="B430" i="12"/>
  <c r="A430" i="12"/>
  <c r="B429" i="12"/>
  <c r="A429" i="12"/>
  <c r="B428" i="12"/>
  <c r="A428" i="12"/>
  <c r="B427" i="12"/>
  <c r="A427" i="12"/>
  <c r="B426" i="12"/>
  <c r="A426" i="12"/>
  <c r="B425" i="12"/>
  <c r="A425" i="12"/>
  <c r="B424" i="12"/>
  <c r="A424" i="12"/>
  <c r="B423" i="12"/>
  <c r="A423" i="12"/>
  <c r="B422" i="12"/>
  <c r="A422" i="12"/>
  <c r="B421" i="12"/>
  <c r="A421" i="12"/>
  <c r="B420" i="12"/>
  <c r="A420" i="12"/>
  <c r="B419" i="12"/>
  <c r="A419" i="12"/>
  <c r="B418" i="12"/>
  <c r="A418" i="12"/>
  <c r="B417" i="12"/>
  <c r="A417" i="12"/>
  <c r="B416" i="12"/>
  <c r="A416" i="12"/>
  <c r="B415" i="12"/>
  <c r="A415" i="12"/>
  <c r="B414" i="12"/>
  <c r="A414" i="12"/>
  <c r="B413" i="12"/>
  <c r="A413" i="12"/>
  <c r="B412" i="12"/>
  <c r="A412" i="12"/>
  <c r="B411" i="12"/>
  <c r="A411" i="12"/>
  <c r="B410" i="12"/>
  <c r="A410" i="12"/>
  <c r="B409" i="12"/>
  <c r="A409" i="12"/>
  <c r="B408" i="12"/>
  <c r="A408" i="12"/>
  <c r="B407" i="12"/>
  <c r="A407" i="12"/>
  <c r="B406" i="12"/>
  <c r="A406" i="12"/>
  <c r="B405" i="12"/>
  <c r="A405" i="12"/>
  <c r="B404" i="12"/>
  <c r="A404" i="12"/>
  <c r="B403" i="12"/>
  <c r="A403" i="12"/>
  <c r="B402" i="12"/>
  <c r="A402" i="12"/>
  <c r="B401" i="12"/>
  <c r="A401" i="12"/>
  <c r="B400" i="12"/>
  <c r="A400" i="12"/>
  <c r="B399" i="12"/>
  <c r="A399" i="12"/>
  <c r="B398" i="12"/>
  <c r="A398" i="12"/>
  <c r="B397" i="12"/>
  <c r="A397" i="12"/>
  <c r="B396" i="12"/>
  <c r="A396" i="12"/>
  <c r="B395" i="12"/>
  <c r="A395" i="12"/>
  <c r="B394" i="12"/>
  <c r="A394" i="12"/>
  <c r="B393" i="12"/>
  <c r="A393" i="12"/>
  <c r="B392" i="12"/>
  <c r="A392" i="12"/>
  <c r="B391" i="12"/>
  <c r="A391" i="12"/>
  <c r="B390" i="12"/>
  <c r="A390" i="12"/>
  <c r="B389" i="12"/>
  <c r="A389" i="12"/>
  <c r="B388" i="12"/>
  <c r="A388" i="12"/>
  <c r="B387" i="12"/>
  <c r="A387" i="12"/>
  <c r="B386" i="12"/>
  <c r="A386" i="12"/>
  <c r="B385" i="12"/>
  <c r="A385" i="12"/>
  <c r="B384" i="12"/>
  <c r="A384" i="12"/>
  <c r="B383" i="12"/>
  <c r="A383" i="12"/>
  <c r="B382" i="12"/>
  <c r="A382" i="12"/>
  <c r="B381" i="12"/>
  <c r="A381" i="12"/>
  <c r="B380" i="12"/>
  <c r="A380" i="12"/>
  <c r="B379" i="12"/>
  <c r="A379" i="12"/>
  <c r="B378" i="12"/>
  <c r="A378" i="12"/>
  <c r="B377" i="12"/>
  <c r="A377" i="12"/>
  <c r="B376" i="12"/>
  <c r="A376" i="12"/>
  <c r="B375" i="12"/>
  <c r="A375" i="12"/>
  <c r="B374" i="12"/>
  <c r="A374" i="12"/>
  <c r="B373" i="12"/>
  <c r="A373" i="12"/>
  <c r="B372" i="12"/>
  <c r="A372" i="12"/>
  <c r="B371" i="12"/>
  <c r="A371" i="12"/>
  <c r="B370" i="12"/>
  <c r="A370" i="12"/>
  <c r="B369" i="12"/>
  <c r="A369" i="12"/>
  <c r="B368" i="12"/>
  <c r="A368" i="12"/>
  <c r="B367" i="12"/>
  <c r="A367" i="12"/>
  <c r="B366" i="12"/>
  <c r="A366" i="12"/>
  <c r="B365" i="12"/>
  <c r="A365" i="12"/>
  <c r="B364" i="12"/>
  <c r="A364" i="12"/>
  <c r="B363" i="12"/>
  <c r="A363" i="12"/>
  <c r="B362" i="12"/>
  <c r="A362" i="12"/>
  <c r="B361" i="12"/>
  <c r="A361" i="12"/>
  <c r="B360" i="12"/>
  <c r="A360" i="12"/>
  <c r="B359" i="12"/>
  <c r="A359" i="12"/>
  <c r="B358" i="12"/>
  <c r="A358" i="12"/>
  <c r="B357" i="12"/>
  <c r="A357" i="12"/>
  <c r="B356" i="12"/>
  <c r="A356" i="12"/>
  <c r="B355" i="12"/>
  <c r="A355" i="12"/>
  <c r="B354" i="12"/>
  <c r="A354" i="12"/>
  <c r="B353" i="12"/>
  <c r="A353" i="12"/>
  <c r="B352" i="12"/>
  <c r="A352" i="12"/>
  <c r="B351" i="12"/>
  <c r="A351" i="12"/>
  <c r="B350" i="12"/>
  <c r="A350" i="12"/>
  <c r="B349" i="12"/>
  <c r="A349" i="12"/>
  <c r="B348" i="12"/>
  <c r="A348" i="12"/>
  <c r="B347" i="12"/>
  <c r="A347" i="12"/>
  <c r="B346" i="12"/>
  <c r="A346" i="12"/>
  <c r="B345" i="12"/>
  <c r="A345" i="12"/>
  <c r="B344" i="12"/>
  <c r="A344" i="12"/>
  <c r="B343" i="12"/>
  <c r="A343" i="12"/>
  <c r="B342" i="12"/>
  <c r="A342" i="12"/>
  <c r="B341" i="12"/>
  <c r="A341" i="12"/>
  <c r="B340" i="12"/>
  <c r="A340" i="12"/>
  <c r="B339" i="12"/>
  <c r="A339" i="12"/>
  <c r="B338" i="12"/>
  <c r="A338" i="12"/>
  <c r="B337" i="12"/>
  <c r="A337" i="12"/>
  <c r="B336" i="12"/>
  <c r="A336" i="12"/>
  <c r="B335" i="12"/>
  <c r="A335" i="12"/>
  <c r="B334" i="12"/>
  <c r="A334" i="12"/>
  <c r="B333" i="12"/>
  <c r="A333" i="12"/>
  <c r="B332" i="12"/>
  <c r="A332" i="12"/>
  <c r="B331" i="12"/>
  <c r="A331" i="12"/>
  <c r="B330" i="12"/>
  <c r="A330" i="12"/>
  <c r="B329" i="12"/>
  <c r="A329" i="12"/>
  <c r="B328" i="12"/>
  <c r="A328" i="12"/>
  <c r="B327" i="12"/>
  <c r="A327" i="12"/>
  <c r="B326" i="12"/>
  <c r="A326" i="12"/>
  <c r="B325" i="12"/>
  <c r="A325" i="12"/>
  <c r="B324" i="12"/>
  <c r="A324" i="12"/>
  <c r="B323" i="12"/>
  <c r="A323" i="12"/>
  <c r="B322" i="12"/>
  <c r="A322" i="12"/>
  <c r="B321" i="12"/>
  <c r="A321" i="12"/>
  <c r="B320" i="12"/>
  <c r="A320" i="12"/>
  <c r="B319" i="12"/>
  <c r="A319" i="12"/>
  <c r="B318" i="12"/>
  <c r="A318" i="12"/>
  <c r="B317" i="12"/>
  <c r="A317" i="12"/>
  <c r="B316" i="12"/>
  <c r="A316" i="12"/>
  <c r="B315" i="12"/>
  <c r="A315" i="12"/>
  <c r="B314" i="12"/>
  <c r="A314" i="12"/>
  <c r="B313" i="12"/>
  <c r="A313" i="12"/>
  <c r="B312" i="12"/>
  <c r="A312" i="12"/>
  <c r="B311" i="12"/>
  <c r="A311" i="12"/>
  <c r="B310" i="12"/>
  <c r="A310" i="12"/>
  <c r="B309" i="12"/>
  <c r="A309" i="12"/>
  <c r="B308" i="12"/>
  <c r="A308" i="12"/>
  <c r="B307" i="12"/>
  <c r="A307" i="12"/>
  <c r="B306" i="12"/>
  <c r="A306" i="12"/>
  <c r="B305" i="12"/>
  <c r="A305" i="12"/>
  <c r="B304" i="12"/>
  <c r="A304" i="12"/>
  <c r="B303" i="12"/>
  <c r="A303" i="12"/>
  <c r="B302" i="12"/>
  <c r="A302" i="12"/>
  <c r="B301" i="12"/>
  <c r="A301" i="12"/>
  <c r="B300" i="12"/>
  <c r="A300" i="12"/>
  <c r="B299" i="12"/>
  <c r="A299" i="12"/>
  <c r="B298" i="12"/>
  <c r="A298" i="12"/>
  <c r="B297" i="12"/>
  <c r="A297" i="12"/>
  <c r="B296" i="12"/>
  <c r="A296" i="12"/>
  <c r="B295" i="12"/>
  <c r="A295" i="12"/>
  <c r="B294" i="12"/>
  <c r="A294" i="12"/>
  <c r="B293" i="12"/>
  <c r="A293" i="12"/>
  <c r="B292" i="12"/>
  <c r="A292" i="12"/>
  <c r="B291" i="12"/>
  <c r="A291" i="12"/>
  <c r="B290" i="12"/>
  <c r="A290" i="12"/>
  <c r="B289" i="12"/>
  <c r="A289" i="12"/>
  <c r="B288" i="12"/>
  <c r="A288" i="12"/>
  <c r="B287" i="12"/>
  <c r="A287" i="12"/>
  <c r="B286" i="12"/>
  <c r="A286" i="12"/>
  <c r="B285" i="12"/>
  <c r="A285" i="12"/>
  <c r="B284" i="12"/>
  <c r="A284" i="12"/>
  <c r="B283" i="12"/>
  <c r="A283" i="12"/>
  <c r="B282" i="12"/>
  <c r="A282" i="12"/>
  <c r="B281" i="12"/>
  <c r="A281" i="12"/>
  <c r="B280" i="12"/>
  <c r="A280" i="12"/>
  <c r="B279" i="12"/>
  <c r="A279" i="12"/>
  <c r="B278" i="12"/>
  <c r="A278" i="12"/>
  <c r="B277" i="12"/>
  <c r="A277" i="12"/>
  <c r="B276" i="12"/>
  <c r="A276" i="12"/>
  <c r="B275" i="12"/>
  <c r="A275" i="12"/>
  <c r="B274" i="12"/>
  <c r="A274" i="12"/>
  <c r="B273" i="12"/>
  <c r="A273" i="12"/>
  <c r="B272" i="12"/>
  <c r="A272" i="12"/>
  <c r="B271" i="12"/>
  <c r="A271" i="12"/>
  <c r="B270" i="12"/>
  <c r="A270" i="12"/>
  <c r="B269" i="12"/>
  <c r="A269" i="12"/>
  <c r="B268" i="12"/>
  <c r="A268" i="12"/>
  <c r="B267" i="12"/>
  <c r="A267" i="12"/>
  <c r="B266" i="12"/>
  <c r="A266" i="12"/>
  <c r="B265" i="12"/>
  <c r="A265" i="12"/>
  <c r="B264" i="12"/>
  <c r="A264" i="12"/>
  <c r="B263" i="12"/>
  <c r="A263" i="12"/>
  <c r="B262" i="12"/>
  <c r="A262" i="12"/>
  <c r="B261" i="12"/>
  <c r="A261" i="12"/>
  <c r="B260" i="12"/>
  <c r="A260" i="12"/>
  <c r="B259" i="12"/>
  <c r="A259" i="12"/>
  <c r="B258" i="12"/>
  <c r="A258" i="12"/>
  <c r="B257" i="12"/>
  <c r="A257" i="12"/>
  <c r="B256" i="12"/>
  <c r="A256" i="12"/>
  <c r="B255" i="12"/>
  <c r="A255" i="12"/>
  <c r="B254" i="12"/>
  <c r="A254" i="12"/>
  <c r="B253" i="12"/>
  <c r="A253" i="12"/>
  <c r="B252" i="12"/>
  <c r="A252" i="12"/>
  <c r="B251" i="12"/>
  <c r="A251" i="12"/>
  <c r="B250" i="12"/>
  <c r="A250" i="12"/>
  <c r="B249" i="12"/>
  <c r="A249" i="12"/>
  <c r="B248" i="12"/>
  <c r="A248" i="12"/>
  <c r="B247" i="12"/>
  <c r="A247" i="12"/>
  <c r="B246" i="12"/>
  <c r="A246" i="12"/>
  <c r="B245" i="12"/>
  <c r="A245" i="12"/>
  <c r="B244" i="12"/>
  <c r="A244" i="12"/>
  <c r="B243" i="12"/>
  <c r="A243" i="12"/>
  <c r="B242" i="12"/>
  <c r="A242" i="12"/>
  <c r="B241" i="12"/>
  <c r="A241" i="12"/>
  <c r="B240" i="12"/>
  <c r="A240" i="12"/>
  <c r="B239" i="12"/>
  <c r="A239" i="12"/>
  <c r="B238" i="12"/>
  <c r="A238" i="12"/>
  <c r="B237" i="12"/>
  <c r="A237" i="12"/>
  <c r="B236" i="12"/>
  <c r="A236" i="12"/>
  <c r="B235" i="12"/>
  <c r="A235" i="12"/>
  <c r="B234" i="12"/>
  <c r="A234" i="12"/>
  <c r="B233" i="12"/>
  <c r="A233" i="12"/>
  <c r="B232" i="12"/>
  <c r="A232" i="12"/>
  <c r="B231" i="12"/>
  <c r="A231" i="12"/>
  <c r="B230" i="12"/>
  <c r="A230" i="12"/>
  <c r="B229" i="12"/>
  <c r="A229" i="12"/>
  <c r="B228" i="12"/>
  <c r="A228" i="12"/>
  <c r="B227" i="12"/>
  <c r="A227" i="12"/>
  <c r="B226" i="12"/>
  <c r="A226" i="12"/>
  <c r="B225" i="12"/>
  <c r="A225" i="12"/>
  <c r="B224" i="12"/>
  <c r="A224" i="12"/>
  <c r="B223" i="12"/>
  <c r="A223" i="12"/>
  <c r="B222" i="12"/>
  <c r="A222" i="12"/>
  <c r="B221" i="12"/>
  <c r="A221" i="12"/>
  <c r="B220" i="12"/>
  <c r="A220" i="12"/>
  <c r="B219" i="12"/>
  <c r="A219" i="12"/>
  <c r="B218" i="12"/>
  <c r="A218" i="12"/>
  <c r="B217" i="12"/>
  <c r="A217" i="12"/>
  <c r="B216" i="12"/>
  <c r="A216" i="12"/>
  <c r="B215" i="12"/>
  <c r="A215" i="12"/>
  <c r="B214" i="12"/>
  <c r="A214" i="12"/>
  <c r="B213" i="12"/>
  <c r="A213" i="12"/>
  <c r="B212" i="12"/>
  <c r="A212" i="12"/>
  <c r="B211" i="12"/>
  <c r="A211" i="12"/>
  <c r="B210" i="12"/>
  <c r="A210" i="12"/>
  <c r="B209" i="12"/>
  <c r="A209" i="12"/>
  <c r="B208" i="12"/>
  <c r="A208" i="12"/>
  <c r="B207" i="12"/>
  <c r="A207" i="12"/>
  <c r="B206" i="12"/>
  <c r="A206" i="12"/>
  <c r="B205" i="12"/>
  <c r="A205" i="12"/>
  <c r="B204" i="12"/>
  <c r="A204" i="12"/>
  <c r="B203" i="12"/>
  <c r="A203" i="12"/>
  <c r="B202" i="12"/>
  <c r="A202" i="12"/>
  <c r="B201" i="12"/>
  <c r="A201" i="12"/>
  <c r="B200" i="12"/>
  <c r="A200" i="12"/>
  <c r="B199" i="12"/>
  <c r="A199" i="12"/>
  <c r="B198" i="12"/>
  <c r="A198" i="12"/>
  <c r="B197" i="12"/>
  <c r="A197" i="12"/>
  <c r="B196" i="12"/>
  <c r="A196" i="12"/>
  <c r="B195" i="12"/>
  <c r="A195" i="12"/>
  <c r="B194" i="12"/>
  <c r="A194" i="12"/>
  <c r="B193" i="12"/>
  <c r="A193" i="12"/>
  <c r="B192" i="12"/>
  <c r="A192" i="12"/>
  <c r="B191" i="12"/>
  <c r="A191" i="12"/>
  <c r="B190" i="12"/>
  <c r="A190" i="12"/>
  <c r="B189" i="12"/>
  <c r="A189" i="12"/>
  <c r="B188" i="12"/>
  <c r="A188" i="12"/>
  <c r="B187" i="12"/>
  <c r="A187" i="12"/>
  <c r="B186" i="12"/>
  <c r="A186" i="12"/>
  <c r="B185" i="12"/>
  <c r="A185" i="12"/>
  <c r="B184" i="12"/>
  <c r="A184" i="12"/>
  <c r="B183" i="12"/>
  <c r="A183" i="12"/>
  <c r="B182" i="12"/>
  <c r="A182" i="12"/>
  <c r="B181" i="12"/>
  <c r="A181" i="12"/>
  <c r="B180" i="12"/>
  <c r="A180" i="12"/>
  <c r="B179" i="12"/>
  <c r="A179" i="12"/>
  <c r="B178" i="12"/>
  <c r="A178" i="12"/>
  <c r="B177" i="12"/>
  <c r="A177" i="12"/>
  <c r="B176" i="12"/>
  <c r="A176" i="12"/>
  <c r="B175" i="12"/>
  <c r="A175" i="12"/>
  <c r="B174" i="12"/>
  <c r="A174" i="12"/>
  <c r="B173" i="12"/>
  <c r="A173" i="12"/>
  <c r="B172" i="12"/>
  <c r="A172" i="12"/>
  <c r="B171" i="12"/>
  <c r="A171" i="12"/>
  <c r="B170" i="12"/>
  <c r="A170" i="12"/>
  <c r="B169" i="12"/>
  <c r="A169" i="12"/>
  <c r="B168" i="12"/>
  <c r="A168" i="12"/>
  <c r="B167" i="12"/>
  <c r="A167" i="12"/>
  <c r="B166" i="12"/>
  <c r="A166" i="12"/>
  <c r="B165" i="12"/>
  <c r="A165" i="12"/>
  <c r="B164" i="12"/>
  <c r="A164" i="12"/>
  <c r="B163" i="12"/>
  <c r="A163" i="12"/>
  <c r="B162" i="12"/>
  <c r="A162" i="12"/>
  <c r="B161" i="12"/>
  <c r="A161" i="12"/>
  <c r="B160" i="12"/>
  <c r="A160" i="12"/>
  <c r="B159" i="12"/>
  <c r="A159" i="12"/>
  <c r="B158" i="12"/>
  <c r="A158" i="12"/>
  <c r="B157" i="12"/>
  <c r="A157" i="12"/>
  <c r="B156" i="12"/>
  <c r="A156" i="12"/>
  <c r="B155" i="12"/>
  <c r="A155" i="12"/>
  <c r="B154" i="12"/>
  <c r="A154" i="12"/>
  <c r="B153" i="12"/>
  <c r="A153" i="12"/>
  <c r="B152" i="12"/>
  <c r="A152" i="12"/>
  <c r="B151" i="12"/>
  <c r="A151" i="12"/>
  <c r="B150" i="12"/>
  <c r="A150" i="12"/>
  <c r="B149" i="12"/>
  <c r="A149" i="12"/>
  <c r="B148" i="12"/>
  <c r="A148" i="12"/>
  <c r="B147" i="12"/>
  <c r="A147" i="12"/>
  <c r="B146" i="12"/>
  <c r="A146" i="12"/>
  <c r="B145" i="12"/>
  <c r="A145" i="12"/>
  <c r="B144" i="12"/>
  <c r="A144" i="12"/>
  <c r="B143" i="12"/>
  <c r="A143" i="12"/>
  <c r="B142" i="12"/>
  <c r="A142" i="12"/>
  <c r="B141" i="12"/>
  <c r="A141" i="12"/>
  <c r="B140" i="12"/>
  <c r="A140" i="12"/>
  <c r="B139" i="12"/>
  <c r="A139" i="12"/>
  <c r="B138" i="12"/>
  <c r="A138" i="12"/>
  <c r="B137" i="12"/>
  <c r="A137" i="12"/>
  <c r="B136" i="12"/>
  <c r="A136" i="12"/>
  <c r="B135" i="12"/>
  <c r="A135" i="12"/>
  <c r="B134" i="12"/>
  <c r="A134" i="12"/>
  <c r="B133" i="12"/>
  <c r="A133" i="12"/>
  <c r="B132" i="12"/>
  <c r="A132" i="12"/>
  <c r="B131" i="12"/>
  <c r="A131" i="12"/>
  <c r="B130" i="12"/>
  <c r="A130" i="12"/>
  <c r="B129" i="12"/>
  <c r="A129" i="12"/>
  <c r="B128" i="12"/>
  <c r="A128" i="12"/>
  <c r="B127" i="12"/>
  <c r="A127" i="12"/>
  <c r="B126" i="12"/>
  <c r="A126" i="12"/>
  <c r="B125" i="12"/>
  <c r="A125" i="12"/>
  <c r="B124" i="12"/>
  <c r="A124" i="12"/>
  <c r="B123" i="12"/>
  <c r="A123" i="12"/>
  <c r="B122" i="12"/>
  <c r="A122" i="12"/>
  <c r="B121" i="12"/>
  <c r="A121" i="12"/>
  <c r="B120" i="12"/>
  <c r="A120" i="12"/>
  <c r="B119" i="12"/>
  <c r="A119" i="12"/>
  <c r="B118" i="12"/>
  <c r="A118" i="12"/>
  <c r="B117" i="12"/>
  <c r="A117" i="12"/>
  <c r="B116" i="12"/>
  <c r="A116" i="12"/>
  <c r="B115" i="12"/>
  <c r="A115" i="12"/>
  <c r="B114" i="12"/>
  <c r="A114" i="12"/>
  <c r="B113" i="12"/>
  <c r="A113" i="12"/>
  <c r="B112" i="12"/>
  <c r="A112" i="12"/>
  <c r="B111" i="12"/>
  <c r="A111" i="12"/>
  <c r="B110" i="12"/>
  <c r="A110" i="12"/>
  <c r="B109" i="12"/>
  <c r="A109" i="12"/>
  <c r="B108" i="12"/>
  <c r="A108" i="12"/>
  <c r="B107" i="12"/>
  <c r="A107" i="12"/>
  <c r="B106" i="12"/>
  <c r="A106" i="12"/>
  <c r="B105" i="12"/>
  <c r="A105" i="12"/>
  <c r="B104" i="12"/>
  <c r="A104" i="12"/>
  <c r="B103" i="12"/>
  <c r="A103" i="12"/>
  <c r="B102" i="12"/>
  <c r="A102" i="12"/>
  <c r="B101" i="12"/>
  <c r="A101" i="12"/>
  <c r="B100" i="12"/>
  <c r="A100" i="12"/>
  <c r="B99" i="12"/>
  <c r="A99" i="12"/>
  <c r="B98" i="12"/>
  <c r="A98" i="12"/>
  <c r="B97" i="12"/>
  <c r="A97" i="12"/>
  <c r="B96" i="12"/>
  <c r="A96" i="12"/>
  <c r="B95" i="12"/>
  <c r="A95" i="12"/>
  <c r="B94" i="12"/>
  <c r="A94" i="12"/>
  <c r="B93" i="12"/>
  <c r="A93" i="12"/>
  <c r="B92" i="12"/>
  <c r="A92" i="12"/>
  <c r="B91" i="12"/>
  <c r="A91" i="12"/>
  <c r="B90" i="12"/>
  <c r="A90" i="12"/>
  <c r="B89" i="12"/>
  <c r="A89" i="12"/>
  <c r="B88" i="12"/>
  <c r="A88" i="12"/>
  <c r="B87" i="12"/>
  <c r="A87" i="12"/>
  <c r="B86" i="12"/>
  <c r="A86" i="12"/>
  <c r="B85" i="12"/>
  <c r="A85" i="12"/>
  <c r="B84" i="12"/>
  <c r="A84" i="12"/>
  <c r="B83" i="12"/>
  <c r="A83" i="12"/>
  <c r="B82" i="12"/>
  <c r="A82" i="12"/>
  <c r="B81" i="12"/>
  <c r="A81" i="12"/>
  <c r="B80" i="12"/>
  <c r="A80" i="12"/>
  <c r="B79" i="12"/>
  <c r="A79" i="12"/>
  <c r="B78" i="12"/>
  <c r="A78" i="12"/>
  <c r="B77" i="12"/>
  <c r="A77" i="12"/>
  <c r="B76" i="12"/>
  <c r="A76" i="12"/>
  <c r="B75" i="12"/>
  <c r="A75" i="12"/>
  <c r="B74" i="12"/>
  <c r="A74" i="12"/>
  <c r="B73" i="12"/>
  <c r="A73" i="12"/>
  <c r="B72" i="12"/>
  <c r="A72" i="12"/>
  <c r="B71" i="12"/>
  <c r="A71" i="12"/>
  <c r="B70" i="12"/>
  <c r="A70" i="12"/>
  <c r="B69" i="12"/>
  <c r="A69" i="12"/>
  <c r="B68" i="12"/>
  <c r="A68" i="12"/>
  <c r="B67" i="12"/>
  <c r="A67" i="12"/>
  <c r="B66" i="12"/>
  <c r="A66" i="12"/>
  <c r="B65" i="12"/>
  <c r="A65" i="12"/>
  <c r="B64" i="12"/>
  <c r="A64" i="12"/>
  <c r="B63" i="12"/>
  <c r="A63" i="12"/>
  <c r="B62" i="12"/>
  <c r="A62" i="12"/>
  <c r="B61" i="12"/>
  <c r="A61" i="12"/>
  <c r="B60" i="12"/>
  <c r="A60" i="12"/>
  <c r="B59" i="12"/>
  <c r="A59" i="12"/>
  <c r="B58" i="12"/>
  <c r="A58" i="12"/>
  <c r="B57" i="12"/>
  <c r="A57" i="12"/>
  <c r="B56" i="12"/>
  <c r="A56" i="12"/>
  <c r="B55" i="12"/>
  <c r="A55" i="12"/>
  <c r="B54" i="12"/>
  <c r="A54" i="12"/>
  <c r="B53" i="12"/>
  <c r="A53" i="12"/>
  <c r="B52" i="12"/>
  <c r="A52" i="12"/>
  <c r="B51" i="12"/>
  <c r="A51" i="12"/>
  <c r="B50" i="12"/>
  <c r="A50" i="12"/>
  <c r="B49" i="12"/>
  <c r="A49" i="12"/>
  <c r="B48" i="12"/>
  <c r="A48" i="12"/>
  <c r="B47" i="12"/>
  <c r="A47" i="12"/>
  <c r="B46" i="12"/>
  <c r="A46" i="12"/>
  <c r="B45" i="12"/>
  <c r="A45" i="12"/>
  <c r="B44" i="12"/>
  <c r="A44" i="12"/>
  <c r="B43" i="12"/>
  <c r="A43" i="12"/>
  <c r="B42" i="12"/>
  <c r="A42" i="12"/>
  <c r="B41" i="12"/>
  <c r="A41" i="12"/>
  <c r="B40" i="12"/>
  <c r="A40" i="12"/>
  <c r="B39" i="12"/>
  <c r="A39" i="12"/>
  <c r="B38" i="12"/>
  <c r="A38" i="12"/>
  <c r="B37" i="12"/>
  <c r="A37" i="12"/>
  <c r="B36" i="12"/>
  <c r="A36" i="12"/>
  <c r="B35" i="12"/>
  <c r="A35" i="12"/>
  <c r="B34" i="12"/>
  <c r="A34" i="12"/>
  <c r="B33" i="12"/>
  <c r="A33" i="12"/>
  <c r="B32" i="12"/>
  <c r="A32" i="12"/>
  <c r="B31" i="12"/>
  <c r="A31" i="12"/>
  <c r="B30" i="12"/>
  <c r="A30" i="12"/>
  <c r="B29" i="12"/>
  <c r="A29" i="12"/>
  <c r="B28" i="12"/>
  <c r="A28" i="12"/>
  <c r="B27" i="12"/>
  <c r="A27" i="12"/>
  <c r="B26" i="12"/>
  <c r="A26" i="12"/>
  <c r="B25" i="12"/>
  <c r="A25" i="12"/>
  <c r="B24" i="12"/>
  <c r="A24" i="12"/>
  <c r="B23" i="12"/>
  <c r="A23" i="12"/>
  <c r="B22" i="12"/>
  <c r="A22" i="12"/>
  <c r="B21" i="12"/>
  <c r="A21" i="12"/>
  <c r="B20" i="12"/>
  <c r="A20" i="12"/>
  <c r="B19" i="12"/>
  <c r="A19" i="12"/>
  <c r="B18" i="12"/>
  <c r="A18" i="12"/>
  <c r="B17" i="12"/>
  <c r="A17" i="12"/>
  <c r="B16" i="12"/>
  <c r="A16" i="12"/>
  <c r="B15" i="12"/>
  <c r="A15" i="12"/>
  <c r="B14" i="12"/>
  <c r="A14" i="12"/>
  <c r="B13" i="12"/>
  <c r="A13" i="12"/>
  <c r="B12" i="12"/>
  <c r="A12" i="12"/>
  <c r="B11" i="12"/>
  <c r="A11" i="12"/>
  <c r="B10" i="12"/>
  <c r="A10" i="12"/>
  <c r="B9" i="12"/>
  <c r="A9" i="12"/>
  <c r="B8" i="12"/>
  <c r="A8" i="12"/>
  <c r="B7" i="12"/>
  <c r="A7" i="12"/>
  <c r="B6" i="12"/>
  <c r="A6" i="12"/>
  <c r="S2" i="12"/>
  <c r="R2" i="12"/>
  <c r="Q2" i="12"/>
  <c r="P2" i="12"/>
  <c r="O2" i="12"/>
  <c r="N2" i="12"/>
  <c r="M2" i="12"/>
  <c r="L2" i="12"/>
  <c r="K2" i="12"/>
  <c r="J2" i="12"/>
  <c r="I2" i="12"/>
  <c r="H2" i="12"/>
  <c r="G2" i="12"/>
  <c r="S1" i="12"/>
  <c r="R1" i="12"/>
  <c r="Q1" i="12"/>
  <c r="P1" i="12"/>
  <c r="O1" i="12"/>
  <c r="N1" i="12"/>
  <c r="M1" i="12"/>
  <c r="L1" i="12"/>
  <c r="K1" i="12"/>
  <c r="J1" i="12"/>
  <c r="I1" i="12"/>
  <c r="H1" i="12"/>
  <c r="G1" i="12"/>
  <c r="U501" i="11"/>
  <c r="U426" i="11"/>
  <c r="B426" i="11"/>
  <c r="A426" i="11"/>
  <c r="U425" i="11"/>
  <c r="B425" i="11"/>
  <c r="A425" i="11"/>
  <c r="U424" i="11"/>
  <c r="B424" i="11"/>
  <c r="A424" i="11"/>
  <c r="U423" i="11"/>
  <c r="B423" i="11"/>
  <c r="A423" i="11"/>
  <c r="U422" i="11"/>
  <c r="B422" i="11"/>
  <c r="A422" i="11"/>
  <c r="U421" i="11"/>
  <c r="B421" i="11"/>
  <c r="A421" i="11"/>
  <c r="U420" i="11"/>
  <c r="B420" i="11"/>
  <c r="A420" i="11"/>
  <c r="U419" i="11"/>
  <c r="B419" i="11"/>
  <c r="A419" i="11"/>
  <c r="U418" i="11"/>
  <c r="B418" i="11"/>
  <c r="A418" i="11"/>
  <c r="U417" i="11"/>
  <c r="B417" i="11"/>
  <c r="A417" i="11"/>
  <c r="U416" i="11"/>
  <c r="B416" i="11"/>
  <c r="A416" i="11"/>
  <c r="U415" i="11"/>
  <c r="B415" i="11"/>
  <c r="A415" i="11"/>
  <c r="U414" i="11"/>
  <c r="B414" i="11"/>
  <c r="A414" i="11"/>
  <c r="U413" i="11"/>
  <c r="B413" i="11"/>
  <c r="A413" i="11"/>
  <c r="U412" i="11"/>
  <c r="B412" i="11"/>
  <c r="A412" i="11"/>
  <c r="U411" i="11"/>
  <c r="B411" i="11"/>
  <c r="A411" i="11"/>
  <c r="U410" i="11"/>
  <c r="B410" i="11"/>
  <c r="A410" i="11"/>
  <c r="U409" i="11"/>
  <c r="B409" i="11"/>
  <c r="A409" i="11"/>
  <c r="U408" i="11"/>
  <c r="B408" i="11"/>
  <c r="A408" i="11"/>
  <c r="U407" i="11"/>
  <c r="B407" i="11"/>
  <c r="A407" i="11"/>
  <c r="U406" i="11"/>
  <c r="B406" i="11"/>
  <c r="A406" i="11"/>
  <c r="U405" i="11"/>
  <c r="B405" i="11"/>
  <c r="A405" i="11"/>
  <c r="U404" i="11"/>
  <c r="B404" i="11"/>
  <c r="A404" i="11"/>
  <c r="U403" i="11"/>
  <c r="B403" i="11"/>
  <c r="A403" i="11"/>
  <c r="U402" i="11"/>
  <c r="B402" i="11"/>
  <c r="A402" i="11"/>
  <c r="U401" i="11"/>
  <c r="B401" i="11"/>
  <c r="A401" i="11"/>
  <c r="U400" i="11"/>
  <c r="B400" i="11"/>
  <c r="A400" i="11"/>
  <c r="U399" i="11"/>
  <c r="B399" i="11"/>
  <c r="A399" i="11"/>
  <c r="U398" i="11"/>
  <c r="B398" i="11"/>
  <c r="A398" i="11"/>
  <c r="U397" i="11"/>
  <c r="B397" i="11"/>
  <c r="A397" i="11"/>
  <c r="U396" i="11"/>
  <c r="B396" i="11"/>
  <c r="A396" i="11"/>
  <c r="U395" i="11"/>
  <c r="B395" i="11"/>
  <c r="A395" i="11"/>
  <c r="U394" i="11"/>
  <c r="B394" i="11"/>
  <c r="A394" i="11"/>
  <c r="U393" i="11"/>
  <c r="B393" i="11"/>
  <c r="A393" i="11"/>
  <c r="U392" i="11"/>
  <c r="B392" i="11"/>
  <c r="A392" i="11"/>
  <c r="U391" i="11"/>
  <c r="B391" i="11"/>
  <c r="A391" i="11"/>
  <c r="U390" i="11"/>
  <c r="B390" i="11"/>
  <c r="A390" i="11"/>
  <c r="U389" i="11"/>
  <c r="B389" i="11"/>
  <c r="A389" i="11"/>
  <c r="U388" i="11"/>
  <c r="B388" i="11"/>
  <c r="A388" i="11"/>
  <c r="U387" i="11"/>
  <c r="B387" i="11"/>
  <c r="A387" i="11"/>
  <c r="U386" i="11"/>
  <c r="B386" i="11"/>
  <c r="A386" i="11"/>
  <c r="U385" i="11"/>
  <c r="B385" i="11"/>
  <c r="A385" i="11"/>
  <c r="U384" i="11"/>
  <c r="B384" i="11"/>
  <c r="A384" i="11"/>
  <c r="U383" i="11"/>
  <c r="B383" i="11"/>
  <c r="A383" i="11"/>
  <c r="U382" i="11"/>
  <c r="B382" i="11"/>
  <c r="A382" i="11"/>
  <c r="U381" i="11"/>
  <c r="B381" i="11"/>
  <c r="A381" i="11"/>
  <c r="U380" i="11"/>
  <c r="B380" i="11"/>
  <c r="A380" i="11"/>
  <c r="U379" i="11"/>
  <c r="B379" i="11"/>
  <c r="A379" i="11"/>
  <c r="U378" i="11"/>
  <c r="B378" i="11"/>
  <c r="A378" i="11"/>
  <c r="U377" i="11"/>
  <c r="B377" i="11"/>
  <c r="A377" i="11"/>
  <c r="U376" i="11"/>
  <c r="B376" i="11"/>
  <c r="A376" i="11"/>
  <c r="U375" i="11"/>
  <c r="B375" i="11"/>
  <c r="A375" i="11"/>
  <c r="U374" i="11"/>
  <c r="B374" i="11"/>
  <c r="A374" i="11"/>
  <c r="U373" i="11"/>
  <c r="B373" i="11"/>
  <c r="A373" i="11"/>
  <c r="U372" i="11"/>
  <c r="B372" i="11"/>
  <c r="A372" i="11"/>
  <c r="U371" i="11"/>
  <c r="B371" i="11"/>
  <c r="A371" i="11"/>
  <c r="U370" i="11"/>
  <c r="B370" i="11"/>
  <c r="A370" i="11"/>
  <c r="U369" i="11"/>
  <c r="B369" i="11"/>
  <c r="A369" i="11"/>
  <c r="U368" i="11"/>
  <c r="B368" i="11"/>
  <c r="A368" i="11"/>
  <c r="U367" i="11"/>
  <c r="B367" i="11"/>
  <c r="A367" i="11"/>
  <c r="U366" i="11"/>
  <c r="B366" i="11"/>
  <c r="A366" i="11"/>
  <c r="U365" i="11"/>
  <c r="B365" i="11"/>
  <c r="A365" i="11"/>
  <c r="U364" i="11"/>
  <c r="B364" i="11"/>
  <c r="A364" i="11"/>
  <c r="U363" i="11"/>
  <c r="B363" i="11"/>
  <c r="A363" i="11"/>
  <c r="U362" i="11"/>
  <c r="B362" i="11"/>
  <c r="A362" i="11"/>
  <c r="U361" i="11"/>
  <c r="B361" i="11"/>
  <c r="A361" i="11"/>
  <c r="U360" i="11"/>
  <c r="B360" i="11"/>
  <c r="A360" i="11"/>
  <c r="U359" i="11"/>
  <c r="B359" i="11"/>
  <c r="A359" i="11"/>
  <c r="U358" i="11"/>
  <c r="B358" i="11"/>
  <c r="A358" i="11"/>
  <c r="U357" i="11"/>
  <c r="B357" i="11"/>
  <c r="A357" i="11"/>
  <c r="U356" i="11"/>
  <c r="B356" i="11"/>
  <c r="A356" i="11"/>
  <c r="U355" i="11"/>
  <c r="B355" i="11"/>
  <c r="A355" i="11"/>
  <c r="U354" i="11"/>
  <c r="B354" i="11"/>
  <c r="A354" i="11"/>
  <c r="U353" i="11"/>
  <c r="B353" i="11"/>
  <c r="A353" i="11"/>
  <c r="U352" i="11"/>
  <c r="B352" i="11"/>
  <c r="A352" i="11"/>
  <c r="U351" i="11"/>
  <c r="B351" i="11"/>
  <c r="A351" i="11"/>
  <c r="U350" i="11"/>
  <c r="B350" i="11"/>
  <c r="A350" i="11"/>
  <c r="U349" i="11"/>
  <c r="B349" i="11"/>
  <c r="A349" i="11"/>
  <c r="U348" i="11"/>
  <c r="B348" i="11"/>
  <c r="A348" i="11"/>
  <c r="U347" i="11"/>
  <c r="B347" i="11"/>
  <c r="A347" i="11"/>
  <c r="U346" i="11"/>
  <c r="B346" i="11"/>
  <c r="A346" i="11"/>
  <c r="U345" i="11"/>
  <c r="B345" i="11"/>
  <c r="A345" i="11"/>
  <c r="U344" i="11"/>
  <c r="B344" i="11"/>
  <c r="A344" i="11"/>
  <c r="U343" i="11"/>
  <c r="B343" i="11"/>
  <c r="A343" i="11"/>
  <c r="U342" i="11"/>
  <c r="B342" i="11"/>
  <c r="A342" i="11"/>
  <c r="U341" i="11"/>
  <c r="B341" i="11"/>
  <c r="A341" i="11"/>
  <c r="U340" i="11"/>
  <c r="B340" i="11"/>
  <c r="A340" i="11"/>
  <c r="U339" i="11"/>
  <c r="B339" i="11"/>
  <c r="A339" i="11"/>
  <c r="U338" i="11"/>
  <c r="B338" i="11"/>
  <c r="A338" i="11"/>
  <c r="U337" i="11"/>
  <c r="B337" i="11"/>
  <c r="A337" i="11"/>
  <c r="U336" i="11"/>
  <c r="B336" i="11"/>
  <c r="A336" i="11"/>
  <c r="U335" i="11"/>
  <c r="B335" i="11"/>
  <c r="A335" i="11"/>
  <c r="U334" i="11"/>
  <c r="B334" i="11"/>
  <c r="A334" i="11"/>
  <c r="U333" i="11"/>
  <c r="B333" i="11"/>
  <c r="A333" i="11"/>
  <c r="U332" i="11"/>
  <c r="B332" i="11"/>
  <c r="A332" i="11"/>
  <c r="U331" i="11"/>
  <c r="B331" i="11"/>
  <c r="A331" i="11"/>
  <c r="U330" i="11"/>
  <c r="B330" i="11"/>
  <c r="A330" i="11"/>
  <c r="U329" i="11"/>
  <c r="B329" i="11"/>
  <c r="A329" i="11"/>
  <c r="U328" i="11"/>
  <c r="B328" i="11"/>
  <c r="A328" i="11"/>
  <c r="U327" i="11"/>
  <c r="B327" i="11"/>
  <c r="A327" i="11"/>
  <c r="U326" i="11"/>
  <c r="B326" i="11"/>
  <c r="A326" i="11"/>
  <c r="U325" i="11"/>
  <c r="B325" i="11"/>
  <c r="A325" i="11"/>
  <c r="U324" i="11"/>
  <c r="B324" i="11"/>
  <c r="A324" i="11"/>
  <c r="U323" i="11"/>
  <c r="B323" i="11"/>
  <c r="A323" i="11"/>
  <c r="U322" i="11"/>
  <c r="B322" i="11"/>
  <c r="A322" i="11"/>
  <c r="U321" i="11"/>
  <c r="B321" i="11"/>
  <c r="A321" i="11"/>
  <c r="U320" i="11"/>
  <c r="B320" i="11"/>
  <c r="A320" i="11"/>
  <c r="U319" i="11"/>
  <c r="B319" i="11"/>
  <c r="A319" i="11"/>
  <c r="U318" i="11"/>
  <c r="B318" i="11"/>
  <c r="A318" i="11"/>
  <c r="U317" i="11"/>
  <c r="B317" i="11"/>
  <c r="A317" i="11"/>
  <c r="U316" i="11"/>
  <c r="B316" i="11"/>
  <c r="A316" i="11"/>
  <c r="U315" i="11"/>
  <c r="B315" i="11"/>
  <c r="A315" i="11"/>
  <c r="U314" i="11"/>
  <c r="B314" i="11"/>
  <c r="A314" i="11"/>
  <c r="U313" i="11"/>
  <c r="B313" i="11"/>
  <c r="A313" i="11"/>
  <c r="U312" i="11"/>
  <c r="B312" i="11"/>
  <c r="A312" i="11"/>
  <c r="U311" i="11"/>
  <c r="B311" i="11"/>
  <c r="A311" i="11"/>
  <c r="U310" i="11"/>
  <c r="B310" i="11"/>
  <c r="A310" i="11"/>
  <c r="U309" i="11"/>
  <c r="B309" i="11"/>
  <c r="A309" i="11"/>
  <c r="U308" i="11"/>
  <c r="B308" i="11"/>
  <c r="A308" i="11"/>
  <c r="U307" i="11"/>
  <c r="B307" i="11"/>
  <c r="A307" i="11"/>
  <c r="U306" i="11"/>
  <c r="B306" i="11"/>
  <c r="A306" i="11"/>
  <c r="U305" i="11"/>
  <c r="B305" i="11"/>
  <c r="A305" i="11"/>
  <c r="U304" i="11"/>
  <c r="B304" i="11"/>
  <c r="A304" i="11"/>
  <c r="U303" i="11"/>
  <c r="B303" i="11"/>
  <c r="A303" i="11"/>
  <c r="U302" i="11"/>
  <c r="B302" i="11"/>
  <c r="A302" i="11"/>
  <c r="U301" i="11"/>
  <c r="B301" i="11"/>
  <c r="A301" i="11"/>
  <c r="U300" i="11"/>
  <c r="B300" i="11"/>
  <c r="A300" i="11"/>
  <c r="U299" i="11"/>
  <c r="B299" i="11"/>
  <c r="A299" i="11"/>
  <c r="U298" i="11"/>
  <c r="B298" i="11"/>
  <c r="A298" i="11"/>
  <c r="U297" i="11"/>
  <c r="B297" i="11"/>
  <c r="A297" i="11"/>
  <c r="U296" i="11"/>
  <c r="B296" i="11"/>
  <c r="A296" i="11"/>
  <c r="U295" i="11"/>
  <c r="B295" i="11"/>
  <c r="A295" i="11"/>
  <c r="U294" i="11"/>
  <c r="B294" i="11"/>
  <c r="A294" i="11"/>
  <c r="U293" i="11"/>
  <c r="B293" i="11"/>
  <c r="A293" i="11"/>
  <c r="U292" i="11"/>
  <c r="B292" i="11"/>
  <c r="A292" i="11"/>
  <c r="U291" i="11"/>
  <c r="B291" i="11"/>
  <c r="A291" i="11"/>
  <c r="U290" i="11"/>
  <c r="B290" i="11"/>
  <c r="A290" i="11"/>
  <c r="U289" i="11"/>
  <c r="B289" i="11"/>
  <c r="A289" i="11"/>
  <c r="U288" i="11"/>
  <c r="B288" i="11"/>
  <c r="A288" i="11"/>
  <c r="U287" i="11"/>
  <c r="B287" i="11"/>
  <c r="A287" i="11"/>
  <c r="U286" i="11"/>
  <c r="B286" i="11"/>
  <c r="A286" i="11"/>
  <c r="U285" i="11"/>
  <c r="B285" i="11"/>
  <c r="A285" i="11"/>
  <c r="U284" i="11"/>
  <c r="B284" i="11"/>
  <c r="A284" i="11"/>
  <c r="U283" i="11"/>
  <c r="B283" i="11"/>
  <c r="A283" i="11"/>
  <c r="U282" i="11"/>
  <c r="B282" i="11"/>
  <c r="A282" i="11"/>
  <c r="U281" i="11"/>
  <c r="B281" i="11"/>
  <c r="A281" i="11"/>
  <c r="U280" i="11"/>
  <c r="B280" i="11"/>
  <c r="A280" i="11"/>
  <c r="U279" i="11"/>
  <c r="B279" i="11"/>
  <c r="A279" i="11"/>
  <c r="U278" i="11"/>
  <c r="B278" i="11"/>
  <c r="A278" i="11"/>
  <c r="U277" i="11"/>
  <c r="B277" i="11"/>
  <c r="A277" i="11"/>
  <c r="U276" i="11"/>
  <c r="B276" i="11"/>
  <c r="A276" i="11"/>
  <c r="U275" i="11"/>
  <c r="B275" i="11"/>
  <c r="A275" i="11"/>
  <c r="U274" i="11"/>
  <c r="B274" i="11"/>
  <c r="A274" i="11"/>
  <c r="U273" i="11"/>
  <c r="B273" i="11"/>
  <c r="A273" i="11"/>
  <c r="U272" i="11"/>
  <c r="B272" i="11"/>
  <c r="A272" i="11"/>
  <c r="U271" i="11"/>
  <c r="B271" i="11"/>
  <c r="A271" i="11"/>
  <c r="U270" i="11"/>
  <c r="B270" i="11"/>
  <c r="A270" i="11"/>
  <c r="U269" i="11"/>
  <c r="B269" i="11"/>
  <c r="A269" i="11"/>
  <c r="U268" i="11"/>
  <c r="B268" i="11"/>
  <c r="A268" i="11"/>
  <c r="U267" i="11"/>
  <c r="B267" i="11"/>
  <c r="A267" i="11"/>
  <c r="U266" i="11"/>
  <c r="B266" i="11"/>
  <c r="A266" i="11"/>
  <c r="U265" i="11"/>
  <c r="B265" i="11"/>
  <c r="A265" i="11"/>
  <c r="U264" i="11"/>
  <c r="B264" i="11"/>
  <c r="A264" i="11"/>
  <c r="U263" i="11"/>
  <c r="B263" i="11"/>
  <c r="A263" i="11"/>
  <c r="U262" i="11"/>
  <c r="B262" i="11"/>
  <c r="A262" i="11"/>
  <c r="U261" i="11"/>
  <c r="B261" i="11"/>
  <c r="A261" i="11"/>
  <c r="U260" i="11"/>
  <c r="B260" i="11"/>
  <c r="A260" i="11"/>
  <c r="U259" i="11"/>
  <c r="B259" i="11"/>
  <c r="A259" i="11"/>
  <c r="U258" i="11"/>
  <c r="B258" i="11"/>
  <c r="A258" i="11"/>
  <c r="U257" i="11"/>
  <c r="B257" i="11"/>
  <c r="A257" i="11"/>
  <c r="U256" i="11"/>
  <c r="B256" i="11"/>
  <c r="A256" i="11"/>
  <c r="U255" i="11"/>
  <c r="B255" i="11"/>
  <c r="A255" i="11"/>
  <c r="U254" i="11"/>
  <c r="B254" i="11"/>
  <c r="A254" i="11"/>
  <c r="U253" i="11"/>
  <c r="B253" i="11"/>
  <c r="A253" i="11"/>
  <c r="U252" i="11"/>
  <c r="B252" i="11"/>
  <c r="A252" i="11"/>
  <c r="U251" i="11"/>
  <c r="B251" i="11"/>
  <c r="A251" i="11"/>
  <c r="U250" i="11"/>
  <c r="B250" i="11"/>
  <c r="A250" i="11"/>
  <c r="U249" i="11"/>
  <c r="B249" i="11"/>
  <c r="A249" i="11"/>
  <c r="U248" i="11"/>
  <c r="B248" i="11"/>
  <c r="A248" i="11"/>
  <c r="U247" i="11"/>
  <c r="B247" i="11"/>
  <c r="A247" i="11"/>
  <c r="U246" i="11"/>
  <c r="B246" i="11"/>
  <c r="A246" i="11"/>
  <c r="U245" i="11"/>
  <c r="B245" i="11"/>
  <c r="A245" i="11"/>
  <c r="U244" i="11"/>
  <c r="B244" i="11"/>
  <c r="A244" i="11"/>
  <c r="U243" i="11"/>
  <c r="B243" i="11"/>
  <c r="A243" i="11"/>
  <c r="U242" i="11"/>
  <c r="B242" i="11"/>
  <c r="A242" i="11"/>
  <c r="U241" i="11"/>
  <c r="B241" i="11"/>
  <c r="A241" i="11"/>
  <c r="U240" i="11"/>
  <c r="B240" i="11"/>
  <c r="A240" i="11"/>
  <c r="U239" i="11"/>
  <c r="B239" i="11"/>
  <c r="A239" i="11"/>
  <c r="U238" i="11"/>
  <c r="B238" i="11"/>
  <c r="A238" i="11"/>
  <c r="U237" i="11"/>
  <c r="B237" i="11"/>
  <c r="A237" i="11"/>
  <c r="U236" i="11"/>
  <c r="B236" i="11"/>
  <c r="A236" i="11"/>
  <c r="U235" i="11"/>
  <c r="B235" i="11"/>
  <c r="A235" i="11"/>
  <c r="U234" i="11"/>
  <c r="B234" i="11"/>
  <c r="A234" i="11"/>
  <c r="U233" i="11"/>
  <c r="B233" i="11"/>
  <c r="A233" i="11"/>
  <c r="U232" i="11"/>
  <c r="B232" i="11"/>
  <c r="A232" i="11"/>
  <c r="U231" i="11"/>
  <c r="B231" i="11"/>
  <c r="A231" i="11"/>
  <c r="U230" i="11"/>
  <c r="B230" i="11"/>
  <c r="A230" i="11"/>
  <c r="U229" i="11"/>
  <c r="B229" i="11"/>
  <c r="A229" i="11"/>
  <c r="U228" i="11"/>
  <c r="B228" i="11"/>
  <c r="A228" i="11"/>
  <c r="U227" i="11"/>
  <c r="B227" i="11"/>
  <c r="A227" i="11"/>
  <c r="U226" i="11"/>
  <c r="B226" i="11"/>
  <c r="A226" i="11"/>
  <c r="U225" i="11"/>
  <c r="B225" i="11"/>
  <c r="A225" i="11"/>
  <c r="U224" i="11"/>
  <c r="B224" i="11"/>
  <c r="A224" i="11"/>
  <c r="U223" i="11"/>
  <c r="B223" i="11"/>
  <c r="A223" i="11"/>
  <c r="U222" i="11"/>
  <c r="B222" i="11"/>
  <c r="A222" i="11"/>
  <c r="U221" i="11"/>
  <c r="B221" i="11"/>
  <c r="A221" i="11"/>
  <c r="U220" i="11"/>
  <c r="B220" i="11"/>
  <c r="A220" i="11"/>
  <c r="U219" i="11"/>
  <c r="B219" i="11"/>
  <c r="A219" i="11"/>
  <c r="U218" i="11"/>
  <c r="B218" i="11"/>
  <c r="A218" i="11"/>
  <c r="U217" i="11"/>
  <c r="B217" i="11"/>
  <c r="A217" i="11"/>
  <c r="U216" i="11"/>
  <c r="B216" i="11"/>
  <c r="A216" i="11"/>
  <c r="U215" i="11"/>
  <c r="B215" i="11"/>
  <c r="A215" i="11"/>
  <c r="U214" i="11"/>
  <c r="B214" i="11"/>
  <c r="A214" i="11"/>
  <c r="U213" i="11"/>
  <c r="B213" i="11"/>
  <c r="A213" i="11"/>
  <c r="U212" i="11"/>
  <c r="B212" i="11"/>
  <c r="A212" i="11"/>
  <c r="U211" i="11"/>
  <c r="B211" i="11"/>
  <c r="A211" i="11"/>
  <c r="U210" i="11"/>
  <c r="B210" i="11"/>
  <c r="A210" i="11"/>
  <c r="U209" i="11"/>
  <c r="B209" i="11"/>
  <c r="A209" i="11"/>
  <c r="U208" i="11"/>
  <c r="B208" i="11"/>
  <c r="A208" i="11"/>
  <c r="U207" i="11"/>
  <c r="B207" i="11"/>
  <c r="A207" i="11"/>
  <c r="U206" i="11"/>
  <c r="B206" i="11"/>
  <c r="A206" i="11"/>
  <c r="U205" i="11"/>
  <c r="B205" i="11"/>
  <c r="A205" i="11"/>
  <c r="U204" i="11"/>
  <c r="B204" i="11"/>
  <c r="A204" i="11"/>
  <c r="U203" i="11"/>
  <c r="B203" i="11"/>
  <c r="A203" i="11"/>
  <c r="U202" i="11"/>
  <c r="B202" i="11"/>
  <c r="A202" i="11"/>
  <c r="U201" i="11"/>
  <c r="B201" i="11"/>
  <c r="A201" i="11"/>
  <c r="U200" i="11"/>
  <c r="B200" i="11"/>
  <c r="A200" i="11"/>
  <c r="U199" i="11"/>
  <c r="B199" i="11"/>
  <c r="A199" i="11"/>
  <c r="U198" i="11"/>
  <c r="B198" i="11"/>
  <c r="A198" i="11"/>
  <c r="U197" i="11"/>
  <c r="B197" i="11"/>
  <c r="A197" i="11"/>
  <c r="U196" i="11"/>
  <c r="B196" i="11"/>
  <c r="A196" i="11"/>
  <c r="U195" i="11"/>
  <c r="B195" i="11"/>
  <c r="A195" i="11"/>
  <c r="U194" i="11"/>
  <c r="B194" i="11"/>
  <c r="A194" i="11"/>
  <c r="U193" i="11"/>
  <c r="B193" i="11"/>
  <c r="A193" i="11"/>
  <c r="U192" i="11"/>
  <c r="B192" i="11"/>
  <c r="A192" i="11"/>
  <c r="U191" i="11"/>
  <c r="B191" i="11"/>
  <c r="A191" i="11"/>
  <c r="U190" i="11"/>
  <c r="B190" i="11"/>
  <c r="A190" i="11"/>
  <c r="U189" i="11"/>
  <c r="B189" i="11"/>
  <c r="A189" i="11"/>
  <c r="U188" i="11"/>
  <c r="B188" i="11"/>
  <c r="A188" i="11"/>
  <c r="U187" i="11"/>
  <c r="B187" i="11"/>
  <c r="A187" i="11"/>
  <c r="U186" i="11"/>
  <c r="B186" i="11"/>
  <c r="A186" i="11"/>
  <c r="U185" i="11"/>
  <c r="B185" i="11"/>
  <c r="A185" i="11"/>
  <c r="U184" i="11"/>
  <c r="B184" i="11"/>
  <c r="A184" i="11"/>
  <c r="U183" i="11"/>
  <c r="B183" i="11"/>
  <c r="A183" i="11"/>
  <c r="U182" i="11"/>
  <c r="B182" i="11"/>
  <c r="A182" i="11"/>
  <c r="U181" i="11"/>
  <c r="B181" i="11"/>
  <c r="A181" i="11"/>
  <c r="U180" i="11"/>
  <c r="B180" i="11"/>
  <c r="A180" i="11"/>
  <c r="U179" i="11"/>
  <c r="B179" i="11"/>
  <c r="A179" i="11"/>
  <c r="U178" i="11"/>
  <c r="B178" i="11"/>
  <c r="A178" i="11"/>
  <c r="U177" i="11"/>
  <c r="B177" i="11"/>
  <c r="A177" i="11"/>
  <c r="U176" i="11"/>
  <c r="B176" i="11"/>
  <c r="A176" i="11"/>
  <c r="U175" i="11"/>
  <c r="B175" i="11"/>
  <c r="A175" i="11"/>
  <c r="U174" i="11"/>
  <c r="B174" i="11"/>
  <c r="A174" i="11"/>
  <c r="U173" i="11"/>
  <c r="B173" i="11"/>
  <c r="A173" i="11"/>
  <c r="U172" i="11"/>
  <c r="B172" i="11"/>
  <c r="A172" i="11"/>
  <c r="U171" i="11"/>
  <c r="B171" i="11"/>
  <c r="A171" i="11"/>
  <c r="U170" i="11"/>
  <c r="B170" i="11"/>
  <c r="A170" i="11"/>
  <c r="U169" i="11"/>
  <c r="B169" i="11"/>
  <c r="A169" i="11"/>
  <c r="U168" i="11"/>
  <c r="B168" i="11"/>
  <c r="A168" i="11"/>
  <c r="U167" i="11"/>
  <c r="B167" i="11"/>
  <c r="A167" i="11"/>
  <c r="U166" i="11"/>
  <c r="B166" i="11"/>
  <c r="A166" i="11"/>
  <c r="U165" i="11"/>
  <c r="B165" i="11"/>
  <c r="A165" i="11"/>
  <c r="U164" i="11"/>
  <c r="B164" i="11"/>
  <c r="A164" i="11"/>
  <c r="U163" i="11"/>
  <c r="B163" i="11"/>
  <c r="A163" i="11"/>
  <c r="U162" i="11"/>
  <c r="B162" i="11"/>
  <c r="A162" i="11"/>
  <c r="U161" i="11"/>
  <c r="B161" i="11"/>
  <c r="A161" i="11"/>
  <c r="U160" i="11"/>
  <c r="B160" i="11"/>
  <c r="A160" i="11"/>
  <c r="U159" i="11"/>
  <c r="B159" i="11"/>
  <c r="A159" i="11"/>
  <c r="U158" i="11"/>
  <c r="B158" i="11"/>
  <c r="A158" i="11"/>
  <c r="U157" i="11"/>
  <c r="B157" i="11"/>
  <c r="A157" i="11"/>
  <c r="U156" i="11"/>
  <c r="B156" i="11"/>
  <c r="A156" i="11"/>
  <c r="U155" i="11"/>
  <c r="B155" i="11"/>
  <c r="A155" i="11"/>
  <c r="U154" i="11"/>
  <c r="B154" i="11"/>
  <c r="A154" i="11"/>
  <c r="U153" i="11"/>
  <c r="B153" i="11"/>
  <c r="A153" i="11"/>
  <c r="U152" i="11"/>
  <c r="B152" i="11"/>
  <c r="A152" i="11"/>
  <c r="U151" i="11"/>
  <c r="B151" i="11"/>
  <c r="A151" i="11"/>
  <c r="U150" i="11"/>
  <c r="B150" i="11"/>
  <c r="A150" i="11"/>
  <c r="U149" i="11"/>
  <c r="B149" i="11"/>
  <c r="A149" i="11"/>
  <c r="U148" i="11"/>
  <c r="B148" i="11"/>
  <c r="A148" i="11"/>
  <c r="U147" i="11"/>
  <c r="B147" i="11"/>
  <c r="A147" i="11"/>
  <c r="U146" i="11"/>
  <c r="B146" i="11"/>
  <c r="A146" i="11"/>
  <c r="U145" i="11"/>
  <c r="B145" i="11"/>
  <c r="A145" i="11"/>
  <c r="U144" i="11"/>
  <c r="B144" i="11"/>
  <c r="A144" i="11"/>
  <c r="U143" i="11"/>
  <c r="B143" i="11"/>
  <c r="A143" i="11"/>
  <c r="U142" i="11"/>
  <c r="B142" i="11"/>
  <c r="A142" i="11"/>
  <c r="U141" i="11"/>
  <c r="B141" i="11"/>
  <c r="A141" i="11"/>
  <c r="U140" i="11"/>
  <c r="B140" i="11"/>
  <c r="A140" i="11"/>
  <c r="U139" i="11"/>
  <c r="B139" i="11"/>
  <c r="A139" i="11"/>
  <c r="U138" i="11"/>
  <c r="B138" i="11"/>
  <c r="A138" i="11"/>
  <c r="U137" i="11"/>
  <c r="B137" i="11"/>
  <c r="A137" i="11"/>
  <c r="U136" i="11"/>
  <c r="B136" i="11"/>
  <c r="A136" i="11"/>
  <c r="U135" i="11"/>
  <c r="B135" i="11"/>
  <c r="A135" i="11"/>
  <c r="U134" i="11"/>
  <c r="B134" i="11"/>
  <c r="A134" i="11"/>
  <c r="U133" i="11"/>
  <c r="B133" i="11"/>
  <c r="A133" i="11"/>
  <c r="U132" i="11"/>
  <c r="B132" i="11"/>
  <c r="A132" i="11"/>
  <c r="U131" i="11"/>
  <c r="B131" i="11"/>
  <c r="A131" i="11"/>
  <c r="U130" i="11"/>
  <c r="B130" i="11"/>
  <c r="A130" i="11"/>
  <c r="U129" i="11"/>
  <c r="B129" i="11"/>
  <c r="A129" i="11"/>
  <c r="U128" i="11"/>
  <c r="B128" i="11"/>
  <c r="A128" i="11"/>
  <c r="U127" i="11"/>
  <c r="B127" i="11"/>
  <c r="A127" i="11"/>
  <c r="U126" i="11"/>
  <c r="B126" i="11"/>
  <c r="A126" i="11"/>
  <c r="U125" i="11"/>
  <c r="B125" i="11"/>
  <c r="A125" i="11"/>
  <c r="U124" i="11"/>
  <c r="B124" i="11"/>
  <c r="A124" i="11"/>
  <c r="U123" i="11"/>
  <c r="B123" i="11"/>
  <c r="A123" i="11"/>
  <c r="U122" i="11"/>
  <c r="B122" i="11"/>
  <c r="A122" i="11"/>
  <c r="U121" i="11"/>
  <c r="B121" i="11"/>
  <c r="A121" i="11"/>
  <c r="U120" i="11"/>
  <c r="B120" i="11"/>
  <c r="A120" i="11"/>
  <c r="U119" i="11"/>
  <c r="B119" i="11"/>
  <c r="A119" i="11"/>
  <c r="U118" i="11"/>
  <c r="B118" i="11"/>
  <c r="A118" i="11"/>
  <c r="U117" i="11"/>
  <c r="B117" i="11"/>
  <c r="A117" i="11"/>
  <c r="U116" i="11"/>
  <c r="B116" i="11"/>
  <c r="A116" i="11"/>
  <c r="U115" i="11"/>
  <c r="B115" i="11"/>
  <c r="A115" i="11"/>
  <c r="U114" i="11"/>
  <c r="B114" i="11"/>
  <c r="A114" i="11"/>
  <c r="U113" i="11"/>
  <c r="B113" i="11"/>
  <c r="A113" i="11"/>
  <c r="U112" i="11"/>
  <c r="B112" i="11"/>
  <c r="A112" i="11"/>
  <c r="U111" i="11"/>
  <c r="B111" i="11"/>
  <c r="A111" i="11"/>
  <c r="U110" i="11"/>
  <c r="B110" i="11"/>
  <c r="A110" i="11"/>
  <c r="U109" i="11"/>
  <c r="B109" i="11"/>
  <c r="A109" i="11"/>
  <c r="U108" i="11"/>
  <c r="B108" i="11"/>
  <c r="A108" i="11"/>
  <c r="U107" i="11"/>
  <c r="B107" i="11"/>
  <c r="A107" i="11"/>
  <c r="U106" i="11"/>
  <c r="B106" i="11"/>
  <c r="A106" i="11"/>
  <c r="U105" i="11"/>
  <c r="B105" i="11"/>
  <c r="A105" i="11"/>
  <c r="U104" i="11"/>
  <c r="B104" i="11"/>
  <c r="A104" i="11"/>
  <c r="U103" i="11"/>
  <c r="B103" i="11"/>
  <c r="A103" i="11"/>
  <c r="U102" i="11"/>
  <c r="B102" i="11"/>
  <c r="A102" i="11"/>
  <c r="U101" i="11"/>
  <c r="B101" i="11"/>
  <c r="A101" i="11"/>
  <c r="U100" i="11"/>
  <c r="B100" i="11"/>
  <c r="A100" i="11"/>
  <c r="U99" i="11"/>
  <c r="B99" i="11"/>
  <c r="A99" i="11"/>
  <c r="U98" i="11"/>
  <c r="B98" i="11"/>
  <c r="A98" i="11"/>
  <c r="U97" i="11"/>
  <c r="B97" i="11"/>
  <c r="A97" i="11"/>
  <c r="U96" i="11"/>
  <c r="B96" i="11"/>
  <c r="A96" i="11"/>
  <c r="U95" i="11"/>
  <c r="B95" i="11"/>
  <c r="A95" i="11"/>
  <c r="U94" i="11"/>
  <c r="B94" i="11"/>
  <c r="A94" i="11"/>
  <c r="U93" i="11"/>
  <c r="B93" i="11"/>
  <c r="A93" i="11"/>
  <c r="U92" i="11"/>
  <c r="B92" i="11"/>
  <c r="A92" i="11"/>
  <c r="U91" i="11"/>
  <c r="B91" i="11"/>
  <c r="A91" i="11"/>
  <c r="U90" i="11"/>
  <c r="B90" i="11"/>
  <c r="A90" i="11"/>
  <c r="U89" i="11"/>
  <c r="B89" i="11"/>
  <c r="A89" i="11"/>
  <c r="U88" i="11"/>
  <c r="B88" i="11"/>
  <c r="A88" i="11"/>
  <c r="U87" i="11"/>
  <c r="B87" i="11"/>
  <c r="A87" i="11"/>
  <c r="U86" i="11"/>
  <c r="B86" i="11"/>
  <c r="A86" i="11"/>
  <c r="U85" i="11"/>
  <c r="B85" i="11"/>
  <c r="A85" i="11"/>
  <c r="U84" i="11"/>
  <c r="B84" i="11"/>
  <c r="A84" i="11"/>
  <c r="U83" i="11"/>
  <c r="B83" i="11"/>
  <c r="A83" i="11"/>
  <c r="U82" i="11"/>
  <c r="B82" i="11"/>
  <c r="A82" i="11"/>
  <c r="U81" i="11"/>
  <c r="B81" i="11"/>
  <c r="A81" i="11"/>
  <c r="U80" i="11"/>
  <c r="B80" i="11"/>
  <c r="A80" i="11"/>
  <c r="U79" i="11"/>
  <c r="B79" i="11"/>
  <c r="A79" i="11"/>
  <c r="U78" i="11"/>
  <c r="B78" i="11"/>
  <c r="A78" i="11"/>
  <c r="U77" i="11"/>
  <c r="B77" i="11"/>
  <c r="A77" i="11"/>
  <c r="U76" i="11"/>
  <c r="B76" i="11"/>
  <c r="A76" i="11"/>
  <c r="U75" i="11"/>
  <c r="B75" i="11"/>
  <c r="A75" i="11"/>
  <c r="U74" i="11"/>
  <c r="B74" i="11"/>
  <c r="A74" i="11"/>
  <c r="U73" i="11"/>
  <c r="B73" i="11"/>
  <c r="A73" i="11"/>
  <c r="U72" i="11"/>
  <c r="B72" i="11"/>
  <c r="A72" i="11"/>
  <c r="U71" i="11"/>
  <c r="B71" i="11"/>
  <c r="A71" i="11"/>
  <c r="U70" i="11"/>
  <c r="B70" i="11"/>
  <c r="A70" i="11"/>
  <c r="U69" i="11"/>
  <c r="B69" i="11"/>
  <c r="A69" i="11"/>
  <c r="U68" i="11"/>
  <c r="B68" i="11"/>
  <c r="A68" i="11"/>
  <c r="U67" i="11"/>
  <c r="B67" i="11"/>
  <c r="A67" i="11"/>
  <c r="U66" i="11"/>
  <c r="B66" i="11"/>
  <c r="A66" i="11"/>
  <c r="U65" i="11"/>
  <c r="B65" i="11"/>
  <c r="A65" i="11"/>
  <c r="U64" i="11"/>
  <c r="B64" i="11"/>
  <c r="A64" i="11"/>
  <c r="U63" i="11"/>
  <c r="B63" i="11"/>
  <c r="A63" i="11"/>
  <c r="U62" i="11"/>
  <c r="B62" i="11"/>
  <c r="A62" i="11"/>
  <c r="U61" i="11"/>
  <c r="B61" i="11"/>
  <c r="A61" i="11"/>
  <c r="U60" i="11"/>
  <c r="B60" i="11"/>
  <c r="A60" i="11"/>
  <c r="U59" i="11"/>
  <c r="B59" i="11"/>
  <c r="A59" i="11"/>
  <c r="U58" i="11"/>
  <c r="B58" i="11"/>
  <c r="A58" i="11"/>
  <c r="U57" i="11"/>
  <c r="B57" i="11"/>
  <c r="A57" i="11"/>
  <c r="U56" i="11"/>
  <c r="B56" i="11"/>
  <c r="A56" i="11"/>
  <c r="U55" i="11"/>
  <c r="B55" i="11"/>
  <c r="A55" i="11"/>
  <c r="U54" i="11"/>
  <c r="B54" i="11"/>
  <c r="A54" i="11"/>
  <c r="U53" i="11"/>
  <c r="B53" i="11"/>
  <c r="A53" i="11"/>
  <c r="U52" i="11"/>
  <c r="B52" i="11"/>
  <c r="A52" i="11"/>
  <c r="U51" i="11"/>
  <c r="B51" i="11"/>
  <c r="A51" i="11"/>
  <c r="U50" i="11"/>
  <c r="B50" i="11"/>
  <c r="A50" i="11"/>
  <c r="U49" i="11"/>
  <c r="B49" i="11"/>
  <c r="A49" i="11"/>
  <c r="U48" i="11"/>
  <c r="B48" i="11"/>
  <c r="A48" i="11"/>
  <c r="U47" i="11"/>
  <c r="B47" i="11"/>
  <c r="A47" i="11"/>
  <c r="U46" i="11"/>
  <c r="B46" i="11"/>
  <c r="A46" i="11"/>
  <c r="U45" i="11"/>
  <c r="B45" i="11"/>
  <c r="A45" i="11"/>
  <c r="U44" i="11"/>
  <c r="B44" i="11"/>
  <c r="A44" i="11"/>
  <c r="U43" i="11"/>
  <c r="B43" i="11"/>
  <c r="A43" i="11"/>
  <c r="U42" i="11"/>
  <c r="B42" i="11"/>
  <c r="A42" i="11"/>
  <c r="U41" i="11"/>
  <c r="B41" i="11"/>
  <c r="A41" i="11"/>
  <c r="U40" i="11"/>
  <c r="B40" i="11"/>
  <c r="A40" i="11"/>
  <c r="U39" i="11"/>
  <c r="B39" i="11"/>
  <c r="A39" i="11"/>
  <c r="U38" i="11"/>
  <c r="B38" i="11"/>
  <c r="A38" i="11"/>
  <c r="U37" i="11"/>
  <c r="B37" i="11"/>
  <c r="A37" i="11"/>
  <c r="U36" i="11"/>
  <c r="B36" i="11"/>
  <c r="A36" i="11"/>
  <c r="U35" i="11"/>
  <c r="B35" i="11"/>
  <c r="A35" i="11"/>
  <c r="U34" i="11"/>
  <c r="B34" i="11"/>
  <c r="A34" i="11"/>
  <c r="U33" i="11"/>
  <c r="B33" i="11"/>
  <c r="A33" i="11"/>
  <c r="U32" i="11"/>
  <c r="B32" i="11"/>
  <c r="A32" i="11"/>
  <c r="U31" i="11"/>
  <c r="B31" i="11"/>
  <c r="A31" i="11"/>
  <c r="U30" i="11"/>
  <c r="B30" i="11"/>
  <c r="A30" i="11"/>
  <c r="U29" i="11"/>
  <c r="B29" i="11"/>
  <c r="A29" i="11"/>
  <c r="U28" i="11"/>
  <c r="B28" i="11"/>
  <c r="A28" i="11"/>
  <c r="U27" i="11"/>
  <c r="B27" i="11"/>
  <c r="A27" i="11"/>
  <c r="U26" i="11"/>
  <c r="B26" i="11"/>
  <c r="A26" i="11"/>
  <c r="U25" i="11"/>
  <c r="B25" i="11"/>
  <c r="A25" i="11"/>
  <c r="U24" i="11"/>
  <c r="B24" i="11"/>
  <c r="A24" i="11"/>
  <c r="U23" i="11"/>
  <c r="B23" i="11"/>
  <c r="A23" i="11"/>
  <c r="U22" i="11"/>
  <c r="B22" i="11"/>
  <c r="A22" i="11"/>
  <c r="U21" i="11"/>
  <c r="B21" i="11"/>
  <c r="A21" i="11"/>
  <c r="U20" i="11"/>
  <c r="B20" i="11"/>
  <c r="A20" i="11"/>
  <c r="U19" i="11"/>
  <c r="B19" i="11"/>
  <c r="A19" i="11"/>
  <c r="U18" i="11"/>
  <c r="B18" i="11"/>
  <c r="A18" i="11"/>
  <c r="U17" i="11"/>
  <c r="B17" i="11"/>
  <c r="A17" i="11"/>
  <c r="U16" i="11"/>
  <c r="B16" i="11"/>
  <c r="A16" i="11"/>
  <c r="U15" i="11"/>
  <c r="B15" i="11"/>
  <c r="A15" i="11"/>
  <c r="U14" i="11"/>
  <c r="B14" i="11"/>
  <c r="A14" i="11"/>
  <c r="U13" i="11"/>
  <c r="B13" i="11"/>
  <c r="A13" i="11"/>
  <c r="U12" i="11"/>
  <c r="B12" i="11"/>
  <c r="A12" i="11"/>
  <c r="U11" i="11"/>
  <c r="B11" i="11"/>
  <c r="A11" i="11"/>
  <c r="U10" i="11"/>
  <c r="B10" i="11"/>
  <c r="A10" i="11"/>
  <c r="U9" i="11"/>
  <c r="B9" i="11"/>
  <c r="A9" i="11"/>
  <c r="U8" i="11"/>
  <c r="B8" i="11"/>
  <c r="A8" i="11"/>
  <c r="U7" i="11"/>
  <c r="B7" i="11"/>
  <c r="A7" i="11"/>
  <c r="U6" i="11"/>
  <c r="B6" i="11"/>
  <c r="A6" i="11"/>
  <c r="H316" i="10" s="1"/>
  <c r="S2" i="11"/>
  <c r="R2" i="11"/>
  <c r="Q2" i="11"/>
  <c r="P2" i="11"/>
  <c r="O2" i="11"/>
  <c r="N2" i="11"/>
  <c r="M2" i="11"/>
  <c r="L2" i="11"/>
  <c r="K2" i="11"/>
  <c r="J2" i="11"/>
  <c r="I2" i="11"/>
  <c r="H2" i="11"/>
  <c r="G2" i="11"/>
  <c r="S1" i="11"/>
  <c r="R1" i="11"/>
  <c r="Q1" i="11"/>
  <c r="P1" i="11"/>
  <c r="O1" i="11"/>
  <c r="N1" i="11"/>
  <c r="M1" i="11"/>
  <c r="L1" i="11"/>
  <c r="K1" i="11"/>
  <c r="J1" i="11"/>
  <c r="I1" i="11"/>
  <c r="H1" i="11"/>
  <c r="G1" i="11"/>
  <c r="S312" i="10"/>
  <c r="N301" i="10"/>
  <c r="J295" i="10"/>
  <c r="H288" i="10"/>
  <c r="N286" i="10"/>
  <c r="R284" i="10"/>
  <c r="J283" i="10"/>
  <c r="S281" i="10"/>
  <c r="R281" i="10"/>
  <c r="Q281" i="10"/>
  <c r="P281" i="10"/>
  <c r="O281" i="10"/>
  <c r="N281" i="10"/>
  <c r="M281" i="10"/>
  <c r="L281" i="10"/>
  <c r="K281" i="10"/>
  <c r="J281" i="10"/>
  <c r="I281" i="10"/>
  <c r="H281" i="10"/>
  <c r="G281" i="10"/>
  <c r="F281" i="10"/>
  <c r="G275" i="10"/>
  <c r="G274" i="10"/>
  <c r="G273" i="10"/>
  <c r="I272" i="10"/>
  <c r="A272" i="10"/>
  <c r="A271" i="10"/>
  <c r="N254" i="10"/>
  <c r="R252" i="10"/>
  <c r="M247" i="10"/>
  <c r="O246" i="10"/>
  <c r="P245" i="10"/>
  <c r="Q244" i="10"/>
  <c r="R243" i="10"/>
  <c r="R236" i="10"/>
  <c r="F236" i="10"/>
  <c r="F235" i="10"/>
  <c r="H234" i="10"/>
  <c r="J233" i="10"/>
  <c r="I232" i="10"/>
  <c r="R231" i="10"/>
  <c r="Q231" i="10"/>
  <c r="P231" i="10"/>
  <c r="O231" i="10"/>
  <c r="N231" i="10"/>
  <c r="M231" i="10"/>
  <c r="M230" i="10" s="1"/>
  <c r="L231" i="10"/>
  <c r="K231" i="10"/>
  <c r="J231" i="10"/>
  <c r="I231" i="10"/>
  <c r="H231" i="10"/>
  <c r="G231" i="10"/>
  <c r="F231" i="10"/>
  <c r="R229" i="10"/>
  <c r="H229" i="10"/>
  <c r="S227" i="10"/>
  <c r="R227" i="10"/>
  <c r="Q227" i="10"/>
  <c r="P227" i="10"/>
  <c r="O227" i="10"/>
  <c r="N227" i="10"/>
  <c r="M227" i="10"/>
  <c r="L227" i="10"/>
  <c r="K227" i="10"/>
  <c r="J227" i="10"/>
  <c r="I227" i="10"/>
  <c r="H227" i="10"/>
  <c r="G227" i="10"/>
  <c r="F227" i="10"/>
  <c r="G221" i="10"/>
  <c r="G220" i="10"/>
  <c r="G219" i="10"/>
  <c r="I218" i="10"/>
  <c r="A218" i="10"/>
  <c r="Q206" i="10"/>
  <c r="H206" i="10"/>
  <c r="M205" i="10"/>
  <c r="R204" i="10"/>
  <c r="J204" i="10"/>
  <c r="O203" i="10"/>
  <c r="G203" i="10"/>
  <c r="L202" i="10"/>
  <c r="Q201" i="10"/>
  <c r="I201" i="10"/>
  <c r="N200" i="10"/>
  <c r="F200" i="10"/>
  <c r="K199" i="10"/>
  <c r="P198" i="10"/>
  <c r="H198" i="10"/>
  <c r="M197" i="10"/>
  <c r="R196" i="10"/>
  <c r="J196" i="10"/>
  <c r="O195" i="10"/>
  <c r="G195" i="10"/>
  <c r="L194" i="10"/>
  <c r="Q193" i="10"/>
  <c r="I193" i="10"/>
  <c r="N192" i="10"/>
  <c r="F192" i="10"/>
  <c r="K191" i="10"/>
  <c r="P190" i="10"/>
  <c r="H190" i="10"/>
  <c r="M189" i="10"/>
  <c r="R188" i="10"/>
  <c r="J188" i="10"/>
  <c r="O184" i="10"/>
  <c r="G184" i="10"/>
  <c r="L183" i="10"/>
  <c r="Q179" i="10"/>
  <c r="I179" i="10"/>
  <c r="N178" i="10"/>
  <c r="F178" i="10"/>
  <c r="K177" i="10"/>
  <c r="P176" i="10"/>
  <c r="H176" i="10"/>
  <c r="M175" i="10"/>
  <c r="R174" i="10"/>
  <c r="J174" i="10"/>
  <c r="H174" i="10"/>
  <c r="R155" i="10"/>
  <c r="Q155" i="10"/>
  <c r="P155" i="10"/>
  <c r="O155" i="10"/>
  <c r="N155" i="10"/>
  <c r="M155" i="10"/>
  <c r="L155" i="10"/>
  <c r="K155" i="10"/>
  <c r="J155" i="10"/>
  <c r="I155" i="10"/>
  <c r="H155" i="10"/>
  <c r="G155" i="10"/>
  <c r="F155" i="10"/>
  <c r="R154" i="10"/>
  <c r="Q154" i="10"/>
  <c r="P154" i="10"/>
  <c r="O154" i="10"/>
  <c r="N154" i="10"/>
  <c r="M154" i="10"/>
  <c r="L154" i="10"/>
  <c r="K154" i="10"/>
  <c r="J154" i="10"/>
  <c r="I154" i="10"/>
  <c r="H154" i="10"/>
  <c r="G154" i="10"/>
  <c r="F154" i="10"/>
  <c r="R153" i="10"/>
  <c r="Q153" i="10"/>
  <c r="P153" i="10"/>
  <c r="O153" i="10"/>
  <c r="N153" i="10"/>
  <c r="M153" i="10"/>
  <c r="L153" i="10"/>
  <c r="K153" i="10"/>
  <c r="J153" i="10"/>
  <c r="I153" i="10"/>
  <c r="H153" i="10"/>
  <c r="G153" i="10"/>
  <c r="F153" i="10"/>
  <c r="R152" i="10"/>
  <c r="Q152" i="10"/>
  <c r="P152" i="10"/>
  <c r="O152" i="10"/>
  <c r="N152" i="10"/>
  <c r="M152" i="10"/>
  <c r="L152" i="10"/>
  <c r="K152" i="10"/>
  <c r="J152" i="10"/>
  <c r="I152" i="10"/>
  <c r="H152" i="10"/>
  <c r="G152" i="10"/>
  <c r="F152" i="10"/>
  <c r="R151" i="10"/>
  <c r="Q151" i="10"/>
  <c r="P151" i="10"/>
  <c r="O151" i="10"/>
  <c r="N151" i="10"/>
  <c r="M151" i="10"/>
  <c r="L151" i="10"/>
  <c r="K151" i="10"/>
  <c r="J151" i="10"/>
  <c r="I151" i="10"/>
  <c r="H151" i="10"/>
  <c r="G151" i="10"/>
  <c r="F151" i="10"/>
  <c r="R150" i="10"/>
  <c r="Q150" i="10"/>
  <c r="P150" i="10"/>
  <c r="O150" i="10"/>
  <c r="N150" i="10"/>
  <c r="M150" i="10"/>
  <c r="L150" i="10"/>
  <c r="K150" i="10"/>
  <c r="J150" i="10"/>
  <c r="I150" i="10"/>
  <c r="H150" i="10"/>
  <c r="G150" i="10"/>
  <c r="F150" i="10"/>
  <c r="R149" i="10"/>
  <c r="R148" i="10" s="1"/>
  <c r="Q149" i="10"/>
  <c r="Q148" i="10" s="1"/>
  <c r="P149" i="10"/>
  <c r="P148" i="10" s="1"/>
  <c r="O149" i="10"/>
  <c r="O148" i="10" s="1"/>
  <c r="N149" i="10"/>
  <c r="N148" i="10" s="1"/>
  <c r="M149" i="10"/>
  <c r="M148" i="10" s="1"/>
  <c r="L149" i="10"/>
  <c r="L148" i="10" s="1"/>
  <c r="K149" i="10"/>
  <c r="K148" i="10" s="1"/>
  <c r="J149" i="10"/>
  <c r="J148" i="10" s="1"/>
  <c r="I149" i="10"/>
  <c r="I148" i="10" s="1"/>
  <c r="H149" i="10"/>
  <c r="H148" i="10" s="1"/>
  <c r="G149" i="10"/>
  <c r="G148" i="10" s="1"/>
  <c r="F149" i="10"/>
  <c r="F148" i="10" s="1"/>
  <c r="R142" i="10"/>
  <c r="Q142" i="10"/>
  <c r="P142" i="10"/>
  <c r="O142" i="10"/>
  <c r="N142" i="10"/>
  <c r="M142" i="10"/>
  <c r="L142" i="10"/>
  <c r="K142" i="10"/>
  <c r="J142" i="10"/>
  <c r="I142" i="10"/>
  <c r="H142" i="10"/>
  <c r="G142" i="10"/>
  <c r="F142" i="10"/>
  <c r="R141" i="10"/>
  <c r="Q141" i="10"/>
  <c r="P141" i="10"/>
  <c r="O141" i="10"/>
  <c r="N141" i="10"/>
  <c r="M141" i="10"/>
  <c r="L141" i="10"/>
  <c r="K141" i="10"/>
  <c r="J141" i="10"/>
  <c r="I141" i="10"/>
  <c r="H141" i="10"/>
  <c r="G141" i="10"/>
  <c r="F141" i="10"/>
  <c r="R140" i="10"/>
  <c r="Q140" i="10"/>
  <c r="P140" i="10"/>
  <c r="O140" i="10"/>
  <c r="N140" i="10"/>
  <c r="M140" i="10"/>
  <c r="L140" i="10"/>
  <c r="K140" i="10"/>
  <c r="J140" i="10"/>
  <c r="I140" i="10"/>
  <c r="H140" i="10"/>
  <c r="G140" i="10"/>
  <c r="F140" i="10"/>
  <c r="R139" i="10"/>
  <c r="Q139" i="10"/>
  <c r="P139" i="10"/>
  <c r="O139" i="10"/>
  <c r="N139" i="10"/>
  <c r="M139" i="10"/>
  <c r="L139" i="10"/>
  <c r="K139" i="10"/>
  <c r="J139" i="10"/>
  <c r="I139" i="10"/>
  <c r="H139" i="10"/>
  <c r="G139" i="10"/>
  <c r="F139" i="10"/>
  <c r="R138" i="10"/>
  <c r="Q138" i="10"/>
  <c r="P138" i="10"/>
  <c r="O138" i="10"/>
  <c r="N138" i="10"/>
  <c r="M138" i="10"/>
  <c r="L138" i="10"/>
  <c r="K138" i="10"/>
  <c r="J138" i="10"/>
  <c r="I138" i="10"/>
  <c r="H138" i="10"/>
  <c r="G138" i="10"/>
  <c r="F138" i="10"/>
  <c r="R137" i="10"/>
  <c r="Q137" i="10"/>
  <c r="P137" i="10"/>
  <c r="O137" i="10"/>
  <c r="N137" i="10"/>
  <c r="M137" i="10"/>
  <c r="L137" i="10"/>
  <c r="K137" i="10"/>
  <c r="J137" i="10"/>
  <c r="I137" i="10"/>
  <c r="H137" i="10"/>
  <c r="G137" i="10"/>
  <c r="F137" i="10"/>
  <c r="R134" i="10"/>
  <c r="Q134" i="10"/>
  <c r="P134" i="10"/>
  <c r="O134" i="10"/>
  <c r="N134" i="10"/>
  <c r="M134" i="10"/>
  <c r="L134" i="10"/>
  <c r="K134" i="10"/>
  <c r="J134" i="10"/>
  <c r="I134" i="10"/>
  <c r="H134" i="10"/>
  <c r="G134" i="10"/>
  <c r="F134" i="10"/>
  <c r="R133" i="10"/>
  <c r="Q133" i="10"/>
  <c r="P133" i="10"/>
  <c r="O133" i="10"/>
  <c r="N133" i="10"/>
  <c r="M133" i="10"/>
  <c r="L133" i="10"/>
  <c r="K133" i="10"/>
  <c r="J133" i="10"/>
  <c r="I133" i="10"/>
  <c r="H133" i="10"/>
  <c r="G133" i="10"/>
  <c r="F133" i="10"/>
  <c r="R132" i="10"/>
  <c r="Q132" i="10"/>
  <c r="P132" i="10"/>
  <c r="O132" i="10"/>
  <c r="N132" i="10"/>
  <c r="M132" i="10"/>
  <c r="L132" i="10"/>
  <c r="K132" i="10"/>
  <c r="J132" i="10"/>
  <c r="I132" i="10"/>
  <c r="H132" i="10"/>
  <c r="G132" i="10"/>
  <c r="F132" i="10"/>
  <c r="R131" i="10"/>
  <c r="Q131" i="10"/>
  <c r="P131" i="10"/>
  <c r="O131" i="10"/>
  <c r="N131" i="10"/>
  <c r="M131" i="10"/>
  <c r="L131" i="10"/>
  <c r="K131" i="10"/>
  <c r="J131" i="10"/>
  <c r="I131" i="10"/>
  <c r="H131" i="10"/>
  <c r="G131" i="10"/>
  <c r="F131" i="10"/>
  <c r="R130" i="10"/>
  <c r="Q130" i="10"/>
  <c r="P130" i="10"/>
  <c r="O130" i="10"/>
  <c r="N130" i="10"/>
  <c r="M130" i="10"/>
  <c r="L130" i="10"/>
  <c r="K130" i="10"/>
  <c r="J130" i="10"/>
  <c r="I130" i="10"/>
  <c r="H130" i="10"/>
  <c r="G130" i="10"/>
  <c r="F130" i="10"/>
  <c r="R126" i="10"/>
  <c r="Q126" i="10"/>
  <c r="P126" i="10"/>
  <c r="O126" i="10"/>
  <c r="N126" i="10"/>
  <c r="M126" i="10"/>
  <c r="L126" i="10"/>
  <c r="K126" i="10"/>
  <c r="J126" i="10"/>
  <c r="I126" i="10"/>
  <c r="H126" i="10"/>
  <c r="G126" i="10"/>
  <c r="F126" i="10"/>
  <c r="R125" i="10"/>
  <c r="Q125" i="10"/>
  <c r="P125" i="10"/>
  <c r="O125" i="10"/>
  <c r="N125" i="10"/>
  <c r="M125" i="10"/>
  <c r="L125" i="10"/>
  <c r="K125" i="10"/>
  <c r="J125" i="10"/>
  <c r="I125" i="10"/>
  <c r="H125" i="10"/>
  <c r="G125" i="10"/>
  <c r="F125" i="10"/>
  <c r="R124" i="10"/>
  <c r="Q124" i="10"/>
  <c r="P124" i="10"/>
  <c r="O124" i="10"/>
  <c r="N124" i="10"/>
  <c r="M124" i="10"/>
  <c r="L124" i="10"/>
  <c r="K124" i="10"/>
  <c r="J124" i="10"/>
  <c r="I124" i="10"/>
  <c r="H124" i="10"/>
  <c r="G124" i="10"/>
  <c r="F124" i="10"/>
  <c r="R123" i="10"/>
  <c r="Q123" i="10"/>
  <c r="P123" i="10"/>
  <c r="O123" i="10"/>
  <c r="N123" i="10"/>
  <c r="M123" i="10"/>
  <c r="L123" i="10"/>
  <c r="K123" i="10"/>
  <c r="J123" i="10"/>
  <c r="I123" i="10"/>
  <c r="H123" i="10"/>
  <c r="G123" i="10"/>
  <c r="F123" i="10"/>
  <c r="R122" i="10"/>
  <c r="Q122" i="10"/>
  <c r="P122" i="10"/>
  <c r="O122" i="10"/>
  <c r="N122" i="10"/>
  <c r="M122" i="10"/>
  <c r="L122" i="10"/>
  <c r="K122" i="10"/>
  <c r="J122" i="10"/>
  <c r="I122" i="10"/>
  <c r="H122" i="10"/>
  <c r="G122" i="10"/>
  <c r="F122" i="10"/>
  <c r="R121" i="10"/>
  <c r="Q121" i="10"/>
  <c r="P121" i="10"/>
  <c r="O121" i="10"/>
  <c r="N121" i="10"/>
  <c r="M121" i="10"/>
  <c r="L121" i="10"/>
  <c r="K121" i="10"/>
  <c r="J121" i="10"/>
  <c r="I121" i="10"/>
  <c r="H121" i="10"/>
  <c r="G121" i="10"/>
  <c r="F121" i="10"/>
  <c r="R120" i="10"/>
  <c r="Q120" i="10"/>
  <c r="P120" i="10"/>
  <c r="O120" i="10"/>
  <c r="N120" i="10"/>
  <c r="M120" i="10"/>
  <c r="L120" i="10"/>
  <c r="K120" i="10"/>
  <c r="J120" i="10"/>
  <c r="I120" i="10"/>
  <c r="H120" i="10"/>
  <c r="G120" i="10"/>
  <c r="F120" i="10"/>
  <c r="R113" i="10"/>
  <c r="R112" i="10"/>
  <c r="G112" i="10"/>
  <c r="R111" i="10"/>
  <c r="G111" i="10"/>
  <c r="G110" i="10"/>
  <c r="I109" i="10"/>
  <c r="A109" i="10"/>
  <c r="A108" i="10"/>
  <c r="R91" i="10"/>
  <c r="Q91" i="10"/>
  <c r="P91" i="10"/>
  <c r="O91" i="10"/>
  <c r="N91" i="10"/>
  <c r="M91" i="10"/>
  <c r="L91" i="10"/>
  <c r="K91" i="10"/>
  <c r="J91" i="10"/>
  <c r="I91" i="10"/>
  <c r="H91" i="10"/>
  <c r="G91" i="10"/>
  <c r="F91" i="10"/>
  <c r="R90" i="10"/>
  <c r="Q90" i="10"/>
  <c r="P90" i="10"/>
  <c r="O90" i="10"/>
  <c r="N90" i="10"/>
  <c r="M90" i="10"/>
  <c r="L90" i="10"/>
  <c r="K90" i="10"/>
  <c r="J90" i="10"/>
  <c r="I90" i="10"/>
  <c r="H90" i="10"/>
  <c r="G90" i="10"/>
  <c r="F90" i="10"/>
  <c r="R89" i="10"/>
  <c r="Q89" i="10"/>
  <c r="P89" i="10"/>
  <c r="O89" i="10"/>
  <c r="N89" i="10"/>
  <c r="M89" i="10"/>
  <c r="L89" i="10"/>
  <c r="K89" i="10"/>
  <c r="J89" i="10"/>
  <c r="I89" i="10"/>
  <c r="H89" i="10"/>
  <c r="G89" i="10"/>
  <c r="F89" i="10"/>
  <c r="R84" i="10"/>
  <c r="Q84" i="10"/>
  <c r="P84" i="10"/>
  <c r="O84" i="10"/>
  <c r="N84" i="10"/>
  <c r="M84" i="10"/>
  <c r="L84" i="10"/>
  <c r="K84" i="10"/>
  <c r="J84" i="10"/>
  <c r="I84" i="10"/>
  <c r="H84" i="10"/>
  <c r="G84" i="10"/>
  <c r="F84" i="10"/>
  <c r="R83" i="10"/>
  <c r="Q83" i="10"/>
  <c r="P83" i="10"/>
  <c r="O83" i="10"/>
  <c r="N83" i="10"/>
  <c r="M83" i="10"/>
  <c r="L83" i="10"/>
  <c r="K83" i="10"/>
  <c r="J83" i="10"/>
  <c r="I83" i="10"/>
  <c r="H83" i="10"/>
  <c r="G83" i="10"/>
  <c r="F83" i="10"/>
  <c r="R82" i="10"/>
  <c r="Q82" i="10"/>
  <c r="P82" i="10"/>
  <c r="O82" i="10"/>
  <c r="N82" i="10"/>
  <c r="M82" i="10"/>
  <c r="L82" i="10"/>
  <c r="K82" i="10"/>
  <c r="J82" i="10"/>
  <c r="I82" i="10"/>
  <c r="H82" i="10"/>
  <c r="G82" i="10"/>
  <c r="F82" i="10"/>
  <c r="R81" i="10"/>
  <c r="Q81" i="10"/>
  <c r="P81" i="10"/>
  <c r="O81" i="10"/>
  <c r="N81" i="10"/>
  <c r="M81" i="10"/>
  <c r="L81" i="10"/>
  <c r="K81" i="10"/>
  <c r="J81" i="10"/>
  <c r="I81" i="10"/>
  <c r="H81" i="10"/>
  <c r="G81" i="10"/>
  <c r="F81" i="10"/>
  <c r="R80" i="10"/>
  <c r="Q80" i="10"/>
  <c r="P80" i="10"/>
  <c r="O80" i="10"/>
  <c r="N80" i="10"/>
  <c r="M80" i="10"/>
  <c r="L80" i="10"/>
  <c r="K80" i="10"/>
  <c r="J80" i="10"/>
  <c r="I80" i="10"/>
  <c r="H80" i="10"/>
  <c r="G80" i="10"/>
  <c r="F80" i="10"/>
  <c r="R73" i="10"/>
  <c r="Q73" i="10"/>
  <c r="P73" i="10"/>
  <c r="O73" i="10"/>
  <c r="N73" i="10"/>
  <c r="M73" i="10"/>
  <c r="L73" i="10"/>
  <c r="K73" i="10"/>
  <c r="J73" i="10"/>
  <c r="I73" i="10"/>
  <c r="H73" i="10"/>
  <c r="G73" i="10"/>
  <c r="F73" i="10"/>
  <c r="R72" i="10"/>
  <c r="Q72" i="10"/>
  <c r="P72" i="10"/>
  <c r="O72" i="10"/>
  <c r="N72" i="10"/>
  <c r="M72" i="10"/>
  <c r="L72" i="10"/>
  <c r="K72" i="10"/>
  <c r="J72" i="10"/>
  <c r="I72" i="10"/>
  <c r="H72" i="10"/>
  <c r="G72" i="10"/>
  <c r="F72" i="10"/>
  <c r="R71" i="10"/>
  <c r="Q71" i="10"/>
  <c r="P71" i="10"/>
  <c r="O71" i="10"/>
  <c r="N71" i="10"/>
  <c r="M71" i="10"/>
  <c r="L71" i="10"/>
  <c r="K71" i="10"/>
  <c r="J71" i="10"/>
  <c r="I71" i="10"/>
  <c r="H71" i="10"/>
  <c r="G71" i="10"/>
  <c r="F71" i="10"/>
  <c r="R70" i="10"/>
  <c r="Q70" i="10"/>
  <c r="P70" i="10"/>
  <c r="O70" i="10"/>
  <c r="N70" i="10"/>
  <c r="M70" i="10"/>
  <c r="L70" i="10"/>
  <c r="K70" i="10"/>
  <c r="J70" i="10"/>
  <c r="I70" i="10"/>
  <c r="H70" i="10"/>
  <c r="G70" i="10"/>
  <c r="F70" i="10"/>
  <c r="R69" i="10"/>
  <c r="Q69" i="10"/>
  <c r="P69" i="10"/>
  <c r="O69" i="10"/>
  <c r="N69" i="10"/>
  <c r="M69" i="10"/>
  <c r="L69" i="10"/>
  <c r="K69" i="10"/>
  <c r="J69" i="10"/>
  <c r="I69" i="10"/>
  <c r="H69" i="10"/>
  <c r="G69" i="10"/>
  <c r="F69" i="10"/>
  <c r="R66" i="10"/>
  <c r="Q66" i="10"/>
  <c r="P66" i="10"/>
  <c r="O66" i="10"/>
  <c r="N66" i="10"/>
  <c r="M66" i="10"/>
  <c r="L66" i="10"/>
  <c r="K66" i="10"/>
  <c r="J66" i="10"/>
  <c r="I66" i="10"/>
  <c r="H66" i="10"/>
  <c r="G66" i="10"/>
  <c r="F66" i="10"/>
  <c r="R59" i="10"/>
  <c r="R58" i="10"/>
  <c r="G58" i="10"/>
  <c r="R57" i="10"/>
  <c r="G57" i="10"/>
  <c r="G56" i="10"/>
  <c r="I55" i="10"/>
  <c r="A55" i="10"/>
  <c r="R43" i="10"/>
  <c r="Q43" i="10"/>
  <c r="P43" i="10"/>
  <c r="O43" i="10"/>
  <c r="N43" i="10"/>
  <c r="M43" i="10"/>
  <c r="L43" i="10"/>
  <c r="K43" i="10"/>
  <c r="J43" i="10"/>
  <c r="I43" i="10"/>
  <c r="H43" i="10"/>
  <c r="G43" i="10"/>
  <c r="F43" i="10"/>
  <c r="R42" i="10"/>
  <c r="Q42" i="10"/>
  <c r="P42" i="10"/>
  <c r="O42" i="10"/>
  <c r="N42" i="10"/>
  <c r="M42" i="10"/>
  <c r="L42" i="10"/>
  <c r="K42" i="10"/>
  <c r="J42" i="10"/>
  <c r="I42" i="10"/>
  <c r="H42" i="10"/>
  <c r="G42" i="10"/>
  <c r="F42" i="10"/>
  <c r="R41" i="10"/>
  <c r="Q41" i="10"/>
  <c r="P41" i="10"/>
  <c r="O41" i="10"/>
  <c r="N41" i="10"/>
  <c r="M41" i="10"/>
  <c r="L41" i="10"/>
  <c r="K41" i="10"/>
  <c r="J41" i="10"/>
  <c r="I41" i="10"/>
  <c r="H41" i="10"/>
  <c r="G41" i="10"/>
  <c r="F41" i="10"/>
  <c r="R40" i="10"/>
  <c r="Q40" i="10"/>
  <c r="P40" i="10"/>
  <c r="O40" i="10"/>
  <c r="N40" i="10"/>
  <c r="M40" i="10"/>
  <c r="L40" i="10"/>
  <c r="K40" i="10"/>
  <c r="J40" i="10"/>
  <c r="I40" i="10"/>
  <c r="H40" i="10"/>
  <c r="G40" i="10"/>
  <c r="F40" i="10"/>
  <c r="R39" i="10"/>
  <c r="Q39" i="10"/>
  <c r="P39" i="10"/>
  <c r="O39" i="10"/>
  <c r="N39" i="10"/>
  <c r="M39" i="10"/>
  <c r="L39" i="10"/>
  <c r="K39" i="10"/>
  <c r="J39" i="10"/>
  <c r="I39" i="10"/>
  <c r="H39" i="10"/>
  <c r="G39" i="10"/>
  <c r="F39" i="10"/>
  <c r="R38" i="10"/>
  <c r="Q38" i="10"/>
  <c r="P38" i="10"/>
  <c r="O38" i="10"/>
  <c r="N38" i="10"/>
  <c r="M38" i="10"/>
  <c r="L38" i="10"/>
  <c r="K38" i="10"/>
  <c r="J38" i="10"/>
  <c r="I38" i="10"/>
  <c r="H38" i="10"/>
  <c r="G38" i="10"/>
  <c r="F38" i="10"/>
  <c r="R37" i="10"/>
  <c r="Q37" i="10"/>
  <c r="P37" i="10"/>
  <c r="O37" i="10"/>
  <c r="N37" i="10"/>
  <c r="M37" i="10"/>
  <c r="L37" i="10"/>
  <c r="K37" i="10"/>
  <c r="J37" i="10"/>
  <c r="I37" i="10"/>
  <c r="H37" i="10"/>
  <c r="G37" i="10"/>
  <c r="F37" i="10"/>
  <c r="R36" i="10"/>
  <c r="Q36" i="10"/>
  <c r="P36" i="10"/>
  <c r="O36" i="10"/>
  <c r="N36" i="10"/>
  <c r="M36" i="10"/>
  <c r="L36" i="10"/>
  <c r="K36" i="10"/>
  <c r="J36" i="10"/>
  <c r="I36" i="10"/>
  <c r="H36" i="10"/>
  <c r="G36" i="10"/>
  <c r="F36" i="10"/>
  <c r="R35" i="10"/>
  <c r="Q35" i="10"/>
  <c r="P35" i="10"/>
  <c r="O35" i="10"/>
  <c r="N35" i="10"/>
  <c r="M35" i="10"/>
  <c r="L35" i="10"/>
  <c r="K35" i="10"/>
  <c r="J35" i="10"/>
  <c r="I35" i="10"/>
  <c r="H35" i="10"/>
  <c r="G35" i="10"/>
  <c r="F35" i="10"/>
  <c r="R34" i="10"/>
  <c r="Q34" i="10"/>
  <c r="P34" i="10"/>
  <c r="O34" i="10"/>
  <c r="N34" i="10"/>
  <c r="M34" i="10"/>
  <c r="L34" i="10"/>
  <c r="K34" i="10"/>
  <c r="J34" i="10"/>
  <c r="I34" i="10"/>
  <c r="H34" i="10"/>
  <c r="G34" i="10"/>
  <c r="F34" i="10"/>
  <c r="R33" i="10"/>
  <c r="Q33" i="10"/>
  <c r="P33" i="10"/>
  <c r="O33" i="10"/>
  <c r="N33" i="10"/>
  <c r="M33" i="10"/>
  <c r="L33" i="10"/>
  <c r="K33" i="10"/>
  <c r="J33" i="10"/>
  <c r="I33" i="10"/>
  <c r="H33" i="10"/>
  <c r="G33" i="10"/>
  <c r="F33" i="10"/>
  <c r="R32" i="10"/>
  <c r="Q32" i="10"/>
  <c r="P32" i="10"/>
  <c r="O32" i="10"/>
  <c r="N32" i="10"/>
  <c r="M32" i="10"/>
  <c r="L32" i="10"/>
  <c r="K32" i="10"/>
  <c r="J32" i="10"/>
  <c r="I32" i="10"/>
  <c r="H32" i="10"/>
  <c r="G32" i="10"/>
  <c r="F32" i="10"/>
  <c r="R31" i="10"/>
  <c r="Q31" i="10"/>
  <c r="P31" i="10"/>
  <c r="O31" i="10"/>
  <c r="N31" i="10"/>
  <c r="M31" i="10"/>
  <c r="L31" i="10"/>
  <c r="K31" i="10"/>
  <c r="J31" i="10"/>
  <c r="I31" i="10"/>
  <c r="H31" i="10"/>
  <c r="G31" i="10"/>
  <c r="F31" i="10"/>
  <c r="R30" i="10"/>
  <c r="Q30" i="10"/>
  <c r="P30" i="10"/>
  <c r="O30" i="10"/>
  <c r="N30" i="10"/>
  <c r="M30" i="10"/>
  <c r="L30" i="10"/>
  <c r="K30" i="10"/>
  <c r="J30" i="10"/>
  <c r="I30" i="10"/>
  <c r="H30" i="10"/>
  <c r="G30" i="10"/>
  <c r="F30" i="10"/>
  <c r="R29" i="10"/>
  <c r="Q29" i="10"/>
  <c r="P29" i="10"/>
  <c r="O29" i="10"/>
  <c r="N29" i="10"/>
  <c r="M29" i="10"/>
  <c r="L29" i="10"/>
  <c r="K29" i="10"/>
  <c r="J29" i="10"/>
  <c r="I29" i="10"/>
  <c r="H29" i="10"/>
  <c r="G29" i="10"/>
  <c r="F29" i="10"/>
  <c r="R28" i="10"/>
  <c r="Q28" i="10"/>
  <c r="P28" i="10"/>
  <c r="O28" i="10"/>
  <c r="N28" i="10"/>
  <c r="M28" i="10"/>
  <c r="L28" i="10"/>
  <c r="K28" i="10"/>
  <c r="J28" i="10"/>
  <c r="I28" i="10"/>
  <c r="H28" i="10"/>
  <c r="G28" i="10"/>
  <c r="F28" i="10"/>
  <c r="R27" i="10"/>
  <c r="Q27" i="10"/>
  <c r="P27" i="10"/>
  <c r="O27" i="10"/>
  <c r="N27" i="10"/>
  <c r="M27" i="10"/>
  <c r="L27" i="10"/>
  <c r="K27" i="10"/>
  <c r="J27" i="10"/>
  <c r="I27" i="10"/>
  <c r="H27" i="10"/>
  <c r="G27" i="10"/>
  <c r="F27" i="10"/>
  <c r="R26" i="10"/>
  <c r="Q26" i="10"/>
  <c r="P26" i="10"/>
  <c r="O26" i="10"/>
  <c r="N26" i="10"/>
  <c r="M26" i="10"/>
  <c r="L26" i="10"/>
  <c r="K26" i="10"/>
  <c r="J26" i="10"/>
  <c r="I26" i="10"/>
  <c r="H26" i="10"/>
  <c r="G26" i="10"/>
  <c r="F26" i="10"/>
  <c r="R25" i="10"/>
  <c r="Q25" i="10"/>
  <c r="P25" i="10"/>
  <c r="O25" i="10"/>
  <c r="N25" i="10"/>
  <c r="M25" i="10"/>
  <c r="L25" i="10"/>
  <c r="K25" i="10"/>
  <c r="J25" i="10"/>
  <c r="I25" i="10"/>
  <c r="H25" i="10"/>
  <c r="G25" i="10"/>
  <c r="F25" i="10"/>
  <c r="R21" i="10"/>
  <c r="Q21" i="10"/>
  <c r="P21" i="10"/>
  <c r="O21" i="10"/>
  <c r="N21" i="10"/>
  <c r="M21" i="10"/>
  <c r="L21" i="10"/>
  <c r="K21" i="10"/>
  <c r="J21" i="10"/>
  <c r="I21" i="10"/>
  <c r="H21" i="10"/>
  <c r="G21" i="10"/>
  <c r="F21" i="10"/>
  <c r="R20" i="10"/>
  <c r="Q20" i="10"/>
  <c r="P20" i="10"/>
  <c r="O20" i="10"/>
  <c r="N20" i="10"/>
  <c r="M20" i="10"/>
  <c r="L20" i="10"/>
  <c r="K20" i="10"/>
  <c r="J20" i="10"/>
  <c r="I20" i="10"/>
  <c r="H20" i="10"/>
  <c r="G20" i="10"/>
  <c r="F20" i="10"/>
  <c r="R16" i="10"/>
  <c r="P16" i="10"/>
  <c r="O16" i="10"/>
  <c r="N16" i="10"/>
  <c r="M16" i="10"/>
  <c r="L16" i="10"/>
  <c r="K16" i="10"/>
  <c r="J16" i="10"/>
  <c r="I16" i="10"/>
  <c r="H16" i="10"/>
  <c r="G16" i="10"/>
  <c r="F16" i="10"/>
  <c r="R15" i="10"/>
  <c r="P15" i="10"/>
  <c r="O15" i="10"/>
  <c r="N15" i="10"/>
  <c r="M15" i="10"/>
  <c r="L15" i="10"/>
  <c r="K15" i="10"/>
  <c r="J15" i="10"/>
  <c r="I15" i="10"/>
  <c r="H15" i="10"/>
  <c r="G15" i="10"/>
  <c r="F15" i="10"/>
  <c r="R14" i="10"/>
  <c r="P14" i="10"/>
  <c r="O14" i="10"/>
  <c r="N14" i="10"/>
  <c r="M14" i="10"/>
  <c r="L14" i="10"/>
  <c r="K14" i="10"/>
  <c r="J14" i="10"/>
  <c r="I14" i="10"/>
  <c r="H14" i="10"/>
  <c r="G14" i="10"/>
  <c r="F14" i="10"/>
  <c r="R13" i="10"/>
  <c r="P13" i="10"/>
  <c r="O13" i="10"/>
  <c r="N13" i="10"/>
  <c r="M13" i="10"/>
  <c r="L13" i="10"/>
  <c r="K13" i="10"/>
  <c r="J13" i="10"/>
  <c r="I13" i="10"/>
  <c r="H13" i="10"/>
  <c r="G13" i="10"/>
  <c r="F13" i="10"/>
  <c r="R60" i="10"/>
  <c r="R114" i="10" s="1"/>
  <c r="R169" i="10" s="1"/>
  <c r="R223" i="10" s="1"/>
  <c r="R277" i="10" s="1"/>
  <c r="R331" i="10" s="1"/>
  <c r="R385" i="10" s="1"/>
  <c r="R439" i="10" s="1"/>
  <c r="I17" i="17" l="1"/>
  <c r="I21" i="17"/>
  <c r="I13" i="17"/>
  <c r="I15" i="17"/>
  <c r="I19" i="17"/>
  <c r="I23" i="17"/>
  <c r="G293" i="10"/>
  <c r="G297" i="10"/>
  <c r="F304" i="10"/>
  <c r="L313" i="10"/>
  <c r="Q13" i="10"/>
  <c r="Q15" i="10"/>
  <c r="F11" i="10"/>
  <c r="Q14" i="10"/>
  <c r="S14" i="10" s="1"/>
  <c r="Q16" i="10"/>
  <c r="Q305" i="10"/>
  <c r="G316" i="10"/>
  <c r="H299" i="10"/>
  <c r="J299" i="10"/>
  <c r="L299" i="10"/>
  <c r="N299" i="10"/>
  <c r="P299" i="10"/>
  <c r="P298" i="10" s="1"/>
  <c r="R299" i="10"/>
  <c r="R298" i="10" s="1"/>
  <c r="I299" i="10"/>
  <c r="I298" i="10" s="1"/>
  <c r="K299" i="10"/>
  <c r="M299" i="10"/>
  <c r="O299" i="10"/>
  <c r="F299" i="10"/>
  <c r="G299" i="10"/>
  <c r="Q299" i="10"/>
  <c r="Q298" i="10" s="1"/>
  <c r="K19" i="17"/>
  <c r="L19" i="17" s="1"/>
  <c r="L21" i="17"/>
  <c r="K17" i="17"/>
  <c r="L17" i="17" s="1"/>
  <c r="I29" i="18"/>
  <c r="I28" i="18"/>
  <c r="P286" i="10"/>
  <c r="K316" i="10"/>
  <c r="I41" i="18"/>
  <c r="K41" i="18" s="1"/>
  <c r="I51" i="18"/>
  <c r="P92" i="10"/>
  <c r="R67" i="10"/>
  <c r="N67" i="10"/>
  <c r="J67" i="10"/>
  <c r="F67" i="10"/>
  <c r="O67" i="10"/>
  <c r="G67" i="10"/>
  <c r="G74" i="10" s="1"/>
  <c r="P67" i="10"/>
  <c r="L67" i="10"/>
  <c r="L74" i="10" s="1"/>
  <c r="H67" i="10"/>
  <c r="H74" i="10" s="1"/>
  <c r="Q67" i="10"/>
  <c r="Q74" i="10" s="1"/>
  <c r="M67" i="10"/>
  <c r="M74" i="10" s="1"/>
  <c r="I67" i="10"/>
  <c r="I74" i="10" s="1"/>
  <c r="K67" i="10"/>
  <c r="K74" i="10" s="1"/>
  <c r="G12" i="10"/>
  <c r="I12" i="10"/>
  <c r="K12" i="10"/>
  <c r="M12" i="10"/>
  <c r="O12" i="10"/>
  <c r="Q12" i="10"/>
  <c r="F12" i="10"/>
  <c r="G11" i="10"/>
  <c r="I11" i="10"/>
  <c r="K11" i="10"/>
  <c r="M11" i="10"/>
  <c r="O11" i="10"/>
  <c r="Q11" i="10"/>
  <c r="H12" i="10"/>
  <c r="J12" i="10"/>
  <c r="L12" i="10"/>
  <c r="N12" i="10"/>
  <c r="P12" i="10"/>
  <c r="R12" i="10"/>
  <c r="H11" i="10"/>
  <c r="J11" i="10"/>
  <c r="L11" i="10"/>
  <c r="N11" i="10"/>
  <c r="P11" i="10"/>
  <c r="R11" i="10"/>
  <c r="H147" i="10"/>
  <c r="H146" i="10" s="1"/>
  <c r="H156" i="10" s="1"/>
  <c r="J147" i="10"/>
  <c r="J146" i="10" s="1"/>
  <c r="J156" i="10" s="1"/>
  <c r="L147" i="10"/>
  <c r="L146" i="10" s="1"/>
  <c r="L156" i="10" s="1"/>
  <c r="N147" i="10"/>
  <c r="N146" i="10" s="1"/>
  <c r="N156" i="10" s="1"/>
  <c r="P147" i="10"/>
  <c r="P146" i="10" s="1"/>
  <c r="P156" i="10" s="1"/>
  <c r="R147" i="10"/>
  <c r="R146" i="10" s="1"/>
  <c r="R156" i="10" s="1"/>
  <c r="G136" i="10"/>
  <c r="G135" i="10" s="1"/>
  <c r="G143" i="10" s="1"/>
  <c r="I136" i="10"/>
  <c r="I135" i="10" s="1"/>
  <c r="I143" i="10" s="1"/>
  <c r="K136" i="10"/>
  <c r="K135" i="10" s="1"/>
  <c r="M136" i="10"/>
  <c r="M135" i="10" s="1"/>
  <c r="M143" i="10" s="1"/>
  <c r="O136" i="10"/>
  <c r="O135" i="10" s="1"/>
  <c r="O143" i="10" s="1"/>
  <c r="Q136" i="10"/>
  <c r="Q135" i="10" s="1"/>
  <c r="Q143" i="10" s="1"/>
  <c r="F136" i="10"/>
  <c r="F135" i="10" s="1"/>
  <c r="G147" i="10"/>
  <c r="G146" i="10" s="1"/>
  <c r="G156" i="10" s="1"/>
  <c r="I147" i="10"/>
  <c r="I146" i="10" s="1"/>
  <c r="I156" i="10" s="1"/>
  <c r="K147" i="10"/>
  <c r="K146" i="10" s="1"/>
  <c r="K156" i="10" s="1"/>
  <c r="M147" i="10"/>
  <c r="M146" i="10" s="1"/>
  <c r="M156" i="10" s="1"/>
  <c r="O147" i="10"/>
  <c r="O146" i="10" s="1"/>
  <c r="O156" i="10" s="1"/>
  <c r="Q147" i="10"/>
  <c r="Q146" i="10" s="1"/>
  <c r="Q156" i="10" s="1"/>
  <c r="F147" i="10"/>
  <c r="H136" i="10"/>
  <c r="H135" i="10" s="1"/>
  <c r="H143" i="10" s="1"/>
  <c r="J136" i="10"/>
  <c r="J135" i="10" s="1"/>
  <c r="J143" i="10" s="1"/>
  <c r="L136" i="10"/>
  <c r="L135" i="10" s="1"/>
  <c r="L143" i="10" s="1"/>
  <c r="N136" i="10"/>
  <c r="N135" i="10" s="1"/>
  <c r="N143" i="10" s="1"/>
  <c r="P136" i="10"/>
  <c r="P135" i="10" s="1"/>
  <c r="P143" i="10" s="1"/>
  <c r="R136" i="10"/>
  <c r="R135" i="10" s="1"/>
  <c r="R143" i="10" s="1"/>
  <c r="F175" i="10"/>
  <c r="L174" i="10"/>
  <c r="O175" i="10"/>
  <c r="J176" i="10"/>
  <c r="R176" i="10"/>
  <c r="M177" i="10"/>
  <c r="H178" i="10"/>
  <c r="P178" i="10"/>
  <c r="K179" i="10"/>
  <c r="F183" i="10"/>
  <c r="N183" i="10"/>
  <c r="I184" i="10"/>
  <c r="Q184" i="10"/>
  <c r="L188" i="10"/>
  <c r="G189" i="10"/>
  <c r="O189" i="10"/>
  <c r="J190" i="10"/>
  <c r="R190" i="10"/>
  <c r="M191" i="10"/>
  <c r="H192" i="10"/>
  <c r="P192" i="10"/>
  <c r="K193" i="10"/>
  <c r="F194" i="10"/>
  <c r="N194" i="10"/>
  <c r="I195" i="10"/>
  <c r="Q195" i="10"/>
  <c r="L196" i="10"/>
  <c r="G197" i="10"/>
  <c r="O197" i="10"/>
  <c r="J198" i="10"/>
  <c r="R198" i="10"/>
  <c r="M199" i="10"/>
  <c r="H200" i="10"/>
  <c r="P200" i="10"/>
  <c r="K201" i="10"/>
  <c r="F202" i="10"/>
  <c r="N202" i="10"/>
  <c r="I203" i="10"/>
  <c r="Q203" i="10"/>
  <c r="L204" i="10"/>
  <c r="G205" i="10"/>
  <c r="O205" i="10"/>
  <c r="J206" i="10"/>
  <c r="K229" i="10"/>
  <c r="G230" i="10"/>
  <c r="O230" i="10"/>
  <c r="K232" i="10"/>
  <c r="L233" i="10"/>
  <c r="J234" i="10"/>
  <c r="J235" i="10"/>
  <c r="I236" i="10"/>
  <c r="I243" i="10"/>
  <c r="H244" i="10"/>
  <c r="G245" i="10"/>
  <c r="F246" i="10"/>
  <c r="Q246" i="10"/>
  <c r="R247" i="10"/>
  <c r="L253" i="10"/>
  <c r="L283" i="10"/>
  <c r="J285" i="10"/>
  <c r="Q286" i="10"/>
  <c r="N288" i="10"/>
  <c r="L293" i="10"/>
  <c r="P295" i="10"/>
  <c r="K297" i="10"/>
  <c r="J302" i="10"/>
  <c r="K304" i="10"/>
  <c r="N311" i="10"/>
  <c r="Q313" i="10"/>
  <c r="N316" i="10"/>
  <c r="I318" i="10"/>
  <c r="I24" i="18"/>
  <c r="K24" i="18" s="1"/>
  <c r="U24" i="18" s="1"/>
  <c r="I39" i="18"/>
  <c r="K39" i="18" s="1"/>
  <c r="U39" i="18" s="1"/>
  <c r="I47" i="18"/>
  <c r="K47" i="18" s="1"/>
  <c r="U47" i="18" s="1"/>
  <c r="I73" i="18"/>
  <c r="K73" i="18" s="1"/>
  <c r="U73" i="18" s="1"/>
  <c r="I86" i="18"/>
  <c r="K86" i="18" s="1"/>
  <c r="U86" i="18" s="1"/>
  <c r="N175" i="10"/>
  <c r="G175" i="10"/>
  <c r="M174" i="10"/>
  <c r="H175" i="10"/>
  <c r="P175" i="10"/>
  <c r="K176" i="10"/>
  <c r="F177" i="10"/>
  <c r="N177" i="10"/>
  <c r="I178" i="10"/>
  <c r="Q178" i="10"/>
  <c r="L179" i="10"/>
  <c r="G183" i="10"/>
  <c r="G185" i="10" s="1"/>
  <c r="O183" i="10"/>
  <c r="J184" i="10"/>
  <c r="R184" i="10"/>
  <c r="M188" i="10"/>
  <c r="H189" i="10"/>
  <c r="P189" i="10"/>
  <c r="K190" i="10"/>
  <c r="F191" i="10"/>
  <c r="N191" i="10"/>
  <c r="I192" i="10"/>
  <c r="Q192" i="10"/>
  <c r="L193" i="10"/>
  <c r="G194" i="10"/>
  <c r="O194" i="10"/>
  <c r="J195" i="10"/>
  <c r="R195" i="10"/>
  <c r="M196" i="10"/>
  <c r="H197" i="10"/>
  <c r="P197" i="10"/>
  <c r="K198" i="10"/>
  <c r="F199" i="10"/>
  <c r="N199" i="10"/>
  <c r="I200" i="10"/>
  <c r="Q200" i="10"/>
  <c r="L201" i="10"/>
  <c r="G202" i="10"/>
  <c r="O202" i="10"/>
  <c r="J203" i="10"/>
  <c r="R203" i="10"/>
  <c r="M204" i="10"/>
  <c r="H205" i="10"/>
  <c r="P205" i="10"/>
  <c r="K206" i="10"/>
  <c r="L229" i="10"/>
  <c r="H230" i="10"/>
  <c r="P230" i="10"/>
  <c r="N232" i="10"/>
  <c r="M233" i="10"/>
  <c r="N234" i="10"/>
  <c r="K235" i="10"/>
  <c r="J236" i="10"/>
  <c r="J243" i="10"/>
  <c r="I244" i="10"/>
  <c r="H245" i="10"/>
  <c r="G246" i="10"/>
  <c r="G247" i="10"/>
  <c r="F252" i="10"/>
  <c r="M253" i="10"/>
  <c r="F284" i="10"/>
  <c r="N285" i="10"/>
  <c r="H287" i="10"/>
  <c r="H289" i="10"/>
  <c r="F294" i="10"/>
  <c r="Q295" i="10"/>
  <c r="M297" i="10"/>
  <c r="N302" i="10"/>
  <c r="L304" i="10"/>
  <c r="O314" i="10"/>
  <c r="K317" i="10"/>
  <c r="I18" i="18"/>
  <c r="K18" i="18" s="1"/>
  <c r="U18" i="18" s="1"/>
  <c r="I42" i="18"/>
  <c r="K42" i="18" s="1"/>
  <c r="U42" i="18" s="1"/>
  <c r="I81" i="18"/>
  <c r="K81" i="18" s="1"/>
  <c r="U81" i="18" s="1"/>
  <c r="I87" i="18"/>
  <c r="K87" i="18" s="1"/>
  <c r="U87" i="18" s="1"/>
  <c r="L177" i="10"/>
  <c r="F174" i="10"/>
  <c r="N174" i="10"/>
  <c r="I175" i="10"/>
  <c r="Q175" i="10"/>
  <c r="L176" i="10"/>
  <c r="G177" i="10"/>
  <c r="O177" i="10"/>
  <c r="J178" i="10"/>
  <c r="R178" i="10"/>
  <c r="M179" i="10"/>
  <c r="H183" i="10"/>
  <c r="P183" i="10"/>
  <c r="K184" i="10"/>
  <c r="F188" i="10"/>
  <c r="N188" i="10"/>
  <c r="I189" i="10"/>
  <c r="Q189" i="10"/>
  <c r="L190" i="10"/>
  <c r="G191" i="10"/>
  <c r="O191" i="10"/>
  <c r="J192" i="10"/>
  <c r="R192" i="10"/>
  <c r="M193" i="10"/>
  <c r="H194" i="10"/>
  <c r="P194" i="10"/>
  <c r="K195" i="10"/>
  <c r="F196" i="10"/>
  <c r="N196" i="10"/>
  <c r="I197" i="10"/>
  <c r="Q197" i="10"/>
  <c r="L198" i="10"/>
  <c r="G199" i="10"/>
  <c r="O199" i="10"/>
  <c r="J200" i="10"/>
  <c r="R200" i="10"/>
  <c r="M201" i="10"/>
  <c r="H202" i="10"/>
  <c r="P202" i="10"/>
  <c r="K203" i="10"/>
  <c r="F204" i="10"/>
  <c r="N204" i="10"/>
  <c r="I205" i="10"/>
  <c r="Q205" i="10"/>
  <c r="L206" i="10"/>
  <c r="M229" i="10"/>
  <c r="I230" i="10"/>
  <c r="Q230" i="10"/>
  <c r="P232" i="10"/>
  <c r="N233" i="10"/>
  <c r="O234" i="10"/>
  <c r="L235" i="10"/>
  <c r="M236" i="10"/>
  <c r="K243" i="10"/>
  <c r="L244" i="10"/>
  <c r="J245" i="10"/>
  <c r="H246" i="10"/>
  <c r="H247" i="10"/>
  <c r="K252" i="10"/>
  <c r="O253" i="10"/>
  <c r="H284" i="10"/>
  <c r="O285" i="10"/>
  <c r="I287" i="10"/>
  <c r="J289" i="10"/>
  <c r="K294" i="10"/>
  <c r="F296" i="10"/>
  <c r="G300" i="10"/>
  <c r="P302" i="10"/>
  <c r="F305" i="10"/>
  <c r="J311" i="10"/>
  <c r="Q314" i="10"/>
  <c r="P317" i="10"/>
  <c r="I23" i="18"/>
  <c r="I37" i="18"/>
  <c r="K37" i="18" s="1"/>
  <c r="U37" i="18" s="1"/>
  <c r="I45" i="18"/>
  <c r="K45" i="18" s="1"/>
  <c r="U45" i="18" s="1"/>
  <c r="I53" i="18"/>
  <c r="K53" i="18" s="1"/>
  <c r="U53" i="18" s="1"/>
  <c r="I90" i="18"/>
  <c r="K90" i="18" s="1"/>
  <c r="U90" i="18" s="1"/>
  <c r="I80" i="18"/>
  <c r="L80" i="18" s="1"/>
  <c r="W80" i="18" s="1"/>
  <c r="X80" i="18" s="1"/>
  <c r="Q176" i="10"/>
  <c r="G174" i="10"/>
  <c r="O174" i="10"/>
  <c r="J175" i="10"/>
  <c r="R175" i="10"/>
  <c r="M176" i="10"/>
  <c r="H177" i="10"/>
  <c r="P177" i="10"/>
  <c r="K178" i="10"/>
  <c r="F179" i="10"/>
  <c r="N179" i="10"/>
  <c r="I183" i="10"/>
  <c r="Q183" i="10"/>
  <c r="Q185" i="10" s="1"/>
  <c r="L184" i="10"/>
  <c r="L185" i="10" s="1"/>
  <c r="G188" i="10"/>
  <c r="O188" i="10"/>
  <c r="J189" i="10"/>
  <c r="R189" i="10"/>
  <c r="M190" i="10"/>
  <c r="H191" i="10"/>
  <c r="P191" i="10"/>
  <c r="K192" i="10"/>
  <c r="F193" i="10"/>
  <c r="N193" i="10"/>
  <c r="I194" i="10"/>
  <c r="Q194" i="10"/>
  <c r="L195" i="10"/>
  <c r="G196" i="10"/>
  <c r="O196" i="10"/>
  <c r="J197" i="10"/>
  <c r="R197" i="10"/>
  <c r="M198" i="10"/>
  <c r="H199" i="10"/>
  <c r="P199" i="10"/>
  <c r="K200" i="10"/>
  <c r="F201" i="10"/>
  <c r="N201" i="10"/>
  <c r="I202" i="10"/>
  <c r="Q202" i="10"/>
  <c r="L203" i="10"/>
  <c r="G204" i="10"/>
  <c r="O204" i="10"/>
  <c r="J205" i="10"/>
  <c r="R205" i="10"/>
  <c r="N206" i="10"/>
  <c r="N229" i="10"/>
  <c r="J230" i="10"/>
  <c r="R230" i="10"/>
  <c r="Q232" i="10"/>
  <c r="O233" i="10"/>
  <c r="P234" i="10"/>
  <c r="N235" i="10"/>
  <c r="N236" i="10"/>
  <c r="L243" i="10"/>
  <c r="M244" i="10"/>
  <c r="K245" i="10"/>
  <c r="L246" i="10"/>
  <c r="I247" i="10"/>
  <c r="L252" i="10"/>
  <c r="Q253" i="10"/>
  <c r="J284" i="10"/>
  <c r="P285" i="10"/>
  <c r="O287" i="10"/>
  <c r="K289" i="10"/>
  <c r="M294" i="10"/>
  <c r="I296" i="10"/>
  <c r="L300" i="10"/>
  <c r="G303" i="10"/>
  <c r="K305" i="10"/>
  <c r="O311" i="10"/>
  <c r="G315" i="10"/>
  <c r="R317" i="10"/>
  <c r="M287" i="10"/>
  <c r="O318" i="10"/>
  <c r="I34" i="18"/>
  <c r="K34" i="18" s="1"/>
  <c r="U34" i="18" s="1"/>
  <c r="I40" i="18"/>
  <c r="K40" i="18" s="1"/>
  <c r="U40" i="18" s="1"/>
  <c r="I50" i="18"/>
  <c r="K50" i="18" s="1"/>
  <c r="U50" i="18" s="1"/>
  <c r="P174" i="10"/>
  <c r="N176" i="10"/>
  <c r="I177" i="10"/>
  <c r="L178" i="10"/>
  <c r="O179" i="10"/>
  <c r="J183" i="10"/>
  <c r="R183" i="10"/>
  <c r="M184" i="10"/>
  <c r="H188" i="10"/>
  <c r="P188" i="10"/>
  <c r="K189" i="10"/>
  <c r="F190" i="10"/>
  <c r="N190" i="10"/>
  <c r="I191" i="10"/>
  <c r="Q191" i="10"/>
  <c r="L192" i="10"/>
  <c r="G193" i="10"/>
  <c r="O193" i="10"/>
  <c r="J194" i="10"/>
  <c r="R194" i="10"/>
  <c r="M195" i="10"/>
  <c r="H196" i="10"/>
  <c r="P196" i="10"/>
  <c r="K197" i="10"/>
  <c r="F198" i="10"/>
  <c r="N198" i="10"/>
  <c r="I199" i="10"/>
  <c r="Q199" i="10"/>
  <c r="L200" i="10"/>
  <c r="G201" i="10"/>
  <c r="O201" i="10"/>
  <c r="J202" i="10"/>
  <c r="R202" i="10"/>
  <c r="M203" i="10"/>
  <c r="H204" i="10"/>
  <c r="P204" i="10"/>
  <c r="K205" i="10"/>
  <c r="F206" i="10"/>
  <c r="O206" i="10"/>
  <c r="F229" i="10"/>
  <c r="O229" i="10"/>
  <c r="K230" i="10"/>
  <c r="F232" i="10"/>
  <c r="R232" i="10"/>
  <c r="F234" i="10"/>
  <c r="Q234" i="10"/>
  <c r="O235" i="10"/>
  <c r="P236" i="10"/>
  <c r="N243" i="10"/>
  <c r="N244" i="10"/>
  <c r="L245" i="10"/>
  <c r="M246" i="10"/>
  <c r="J247" i="10"/>
  <c r="O252" i="10"/>
  <c r="G254" i="10"/>
  <c r="L284" i="10"/>
  <c r="F286" i="10"/>
  <c r="F288" i="10"/>
  <c r="Q289" i="10"/>
  <c r="N294" i="10"/>
  <c r="N296" i="10"/>
  <c r="I301" i="10"/>
  <c r="H303" i="10"/>
  <c r="O305" i="10"/>
  <c r="R311" i="10"/>
  <c r="I315" i="10"/>
  <c r="Q318" i="10"/>
  <c r="I19" i="18"/>
  <c r="K19" i="18" s="1"/>
  <c r="U19" i="18" s="1"/>
  <c r="I33" i="18"/>
  <c r="K33" i="18" s="1"/>
  <c r="U33" i="18" s="1"/>
  <c r="I35" i="18"/>
  <c r="K35" i="18" s="1"/>
  <c r="U35" i="18" s="1"/>
  <c r="I43" i="18"/>
  <c r="K43" i="18" s="1"/>
  <c r="U43" i="18" s="1"/>
  <c r="I52" i="18"/>
  <c r="K52" i="18" s="1"/>
  <c r="U52" i="18" s="1"/>
  <c r="V52" i="18" s="1"/>
  <c r="I88" i="18"/>
  <c r="K88" i="18" s="1"/>
  <c r="U88" i="18" s="1"/>
  <c r="I98" i="18"/>
  <c r="K98" i="18" s="1"/>
  <c r="U98" i="18" s="1"/>
  <c r="K175" i="10"/>
  <c r="F176" i="10"/>
  <c r="Q177" i="10"/>
  <c r="G179" i="10"/>
  <c r="I174" i="10"/>
  <c r="Q174" i="10"/>
  <c r="L175" i="10"/>
  <c r="G176" i="10"/>
  <c r="O176" i="10"/>
  <c r="J177" i="10"/>
  <c r="R177" i="10"/>
  <c r="M178" i="10"/>
  <c r="H179" i="10"/>
  <c r="P179" i="10"/>
  <c r="K183" i="10"/>
  <c r="K185" i="10" s="1"/>
  <c r="F184" i="10"/>
  <c r="F185" i="10" s="1"/>
  <c r="N184" i="10"/>
  <c r="N185" i="10" s="1"/>
  <c r="I188" i="10"/>
  <c r="Q188" i="10"/>
  <c r="L189" i="10"/>
  <c r="G190" i="10"/>
  <c r="O190" i="10"/>
  <c r="J191" i="10"/>
  <c r="R191" i="10"/>
  <c r="M192" i="10"/>
  <c r="H193" i="10"/>
  <c r="P193" i="10"/>
  <c r="K194" i="10"/>
  <c r="F195" i="10"/>
  <c r="N195" i="10"/>
  <c r="I196" i="10"/>
  <c r="Q196" i="10"/>
  <c r="L197" i="10"/>
  <c r="G198" i="10"/>
  <c r="O198" i="10"/>
  <c r="J199" i="10"/>
  <c r="R199" i="10"/>
  <c r="M200" i="10"/>
  <c r="H201" i="10"/>
  <c r="P201" i="10"/>
  <c r="K202" i="10"/>
  <c r="F203" i="10"/>
  <c r="N203" i="10"/>
  <c r="I204" i="10"/>
  <c r="Q204" i="10"/>
  <c r="L205" i="10"/>
  <c r="G206" i="10"/>
  <c r="P206" i="10"/>
  <c r="G229" i="10"/>
  <c r="P229" i="10"/>
  <c r="L230" i="10"/>
  <c r="H232" i="10"/>
  <c r="F233" i="10"/>
  <c r="G234" i="10"/>
  <c r="R234" i="10"/>
  <c r="R235" i="10"/>
  <c r="Q236" i="10"/>
  <c r="Q243" i="10"/>
  <c r="P244" i="10"/>
  <c r="M245" i="10"/>
  <c r="N246" i="10"/>
  <c r="K247" i="10"/>
  <c r="Q252" i="10"/>
  <c r="H254" i="10"/>
  <c r="F283" i="10"/>
  <c r="M284" i="10"/>
  <c r="L286" i="10"/>
  <c r="G288" i="10"/>
  <c r="R289" i="10"/>
  <c r="P294" i="10"/>
  <c r="F297" i="10"/>
  <c r="L301" i="10"/>
  <c r="O303" i="10"/>
  <c r="P305" i="10"/>
  <c r="K313" i="10"/>
  <c r="I20" i="18"/>
  <c r="K20" i="18" s="1"/>
  <c r="U20" i="18" s="1"/>
  <c r="I38" i="18"/>
  <c r="L38" i="18" s="1"/>
  <c r="I46" i="18"/>
  <c r="L46" i="18" s="1"/>
  <c r="I84" i="18"/>
  <c r="K84" i="18" s="1"/>
  <c r="U84" i="18" s="1"/>
  <c r="I95" i="18"/>
  <c r="K95" i="18" s="1"/>
  <c r="U95" i="18" s="1"/>
  <c r="K174" i="10"/>
  <c r="I176" i="10"/>
  <c r="G178" i="10"/>
  <c r="O178" i="10"/>
  <c r="J179" i="10"/>
  <c r="R179" i="10"/>
  <c r="M183" i="10"/>
  <c r="H184" i="10"/>
  <c r="H185" i="10" s="1"/>
  <c r="P184" i="10"/>
  <c r="K188" i="10"/>
  <c r="F189" i="10"/>
  <c r="N189" i="10"/>
  <c r="I190" i="10"/>
  <c r="Q190" i="10"/>
  <c r="L191" i="10"/>
  <c r="G192" i="10"/>
  <c r="O192" i="10"/>
  <c r="J193" i="10"/>
  <c r="R193" i="10"/>
  <c r="M194" i="10"/>
  <c r="H195" i="10"/>
  <c r="P195" i="10"/>
  <c r="K196" i="10"/>
  <c r="F197" i="10"/>
  <c r="N197" i="10"/>
  <c r="I198" i="10"/>
  <c r="Q198" i="10"/>
  <c r="L199" i="10"/>
  <c r="G200" i="10"/>
  <c r="O200" i="10"/>
  <c r="J201" i="10"/>
  <c r="R201" i="10"/>
  <c r="M202" i="10"/>
  <c r="H203" i="10"/>
  <c r="P203" i="10"/>
  <c r="K204" i="10"/>
  <c r="F205" i="10"/>
  <c r="N205" i="10"/>
  <c r="I206" i="10"/>
  <c r="R206" i="10"/>
  <c r="J229" i="10"/>
  <c r="F230" i="10"/>
  <c r="N230" i="10"/>
  <c r="J232" i="10"/>
  <c r="K233" i="10"/>
  <c r="I234" i="10"/>
  <c r="I235" i="10"/>
  <c r="H236" i="10"/>
  <c r="H243" i="10"/>
  <c r="F244" i="10"/>
  <c r="R244" i="10"/>
  <c r="R245" i="10"/>
  <c r="P246" i="10"/>
  <c r="Q247" i="10"/>
  <c r="F253" i="10"/>
  <c r="Q254" i="10"/>
  <c r="K283" i="10"/>
  <c r="H285" i="10"/>
  <c r="M288" i="10"/>
  <c r="H293" i="10"/>
  <c r="K295" i="10"/>
  <c r="H297" i="10"/>
  <c r="P301" i="10"/>
  <c r="I304" i="10"/>
  <c r="I311" i="10"/>
  <c r="M313" i="10"/>
  <c r="G318" i="10"/>
  <c r="G310" i="10"/>
  <c r="G309" i="10" s="1"/>
  <c r="O310" i="10"/>
  <c r="O309" i="10" s="1"/>
  <c r="H310" i="10"/>
  <c r="H309" i="10" s="1"/>
  <c r="P310" i="10"/>
  <c r="P309" i="10" s="1"/>
  <c r="N298" i="10"/>
  <c r="L298" i="10"/>
  <c r="I310" i="10"/>
  <c r="I309" i="10" s="1"/>
  <c r="Q310" i="10"/>
  <c r="Q309" i="10" s="1"/>
  <c r="G298" i="10"/>
  <c r="O298" i="10"/>
  <c r="J310" i="10"/>
  <c r="J309" i="10" s="1"/>
  <c r="R310" i="10"/>
  <c r="R309" i="10" s="1"/>
  <c r="H298" i="10"/>
  <c r="J298" i="10"/>
  <c r="K298" i="10"/>
  <c r="F298" i="10"/>
  <c r="N310" i="10"/>
  <c r="N309" i="10" s="1"/>
  <c r="K310" i="10"/>
  <c r="K309" i="10" s="1"/>
  <c r="F310" i="10"/>
  <c r="F309" i="10" s="1"/>
  <c r="L310" i="10"/>
  <c r="L309" i="10" s="1"/>
  <c r="M310" i="10"/>
  <c r="M309" i="10" s="1"/>
  <c r="M298" i="10"/>
  <c r="I16" i="18"/>
  <c r="K16" i="18" s="1"/>
  <c r="U16" i="18" s="1"/>
  <c r="I22" i="18"/>
  <c r="K22" i="18" s="1"/>
  <c r="U22" i="18" s="1"/>
  <c r="I36" i="18"/>
  <c r="K36" i="18" s="1"/>
  <c r="U36" i="18" s="1"/>
  <c r="I44" i="18"/>
  <c r="K44" i="18" s="1"/>
  <c r="U44" i="18" s="1"/>
  <c r="I49" i="18"/>
  <c r="L49" i="18" s="1"/>
  <c r="I94" i="18"/>
  <c r="I82" i="18"/>
  <c r="K82" i="18" s="1"/>
  <c r="U82" i="18" s="1"/>
  <c r="I89" i="18"/>
  <c r="K89" i="18" s="1"/>
  <c r="U89" i="18" s="1"/>
  <c r="I99" i="18"/>
  <c r="L99" i="18" s="1"/>
  <c r="W99" i="18" s="1"/>
  <c r="X99" i="18" s="1"/>
  <c r="I48" i="18"/>
  <c r="L48" i="18" s="1"/>
  <c r="I72" i="18"/>
  <c r="K72" i="18" s="1"/>
  <c r="U72" i="18" s="1"/>
  <c r="R275" i="10"/>
  <c r="R329" i="10"/>
  <c r="R276" i="10"/>
  <c r="R330" i="10"/>
  <c r="R274" i="10"/>
  <c r="R328" i="10"/>
  <c r="I15" i="18"/>
  <c r="K13" i="17" s="1"/>
  <c r="L13" i="17" s="1"/>
  <c r="I71" i="18"/>
  <c r="K71" i="18" s="1"/>
  <c r="U71" i="18" s="1"/>
  <c r="I79" i="18"/>
  <c r="K79" i="18" s="1"/>
  <c r="U79" i="18" s="1"/>
  <c r="U1" i="11"/>
  <c r="I17" i="18"/>
  <c r="K17" i="18" s="1"/>
  <c r="I32" i="18"/>
  <c r="K51" i="18"/>
  <c r="U51" i="18" s="1"/>
  <c r="L51" i="18"/>
  <c r="R221" i="10"/>
  <c r="I85" i="10"/>
  <c r="Q85" i="10"/>
  <c r="R222" i="10"/>
  <c r="J22" i="10"/>
  <c r="R22" i="10"/>
  <c r="R382" i="10"/>
  <c r="R436" i="10"/>
  <c r="I127" i="10"/>
  <c r="Q127" i="10"/>
  <c r="L127" i="10"/>
  <c r="J127" i="10"/>
  <c r="R383" i="10"/>
  <c r="R437" i="10"/>
  <c r="S138" i="10"/>
  <c r="K44" i="10"/>
  <c r="M85" i="10"/>
  <c r="L92" i="10"/>
  <c r="R384" i="10"/>
  <c r="R438" i="10"/>
  <c r="R220" i="10"/>
  <c r="R185" i="10"/>
  <c r="I185" i="10"/>
  <c r="O185" i="10"/>
  <c r="N74" i="10"/>
  <c r="P74" i="10"/>
  <c r="N22" i="10"/>
  <c r="S26" i="10"/>
  <c r="S32" i="10"/>
  <c r="S34" i="10"/>
  <c r="S40" i="10"/>
  <c r="R127" i="10"/>
  <c r="S69" i="10"/>
  <c r="H85" i="10"/>
  <c r="P85" i="10"/>
  <c r="S83" i="10"/>
  <c r="G92" i="10"/>
  <c r="O92" i="10"/>
  <c r="K22" i="10"/>
  <c r="M92" i="10"/>
  <c r="I22" i="10"/>
  <c r="Q22" i="10"/>
  <c r="J85" i="10"/>
  <c r="R85" i="10"/>
  <c r="H127" i="10"/>
  <c r="P127" i="10"/>
  <c r="S134" i="10"/>
  <c r="K92" i="10"/>
  <c r="S139" i="10"/>
  <c r="S25" i="10"/>
  <c r="H44" i="10"/>
  <c r="P44" i="10"/>
  <c r="S33" i="10"/>
  <c r="S41" i="10"/>
  <c r="J74" i="10"/>
  <c r="R74" i="10"/>
  <c r="S73" i="10"/>
  <c r="S89" i="10"/>
  <c r="F92" i="10"/>
  <c r="N92" i="10"/>
  <c r="K127" i="10"/>
  <c r="S133" i="10"/>
  <c r="S154" i="10"/>
  <c r="S42" i="10"/>
  <c r="S82" i="10"/>
  <c r="S84" i="10"/>
  <c r="I92" i="10"/>
  <c r="Q92" i="10"/>
  <c r="S120" i="10"/>
  <c r="N127" i="10"/>
  <c r="S151" i="10"/>
  <c r="S152" i="10"/>
  <c r="L44" i="10"/>
  <c r="S39" i="10"/>
  <c r="S81" i="10"/>
  <c r="J92" i="10"/>
  <c r="R92" i="10"/>
  <c r="G127" i="10"/>
  <c r="O127" i="10"/>
  <c r="S131" i="10"/>
  <c r="S141" i="10"/>
  <c r="S142" i="10"/>
  <c r="S16" i="10"/>
  <c r="S21" i="10"/>
  <c r="M44" i="10"/>
  <c r="S70" i="10"/>
  <c r="S72" i="10"/>
  <c r="L85" i="10"/>
  <c r="G85" i="10"/>
  <c r="O85" i="10"/>
  <c r="S90" i="10"/>
  <c r="S125" i="10"/>
  <c r="S132" i="10"/>
  <c r="S148" i="10"/>
  <c r="S149" i="10"/>
  <c r="F44" i="10"/>
  <c r="N44" i="10"/>
  <c r="S29" i="10"/>
  <c r="S37" i="10"/>
  <c r="S126" i="10"/>
  <c r="S150" i="10"/>
  <c r="S15" i="10"/>
  <c r="L22" i="10"/>
  <c r="M22" i="10"/>
  <c r="H22" i="10"/>
  <c r="P22" i="10"/>
  <c r="G44" i="10"/>
  <c r="O44" i="10"/>
  <c r="S28" i="10"/>
  <c r="S30" i="10"/>
  <c r="S36" i="10"/>
  <c r="S38" i="10"/>
  <c r="O74" i="10"/>
  <c r="F85" i="10"/>
  <c r="N85" i="10"/>
  <c r="H92" i="10"/>
  <c r="S123" i="10"/>
  <c r="S124" i="10"/>
  <c r="S140" i="10"/>
  <c r="S155" i="10"/>
  <c r="S13" i="10"/>
  <c r="S20" i="10"/>
  <c r="S27" i="10"/>
  <c r="I44" i="10"/>
  <c r="Q44" i="10"/>
  <c r="S35" i="10"/>
  <c r="S43" i="10"/>
  <c r="S71" i="10"/>
  <c r="S137" i="10"/>
  <c r="S31" i="10"/>
  <c r="G22" i="10"/>
  <c r="O22" i="10"/>
  <c r="J44" i="10"/>
  <c r="R44" i="10"/>
  <c r="K85" i="10"/>
  <c r="S121" i="10"/>
  <c r="M127" i="10"/>
  <c r="S153" i="10"/>
  <c r="S122" i="10"/>
  <c r="S66" i="10"/>
  <c r="F127" i="10"/>
  <c r="F22" i="10"/>
  <c r="S130" i="10"/>
  <c r="L232" i="10"/>
  <c r="G233" i="10"/>
  <c r="P233" i="10"/>
  <c r="L234" i="10"/>
  <c r="G235" i="10"/>
  <c r="P235" i="10"/>
  <c r="K236" i="10"/>
  <c r="F243" i="10"/>
  <c r="O243" i="10"/>
  <c r="J244" i="10"/>
  <c r="N245" i="10"/>
  <c r="I246" i="10"/>
  <c r="R246" i="10"/>
  <c r="O247" i="10"/>
  <c r="G252" i="10"/>
  <c r="G253" i="10"/>
  <c r="I254" i="10"/>
  <c r="P283" i="10"/>
  <c r="G286" i="10"/>
  <c r="K287" i="10"/>
  <c r="Q288" i="10"/>
  <c r="N293" i="10"/>
  <c r="R294" i="10"/>
  <c r="K296" i="10"/>
  <c r="Q297" i="10"/>
  <c r="M300" i="10"/>
  <c r="Q301" i="10"/>
  <c r="I303" i="10"/>
  <c r="R304" i="10"/>
  <c r="H311" i="10"/>
  <c r="P311" i="10"/>
  <c r="K315" i="10"/>
  <c r="Q316" i="10"/>
  <c r="S80" i="10"/>
  <c r="S91" i="10"/>
  <c r="M232" i="10"/>
  <c r="H233" i="10"/>
  <c r="R233" i="10"/>
  <c r="M234" i="10"/>
  <c r="H235" i="10"/>
  <c r="Q235" i="10"/>
  <c r="L236" i="10"/>
  <c r="G243" i="10"/>
  <c r="P243" i="10"/>
  <c r="K244" i="10"/>
  <c r="F245" i="10"/>
  <c r="O245" i="10"/>
  <c r="J246" i="10"/>
  <c r="F247" i="10"/>
  <c r="P247" i="10"/>
  <c r="I252" i="10"/>
  <c r="K253" i="10"/>
  <c r="M254" i="10"/>
  <c r="Q283" i="10"/>
  <c r="F285" i="10"/>
  <c r="J286" i="10"/>
  <c r="P293" i="10"/>
  <c r="I295" i="10"/>
  <c r="M296" i="10"/>
  <c r="N300" i="10"/>
  <c r="I302" i="10"/>
  <c r="M303" i="10"/>
  <c r="G311" i="10"/>
  <c r="I314" i="10"/>
  <c r="M315" i="10"/>
  <c r="R316" i="10"/>
  <c r="P318" i="10"/>
  <c r="H318" i="10"/>
  <c r="N317" i="10"/>
  <c r="F317" i="10"/>
  <c r="L316" i="10"/>
  <c r="R315" i="10"/>
  <c r="J315" i="10"/>
  <c r="P314" i="10"/>
  <c r="H314" i="10"/>
  <c r="N313" i="10"/>
  <c r="F313" i="10"/>
  <c r="R305" i="10"/>
  <c r="J305" i="10"/>
  <c r="P304" i="10"/>
  <c r="H304" i="10"/>
  <c r="N303" i="10"/>
  <c r="F303" i="10"/>
  <c r="L302" i="10"/>
  <c r="R301" i="10"/>
  <c r="J301" i="10"/>
  <c r="P300" i="10"/>
  <c r="H300" i="10"/>
  <c r="R297" i="10"/>
  <c r="J297" i="10"/>
  <c r="P296" i="10"/>
  <c r="H296" i="10"/>
  <c r="N295" i="10"/>
  <c r="F295" i="10"/>
  <c r="L294" i="10"/>
  <c r="R293" i="10"/>
  <c r="J293" i="10"/>
  <c r="N289" i="10"/>
  <c r="F289" i="10"/>
  <c r="L288" i="10"/>
  <c r="L318" i="10"/>
  <c r="Q317" i="10"/>
  <c r="H317" i="10"/>
  <c r="M316" i="10"/>
  <c r="Q315" i="10"/>
  <c r="H315" i="10"/>
  <c r="M314" i="10"/>
  <c r="R313" i="10"/>
  <c r="I313" i="10"/>
  <c r="L305" i="10"/>
  <c r="Q304" i="10"/>
  <c r="G304" i="10"/>
  <c r="L303" i="10"/>
  <c r="Q302" i="10"/>
  <c r="H302" i="10"/>
  <c r="M301" i="10"/>
  <c r="R300" i="10"/>
  <c r="I300" i="10"/>
  <c r="N297" i="10"/>
  <c r="J296" i="10"/>
  <c r="O295" i="10"/>
  <c r="J294" i="10"/>
  <c r="O293" i="10"/>
  <c r="F293" i="10"/>
  <c r="P289" i="10"/>
  <c r="G289" i="10"/>
  <c r="K288" i="10"/>
  <c r="O283" i="10"/>
  <c r="G283" i="10"/>
  <c r="L254" i="10"/>
  <c r="R253" i="10"/>
  <c r="J253" i="10"/>
  <c r="P252" i="10"/>
  <c r="H252" i="10"/>
  <c r="L247" i="10"/>
  <c r="J318" i="10"/>
  <c r="O317" i="10"/>
  <c r="J316" i="10"/>
  <c r="O315" i="10"/>
  <c r="F315" i="10"/>
  <c r="K314" i="10"/>
  <c r="P313" i="10"/>
  <c r="G313" i="10"/>
  <c r="I305" i="10"/>
  <c r="N304" i="10"/>
  <c r="J303" i="10"/>
  <c r="O302" i="10"/>
  <c r="F302" i="10"/>
  <c r="K301" i="10"/>
  <c r="O300" i="10"/>
  <c r="F300" i="10"/>
  <c r="L297" i="10"/>
  <c r="Q296" i="10"/>
  <c r="G296" i="10"/>
  <c r="L295" i="10"/>
  <c r="Q294" i="10"/>
  <c r="H294" i="10"/>
  <c r="M293" i="10"/>
  <c r="M289" i="10"/>
  <c r="R288" i="10"/>
  <c r="I288" i="10"/>
  <c r="M283" i="10"/>
  <c r="R254" i="10"/>
  <c r="R255" i="10" s="1"/>
  <c r="J254" i="10"/>
  <c r="P253" i="10"/>
  <c r="K318" i="10"/>
  <c r="L317" i="10"/>
  <c r="O316" i="10"/>
  <c r="P315" i="10"/>
  <c r="R314" i="10"/>
  <c r="F314" i="10"/>
  <c r="H313" i="10"/>
  <c r="M305" i="10"/>
  <c r="M304" i="10"/>
  <c r="P303" i="10"/>
  <c r="R302" i="10"/>
  <c r="G301" i="10"/>
  <c r="J300" i="10"/>
  <c r="O297" i="10"/>
  <c r="O296" i="10"/>
  <c r="R295" i="10"/>
  <c r="G295" i="10"/>
  <c r="G294" i="10"/>
  <c r="I293" i="10"/>
  <c r="L289" i="10"/>
  <c r="O288" i="10"/>
  <c r="R283" i="10"/>
  <c r="H283" i="10"/>
  <c r="O254" i="10"/>
  <c r="H253" i="10"/>
  <c r="M252" i="10"/>
  <c r="N247" i="10"/>
  <c r="K246" i="10"/>
  <c r="Q245" i="10"/>
  <c r="I245" i="10"/>
  <c r="O244" i="10"/>
  <c r="G244" i="10"/>
  <c r="M243" i="10"/>
  <c r="O236" i="10"/>
  <c r="G236" i="10"/>
  <c r="M235" i="10"/>
  <c r="K234" i="10"/>
  <c r="Q233" i="10"/>
  <c r="I233" i="10"/>
  <c r="O232" i="10"/>
  <c r="G232" i="10"/>
  <c r="Q229" i="10"/>
  <c r="I229" i="10"/>
  <c r="M206" i="10"/>
  <c r="R318" i="10"/>
  <c r="F318" i="10"/>
  <c r="I317" i="10"/>
  <c r="I316" i="10"/>
  <c r="L315" i="10"/>
  <c r="N314" i="10"/>
  <c r="O313" i="10"/>
  <c r="M311" i="10"/>
  <c r="G305" i="10"/>
  <c r="J304" i="10"/>
  <c r="K303" i="10"/>
  <c r="M302" i="10"/>
  <c r="O301" i="10"/>
  <c r="Q300" i="10"/>
  <c r="I297" i="10"/>
  <c r="L296" i="10"/>
  <c r="M295" i="10"/>
  <c r="O294" i="10"/>
  <c r="Q293" i="10"/>
  <c r="I289" i="10"/>
  <c r="J288" i="10"/>
  <c r="N283" i="10"/>
  <c r="K254" i="10"/>
  <c r="N253" i="10"/>
  <c r="J252" i="10"/>
  <c r="M318" i="10"/>
  <c r="M317" i="10"/>
  <c r="P316" i="10"/>
  <c r="G314" i="10"/>
  <c r="J313" i="10"/>
  <c r="F311" i="10"/>
  <c r="N305" i="10"/>
  <c r="O304" i="10"/>
  <c r="Q303" i="10"/>
  <c r="G302" i="10"/>
  <c r="H301" i="10"/>
  <c r="K300" i="10"/>
  <c r="P297" i="10"/>
  <c r="R296" i="10"/>
  <c r="H295" i="10"/>
  <c r="I294" i="10"/>
  <c r="K293" i="10"/>
  <c r="O289" i="10"/>
  <c r="P288" i="10"/>
  <c r="I283" i="10"/>
  <c r="P254" i="10"/>
  <c r="F254" i="10"/>
  <c r="I253" i="10"/>
  <c r="N252" i="10"/>
  <c r="S231" i="10"/>
  <c r="J314" i="10"/>
  <c r="N315" i="10"/>
  <c r="G317" i="10"/>
  <c r="N318" i="10"/>
  <c r="R287" i="10"/>
  <c r="J287" i="10"/>
  <c r="P287" i="10"/>
  <c r="G287" i="10"/>
  <c r="M286" i="10"/>
  <c r="K285" i="10"/>
  <c r="Q284" i="10"/>
  <c r="I284" i="10"/>
  <c r="N287" i="10"/>
  <c r="K286" i="10"/>
  <c r="Q285" i="10"/>
  <c r="I285" i="10"/>
  <c r="O284" i="10"/>
  <c r="G284" i="10"/>
  <c r="Q287" i="10"/>
  <c r="R286" i="10"/>
  <c r="H286" i="10"/>
  <c r="L285" i="10"/>
  <c r="N284" i="10"/>
  <c r="L287" i="10"/>
  <c r="O286" i="10"/>
  <c r="R285" i="10"/>
  <c r="G285" i="10"/>
  <c r="K284" i="10"/>
  <c r="F287" i="10"/>
  <c r="I286" i="10"/>
  <c r="M285" i="10"/>
  <c r="P284" i="10"/>
  <c r="F301" i="10"/>
  <c r="K302" i="10"/>
  <c r="R303" i="10"/>
  <c r="H305" i="10"/>
  <c r="L311" i="10"/>
  <c r="K311" i="10"/>
  <c r="L314" i="10"/>
  <c r="F316" i="10"/>
  <c r="J317" i="10"/>
  <c r="Q311" i="10"/>
  <c r="U2" i="11"/>
  <c r="O255" i="10" l="1"/>
  <c r="L255" i="10"/>
  <c r="J185" i="10"/>
  <c r="N180" i="10"/>
  <c r="G17" i="10"/>
  <c r="G76" i="10" s="1"/>
  <c r="U41" i="18"/>
  <c r="L41" i="18"/>
  <c r="W41" i="18" s="1"/>
  <c r="Q17" i="10"/>
  <c r="Q76" i="10" s="1"/>
  <c r="R248" i="10"/>
  <c r="L24" i="18"/>
  <c r="W24" i="18" s="1"/>
  <c r="X24" i="18" s="1"/>
  <c r="J237" i="10"/>
  <c r="L180" i="10"/>
  <c r="K29" i="18"/>
  <c r="U29" i="18" s="1"/>
  <c r="I30" i="18"/>
  <c r="K30" i="18" s="1"/>
  <c r="L30" i="18" s="1"/>
  <c r="K28" i="18"/>
  <c r="U28" i="18" s="1"/>
  <c r="H17" i="10"/>
  <c r="H76" i="10" s="1"/>
  <c r="P17" i="10"/>
  <c r="P76" i="10" s="1"/>
  <c r="L17" i="10"/>
  <c r="L76" i="10" s="1"/>
  <c r="M17" i="10"/>
  <c r="M76" i="10" s="1"/>
  <c r="I17" i="10"/>
  <c r="I76" i="10" s="1"/>
  <c r="S92" i="10"/>
  <c r="J17" i="10"/>
  <c r="J76" i="10" s="1"/>
  <c r="S11" i="10"/>
  <c r="S22" i="10"/>
  <c r="S135" i="10"/>
  <c r="R17" i="10"/>
  <c r="R76" i="10" s="1"/>
  <c r="N17" i="10"/>
  <c r="N76" i="10" s="1"/>
  <c r="O17" i="10"/>
  <c r="O76" i="10" s="1"/>
  <c r="K17" i="10"/>
  <c r="K76" i="10" s="1"/>
  <c r="S12" i="10"/>
  <c r="S67" i="10"/>
  <c r="F17" i="10"/>
  <c r="F143" i="10"/>
  <c r="S136" i="10"/>
  <c r="S147" i="10"/>
  <c r="F146" i="10"/>
  <c r="S127" i="10"/>
  <c r="S85" i="10"/>
  <c r="Q158" i="10"/>
  <c r="J180" i="10"/>
  <c r="F180" i="10"/>
  <c r="H248" i="10"/>
  <c r="M248" i="10"/>
  <c r="S178" i="10"/>
  <c r="W51" i="18"/>
  <c r="X51" i="18" s="1"/>
  <c r="W38" i="18"/>
  <c r="X38" i="18" s="1"/>
  <c r="W49" i="18"/>
  <c r="W48" i="18"/>
  <c r="X48" i="18" s="1"/>
  <c r="W46" i="18"/>
  <c r="X46" i="18" s="1"/>
  <c r="L19" i="18"/>
  <c r="W19" i="18" s="1"/>
  <c r="X19" i="18" s="1"/>
  <c r="K255" i="10"/>
  <c r="O180" i="10"/>
  <c r="K180" i="10"/>
  <c r="I180" i="10"/>
  <c r="Q180" i="10"/>
  <c r="K23" i="18"/>
  <c r="U23" i="18" s="1"/>
  <c r="K15" i="17"/>
  <c r="L15" i="17" s="1"/>
  <c r="K94" i="18"/>
  <c r="U94" i="18" s="1"/>
  <c r="K23" i="17"/>
  <c r="L23" i="17" s="1"/>
  <c r="L37" i="18"/>
  <c r="L73" i="18"/>
  <c r="L47" i="18"/>
  <c r="L86" i="18"/>
  <c r="W86" i="18" s="1"/>
  <c r="X86" i="18" s="1"/>
  <c r="L33" i="18"/>
  <c r="W33" i="18" s="1"/>
  <c r="L44" i="18"/>
  <c r="L39" i="18"/>
  <c r="L53" i="18"/>
  <c r="L42" i="18"/>
  <c r="L95" i="18"/>
  <c r="W95" i="18" s="1"/>
  <c r="X95" i="18" s="1"/>
  <c r="K38" i="18"/>
  <c r="U38" i="18" s="1"/>
  <c r="L98" i="18"/>
  <c r="W98" i="18" s="1"/>
  <c r="X98" i="18" s="1"/>
  <c r="L18" i="18"/>
  <c r="W18" i="18" s="1"/>
  <c r="X18" i="18" s="1"/>
  <c r="L20" i="18"/>
  <c r="W20" i="18" s="1"/>
  <c r="X20" i="18" s="1"/>
  <c r="L35" i="18"/>
  <c r="L45" i="18"/>
  <c r="L43" i="18"/>
  <c r="L34" i="18"/>
  <c r="P180" i="10"/>
  <c r="S197" i="10"/>
  <c r="M185" i="10"/>
  <c r="S201" i="10"/>
  <c r="P185" i="10"/>
  <c r="S199" i="10"/>
  <c r="G180" i="10"/>
  <c r="L207" i="10"/>
  <c r="S177" i="10"/>
  <c r="K80" i="18"/>
  <c r="U80" i="18" s="1"/>
  <c r="S204" i="10"/>
  <c r="L22" i="18"/>
  <c r="W22" i="18" s="1"/>
  <c r="X22" i="18" s="1"/>
  <c r="L81" i="18"/>
  <c r="W81" i="18" s="1"/>
  <c r="X81" i="18" s="1"/>
  <c r="K46" i="18"/>
  <c r="U46" i="18" s="1"/>
  <c r="L52" i="18"/>
  <c r="S183" i="10"/>
  <c r="L90" i="18"/>
  <c r="W90" i="18" s="1"/>
  <c r="X90" i="18" s="1"/>
  <c r="L50" i="18"/>
  <c r="S206" i="10"/>
  <c r="K99" i="18"/>
  <c r="U99" i="18" s="1"/>
  <c r="R180" i="10"/>
  <c r="F237" i="10"/>
  <c r="L88" i="18"/>
  <c r="W88" i="18" s="1"/>
  <c r="X88" i="18" s="1"/>
  <c r="L82" i="18"/>
  <c r="W82" i="18" s="1"/>
  <c r="X82" i="18" s="1"/>
  <c r="K49" i="18"/>
  <c r="U49" i="18" s="1"/>
  <c r="S188" i="10"/>
  <c r="N207" i="10"/>
  <c r="O207" i="10"/>
  <c r="P207" i="10"/>
  <c r="Q207" i="10"/>
  <c r="Q255" i="10"/>
  <c r="I207" i="10"/>
  <c r="J207" i="10"/>
  <c r="S198" i="10"/>
  <c r="H207" i="10"/>
  <c r="N237" i="10"/>
  <c r="S202" i="10"/>
  <c r="S192" i="10"/>
  <c r="S200" i="10"/>
  <c r="R207" i="10"/>
  <c r="S194" i="10"/>
  <c r="G207" i="10"/>
  <c r="H180" i="10"/>
  <c r="S193" i="10"/>
  <c r="S176" i="10"/>
  <c r="S205" i="10"/>
  <c r="S195" i="10"/>
  <c r="S190" i="10"/>
  <c r="S179" i="10"/>
  <c r="S174" i="10"/>
  <c r="S203" i="10"/>
  <c r="S230" i="10"/>
  <c r="S184" i="10"/>
  <c r="S189" i="10"/>
  <c r="S175" i="10"/>
  <c r="M180" i="10"/>
  <c r="S196" i="10"/>
  <c r="K207" i="10"/>
  <c r="R237" i="10"/>
  <c r="S191" i="10"/>
  <c r="L87" i="18"/>
  <c r="W87" i="18" s="1"/>
  <c r="X87" i="18" s="1"/>
  <c r="F207" i="10"/>
  <c r="F239" i="10" s="1"/>
  <c r="L16" i="18"/>
  <c r="W16" i="18" s="1"/>
  <c r="X16" i="18" s="1"/>
  <c r="L89" i="18"/>
  <c r="W89" i="18" s="1"/>
  <c r="X89" i="18" s="1"/>
  <c r="L84" i="18"/>
  <c r="W84" i="18" s="1"/>
  <c r="X84" i="18" s="1"/>
  <c r="L248" i="10"/>
  <c r="I248" i="10"/>
  <c r="K237" i="10"/>
  <c r="Q248" i="10"/>
  <c r="L72" i="18"/>
  <c r="K48" i="18"/>
  <c r="U48" i="18" s="1"/>
  <c r="L40" i="18"/>
  <c r="K32" i="18"/>
  <c r="U32" i="18" s="1"/>
  <c r="L32" i="18"/>
  <c r="I54" i="18"/>
  <c r="K54" i="18" s="1"/>
  <c r="L79" i="18"/>
  <c r="W79" i="18" s="1"/>
  <c r="X79" i="18" s="1"/>
  <c r="K15" i="18"/>
  <c r="I21" i="18"/>
  <c r="L71" i="18"/>
  <c r="L17" i="18"/>
  <c r="W17" i="18" s="1"/>
  <c r="X17" i="18" s="1"/>
  <c r="U17" i="18"/>
  <c r="L36" i="18"/>
  <c r="J158" i="10"/>
  <c r="R158" i="10"/>
  <c r="Q319" i="10"/>
  <c r="K319" i="10"/>
  <c r="H237" i="10"/>
  <c r="L290" i="10"/>
  <c r="N255" i="10"/>
  <c r="I237" i="10"/>
  <c r="O237" i="10"/>
  <c r="I319" i="10"/>
  <c r="S235" i="10"/>
  <c r="L319" i="10"/>
  <c r="S236" i="10"/>
  <c r="S296" i="10"/>
  <c r="L306" i="10"/>
  <c r="S297" i="10"/>
  <c r="H306" i="10"/>
  <c r="S304" i="10"/>
  <c r="S246" i="10"/>
  <c r="J319" i="10"/>
  <c r="N319" i="10"/>
  <c r="H255" i="10"/>
  <c r="S303" i="10"/>
  <c r="N248" i="10"/>
  <c r="P237" i="10"/>
  <c r="M207" i="10"/>
  <c r="P255" i="10"/>
  <c r="S305" i="10"/>
  <c r="K248" i="10"/>
  <c r="J248" i="10"/>
  <c r="P248" i="10"/>
  <c r="M237" i="10"/>
  <c r="O248" i="10"/>
  <c r="L237" i="10"/>
  <c r="G306" i="10"/>
  <c r="S288" i="10"/>
  <c r="S253" i="10"/>
  <c r="S316" i="10"/>
  <c r="S294" i="10"/>
  <c r="S244" i="10"/>
  <c r="H158" i="10"/>
  <c r="P158" i="10"/>
  <c r="I158" i="10"/>
  <c r="M158" i="10"/>
  <c r="G158" i="10"/>
  <c r="K290" i="10"/>
  <c r="F290" i="10"/>
  <c r="S44" i="10"/>
  <c r="O158" i="10"/>
  <c r="N158" i="10"/>
  <c r="F74" i="10"/>
  <c r="L158" i="10"/>
  <c r="K143" i="10"/>
  <c r="K158" i="10" s="1"/>
  <c r="S284" i="10"/>
  <c r="J290" i="10"/>
  <c r="N290" i="10"/>
  <c r="Q290" i="10"/>
  <c r="S286" i="10"/>
  <c r="J306" i="10"/>
  <c r="S298" i="10"/>
  <c r="S299" i="10"/>
  <c r="P290" i="10"/>
  <c r="S233" i="10"/>
  <c r="S287" i="10"/>
  <c r="K306" i="10"/>
  <c r="M290" i="10"/>
  <c r="S313" i="10"/>
  <c r="G237" i="10"/>
  <c r="M255" i="10"/>
  <c r="O306" i="10"/>
  <c r="O319" i="10"/>
  <c r="S295" i="10"/>
  <c r="I255" i="10"/>
  <c r="G248" i="10"/>
  <c r="F248" i="10"/>
  <c r="S243" i="10"/>
  <c r="S229" i="10"/>
  <c r="S234" i="10"/>
  <c r="S232" i="10"/>
  <c r="R319" i="10"/>
  <c r="G255" i="10"/>
  <c r="R306" i="10"/>
  <c r="S293" i="10"/>
  <c r="S310" i="10"/>
  <c r="Q306" i="10"/>
  <c r="Q237" i="10"/>
  <c r="S254" i="10"/>
  <c r="J255" i="10"/>
  <c r="G290" i="10"/>
  <c r="P306" i="10"/>
  <c r="S247" i="10"/>
  <c r="N306" i="10"/>
  <c r="S252" i="10"/>
  <c r="S245" i="10"/>
  <c r="S302" i="10"/>
  <c r="I306" i="10"/>
  <c r="S315" i="10"/>
  <c r="H290" i="10"/>
  <c r="M306" i="10"/>
  <c r="S300" i="10"/>
  <c r="M319" i="10"/>
  <c r="O290" i="10"/>
  <c r="S289" i="10"/>
  <c r="H319" i="10"/>
  <c r="F255" i="10"/>
  <c r="S314" i="10"/>
  <c r="S301" i="10"/>
  <c r="I290" i="10"/>
  <c r="S311" i="10"/>
  <c r="I97" i="18" s="1"/>
  <c r="S318" i="10"/>
  <c r="R290" i="10"/>
  <c r="G319" i="10"/>
  <c r="P319" i="10"/>
  <c r="S317" i="10"/>
  <c r="S285" i="10"/>
  <c r="S283" i="10"/>
  <c r="Q239" i="10" l="1"/>
  <c r="K239" i="10"/>
  <c r="S74" i="10"/>
  <c r="J239" i="10"/>
  <c r="I70" i="18"/>
  <c r="K70" i="18" s="1"/>
  <c r="L70" i="18" s="1"/>
  <c r="W70" i="18" s="1"/>
  <c r="X70" i="18" s="1"/>
  <c r="S143" i="10"/>
  <c r="S17" i="10"/>
  <c r="F76" i="10"/>
  <c r="L28" i="18"/>
  <c r="W28" i="18" s="1"/>
  <c r="X28" i="18" s="1"/>
  <c r="L29" i="18"/>
  <c r="W29" i="18" s="1"/>
  <c r="S146" i="10"/>
  <c r="F156" i="10"/>
  <c r="F158" i="10" s="1"/>
  <c r="R239" i="10"/>
  <c r="H239" i="10"/>
  <c r="N239" i="10"/>
  <c r="W45" i="18"/>
  <c r="X45" i="18" s="1"/>
  <c r="W35" i="18"/>
  <c r="X35" i="18" s="1"/>
  <c r="X41" i="18"/>
  <c r="W44" i="18"/>
  <c r="X44" i="18" s="1"/>
  <c r="X31" i="18"/>
  <c r="W34" i="18"/>
  <c r="X34" i="18" s="1"/>
  <c r="W43" i="18"/>
  <c r="X43" i="18" s="1"/>
  <c r="W37" i="18"/>
  <c r="X37" i="18" s="1"/>
  <c r="L54" i="18"/>
  <c r="W54" i="18" s="1"/>
  <c r="U54" i="18"/>
  <c r="X49" i="18"/>
  <c r="W52" i="18"/>
  <c r="X52" i="18" s="1"/>
  <c r="W42" i="18"/>
  <c r="X42" i="18" s="1"/>
  <c r="W72" i="18"/>
  <c r="X72" i="18" s="1"/>
  <c r="W53" i="18"/>
  <c r="W39" i="18"/>
  <c r="X39" i="18" s="1"/>
  <c r="X33" i="18"/>
  <c r="W36" i="18"/>
  <c r="X36" i="18" s="1"/>
  <c r="X29" i="18"/>
  <c r="W32" i="18"/>
  <c r="X32" i="18" s="1"/>
  <c r="W50" i="18"/>
  <c r="X50" i="18" s="1"/>
  <c r="W40" i="18"/>
  <c r="X40" i="18" s="1"/>
  <c r="W73" i="18"/>
  <c r="X73" i="18" s="1"/>
  <c r="W71" i="18"/>
  <c r="X71" i="18" s="1"/>
  <c r="W47" i="18"/>
  <c r="X47" i="18" s="1"/>
  <c r="X30" i="18"/>
  <c r="L94" i="18"/>
  <c r="W94" i="18" s="1"/>
  <c r="X94" i="18" s="1"/>
  <c r="L23" i="18"/>
  <c r="W23" i="18" s="1"/>
  <c r="X23" i="18" s="1"/>
  <c r="I85" i="18"/>
  <c r="K85" i="18" s="1"/>
  <c r="O239" i="10"/>
  <c r="I239" i="10"/>
  <c r="S185" i="10"/>
  <c r="L239" i="10"/>
  <c r="G239" i="10"/>
  <c r="P239" i="10"/>
  <c r="S180" i="10"/>
  <c r="S207" i="10"/>
  <c r="L15" i="18"/>
  <c r="W15" i="18" s="1"/>
  <c r="X15" i="18" s="1"/>
  <c r="U15" i="18"/>
  <c r="I25" i="18"/>
  <c r="K25" i="18" s="1"/>
  <c r="K21" i="18"/>
  <c r="L21" i="18" s="1"/>
  <c r="K97" i="18"/>
  <c r="J321" i="10"/>
  <c r="I321" i="10"/>
  <c r="L321" i="10"/>
  <c r="M239" i="10"/>
  <c r="R321" i="10"/>
  <c r="S248" i="10"/>
  <c r="O321" i="10"/>
  <c r="K321" i="10"/>
  <c r="K322" i="10" s="1"/>
  <c r="P321" i="10"/>
  <c r="N321" i="10"/>
  <c r="N322" i="10" s="1"/>
  <c r="M321" i="10"/>
  <c r="S290" i="10"/>
  <c r="H321" i="10"/>
  <c r="H322" i="10" s="1"/>
  <c r="Q321" i="10"/>
  <c r="Q322" i="10" s="1"/>
  <c r="G321" i="10"/>
  <c r="S306" i="10"/>
  <c r="S309" i="10"/>
  <c r="I96" i="18" s="1"/>
  <c r="F319" i="10"/>
  <c r="S255" i="10"/>
  <c r="F306" i="10"/>
  <c r="S237" i="10"/>
  <c r="P322" i="10" l="1"/>
  <c r="G322" i="10"/>
  <c r="J322" i="10"/>
  <c r="L322" i="10"/>
  <c r="U70" i="18"/>
  <c r="S156" i="10"/>
  <c r="S158" i="10" s="1"/>
  <c r="S76" i="10"/>
  <c r="I322" i="10"/>
  <c r="M322" i="10"/>
  <c r="O322" i="10"/>
  <c r="R322" i="10"/>
  <c r="I74" i="18"/>
  <c r="I76" i="18" s="1"/>
  <c r="K76" i="18" s="1"/>
  <c r="L25" i="18"/>
  <c r="W25" i="18" s="1"/>
  <c r="X25" i="18" s="1"/>
  <c r="U25" i="18"/>
  <c r="L85" i="18"/>
  <c r="W85" i="18" s="1"/>
  <c r="X85" i="18" s="1"/>
  <c r="U85" i="18"/>
  <c r="L97" i="18"/>
  <c r="W97" i="18" s="1"/>
  <c r="X97" i="18" s="1"/>
  <c r="U97" i="18"/>
  <c r="S239" i="10"/>
  <c r="K96" i="18"/>
  <c r="I91" i="18"/>
  <c r="K91" i="18" s="1"/>
  <c r="U17" i="10"/>
  <c r="U18" i="10" s="1"/>
  <c r="F321" i="10"/>
  <c r="F322" i="10" s="1"/>
  <c r="S319" i="10"/>
  <c r="K74" i="18" l="1"/>
  <c r="L76" i="18"/>
  <c r="W76" i="18" s="1"/>
  <c r="X76" i="18" s="1"/>
  <c r="U76" i="18"/>
  <c r="L74" i="18"/>
  <c r="W74" i="18" s="1"/>
  <c r="X74" i="18" s="1"/>
  <c r="U74" i="18"/>
  <c r="L96" i="18"/>
  <c r="W96" i="18" s="1"/>
  <c r="X96" i="18" s="1"/>
  <c r="U96" i="18"/>
  <c r="L91" i="18"/>
  <c r="U91" i="18"/>
  <c r="I100" i="18"/>
  <c r="K100" i="18" s="1"/>
  <c r="S321" i="10"/>
  <c r="S322" i="10" s="1"/>
  <c r="L100" i="18" l="1"/>
  <c r="X100" i="18" s="1"/>
  <c r="I102" i="18"/>
  <c r="I104" i="18" s="1"/>
  <c r="K104" i="18" l="1"/>
  <c r="K102" i="18"/>
  <c r="I106" i="18"/>
  <c r="L102" i="18" l="1"/>
  <c r="W102" i="18" s="1"/>
  <c r="X102" i="18" s="1"/>
  <c r="U102" i="18"/>
  <c r="L104" i="18"/>
  <c r="X104" i="18" s="1"/>
  <c r="K106" i="18"/>
  <c r="L106" i="18" l="1"/>
  <c r="W106" i="18" s="1"/>
  <c r="X106" i="18" s="1"/>
  <c r="U106" i="18"/>
  <c r="V106" i="18" s="1"/>
  <c r="I110" i="18"/>
  <c r="V102" i="18"/>
  <c r="V61" i="18"/>
  <c r="V46" i="18"/>
  <c r="V92" i="18"/>
  <c r="V47" i="18"/>
  <c r="V14" i="18"/>
  <c r="V89" i="18"/>
  <c r="V22" i="18"/>
  <c r="V104" i="18"/>
  <c r="V17" i="18"/>
  <c r="V103" i="18"/>
  <c r="V70" i="18"/>
  <c r="V86" i="18"/>
  <c r="V20" i="18"/>
  <c r="V34" i="18"/>
  <c r="V71" i="18"/>
  <c r="V25" i="18"/>
  <c r="V30" i="18"/>
  <c r="V91" i="18"/>
  <c r="V31" i="18"/>
  <c r="V81" i="18"/>
  <c r="V57" i="18"/>
  <c r="V63" i="18"/>
  <c r="V67" i="18"/>
  <c r="V16" i="18"/>
  <c r="V19" i="18"/>
  <c r="V72" i="18"/>
  <c r="V40" i="18"/>
  <c r="V62" i="18"/>
  <c r="V33" i="18"/>
  <c r="V105" i="18"/>
  <c r="V51" i="18"/>
  <c r="V80" i="18"/>
  <c r="V100" i="18"/>
  <c r="V56" i="18"/>
  <c r="V88" i="18"/>
  <c r="V82" i="18"/>
  <c r="V95" i="18"/>
  <c r="V64" i="18"/>
  <c r="V75" i="18"/>
  <c r="V101" i="18"/>
  <c r="V18" i="18"/>
  <c r="V21" i="18"/>
  <c r="V66" i="18"/>
  <c r="V94" i="18"/>
  <c r="V50" i="18"/>
  <c r="V48" i="18"/>
  <c r="V29" i="18"/>
  <c r="V99" i="18"/>
  <c r="V41" i="18"/>
  <c r="V37" i="18"/>
  <c r="V24" i="18"/>
  <c r="V65" i="18"/>
  <c r="V15" i="18"/>
  <c r="V58" i="18"/>
  <c r="V78" i="18"/>
  <c r="V77" i="18"/>
  <c r="V85" i="18"/>
  <c r="V32" i="18"/>
  <c r="V87" i="18"/>
  <c r="V28" i="18"/>
  <c r="V79" i="18"/>
  <c r="V26" i="18"/>
  <c r="V76" i="18"/>
  <c r="V98" i="18"/>
  <c r="V42" i="18"/>
  <c r="V49" i="18"/>
  <c r="V35" i="18"/>
  <c r="V83" i="18"/>
  <c r="V68" i="18"/>
  <c r="V74" i="18"/>
  <c r="V44" i="18"/>
  <c r="V73" i="18"/>
  <c r="V84" i="18"/>
  <c r="V60" i="18"/>
  <c r="V96" i="18"/>
  <c r="V43" i="18"/>
  <c r="V59" i="18"/>
  <c r="V97" i="18"/>
  <c r="V36" i="18"/>
  <c r="V93" i="18"/>
  <c r="V69" i="18"/>
  <c r="V45" i="18"/>
  <c r="V38" i="18"/>
  <c r="V39" i="18"/>
  <c r="V23" i="18"/>
  <c r="V90" i="18"/>
  <c r="U180" i="10" l="1"/>
  <c r="U181" i="10" s="1"/>
  <c r="I111" i="18" l="1"/>
  <c r="W128" i="1" l="1"/>
  <c r="W120" i="1" l="1"/>
  <c r="W68" i="1"/>
  <c r="W72" i="1" l="1"/>
  <c r="W124" i="1" l="1"/>
  <c r="M326" i="36" l="1"/>
  <c r="J405" i="36" l="1"/>
  <c r="M405" i="36" l="1"/>
  <c r="J487" i="36" l="1"/>
  <c r="M487" i="36" l="1"/>
  <c r="J506" i="36"/>
  <c r="M506" i="36" s="1"/>
  <c r="J236" i="36" l="1"/>
  <c r="M187" i="36" l="1"/>
  <c r="G236" i="36" l="1"/>
  <c r="M236" i="36" s="1"/>
  <c r="G239" i="36" l="1"/>
  <c r="J397" i="36" l="1"/>
  <c r="M381" i="36"/>
  <c r="M397" i="36" l="1"/>
  <c r="G508" i="36" l="1"/>
  <c r="G511" i="36" l="1"/>
  <c r="M457" i="36" l="1"/>
  <c r="J459" i="36"/>
  <c r="J508" i="36" s="1"/>
  <c r="M459" i="36" l="1"/>
  <c r="M508" i="36"/>
  <c r="J511" i="36"/>
  <c r="M511" i="36" l="1"/>
  <c r="J125" i="36" l="1"/>
  <c r="M54" i="36"/>
  <c r="J135" i="36"/>
  <c r="M125" i="36" l="1"/>
  <c r="J239" i="36"/>
  <c r="M239" i="3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Bui, Thuy</author>
    <author>Hilt, Annabelle J.</author>
  </authors>
  <commentList>
    <comment ref="B68" authorId="0" shapeId="0" xr:uid="{17E04A8E-0EDB-4C14-8ADF-D045899C3655}">
      <text>
        <r>
          <rPr>
            <b/>
            <sz val="9"/>
            <color indexed="81"/>
            <rFont val="Tahoma"/>
            <family val="2"/>
          </rPr>
          <t xml:space="preserve">1823610
</t>
        </r>
        <r>
          <rPr>
            <sz val="9"/>
            <color indexed="81"/>
            <rFont val="Tahoma"/>
            <family val="2"/>
          </rPr>
          <t xml:space="preserve">
</t>
        </r>
      </text>
    </comment>
    <comment ref="B231" authorId="0" shapeId="0" xr:uid="{C26A1FF7-13D8-49FF-A024-147CB02FCA90}">
      <text>
        <r>
          <rPr>
            <b/>
            <sz val="9"/>
            <color indexed="81"/>
            <rFont val="Tahoma"/>
            <family val="2"/>
          </rPr>
          <t xml:space="preserve">1823610
</t>
        </r>
        <r>
          <rPr>
            <sz val="9"/>
            <color indexed="81"/>
            <rFont val="Tahoma"/>
            <family val="2"/>
          </rPr>
          <t xml:space="preserve">
</t>
        </r>
      </text>
    </comment>
    <comment ref="B312" authorId="1" shapeId="0" xr:uid="{BD5F720C-7D28-4B83-AAAA-4BBC605D79B6}">
      <text>
        <r>
          <rPr>
            <b/>
            <sz val="9"/>
            <color indexed="81"/>
            <rFont val="Tahoma"/>
            <family val="2"/>
          </rPr>
          <t>2540610</t>
        </r>
      </text>
    </comment>
    <comment ref="B393" authorId="0" shapeId="0" xr:uid="{08F8224C-067F-429D-B516-893E0CC0C53C}">
      <text>
        <r>
          <rPr>
            <b/>
            <sz val="9"/>
            <color indexed="81"/>
            <rFont val="Tahoma"/>
            <family val="2"/>
          </rPr>
          <t xml:space="preserve">1823610
</t>
        </r>
        <r>
          <rPr>
            <sz val="9"/>
            <color indexed="81"/>
            <rFont val="Tahoma"/>
            <family val="2"/>
          </rPr>
          <t xml:space="preserve">
</t>
        </r>
      </text>
    </comment>
    <comment ref="B474" authorId="1" shapeId="0" xr:uid="{107E0A45-022C-4D75-A816-ED864E57F817}">
      <text>
        <r>
          <rPr>
            <b/>
            <sz val="9"/>
            <color indexed="81"/>
            <rFont val="Tahoma"/>
            <family val="2"/>
          </rPr>
          <t>2540610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Bui, Thuy</author>
  </authors>
  <commentList>
    <comment ref="B69" authorId="0" shapeId="0" xr:uid="{6DCF73FC-04CF-4484-8225-B05D3FB5F89F}">
      <text>
        <r>
          <rPr>
            <b/>
            <sz val="9"/>
            <color indexed="81"/>
            <rFont val="Tahoma"/>
            <family val="2"/>
          </rPr>
          <t xml:space="preserve">1823610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Hilt, Annabelle J.</author>
  </authors>
  <commentList>
    <comment ref="B507" authorId="0" shapeId="0" xr:uid="{34ED29EA-0244-4EA7-9C6D-3D8FC137407D}">
      <text>
        <r>
          <rPr>
            <b/>
            <sz val="9"/>
            <color indexed="81"/>
            <rFont val="Tahoma"/>
            <family val="2"/>
          </rPr>
          <t>Hilt, Annabelle J.:</t>
        </r>
        <r>
          <rPr>
            <sz val="9"/>
            <color indexed="81"/>
            <rFont val="Tahoma"/>
            <family val="2"/>
          </rPr>
          <t xml:space="preserve">
Pulled from Tab N, Acct 253, 13 Mth Avg</t>
        </r>
      </text>
    </comment>
    <comment ref="B508" authorId="0" shapeId="0" xr:uid="{20116C59-C49F-413E-8391-6EA6C3F1A37F}">
      <text>
        <r>
          <rPr>
            <b/>
            <sz val="9"/>
            <color indexed="81"/>
            <rFont val="Tahoma"/>
            <family val="2"/>
          </rPr>
          <t>Hilt, Annabelle J.:</t>
        </r>
        <r>
          <rPr>
            <sz val="9"/>
            <color indexed="81"/>
            <rFont val="Tahoma"/>
            <family val="2"/>
          </rPr>
          <t xml:space="preserve">
Pulled from Tab B, Formulas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Hilt, Annabelle J.</author>
  </authors>
  <commentList>
    <comment ref="B507" authorId="0" shapeId="0" xr:uid="{FD9CBFA8-7E4F-4252-85A7-629BFC874413}">
      <text>
        <r>
          <rPr>
            <b/>
            <sz val="9"/>
            <color indexed="81"/>
            <rFont val="Tahoma"/>
            <family val="2"/>
          </rPr>
          <t>Hilt, Annabelle J.:</t>
        </r>
        <r>
          <rPr>
            <sz val="9"/>
            <color indexed="81"/>
            <rFont val="Tahoma"/>
            <family val="2"/>
          </rPr>
          <t xml:space="preserve">
Pulled from Tab N, Acct 253, 13 Mth Avg</t>
        </r>
      </text>
    </comment>
    <comment ref="B508" authorId="0" shapeId="0" xr:uid="{F654C3A2-15C1-42BC-AD68-A3E4BE65A965}">
      <text>
        <r>
          <rPr>
            <b/>
            <sz val="9"/>
            <color indexed="81"/>
            <rFont val="Tahoma"/>
            <family val="2"/>
          </rPr>
          <t>Hilt, Annabelle J.:</t>
        </r>
        <r>
          <rPr>
            <sz val="9"/>
            <color indexed="81"/>
            <rFont val="Tahoma"/>
            <family val="2"/>
          </rPr>
          <t xml:space="preserve">
Pulled from Tab B, Formulas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Bui, Thuy</author>
  </authors>
  <commentList>
    <comment ref="B68" authorId="0" shapeId="0" xr:uid="{2601DAED-2225-40C1-ADAF-60E8CABE1227}">
      <text>
        <r>
          <rPr>
            <b/>
            <sz val="9"/>
            <color indexed="81"/>
            <rFont val="Tahoma"/>
            <family val="2"/>
          </rPr>
          <t xml:space="preserve">1823610
</t>
        </r>
        <r>
          <rPr>
            <sz val="9"/>
            <color indexed="81"/>
            <rFont val="Tahoma"/>
            <family val="2"/>
          </rPr>
          <t xml:space="preserve">
</t>
        </r>
      </text>
    </comment>
  </commentList>
</comments>
</file>

<file path=xl/sharedStrings.xml><?xml version="1.0" encoding="utf-8"?>
<sst xmlns="http://schemas.openxmlformats.org/spreadsheetml/2006/main" count="15881" uniqueCount="2318">
  <si>
    <t>SCHEDULE B-1</t>
  </si>
  <si>
    <t>ADJUSTED RATE BASE</t>
  </si>
  <si>
    <t>Page 1 of 3</t>
  </si>
  <si>
    <t>YEAR 2023A (HISTORICAL)</t>
  </si>
  <si>
    <t>FLORIDA PUBLIC SERVICE COMMISSION</t>
  </si>
  <si>
    <t xml:space="preserve">                       EXPLANATION:</t>
  </si>
  <si>
    <t xml:space="preserve">Provide a schedule of the 13-month average adjusted rate base for the test year, the prior year and the most </t>
  </si>
  <si>
    <t xml:space="preserve">       Type of data shown:</t>
  </si>
  <si>
    <t>recent historical year.  Provide the details of all adjustments on Schedule B-2.</t>
  </si>
  <si>
    <t>Projected Test Year Ended 12/31/2025</t>
  </si>
  <si>
    <t>COMPANY: TAMPA ELECTRIC COMPANY</t>
  </si>
  <si>
    <t>Projected Prior Year Ended 12/31/2024</t>
  </si>
  <si>
    <t>XX</t>
  </si>
  <si>
    <t>Historical Prior Year Ended 12/31/2023</t>
  </si>
  <si>
    <t xml:space="preserve">DOCKET No. </t>
  </si>
  <si>
    <t>(Dollars in 000's)</t>
  </si>
  <si>
    <t>Witness:</t>
  </si>
  <si>
    <t>(1)</t>
  </si>
  <si>
    <t>(2)</t>
  </si>
  <si>
    <t>(3)</t>
  </si>
  <si>
    <t>(4)</t>
  </si>
  <si>
    <t>(5)</t>
  </si>
  <si>
    <t>(6)</t>
  </si>
  <si>
    <t>(7)</t>
  </si>
  <si>
    <t>(8)</t>
  </si>
  <si>
    <t>(9)</t>
  </si>
  <si>
    <t>(10)</t>
  </si>
  <si>
    <t>Accumulated</t>
  </si>
  <si>
    <t>Provision for</t>
  </si>
  <si>
    <t>Net Plant</t>
  </si>
  <si>
    <t>Plant</t>
  </si>
  <si>
    <t>Nuclear Fuel -</t>
  </si>
  <si>
    <t>Net</t>
  </si>
  <si>
    <t>Working</t>
  </si>
  <si>
    <t>Other</t>
  </si>
  <si>
    <t>Line</t>
  </si>
  <si>
    <t xml:space="preserve">Plant in </t>
  </si>
  <si>
    <t>Depreciation</t>
  </si>
  <si>
    <t>in Service</t>
  </si>
  <si>
    <t xml:space="preserve">CWIP </t>
  </si>
  <si>
    <t>Held For</t>
  </si>
  <si>
    <t>No AFUDC</t>
  </si>
  <si>
    <t>Utility</t>
  </si>
  <si>
    <t>Capital</t>
  </si>
  <si>
    <t>Rate Base</t>
  </si>
  <si>
    <t>Total</t>
  </si>
  <si>
    <t>No.</t>
  </si>
  <si>
    <t>Service</t>
  </si>
  <si>
    <t>and Amortization</t>
  </si>
  <si>
    <t>(1 - 2)</t>
  </si>
  <si>
    <t>Future Use</t>
  </si>
  <si>
    <t>(Net)</t>
  </si>
  <si>
    <t>Allowance</t>
  </si>
  <si>
    <t>Items</t>
  </si>
  <si>
    <t>Utility Per Books</t>
  </si>
  <si>
    <t>Sch 2-1-3</t>
  </si>
  <si>
    <t>Check</t>
  </si>
  <si>
    <t>per SR</t>
  </si>
  <si>
    <t>Separation Factor</t>
  </si>
  <si>
    <t>per B-1</t>
  </si>
  <si>
    <t>Diff</t>
  </si>
  <si>
    <t>Jurisdiction Utility</t>
  </si>
  <si>
    <t>Commission Adjustments</t>
  </si>
  <si>
    <t>Company Adjustments</t>
  </si>
  <si>
    <t>per B-2</t>
  </si>
  <si>
    <t>Total Adjustments</t>
  </si>
  <si>
    <t>Jurisdiction Adjusted Utility</t>
  </si>
  <si>
    <t>Totals may be affected due to rounding.</t>
  </si>
  <si>
    <t>Supporting Schedules: B-2, B-3, B-6</t>
  </si>
  <si>
    <t>Recap Schedules: A-1</t>
  </si>
  <si>
    <t>Page 2 of 3</t>
  </si>
  <si>
    <t>YEAR 2024B (PRIOR YEAR)</t>
  </si>
  <si>
    <t>Page 3 of 3</t>
  </si>
  <si>
    <t>YEAR 2025B (TEST YEAR)</t>
  </si>
  <si>
    <t xml:space="preserve">Witness: </t>
  </si>
  <si>
    <t>SCHEDULE B-2</t>
  </si>
  <si>
    <t>RATE BASE ADJUSTMENTS</t>
  </si>
  <si>
    <t>List and explain all proposed adjustments to the 13-month average rate base for the test year,</t>
  </si>
  <si>
    <t>December 2023A - Sch 3of3</t>
  </si>
  <si>
    <t>the prior year and the most recent historical year.  List the adjustments included in the last case</t>
  </si>
  <si>
    <t>Projected Test Year Ended 12/31/2024</t>
  </si>
  <si>
    <t>Working Capital Adjustments</t>
  </si>
  <si>
    <t>System</t>
  </si>
  <si>
    <t>Retail</t>
  </si>
  <si>
    <t>Net Utility Plant Adjustments</t>
  </si>
  <si>
    <t>that are not proposed in the current case and the reasons for excluding them.</t>
  </si>
  <si>
    <t>Projected Prior Year Ended 12/31/2023</t>
  </si>
  <si>
    <t>-</t>
  </si>
  <si>
    <t>Historical Prior Year Ended 12/31/2022</t>
  </si>
  <si>
    <t>Fuel</t>
  </si>
  <si>
    <t>$</t>
  </si>
  <si>
    <t>ECRC - Plant In Service</t>
  </si>
  <si>
    <t>ECCR</t>
  </si>
  <si>
    <t>ECRC - Acc Deprec &amp; Amortization</t>
  </si>
  <si>
    <t>SPPCRC</t>
  </si>
  <si>
    <t>SPPCRC - Plant In Service</t>
  </si>
  <si>
    <t>ECRC</t>
  </si>
  <si>
    <t>SPPCRC - Acc Deprec &amp; Amortization</t>
  </si>
  <si>
    <t>Jurisdictional</t>
  </si>
  <si>
    <t>CETM</t>
  </si>
  <si>
    <t>ECCR - Plant in Service</t>
  </si>
  <si>
    <t xml:space="preserve">Amount of </t>
  </si>
  <si>
    <t>ECCR - Acc Deprec &amp; Amortization</t>
  </si>
  <si>
    <t>Reason for Adjustment or Omission</t>
  </si>
  <si>
    <t>Adjustment</t>
  </si>
  <si>
    <t>Other:</t>
  </si>
  <si>
    <t>CWIP</t>
  </si>
  <si>
    <t>Adjustment Title</t>
  </si>
  <si>
    <t>(provide supporting schedule)</t>
  </si>
  <si>
    <t>Amount</t>
  </si>
  <si>
    <t>Factor</t>
  </si>
  <si>
    <t>(1) x (2)</t>
  </si>
  <si>
    <t xml:space="preserve">   Other Return Provided</t>
  </si>
  <si>
    <t>CWIP in Rate Base</t>
  </si>
  <si>
    <t xml:space="preserve">   Non-utility</t>
  </si>
  <si>
    <t>Acquisition Book Value</t>
  </si>
  <si>
    <t>Deferred Fuel &amp; Capacity Clause, ECCR,</t>
  </si>
  <si>
    <t xml:space="preserve">To remove fuel and capacity, environmental, conservation, and storm protection assets and deferred revenues and expenses </t>
  </si>
  <si>
    <t>WC</t>
  </si>
  <si>
    <t xml:space="preserve">   Investor Funds</t>
  </si>
  <si>
    <t>Acquisition Accumulated Amortization</t>
  </si>
  <si>
    <t xml:space="preserve"> ECRC, and SPPCRC</t>
  </si>
  <si>
    <t>which will be recovered through cost recovery clauses.</t>
  </si>
  <si>
    <t xml:space="preserve">   Unamortized Rate Case Expense</t>
  </si>
  <si>
    <t>Acquisition Adjustment - Plant</t>
  </si>
  <si>
    <t>Deferred CETM</t>
  </si>
  <si>
    <t>To remove deferred revenues and expenses which are being recovered through the CETM.</t>
  </si>
  <si>
    <t>Acquisition Adjustment - Acc Amortiz</t>
  </si>
  <si>
    <t>Fuel Plant in Service</t>
  </si>
  <si>
    <t>To remove from plant in service the investment being recovered through the Fuel Cost Recovery Clause.</t>
  </si>
  <si>
    <t>PIS</t>
  </si>
  <si>
    <t>Lease</t>
  </si>
  <si>
    <t>Fuel Accumulated Depreciation</t>
  </si>
  <si>
    <t>To remove the accumulated depreciation related to the fuel investment being recovered through the Fuel Cost Recovery Clause.</t>
  </si>
  <si>
    <t>ACCD</t>
  </si>
  <si>
    <t>=</t>
  </si>
  <si>
    <t>Other Return Provided</t>
  </si>
  <si>
    <t>To remove from working capital the effect of items for which a return is provided elsewhere.</t>
  </si>
  <si>
    <t>Fuel Inventory</t>
  </si>
  <si>
    <t>Dividends Declared</t>
  </si>
  <si>
    <t>To remove from working capital the effect of items which are part of capital structure for rate making purposes.</t>
  </si>
  <si>
    <t>Unamortized Rate Case Expense</t>
  </si>
  <si>
    <t>To remove unamortized rate case expense from working capital .</t>
  </si>
  <si>
    <t>Shared Debt Adjustment</t>
  </si>
  <si>
    <t>ECRC Plant in Service</t>
  </si>
  <si>
    <t>To remove from plant in service the investment in environmental compliance capital expenditures which</t>
  </si>
  <si>
    <t>are being recovered through the ECRC.</t>
  </si>
  <si>
    <t>ECRC Accumulated Depreciation</t>
  </si>
  <si>
    <t>To remove the accumulated depreciation related to the environmental compliance capital projects being</t>
  </si>
  <si>
    <t>recovered through the ECRC.</t>
  </si>
  <si>
    <t>ECRC Construction Work in Progress</t>
  </si>
  <si>
    <t>To remove the construction work in process related to the environmental compliance capital projects being</t>
  </si>
  <si>
    <t>SPPCRC Plant in Service</t>
  </si>
  <si>
    <t>To remove from plant in service the investment in storm protection plans compliance capital expenditures which</t>
  </si>
  <si>
    <t>are being recovered through the SPPCRC.</t>
  </si>
  <si>
    <t>SPPCRC Accumulated Depreciation</t>
  </si>
  <si>
    <t>To remove the accumulated depreciation related to the storm protection plans compliance capital projects being</t>
  </si>
  <si>
    <t>recovered through the SPPCRC.</t>
  </si>
  <si>
    <t>SPPCRC Construction Work in Progress</t>
  </si>
  <si>
    <t>To remove the construction work in progress related to the storm protection plans compliance capital projects being</t>
  </si>
  <si>
    <t>ECCR Plant in Service</t>
  </si>
  <si>
    <t>To remove from plant in service the investment in conservation compliance capital expenditures which</t>
  </si>
  <si>
    <t>are being recovered through the ECCR.</t>
  </si>
  <si>
    <t>ECCR Accumulated Depreciation</t>
  </si>
  <si>
    <t>To remove the accumulated depreciation related to the conservation compliance capital projects being</t>
  </si>
  <si>
    <t>recovered through the ECCR.</t>
  </si>
  <si>
    <t>Construction Work in Progress</t>
  </si>
  <si>
    <t>To remove the impact of construction work in progress related to AFUDC eligible projects.</t>
  </si>
  <si>
    <t>To remove fuel inventory per Commission Order.</t>
  </si>
  <si>
    <t>OUC, FP&amp;L, &amp; Union Transmission Line</t>
  </si>
  <si>
    <t>To remove plant in  service and acquisition adjustment for the OUC &amp; Union transmission line previously disallowed by the Commission.</t>
  </si>
  <si>
    <t>To remove accumulated amortization associated with the OUC &amp; Union transmission line previously disallowed by the Commission.</t>
  </si>
  <si>
    <t>Lease Right-of-Use Asset</t>
  </si>
  <si>
    <t>To remove right-of-use assets for lease obligations from plant in service.</t>
  </si>
  <si>
    <t>To remove the lease liability from working capital.</t>
  </si>
  <si>
    <t>Non-Utility</t>
  </si>
  <si>
    <t>To remove non-utility assets from working capital</t>
  </si>
  <si>
    <t>To remove the impact of Shared Debt from working capital related to the separation of PGSI from TEC.</t>
  </si>
  <si>
    <t>Adjustments</t>
  </si>
  <si>
    <t>Total Commission Adjustments</t>
  </si>
  <si>
    <t>Supporting Schedules:</t>
  </si>
  <si>
    <t>Recap Schedules: B-1</t>
  </si>
  <si>
    <t>December 2024 (12+0 Basis) - Sch 3of3</t>
  </si>
  <si>
    <t>Fuel &amp; Capacity</t>
  </si>
  <si>
    <t xml:space="preserve">CETM </t>
  </si>
  <si>
    <t xml:space="preserve">To remove conservation, fuel, evironmental, capacity, and storm protection assets and deferred revenues and expenses </t>
  </si>
  <si>
    <t>which will be recovered through adjustment clauses.</t>
  </si>
  <si>
    <t>To remove the accumulated depreciation related to the fuel investment being recovered through the Fuel Cost Recovery Clause</t>
  </si>
  <si>
    <t>To remove unamortized rate case expense from working capital.</t>
  </si>
  <si>
    <t>To remove the contruction work in process related to the environmental compliance capital projects being</t>
  </si>
  <si>
    <t>SPPCRC Contruction Work in Progress</t>
  </si>
  <si>
    <t>To remove the contruction work in progress related to the storm protection plans compliance capital projects being</t>
  </si>
  <si>
    <t>To remove the impact of construction work in progress related to AFUDC.</t>
  </si>
  <si>
    <t>FI</t>
  </si>
  <si>
    <t>To remove plant in service and acquisition adjustment for the OUC &amp; Union transmission line previously disallowed by the Commission.</t>
  </si>
  <si>
    <t>To remove non-utility assets from working capital.</t>
  </si>
  <si>
    <t>December 2025B - SR 2-3-3</t>
  </si>
  <si>
    <t>Deferred Fuel and Capacity</t>
  </si>
  <si>
    <t>To remove deferred revenues and expenses which will be recovered through Fuel and Capacity Clause.</t>
  </si>
  <si>
    <t>Deferred ECCR</t>
  </si>
  <si>
    <t>To remove deferred revenues and expenses which will be recovered through ECCR.</t>
  </si>
  <si>
    <t>Deferred ECRC</t>
  </si>
  <si>
    <t>To remove deferred revenues and expenses which are being recovered through the ECRC.</t>
  </si>
  <si>
    <t>Deferred SPPCRC</t>
  </si>
  <si>
    <t>To remove deferred revenues and expenses which are being recovered through the SPPCRC.</t>
  </si>
  <si>
    <t>To remove CWIP eligible for AFUDC per Commission guidelines and CWIP included in other clauses and mechanisms.</t>
  </si>
  <si>
    <t>SCHEDULE B-6</t>
  </si>
  <si>
    <t>JURISDICTIONAL SEPARATION FACTORS - RATE BASE</t>
  </si>
  <si>
    <t xml:space="preserve">                 EXPLANATION:</t>
  </si>
  <si>
    <t>Provide a development of jurisdictional separation factors for rate base for the test year and the</t>
  </si>
  <si>
    <t>most recent historical year.</t>
  </si>
  <si>
    <t/>
  </si>
  <si>
    <t>FPSC</t>
  </si>
  <si>
    <t>Description</t>
  </si>
  <si>
    <t>Company</t>
  </si>
  <si>
    <t>ELECTRIC PLANT IN SERVICE</t>
  </si>
  <si>
    <t>Intangible</t>
  </si>
  <si>
    <t>Production:</t>
  </si>
  <si>
    <t>Steam</t>
  </si>
  <si>
    <t>Nuclear</t>
  </si>
  <si>
    <t>Total Production</t>
  </si>
  <si>
    <t>Transmission:</t>
  </si>
  <si>
    <t>Land Rights</t>
  </si>
  <si>
    <t>Structure and Improvements</t>
  </si>
  <si>
    <t>Station Equipment</t>
  </si>
  <si>
    <t>Towers &amp; Fixtures</t>
  </si>
  <si>
    <t>Poles &amp; Fixtures</t>
  </si>
  <si>
    <t>OH Conductors and Devices</t>
  </si>
  <si>
    <t>Includes Total Acquisition Adj</t>
  </si>
  <si>
    <t>Clearing Rights-of-Way</t>
  </si>
  <si>
    <t>UG Conduit</t>
  </si>
  <si>
    <t>UG Conductors and Devices</t>
  </si>
  <si>
    <t>Roads and Trails</t>
  </si>
  <si>
    <t>Total Transmission</t>
  </si>
  <si>
    <t>Distribution:</t>
  </si>
  <si>
    <t>Land and Land Rights</t>
  </si>
  <si>
    <t>Includes Lease on Non-Depreciable Land</t>
  </si>
  <si>
    <t>Poles, Towers and Fixtures</t>
  </si>
  <si>
    <t>OH Conductors</t>
  </si>
  <si>
    <t>UG Conductors</t>
  </si>
  <si>
    <t>Line Transformers</t>
  </si>
  <si>
    <t>Services</t>
  </si>
  <si>
    <t>Meters</t>
  </si>
  <si>
    <t>EV Charging Stations</t>
  </si>
  <si>
    <t>Street Lighting</t>
  </si>
  <si>
    <t>Total Distribution</t>
  </si>
  <si>
    <t>General Plant</t>
  </si>
  <si>
    <t>Total Electric Gross Plant</t>
  </si>
  <si>
    <t>Supporting Schedules: B-3, B-5, B-7, B-9, B-15, B-16, B-17</t>
  </si>
  <si>
    <t xml:space="preserve"> </t>
  </si>
  <si>
    <t>ACCUMULATED DEPRECIATION</t>
  </si>
  <si>
    <t>Includes Land, ARO, and Fossil</t>
  </si>
  <si>
    <t>Includes Total Acquisition Adjustments</t>
  </si>
  <si>
    <t>Poles and Fixtures</t>
  </si>
  <si>
    <t>Asset Retirement Obligation</t>
  </si>
  <si>
    <t>Total Accumulated Reserve for Depreciation</t>
  </si>
  <si>
    <t>NET PLANT IN SERVICE</t>
  </si>
  <si>
    <t xml:space="preserve">    Production</t>
  </si>
  <si>
    <t xml:space="preserve">    Transmission </t>
  </si>
  <si>
    <t xml:space="preserve">    Distribution </t>
  </si>
  <si>
    <t xml:space="preserve">    Intangible</t>
  </si>
  <si>
    <t xml:space="preserve">    General</t>
  </si>
  <si>
    <t>Total CWIP</t>
  </si>
  <si>
    <t>PLANT HELD FOR FUTURE USE</t>
  </si>
  <si>
    <t>WORKING CAPITAL</t>
  </si>
  <si>
    <t>Other Property Investments:</t>
  </si>
  <si>
    <t>Non-Utility Property</t>
  </si>
  <si>
    <t>Accum Depr Non-Utility Prop</t>
  </si>
  <si>
    <t>Total Other Property Investments</t>
  </si>
  <si>
    <t>Current and Accrued Assets:</t>
  </si>
  <si>
    <t>Cash</t>
  </si>
  <si>
    <t>Other Special Deposits</t>
  </si>
  <si>
    <t>Working Fund</t>
  </si>
  <si>
    <t>Temporary Investments</t>
  </si>
  <si>
    <t>Notes Receivable</t>
  </si>
  <si>
    <t>Customer Receivables</t>
  </si>
  <si>
    <t>Other Accounts Receivable</t>
  </si>
  <si>
    <t>Accum Prov Uncollect Accts</t>
  </si>
  <si>
    <t>Accts Receivable-Assoc Co &amp; Others</t>
  </si>
  <si>
    <t>Fuel Stock</t>
  </si>
  <si>
    <t>Materials &amp; Supplies</t>
  </si>
  <si>
    <t>CAAA Allowances</t>
  </si>
  <si>
    <t>Stores Clearing</t>
  </si>
  <si>
    <t>Prepayments</t>
  </si>
  <si>
    <t>Interest Receivable</t>
  </si>
  <si>
    <t xml:space="preserve">Unbilled Revenue Rec </t>
  </si>
  <si>
    <t>Derivative</t>
  </si>
  <si>
    <t xml:space="preserve">  Total Current and Accrued Assets</t>
  </si>
  <si>
    <t>Deferred Debits:</t>
  </si>
  <si>
    <t>Regulatory Assets</t>
  </si>
  <si>
    <t>Preliminary Survey &amp; Investigation</t>
  </si>
  <si>
    <t>Clearing Accounts</t>
  </si>
  <si>
    <t>Deferred Debits</t>
  </si>
  <si>
    <t>Total Deferred Debits</t>
  </si>
  <si>
    <t>Total Assets and Other Debits</t>
  </si>
  <si>
    <t>Other Noncurrent Liabilities:</t>
  </si>
  <si>
    <t>Obligations Under Capital Leases - Noncurrent</t>
  </si>
  <si>
    <t>Accumulated Provisions</t>
  </si>
  <si>
    <t>Accum Provision for Rate Refunds</t>
  </si>
  <si>
    <t>Total Other Noncurrent Liabilities</t>
  </si>
  <si>
    <t>Current and Accrued Liabilities:</t>
  </si>
  <si>
    <t>Accounts Payable</t>
  </si>
  <si>
    <t>Notes Payable - I/C</t>
  </si>
  <si>
    <t>Accts Payable-Assoc Co</t>
  </si>
  <si>
    <t>Accrued Taxes</t>
  </si>
  <si>
    <t>Accrued Taxes  (Non-Ultility)</t>
  </si>
  <si>
    <t>Interest Accrued</t>
  </si>
  <si>
    <t>Dividends Payable</t>
  </si>
  <si>
    <t>Tax Collections Payable</t>
  </si>
  <si>
    <t>Current &amp; Accrued Liabilities</t>
  </si>
  <si>
    <t>Obligations Under Capital Leases - Current</t>
  </si>
  <si>
    <t>Total Current and Accrued Liabilities</t>
  </si>
  <si>
    <t>Deferred Credits:</t>
  </si>
  <si>
    <t>Other Deferred Credits</t>
  </si>
  <si>
    <t>Regulatory Liabilities</t>
  </si>
  <si>
    <t>Deferred Credit - Property Held for Future Use</t>
  </si>
  <si>
    <t>Unamtiz Gain on LTD</t>
  </si>
  <si>
    <t>Total Deferred Credits</t>
  </si>
  <si>
    <t>Total Liabilities and Other Credits</t>
  </si>
  <si>
    <t>Total Working Capital</t>
  </si>
  <si>
    <t>Total Unadjusted Rate Base</t>
  </si>
  <si>
    <t>Includes Acquisition Adjustment</t>
  </si>
  <si>
    <t>Lease Non-Depreciable Land</t>
  </si>
  <si>
    <t xml:space="preserve">    Steam</t>
  </si>
  <si>
    <t xml:space="preserve">    Nuclear</t>
  </si>
  <si>
    <t xml:space="preserve">    Other</t>
  </si>
  <si>
    <t xml:space="preserve">    Land and Land Rights</t>
  </si>
  <si>
    <t xml:space="preserve">    Structure and Improvements</t>
  </si>
  <si>
    <t xml:space="preserve">    Station Equipment</t>
  </si>
  <si>
    <t xml:space="preserve">    Towers &amp; Fixtures</t>
  </si>
  <si>
    <t xml:space="preserve">    Poles &amp; Fixtures</t>
  </si>
  <si>
    <t xml:space="preserve">    OH Conductors and Devices</t>
  </si>
  <si>
    <t xml:space="preserve">     Clearing Right-of-Way</t>
  </si>
  <si>
    <t xml:space="preserve">     UG Conduit</t>
  </si>
  <si>
    <t xml:space="preserve">    UG Conductors and Devices</t>
  </si>
  <si>
    <t xml:space="preserve">    Roads and Trails</t>
  </si>
  <si>
    <t>UG Conductors &amp; Devices</t>
  </si>
  <si>
    <t>Other Noncurrent Liabilities</t>
  </si>
  <si>
    <t>T &amp; D Property Reserve</t>
  </si>
  <si>
    <t xml:space="preserve">   Total Current and Accrued Liabilities</t>
  </si>
  <si>
    <t>SCHEDULE B-3</t>
  </si>
  <si>
    <t>13 MONTH AVERAGE BALANCE SHEET - SYSTEM BASIS</t>
  </si>
  <si>
    <t>Page 1 of 9</t>
  </si>
  <si>
    <t>EXPLANATION:</t>
  </si>
  <si>
    <t>Derive the 13-month average system balance sheet by primary account by month for the test year, the prior year</t>
  </si>
  <si>
    <t>and the most recent historical year.  For accounts including non-electric utility amounts, show these</t>
  </si>
  <si>
    <t>amounts as a separate sub-account.</t>
  </si>
  <si>
    <t>Docket No.</t>
  </si>
  <si>
    <t>(11)</t>
  </si>
  <si>
    <t>(12)</t>
  </si>
  <si>
    <t>(13)</t>
  </si>
  <si>
    <t>(14)</t>
  </si>
  <si>
    <t>(15)</t>
  </si>
  <si>
    <t>13-Month</t>
  </si>
  <si>
    <t>Reference</t>
  </si>
  <si>
    <t>Account</t>
  </si>
  <si>
    <t>Acount</t>
  </si>
  <si>
    <t>Dec</t>
  </si>
  <si>
    <t>Jan</t>
  </si>
  <si>
    <t>Feb</t>
  </si>
  <si>
    <t>Mar</t>
  </si>
  <si>
    <t>Apr</t>
  </si>
  <si>
    <t>May</t>
  </si>
  <si>
    <t>Jun</t>
  </si>
  <si>
    <t>Jul</t>
  </si>
  <si>
    <t>Aug</t>
  </si>
  <si>
    <t>Sept</t>
  </si>
  <si>
    <t>Oct</t>
  </si>
  <si>
    <t>Nov</t>
  </si>
  <si>
    <t>Average</t>
  </si>
  <si>
    <t>RB / WC / CS</t>
  </si>
  <si>
    <t>Number</t>
  </si>
  <si>
    <t>Name</t>
  </si>
  <si>
    <t>ORP / NU</t>
  </si>
  <si>
    <t>101,101.1,106</t>
  </si>
  <si>
    <t xml:space="preserve">Utility Plant In Service </t>
  </si>
  <si>
    <t>RB</t>
  </si>
  <si>
    <t>102</t>
  </si>
  <si>
    <t>Electric Plant Purchased or Sold</t>
  </si>
  <si>
    <t>105</t>
  </si>
  <si>
    <t>Property Held For Future Use</t>
  </si>
  <si>
    <t>107</t>
  </si>
  <si>
    <t>Construction Work In Progress</t>
  </si>
  <si>
    <t>108,111,115</t>
  </si>
  <si>
    <t>Accumulated Depreciation &amp; Amortization</t>
  </si>
  <si>
    <t>114</t>
  </si>
  <si>
    <t>Acquisition Adjustment</t>
  </si>
  <si>
    <t>Chk NUP</t>
  </si>
  <si>
    <t>Utility Plant in Service</t>
  </si>
  <si>
    <t>B-1</t>
  </si>
  <si>
    <t>var.</t>
  </si>
  <si>
    <t>Other Property Investments</t>
  </si>
  <si>
    <t>121</t>
  </si>
  <si>
    <t>NU</t>
  </si>
  <si>
    <t>122</t>
  </si>
  <si>
    <t>Other Property and Investments</t>
  </si>
  <si>
    <t>Current and Accrued Assets</t>
  </si>
  <si>
    <t>131</t>
  </si>
  <si>
    <t>134</t>
  </si>
  <si>
    <t>135</t>
  </si>
  <si>
    <t>136</t>
  </si>
  <si>
    <t>141</t>
  </si>
  <si>
    <t>142</t>
  </si>
  <si>
    <t>143</t>
  </si>
  <si>
    <t>144</t>
  </si>
  <si>
    <t>145</t>
  </si>
  <si>
    <t>146</t>
  </si>
  <si>
    <t>151</t>
  </si>
  <si>
    <t>152</t>
  </si>
  <si>
    <t>Fuel Stock Expense</t>
  </si>
  <si>
    <t>154</t>
  </si>
  <si>
    <t>158</t>
  </si>
  <si>
    <t>163</t>
  </si>
  <si>
    <t>165</t>
  </si>
  <si>
    <t>171</t>
  </si>
  <si>
    <t>173</t>
  </si>
  <si>
    <t>176</t>
  </si>
  <si>
    <t>Reference:  RB = Rate Base; WC = Working Capital; CS = Capital Structure; ORP = Other Return Provided; NU = Non-Utility</t>
  </si>
  <si>
    <t>Page 2 of 9</t>
  </si>
  <si>
    <t>181</t>
  </si>
  <si>
    <t>Unamortized Debt Expense</t>
  </si>
  <si>
    <t>CS</t>
  </si>
  <si>
    <t>182</t>
  </si>
  <si>
    <t xml:space="preserve">WC </t>
  </si>
  <si>
    <t>Regulatory Assets - FAS 109</t>
  </si>
  <si>
    <t xml:space="preserve"> CS</t>
  </si>
  <si>
    <t>183</t>
  </si>
  <si>
    <t>184</t>
  </si>
  <si>
    <t>186</t>
  </si>
  <si>
    <t>189</t>
  </si>
  <si>
    <t>Unamortized Loss on Reacquired Debt</t>
  </si>
  <si>
    <t>190</t>
  </si>
  <si>
    <t>Deferred Income Taxes</t>
  </si>
  <si>
    <t>TOTAL ASSETS AND OTHER DEBITS</t>
  </si>
  <si>
    <t>Proprietary Capital</t>
  </si>
  <si>
    <t>201</t>
  </si>
  <si>
    <t>Common Stock</t>
  </si>
  <si>
    <t>211</t>
  </si>
  <si>
    <t>End Bal Misc Paid In Capital</t>
  </si>
  <si>
    <t>214</t>
  </si>
  <si>
    <t>Capital Stock Expense</t>
  </si>
  <si>
    <t>216</t>
  </si>
  <si>
    <t>Unappropr Retained Earnings</t>
  </si>
  <si>
    <t>219</t>
  </si>
  <si>
    <t xml:space="preserve"> OCI - Derivative</t>
  </si>
  <si>
    <t>Long Term Debt</t>
  </si>
  <si>
    <t>221</t>
  </si>
  <si>
    <t>Bonds Payable</t>
  </si>
  <si>
    <t>225</t>
  </si>
  <si>
    <t>Unamortized Bond Premium</t>
  </si>
  <si>
    <t>226</t>
  </si>
  <si>
    <t>Unamortized Bond Discount</t>
  </si>
  <si>
    <t>Page 3 of 9</t>
  </si>
  <si>
    <t>227</t>
  </si>
  <si>
    <t>228.1</t>
  </si>
  <si>
    <t>228.2</t>
  </si>
  <si>
    <t>Accum Provision - Injuries &amp; Damages</t>
  </si>
  <si>
    <t>228.3</t>
  </si>
  <si>
    <t>Accum Provision - Pension &amp; Deferred Benefits</t>
  </si>
  <si>
    <t>228.4</t>
  </si>
  <si>
    <t>Accumulated Miscellaneous Operating Provisions</t>
  </si>
  <si>
    <t>229</t>
  </si>
  <si>
    <t>Accumulated Provision for Rate Refunds</t>
  </si>
  <si>
    <t>230</t>
  </si>
  <si>
    <t>Current and Accrued Liabilities</t>
  </si>
  <si>
    <t>231</t>
  </si>
  <si>
    <t>Notes Payable</t>
  </si>
  <si>
    <t>232</t>
  </si>
  <si>
    <t>233</t>
  </si>
  <si>
    <t>234</t>
  </si>
  <si>
    <t>235</t>
  </si>
  <si>
    <t>Customer Deposits</t>
  </si>
  <si>
    <t>236</t>
  </si>
  <si>
    <t>237</t>
  </si>
  <si>
    <t>238</t>
  </si>
  <si>
    <t>241</t>
  </si>
  <si>
    <t>242</t>
  </si>
  <si>
    <t>243</t>
  </si>
  <si>
    <t>245</t>
  </si>
  <si>
    <t>Deferred Credits</t>
  </si>
  <si>
    <t>253</t>
  </si>
  <si>
    <t>254</t>
  </si>
  <si>
    <t>Regulatory Liabilities - FAS 109</t>
  </si>
  <si>
    <t>255</t>
  </si>
  <si>
    <t>Deferred ITC</t>
  </si>
  <si>
    <t>256</t>
  </si>
  <si>
    <t>Deferred Credit PHFFU</t>
  </si>
  <si>
    <t>257</t>
  </si>
  <si>
    <t>Unamortized Gain on LTD</t>
  </si>
  <si>
    <t>281</t>
  </si>
  <si>
    <t>Accumulated Deferred Taxes</t>
  </si>
  <si>
    <t>282</t>
  </si>
  <si>
    <t>283</t>
  </si>
  <si>
    <t>TOTAL LIABILITIES AND OTHER CREDITS</t>
  </si>
  <si>
    <t>Page 4 of 9</t>
  </si>
  <si>
    <t>Notes Receivable-Assoc Co</t>
  </si>
  <si>
    <t>Accts Receivable-Assoc Co</t>
  </si>
  <si>
    <t>Page 5 of 9</t>
  </si>
  <si>
    <t>Misc. Deferred Debits</t>
  </si>
  <si>
    <t>Page 6 of 9</t>
  </si>
  <si>
    <t>Concerns for Nat Acct 2330711</t>
  </si>
  <si>
    <t>Asset/Liability Check:</t>
  </si>
  <si>
    <t>Page 7 of 9</t>
  </si>
  <si>
    <t>RESIDUALS 153</t>
  </si>
  <si>
    <t>Page 8 of 9</t>
  </si>
  <si>
    <t>Check SR? Cap Str Tab</t>
  </si>
  <si>
    <t>Page 9 of 9</t>
  </si>
  <si>
    <t>Red font:</t>
  </si>
  <si>
    <t>More than 1 account formula</t>
  </si>
  <si>
    <t>TB Check Assets:</t>
  </si>
  <si>
    <t>TB Check Liabilities:</t>
  </si>
  <si>
    <t>SCHEDULE B-4</t>
  </si>
  <si>
    <t>TWO YEAR HISTORICAL BALANCE SHEET</t>
  </si>
  <si>
    <t>ONLY 2023A (HISTORICAL) &amp; 2022A (PRIOR HISTORICAL)</t>
  </si>
  <si>
    <t xml:space="preserve">                     EXPLANATION:</t>
  </si>
  <si>
    <t>Provide 13-month average system balance sheets by primary account for the most recent two historical</t>
  </si>
  <si>
    <t>calendar years not including the historical test year if provided elsewhere</t>
  </si>
  <si>
    <t>DOCKET No. 20210034-EI</t>
  </si>
  <si>
    <t>(A)</t>
  </si>
  <si>
    <t>(B)</t>
  </si>
  <si>
    <t>13 Month</t>
  </si>
  <si>
    <t>153,154</t>
  </si>
  <si>
    <t>Supporting Schedules: B-3</t>
  </si>
  <si>
    <t>2022 A</t>
  </si>
  <si>
    <t>Assets</t>
  </si>
  <si>
    <t>Liabilities</t>
  </si>
  <si>
    <t>per B-4</t>
  </si>
  <si>
    <t xml:space="preserve">Other Deferred Credits </t>
  </si>
  <si>
    <t>Other Deferred Credits  (Non-Ultility)</t>
  </si>
  <si>
    <t>2023 A</t>
  </si>
  <si>
    <t>SCHEDULE B-5</t>
  </si>
  <si>
    <t>DETAIL OF CHANGES IN RATE BASE</t>
  </si>
  <si>
    <t>Page 1 of 1</t>
  </si>
  <si>
    <t>ONLY 2024B (PRIOR YEAR) &amp; 2025B (TEST YEAR)</t>
  </si>
  <si>
    <t xml:space="preserve">                      EXPLANATION:</t>
  </si>
  <si>
    <t>Provide the data listed below regarding all changes in rate base primary accounts that exceed 1/20th of one</t>
  </si>
  <si>
    <t xml:space="preserve">percent (.0005) of total rate base and ten percent from the prior year to the test year.  Quantify each reason </t>
  </si>
  <si>
    <t>for the change.</t>
  </si>
  <si>
    <t>Increase/Decrease</t>
  </si>
  <si>
    <t>Test Year</t>
  </si>
  <si>
    <t>Prior Year</t>
  </si>
  <si>
    <t>Percent</t>
  </si>
  <si>
    <t>Ended</t>
  </si>
  <si>
    <t>(1)-(2)</t>
  </si>
  <si>
    <t>(3)/(2)</t>
  </si>
  <si>
    <t>Reason(s) for Change</t>
  </si>
  <si>
    <t>%</t>
  </si>
  <si>
    <t>Electric Plant in Service</t>
  </si>
  <si>
    <t>Property Held for Future Use</t>
  </si>
  <si>
    <t>Accumulated Amortization - Plant in Service</t>
  </si>
  <si>
    <t>Other Regulatory Liabilities (non Def Rev)</t>
  </si>
  <si>
    <t>Recap Schedules: B-6</t>
  </si>
  <si>
    <t>Page 1 of 2</t>
  </si>
  <si>
    <t xml:space="preserve">                  EXPLANATION:</t>
  </si>
  <si>
    <t>% of RB:</t>
  </si>
  <si>
    <t>% of RB</t>
  </si>
  <si>
    <t>% Change</t>
  </si>
  <si>
    <t>Utility Plant:</t>
  </si>
  <si>
    <t>Electric Plant Purchased / Sold</t>
  </si>
  <si>
    <t>Electric Plant - Not Classified</t>
  </si>
  <si>
    <t>Total Electric Plant</t>
  </si>
  <si>
    <t>Accumulated Provision for Depreciation</t>
  </si>
  <si>
    <t xml:space="preserve">Accum Provision Amort Plant Acquisition Adjustment </t>
  </si>
  <si>
    <t>Net Utility Plant</t>
  </si>
  <si>
    <t>Other Property and Investments:</t>
  </si>
  <si>
    <t>Working Capital:</t>
  </si>
  <si>
    <t>Investment in Assoc. Company</t>
  </si>
  <si>
    <t>Advance - RTO</t>
  </si>
  <si>
    <t>Working Funds</t>
  </si>
  <si>
    <t>Temporary Cash Investments</t>
  </si>
  <si>
    <t>Customer Accounts Receivable</t>
  </si>
  <si>
    <t>Provision for Bad Debt</t>
  </si>
  <si>
    <t>Accounts Receivable - Assoc. Co.</t>
  </si>
  <si>
    <t>Fuel Stock Expenses Undistributed</t>
  </si>
  <si>
    <t>Residuals</t>
  </si>
  <si>
    <t>Materials &amp; Supplies - Plant</t>
  </si>
  <si>
    <t>Allowances</t>
  </si>
  <si>
    <t>Stores Expense - Undistributed</t>
  </si>
  <si>
    <t>Interest and Dividends Receivables</t>
  </si>
  <si>
    <t>Unbilled Utility Revenue</t>
  </si>
  <si>
    <t>Derivatives</t>
  </si>
  <si>
    <t>Total Current Working Capital Assets</t>
  </si>
  <si>
    <t>Supporting Schedules: B3</t>
  </si>
  <si>
    <t>Recap Schedules:  B-6</t>
  </si>
  <si>
    <t>Page 2 of 2</t>
  </si>
  <si>
    <t>Other Regulatory Assets</t>
  </si>
  <si>
    <t>Total Working Assets</t>
  </si>
  <si>
    <t>Current Liabilities:</t>
  </si>
  <si>
    <t>Misc. Accrued Liabilities</t>
  </si>
  <si>
    <t xml:space="preserve">Provision for Refunds </t>
  </si>
  <si>
    <t>Asset Retirements Obligations</t>
  </si>
  <si>
    <t>Accounts Payable - Assoc. Co.</t>
  </si>
  <si>
    <t>Taxes Accrued</t>
  </si>
  <si>
    <t>Dividends Declared - Common Equity</t>
  </si>
  <si>
    <t>Misc. Current &amp; Accrued</t>
  </si>
  <si>
    <t>Total Current Liabilities</t>
  </si>
  <si>
    <t>Deferred Credits and Oper. Res:</t>
  </si>
  <si>
    <t>Other Deferred Credits (non FAS 109 &amp; Def Rev)</t>
  </si>
  <si>
    <t>Deferred Gains from Disposal</t>
  </si>
  <si>
    <t>Deferred Gains on Bonds</t>
  </si>
  <si>
    <t>Total Current Liabilities &amp; Deferred Credits</t>
  </si>
  <si>
    <t>Net Working Capital</t>
  </si>
  <si>
    <t>Total Rate Base</t>
  </si>
  <si>
    <t>var. to B-1</t>
  </si>
  <si>
    <t>SCHEDULE B-07</t>
  </si>
  <si>
    <t>PLANT BALANCES BY ACCOUNT AND SUB-ACCOUNT</t>
  </si>
  <si>
    <t>Page 1 of 10</t>
  </si>
  <si>
    <t>Provide the depreciation rate and plant balances for each account or sub-account to which</t>
  </si>
  <si>
    <t>Type of data shown:</t>
  </si>
  <si>
    <t>a separate depreciation rate is prescribed. (Include Amortization/Recovery schedule amounts).</t>
  </si>
  <si>
    <t>Witness: R. Latta</t>
  </si>
  <si>
    <t>DOCKET No. XXX</t>
  </si>
  <si>
    <t>(Dollar in 000's)</t>
  </si>
  <si>
    <t>Account/</t>
  </si>
  <si>
    <t>Sub-account</t>
  </si>
  <si>
    <t>Rate*</t>
  </si>
  <si>
    <t>Balance</t>
  </si>
  <si>
    <t>Title</t>
  </si>
  <si>
    <t>(%)</t>
  </si>
  <si>
    <t>Beg. of Year</t>
  </si>
  <si>
    <t>Added</t>
  </si>
  <si>
    <t>Retired</t>
  </si>
  <si>
    <t>or Transfers</t>
  </si>
  <si>
    <t>End of Year</t>
  </si>
  <si>
    <t>STEAM PRODUCTION</t>
  </si>
  <si>
    <t>BIG BEND POWER STATION</t>
  </si>
  <si>
    <t>BIG BEND COMMON</t>
  </si>
  <si>
    <t xml:space="preserve">  Structures and Improvements</t>
  </si>
  <si>
    <t xml:space="preserve">-   </t>
  </si>
  <si>
    <t xml:space="preserve">  Boiler Plant Equipment</t>
  </si>
  <si>
    <t xml:space="preserve">  Turbogenerator Units</t>
  </si>
  <si>
    <t xml:space="preserve">  Accessory Electric Equipment</t>
  </si>
  <si>
    <t xml:space="preserve">  Misc. Power Plant Equipment</t>
  </si>
  <si>
    <t>TOTAL BIG BEND COMMON</t>
  </si>
  <si>
    <t>BIG BEND UNIT 1</t>
  </si>
  <si>
    <t xml:space="preserve"> -   </t>
  </si>
  <si>
    <t>TOTAL BIG BEND UNIT 1</t>
  </si>
  <si>
    <t>BIG BEND UNIT 2</t>
  </si>
  <si>
    <t>TOTAL BIG BEND UNIT 2</t>
  </si>
  <si>
    <t>BIG BEND UNIT 3</t>
  </si>
  <si>
    <t>TOTAL BIG BEND UNIT 3</t>
  </si>
  <si>
    <t>BIG BEND UNIT 4</t>
  </si>
  <si>
    <t>TOTAL BIG BEND UNIT 4</t>
  </si>
  <si>
    <t>Supporting Schedules:  B-08, B-11</t>
  </si>
  <si>
    <t>Recap Schedules:  B-03, B-06</t>
  </si>
  <si>
    <t>Page 2 of 10</t>
  </si>
  <si>
    <t>BIG BEND UNIT 3 &amp; 4 FGD</t>
  </si>
  <si>
    <t>TOTAL BIG BEND UNIT 3 &amp; 4 FGD</t>
  </si>
  <si>
    <t>BIG BEND UNIT 1 &amp; 2 FGD</t>
  </si>
  <si>
    <t>TOTAL BIG BEND UNIT 1 &amp; 2 FGD</t>
  </si>
  <si>
    <t>BIG BEND UNIT 1 SCR</t>
  </si>
  <si>
    <t>Misc Power Plant Eq-BPC</t>
  </si>
  <si>
    <t>TOTAL BIG BEND UNIT 1 SCR</t>
  </si>
  <si>
    <t>BIG BEND UNIT 2 SCR</t>
  </si>
  <si>
    <t>TOTAL BIG BEND UNIT 2 SCR</t>
  </si>
  <si>
    <t>BIG BEND UNIT 3 SCR</t>
  </si>
  <si>
    <t>TOTAL BIG BEND UNIT 3 SCR</t>
  </si>
  <si>
    <t>BIG BEND UNIT 4 SCR</t>
  </si>
  <si>
    <t>TOTAL BIG BEND UNIT 4 SCR</t>
  </si>
  <si>
    <t>Page 3 of 10</t>
  </si>
  <si>
    <t>Big Bend Fuel Clause</t>
  </si>
  <si>
    <t>Big Bend Tools - Amort</t>
  </si>
  <si>
    <t>TOTAL BIG BEND POWER STATION</t>
  </si>
  <si>
    <t>TOTAL STEAM PRODUCTION</t>
  </si>
  <si>
    <t>OTHER PRODUCTION</t>
  </si>
  <si>
    <t>BIG BEND COMBUSTION TURBINE 4</t>
  </si>
  <si>
    <t xml:space="preserve">  Fuel Holders, Producers and Accessories</t>
  </si>
  <si>
    <t xml:space="preserve">  Prime Movers</t>
  </si>
  <si>
    <t>TOTAL BIG BEND COMBUSTION TURBINE 4</t>
  </si>
  <si>
    <t xml:space="preserve">BIG BEND COMBUSTION TURBINE 5 </t>
  </si>
  <si>
    <t>TOTAL BIG BEND COMBUSTION TURBINE 5</t>
  </si>
  <si>
    <t>BIG BEND COMBUSTION TURBINE 6</t>
  </si>
  <si>
    <t>TOTAL BIG BEND COMBUSTION TURBINE 6</t>
  </si>
  <si>
    <t>BIG BEND NEW STEAM TURBINE 1</t>
  </si>
  <si>
    <t>TOTAL BIG BEND NEW STEAM TURBINE 1</t>
  </si>
  <si>
    <t>Page 4 of 10</t>
  </si>
  <si>
    <t>POLK POWER STATION</t>
  </si>
  <si>
    <t>POLK COMMON</t>
  </si>
  <si>
    <t>TOTAL POLK POWER COMMON</t>
  </si>
  <si>
    <t>POLK UNIT 1</t>
  </si>
  <si>
    <t>TOTAL POLK UNIT 1</t>
  </si>
  <si>
    <t>POLK UNIT 2</t>
  </si>
  <si>
    <t>TOTAL POLK UNIT 2</t>
  </si>
  <si>
    <t>POLK UNIT 3</t>
  </si>
  <si>
    <t>TOTAL POLK UNIT 3</t>
  </si>
  <si>
    <t>POLK UNIT 4</t>
  </si>
  <si>
    <t>TOTAL POLK UNIT 4</t>
  </si>
  <si>
    <t>Page 5 of 10</t>
  </si>
  <si>
    <t>POLK UNIT 5</t>
  </si>
  <si>
    <t>TOTAL POLK UNIT 5</t>
  </si>
  <si>
    <t>POLK CCST (2-5)</t>
  </si>
  <si>
    <t>TOTAL POLK CCST (2-5)</t>
  </si>
  <si>
    <t xml:space="preserve">Polk 1 Fuel Clause </t>
  </si>
  <si>
    <t>Polk Tools - Amort</t>
  </si>
  <si>
    <t>TOTAL POLK POWER STATION</t>
  </si>
  <si>
    <t>BAYSIDE POWER STATION</t>
  </si>
  <si>
    <t>BAYSIDE COMMON</t>
  </si>
  <si>
    <t>TOTAL BAYSIDE COMMON</t>
  </si>
  <si>
    <t>BAYSIDE UNIT 1</t>
  </si>
  <si>
    <t>TOTAL BAYSIDE UNIT 1</t>
  </si>
  <si>
    <t>Page 6 of 10</t>
  </si>
  <si>
    <t>BAYSIDE UNIT 2</t>
  </si>
  <si>
    <t>TOTAL BAYSIDE UNIT 2</t>
  </si>
  <si>
    <t>BAYSIDE COMBUSTION TURBINE 3</t>
  </si>
  <si>
    <t>TOTAL BAYSIDE COMBUSTION TURBINE 3</t>
  </si>
  <si>
    <t>BAYSIDE COMBUSTION TURBINE 4</t>
  </si>
  <si>
    <t>TOTAL BAYSIDE COMBUSTION TURBINE 4</t>
  </si>
  <si>
    <t>BAYSIDE COMBUSTION TURBINE 5</t>
  </si>
  <si>
    <t>TOTAL BAYSIDE COMBUSTION TURBINE 5</t>
  </si>
  <si>
    <t>BAYSIDE COMBUSTION TURBINE 6</t>
  </si>
  <si>
    <t>TOTAL BAYSIDE COMBUSTION TURBINE 6</t>
  </si>
  <si>
    <t>Bayside Tools - Amort</t>
  </si>
  <si>
    <t>TOTAL BAYSIDE POWER STATION</t>
  </si>
  <si>
    <t>Page 7 of 10</t>
  </si>
  <si>
    <t>SOLAR SITES</t>
  </si>
  <si>
    <t xml:space="preserve">  Energy Battery Storage Equipment</t>
  </si>
  <si>
    <t>TOTAL SOLAR SITES</t>
  </si>
  <si>
    <t>DC MICRO GRID</t>
  </si>
  <si>
    <t>TOTAL DC MICRO GRID</t>
  </si>
  <si>
    <t>MACDILL AFB</t>
  </si>
  <si>
    <t>TOTAL MACDILL AFB</t>
  </si>
  <si>
    <t>TOTAL OTHER PRODUCTION</t>
  </si>
  <si>
    <t>TOTAL PRODUCTION PLANT</t>
  </si>
  <si>
    <t>TRANSMISSION PLANT</t>
  </si>
  <si>
    <t xml:space="preserve">LAND RIGHTS </t>
  </si>
  <si>
    <t>ENERGY BATTERY STORAGE EQUIPMENT</t>
  </si>
  <si>
    <t>STRUCTURES &amp; IMPROVEMENTS</t>
  </si>
  <si>
    <t>STATION EQUIPMENT</t>
  </si>
  <si>
    <t>TOWERS &amp; FIXTURES</t>
  </si>
  <si>
    <t>POLES &amp; FIXTURES</t>
  </si>
  <si>
    <t>OVERHEAD CONDUCTORS &amp; DEVICES</t>
  </si>
  <si>
    <t>CLEARING RIGHTS-OF-WAY</t>
  </si>
  <si>
    <t>UNDERGROUND CONDUIT</t>
  </si>
  <si>
    <t>UNDERGROUND CONDUCTORS &amp; DEVICES</t>
  </si>
  <si>
    <t>ROADS AND TRAILS</t>
  </si>
  <si>
    <t>TOTAL TRANSMISSION PLANT</t>
  </si>
  <si>
    <t>Page 8 of 10</t>
  </si>
  <si>
    <t>DISTRIBUTION PLANT</t>
  </si>
  <si>
    <t>POLES, TOWERS &amp; FIXTURES</t>
  </si>
  <si>
    <t>LINE TRANSFORMERS</t>
  </si>
  <si>
    <t>OVERHEAD SERVICES</t>
  </si>
  <si>
    <t>UNDERGROUND SERVICE</t>
  </si>
  <si>
    <t>METERS - ANALOG &amp; AMR</t>
  </si>
  <si>
    <t>METERS - AMI</t>
  </si>
  <si>
    <t>EV CHARGING STATIONS</t>
  </si>
  <si>
    <t>STREET LIGHTING &amp; SIGNAL SYSTEMS</t>
  </si>
  <si>
    <t>STREET LIGHTING - LS2</t>
  </si>
  <si>
    <t>TOTAL DISTRIBUTION PLANT</t>
  </si>
  <si>
    <t>GENERAL PLANT</t>
  </si>
  <si>
    <t>OFFICE FURNITURE &amp; EQUIPMENT - AMORT</t>
  </si>
  <si>
    <t>COMPUTER EQUIPMENT - AMORT</t>
  </si>
  <si>
    <t>DATA HANDLING EQUIPMENT - AMORT</t>
  </si>
  <si>
    <t>MAINFRAME EQUIPMENT - AMORT</t>
  </si>
  <si>
    <t>LIGHT TRUCKS - ENERGY DELIVERY</t>
  </si>
  <si>
    <t>HEAVY TRUCKS  - ENERGY DELIVERY</t>
  </si>
  <si>
    <t>MEDIUM TRUCKS - ENERGY DELIVERY</t>
  </si>
  <si>
    <t>LIGHT TRUCKS - ENERGY SUPPLY</t>
  </si>
  <si>
    <t>HEAVY TRUCKS - ENERGY SUPPLY</t>
  </si>
  <si>
    <t>MEDIUM TRUCKS - ENERGY SUPPLY</t>
  </si>
  <si>
    <t>STORES EQUIPMENT - AMORT</t>
  </si>
  <si>
    <t>TOOLS, SHOP &amp; GARAGE EQUIP - AMORT</t>
  </si>
  <si>
    <t>ECCR SOLAR CAR PORT - AMORT</t>
  </si>
  <si>
    <t>LABORATORY EQUIPMENT - AMORT</t>
  </si>
  <si>
    <t>POWER OPERATED EQUIPMENT - AMORT</t>
  </si>
  <si>
    <t>COMMUNICATION EQUIPMENT - AMORT</t>
  </si>
  <si>
    <t>COMMUNICATION EQUIPMENT- FIBER</t>
  </si>
  <si>
    <t>MISCELLANEOUS EQUIPMENT - AMORT</t>
  </si>
  <si>
    <t>TOTAL GENERAL PLANT</t>
  </si>
  <si>
    <t>TOTAL DEPRECIABLE PLANT</t>
  </si>
  <si>
    <t>Page 9 of 10</t>
  </si>
  <si>
    <t>NON-DEPRECIABLE PROPERTY</t>
  </si>
  <si>
    <t>310's</t>
  </si>
  <si>
    <t>LAND-STEAM PRODUCTION</t>
  </si>
  <si>
    <t>340's</t>
  </si>
  <si>
    <t xml:space="preserve">LAND-OTHER PRODUCTION </t>
  </si>
  <si>
    <t>LAND-TRANSMISSION</t>
  </si>
  <si>
    <t>LAND-DISTRIBUTION</t>
  </si>
  <si>
    <t>LAND-GENERAL</t>
  </si>
  <si>
    <t>TOTAL NON-DEPRECIABLE PROPERTY</t>
  </si>
  <si>
    <t>INTANGIBLES</t>
  </si>
  <si>
    <t>SOFTWARE - AMORT - 15YR</t>
  </si>
  <si>
    <t>ASSET RETIREMENT COST - AMORT</t>
  </si>
  <si>
    <t>INTANGIBLE SOFTWARE SOLAR 30YR</t>
  </si>
  <si>
    <t>TOTAL INTANGIBLES</t>
  </si>
  <si>
    <t>ASSET RETIREMENT OBLIGATION</t>
  </si>
  <si>
    <t>ARO COSTS-STEAM</t>
  </si>
  <si>
    <t>ARO COSTS-OTHER</t>
  </si>
  <si>
    <t>ARO COSTS-DISTRIBUTION</t>
  </si>
  <si>
    <t>ARO COSTS-GENERAL</t>
  </si>
  <si>
    <t>TOTAL ASSET RETIREMENT OBLIGATION</t>
  </si>
  <si>
    <t>LEASE NON-DEPRECIABLE LAND</t>
  </si>
  <si>
    <t>RIGHT OF USE ASSET-CAPITAL LEASE</t>
  </si>
  <si>
    <t>RIGHT OF USE ASSET-OPERATING LEASE</t>
  </si>
  <si>
    <t>TOTAL LEASE NON-DEPRECIABLE LAND</t>
  </si>
  <si>
    <t>TOTAL ELECTRIC PLANT IN SERVICE</t>
  </si>
  <si>
    <t>ACQUISITION ADJUSTMENTS</t>
  </si>
  <si>
    <t>ACQUISITION ADJUSTMENT - OUC</t>
  </si>
  <si>
    <t>ACQUISITION ADJUSTMENT - FPL</t>
  </si>
  <si>
    <t>ACQUISITION ADJUSTMENT - UNION HALL</t>
  </si>
  <si>
    <t>TOTAL ACQUISITION ADJUSTMENTS</t>
  </si>
  <si>
    <t>ELECTRIC PLANT PURCHASED OR SOLD</t>
  </si>
  <si>
    <t>PROPERTY HELD FOR FUTURE USE</t>
  </si>
  <si>
    <t>FOSSIL DISMANTLING - STEAM</t>
  </si>
  <si>
    <t>FOSSIL DISMANTLING - OTHER</t>
  </si>
  <si>
    <t>TOTAL FOSSIL DISMANTLING</t>
  </si>
  <si>
    <t>TOTAL ELECTRIC UTILITY PLANT</t>
  </si>
  <si>
    <t>Page 10 of 10</t>
  </si>
  <si>
    <t xml:space="preserve"> - </t>
  </si>
  <si>
    <t>SCHEDULE B-09</t>
  </si>
  <si>
    <t>DEPRECIATION RESERVE BALANCES BY ACCOUNT AND SUB-ACCOUNT</t>
  </si>
  <si>
    <t>Provide the depreciation reserve balances for each account or sub-account to which</t>
  </si>
  <si>
    <t>an individual depreciation rate is applied. (Include Amortization/Recovery amounts).</t>
  </si>
  <si>
    <t>(Dollars in cents)</t>
  </si>
  <si>
    <t>Gross</t>
  </si>
  <si>
    <t>Accrued</t>
  </si>
  <si>
    <t>Retirements</t>
  </si>
  <si>
    <t>COR</t>
  </si>
  <si>
    <t>Salvage</t>
  </si>
  <si>
    <t>Supporting Schedules:  B-10, B-11</t>
  </si>
  <si>
    <t>TOTAL DEPRECIABLE RESERVE</t>
  </si>
  <si>
    <t>TOTAL NON-DEPRECIABLE</t>
  </si>
  <si>
    <t>TOTAL ELECTRIC PLANT RESERVE</t>
  </si>
  <si>
    <t>TOTAL ELECTRIC UTILITY RESERVE</t>
  </si>
  <si>
    <t>2023 Actuals</t>
  </si>
  <si>
    <t>13 Mth Avg CWIP Functionalized</t>
  </si>
  <si>
    <t>Function</t>
  </si>
  <si>
    <t>13-mth Avg</t>
  </si>
  <si>
    <t>Electric Steam Production Plant</t>
  </si>
  <si>
    <t>Electric Other Production Plant</t>
  </si>
  <si>
    <t>Electric Transmission Plant</t>
  </si>
  <si>
    <t>Electric Distribution Plant</t>
  </si>
  <si>
    <t>Electric General Plant</t>
  </si>
  <si>
    <t>Electric Intangible Plant</t>
  </si>
  <si>
    <t>Electric Dismantling</t>
  </si>
  <si>
    <t>Electric Property Held Future Use</t>
  </si>
  <si>
    <t>Electric Non-Utility Property</t>
  </si>
  <si>
    <t>Grand Total</t>
  </si>
  <si>
    <t>3a</t>
  </si>
  <si>
    <t>3b</t>
  </si>
  <si>
    <t>3c</t>
  </si>
  <si>
    <t>3d</t>
  </si>
  <si>
    <t>3e</t>
  </si>
  <si>
    <t>3f</t>
  </si>
  <si>
    <t>3g</t>
  </si>
  <si>
    <t>3h</t>
  </si>
  <si>
    <t>3i</t>
  </si>
  <si>
    <t>3j</t>
  </si>
  <si>
    <t>3k</t>
  </si>
  <si>
    <t>3l</t>
  </si>
  <si>
    <t>3m/2b</t>
  </si>
  <si>
    <t>2a</t>
  </si>
  <si>
    <t>SOP 107 CWIP</t>
  </si>
  <si>
    <t>2025 Based on 2023 12+0 V2 RC</t>
  </si>
  <si>
    <t>SCHEDULE B-17</t>
  </si>
  <si>
    <t>WORKING CAPITAL - 13 MONTH AVERAGE</t>
  </si>
  <si>
    <t>Provide a schedule showing the adjusted 13 month average working capital allowance for</t>
  </si>
  <si>
    <t xml:space="preserve">the test year and the prior year if the test year is projected.  All adjustments are to be </t>
  </si>
  <si>
    <t>provided by account number. Use a balance sheet method and any other methodology the</t>
  </si>
  <si>
    <t>company proposes to use.</t>
  </si>
  <si>
    <t>DOCKET No.</t>
  </si>
  <si>
    <t>Prior Year 2024</t>
  </si>
  <si>
    <t>Test Year 2025</t>
  </si>
  <si>
    <t>Component</t>
  </si>
  <si>
    <t>(Schedule B-3)</t>
  </si>
  <si>
    <t>(2) x (3)</t>
  </si>
  <si>
    <t>`</t>
  </si>
  <si>
    <t>Disallowance</t>
  </si>
  <si>
    <t xml:space="preserve">    Current and Accrued Assets:</t>
  </si>
  <si>
    <t xml:space="preserve">  Deferred Debits</t>
  </si>
  <si>
    <t xml:space="preserve">  Adjusted Current and Accrued Assets and Deferred Debits</t>
  </si>
  <si>
    <t xml:space="preserve">Recap Schedules: </t>
  </si>
  <si>
    <t xml:space="preserve">  Other Noncurrent Liabilities</t>
  </si>
  <si>
    <t xml:space="preserve">  Current and Accrued Liabilities</t>
  </si>
  <si>
    <t xml:space="preserve">  Deferred Credits</t>
  </si>
  <si>
    <t>Adjusted NonCurrent, Current and Accrued Liabilities/Deferred Credits</t>
  </si>
  <si>
    <t>Working Capital Allowance</t>
  </si>
  <si>
    <t xml:space="preserve">                    EXPLANATION:</t>
  </si>
  <si>
    <t>B2</t>
  </si>
  <si>
    <t>Deferred Fuel</t>
  </si>
  <si>
    <t>Subtotal</t>
  </si>
  <si>
    <t>Adjusted Working Capital Allowance</t>
  </si>
  <si>
    <t>B1 WC per Book</t>
  </si>
  <si>
    <t>WC per Book Adj. (excl. Non U/Fuel Inv)</t>
  </si>
  <si>
    <t>var. due to FI</t>
  </si>
  <si>
    <t>Trial Balance 2025 Budget</t>
  </si>
  <si>
    <t>FORMULA</t>
  </si>
  <si>
    <t>WORKING BUDGET</t>
  </si>
  <si>
    <t>Account 1</t>
  </si>
  <si>
    <t>Account 1.0</t>
  </si>
  <si>
    <t>ACCOUNT ID</t>
  </si>
  <si>
    <t>ACCOUNT DESCRIPTION</t>
  </si>
  <si>
    <t xml:space="preserve"> DEC 2024</t>
  </si>
  <si>
    <t>JAN 2025</t>
  </si>
  <si>
    <t>FEB 2025</t>
  </si>
  <si>
    <t>MAR 2025</t>
  </si>
  <si>
    <t>APR 2025</t>
  </si>
  <si>
    <t>MAY 2025</t>
  </si>
  <si>
    <t>JUN 2025</t>
  </si>
  <si>
    <t>JUL 2025</t>
  </si>
  <si>
    <t>AUG 2025</t>
  </si>
  <si>
    <t>SEP 2025</t>
  </si>
  <si>
    <t>OCT 2025</t>
  </si>
  <si>
    <t>NOV 2025</t>
  </si>
  <si>
    <t xml:space="preserve"> DEC 2025</t>
  </si>
  <si>
    <t>2025 13 MTH AVG</t>
  </si>
  <si>
    <t>9101000</t>
  </si>
  <si>
    <t>9101100</t>
  </si>
  <si>
    <t>Property Under Capital Leases</t>
  </si>
  <si>
    <t>9102000</t>
  </si>
  <si>
    <t>Plant Purchased or Sold</t>
  </si>
  <si>
    <t>9103000</t>
  </si>
  <si>
    <t>Experimental Plant Unclassified</t>
  </si>
  <si>
    <t>9103100</t>
  </si>
  <si>
    <t>Plant in Process of Reclassification</t>
  </si>
  <si>
    <t>9104000</t>
  </si>
  <si>
    <t>Plant Leased to Others</t>
  </si>
  <si>
    <t>9105000</t>
  </si>
  <si>
    <t>Plant Held for Future Use</t>
  </si>
  <si>
    <t>9105100</t>
  </si>
  <si>
    <t>Production Properties Held for Future Use</t>
  </si>
  <si>
    <t>9106000</t>
  </si>
  <si>
    <t>Completed Construction Not Classified</t>
  </si>
  <si>
    <t>9107000</t>
  </si>
  <si>
    <t>9108000</t>
  </si>
  <si>
    <t>9111000</t>
  </si>
  <si>
    <t>Accumulated Provision For Amortization</t>
  </si>
  <si>
    <t>9114000</t>
  </si>
  <si>
    <t>Plant Acquisition Adjustments</t>
  </si>
  <si>
    <t>9115000</t>
  </si>
  <si>
    <t>Accum Provision Amort Plant Acquisition Adjustment</t>
  </si>
  <si>
    <t>9116000</t>
  </si>
  <si>
    <t>Other Plant Adjustments</t>
  </si>
  <si>
    <t>9117100</t>
  </si>
  <si>
    <t>Gas Stored - Base Gas</t>
  </si>
  <si>
    <t>9117200</t>
  </si>
  <si>
    <t>System Balancing Gas</t>
  </si>
  <si>
    <t>9117300</t>
  </si>
  <si>
    <t>Gas Stored in Reservoirs and Pipelines-Noncurrent</t>
  </si>
  <si>
    <t>9117400</t>
  </si>
  <si>
    <t>Gas Owed to System Gas</t>
  </si>
  <si>
    <t>9118000</t>
  </si>
  <si>
    <t>Other Utility Plant</t>
  </si>
  <si>
    <t>9119000</t>
  </si>
  <si>
    <t>Accum Provision Depr Amort Other Utility Plant</t>
  </si>
  <si>
    <t>9121000</t>
  </si>
  <si>
    <t>Nonutility Property</t>
  </si>
  <si>
    <t>9122000</t>
  </si>
  <si>
    <t>Accum Provision Depr Amortiz Nonutility Property</t>
  </si>
  <si>
    <t>9123000</t>
  </si>
  <si>
    <t>Investment in Associated Companies</t>
  </si>
  <si>
    <t>9123100</t>
  </si>
  <si>
    <t>Investment in Subsidiary Companies</t>
  </si>
  <si>
    <t>9124000</t>
  </si>
  <si>
    <t>Other Investments</t>
  </si>
  <si>
    <t>9125000</t>
  </si>
  <si>
    <t>Sinking Funds</t>
  </si>
  <si>
    <t>9126000</t>
  </si>
  <si>
    <t>Depreciation Fund</t>
  </si>
  <si>
    <t>9127000</t>
  </si>
  <si>
    <t>Amortization Fund - Federal</t>
  </si>
  <si>
    <t>9128000</t>
  </si>
  <si>
    <t>Other Special Funds</t>
  </si>
  <si>
    <t>9131000</t>
  </si>
  <si>
    <t>9132000</t>
  </si>
  <si>
    <t>Interest Special Deposits</t>
  </si>
  <si>
    <t>9133000</t>
  </si>
  <si>
    <t>Dividend Special Deposits</t>
  </si>
  <si>
    <t>9134000</t>
  </si>
  <si>
    <t>9135000</t>
  </si>
  <si>
    <t>9136000</t>
  </si>
  <si>
    <t>9141000</t>
  </si>
  <si>
    <t>9142000</t>
  </si>
  <si>
    <t>9143000</t>
  </si>
  <si>
    <t>9144000</t>
  </si>
  <si>
    <t>Accumulated Provision Uncollectible Accounts-Cr</t>
  </si>
  <si>
    <t>9145000</t>
  </si>
  <si>
    <t>Notes Receivable from Associated Companies</t>
  </si>
  <si>
    <t>9146000</t>
  </si>
  <si>
    <t>Accounts Receivable from Associated Companies</t>
  </si>
  <si>
    <t>9151000</t>
  </si>
  <si>
    <t>9152000</t>
  </si>
  <si>
    <t>9153000</t>
  </si>
  <si>
    <t>Residuals and Extracted Products</t>
  </si>
  <si>
    <t>9154000</t>
  </si>
  <si>
    <t>Plant Materials and Operating Supplies</t>
  </si>
  <si>
    <t>9155000</t>
  </si>
  <si>
    <t>Merchandise</t>
  </si>
  <si>
    <t>9156000</t>
  </si>
  <si>
    <t>Other Materials and Supplies</t>
  </si>
  <si>
    <t>9158100</t>
  </si>
  <si>
    <t>Allowance Inventory</t>
  </si>
  <si>
    <t>9158200</t>
  </si>
  <si>
    <t>Allowances Withheld</t>
  </si>
  <si>
    <t>9163000</t>
  </si>
  <si>
    <t>Stores Expense Undistributed</t>
  </si>
  <si>
    <t>9164100</t>
  </si>
  <si>
    <t>Gas Stored - Current</t>
  </si>
  <si>
    <t>9164200</t>
  </si>
  <si>
    <t>Liquefied Natural Gas Stored</t>
  </si>
  <si>
    <t>9164300</t>
  </si>
  <si>
    <t>Liquefied Natural Gas Held For Processing</t>
  </si>
  <si>
    <t>9165000</t>
  </si>
  <si>
    <t>9171000</t>
  </si>
  <si>
    <t>Interest and Dividends Receivable</t>
  </si>
  <si>
    <t>9172000</t>
  </si>
  <si>
    <t>Rents Receivable</t>
  </si>
  <si>
    <t>9173000</t>
  </si>
  <si>
    <t>Accrued Utility Revenues</t>
  </si>
  <si>
    <t>9174000</t>
  </si>
  <si>
    <t>Miscellaneous Current and Accrued Assets</t>
  </si>
  <si>
    <t>9176000</t>
  </si>
  <si>
    <t>Derivative Instrument Assets - Hedges</t>
  </si>
  <si>
    <t>9181000</t>
  </si>
  <si>
    <t>9182100</t>
  </si>
  <si>
    <t>Extraordinary Property Losses</t>
  </si>
  <si>
    <t>9182200</t>
  </si>
  <si>
    <t>Unrecovered Plant and Regulatory Study Costs</t>
  </si>
  <si>
    <t>9182300</t>
  </si>
  <si>
    <t>9183000</t>
  </si>
  <si>
    <t>Preliminary Survey and Investigation Charges</t>
  </si>
  <si>
    <t>9183100</t>
  </si>
  <si>
    <t>Prelim Natural Gas Survey &amp; Investigation Charges</t>
  </si>
  <si>
    <t>9183200</t>
  </si>
  <si>
    <t>Other Preliminary Survey and Investigation Charges</t>
  </si>
  <si>
    <t>9184000</t>
  </si>
  <si>
    <t>9184100</t>
  </si>
  <si>
    <t>FERC Balance Sheet Clearing</t>
  </si>
  <si>
    <t>9186000</t>
  </si>
  <si>
    <t>Miscellaneous Deferred Debits</t>
  </si>
  <si>
    <t>9187000</t>
  </si>
  <si>
    <t>Deferred Losses from Disposition of Utility Plant</t>
  </si>
  <si>
    <t>9188000</t>
  </si>
  <si>
    <t>Research Development &amp; Demonstration Expenditures</t>
  </si>
  <si>
    <t>9189000</t>
  </si>
  <si>
    <t>9190000</t>
  </si>
  <si>
    <t>Accumulated Deferred Income Taxes</t>
  </si>
  <si>
    <t>9191000</t>
  </si>
  <si>
    <t>Unrecovered Purchased Gas Costs</t>
  </si>
  <si>
    <t>9201000</t>
  </si>
  <si>
    <t>Common Stock Issued</t>
  </si>
  <si>
    <t>9207000</t>
  </si>
  <si>
    <t>Premium on Capital Stock</t>
  </si>
  <si>
    <t>9208000</t>
  </si>
  <si>
    <t>Donations Received from Stockholders</t>
  </si>
  <si>
    <t>9211000</t>
  </si>
  <si>
    <t>Miscellaneous Paid-in Capital</t>
  </si>
  <si>
    <t>9214000</t>
  </si>
  <si>
    <t>9215000</t>
  </si>
  <si>
    <t>Appropriated Retained Earnings</t>
  </si>
  <si>
    <t>9215100</t>
  </si>
  <si>
    <t>Appropriated Retained Earn-Amortiz Reserve Federal</t>
  </si>
  <si>
    <t>9216000</t>
  </si>
  <si>
    <t>Unappropriated Retained Earnings</t>
  </si>
  <si>
    <t>9216100</t>
  </si>
  <si>
    <t>Unappropriated Undistributed Subsidiary Earnings</t>
  </si>
  <si>
    <t>9219000</t>
  </si>
  <si>
    <t>Accumulated Other Comprehensive Income</t>
  </si>
  <si>
    <t>9221000</t>
  </si>
  <si>
    <t>Bonds</t>
  </si>
  <si>
    <t>9223000</t>
  </si>
  <si>
    <t>Advances from Associated Companies</t>
  </si>
  <si>
    <t>9224000</t>
  </si>
  <si>
    <t>Other Long-Term Debt</t>
  </si>
  <si>
    <t>9225000</t>
  </si>
  <si>
    <t>Unamortized Premium on Long-Term Debt</t>
  </si>
  <si>
    <t>9226000</t>
  </si>
  <si>
    <t>Unamortized Discount on Long-Term Debt</t>
  </si>
  <si>
    <t>9227000</t>
  </si>
  <si>
    <t>9228100</t>
  </si>
  <si>
    <t>Accumulated Provision for Property Insurance</t>
  </si>
  <si>
    <t>9228200</t>
  </si>
  <si>
    <t>Accumulated Provision for Injuries and Damages</t>
  </si>
  <si>
    <t>9228300</t>
  </si>
  <si>
    <t>Accumulated Provision for Pension and Benefits</t>
  </si>
  <si>
    <t>9228400</t>
  </si>
  <si>
    <t>9229000</t>
  </si>
  <si>
    <t>9230000</t>
  </si>
  <si>
    <t>Asset Retirement Obligations</t>
  </si>
  <si>
    <t>9231000</t>
  </si>
  <si>
    <t>Notes Payable (Borrowings &lt; 1 Year Duration)</t>
  </si>
  <si>
    <t>9232000</t>
  </si>
  <si>
    <t>9233000</t>
  </si>
  <si>
    <t>Notes Payable to Associated Companies</t>
  </si>
  <si>
    <t>9234000</t>
  </si>
  <si>
    <t>Accounts Payable to Associated Companies</t>
  </si>
  <si>
    <t>9235000</t>
  </si>
  <si>
    <t>9236000</t>
  </si>
  <si>
    <t>9237000</t>
  </si>
  <si>
    <t>9238000</t>
  </si>
  <si>
    <t>9241000</t>
  </si>
  <si>
    <t>9242000</t>
  </si>
  <si>
    <t>Miscellaneous Current and Accrued Liabilities</t>
  </si>
  <si>
    <t>9243000</t>
  </si>
  <si>
    <t>9245000</t>
  </si>
  <si>
    <t>Derivative Instrument Liabilities - Hedges</t>
  </si>
  <si>
    <t>9252000</t>
  </si>
  <si>
    <t>Customer Advances for Construction</t>
  </si>
  <si>
    <t>9253000</t>
  </si>
  <si>
    <t>9254000</t>
  </si>
  <si>
    <t>Other Regulatory Liabilities</t>
  </si>
  <si>
    <t>9255000</t>
  </si>
  <si>
    <t>Accumulated Deferred Investment Tax Credits</t>
  </si>
  <si>
    <t>9256000</t>
  </si>
  <si>
    <t>Deferred Gains from Disposition of Utility Plant</t>
  </si>
  <si>
    <t>9257000</t>
  </si>
  <si>
    <t>Unamortized Gain on Reacquired Debt</t>
  </si>
  <si>
    <t>9281000</t>
  </si>
  <si>
    <t>Accum Defd Inc Taxes-Accelerated Amortiz Property</t>
  </si>
  <si>
    <t>9282000</t>
  </si>
  <si>
    <t>Accumulated Deferred Income Taxes-Other Property</t>
  </si>
  <si>
    <t>9283000</t>
  </si>
  <si>
    <t>Accumulated Deferred Income Taxes-Other</t>
  </si>
  <si>
    <t>9403000</t>
  </si>
  <si>
    <t>Depreciation Expense</t>
  </si>
  <si>
    <t>9403100</t>
  </si>
  <si>
    <t>Depreciation Expense for Asset Retirement Costs</t>
  </si>
  <si>
    <t>9404000</t>
  </si>
  <si>
    <t>Amortization of Limited-Term Electric Plant</t>
  </si>
  <si>
    <t>9404100</t>
  </si>
  <si>
    <t>Amort Deplet Producing Nat Gas Land &amp; Land Rights</t>
  </si>
  <si>
    <t>9404200</t>
  </si>
  <si>
    <t>Amort of Underground Storage Land &amp; Land Rights</t>
  </si>
  <si>
    <t>9404300</t>
  </si>
  <si>
    <t>Amortization of Other Limited-Term Gas Plant</t>
  </si>
  <si>
    <t>9405000</t>
  </si>
  <si>
    <t>Amortization of Other Electric/Gas Plant</t>
  </si>
  <si>
    <t>9406000</t>
  </si>
  <si>
    <t>Amortization of Plant Acquisition Adjustment</t>
  </si>
  <si>
    <t>9407000</t>
  </si>
  <si>
    <t>Amortiz Ele Prop Loss Unrecv Plant RegulStudy Cost</t>
  </si>
  <si>
    <t>9407100</t>
  </si>
  <si>
    <t>Amortiz Gas Prop Loss Unrecv Plant RegulStudy Cost</t>
  </si>
  <si>
    <t>9407200</t>
  </si>
  <si>
    <t>Amortization of Conversion Expenses</t>
  </si>
  <si>
    <t>9407300</t>
  </si>
  <si>
    <t>Regulatory Debits</t>
  </si>
  <si>
    <t>9407400</t>
  </si>
  <si>
    <t>Regulatory Credits</t>
  </si>
  <si>
    <t>9408100</t>
  </si>
  <si>
    <t>Taxes Other Than Inc Taxes-Utility Operating Inc</t>
  </si>
  <si>
    <t>9408200</t>
  </si>
  <si>
    <t>Taxes Other Than Inc Taxes-Other Income &amp; Deduct</t>
  </si>
  <si>
    <t>9409100</t>
  </si>
  <si>
    <t>Income Taxes - Utility Operating Income</t>
  </si>
  <si>
    <t>9409200</t>
  </si>
  <si>
    <t>Income Taxes - Other Income and Deductions</t>
  </si>
  <si>
    <t>9409300</t>
  </si>
  <si>
    <t>Income Taxes - Extraordinary Items</t>
  </si>
  <si>
    <t>9410100</t>
  </si>
  <si>
    <t>Provision for Defd Inc Tax - Utility Operating Inc</t>
  </si>
  <si>
    <t>9410200</t>
  </si>
  <si>
    <t>Provision for Defd Inc Tax - Other Inc and Deduct</t>
  </si>
  <si>
    <t>9411100</t>
  </si>
  <si>
    <t>Provision for Defd Inc Taxes-CR Utility Oper Inc</t>
  </si>
  <si>
    <t>9411200</t>
  </si>
  <si>
    <t>Provision for Defd Inc Taxes-CR Other Inc &amp; Deduct</t>
  </si>
  <si>
    <t>9411400</t>
  </si>
  <si>
    <t>Investment Tax Credit Adjustm-Utility Operations</t>
  </si>
  <si>
    <t>9411500</t>
  </si>
  <si>
    <t>Investment Tax Credit Adj - Nonutility Operations</t>
  </si>
  <si>
    <t>9411600</t>
  </si>
  <si>
    <t>Gains From Disposition of Utility Plant</t>
  </si>
  <si>
    <t>9411700</t>
  </si>
  <si>
    <t>Losses From Disposition of Utility Plant</t>
  </si>
  <si>
    <t>9411800</t>
  </si>
  <si>
    <t>Gains From Disposition of Allowances</t>
  </si>
  <si>
    <t>9411900</t>
  </si>
  <si>
    <t>Losses From Disposition of Allowances</t>
  </si>
  <si>
    <t>9412000</t>
  </si>
  <si>
    <t>Rev Gas Plant Leased</t>
  </si>
  <si>
    <t>9413000</t>
  </si>
  <si>
    <t>Expenses of Util Plant leased to Others</t>
  </si>
  <si>
    <t>9414000</t>
  </si>
  <si>
    <t>Other Utility Operating Income</t>
  </si>
  <si>
    <t>9415000</t>
  </si>
  <si>
    <t>Revenues frm Merchandising Jobbing &amp; Contract Work</t>
  </si>
  <si>
    <t>9416000</t>
  </si>
  <si>
    <t>Costs of Merchandising. Jobbing and Contract Work</t>
  </si>
  <si>
    <t>9417000</t>
  </si>
  <si>
    <t>Revenues from Nonutility Operations</t>
  </si>
  <si>
    <t>9417100</t>
  </si>
  <si>
    <t>Expenses of Nonutility Operations</t>
  </si>
  <si>
    <t>9418000</t>
  </si>
  <si>
    <t>Nonoperating Rental Income</t>
  </si>
  <si>
    <t>9418100</t>
  </si>
  <si>
    <t>Equity in Earnings of Subsidiary Companies</t>
  </si>
  <si>
    <t>9419000</t>
  </si>
  <si>
    <t>Interest and Dividend Income</t>
  </si>
  <si>
    <t>9419100</t>
  </si>
  <si>
    <t>Allowance for Other Funds Used During Construction</t>
  </si>
  <si>
    <t>9420000</t>
  </si>
  <si>
    <t>Investment Tax Credits. Oth Inc and Deduct</t>
  </si>
  <si>
    <t>9421000</t>
  </si>
  <si>
    <t>Miscellaneous Nonoperating Income</t>
  </si>
  <si>
    <t>9421100</t>
  </si>
  <si>
    <t>Gain on Disposition of Property</t>
  </si>
  <si>
    <t>9421200</t>
  </si>
  <si>
    <t>Loss on Disposition of Property</t>
  </si>
  <si>
    <t>9425000</t>
  </si>
  <si>
    <t>Miscellaneous Amortization</t>
  </si>
  <si>
    <t>9426100</t>
  </si>
  <si>
    <t>Other Expense - Donations</t>
  </si>
  <si>
    <t>9426200</t>
  </si>
  <si>
    <t>Other Expense - Life Insurance</t>
  </si>
  <si>
    <t>9426300</t>
  </si>
  <si>
    <t>Other Expense - Penalties</t>
  </si>
  <si>
    <t>9426400</t>
  </si>
  <si>
    <t>Exp Certain Civic. Political &amp; Related Activities</t>
  </si>
  <si>
    <t>9426500</t>
  </si>
  <si>
    <t>Other Deductions</t>
  </si>
  <si>
    <t>9427000</t>
  </si>
  <si>
    <t>Interest on Long-Term Debt</t>
  </si>
  <si>
    <t>9428000</t>
  </si>
  <si>
    <t>Amortization of Debt Discount and Expense</t>
  </si>
  <si>
    <t>9428100</t>
  </si>
  <si>
    <t>Amortization of Loss on Reacquired Debt</t>
  </si>
  <si>
    <t>9429000</t>
  </si>
  <si>
    <t>Amortization of Premium on Debt - Credit</t>
  </si>
  <si>
    <t>9429100</t>
  </si>
  <si>
    <t>Amortization of Gain on Reacquired Debt - Credit</t>
  </si>
  <si>
    <t>9430000</t>
  </si>
  <si>
    <t>Interest on Debt to Associated Companies</t>
  </si>
  <si>
    <t>9431000</t>
  </si>
  <si>
    <t>Other Interest Expense</t>
  </si>
  <si>
    <t>9432000</t>
  </si>
  <si>
    <t>Allow Borrowed Funds Used During Construct-Credit</t>
  </si>
  <si>
    <t>9433000</t>
  </si>
  <si>
    <t>Balance Transferred from Income</t>
  </si>
  <si>
    <t>9434000</t>
  </si>
  <si>
    <t>Extraordinary Income</t>
  </si>
  <si>
    <t>9435000</t>
  </si>
  <si>
    <t>Extraordinary Deductions</t>
  </si>
  <si>
    <t>9438000</t>
  </si>
  <si>
    <t>Dividends Declared - Common Stock</t>
  </si>
  <si>
    <t>9440000</t>
  </si>
  <si>
    <t>Electric Residential Sales</t>
  </si>
  <si>
    <t>9442000</t>
  </si>
  <si>
    <t>Electric Commercial and Industrial Sales</t>
  </si>
  <si>
    <t>9444000</t>
  </si>
  <si>
    <t>Electric Public Street and Highway Lighting</t>
  </si>
  <si>
    <t>9445000</t>
  </si>
  <si>
    <t>Electric Other Sales to Public Authorities</t>
  </si>
  <si>
    <t>9446000</t>
  </si>
  <si>
    <t>Electric Sales to Railroads And Railways</t>
  </si>
  <si>
    <t>9447000</t>
  </si>
  <si>
    <t>Electric Sales For Resale</t>
  </si>
  <si>
    <t>9448000</t>
  </si>
  <si>
    <t>Electric Interdepartmental Sales</t>
  </si>
  <si>
    <t>9449100</t>
  </si>
  <si>
    <t>Electric Provision for Rate Refunds</t>
  </si>
  <si>
    <t>9450000</t>
  </si>
  <si>
    <t>Electric Forfeited Discounts</t>
  </si>
  <si>
    <t>9451000</t>
  </si>
  <si>
    <t>Electric Miscellaneous Service Revenues</t>
  </si>
  <si>
    <t>9453000</t>
  </si>
  <si>
    <t>Sales of Water and Water Power</t>
  </si>
  <si>
    <t>9454000</t>
  </si>
  <si>
    <t>Electric Rent from Electric Property</t>
  </si>
  <si>
    <t>9455000</t>
  </si>
  <si>
    <t>Electric Interdepartmental Rents</t>
  </si>
  <si>
    <t>9456000</t>
  </si>
  <si>
    <t>Electric Other Electric Revenues</t>
  </si>
  <si>
    <t>9456100</t>
  </si>
  <si>
    <t>Revenues frm Transmission of Electricity of Others</t>
  </si>
  <si>
    <t>9457100</t>
  </si>
  <si>
    <t>Regional Transmission Service Revenues</t>
  </si>
  <si>
    <t>9457200</t>
  </si>
  <si>
    <t>Miscellaneous Revenues</t>
  </si>
  <si>
    <t>9458100</t>
  </si>
  <si>
    <t>Svc Company Revenue- NonAssoc Co-Direct Costs</t>
  </si>
  <si>
    <t>9480000</t>
  </si>
  <si>
    <t>Gas Residential Sales</t>
  </si>
  <si>
    <t>9481000</t>
  </si>
  <si>
    <t>Gas Commercial and Industrial Sales</t>
  </si>
  <si>
    <t>9482000</t>
  </si>
  <si>
    <t>Gas Other Sales to Public Authorities</t>
  </si>
  <si>
    <t>9483000</t>
  </si>
  <si>
    <t>Gas Sales For Resale</t>
  </si>
  <si>
    <t>9484000</t>
  </si>
  <si>
    <t>Gas Interdepartmental Sales</t>
  </si>
  <si>
    <t>9485000</t>
  </si>
  <si>
    <t>Gas Intracompany Transfers</t>
  </si>
  <si>
    <t>9487000</t>
  </si>
  <si>
    <t>Gas Forfeited Discounts</t>
  </si>
  <si>
    <t>9488000</t>
  </si>
  <si>
    <t>Gas Miscellaneous Service Revenues</t>
  </si>
  <si>
    <t>9489100</t>
  </si>
  <si>
    <t>Gas Rev Transport Gas of Others Gathering Facility</t>
  </si>
  <si>
    <t>9489200</t>
  </si>
  <si>
    <t>Gas Rev Transport Gas of Others Transm Facility</t>
  </si>
  <si>
    <t>9489300</t>
  </si>
  <si>
    <t>Gas Rev Transport Gas of Others Distrib Facility</t>
  </si>
  <si>
    <t>9489400</t>
  </si>
  <si>
    <t>Gas Revenues from Storing Gas of Others</t>
  </si>
  <si>
    <t>9490000</t>
  </si>
  <si>
    <t>Gas Sales of Products Extracted from Natural Gas</t>
  </si>
  <si>
    <t>9491000</t>
  </si>
  <si>
    <t>Gas Revenues from Natural Gas Processed by Others</t>
  </si>
  <si>
    <t>9492000</t>
  </si>
  <si>
    <t>Gas Incidental Gasoline and Oil Sales</t>
  </si>
  <si>
    <t>9493000</t>
  </si>
  <si>
    <t>Gas Rent from Gas Property</t>
  </si>
  <si>
    <t>9494000</t>
  </si>
  <si>
    <t>Gas Interdepartmental Rents</t>
  </si>
  <si>
    <t>9495000</t>
  </si>
  <si>
    <t>Gas Other Gas Revenues</t>
  </si>
  <si>
    <t>9496000</t>
  </si>
  <si>
    <t>Gas Provision For Rate Refunds</t>
  </si>
  <si>
    <t>9500000</t>
  </si>
  <si>
    <t>Steam Operation Supervision And Engineering</t>
  </si>
  <si>
    <t>9501000</t>
  </si>
  <si>
    <t>Steam Fuel</t>
  </si>
  <si>
    <t>9502000</t>
  </si>
  <si>
    <t>Steam Expenses</t>
  </si>
  <si>
    <t>9503000</t>
  </si>
  <si>
    <t>Steam From Other Sources</t>
  </si>
  <si>
    <t>9504000</t>
  </si>
  <si>
    <t>Steam Transferred - Credit</t>
  </si>
  <si>
    <t>9505000</t>
  </si>
  <si>
    <t>Steam Electric Expenses</t>
  </si>
  <si>
    <t>9506000</t>
  </si>
  <si>
    <t>Miscellaneous Steam Power Expenses</t>
  </si>
  <si>
    <t>9507000</t>
  </si>
  <si>
    <t>Steam Rents</t>
  </si>
  <si>
    <t>9509000</t>
  </si>
  <si>
    <t>Steam Allowances</t>
  </si>
  <si>
    <t>9510000</t>
  </si>
  <si>
    <t>Steam Maintenance Supervision and Engineering</t>
  </si>
  <si>
    <t>9511000</t>
  </si>
  <si>
    <t>Steam Maintenance of Structures</t>
  </si>
  <si>
    <t>9512000</t>
  </si>
  <si>
    <t>Steam Maintenance of Boiler Plant</t>
  </si>
  <si>
    <t>9513000</t>
  </si>
  <si>
    <t>Steam Maintenance of Electric Plant</t>
  </si>
  <si>
    <t>9514000</t>
  </si>
  <si>
    <t>Maintenance of Miscellaneous Steam Plant</t>
  </si>
  <si>
    <t>9517000</t>
  </si>
  <si>
    <t>Nuclear Operation Supervision And Engineering</t>
  </si>
  <si>
    <t>9518000</t>
  </si>
  <si>
    <t>Nuclear Fuel Expense</t>
  </si>
  <si>
    <t>9519000</t>
  </si>
  <si>
    <t>Nuclear Coolants and Water</t>
  </si>
  <si>
    <t>9520000</t>
  </si>
  <si>
    <t>Nuclear Steam Expenses</t>
  </si>
  <si>
    <t>9521000</t>
  </si>
  <si>
    <t>Nuclear Steam from Other Sources</t>
  </si>
  <si>
    <t>9522000</t>
  </si>
  <si>
    <t>Nuclear Steam Transferred - Credit</t>
  </si>
  <si>
    <t>9523000</t>
  </si>
  <si>
    <t>Nuclear Electric Expenses</t>
  </si>
  <si>
    <t>9524000</t>
  </si>
  <si>
    <t>Miscellaneous Nuclear Power Expenses</t>
  </si>
  <si>
    <t>9525000</t>
  </si>
  <si>
    <t>Nuclear Rents</t>
  </si>
  <si>
    <t>9528000</t>
  </si>
  <si>
    <t>Nuclear Maintenance Supervision and Engineering</t>
  </si>
  <si>
    <t>9529000</t>
  </si>
  <si>
    <t>Nuclear Maintenance of Structures</t>
  </si>
  <si>
    <t>9530000</t>
  </si>
  <si>
    <t>Nuclear Maintenance of Reactor Plant Equipment</t>
  </si>
  <si>
    <t>9531000</t>
  </si>
  <si>
    <t>Nuclear Maintenance of Electric Plant</t>
  </si>
  <si>
    <t>9532000</t>
  </si>
  <si>
    <t>Maintenance of Miscellaneous Nuclear Plant</t>
  </si>
  <si>
    <t>9535000</t>
  </si>
  <si>
    <t>Hydraulic Operation Supervision and Engineering</t>
  </si>
  <si>
    <t>9536000</t>
  </si>
  <si>
    <t>Hydraulic Water For Power</t>
  </si>
  <si>
    <t>9537000</t>
  </si>
  <si>
    <t>Hydraulic Expenses</t>
  </si>
  <si>
    <t>9538000</t>
  </si>
  <si>
    <t>Hydraulic Electric Expenses</t>
  </si>
  <si>
    <t>9539000</t>
  </si>
  <si>
    <t>Miscellaneous Hydraulic Power Generation Expenses</t>
  </si>
  <si>
    <t>9540000</t>
  </si>
  <si>
    <t>Hydraulic Rents</t>
  </si>
  <si>
    <t>9541000</t>
  </si>
  <si>
    <t>Hydraulic Maintenance Supervision and Engineering</t>
  </si>
  <si>
    <t>9542000</t>
  </si>
  <si>
    <t>Hydraulic Maintenance of Structures</t>
  </si>
  <si>
    <t>9543000</t>
  </si>
  <si>
    <t>Hydraulic Maintenance Reservoirs Dams &amp; Waterways</t>
  </si>
  <si>
    <t>9544000</t>
  </si>
  <si>
    <t>Hydraulic Maintenance of Electric Plant</t>
  </si>
  <si>
    <t>9545000</t>
  </si>
  <si>
    <t>Maintenance of Miscellaneous Hydraulic Plant</t>
  </si>
  <si>
    <t>9546000</t>
  </si>
  <si>
    <t>Other Power Operation Supervision and Engineering</t>
  </si>
  <si>
    <t>9547000</t>
  </si>
  <si>
    <t>Other Power Fuel</t>
  </si>
  <si>
    <t>9548000</t>
  </si>
  <si>
    <t>Other Power Generation Expenses</t>
  </si>
  <si>
    <t>9548100</t>
  </si>
  <si>
    <t>Operation of Energy Storage Equipment</t>
  </si>
  <si>
    <t>9549000</t>
  </si>
  <si>
    <t>Miscellaneous Other Power Generation Expenses</t>
  </si>
  <si>
    <t>9550000</t>
  </si>
  <si>
    <t>Other Power Rents</t>
  </si>
  <si>
    <t>9551000</t>
  </si>
  <si>
    <t>Other Power Maintenance Supervision &amp; Engineering</t>
  </si>
  <si>
    <t>9552000</t>
  </si>
  <si>
    <t>Other Power Maintenance of Structures</t>
  </si>
  <si>
    <t>9553000</t>
  </si>
  <si>
    <t>Other Power Maint Generating &amp; Electric Equipment</t>
  </si>
  <si>
    <t>9553100</t>
  </si>
  <si>
    <t>Maintenance of Energy Storage Equipment</t>
  </si>
  <si>
    <t>9554000</t>
  </si>
  <si>
    <t>Maintenance of Misc Other Power Generation Plant</t>
  </si>
  <si>
    <t>9555000</t>
  </si>
  <si>
    <t>Other Supply Purchased Power</t>
  </si>
  <si>
    <t>9556000</t>
  </si>
  <si>
    <t>Other Supply System Control and Load Dispatching</t>
  </si>
  <si>
    <t>9557000</t>
  </si>
  <si>
    <t>Other Supply Other Expenses</t>
  </si>
  <si>
    <t>9560000</t>
  </si>
  <si>
    <t>Transmission Operation Supervision And Engineering</t>
  </si>
  <si>
    <t>9561000</t>
  </si>
  <si>
    <t>Transmission Load Dispatch - Do Not Use Locked in ECC</t>
  </si>
  <si>
    <t>9561100</t>
  </si>
  <si>
    <t>Transmission Load Dispatch - Reliability</t>
  </si>
  <si>
    <t>9561200</t>
  </si>
  <si>
    <t>Transm Load Dispatch-Monitor Operate Transm System</t>
  </si>
  <si>
    <t>9561300</t>
  </si>
  <si>
    <t>Transm Load Dispatch-Transmission Svc &amp; Scheduling</t>
  </si>
  <si>
    <t>9561400</t>
  </si>
  <si>
    <t>Transmission Scheduling Sys Control &amp; Dispatch Svc</t>
  </si>
  <si>
    <t>9561500</t>
  </si>
  <si>
    <t>Transm Reliability Planning &amp; Standards Devlpmt</t>
  </si>
  <si>
    <t>9561600</t>
  </si>
  <si>
    <t>Transmission Service Studies</t>
  </si>
  <si>
    <t>9561700</t>
  </si>
  <si>
    <t>Transmission Generation Interconnection Studies</t>
  </si>
  <si>
    <t>9561800</t>
  </si>
  <si>
    <t>Transm Billed Reliability Planning Stnrds Dev Svcs</t>
  </si>
  <si>
    <t>9562000</t>
  </si>
  <si>
    <t>Transmission Station Expenses</t>
  </si>
  <si>
    <t>9563000</t>
  </si>
  <si>
    <t>Transmission Overhead Line Expenses</t>
  </si>
  <si>
    <t>9564000</t>
  </si>
  <si>
    <t>Transmission Underground Line Expenses</t>
  </si>
  <si>
    <t>9565000</t>
  </si>
  <si>
    <t>Transmission of Electricity by Others</t>
  </si>
  <si>
    <t>9566000</t>
  </si>
  <si>
    <t>Miscellaneous Transmission Expenses</t>
  </si>
  <si>
    <t>9567000</t>
  </si>
  <si>
    <t>Transmission Rents</t>
  </si>
  <si>
    <t>9568000</t>
  </si>
  <si>
    <t>Transmission Maintenance Supervision &amp; Engineering</t>
  </si>
  <si>
    <t>9569000</t>
  </si>
  <si>
    <t>Transmission Maintenance of Structures</t>
  </si>
  <si>
    <t>9569100</t>
  </si>
  <si>
    <t>Transmission Maintenance of Computer Hardware</t>
  </si>
  <si>
    <t>9569200</t>
  </si>
  <si>
    <t>Transmission Maintenance of Computer Software</t>
  </si>
  <si>
    <t>9569300</t>
  </si>
  <si>
    <t>Transmission Maintenance Communication Equipment</t>
  </si>
  <si>
    <t>9569400</t>
  </si>
  <si>
    <t>Transmisison Maint Msc Regional Transmission Plant</t>
  </si>
  <si>
    <t>9570000</t>
  </si>
  <si>
    <t>Transmission Maintenance of Station Equipment</t>
  </si>
  <si>
    <t>9571000</t>
  </si>
  <si>
    <t>Transmission Maintenance of Overhead Lines</t>
  </si>
  <si>
    <t>9572000</t>
  </si>
  <si>
    <t>Transmission Maintenance of Underground Lines</t>
  </si>
  <si>
    <t>9573000</t>
  </si>
  <si>
    <t>Maintenance of Miscellaneous Transmission Plant</t>
  </si>
  <si>
    <t>9575100</t>
  </si>
  <si>
    <t>Regional Market Operation Supervision</t>
  </si>
  <si>
    <t>9575200</t>
  </si>
  <si>
    <t>Regional Day-Ahead &amp; Real-Time Market Facilitation</t>
  </si>
  <si>
    <t>9575300</t>
  </si>
  <si>
    <t>Regional Transmission Rights Market Facilitation</t>
  </si>
  <si>
    <t>9575400</t>
  </si>
  <si>
    <t>Regional Capacity Market Facilitation</t>
  </si>
  <si>
    <t>9575500</t>
  </si>
  <si>
    <t>Regional Ancillary Services Market Facilitation</t>
  </si>
  <si>
    <t>9575600</t>
  </si>
  <si>
    <t>Regional Market Monitoring And Compliance</t>
  </si>
  <si>
    <t>9575700</t>
  </si>
  <si>
    <t>Regional Market Admin Monitoring &amp; Compliance Svcs</t>
  </si>
  <si>
    <t>9575800</t>
  </si>
  <si>
    <t>Regional Market Rents</t>
  </si>
  <si>
    <t>9576100</t>
  </si>
  <si>
    <t>Regional Market Maintenance Structures &amp; Improvm</t>
  </si>
  <si>
    <t>9576200</t>
  </si>
  <si>
    <t>Regional Market Maintenance of Computer Hardware</t>
  </si>
  <si>
    <t>9576300</t>
  </si>
  <si>
    <t>Regional Market Maintenance of Computer Software</t>
  </si>
  <si>
    <t>9576400</t>
  </si>
  <si>
    <t>Regional Market Maintenance of Communication Equip</t>
  </si>
  <si>
    <t>9576500</t>
  </si>
  <si>
    <t>Regional Maintenance Misc Market Operation Plant</t>
  </si>
  <si>
    <t>9580000</t>
  </si>
  <si>
    <t>Distribution Operation Supervision And Engineering</t>
  </si>
  <si>
    <t>9581000</t>
  </si>
  <si>
    <t>Distribution Load Dispatching</t>
  </si>
  <si>
    <t>9581100</t>
  </si>
  <si>
    <t>Distribution Line and Station Supplies &amp; Expenses</t>
  </si>
  <si>
    <t>9582000</t>
  </si>
  <si>
    <t>Distribution Station Expenses</t>
  </si>
  <si>
    <t>9583000</t>
  </si>
  <si>
    <t>Distribution Overhead Line Expenses</t>
  </si>
  <si>
    <t>9584000</t>
  </si>
  <si>
    <t>Distribution Underground Line Expenses</t>
  </si>
  <si>
    <t>9585000</t>
  </si>
  <si>
    <t>Distribution Street Lighting and Signal System Exp</t>
  </si>
  <si>
    <t>9586000</t>
  </si>
  <si>
    <t>Distribution Meter Expenses</t>
  </si>
  <si>
    <t>9587000</t>
  </si>
  <si>
    <t>Distribution Customer Installations Expenses</t>
  </si>
  <si>
    <t>9588000</t>
  </si>
  <si>
    <t>Miscellaneous Distribution Expenses</t>
  </si>
  <si>
    <t>9589000</t>
  </si>
  <si>
    <t>Distribution Rents</t>
  </si>
  <si>
    <t>9590000</t>
  </si>
  <si>
    <t>Distribution Maintenance Supervision &amp; Engineering</t>
  </si>
  <si>
    <t>9591000</t>
  </si>
  <si>
    <t>Distribution Maintenance of Structures</t>
  </si>
  <si>
    <t>9592000</t>
  </si>
  <si>
    <t>Distribution Maintenance of Station Equipment</t>
  </si>
  <si>
    <t>9592100</t>
  </si>
  <si>
    <t>Distribution Maintenance of Structures &amp; Equipment</t>
  </si>
  <si>
    <t>9593000</t>
  </si>
  <si>
    <t>Distribution Maintenance of Overhead Lines</t>
  </si>
  <si>
    <t>9594000</t>
  </si>
  <si>
    <t>Distribution Maintenance of Underground Lines</t>
  </si>
  <si>
    <t>9595000</t>
  </si>
  <si>
    <t>Distribution Maintenance of Line Transformers</t>
  </si>
  <si>
    <t>9596000</t>
  </si>
  <si>
    <t>Distribution Maint Street Lighting &amp; Signal System</t>
  </si>
  <si>
    <t>9597000</t>
  </si>
  <si>
    <t>Distribution Maintenance of Meters</t>
  </si>
  <si>
    <t>9598000</t>
  </si>
  <si>
    <t>Maintenance of Miscellaneous Distribution Plant</t>
  </si>
  <si>
    <t>9800000</t>
  </si>
  <si>
    <t>Natural Gas Well Head Purchases</t>
  </si>
  <si>
    <t>9800100</t>
  </si>
  <si>
    <t>Natural Gas Well Head Purch Intracompany Transfers</t>
  </si>
  <si>
    <t>9801000</t>
  </si>
  <si>
    <t>Natural Gas Field Line Purchases</t>
  </si>
  <si>
    <t>9802000</t>
  </si>
  <si>
    <t>Natural Gas Gasoline Plant Outlet Purchases</t>
  </si>
  <si>
    <t>9803000</t>
  </si>
  <si>
    <t>Natural Gas Transmission Line Purchases</t>
  </si>
  <si>
    <t>9804000</t>
  </si>
  <si>
    <t>Natural Gas City Gate Purchases</t>
  </si>
  <si>
    <t>9804100</t>
  </si>
  <si>
    <t>Liquefied Natural Gas Purchases</t>
  </si>
  <si>
    <t>9805000</t>
  </si>
  <si>
    <t>Other Gas Purchases</t>
  </si>
  <si>
    <t>9805100</t>
  </si>
  <si>
    <t>Purchased Gas Cost Adjustments</t>
  </si>
  <si>
    <t>9806000</t>
  </si>
  <si>
    <t>Exchange Gas</t>
  </si>
  <si>
    <t>9807100</t>
  </si>
  <si>
    <t>Well Expenses - Purchased Gas</t>
  </si>
  <si>
    <t>9807200</t>
  </si>
  <si>
    <t>Operation of Purchased Gas Measuring Stations</t>
  </si>
  <si>
    <t>9807300</t>
  </si>
  <si>
    <t>Maintenance of Purchased Gas Measuring Stations</t>
  </si>
  <si>
    <t>9807400</t>
  </si>
  <si>
    <t>Purchased Gas Calculations Expenses</t>
  </si>
  <si>
    <t>9807500</t>
  </si>
  <si>
    <t>Other Purchased Gas Expenses</t>
  </si>
  <si>
    <t>9808100</t>
  </si>
  <si>
    <t>Gas Withdrawn From Storage - Debit</t>
  </si>
  <si>
    <t>9808200</t>
  </si>
  <si>
    <t>Gas Delivered To Storage - Credit</t>
  </si>
  <si>
    <t>9809100</t>
  </si>
  <si>
    <t>Withdrawals Liquefied Natural Gas Processing-Debit</t>
  </si>
  <si>
    <t>9809200</t>
  </si>
  <si>
    <t>Deliveries of Natural Gas for Processing - Credit</t>
  </si>
  <si>
    <t>9810000</t>
  </si>
  <si>
    <t>Gas Used For Compressor Station Fuel - Credit</t>
  </si>
  <si>
    <t>9811000</t>
  </si>
  <si>
    <t>Gas Used For Products Extraction - Credit</t>
  </si>
  <si>
    <t>9812000</t>
  </si>
  <si>
    <t>Gas Used For Other Utility Operations - Credit</t>
  </si>
  <si>
    <t>9813000</t>
  </si>
  <si>
    <t>Other Gas Supply Expenses</t>
  </si>
  <si>
    <t>9826000</t>
  </si>
  <si>
    <t>Rents</t>
  </si>
  <si>
    <t>9850000</t>
  </si>
  <si>
    <t>Gas Transm Operation Supervison and Engineering</t>
  </si>
  <si>
    <t>9851000</t>
  </si>
  <si>
    <t>Gas Transm Oper System Control and Load Dispatch</t>
  </si>
  <si>
    <t>9852000</t>
  </si>
  <si>
    <t>Gas Transm Operation Communication System</t>
  </si>
  <si>
    <t>9853000</t>
  </si>
  <si>
    <t>Gas Transm Operation Compressor Station</t>
  </si>
  <si>
    <t>9854000</t>
  </si>
  <si>
    <t>Gas Transm Operation Gas Compressor Station Fuel</t>
  </si>
  <si>
    <t>9855000</t>
  </si>
  <si>
    <t>Gas Transm Oper Oth Fuel Power Compresor Station</t>
  </si>
  <si>
    <t>9856000</t>
  </si>
  <si>
    <t>Gas Transm Operation Mains</t>
  </si>
  <si>
    <t>9857000</t>
  </si>
  <si>
    <t>Gas Transm Oper Measuring and Regulating Station</t>
  </si>
  <si>
    <t>9858000</t>
  </si>
  <si>
    <t>Gas Transm Operation Transm Compres Gas by Other</t>
  </si>
  <si>
    <t>9859000</t>
  </si>
  <si>
    <t>Gas Transm Operation Other Expenses</t>
  </si>
  <si>
    <t>9860000</t>
  </si>
  <si>
    <t>Gas Transm Operation Rents</t>
  </si>
  <si>
    <t>9861000</t>
  </si>
  <si>
    <t>Gas Transm Maintenance Supervision &amp; Engineering</t>
  </si>
  <si>
    <t>9862000</t>
  </si>
  <si>
    <t>Gas Transm Maintenance Structures n Improvements</t>
  </si>
  <si>
    <t>9863000</t>
  </si>
  <si>
    <t>Gas Transm Maintenance Mains</t>
  </si>
  <si>
    <t>9864000</t>
  </si>
  <si>
    <t>Gas Transm Maintenance Compressor Station Equip</t>
  </si>
  <si>
    <t>9865000</t>
  </si>
  <si>
    <t>Gas Transm Maint Measuring Regulating Stn Equip</t>
  </si>
  <si>
    <t>9866000</t>
  </si>
  <si>
    <t>Gas Transm Maintenance Communication Equipment</t>
  </si>
  <si>
    <t>9867000</t>
  </si>
  <si>
    <t>Gas Transm Maintenance Other Equipment</t>
  </si>
  <si>
    <t>9870000</t>
  </si>
  <si>
    <t>Gas Distribution Oper Supervision &amp; Engineering</t>
  </si>
  <si>
    <t>9871000</t>
  </si>
  <si>
    <t>Gas Distribution Load Dispatching</t>
  </si>
  <si>
    <t>9872000</t>
  </si>
  <si>
    <t>Gas Compressor Station Labor and Expenses</t>
  </si>
  <si>
    <t>9873000</t>
  </si>
  <si>
    <t>Gas Compressor Station Fuel and Power</t>
  </si>
  <si>
    <t>9874000</t>
  </si>
  <si>
    <t>Gas Mains and Services Expenses</t>
  </si>
  <si>
    <t>9875000</t>
  </si>
  <si>
    <t>Gas Measuring &amp; Regulating Station Exp-General</t>
  </si>
  <si>
    <t>9876000</t>
  </si>
  <si>
    <t>Gas Measuring &amp; Regulating Station Exp-Industrial</t>
  </si>
  <si>
    <t>9877000</t>
  </si>
  <si>
    <t>Gas Measuring &amp; Regulating Exp-City Gate Chk Statn</t>
  </si>
  <si>
    <t>9878000</t>
  </si>
  <si>
    <t>Gas Meter and House Regulator Expenses</t>
  </si>
  <si>
    <t>9879000</t>
  </si>
  <si>
    <t>Gas Distribution Customer Installations Expenses</t>
  </si>
  <si>
    <t>9880000</t>
  </si>
  <si>
    <t>Gas Distribution Other Expenses</t>
  </si>
  <si>
    <t>9881000</t>
  </si>
  <si>
    <t>Gas Distribution Rents</t>
  </si>
  <si>
    <t>9885000</t>
  </si>
  <si>
    <t>Gas Distribution Maint Supervision &amp; Engineering</t>
  </si>
  <si>
    <t>9886000</t>
  </si>
  <si>
    <t>Gas Distrib Maintenance Structures &amp; Improvements</t>
  </si>
  <si>
    <t>9887000</t>
  </si>
  <si>
    <t>Gas Distribution Maintenance of Mains</t>
  </si>
  <si>
    <t>9888000</t>
  </si>
  <si>
    <t>Gas Distrib Maintenance Compressor Station Equip</t>
  </si>
  <si>
    <t>9889000</t>
  </si>
  <si>
    <t>Gas Distrib Maint Meas Reg Station Exp-General</t>
  </si>
  <si>
    <t>9890000</t>
  </si>
  <si>
    <t>Gas Distrib Maint Meas Reg Station Exp-Industrial</t>
  </si>
  <si>
    <t>9891000</t>
  </si>
  <si>
    <t>Gas Distrib Maint Meas Reg Exp-City Gate Chk Statn</t>
  </si>
  <si>
    <t>9892000</t>
  </si>
  <si>
    <t>Gas Distribution Maintenance of Services</t>
  </si>
  <si>
    <t>9893000</t>
  </si>
  <si>
    <t>Gas Distribution Maint Meters and House Regulators</t>
  </si>
  <si>
    <t>9894000</t>
  </si>
  <si>
    <t>Gas Distribution Maintenance of Other Equipment</t>
  </si>
  <si>
    <t>9901000</t>
  </si>
  <si>
    <t>Customer Accts Supervision</t>
  </si>
  <si>
    <t>9902000</t>
  </si>
  <si>
    <t>Customer Accts Meter Reading Expenses</t>
  </si>
  <si>
    <t>9903000</t>
  </si>
  <si>
    <t>Customer Accts Customer Records and Collection Exp</t>
  </si>
  <si>
    <t>9904000</t>
  </si>
  <si>
    <t>Customer Uncollectible Accounts</t>
  </si>
  <si>
    <t>9905000</t>
  </si>
  <si>
    <t>Miscellaneous Customer Accounts Expense</t>
  </si>
  <si>
    <t>9907000</t>
  </si>
  <si>
    <t>Customer Service Supervision</t>
  </si>
  <si>
    <t>9908000</t>
  </si>
  <si>
    <t>Customer Assistance Expenses</t>
  </si>
  <si>
    <t>9909000</t>
  </si>
  <si>
    <t>Cust Svc Informational &amp; Instructional Advertising</t>
  </si>
  <si>
    <t>9910000</t>
  </si>
  <si>
    <t>Misc Customer Service and Informational Expenses</t>
  </si>
  <si>
    <t>9911000</t>
  </si>
  <si>
    <t>Sales Exp Supervision</t>
  </si>
  <si>
    <t>9912000</t>
  </si>
  <si>
    <t>Sales Demonstrating and Selling Expenses</t>
  </si>
  <si>
    <t>9913000</t>
  </si>
  <si>
    <t>Sales Advertising Expenses</t>
  </si>
  <si>
    <t>9916000</t>
  </si>
  <si>
    <t>Miscellaneous Sales Expenses</t>
  </si>
  <si>
    <t>9920000</t>
  </si>
  <si>
    <t>Administrative and General Salaries</t>
  </si>
  <si>
    <t>9921000</t>
  </si>
  <si>
    <t>Office Supplies and Expenses</t>
  </si>
  <si>
    <t>9922000</t>
  </si>
  <si>
    <t>Administrative Expenses Transferred - Credit</t>
  </si>
  <si>
    <t>9923000</t>
  </si>
  <si>
    <t>Outside Services Employed</t>
  </si>
  <si>
    <t>9924000</t>
  </si>
  <si>
    <t>Property Insurance</t>
  </si>
  <si>
    <t>9925000</t>
  </si>
  <si>
    <t>Injuries and Damages</t>
  </si>
  <si>
    <t>9926000</t>
  </si>
  <si>
    <t>Employee Pensions and Benefits</t>
  </si>
  <si>
    <t>9927000</t>
  </si>
  <si>
    <t>Franchise Requirements</t>
  </si>
  <si>
    <t>9928000</t>
  </si>
  <si>
    <t>Regulatory Commission Expenses</t>
  </si>
  <si>
    <t>9929000</t>
  </si>
  <si>
    <t>Duplicate Charges - Credit</t>
  </si>
  <si>
    <t>9930100</t>
  </si>
  <si>
    <t>General Advertising Expenses</t>
  </si>
  <si>
    <t>9930200</t>
  </si>
  <si>
    <t>Miscellaneous General Expenses</t>
  </si>
  <si>
    <t>9931000</t>
  </si>
  <si>
    <t>Admin &amp; General Rents</t>
  </si>
  <si>
    <t>9932000</t>
  </si>
  <si>
    <t>Admin &amp; General Gas Maintenance of General Plant</t>
  </si>
  <si>
    <t>9935000</t>
  </si>
  <si>
    <t>Admin &amp; General Elec Maintenance of General Plant</t>
  </si>
  <si>
    <t>1823610</t>
  </si>
  <si>
    <t>Oth Reg Asset-FAS 109 Income Tax</t>
  </si>
  <si>
    <t>Deferred Tax Fd ITC - FAS109 Inc Tax</t>
  </si>
  <si>
    <t>Oth Reg Liab-FAS 109 Income Tax</t>
  </si>
  <si>
    <t>Defd Inc Tax Other Property - FAS109</t>
  </si>
  <si>
    <t>DIT Liab-FAS109 - Other</t>
  </si>
  <si>
    <t>146nu</t>
  </si>
  <si>
    <t>Accts Receivable-Assoc Co &amp; Others (Non Utility)</t>
  </si>
  <si>
    <t>253nu</t>
  </si>
  <si>
    <t>2530800 + 1011200  (Assign 1305) (Non Utility Lease Payment)</t>
  </si>
  <si>
    <t>236nu</t>
  </si>
  <si>
    <t>Non-Utility Taxes Included in Account 236</t>
  </si>
  <si>
    <t>Trial Balance 2024 Budget</t>
  </si>
  <si>
    <t>ACTUALS</t>
  </si>
  <si>
    <t xml:space="preserve"> DEC 2023</t>
  </si>
  <si>
    <t>JAN 2024</t>
  </si>
  <si>
    <t>FEB 2024</t>
  </si>
  <si>
    <t>MAR 2024</t>
  </si>
  <si>
    <t>APR 2024</t>
  </si>
  <si>
    <t>MAY 2024</t>
  </si>
  <si>
    <t>JUN 2024</t>
  </si>
  <si>
    <t>JUL 2024</t>
  </si>
  <si>
    <t>AUG 2024</t>
  </si>
  <si>
    <t>SEP 2024</t>
  </si>
  <si>
    <t>OCT 2024</t>
  </si>
  <si>
    <t>NOV 2024</t>
  </si>
  <si>
    <t>2024 13 MTH AVG</t>
  </si>
  <si>
    <t>Trial Balance 2023 Actuals</t>
  </si>
  <si>
    <t>ACTUAL</t>
  </si>
  <si>
    <t xml:space="preserve"> DEC 2022</t>
  </si>
  <si>
    <t>JAN 2023</t>
  </si>
  <si>
    <t>FEB 2023</t>
  </si>
  <si>
    <t>MAR 2023</t>
  </si>
  <si>
    <t>APR 2023</t>
  </si>
  <si>
    <t>MAY 2023</t>
  </si>
  <si>
    <t>JUN 2023</t>
  </si>
  <si>
    <t>JUL 2023</t>
  </si>
  <si>
    <t>AUG 2023</t>
  </si>
  <si>
    <t>SEP 2023</t>
  </si>
  <si>
    <t>OCT 2023</t>
  </si>
  <si>
    <t>NOV 2023</t>
  </si>
  <si>
    <t>DEC 2023</t>
  </si>
  <si>
    <t>2023 13 MTH AVG</t>
  </si>
  <si>
    <t>A_9101000</t>
  </si>
  <si>
    <t>A_9101100</t>
  </si>
  <si>
    <t>A_9102000</t>
  </si>
  <si>
    <t>A_9103000</t>
  </si>
  <si>
    <t>A_9103100</t>
  </si>
  <si>
    <t>A_9104000</t>
  </si>
  <si>
    <t>A_9105000</t>
  </si>
  <si>
    <t>A_9105100</t>
  </si>
  <si>
    <t>A_9106000</t>
  </si>
  <si>
    <t>A_9107000</t>
  </si>
  <si>
    <t>A_9108000</t>
  </si>
  <si>
    <t>A_9111000</t>
  </si>
  <si>
    <t>A_9114000</t>
  </si>
  <si>
    <t>A_9115000</t>
  </si>
  <si>
    <t>A_9116000</t>
  </si>
  <si>
    <t>A_9117100</t>
  </si>
  <si>
    <t>A_9117200</t>
  </si>
  <si>
    <t>A_9117300</t>
  </si>
  <si>
    <t>A_9117400</t>
  </si>
  <si>
    <t>A_9118000</t>
  </si>
  <si>
    <t>A_9119000</t>
  </si>
  <si>
    <t>A_9121000</t>
  </si>
  <si>
    <t>A_9122000</t>
  </si>
  <si>
    <t>A_9123000</t>
  </si>
  <si>
    <t>A_9123100</t>
  </si>
  <si>
    <t>A_9124000</t>
  </si>
  <si>
    <t>A_9125000</t>
  </si>
  <si>
    <t>A_9126000</t>
  </si>
  <si>
    <t>A_9127000</t>
  </si>
  <si>
    <t>A_9128000</t>
  </si>
  <si>
    <t>A_9131000</t>
  </si>
  <si>
    <t>A_9132000</t>
  </si>
  <si>
    <t>A_9133000</t>
  </si>
  <si>
    <t>A_9134000</t>
  </si>
  <si>
    <t>A_9135000</t>
  </si>
  <si>
    <t>A_9136000</t>
  </si>
  <si>
    <t>A_9141000</t>
  </si>
  <si>
    <t>A_9142000</t>
  </si>
  <si>
    <t>A_9143000</t>
  </si>
  <si>
    <t>A_9144000</t>
  </si>
  <si>
    <t>A_9145000</t>
  </si>
  <si>
    <t>A_9146000</t>
  </si>
  <si>
    <t>A_9151000</t>
  </si>
  <si>
    <t>A_9152000</t>
  </si>
  <si>
    <t>A_9153000</t>
  </si>
  <si>
    <t>A_9154000</t>
  </si>
  <si>
    <t>A_9155000</t>
  </si>
  <si>
    <t>A_9156000</t>
  </si>
  <si>
    <t>A_9158100</t>
  </si>
  <si>
    <t>A_9158200</t>
  </si>
  <si>
    <t>A_9163000</t>
  </si>
  <si>
    <t>A_9164100</t>
  </si>
  <si>
    <t>A_9164200</t>
  </si>
  <si>
    <t>A_9164300</t>
  </si>
  <si>
    <t>A_9165000</t>
  </si>
  <si>
    <t>A_9171000</t>
  </si>
  <si>
    <t>A_9172000</t>
  </si>
  <si>
    <t>A_9173000</t>
  </si>
  <si>
    <t>A_9174000</t>
  </si>
  <si>
    <t>A_9176000</t>
  </si>
  <si>
    <t>A_9181000</t>
  </si>
  <si>
    <t>A_9182100</t>
  </si>
  <si>
    <t>A_9182200</t>
  </si>
  <si>
    <t>A_9182300</t>
  </si>
  <si>
    <t>A_9183000</t>
  </si>
  <si>
    <t>A_9183100</t>
  </si>
  <si>
    <t>A_9183200</t>
  </si>
  <si>
    <t>A_9184000</t>
  </si>
  <si>
    <t>A_9184100</t>
  </si>
  <si>
    <t>A_9186000</t>
  </si>
  <si>
    <t>A_9187000</t>
  </si>
  <si>
    <t>A_9188000</t>
  </si>
  <si>
    <t>A_9189000</t>
  </si>
  <si>
    <t>A_9190000</t>
  </si>
  <si>
    <t>A_9191000</t>
  </si>
  <si>
    <t>A_9201000</t>
  </si>
  <si>
    <t>A_9207000</t>
  </si>
  <si>
    <t>A_9208000</t>
  </si>
  <si>
    <t>A_9211000</t>
  </si>
  <si>
    <t>A_9214000</t>
  </si>
  <si>
    <t>A_9215000</t>
  </si>
  <si>
    <t>A_9215100</t>
  </si>
  <si>
    <t>A_9216000</t>
  </si>
  <si>
    <t>A_9216100</t>
  </si>
  <si>
    <t>A_9219000</t>
  </si>
  <si>
    <t>A_9221000</t>
  </si>
  <si>
    <t>A_9223000</t>
  </si>
  <si>
    <t>A_9224000</t>
  </si>
  <si>
    <t>A_9225000</t>
  </si>
  <si>
    <t>A_9226000</t>
  </si>
  <si>
    <t>A_9227000</t>
  </si>
  <si>
    <t>A_9228100</t>
  </si>
  <si>
    <t>A_9228200</t>
  </si>
  <si>
    <t>A_9228300</t>
  </si>
  <si>
    <t>A_9228400</t>
  </si>
  <si>
    <t>A_9229000</t>
  </si>
  <si>
    <t>A_9230000</t>
  </si>
  <si>
    <t>A_9231000</t>
  </si>
  <si>
    <t>A_9232000</t>
  </si>
  <si>
    <t>A_9233000</t>
  </si>
  <si>
    <t>A_9234000</t>
  </si>
  <si>
    <t>A_9235000</t>
  </si>
  <si>
    <t>A_9236000</t>
  </si>
  <si>
    <t>A_9237000</t>
  </si>
  <si>
    <t>A_9238000</t>
  </si>
  <si>
    <t>A_9241000</t>
  </si>
  <si>
    <t>A_9242000</t>
  </si>
  <si>
    <t>A_9243000</t>
  </si>
  <si>
    <t>A_9245000</t>
  </si>
  <si>
    <t>A_9252000</t>
  </si>
  <si>
    <t>A_9253000</t>
  </si>
  <si>
    <t>A_9254000</t>
  </si>
  <si>
    <t>A_9255000</t>
  </si>
  <si>
    <t>A_9256000</t>
  </si>
  <si>
    <t>A_9257000</t>
  </si>
  <si>
    <t>A_9281000</t>
  </si>
  <si>
    <t>A_9282000</t>
  </si>
  <si>
    <t>A_9283000</t>
  </si>
  <si>
    <t>A_9400000</t>
  </si>
  <si>
    <t>Operating Revenues</t>
  </si>
  <si>
    <t>A_9401000</t>
  </si>
  <si>
    <t>Operation Expense</t>
  </si>
  <si>
    <t>A_9402000</t>
  </si>
  <si>
    <t>Maintenance Expense</t>
  </si>
  <si>
    <t>A_9403000</t>
  </si>
  <si>
    <t>A_9403100</t>
  </si>
  <si>
    <t>A_9404000</t>
  </si>
  <si>
    <t>A_9404100</t>
  </si>
  <si>
    <t>A_9404200</t>
  </si>
  <si>
    <t>A_9404300</t>
  </si>
  <si>
    <t>A_9405000</t>
  </si>
  <si>
    <t>A_9406000</t>
  </si>
  <si>
    <t>A_9407000</t>
  </si>
  <si>
    <t>A_9407100</t>
  </si>
  <si>
    <t>A_9407200</t>
  </si>
  <si>
    <t>A_9407300</t>
  </si>
  <si>
    <t>A_9407400</t>
  </si>
  <si>
    <t>A_9408100</t>
  </si>
  <si>
    <t>A_9408200</t>
  </si>
  <si>
    <t>A_9409100</t>
  </si>
  <si>
    <t>A_9409200</t>
  </si>
  <si>
    <t>A_9409300</t>
  </si>
  <si>
    <t>A_9410100</t>
  </si>
  <si>
    <t>A_9410200</t>
  </si>
  <si>
    <t>A_9411100</t>
  </si>
  <si>
    <t>A_9411200</t>
  </si>
  <si>
    <t>A_9411400</t>
  </si>
  <si>
    <t>A_9411500</t>
  </si>
  <si>
    <t>A_9411600</t>
  </si>
  <si>
    <t>A_9411700</t>
  </si>
  <si>
    <t>A_9411800</t>
  </si>
  <si>
    <t>A_9411900</t>
  </si>
  <si>
    <t>A_9412000</t>
  </si>
  <si>
    <t>A_9413000</t>
  </si>
  <si>
    <t>A_9414000</t>
  </si>
  <si>
    <t>A_9415000</t>
  </si>
  <si>
    <t>A_9416000</t>
  </si>
  <si>
    <t>A_9417000</t>
  </si>
  <si>
    <t>A_9417100</t>
  </si>
  <si>
    <t>A_9418000</t>
  </si>
  <si>
    <t>A_9418100</t>
  </si>
  <si>
    <t>A_9419000</t>
  </si>
  <si>
    <t>A_9419100</t>
  </si>
  <si>
    <t>A_9420000</t>
  </si>
  <si>
    <t>A_9421000</t>
  </si>
  <si>
    <t>A_9421100</t>
  </si>
  <si>
    <t>A_9421200</t>
  </si>
  <si>
    <t>A_9425000</t>
  </si>
  <si>
    <t>A_9426100</t>
  </si>
  <si>
    <t>A_9426200</t>
  </si>
  <si>
    <t>A_9426300</t>
  </si>
  <si>
    <t>A_9426400</t>
  </si>
  <si>
    <t>A_9426500</t>
  </si>
  <si>
    <t>A_9427000</t>
  </si>
  <si>
    <t>A_9428000</t>
  </si>
  <si>
    <t>A_9428100</t>
  </si>
  <si>
    <t>A_9429000</t>
  </si>
  <si>
    <t>A_9429100</t>
  </si>
  <si>
    <t>A_9430000</t>
  </si>
  <si>
    <t>A_9431000</t>
  </si>
  <si>
    <t>A_9432000</t>
  </si>
  <si>
    <t>A_9433000</t>
  </si>
  <si>
    <t>A_9434000</t>
  </si>
  <si>
    <t>A_9435000</t>
  </si>
  <si>
    <t>A_9436000</t>
  </si>
  <si>
    <t>Appropriations of Retained Earnings</t>
  </si>
  <si>
    <t>A_9437000</t>
  </si>
  <si>
    <t>Dividends Declared - Preferred Stock</t>
  </si>
  <si>
    <t>A_9438000</t>
  </si>
  <si>
    <t>A_9439000</t>
  </si>
  <si>
    <t>Adjustments to Retained Earnings</t>
  </si>
  <si>
    <t>A_9440000</t>
  </si>
  <si>
    <t>A_9442000</t>
  </si>
  <si>
    <t>A_9444000</t>
  </si>
  <si>
    <t>A_9445000</t>
  </si>
  <si>
    <t>A_9446000</t>
  </si>
  <si>
    <t>A_9447000</t>
  </si>
  <si>
    <t>A_9448000</t>
  </si>
  <si>
    <t>A_9449100</t>
  </si>
  <si>
    <t>A_9450000</t>
  </si>
  <si>
    <t>A_9451000</t>
  </si>
  <si>
    <t>A_9453000</t>
  </si>
  <si>
    <t>A_9454000</t>
  </si>
  <si>
    <t>A_9455000</t>
  </si>
  <si>
    <t>A_9456000</t>
  </si>
  <si>
    <t>A_9456100</t>
  </si>
  <si>
    <t>A_9457100</t>
  </si>
  <si>
    <t>A_9457200</t>
  </si>
  <si>
    <t>A_9458100</t>
  </si>
  <si>
    <t>A_9480000</t>
  </si>
  <si>
    <t>A_9481000</t>
  </si>
  <si>
    <t>A_9482000</t>
  </si>
  <si>
    <t>A_9483000</t>
  </si>
  <si>
    <t>A_9484000</t>
  </si>
  <si>
    <t>A_9485000</t>
  </si>
  <si>
    <t>A_9487000</t>
  </si>
  <si>
    <t>A_9488000</t>
  </si>
  <si>
    <t>A_9489100</t>
  </si>
  <si>
    <t>A_9489200</t>
  </si>
  <si>
    <t>A_9489300</t>
  </si>
  <si>
    <t>A_9489400</t>
  </si>
  <si>
    <t>A_9490000</t>
  </si>
  <si>
    <t>A_9491000</t>
  </si>
  <si>
    <t>A_9492000</t>
  </si>
  <si>
    <t>A_9493000</t>
  </si>
  <si>
    <t>A_9494000</t>
  </si>
  <si>
    <t>A_9495000</t>
  </si>
  <si>
    <t>A_9496000</t>
  </si>
  <si>
    <t>A_9500000</t>
  </si>
  <si>
    <t>A_9501000</t>
  </si>
  <si>
    <t>A_9502000</t>
  </si>
  <si>
    <t>A_9503000</t>
  </si>
  <si>
    <t>A_9504000</t>
  </si>
  <si>
    <t>A_9505000</t>
  </si>
  <si>
    <t>A_9506000</t>
  </si>
  <si>
    <t>A_9507000</t>
  </si>
  <si>
    <t>A_9509000</t>
  </si>
  <si>
    <t>A_9510000</t>
  </si>
  <si>
    <t>A_9511000</t>
  </si>
  <si>
    <t>A_9512000</t>
  </si>
  <si>
    <t>A_9513000</t>
  </si>
  <si>
    <t>A_9514000</t>
  </si>
  <si>
    <t>A_9517000</t>
  </si>
  <si>
    <t>A_9518000</t>
  </si>
  <si>
    <t>A_9519000</t>
  </si>
  <si>
    <t>A_9520000</t>
  </si>
  <si>
    <t>A_9521000</t>
  </si>
  <si>
    <t>A_9522000</t>
  </si>
  <si>
    <t>A_9523000</t>
  </si>
  <si>
    <t>A_9524000</t>
  </si>
  <si>
    <t>A_9525000</t>
  </si>
  <si>
    <t>A_9528000</t>
  </si>
  <si>
    <t>A_9529000</t>
  </si>
  <si>
    <t>A_9530000</t>
  </si>
  <si>
    <t>A_9531000</t>
  </si>
  <si>
    <t>A_9532000</t>
  </si>
  <si>
    <t>A_9535000</t>
  </si>
  <si>
    <t>A_9536000</t>
  </si>
  <si>
    <t>A_9537000</t>
  </si>
  <si>
    <t>A_9538000</t>
  </si>
  <si>
    <t>A_9539000</t>
  </si>
  <si>
    <t>A_9540000</t>
  </si>
  <si>
    <t>A_9541000</t>
  </si>
  <si>
    <t>A_9542000</t>
  </si>
  <si>
    <t>A_9543000</t>
  </si>
  <si>
    <t>A_9544000</t>
  </si>
  <si>
    <t>A_9545000</t>
  </si>
  <si>
    <t>A_9546000</t>
  </si>
  <si>
    <t>A_9547000</t>
  </si>
  <si>
    <t>A_9548000</t>
  </si>
  <si>
    <t>A_9548100</t>
  </si>
  <si>
    <t>A_9549000</t>
  </si>
  <si>
    <t>A_9550000</t>
  </si>
  <si>
    <t>A_9551000</t>
  </si>
  <si>
    <t>A_9552000</t>
  </si>
  <si>
    <t>A_9553000</t>
  </si>
  <si>
    <t>A_9553100</t>
  </si>
  <si>
    <t>A_9554000</t>
  </si>
  <si>
    <t>A_9555000</t>
  </si>
  <si>
    <t>A_9556000</t>
  </si>
  <si>
    <t>A_9557000</t>
  </si>
  <si>
    <t>A_9560000</t>
  </si>
  <si>
    <t>A_9561000</t>
  </si>
  <si>
    <t>A_9561100</t>
  </si>
  <si>
    <t>A_9561200</t>
  </si>
  <si>
    <t>A_9561300</t>
  </si>
  <si>
    <t>A_9561400</t>
  </si>
  <si>
    <t>A_9561500</t>
  </si>
  <si>
    <t>A_9561600</t>
  </si>
  <si>
    <t>A_9561700</t>
  </si>
  <si>
    <t>A_9561800</t>
  </si>
  <si>
    <t>A_9562000</t>
  </si>
  <si>
    <t>A_9563000</t>
  </si>
  <si>
    <t>A_9564000</t>
  </si>
  <si>
    <t>A_9565000</t>
  </si>
  <si>
    <t>A_9566000</t>
  </si>
  <si>
    <t>A_9567000</t>
  </si>
  <si>
    <t>A_9568000</t>
  </si>
  <si>
    <t>A_9569000</t>
  </si>
  <si>
    <t>A_9569100</t>
  </si>
  <si>
    <t>A_9569200</t>
  </si>
  <si>
    <t>A_9569300</t>
  </si>
  <si>
    <t>A_9569400</t>
  </si>
  <si>
    <t>A_9570000</t>
  </si>
  <si>
    <t>A_9571000</t>
  </si>
  <si>
    <t>A_9572000</t>
  </si>
  <si>
    <t>A_9573000</t>
  </si>
  <si>
    <t>A_9575100</t>
  </si>
  <si>
    <t>A_9575200</t>
  </si>
  <si>
    <t>A_9575300</t>
  </si>
  <si>
    <t>A_9575400</t>
  </si>
  <si>
    <t>A_9575500</t>
  </si>
  <si>
    <t>A_9575600</t>
  </si>
  <si>
    <t>A_9575700</t>
  </si>
  <si>
    <t>A_9575800</t>
  </si>
  <si>
    <t>A_9576100</t>
  </si>
  <si>
    <t>A_9576200</t>
  </si>
  <si>
    <t>A_9576300</t>
  </si>
  <si>
    <t>A_9576400</t>
  </si>
  <si>
    <t>A_9576500</t>
  </si>
  <si>
    <t>A_9580000</t>
  </si>
  <si>
    <t>A_9581000</t>
  </si>
  <si>
    <t>A_9581100</t>
  </si>
  <si>
    <t>A_9582000</t>
  </si>
  <si>
    <t>A_9583000</t>
  </si>
  <si>
    <t>A_9584000</t>
  </si>
  <si>
    <t>A_9585000</t>
  </si>
  <si>
    <t>A_9586000</t>
  </si>
  <si>
    <t>A_9587000</t>
  </si>
  <si>
    <t>A_9588000</t>
  </si>
  <si>
    <t>A_9589000</t>
  </si>
  <si>
    <t>A_9590000</t>
  </si>
  <si>
    <t>A_9591000</t>
  </si>
  <si>
    <t>A_9592000</t>
  </si>
  <si>
    <t>A_9592100</t>
  </si>
  <si>
    <t>A_9593000</t>
  </si>
  <si>
    <t>A_9594000</t>
  </si>
  <si>
    <t>A_9595000</t>
  </si>
  <si>
    <t>A_9596000</t>
  </si>
  <si>
    <t>A_9597000</t>
  </si>
  <si>
    <t>A_9598000</t>
  </si>
  <si>
    <t>A_9800000</t>
  </si>
  <si>
    <t>A_9800100</t>
  </si>
  <si>
    <t>A_9801000</t>
  </si>
  <si>
    <t>A_9802000</t>
  </si>
  <si>
    <t>A_9803000</t>
  </si>
  <si>
    <t>A_9804000</t>
  </si>
  <si>
    <t>A_9804100</t>
  </si>
  <si>
    <t>A_9805000</t>
  </si>
  <si>
    <t>A_9805100</t>
  </si>
  <si>
    <t>A_9806000</t>
  </si>
  <si>
    <t>A_9807100</t>
  </si>
  <si>
    <t>A_9807200</t>
  </si>
  <si>
    <t>A_9807300</t>
  </si>
  <si>
    <t>A_9807400</t>
  </si>
  <si>
    <t>A_9807500</t>
  </si>
  <si>
    <t>A_9808100</t>
  </si>
  <si>
    <t>A_9808200</t>
  </si>
  <si>
    <t>A_9809100</t>
  </si>
  <si>
    <t>A_9809200</t>
  </si>
  <si>
    <t>A_9810000</t>
  </si>
  <si>
    <t>A_9811000</t>
  </si>
  <si>
    <t>A_9812000</t>
  </si>
  <si>
    <t>A_9813000</t>
  </si>
  <si>
    <t>A_9826000</t>
  </si>
  <si>
    <t>A_9850000</t>
  </si>
  <si>
    <t>A_9851000</t>
  </si>
  <si>
    <t>A_9852000</t>
  </si>
  <si>
    <t>A_9853000</t>
  </si>
  <si>
    <t>A_9854000</t>
  </si>
  <si>
    <t>A_9855000</t>
  </si>
  <si>
    <t>A_9856000</t>
  </si>
  <si>
    <t>A_9857000</t>
  </si>
  <si>
    <t>A_9858000</t>
  </si>
  <si>
    <t>A_9859000</t>
  </si>
  <si>
    <t>A_9860000</t>
  </si>
  <si>
    <t>A_9861000</t>
  </si>
  <si>
    <t>A_9862000</t>
  </si>
  <si>
    <t>A_9863000</t>
  </si>
  <si>
    <t>A_9864000</t>
  </si>
  <si>
    <t>A_9865000</t>
  </si>
  <si>
    <t>A_9866000</t>
  </si>
  <si>
    <t>A_9867000</t>
  </si>
  <si>
    <t>A_9870000</t>
  </si>
  <si>
    <t>A_9871000</t>
  </si>
  <si>
    <t>A_9872000</t>
  </si>
  <si>
    <t>A_9873000</t>
  </si>
  <si>
    <t>A_9874000</t>
  </si>
  <si>
    <t>A_9875000</t>
  </si>
  <si>
    <t>A_9876000</t>
  </si>
  <si>
    <t>A_9877000</t>
  </si>
  <si>
    <t>A_9878000</t>
  </si>
  <si>
    <t>A_9879000</t>
  </si>
  <si>
    <t>A_9880000</t>
  </si>
  <si>
    <t>A_9881000</t>
  </si>
  <si>
    <t>A_9885000</t>
  </si>
  <si>
    <t>A_9886000</t>
  </si>
  <si>
    <t>A_9887000</t>
  </si>
  <si>
    <t>A_9888000</t>
  </si>
  <si>
    <t>A_9889000</t>
  </si>
  <si>
    <t>A_9890000</t>
  </si>
  <si>
    <t>A_9891000</t>
  </si>
  <si>
    <t>A_9892000</t>
  </si>
  <si>
    <t>A_9893000</t>
  </si>
  <si>
    <t>A_9894000</t>
  </si>
  <si>
    <t>A_9901000</t>
  </si>
  <si>
    <t>A_9902000</t>
  </si>
  <si>
    <t>A_9903000</t>
  </si>
  <si>
    <t>A_9904000</t>
  </si>
  <si>
    <t>A_9905000</t>
  </si>
  <si>
    <t>A_9907000</t>
  </si>
  <si>
    <t>A_9908000</t>
  </si>
  <si>
    <t>A_9909000</t>
  </si>
  <si>
    <t>A_9910000</t>
  </si>
  <si>
    <t>A_9911000</t>
  </si>
  <si>
    <t>A_9912000</t>
  </si>
  <si>
    <t>A_9913000</t>
  </si>
  <si>
    <t>A_9916000</t>
  </si>
  <si>
    <t>A_9920000</t>
  </si>
  <si>
    <t>A_9921000</t>
  </si>
  <si>
    <t>A_9922000</t>
  </si>
  <si>
    <t>A_9923000</t>
  </si>
  <si>
    <t>A_9924000</t>
  </si>
  <si>
    <t>A_9925000</t>
  </si>
  <si>
    <t>A_9926000</t>
  </si>
  <si>
    <t>A_9927000</t>
  </si>
  <si>
    <t>A_9928000</t>
  </si>
  <si>
    <t>A_9929000</t>
  </si>
  <si>
    <t>A_9930100</t>
  </si>
  <si>
    <t>A_9930200</t>
  </si>
  <si>
    <t>A_9931000</t>
  </si>
  <si>
    <t>A_9932000</t>
  </si>
  <si>
    <t>A_9935000</t>
  </si>
  <si>
    <t>A_9999996</t>
  </si>
  <si>
    <t>FERC Intercompany Receivable</t>
  </si>
  <si>
    <t>A_9999997</t>
  </si>
  <si>
    <t>FERC Intercompany Payable</t>
  </si>
  <si>
    <t>A_9999998</t>
  </si>
  <si>
    <t>FERC Balance Sheet Offset Account</t>
  </si>
  <si>
    <t>A_9999999</t>
  </si>
  <si>
    <t>FERC P&amp;L Offset Account</t>
  </si>
  <si>
    <t>1900610</t>
  </si>
  <si>
    <t>2540610</t>
  </si>
  <si>
    <t>2820610</t>
  </si>
  <si>
    <t>2830610</t>
  </si>
  <si>
    <t>Trial Balance 2022 Actuals</t>
  </si>
  <si>
    <t xml:space="preserve"> DEC 2021</t>
  </si>
  <si>
    <t>JAN 2022</t>
  </si>
  <si>
    <t>FEB 2022</t>
  </si>
  <si>
    <t>MAR 2022</t>
  </si>
  <si>
    <t>APR 2022</t>
  </si>
  <si>
    <t>MAY 2022</t>
  </si>
  <si>
    <t>JUN 2022</t>
  </si>
  <si>
    <t>JUL 2022</t>
  </si>
  <si>
    <t>AUG 2022</t>
  </si>
  <si>
    <t>SEP 2022</t>
  </si>
  <si>
    <t>OCT 2022</t>
  </si>
  <si>
    <t>NOV 2022</t>
  </si>
  <si>
    <t>DEC 2022</t>
  </si>
  <si>
    <t>2022 13 MTH AVG</t>
  </si>
  <si>
    <t xml:space="preserve">TAMPA ELECTRIC COMPANY                  </t>
  </si>
  <si>
    <t>SCHEDULE 2</t>
  </si>
  <si>
    <t xml:space="preserve">AVERAGE RATE OF RETURN                  </t>
  </si>
  <si>
    <t>PAGE 1 OF 3</t>
  </si>
  <si>
    <t>RATE BASE</t>
  </si>
  <si>
    <t>Construction</t>
  </si>
  <si>
    <t>Plant In</t>
  </si>
  <si>
    <t>Depreciation &amp;</t>
  </si>
  <si>
    <t>Property Held</t>
  </si>
  <si>
    <t xml:space="preserve">Work In </t>
  </si>
  <si>
    <t>Nuclear Fuel</t>
  </si>
  <si>
    <t xml:space="preserve">Working </t>
  </si>
  <si>
    <t>Amortization</t>
  </si>
  <si>
    <t>For Future Use</t>
  </si>
  <si>
    <t>Progress</t>
  </si>
  <si>
    <t>Utility Plant</t>
  </si>
  <si>
    <t>System Per Books</t>
  </si>
  <si>
    <t>Jurisdictional Per Books</t>
  </si>
  <si>
    <t>FPSC Adjustments</t>
  </si>
  <si>
    <t xml:space="preserve">Fuel  </t>
  </si>
  <si>
    <t>Acquisition Book Values</t>
  </si>
  <si>
    <t>Acquisition Accumulated Amortizations</t>
  </si>
  <si>
    <t xml:space="preserve">Acquisition Adjustments </t>
  </si>
  <si>
    <t>Total FPSC Adjustments</t>
  </si>
  <si>
    <t>FPSC Adjusted</t>
  </si>
  <si>
    <t>Pro Forma Revenue Increase and</t>
  </si>
  <si>
    <t xml:space="preserve"> Annualization Adjustments:</t>
  </si>
  <si>
    <t>Total Pro Forma Adjustments</t>
  </si>
  <si>
    <t>Pro Forma Adjusted</t>
  </si>
  <si>
    <t>The calculations on this schedule were made in direct response to and according to methodology prescribed in Order No. PSC-93-0165-FOF-EI, Order No. PSC-09-0283-FOF-EI, Order No. PSC-09-0571-FOF-EI,</t>
  </si>
  <si>
    <t>Order No. PSC-09-0283-FOF-EI, Order No. PSC-09-0571-FOF-EI, Order No. PSC-13-0443-FOF-EI, Order PSC-17-0456-S-EI, and PSC-2021-0423-S-EI  by the  Florida Public Service Commission and for that reason only.</t>
  </si>
  <si>
    <t xml:space="preserve"> Tampa Electric Company takes the position that certain portions of these prescribed calculations may not present fairly the Company's current financial status and that they should not be used for that purpose.</t>
  </si>
  <si>
    <t>SCHEDULE 3</t>
  </si>
  <si>
    <t xml:space="preserve">YEAR END RATE OF RETURN                  </t>
  </si>
  <si>
    <t xml:space="preserve">Fuel </t>
  </si>
  <si>
    <t>YEAR 2022A (PRIOR HISTORICAL)</t>
  </si>
  <si>
    <t>Supporting Sch B-4</t>
  </si>
  <si>
    <t xml:space="preserve">Projected Test Year Ended </t>
  </si>
  <si>
    <t xml:space="preserve">Projected Prior Year Ended </t>
  </si>
  <si>
    <t xml:space="preserve">Historical Prior Year Ended </t>
  </si>
  <si>
    <t>SR Separation Factor Inputs - 2023</t>
  </si>
  <si>
    <t>Rate Base Treatment Average</t>
  </si>
  <si>
    <t>Separation Factors</t>
  </si>
  <si>
    <t>Jurisdictional Factor</t>
  </si>
  <si>
    <t>Wholesale Factor</t>
  </si>
  <si>
    <t>Power Transactions</t>
  </si>
  <si>
    <t>O&amp;M Expense</t>
  </si>
  <si>
    <t>Taxes Other Than Income</t>
  </si>
  <si>
    <t>Income Tax (Deferred and ITC only)</t>
  </si>
  <si>
    <t>Other Expenses</t>
  </si>
  <si>
    <t>Rate Base:</t>
  </si>
  <si>
    <t>Plant in Service</t>
  </si>
  <si>
    <t>Working Capital</t>
  </si>
  <si>
    <t>Depreciation Reserve</t>
  </si>
  <si>
    <t>Book Financial Equity Ratio</t>
  </si>
  <si>
    <t>SR Separation Factor Inputs - 2024B 12+0 Basis</t>
  </si>
  <si>
    <t>SR Separation Factor Inputs - 2025B 12+0 Basis</t>
  </si>
  <si>
    <t>Beginning Balance</t>
  </si>
  <si>
    <t xml:space="preserve">Reverse of </t>
  </si>
  <si>
    <t>8000300/8000400</t>
  </si>
  <si>
    <t>Federal</t>
  </si>
  <si>
    <t>State</t>
  </si>
  <si>
    <t>Ending Balance</t>
  </si>
  <si>
    <t>2-Month Average</t>
  </si>
  <si>
    <t>13-Month Average</t>
  </si>
  <si>
    <t>Payments</t>
  </si>
  <si>
    <t>FORMULAS</t>
  </si>
  <si>
    <t>8000300</t>
  </si>
  <si>
    <t>8000400</t>
  </si>
  <si>
    <t>6900065</t>
  </si>
  <si>
    <t>UPDATE THESE CELLS EACH MONTH FOR INPUTS TAB</t>
  </si>
  <si>
    <t xml:space="preserve">INPUTS </t>
  </si>
  <si>
    <t>6900065 13 Month Average</t>
  </si>
  <si>
    <t>6900065 2 Month Average</t>
  </si>
  <si>
    <t>6900065 Current Month Balance</t>
  </si>
  <si>
    <t>8000300+8000400 Current Balance</t>
  </si>
  <si>
    <t>8000300+8000400 2 Month Average</t>
  </si>
  <si>
    <t>8000300+8000400 13 Month Average</t>
  </si>
  <si>
    <t>PRE FAS 158:</t>
  </si>
  <si>
    <t>Post FAS 158</t>
  </si>
  <si>
    <t>BUDGET</t>
  </si>
  <si>
    <t>January</t>
  </si>
  <si>
    <t>February</t>
  </si>
  <si>
    <t>March</t>
  </si>
  <si>
    <t>April</t>
  </si>
  <si>
    <t>June</t>
  </si>
  <si>
    <t>July</t>
  </si>
  <si>
    <t>August</t>
  </si>
  <si>
    <t>September</t>
  </si>
  <si>
    <t>October</t>
  </si>
  <si>
    <t>November</t>
  </si>
  <si>
    <t>December</t>
  </si>
  <si>
    <t xml:space="preserve">2022 INPUTS </t>
  </si>
  <si>
    <t>DOCKET No. 20240026-EI</t>
  </si>
  <si>
    <t>Witness: C. Aldazabal / J. Chronister /</t>
  </si>
  <si>
    <t xml:space="preserve">                 R. Latta / C. Whitworth /</t>
  </si>
  <si>
    <t xml:space="preserve">                 J. Williams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</si>
</sst>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2">
    <numFmt numFmtId="5" formatCode="&quot;$&quot;#,##0_);\(&quot;$&quot;#,##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 #,##0.000000_);_(* \(#,##0.000000\);_(* &quot;-&quot;??_);_(@_)"/>
    <numFmt numFmtId="167" formatCode="_(* #,##0.0000000_);_(* \(#,##0.0000000\);_(* &quot;-&quot;??_);_(@_)"/>
    <numFmt numFmtId="168" formatCode="_(* #,##0.000000000_);_(* \(#,##0.000000000\);_(* &quot;-&quot;??_);_(@_)"/>
    <numFmt numFmtId="169" formatCode="mmmm\ yyyy"/>
    <numFmt numFmtId="170" formatCode="_(&quot;$&quot;* #,##0.0_);_(&quot;$&quot;* \(#,##0.0\);_(&quot;$&quot;* &quot;-&quot;??_);_(@_)"/>
    <numFmt numFmtId="171" formatCode="0_)"/>
    <numFmt numFmtId="172" formatCode="[$-409]mmm\-yy;@"/>
    <numFmt numFmtId="173" formatCode="\ \ @\ \ "/>
    <numFmt numFmtId="174" formatCode="0.000_)"/>
    <numFmt numFmtId="175" formatCode="_(#,##0.0&quot;%&quot;_);\(#,##0.0&quot;%&quot;\);_(0.0&quot;%&quot;_)"/>
    <numFmt numFmtId="176" formatCode="&quot;$&quot;#,##0_);&quot;$&quot;\(#,##0\);&quot;$&quot;0_);@"/>
    <numFmt numFmtId="177" formatCode="&quot;$&quot;#,##0.00_);&quot;$&quot;\(#,##0.00\);&quot;$&quot;0.00_);@"/>
    <numFmt numFmtId="178" formatCode="0.0;\(0.0\);0.0"/>
    <numFmt numFmtId="179" formatCode="0.0%"/>
    <numFmt numFmtId="180" formatCode="##0.00"/>
    <numFmt numFmtId="181" formatCode="#,##0.0&quot;%&quot;_);\(#,##0.0&quot;%&quot;\);0.0&quot;%&quot;_)"/>
    <numFmt numFmtId="182" formatCode="_(#,##0.00\ \x_);\(#,##0.00\ \x\);0.00\ \x_)"/>
    <numFmt numFmtId="183" formatCode="0.0000000000"/>
    <numFmt numFmtId="184" formatCode="_(#,##0%_);\(#,##0%\);_(0%_)"/>
    <numFmt numFmtId="185" formatCode="_(#,##0.00%_);\(#,##0.00%\);_(0.00%_)"/>
    <numFmt numFmtId="186" formatCode="_(#,##0.0%_);\(#,##0.0%\);_(0.0%_)"/>
    <numFmt numFmtId="187" formatCode="#,##0.0%_);\(#,##0.0%\);0.0%_)"/>
    <numFmt numFmtId="188" formatCode="#,##0_);\(#,##0\);0_)"/>
    <numFmt numFmtId="189" formatCode="#,##0.0_);\(#,##0.0\);0.0_)"/>
    <numFmt numFmtId="190" formatCode="#,##0.00_);\(#,##0.00\);0.00_)"/>
    <numFmt numFmtId="191" formatCode="#,##0.000_);\(#,##0.000\);0.000_)"/>
    <numFmt numFmtId="192" formatCode="#,##0.0000_);\(#,##0.0000\);0.0000_)"/>
    <numFmt numFmtId="193" formatCode="#,##0_);\(#,##0\);0_);@"/>
    <numFmt numFmtId="194" formatCode="* _(#,##0.0_);* \(#,##0.0\);* _(0.0_);* @_)"/>
    <numFmt numFmtId="195" formatCode="#,##0.000"/>
    <numFmt numFmtId="196" formatCode="#,##0.000_);\(#,##0.000\)"/>
    <numFmt numFmtId="197" formatCode="0.000000"/>
    <numFmt numFmtId="198" formatCode="_(* #,##0.00000_);_(* \(#,##0.00000\);_(* &quot;-&quot;??_);_(@_)"/>
    <numFmt numFmtId="199" formatCode="0.0000"/>
    <numFmt numFmtId="200" formatCode="0.00000"/>
    <numFmt numFmtId="201" formatCode="0.000000000"/>
  </numFmts>
  <fonts count="140">
    <font>
      <sz val="11"/>
      <color theme="1"/>
      <name val="Calibri"/>
      <family val="2"/>
      <scheme val="minor"/>
    </font>
    <font>
      <sz val="11"/>
      <color theme="1"/>
      <name val="Calibri"/>
      <family val="2"/>
      <scheme val="minor"/>
    </font>
    <font>
      <sz val="10"/>
      <color theme="1"/>
      <name val="Arial"/>
      <family val="2"/>
    </font>
    <font>
      <sz val="8"/>
      <color theme="1"/>
      <name val="Arial"/>
      <family val="2"/>
    </font>
    <font>
      <sz val="10"/>
      <name val="Arial"/>
      <family val="2"/>
    </font>
    <font>
      <b/>
      <sz val="8"/>
      <color theme="1"/>
      <name val="Arial"/>
      <family val="2"/>
    </font>
    <font>
      <sz val="10"/>
      <color indexed="8"/>
      <name val="Arial"/>
      <family val="2"/>
    </font>
    <font>
      <u val="singleAccounting"/>
      <sz val="8"/>
      <color theme="1"/>
      <name val="Arial"/>
      <family val="2"/>
    </font>
    <font>
      <b/>
      <sz val="8"/>
      <color rgb="FFFF0000"/>
      <name val="Arial"/>
      <family val="2"/>
    </font>
    <font>
      <b/>
      <sz val="8"/>
      <color rgb="FF0000FF"/>
      <name val="Arial"/>
      <family val="2"/>
    </font>
    <font>
      <sz val="8"/>
      <color rgb="FF0000FF"/>
      <name val="Arial"/>
      <family val="2"/>
    </font>
    <font>
      <b/>
      <sz val="10"/>
      <color rgb="FF0000FF"/>
      <name val="Arial"/>
      <family val="2"/>
    </font>
    <font>
      <sz val="8"/>
      <color rgb="FFFF0000"/>
      <name val="Arial"/>
      <family val="2"/>
    </font>
    <font>
      <b/>
      <sz val="12"/>
      <name val="Arial"/>
      <family val="2"/>
    </font>
    <font>
      <sz val="11"/>
      <name val="Calibri"/>
      <family val="2"/>
      <scheme val="minor"/>
    </font>
    <font>
      <sz val="12"/>
      <name val="Arial"/>
      <family val="2"/>
    </font>
    <font>
      <sz val="11"/>
      <name val="Arial"/>
      <family val="2"/>
    </font>
    <font>
      <b/>
      <sz val="10"/>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8"/>
      <name val="Courier New"/>
      <family val="3"/>
    </font>
    <font>
      <u/>
      <sz val="8"/>
      <color indexed="12"/>
      <name val="Courier New"/>
      <family val="3"/>
    </font>
    <font>
      <sz val="12"/>
      <name val="Helv"/>
    </font>
    <font>
      <sz val="11"/>
      <color indexed="8"/>
      <name val="Calibri"/>
      <family val="2"/>
    </font>
    <font>
      <sz val="10"/>
      <name val="Courier"/>
      <family val="3"/>
    </font>
    <font>
      <sz val="11"/>
      <color indexed="8"/>
      <name val="Arial"/>
      <family val="2"/>
    </font>
    <font>
      <u/>
      <sz val="10"/>
      <name val="Arial"/>
      <family val="2"/>
    </font>
    <font>
      <sz val="11"/>
      <color theme="1"/>
      <name val="Calibri"/>
      <family val="2"/>
    </font>
    <font>
      <b/>
      <sz val="14"/>
      <color theme="1" tint="4.9989318521683403E-2"/>
      <name val="Calibri"/>
      <family val="2"/>
      <scheme val="minor"/>
    </font>
    <font>
      <sz val="11"/>
      <color indexed="8"/>
      <name val="Calibri"/>
      <family val="2"/>
      <scheme val="minor"/>
    </font>
    <font>
      <sz val="8"/>
      <name val="Tahoma"/>
      <family val="2"/>
    </font>
    <font>
      <sz val="8"/>
      <name val="Verdana"/>
      <family val="2"/>
    </font>
    <font>
      <sz val="12"/>
      <color indexed="8"/>
      <name val="Arial"/>
      <family val="2"/>
    </font>
    <font>
      <b/>
      <sz val="14"/>
      <color indexed="9"/>
      <name val="Arial"/>
      <family val="2"/>
    </font>
    <font>
      <sz val="11"/>
      <name val="Times"/>
      <family val="1"/>
    </font>
    <font>
      <sz val="14"/>
      <color rgb="FF000000"/>
      <name val="Arial"/>
      <family val="2"/>
    </font>
    <font>
      <sz val="9"/>
      <name val="Times New Roman"/>
      <family val="1"/>
    </font>
    <font>
      <sz val="10"/>
      <name val="Times New Roman"/>
      <family val="1"/>
    </font>
    <font>
      <b/>
      <i/>
      <sz val="12"/>
      <color indexed="39"/>
      <name val="Arial"/>
      <family val="2"/>
    </font>
    <font>
      <b/>
      <sz val="8"/>
      <color indexed="8"/>
      <name val="Tahoma"/>
      <family val="2"/>
    </font>
    <font>
      <b/>
      <u/>
      <sz val="8"/>
      <color indexed="8"/>
      <name val="Tahoma"/>
      <family val="2"/>
    </font>
    <font>
      <sz val="16"/>
      <color indexed="8"/>
      <name val="Calibri"/>
      <family val="2"/>
      <scheme val="minor"/>
    </font>
    <font>
      <b/>
      <sz val="20"/>
      <color rgb="FFFF0000"/>
      <name val="Calibri"/>
      <family val="2"/>
      <scheme val="minor"/>
    </font>
    <font>
      <sz val="11"/>
      <color indexed="18"/>
      <name val="Arial"/>
      <family val="2"/>
    </font>
    <font>
      <sz val="10"/>
      <color indexed="17"/>
      <name val="Arial"/>
      <family val="2"/>
    </font>
    <font>
      <b/>
      <sz val="9"/>
      <name val="Times New Roman"/>
      <family val="1"/>
    </font>
    <font>
      <b/>
      <sz val="10"/>
      <color indexed="17"/>
      <name val="Arial"/>
      <family val="2"/>
    </font>
    <font>
      <b/>
      <sz val="8"/>
      <color indexed="23"/>
      <name val="Verdana"/>
      <family val="2"/>
    </font>
    <font>
      <sz val="10"/>
      <name val="Arial Narrow"/>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24"/>
      <name val="Arial"/>
      <family val="2"/>
    </font>
    <font>
      <u val="doubleAccounting"/>
      <sz val="9"/>
      <name val="Times New Roman"/>
      <family val="1"/>
    </font>
    <font>
      <u val="singleAccounting"/>
      <sz val="9"/>
      <name val="Times New Roman"/>
      <family val="1"/>
    </font>
    <font>
      <sz val="16"/>
      <color indexed="9"/>
      <name val="Tahoma"/>
      <family val="2"/>
    </font>
    <font>
      <b/>
      <sz val="11"/>
      <color rgb="FFFFFFFF"/>
      <name val="Calibri"/>
      <family val="2"/>
      <scheme val="minor"/>
    </font>
    <font>
      <sz val="10"/>
      <name val="MS Sans Serif"/>
      <family val="2"/>
    </font>
    <font>
      <b/>
      <sz val="20"/>
      <name val="Calibri"/>
      <family val="2"/>
    </font>
    <font>
      <b/>
      <sz val="16"/>
      <color indexed="8"/>
      <name val="Calibri"/>
      <family val="2"/>
      <scheme val="minor"/>
    </font>
    <font>
      <sz val="14"/>
      <color indexed="8"/>
      <name val="Calibri"/>
      <family val="2"/>
      <scheme val="minor"/>
    </font>
    <font>
      <sz val="12"/>
      <name val="Arial MT"/>
    </font>
    <font>
      <b/>
      <sz val="11"/>
      <color indexed="8"/>
      <name val="Calibri"/>
      <family val="2"/>
    </font>
    <font>
      <sz val="10"/>
      <color indexed="8"/>
      <name val="Times New Roman"/>
      <family val="1"/>
    </font>
    <font>
      <b/>
      <sz val="10"/>
      <color indexed="8"/>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8"/>
      <name val="Arial"/>
      <family val="2"/>
    </font>
    <font>
      <b/>
      <sz val="18"/>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8"/>
      <color theme="3"/>
      <name val="Calibri Light"/>
      <family val="2"/>
      <scheme val="major"/>
    </font>
    <font>
      <sz val="11"/>
      <color rgb="FF9C6500"/>
      <name val="Calibri"/>
      <family val="2"/>
      <scheme val="minor"/>
    </font>
    <font>
      <sz val="12"/>
      <name val="Arial Narrow"/>
      <family val="2"/>
    </font>
    <font>
      <u/>
      <sz val="12"/>
      <color theme="10"/>
      <name val="Arial"/>
      <family val="2"/>
    </font>
    <font>
      <b/>
      <sz val="14"/>
      <color theme="1"/>
      <name val="Calibri"/>
      <family val="2"/>
      <scheme val="minor"/>
    </font>
    <font>
      <sz val="9"/>
      <color indexed="81"/>
      <name val="Tahoma"/>
      <family val="2"/>
    </font>
    <font>
      <b/>
      <sz val="9"/>
      <color indexed="81"/>
      <name val="Tahoma"/>
      <family val="2"/>
    </font>
    <font>
      <b/>
      <sz val="10"/>
      <color rgb="FFFF0000"/>
      <name val="Arial"/>
      <family val="2"/>
    </font>
    <font>
      <sz val="10"/>
      <color rgb="FFFF0000"/>
      <name val="Arial"/>
      <family val="2"/>
    </font>
    <font>
      <sz val="9"/>
      <color theme="1"/>
      <name val="Arial Black"/>
      <family val="2"/>
    </font>
    <font>
      <sz val="9"/>
      <color theme="0"/>
      <name val="Arial Black"/>
      <family val="2"/>
    </font>
    <font>
      <sz val="9"/>
      <color theme="1"/>
      <name val="Arial"/>
      <family val="2"/>
    </font>
    <font>
      <sz val="9"/>
      <color theme="1"/>
      <name val="Calibri"/>
      <family val="2"/>
      <scheme val="minor"/>
    </font>
    <font>
      <sz val="11"/>
      <color rgb="FF0000FF"/>
      <name val="Calibri"/>
      <family val="2"/>
      <scheme val="minor"/>
    </font>
    <font>
      <sz val="11"/>
      <color rgb="FF000000"/>
      <name val="Calibri"/>
      <family val="2"/>
      <scheme val="minor"/>
    </font>
    <font>
      <b/>
      <sz val="11"/>
      <color rgb="FFFF0000"/>
      <name val="Calibri"/>
      <family val="2"/>
      <scheme val="minor"/>
    </font>
    <font>
      <sz val="8"/>
      <color indexed="8"/>
      <name val="Arial"/>
      <family val="2"/>
    </font>
    <font>
      <sz val="8"/>
      <color theme="4" tint="-0.249977111117893"/>
      <name val="Arial"/>
      <family val="2"/>
    </font>
    <font>
      <b/>
      <sz val="8"/>
      <color indexed="10"/>
      <name val="Arial"/>
      <family val="2"/>
    </font>
    <font>
      <sz val="8"/>
      <color rgb="FF000000"/>
      <name val="Arial"/>
      <family val="2"/>
    </font>
    <font>
      <sz val="10"/>
      <color rgb="FF000000"/>
      <name val="Arial"/>
      <family val="2"/>
    </font>
    <font>
      <sz val="8"/>
      <name val="Calibri"/>
      <family val="2"/>
      <scheme val="minor"/>
    </font>
    <font>
      <b/>
      <sz val="10"/>
      <color rgb="FF000000"/>
      <name val="Arial"/>
      <family val="2"/>
    </font>
    <font>
      <sz val="10"/>
      <color theme="1"/>
      <name val="Calibri"/>
      <family val="2"/>
      <scheme val="minor"/>
    </font>
    <font>
      <sz val="11"/>
      <color theme="9"/>
      <name val="Calibri"/>
      <family val="2"/>
      <scheme val="minor"/>
    </font>
    <font>
      <sz val="8"/>
      <color theme="4"/>
      <name val="Arial"/>
      <family val="2"/>
    </font>
    <font>
      <sz val="10"/>
      <name val="Calibri"/>
      <family val="2"/>
      <scheme val="minor"/>
    </font>
    <font>
      <b/>
      <sz val="10"/>
      <color rgb="FFFFFFFF"/>
      <name val="Arial"/>
      <family val="2"/>
    </font>
    <font>
      <b/>
      <sz val="10"/>
      <name val="Arial"/>
      <family val="2"/>
    </font>
    <font>
      <sz val="10"/>
      <color rgb="FF0000FF"/>
      <name val="Arial"/>
      <family val="2"/>
    </font>
    <font>
      <b/>
      <sz val="14"/>
      <color rgb="FF0000FF"/>
      <name val="Calibri"/>
      <family val="2"/>
      <scheme val="minor"/>
    </font>
    <font>
      <b/>
      <sz val="12"/>
      <name val="Calibri"/>
      <family val="2"/>
      <scheme val="minor"/>
    </font>
    <font>
      <b/>
      <sz val="10"/>
      <color rgb="FF0000FF"/>
      <name val="Calibri"/>
      <family val="2"/>
      <scheme val="minor"/>
    </font>
    <font>
      <b/>
      <sz val="10"/>
      <color rgb="FF000000"/>
      <name val="Calibri"/>
      <family val="2"/>
      <scheme val="minor"/>
    </font>
    <font>
      <b/>
      <sz val="10"/>
      <name val="Calibri"/>
      <family val="2"/>
      <scheme val="minor"/>
    </font>
    <font>
      <b/>
      <sz val="10"/>
      <color rgb="FFFF0000"/>
      <name val="Calibri"/>
      <family val="2"/>
      <scheme val="minor"/>
    </font>
    <font>
      <sz val="10"/>
      <color rgb="FF0000FF"/>
      <name val="Calibri"/>
      <family val="2"/>
      <scheme val="minor"/>
    </font>
    <font>
      <b/>
      <sz val="12"/>
      <color rgb="FF0000FF"/>
      <name val="Arial"/>
      <family val="2"/>
    </font>
    <font>
      <b/>
      <sz val="9"/>
      <color rgb="FFFF0000"/>
      <name val="Arial"/>
      <family val="2"/>
    </font>
    <font>
      <sz val="9"/>
      <name val="Arial"/>
      <family val="2"/>
    </font>
    <font>
      <b/>
      <sz val="9"/>
      <color rgb="FFFFFFFF"/>
      <name val="Arial"/>
      <family val="2"/>
    </font>
    <font>
      <b/>
      <sz val="8"/>
      <name val="Arial"/>
      <family val="2"/>
    </font>
  </fonts>
  <fills count="92">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indexed="9"/>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55"/>
        <bgColor indexed="64"/>
      </patternFill>
    </fill>
    <fill>
      <patternFill patternType="solid">
        <fgColor rgb="FFF6F6F6"/>
        <bgColor indexed="64"/>
      </patternFill>
    </fill>
    <fill>
      <patternFill patternType="solid">
        <fgColor rgb="FF4F81BD"/>
      </patternFill>
    </fill>
    <fill>
      <patternFill patternType="solid">
        <fgColor indexed="26"/>
        <bgColor indexed="64"/>
      </patternFill>
    </fill>
    <fill>
      <patternFill patternType="solid">
        <fgColor indexed="13"/>
        <bgColor indexed="64"/>
      </patternFill>
    </fill>
    <fill>
      <patternFill patternType="solid">
        <fgColor rgb="FFFFFFFF"/>
        <bgColor rgb="FF000000"/>
      </patternFill>
    </fill>
    <fill>
      <patternFill patternType="solid">
        <fgColor indexed="34"/>
        <bgColor indexed="13"/>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bgColor indexed="64"/>
      </patternFill>
    </fill>
    <fill>
      <patternFill patternType="solid">
        <fgColor theme="2" tint="-0.749992370372631"/>
        <bgColor indexed="64"/>
      </patternFill>
    </fill>
    <fill>
      <patternFill patternType="solid">
        <fgColor rgb="FF00FF00"/>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FFC000"/>
        <bgColor indexed="64"/>
      </patternFill>
    </fill>
    <fill>
      <patternFill patternType="solid">
        <fgColor rgb="FF99FF33"/>
        <bgColor indexed="64"/>
      </patternFill>
    </fill>
    <fill>
      <patternFill patternType="solid">
        <fgColor theme="8" tint="0.39997558519241921"/>
        <bgColor indexed="64"/>
      </patternFill>
    </fill>
    <fill>
      <patternFill patternType="solid">
        <fgColor theme="1" tint="0.499984740745262"/>
        <bgColor indexed="64"/>
      </patternFill>
    </fill>
    <fill>
      <patternFill patternType="solid">
        <fgColor rgb="FFFFFFCC"/>
        <bgColor rgb="FF000000"/>
      </patternFill>
    </fill>
    <fill>
      <patternFill patternType="solid">
        <fgColor theme="7" tint="0.79998168889431442"/>
        <bgColor indexed="64"/>
      </patternFill>
    </fill>
    <fill>
      <patternFill patternType="solid">
        <fgColor rgb="FF00FFFF"/>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rgb="FF000000"/>
      </patternFill>
    </fill>
    <fill>
      <patternFill patternType="solid">
        <fgColor rgb="FFFF0000"/>
        <bgColor rgb="FF000000"/>
      </patternFill>
    </fill>
    <fill>
      <patternFill patternType="solid">
        <fgColor rgb="FFFF0000"/>
        <bgColor indexed="64"/>
      </patternFill>
    </fill>
    <fill>
      <patternFill patternType="solid">
        <fgColor rgb="FFDCE6F1"/>
        <bgColor rgb="FFDCE6F1"/>
      </patternFill>
    </fill>
    <fill>
      <patternFill patternType="solid">
        <fgColor theme="4" tint="0.79998168889431442"/>
        <bgColor theme="4" tint="0.79998168889431442"/>
      </patternFill>
    </fill>
    <fill>
      <patternFill patternType="solid">
        <fgColor rgb="FFFFCC66"/>
        <bgColor indexed="64"/>
      </patternFill>
    </fill>
  </fills>
  <borders count="53">
    <border>
      <left/>
      <right/>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style="thin">
        <color theme="0" tint="-0.14999847407452621"/>
      </top>
      <bottom style="thin">
        <color theme="0" tint="-0.14999847407452621"/>
      </bottom>
      <diagonal/>
    </border>
    <border>
      <left style="thin">
        <color rgb="FF000000"/>
      </left>
      <right style="thin">
        <color rgb="FF000000"/>
      </right>
      <top style="thin">
        <color rgb="FF000000"/>
      </top>
      <bottom/>
      <diagonal/>
    </border>
    <border>
      <left style="thin">
        <color indexed="64"/>
      </left>
      <right style="medium">
        <color indexed="64"/>
      </right>
      <top/>
      <bottom/>
      <diagonal/>
    </border>
    <border>
      <left style="thin">
        <color indexed="64"/>
      </left>
      <right style="thin">
        <color indexed="55"/>
      </right>
      <top/>
      <bottom/>
      <diagonal/>
    </border>
    <border>
      <left/>
      <right/>
      <top style="dotted">
        <color indexed="64"/>
      </top>
      <bottom style="dotted">
        <color indexed="64"/>
      </bottom>
      <diagonal/>
    </border>
    <border>
      <left style="thin">
        <color indexed="9"/>
      </left>
      <right/>
      <top style="thin">
        <color indexed="9"/>
      </top>
      <bottom style="thin">
        <color indexed="23"/>
      </bottom>
      <diagonal/>
    </border>
    <border>
      <left style="thin">
        <color indexed="23"/>
      </left>
      <right style="dashed">
        <color indexed="9"/>
      </right>
      <top/>
      <bottom style="dashed">
        <color indexed="9"/>
      </bottom>
      <diagonal/>
    </border>
    <border>
      <left/>
      <right/>
      <top style="thin">
        <color theme="1" tint="0.499984740745262"/>
      </top>
      <bottom style="thin">
        <color theme="1" tint="0.4999847407452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0"/>
      </top>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double">
        <color indexed="64"/>
      </top>
      <bottom style="medium">
        <color indexed="64"/>
      </bottom>
      <diagonal/>
    </border>
    <border>
      <left/>
      <right/>
      <top/>
      <bottom style="thin">
        <color rgb="FF95B3D7"/>
      </bottom>
      <diagonal/>
    </border>
    <border>
      <left/>
      <right/>
      <top style="thin">
        <color rgb="FF95B3D7"/>
      </top>
      <bottom/>
      <diagonal/>
    </border>
    <border>
      <left/>
      <right/>
      <top/>
      <bottom style="thin">
        <color theme="4" tint="0.39997558519241921"/>
      </bottom>
      <diagonal/>
    </border>
    <border>
      <left/>
      <right/>
      <top style="thin">
        <color theme="4" tint="0.39997558519241921"/>
      </top>
      <bottom/>
      <diagonal/>
    </border>
  </borders>
  <cellStyleXfs count="52236">
    <xf numFmtId="0" fontId="0" fillId="0" borderId="0"/>
    <xf numFmtId="43" fontId="1" fillId="0" borderId="0" applyFont="0" applyFill="0" applyBorder="0" applyAlignment="0" applyProtection="0"/>
    <xf numFmtId="0" fontId="2" fillId="0" borderId="0"/>
    <xf numFmtId="0" fontId="4" fillId="0" borderId="0"/>
    <xf numFmtId="0" fontId="6" fillId="0" borderId="0"/>
    <xf numFmtId="44"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0" borderId="13" applyNumberFormat="0" applyFill="0" applyAlignment="0" applyProtection="0"/>
    <xf numFmtId="0" fontId="21" fillId="0" borderId="14" applyNumberFormat="0" applyFill="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6" borderId="0" applyNumberFormat="0" applyBorder="0" applyAlignment="0" applyProtection="0"/>
    <xf numFmtId="0" fontId="24" fillId="7" borderId="0" applyNumberFormat="0" applyBorder="0" applyAlignment="0" applyProtection="0"/>
    <xf numFmtId="0" fontId="25" fillId="8" borderId="15" applyNumberFormat="0" applyAlignment="0" applyProtection="0"/>
    <xf numFmtId="0" fontId="26" fillId="9" borderId="16" applyNumberFormat="0" applyAlignment="0" applyProtection="0"/>
    <xf numFmtId="0" fontId="27" fillId="9" borderId="15" applyNumberFormat="0" applyAlignment="0" applyProtection="0"/>
    <xf numFmtId="0" fontId="28" fillId="0" borderId="17" applyNumberFormat="0" applyFill="0" applyAlignment="0" applyProtection="0"/>
    <xf numFmtId="0" fontId="29" fillId="10" borderId="18" applyNumberFormat="0" applyAlignment="0" applyProtection="0"/>
    <xf numFmtId="0" fontId="30" fillId="0" borderId="0" applyNumberFormat="0" applyFill="0" applyBorder="0" applyAlignment="0" applyProtection="0"/>
    <xf numFmtId="0" fontId="1" fillId="11" borderId="19" applyNumberFormat="0" applyFont="0" applyAlignment="0" applyProtection="0"/>
    <xf numFmtId="0" fontId="31" fillId="0" borderId="0" applyNumberFormat="0" applyFill="0" applyBorder="0" applyAlignment="0" applyProtection="0"/>
    <xf numFmtId="0" fontId="32" fillId="0" borderId="20" applyNumberFormat="0" applyFill="0" applyAlignment="0" applyProtection="0"/>
    <xf numFmtId="0" fontId="33"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0" fontId="36" fillId="0" borderId="0" applyNumberFormat="0" applyFill="0" applyBorder="0" applyAlignment="0" applyProtection="0">
      <alignment vertical="top"/>
      <protection locked="0"/>
    </xf>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37" fillId="0" borderId="0"/>
    <xf numFmtId="0" fontId="4" fillId="0" borderId="0"/>
    <xf numFmtId="37" fontId="15" fillId="0" borderId="0"/>
    <xf numFmtId="0" fontId="15" fillId="0" borderId="0"/>
    <xf numFmtId="0" fontId="15" fillId="0" borderId="0"/>
    <xf numFmtId="37" fontId="37" fillId="0" borderId="0"/>
    <xf numFmtId="43" fontId="15" fillId="0" borderId="0" applyFont="0" applyFill="0" applyBorder="0" applyAlignment="0" applyProtection="0"/>
    <xf numFmtId="37" fontId="15" fillId="0" borderId="0"/>
    <xf numFmtId="43" fontId="38"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171" fontId="39" fillId="0" borderId="0"/>
    <xf numFmtId="43" fontId="40" fillId="0" borderId="0" applyFont="0" applyFill="0" applyBorder="0" applyAlignment="0" applyProtection="0"/>
    <xf numFmtId="44" fontId="15" fillId="0" borderId="0" applyFont="0" applyFill="0" applyBorder="0" applyAlignment="0" applyProtection="0"/>
    <xf numFmtId="44" fontId="40" fillId="0" borderId="0" applyFont="0" applyFill="0" applyBorder="0" applyAlignment="0" applyProtection="0"/>
    <xf numFmtId="171" fontId="15" fillId="0" borderId="0"/>
    <xf numFmtId="0" fontId="6" fillId="0" borderId="0"/>
    <xf numFmtId="0" fontId="15" fillId="0" borderId="0"/>
    <xf numFmtId="0" fontId="42"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1" fillId="0" borderId="0"/>
    <xf numFmtId="0" fontId="1" fillId="0" borderId="0"/>
    <xf numFmtId="0" fontId="4" fillId="0" borderId="0" applyNumberFormat="0" applyFont="0" applyFill="0" applyBorder="0" applyAlignment="0" applyProtection="0"/>
    <xf numFmtId="0" fontId="44" fillId="0" borderId="0"/>
    <xf numFmtId="173" fontId="41" fillId="39" borderId="0" applyNumberFormat="0" applyFill="0" applyBorder="0" applyAlignment="0" applyProtection="0">
      <protection locked="0"/>
    </xf>
    <xf numFmtId="172" fontId="34" fillId="0" borderId="0" applyNumberFormat="0" applyAlignment="0"/>
    <xf numFmtId="37" fontId="45" fillId="37" borderId="23" applyBorder="0" applyProtection="0">
      <alignment vertical="center"/>
    </xf>
    <xf numFmtId="0" fontId="46" fillId="40" borderId="0" applyBorder="0">
      <alignment horizontal="left" vertical="center" indent="1"/>
    </xf>
    <xf numFmtId="0" fontId="47" fillId="41" borderId="25">
      <alignment vertical="center"/>
    </xf>
    <xf numFmtId="0" fontId="48" fillId="42" borderId="26">
      <alignment horizontal="center" vertical="center"/>
    </xf>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41"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1" fontId="6" fillId="0" borderId="0" applyFont="0" applyFill="0" applyBorder="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5" fontId="6" fillId="0" borderId="0" applyFont="0" applyFill="0" applyBorder="0" applyProtection="0"/>
    <xf numFmtId="0" fontId="50" fillId="0" borderId="0">
      <alignment vertical="top"/>
    </xf>
    <xf numFmtId="175" fontId="51" fillId="43" borderId="0" applyFill="0" applyBorder="0" applyAlignment="0" applyProtection="0">
      <alignment horizontal="right"/>
    </xf>
    <xf numFmtId="176" fontId="51" fillId="0" borderId="0" applyFill="0" applyBorder="0" applyAlignment="0" applyProtection="0">
      <alignment horizontal="right"/>
    </xf>
    <xf numFmtId="176" fontId="51" fillId="0" borderId="0" applyFill="0" applyBorder="0" applyAlignment="0">
      <alignment horizontal="right"/>
    </xf>
    <xf numFmtId="177" fontId="51" fillId="0" borderId="0" applyFill="0" applyBorder="0" applyAlignment="0">
      <alignment horizontal="right"/>
    </xf>
    <xf numFmtId="178" fontId="51" fillId="0" borderId="0" applyFill="0" applyBorder="0" applyAlignment="0">
      <alignment horizontal="center"/>
    </xf>
    <xf numFmtId="179" fontId="52" fillId="0" borderId="27" applyFill="0" applyBorder="0" applyAlignment="0">
      <alignment horizontal="centerContinuous"/>
    </xf>
    <xf numFmtId="38" fontId="34" fillId="39" borderId="0" applyNumberFormat="0" applyBorder="0" applyAlignment="0" applyProtection="0"/>
    <xf numFmtId="172" fontId="53" fillId="39" borderId="0"/>
    <xf numFmtId="37" fontId="54" fillId="0" borderId="24">
      <alignment vertical="center"/>
    </xf>
    <xf numFmtId="0" fontId="53" fillId="39" borderId="0"/>
    <xf numFmtId="172" fontId="13" fillId="0" borderId="24" applyNumberFormat="0" applyAlignment="0" applyProtection="0">
      <alignment horizontal="left" vertical="center"/>
    </xf>
    <xf numFmtId="172" fontId="13" fillId="0" borderId="21">
      <alignment horizontal="left" vertical="center"/>
    </xf>
    <xf numFmtId="0" fontId="54" fillId="0" borderId="1" applyNumberFormat="0" applyFill="0">
      <alignment horizontal="centerContinuous" vertical="top"/>
    </xf>
    <xf numFmtId="0" fontId="55" fillId="37" borderId="28" applyNumberFormat="0" applyBorder="0">
      <alignment horizontal="left" vertical="center" indent="1"/>
    </xf>
    <xf numFmtId="0" fontId="56" fillId="13" borderId="0"/>
    <xf numFmtId="0" fontId="57" fillId="0" borderId="0"/>
    <xf numFmtId="10" fontId="34" fillId="43" borderId="22" applyNumberFormat="0" applyBorder="0" applyAlignment="0" applyProtection="0"/>
    <xf numFmtId="0" fontId="58" fillId="0" borderId="22">
      <alignment vertical="center" wrapText="1"/>
    </xf>
    <xf numFmtId="180" fontId="59" fillId="0" borderId="2" applyBorder="0">
      <protection locked="0"/>
    </xf>
    <xf numFmtId="181" fontId="60" fillId="44" borderId="9" applyFont="0" applyBorder="0" applyAlignment="0"/>
    <xf numFmtId="181" fontId="60" fillId="44" borderId="9" applyFill="0" applyAlignment="0"/>
    <xf numFmtId="182" fontId="51" fillId="0" borderId="0" applyFill="0" applyBorder="0" applyAlignment="0">
      <alignment horizontal="right"/>
    </xf>
    <xf numFmtId="172" fontId="61" fillId="0" borderId="0">
      <alignment horizontal="right"/>
    </xf>
    <xf numFmtId="172" fontId="59" fillId="0" borderId="29" applyNumberFormat="0" applyAlignment="0"/>
    <xf numFmtId="0" fontId="62" fillId="39" borderId="0">
      <alignment horizontal="left" indent="1"/>
    </xf>
    <xf numFmtId="183"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0" fontId="44" fillId="0" borderId="0"/>
    <xf numFmtId="172" fontId="1" fillId="0" borderId="0"/>
    <xf numFmtId="172" fontId="4" fillId="0" borderId="0"/>
    <xf numFmtId="0" fontId="63" fillId="0" borderId="0"/>
    <xf numFmtId="0" fontId="4" fillId="0" borderId="0"/>
    <xf numFmtId="3" fontId="34" fillId="0" borderId="0" applyNumberFormat="0"/>
    <xf numFmtId="3" fontId="34" fillId="0" borderId="0" applyNumberFormat="0"/>
    <xf numFmtId="0" fontId="1" fillId="0" borderId="0"/>
    <xf numFmtId="0" fontId="1" fillId="0" borderId="0"/>
    <xf numFmtId="40" fontId="64" fillId="37" borderId="0">
      <alignment horizontal="right"/>
    </xf>
    <xf numFmtId="172" fontId="65" fillId="37" borderId="0">
      <alignment horizontal="right"/>
    </xf>
    <xf numFmtId="172" fontId="66" fillId="37" borderId="7"/>
    <xf numFmtId="172" fontId="66" fillId="0" borderId="0" applyBorder="0">
      <alignment horizontal="centerContinuous"/>
    </xf>
    <xf numFmtId="172" fontId="67" fillId="0" borderId="0" applyBorder="0">
      <alignment horizontal="centerContinuous"/>
    </xf>
    <xf numFmtId="0" fontId="68" fillId="45" borderId="0"/>
    <xf numFmtId="10" fontId="4" fillId="0" borderId="0" applyFont="0" applyFill="0" applyBorder="0" applyAlignment="0" applyProtection="0"/>
    <xf numFmtId="10" fontId="4" fillId="0" borderId="0">
      <alignment horizontal="center"/>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4" fontId="51" fillId="0" borderId="0" applyFill="0" applyBorder="0" applyAlignment="0">
      <alignment horizontal="right"/>
    </xf>
    <xf numFmtId="185" fontId="51" fillId="0" borderId="0" applyFill="0" applyBorder="0" applyAlignment="0"/>
    <xf numFmtId="186" fontId="60" fillId="0" borderId="9">
      <alignment horizontal="right"/>
    </xf>
    <xf numFmtId="187" fontId="60" fillId="44" borderId="9" applyFont="0" applyBorder="0" applyAlignment="0">
      <alignment horizontal="right"/>
    </xf>
    <xf numFmtId="187" fontId="60" fillId="0" borderId="9" applyFill="0" applyAlignment="0">
      <alignment horizontal="right"/>
    </xf>
    <xf numFmtId="187" fontId="60" fillId="0" borderId="0" applyFill="0" applyAlignment="0">
      <alignment horizontal="right"/>
    </xf>
    <xf numFmtId="188" fontId="51" fillId="0" borderId="0" applyFill="0" applyBorder="0" applyAlignment="0">
      <alignment horizontal="left"/>
    </xf>
    <xf numFmtId="189" fontId="51" fillId="0" borderId="0" applyFill="0" applyBorder="0" applyAlignment="0">
      <alignment horizontal="right"/>
    </xf>
    <xf numFmtId="190" fontId="51" fillId="0" borderId="0" applyFill="0" applyBorder="0" applyAlignment="0">
      <alignment horizontal="right"/>
    </xf>
    <xf numFmtId="191" fontId="51" fillId="0" borderId="0" applyFill="0" applyBorder="0" applyAlignment="0">
      <alignment horizontal="right"/>
    </xf>
    <xf numFmtId="192" fontId="51" fillId="0" borderId="0" applyFill="0" applyBorder="0" applyAlignment="0"/>
    <xf numFmtId="193" fontId="51" fillId="0" borderId="0" applyBorder="0" applyAlignment="0">
      <alignment horizontal="right"/>
    </xf>
    <xf numFmtId="188" fontId="60" fillId="0" borderId="9" applyFill="0" applyAlignment="0">
      <alignment horizontal="right"/>
    </xf>
    <xf numFmtId="37" fontId="60" fillId="0" borderId="0" applyFill="0" applyAlignment="0">
      <alignment horizontal="right"/>
    </xf>
    <xf numFmtId="194" fontId="69" fillId="0" borderId="0" applyNumberFormat="0" applyFill="0" applyBorder="0" applyAlignment="0">
      <alignment horizontal="right"/>
    </xf>
    <xf numFmtId="193" fontId="51" fillId="46" borderId="0" applyFont="0" applyBorder="0" applyAlignment="0">
      <alignment horizontal="right"/>
    </xf>
    <xf numFmtId="188" fontId="60" fillId="0" borderId="9" applyFill="0" applyBorder="0" applyAlignment="0">
      <alignment horizontal="right"/>
      <protection locked="0"/>
    </xf>
    <xf numFmtId="172" fontId="70" fillId="0" borderId="0" applyFill="0" applyBorder="0">
      <alignment horizontal="right"/>
    </xf>
    <xf numFmtId="175" fontId="51" fillId="43" borderId="0" applyFill="0" applyBorder="0" applyAlignment="0">
      <alignment horizontal="right"/>
    </xf>
    <xf numFmtId="0" fontId="71" fillId="40" borderId="0">
      <alignment horizontal="left" indent="1"/>
    </xf>
    <xf numFmtId="0" fontId="72" fillId="0" borderId="0"/>
    <xf numFmtId="0" fontId="44" fillId="0" borderId="0"/>
    <xf numFmtId="172" fontId="73" fillId="0" borderId="0" applyNumberFormat="0" applyFont="0" applyFill="0" applyBorder="0" applyAlignment="0" applyProtection="0">
      <alignment horizontal="left"/>
    </xf>
    <xf numFmtId="195" fontId="52" fillId="0" borderId="0">
      <protection locked="0"/>
    </xf>
    <xf numFmtId="0" fontId="74" fillId="38" borderId="0"/>
    <xf numFmtId="0" fontId="75" fillId="0" borderId="0"/>
    <xf numFmtId="3" fontId="4" fillId="39" borderId="30" applyFont="0" applyFill="0" applyBorder="0" applyAlignment="0" applyProtection="0"/>
    <xf numFmtId="39" fontId="4" fillId="39" borderId="30" applyFont="0" applyFill="0" applyBorder="0" applyAlignment="0" applyProtection="0"/>
    <xf numFmtId="196" fontId="4" fillId="39" borderId="30" applyFont="0" applyFill="0" applyBorder="0" applyAlignment="0" applyProtection="0"/>
    <xf numFmtId="37" fontId="4" fillId="39" borderId="31" applyFont="0" applyFill="0" applyBorder="0" applyAlignment="0" applyProtection="0"/>
    <xf numFmtId="10" fontId="4" fillId="39" borderId="30" applyFont="0" applyFill="0" applyBorder="0" applyAlignment="0" applyProtection="0"/>
    <xf numFmtId="9" fontId="4" fillId="39" borderId="30" applyFont="0" applyFill="0" applyBorder="0" applyAlignment="0" applyProtection="0"/>
    <xf numFmtId="2" fontId="4" fillId="39" borderId="30" applyFont="0" applyFill="0" applyBorder="0" applyAlignment="0" applyProtection="0"/>
    <xf numFmtId="0" fontId="43" fillId="14" borderId="32">
      <alignment vertical="center"/>
    </xf>
    <xf numFmtId="0" fontId="76" fillId="36" borderId="32">
      <alignment horizontal="left" vertical="center"/>
    </xf>
    <xf numFmtId="49" fontId="51" fillId="0" borderId="0" applyFill="0" applyBorder="0" applyAlignment="0">
      <alignment horizontal="right"/>
    </xf>
    <xf numFmtId="0" fontId="42" fillId="0" borderId="0"/>
    <xf numFmtId="43" fontId="1"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39" fontId="77"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 fillId="0" borderId="0"/>
    <xf numFmtId="0" fontId="1" fillId="0" borderId="0"/>
    <xf numFmtId="0" fontId="2" fillId="0" borderId="0"/>
    <xf numFmtId="0" fontId="1" fillId="0" borderId="0"/>
    <xf numFmtId="0" fontId="79" fillId="0" borderId="0" applyNumberFormat="0" applyBorder="0" applyAlignment="0"/>
    <xf numFmtId="0" fontId="4" fillId="0" borderId="0"/>
    <xf numFmtId="0" fontId="77" fillId="47" borderId="0"/>
    <xf numFmtId="0" fontId="1" fillId="0" borderId="0"/>
    <xf numFmtId="0" fontId="4" fillId="0" borderId="0"/>
    <xf numFmtId="0" fontId="4" fillId="0" borderId="0"/>
    <xf numFmtId="0" fontId="6" fillId="0" borderId="0">
      <alignment vertical="top"/>
    </xf>
    <xf numFmtId="197" fontId="4" fillId="0" borderId="0">
      <alignment horizontal="left" wrapText="1"/>
    </xf>
    <xf numFmtId="0" fontId="4" fillId="0" borderId="0"/>
    <xf numFmtId="0" fontId="80" fillId="0" borderId="0" applyNumberForma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47" borderId="0"/>
    <xf numFmtId="0" fontId="6" fillId="0" borderId="0">
      <alignment vertical="top"/>
    </xf>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81" fillId="58" borderId="0" applyNumberFormat="0" applyBorder="0" applyAlignment="0" applyProtection="0"/>
    <xf numFmtId="0" fontId="81" fillId="55" borderId="0" applyNumberFormat="0" applyBorder="0" applyAlignment="0" applyProtection="0"/>
    <xf numFmtId="0" fontId="81" fillId="56" borderId="0" applyNumberFormat="0" applyBorder="0" applyAlignment="0" applyProtection="0"/>
    <xf numFmtId="0" fontId="81" fillId="59" borderId="0" applyNumberFormat="0" applyBorder="0" applyAlignment="0" applyProtection="0"/>
    <xf numFmtId="0" fontId="81" fillId="60" borderId="0" applyNumberFormat="0" applyBorder="0" applyAlignment="0" applyProtection="0"/>
    <xf numFmtId="0" fontId="81" fillId="61" borderId="0" applyNumberFormat="0" applyBorder="0" applyAlignment="0" applyProtection="0"/>
    <xf numFmtId="0" fontId="81" fillId="62" borderId="0" applyNumberFormat="0" applyBorder="0" applyAlignment="0" applyProtection="0"/>
    <xf numFmtId="0" fontId="81" fillId="63" borderId="0" applyNumberFormat="0" applyBorder="0" applyAlignment="0" applyProtection="0"/>
    <xf numFmtId="0" fontId="81" fillId="64" borderId="0" applyNumberFormat="0" applyBorder="0" applyAlignment="0" applyProtection="0"/>
    <xf numFmtId="0" fontId="81" fillId="59" borderId="0" applyNumberFormat="0" applyBorder="0" applyAlignment="0" applyProtection="0"/>
    <xf numFmtId="0" fontId="81" fillId="60" borderId="0" applyNumberFormat="0" applyBorder="0" applyAlignment="0" applyProtection="0"/>
    <xf numFmtId="0" fontId="81" fillId="65" borderId="0" applyNumberFormat="0" applyBorder="0" applyAlignment="0" applyProtection="0"/>
    <xf numFmtId="0" fontId="82" fillId="49" borderId="0" applyNumberFormat="0" applyBorder="0" applyAlignment="0" applyProtection="0"/>
    <xf numFmtId="0" fontId="83" fillId="66" borderId="34" applyNumberFormat="0" applyAlignment="0" applyProtection="0"/>
    <xf numFmtId="0" fontId="84" fillId="67" borderId="3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4" fillId="0" borderId="0" applyFont="0" applyFill="0" applyBorder="0" applyAlignment="0" applyProtection="0"/>
    <xf numFmtId="44" fontId="4" fillId="0" borderId="0" applyFont="0" applyFill="0" applyBorder="0" applyAlignment="0" applyProtection="0"/>
    <xf numFmtId="44" fontId="6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8" fillId="0" borderId="0" applyFont="0" applyFill="0" applyBorder="0" applyAlignment="0" applyProtection="0"/>
    <xf numFmtId="5" fontId="4" fillId="0" borderId="0" applyFont="0" applyFill="0" applyBorder="0" applyAlignment="0" applyProtection="0"/>
    <xf numFmtId="14" fontId="4" fillId="0" borderId="0" applyFont="0" applyFill="0" applyBorder="0" applyAlignment="0" applyProtection="0"/>
    <xf numFmtId="0" fontId="85" fillId="0" borderId="0" applyNumberFormat="0" applyFill="0" applyBorder="0" applyAlignment="0" applyProtection="0"/>
    <xf numFmtId="3" fontId="86" fillId="0" borderId="0" applyProtection="0"/>
    <xf numFmtId="3" fontId="87" fillId="0" borderId="0" applyProtection="0"/>
    <xf numFmtId="3" fontId="68" fillId="0" borderId="0" applyProtection="0"/>
    <xf numFmtId="2" fontId="4" fillId="0" borderId="0" applyFont="0" applyFill="0" applyBorder="0" applyAlignment="0" applyProtection="0"/>
    <xf numFmtId="0" fontId="88" fillId="50" borderId="0" applyNumberFormat="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53" borderId="34" applyNumberFormat="0" applyAlignment="0" applyProtection="0"/>
    <xf numFmtId="0" fontId="93" fillId="0" borderId="39" applyNumberFormat="0" applyFill="0" applyAlignment="0" applyProtection="0"/>
    <xf numFmtId="0" fontId="94" fillId="6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37"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9" borderId="33" applyNumberFormat="0" applyFont="0" applyAlignment="0" applyProtection="0"/>
    <xf numFmtId="0" fontId="2" fillId="11" borderId="19" applyNumberFormat="0" applyFont="0" applyAlignment="0" applyProtection="0"/>
    <xf numFmtId="0" fontId="95" fillId="66" borderId="4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197" fontId="4" fillId="0" borderId="0">
      <alignment horizontal="left" wrapText="1"/>
    </xf>
    <xf numFmtId="197" fontId="4" fillId="0" borderId="0">
      <alignment horizontal="left" wrapText="1"/>
    </xf>
    <xf numFmtId="0" fontId="96" fillId="0" borderId="0" applyNumberFormat="0" applyFill="0" applyBorder="0" applyAlignment="0" applyProtection="0"/>
    <xf numFmtId="0" fontId="78" fillId="0" borderId="41" applyNumberFormat="0" applyFill="0" applyAlignment="0" applyProtection="0"/>
    <xf numFmtId="0" fontId="97"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8" fillId="0" borderId="0"/>
    <xf numFmtId="43" fontId="63" fillId="0" borderId="0" applyFont="0" applyFill="0" applyBorder="0" applyAlignment="0" applyProtection="0"/>
    <xf numFmtId="0" fontId="77" fillId="47" borderId="0"/>
    <xf numFmtId="0" fontId="6" fillId="0" borderId="0">
      <alignment vertical="top"/>
    </xf>
    <xf numFmtId="0" fontId="4" fillId="0" borderId="0"/>
    <xf numFmtId="43" fontId="1" fillId="0" borderId="0" applyFont="0" applyFill="0" applyBorder="0" applyAlignment="0" applyProtection="0"/>
    <xf numFmtId="37"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97" fontId="4" fillId="0" borderId="0">
      <alignment horizontal="left" wrapText="1"/>
    </xf>
    <xf numFmtId="197" fontId="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7" fillId="0" borderId="0" applyNumberFormat="0" applyFont="0" applyFill="0" applyAlignment="0" applyProtection="0"/>
    <xf numFmtId="0" fontId="13" fillId="0" borderId="0" applyNumberFormat="0" applyFont="0" applyFill="0" applyAlignment="0" applyProtection="0"/>
    <xf numFmtId="0" fontId="13" fillId="0" borderId="0" applyNumberFormat="0" applyFont="0" applyFill="0" applyAlignment="0" applyProtection="0"/>
    <xf numFmtId="0" fontId="13" fillId="0" borderId="0" applyNumberFormat="0" applyFon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42" applyNumberFormat="0" applyFon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43" fontId="4" fillId="0" borderId="0" applyFont="0" applyFill="0" applyBorder="0" applyAlignment="0" applyProtection="0"/>
    <xf numFmtId="0" fontId="98" fillId="0" borderId="0" applyNumberFormat="0" applyFill="0" applyBorder="0" applyAlignment="0" applyProtection="0"/>
    <xf numFmtId="0" fontId="99" fillId="7"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37" fontId="15"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9" fillId="0" borderId="12" applyNumberFormat="0" applyFill="0" applyAlignment="0" applyProtection="0"/>
    <xf numFmtId="0" fontId="20" fillId="0" borderId="13" applyNumberFormat="0" applyFill="0" applyAlignment="0" applyProtection="0"/>
    <xf numFmtId="0" fontId="1" fillId="0" borderId="0"/>
    <xf numFmtId="0" fontId="1" fillId="0" borderId="0"/>
    <xf numFmtId="0" fontId="4" fillId="0" borderId="0"/>
    <xf numFmtId="0" fontId="1" fillId="11" borderId="19" applyNumberFormat="0" applyFont="0" applyAlignment="0" applyProtection="0"/>
    <xf numFmtId="0" fontId="32" fillId="0" borderId="20" applyNumberFormat="0" applyFill="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1" borderId="19" applyNumberFormat="0" applyFont="0" applyAlignment="0" applyProtection="0"/>
    <xf numFmtId="43" fontId="4" fillId="0" borderId="0" applyFont="0" applyFill="0" applyBorder="0" applyAlignment="0" applyProtection="0"/>
    <xf numFmtId="0" fontId="39" fillId="0" borderId="0"/>
    <xf numFmtId="0" fontId="4" fillId="0" borderId="0"/>
    <xf numFmtId="0" fontId="39" fillId="0" borderId="0"/>
    <xf numFmtId="0" fontId="39" fillId="0" borderId="0"/>
    <xf numFmtId="0" fontId="4" fillId="0" borderId="0"/>
    <xf numFmtId="0" fontId="39" fillId="0" borderId="0"/>
    <xf numFmtId="0" fontId="39" fillId="0" borderId="0"/>
    <xf numFmtId="0" fontId="4" fillId="0" borderId="0"/>
    <xf numFmtId="0" fontId="39" fillId="0" borderId="0"/>
    <xf numFmtId="0" fontId="39" fillId="0" borderId="0"/>
    <xf numFmtId="0" fontId="4" fillId="0" borderId="0">
      <alignment wrapText="1"/>
    </xf>
    <xf numFmtId="0" fontId="15" fillId="47" borderId="0"/>
    <xf numFmtId="0" fontId="4" fillId="0" borderId="0"/>
    <xf numFmtId="0" fontId="1" fillId="0" borderId="0"/>
    <xf numFmtId="0" fontId="4" fillId="0" borderId="0"/>
    <xf numFmtId="0" fontId="1" fillId="0" borderId="0"/>
    <xf numFmtId="0" fontId="39" fillId="0" borderId="0"/>
    <xf numFmtId="0" fontId="39" fillId="0" borderId="0"/>
    <xf numFmtId="0" fontId="39" fillId="0" borderId="0"/>
    <xf numFmtId="0" fontId="39" fillId="0" borderId="0"/>
    <xf numFmtId="0" fontId="4"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5" fillId="0" borderId="0"/>
    <xf numFmtId="43" fontId="4" fillId="0" borderId="0" applyFont="0" applyFill="0" applyBorder="0" applyAlignment="0" applyProtection="0"/>
    <xf numFmtId="0" fontId="4" fillId="0" borderId="0"/>
    <xf numFmtId="0" fontId="1" fillId="0" borderId="0"/>
    <xf numFmtId="43" fontId="100" fillId="0" borderId="0" applyFont="0" applyFill="0" applyBorder="0" applyAlignment="0" applyProtection="0"/>
    <xf numFmtId="0" fontId="15" fillId="47" borderId="0"/>
    <xf numFmtId="9" fontId="1" fillId="0" borderId="0" applyFont="0" applyFill="0" applyBorder="0" applyAlignment="0" applyProtection="0"/>
    <xf numFmtId="43" fontId="4" fillId="0" borderId="0" applyFont="0" applyFill="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37" fontId="101" fillId="0" borderId="0" applyNumberForma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1" borderId="19" applyNumberFormat="0" applyFont="0" applyAlignment="0" applyProtection="0"/>
    <xf numFmtId="0" fontId="1" fillId="0" borderId="0"/>
    <xf numFmtId="0" fontId="1" fillId="0" borderId="0"/>
    <xf numFmtId="0" fontId="4"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37" fontId="15"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1" borderId="19" applyNumberFormat="0" applyFont="0" applyAlignment="0" applyProtection="0"/>
    <xf numFmtId="0" fontId="1" fillId="0" borderId="0"/>
    <xf numFmtId="0" fontId="1"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1" borderId="19" applyNumberFormat="0" applyFont="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1" borderId="19" applyNumberFormat="0" applyFont="0" applyAlignment="0" applyProtection="0"/>
    <xf numFmtId="0" fontId="1" fillId="0" borderId="0"/>
    <xf numFmtId="0" fontId="1"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5" fillId="0" borderId="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12" applyNumberFormat="0" applyFill="0" applyAlignment="0" applyProtection="0"/>
    <xf numFmtId="0" fontId="1" fillId="0" borderId="0"/>
    <xf numFmtId="0" fontId="1" fillId="0" borderId="0"/>
    <xf numFmtId="0" fontId="1" fillId="11" borderId="19" applyNumberFormat="0" applyFont="0" applyAlignment="0" applyProtection="0"/>
    <xf numFmtId="0" fontId="32" fillId="0" borderId="20" applyNumberFormat="0" applyFill="0" applyAlignment="0" applyProtection="0"/>
    <xf numFmtId="44" fontId="4" fillId="0" borderId="0" applyFont="0" applyFill="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1" borderId="19" applyNumberFormat="0" applyFont="0" applyAlignment="0" applyProtection="0"/>
    <xf numFmtId="0" fontId="1" fillId="0" borderId="0"/>
    <xf numFmtId="0" fontId="1"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1" borderId="19" applyNumberFormat="0" applyFont="0" applyAlignment="0" applyProtection="0"/>
    <xf numFmtId="0" fontId="1" fillId="0" borderId="0"/>
    <xf numFmtId="0" fontId="1"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19" applyNumberFormat="0" applyFont="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1" borderId="19"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0" fontId="4" fillId="0" borderId="0"/>
    <xf numFmtId="0" fontId="6" fillId="0" borderId="0"/>
    <xf numFmtId="0" fontId="4" fillId="0" borderId="0"/>
    <xf numFmtId="9" fontId="1" fillId="0" borderId="0" applyFont="0" applyFill="0" applyBorder="0" applyAlignment="0" applyProtection="0"/>
    <xf numFmtId="44" fontId="1" fillId="0" borderId="0" applyFont="0" applyFill="0" applyBorder="0" applyAlignment="0" applyProtection="0"/>
    <xf numFmtId="0" fontId="35" fillId="0" borderId="0">
      <alignment vertical="top"/>
    </xf>
    <xf numFmtId="0" fontId="4" fillId="0" borderId="0"/>
    <xf numFmtId="0" fontId="38" fillId="49" borderId="0" applyNumberFormat="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92" fillId="53" borderId="34" applyNumberFormat="0" applyAlignment="0" applyProtection="0"/>
    <xf numFmtId="0" fontId="92" fillId="53" borderId="34" applyNumberFormat="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1" fillId="0" borderId="0"/>
  </cellStyleXfs>
  <cellXfs count="800">
    <xf numFmtId="0" fontId="0" fillId="0" borderId="0" xfId="0"/>
    <xf numFmtId="0" fontId="3" fillId="0" borderId="1" xfId="2" applyFont="1" applyBorder="1"/>
    <xf numFmtId="0" fontId="3" fillId="0" borderId="1" xfId="3" applyFont="1" applyBorder="1"/>
    <xf numFmtId="0" fontId="3" fillId="0" borderId="1" xfId="2" applyFont="1" applyBorder="1" applyAlignment="1">
      <alignment horizontal="right"/>
    </xf>
    <xf numFmtId="0" fontId="3" fillId="0" borderId="0" xfId="2" applyFont="1"/>
    <xf numFmtId="0" fontId="3" fillId="0" borderId="0" xfId="3" applyFont="1"/>
    <xf numFmtId="0" fontId="3" fillId="0" borderId="2" xfId="2" applyFont="1" applyBorder="1" applyAlignment="1">
      <alignment horizontal="left"/>
    </xf>
    <xf numFmtId="0" fontId="3" fillId="0" borderId="0" xfId="2" applyFont="1" applyAlignment="1">
      <alignment horizontal="left"/>
    </xf>
    <xf numFmtId="0" fontId="5" fillId="0" borderId="0" xfId="2" applyFont="1"/>
    <xf numFmtId="0" fontId="3" fillId="0" borderId="0" xfId="2" applyFont="1" applyAlignment="1">
      <alignment horizontal="right"/>
    </xf>
    <xf numFmtId="0" fontId="3" fillId="0" borderId="1" xfId="2" applyFont="1" applyBorder="1" applyAlignment="1">
      <alignment horizontal="center"/>
    </xf>
    <xf numFmtId="0" fontId="3" fillId="0" borderId="0" xfId="3" quotePrefix="1" applyFont="1" applyAlignment="1">
      <alignment horizontal="center"/>
    </xf>
    <xf numFmtId="0" fontId="3" fillId="0" borderId="0" xfId="3" applyFont="1" applyAlignment="1">
      <alignment horizontal="center"/>
    </xf>
    <xf numFmtId="164" fontId="3" fillId="0" borderId="0" xfId="5" applyNumberFormat="1" applyFont="1" applyFill="1" applyAlignment="1"/>
    <xf numFmtId="164" fontId="3" fillId="0" borderId="0" xfId="5" applyNumberFormat="1" applyFont="1" applyFill="1" applyBorder="1" applyAlignment="1"/>
    <xf numFmtId="3" fontId="3" fillId="0" borderId="3" xfId="0" applyNumberFormat="1" applyFont="1" applyBorder="1" applyAlignment="1">
      <alignment vertical="top"/>
    </xf>
    <xf numFmtId="0" fontId="3" fillId="0" borderId="5" xfId="0" applyFont="1" applyBorder="1" applyAlignment="1">
      <alignment vertical="top"/>
    </xf>
    <xf numFmtId="165" fontId="3" fillId="0" borderId="0" xfId="6" applyNumberFormat="1" applyFont="1" applyFill="1" applyAlignment="1"/>
    <xf numFmtId="43" fontId="3" fillId="0" borderId="0" xfId="3" applyNumberFormat="1" applyFont="1"/>
    <xf numFmtId="164" fontId="3" fillId="0" borderId="0" xfId="3" applyNumberFormat="1" applyFont="1"/>
    <xf numFmtId="164" fontId="3" fillId="0" borderId="0" xfId="0" applyNumberFormat="1" applyFont="1" applyAlignment="1">
      <alignment vertical="top"/>
    </xf>
    <xf numFmtId="0" fontId="3" fillId="0" borderId="7" xfId="0" applyFont="1" applyBorder="1" applyAlignment="1">
      <alignment vertical="top"/>
    </xf>
    <xf numFmtId="166" fontId="3" fillId="0" borderId="8" xfId="1" applyNumberFormat="1" applyFont="1" applyFill="1" applyBorder="1" applyAlignment="1"/>
    <xf numFmtId="166" fontId="3" fillId="0" borderId="0" xfId="1" applyNumberFormat="1" applyFont="1" applyFill="1" applyBorder="1" applyAlignment="1"/>
    <xf numFmtId="43" fontId="3" fillId="0" borderId="0" xfId="1" applyFont="1" applyFill="1" applyBorder="1" applyAlignment="1"/>
    <xf numFmtId="164" fontId="7" fillId="0" borderId="0" xfId="0" applyNumberFormat="1" applyFont="1" applyAlignment="1">
      <alignment vertical="top"/>
    </xf>
    <xf numFmtId="0" fontId="3" fillId="0" borderId="0" xfId="0" applyFont="1" applyAlignment="1">
      <alignment vertical="top"/>
    </xf>
    <xf numFmtId="165" fontId="3" fillId="0" borderId="0" xfId="6" applyNumberFormat="1" applyFont="1" applyFill="1" applyBorder="1" applyAlignment="1"/>
    <xf numFmtId="0" fontId="3" fillId="0" borderId="6" xfId="2" applyFont="1" applyBorder="1"/>
    <xf numFmtId="165" fontId="3" fillId="0" borderId="0" xfId="6" quotePrefix="1" applyNumberFormat="1" applyFont="1" applyFill="1" applyAlignment="1"/>
    <xf numFmtId="165" fontId="8" fillId="0" borderId="0" xfId="6" applyNumberFormat="1" applyFont="1" applyFill="1" applyBorder="1" applyAlignment="1"/>
    <xf numFmtId="0" fontId="3" fillId="0" borderId="7" xfId="2" applyFont="1" applyBorder="1"/>
    <xf numFmtId="165" fontId="3" fillId="0" borderId="8" xfId="6" applyNumberFormat="1" applyFont="1" applyFill="1" applyBorder="1" applyAlignment="1"/>
    <xf numFmtId="164" fontId="3" fillId="0" borderId="9" xfId="5" applyNumberFormat="1" applyFont="1" applyFill="1" applyBorder="1" applyAlignment="1"/>
    <xf numFmtId="164" fontId="3" fillId="0" borderId="0" xfId="6" applyNumberFormat="1" applyFont="1" applyFill="1" applyBorder="1" applyAlignment="1"/>
    <xf numFmtId="0" fontId="3" fillId="0" borderId="0" xfId="4" applyFont="1" applyAlignment="1">
      <alignment wrapText="1"/>
    </xf>
    <xf numFmtId="0" fontId="3" fillId="0" borderId="11" xfId="2" applyFont="1" applyBorder="1"/>
    <xf numFmtId="165" fontId="3" fillId="0" borderId="0" xfId="2" applyNumberFormat="1" applyFont="1"/>
    <xf numFmtId="165" fontId="3" fillId="0" borderId="0" xfId="3" applyNumberFormat="1" applyFont="1"/>
    <xf numFmtId="166" fontId="3" fillId="0" borderId="0" xfId="6" applyNumberFormat="1" applyFont="1" applyFill="1" applyAlignment="1"/>
    <xf numFmtId="0" fontId="9" fillId="0" borderId="0" xfId="3" applyFont="1"/>
    <xf numFmtId="165" fontId="10" fillId="0" borderId="0" xfId="1" applyNumberFormat="1" applyFont="1" applyFill="1"/>
    <xf numFmtId="165" fontId="10" fillId="0" borderId="0" xfId="1" applyNumberFormat="1" applyFont="1" applyFill="1" applyAlignment="1"/>
    <xf numFmtId="165" fontId="11" fillId="0" borderId="0" xfId="1" applyNumberFormat="1" applyFont="1" applyFill="1"/>
    <xf numFmtId="165" fontId="9" fillId="0" borderId="0" xfId="3" applyNumberFormat="1" applyFont="1"/>
    <xf numFmtId="0" fontId="8" fillId="0" borderId="0" xfId="3" applyFont="1"/>
    <xf numFmtId="165" fontId="8" fillId="0" borderId="0" xfId="3" applyNumberFormat="1" applyFont="1"/>
    <xf numFmtId="165" fontId="3" fillId="0" borderId="0" xfId="1" applyNumberFormat="1" applyFont="1" applyFill="1" applyBorder="1"/>
    <xf numFmtId="0" fontId="5" fillId="0" borderId="0" xfId="3" applyFont="1"/>
    <xf numFmtId="43" fontId="3" fillId="0" borderId="0" xfId="3" quotePrefix="1" applyNumberFormat="1" applyFont="1"/>
    <xf numFmtId="0" fontId="3" fillId="0" borderId="0" xfId="4" applyFont="1" applyAlignment="1">
      <alignment horizontal="left" wrapText="1"/>
    </xf>
    <xf numFmtId="166" fontId="12" fillId="0" borderId="0" xfId="1" applyNumberFormat="1" applyFont="1" applyFill="1" applyBorder="1"/>
    <xf numFmtId="166" fontId="3" fillId="0" borderId="0" xfId="1" applyNumberFormat="1" applyFont="1" applyFill="1" applyBorder="1"/>
    <xf numFmtId="43" fontId="3" fillId="0" borderId="0" xfId="1" applyFont="1" applyFill="1" applyBorder="1"/>
    <xf numFmtId="167" fontId="3" fillId="0" borderId="0" xfId="1" applyNumberFormat="1" applyFont="1" applyFill="1" applyBorder="1"/>
    <xf numFmtId="168" fontId="3" fillId="0" borderId="0" xfId="1" applyNumberFormat="1" applyFont="1" applyFill="1" applyBorder="1"/>
    <xf numFmtId="164" fontId="3" fillId="0" borderId="0" xfId="2" applyNumberFormat="1" applyFont="1"/>
    <xf numFmtId="0" fontId="3" fillId="0" borderId="1" xfId="0" applyFont="1" applyBorder="1" applyAlignment="1">
      <alignment vertical="top"/>
    </xf>
    <xf numFmtId="37" fontId="13" fillId="0" borderId="0" xfId="0" applyNumberFormat="1" applyFont="1"/>
    <xf numFmtId="0" fontId="14" fillId="0" borderId="0" xfId="0" applyFont="1"/>
    <xf numFmtId="37" fontId="13" fillId="0" borderId="0" xfId="0" quotePrefix="1" applyNumberFormat="1" applyFont="1" applyAlignment="1">
      <alignment horizontal="center"/>
    </xf>
    <xf numFmtId="37" fontId="13" fillId="0" borderId="0" xfId="0" applyNumberFormat="1" applyFont="1" applyAlignment="1">
      <alignment horizontal="center"/>
    </xf>
    <xf numFmtId="37" fontId="13" fillId="0" borderId="0" xfId="0" applyNumberFormat="1" applyFont="1" applyAlignment="1">
      <alignment horizontal="centerContinuous"/>
    </xf>
    <xf numFmtId="169" fontId="13" fillId="0" borderId="0" xfId="0" quotePrefix="1" applyNumberFormat="1" applyFont="1" applyAlignment="1">
      <alignment horizontal="centerContinuous"/>
    </xf>
    <xf numFmtId="37" fontId="13" fillId="0" borderId="0" xfId="0" applyNumberFormat="1" applyFont="1" applyAlignment="1" applyProtection="1">
      <alignment horizontal="centerContinuous"/>
      <protection locked="0"/>
    </xf>
    <xf numFmtId="37" fontId="15" fillId="0" borderId="0" xfId="0" applyNumberFormat="1" applyFont="1"/>
    <xf numFmtId="37" fontId="15" fillId="0" borderId="0" xfId="0" applyNumberFormat="1" applyFont="1" applyProtection="1">
      <protection locked="0"/>
    </xf>
    <xf numFmtId="37" fontId="15" fillId="0" borderId="0" xfId="0" applyNumberFormat="1" applyFont="1" applyAlignment="1">
      <alignment horizontal="center"/>
    </xf>
    <xf numFmtId="37" fontId="15" fillId="0" borderId="0" xfId="0" applyNumberFormat="1" applyFont="1" applyAlignment="1">
      <alignment horizontal="fill"/>
    </xf>
    <xf numFmtId="37" fontId="16" fillId="0" borderId="0" xfId="0" applyNumberFormat="1" applyFont="1" applyAlignment="1">
      <alignment horizontal="right"/>
    </xf>
    <xf numFmtId="43" fontId="14" fillId="0" borderId="0" xfId="1" applyFont="1"/>
    <xf numFmtId="37" fontId="15" fillId="0" borderId="0" xfId="0" quotePrefix="1" applyNumberFormat="1" applyFont="1" applyAlignment="1">
      <alignment horizontal="left"/>
    </xf>
    <xf numFmtId="165" fontId="15" fillId="0" borderId="0" xfId="1" applyNumberFormat="1" applyFont="1" applyFill="1"/>
    <xf numFmtId="37" fontId="14" fillId="0" borderId="0" xfId="0" applyNumberFormat="1" applyFont="1"/>
    <xf numFmtId="43" fontId="14" fillId="0" borderId="0" xfId="1" applyFont="1" applyFill="1"/>
    <xf numFmtId="37" fontId="15" fillId="0" borderId="0" xfId="0" applyNumberFormat="1" applyFont="1" applyAlignment="1">
      <alignment horizontal="left"/>
    </xf>
    <xf numFmtId="37" fontId="15" fillId="0" borderId="0" xfId="0" applyNumberFormat="1" applyFont="1" applyProtection="1">
      <protection hidden="1"/>
    </xf>
    <xf numFmtId="37" fontId="15" fillId="0" borderId="0" xfId="0" applyNumberFormat="1" applyFont="1" applyAlignment="1">
      <alignment horizontal="right"/>
    </xf>
    <xf numFmtId="37" fontId="16" fillId="0" borderId="0" xfId="0" applyNumberFormat="1" applyFont="1"/>
    <xf numFmtId="165" fontId="15" fillId="0" borderId="0" xfId="1" applyNumberFormat="1" applyFont="1"/>
    <xf numFmtId="165" fontId="15" fillId="0" borderId="0" xfId="1" applyNumberFormat="1" applyFont="1" applyFill="1" applyProtection="1">
      <protection locked="0"/>
    </xf>
    <xf numFmtId="0" fontId="2" fillId="0" borderId="0" xfId="2"/>
    <xf numFmtId="0" fontId="17" fillId="0" borderId="0" xfId="2" applyFont="1"/>
    <xf numFmtId="0" fontId="3" fillId="0" borderId="0" xfId="2" quotePrefix="1" applyFont="1" applyAlignment="1">
      <alignment horizontal="center"/>
    </xf>
    <xf numFmtId="0" fontId="3" fillId="0" borderId="0" xfId="2" applyFont="1" applyAlignment="1">
      <alignment horizontal="center"/>
    </xf>
    <xf numFmtId="0" fontId="3" fillId="0" borderId="0" xfId="2" applyFont="1" applyAlignment="1">
      <alignment horizontal="centerContinuous"/>
    </xf>
    <xf numFmtId="0" fontId="3" fillId="0" borderId="0" xfId="4" quotePrefix="1" applyFont="1" applyAlignment="1">
      <alignment wrapText="1"/>
    </xf>
    <xf numFmtId="0" fontId="3" fillId="0" borderId="1" xfId="4" applyFont="1" applyBorder="1" applyAlignment="1">
      <alignment horizontal="right" wrapText="1"/>
    </xf>
    <xf numFmtId="164" fontId="3" fillId="0" borderId="1" xfId="5" applyNumberFormat="1" applyFont="1" applyFill="1" applyBorder="1" applyAlignment="1"/>
    <xf numFmtId="0" fontId="3" fillId="0" borderId="1" xfId="2" quotePrefix="1" applyFont="1" applyBorder="1" applyAlignment="1">
      <alignment horizontal="center"/>
    </xf>
    <xf numFmtId="164" fontId="3" fillId="0" borderId="1" xfId="5" applyNumberFormat="1" applyFont="1" applyFill="1" applyBorder="1" applyAlignment="1">
      <alignment horizontal="center"/>
    </xf>
    <xf numFmtId="43" fontId="2" fillId="0" borderId="0" xfId="2" applyNumberFormat="1"/>
    <xf numFmtId="165" fontId="2" fillId="0" borderId="0" xfId="2" applyNumberFormat="1"/>
    <xf numFmtId="170" fontId="2" fillId="0" borderId="0" xfId="2" applyNumberFormat="1"/>
    <xf numFmtId="0" fontId="14" fillId="0" borderId="0" xfId="0" applyFont="1" applyAlignment="1">
      <alignment horizontal="center"/>
    </xf>
    <xf numFmtId="0" fontId="3" fillId="0" borderId="6" xfId="0" applyFont="1" applyBorder="1" applyAlignment="1">
      <alignment horizontal="right" vertical="top" indent="1"/>
    </xf>
    <xf numFmtId="0" fontId="3" fillId="0" borderId="6" xfId="2" applyFont="1" applyBorder="1" applyAlignment="1">
      <alignment horizontal="right" indent="1"/>
    </xf>
    <xf numFmtId="0" fontId="3" fillId="0" borderId="10" xfId="0" applyFont="1" applyBorder="1" applyAlignment="1">
      <alignment horizontal="right" vertical="top" indent="1"/>
    </xf>
    <xf numFmtId="0" fontId="3" fillId="0" borderId="0" xfId="4" applyFont="1" applyAlignment="1">
      <alignment horizontal="left"/>
    </xf>
    <xf numFmtId="165" fontId="3" fillId="0" borderId="1" xfId="2" applyNumberFormat="1" applyFont="1" applyBorder="1"/>
    <xf numFmtId="0" fontId="2" fillId="0" borderId="1" xfId="2" applyBorder="1"/>
    <xf numFmtId="164" fontId="3" fillId="70" borderId="0" xfId="0" applyNumberFormat="1" applyFont="1" applyFill="1" applyAlignment="1">
      <alignment vertical="top"/>
    </xf>
    <xf numFmtId="0" fontId="34" fillId="0" borderId="0" xfId="4" applyFont="1" applyAlignment="1">
      <alignment horizontal="left"/>
    </xf>
    <xf numFmtId="164" fontId="34" fillId="0" borderId="0" xfId="5" applyNumberFormat="1" applyFont="1" applyFill="1" applyBorder="1" applyAlignment="1"/>
    <xf numFmtId="0" fontId="34" fillId="0" borderId="0" xfId="2" applyFont="1"/>
    <xf numFmtId="165" fontId="34" fillId="0" borderId="0" xfId="6" applyNumberFormat="1" applyFont="1" applyFill="1" applyBorder="1" applyAlignment="1"/>
    <xf numFmtId="0" fontId="34" fillId="0" borderId="0" xfId="4" applyFont="1"/>
    <xf numFmtId="0" fontId="35" fillId="0" borderId="0" xfId="2" applyFont="1"/>
    <xf numFmtId="166" fontId="34" fillId="0" borderId="0" xfId="6" applyNumberFormat="1" applyFont="1" applyFill="1" applyBorder="1" applyAlignment="1"/>
    <xf numFmtId="165" fontId="34" fillId="0" borderId="0" xfId="1" applyNumberFormat="1" applyFont="1" applyFill="1" applyAlignment="1"/>
    <xf numFmtId="0" fontId="4" fillId="0" borderId="0" xfId="2" applyFont="1"/>
    <xf numFmtId="165" fontId="34" fillId="0" borderId="0" xfId="1" applyNumberFormat="1" applyFont="1" applyFill="1"/>
    <xf numFmtId="166" fontId="34" fillId="0" borderId="0" xfId="6" applyNumberFormat="1" applyFont="1" applyFill="1" applyAlignment="1"/>
    <xf numFmtId="165" fontId="34" fillId="0" borderId="0" xfId="2" applyNumberFormat="1" applyFont="1"/>
    <xf numFmtId="165" fontId="34" fillId="0" borderId="0" xfId="6" quotePrefix="1" applyNumberFormat="1" applyFont="1" applyFill="1" applyBorder="1" applyAlignment="1">
      <alignment horizontal="center"/>
    </xf>
    <xf numFmtId="166" fontId="34" fillId="0" borderId="0" xfId="6" applyNumberFormat="1" applyFont="1" applyFill="1" applyBorder="1" applyAlignment="1">
      <alignment horizontal="right"/>
    </xf>
    <xf numFmtId="0" fontId="3" fillId="0" borderId="2" xfId="3" quotePrefix="1" applyFont="1" applyBorder="1" applyAlignment="1">
      <alignment horizontal="center"/>
    </xf>
    <xf numFmtId="0" fontId="3" fillId="0" borderId="1" xfId="3" applyFont="1" applyBorder="1" applyAlignment="1">
      <alignment horizontal="center"/>
    </xf>
    <xf numFmtId="14" fontId="3" fillId="0" borderId="1" xfId="3" applyNumberFormat="1" applyFont="1" applyBorder="1" applyAlignment="1">
      <alignment horizontal="center"/>
    </xf>
    <xf numFmtId="14" fontId="3" fillId="0" borderId="1" xfId="3" quotePrefix="1" applyNumberFormat="1" applyFont="1" applyBorder="1" applyAlignment="1">
      <alignment horizontal="center"/>
    </xf>
    <xf numFmtId="0" fontId="3" fillId="0" borderId="1" xfId="3" quotePrefix="1" applyFont="1" applyBorder="1" applyAlignment="1">
      <alignment horizontal="center"/>
    </xf>
    <xf numFmtId="0" fontId="3" fillId="0" borderId="0" xfId="4" applyFont="1" applyAlignment="1">
      <alignment horizontal="right" wrapText="1"/>
    </xf>
    <xf numFmtId="164" fontId="5" fillId="0" borderId="9" xfId="5" applyNumberFormat="1" applyFont="1" applyFill="1" applyBorder="1" applyAlignment="1"/>
    <xf numFmtId="0" fontId="0" fillId="0" borderId="0" xfId="0" applyAlignment="1">
      <alignment horizontal="left" indent="1"/>
    </xf>
    <xf numFmtId="0" fontId="32" fillId="0" borderId="8" xfId="0" applyFont="1" applyBorder="1"/>
    <xf numFmtId="0" fontId="0" fillId="0" borderId="8" xfId="0" applyBorder="1"/>
    <xf numFmtId="0" fontId="3" fillId="0" borderId="1" xfId="0" applyFont="1" applyBorder="1"/>
    <xf numFmtId="166" fontId="2" fillId="0" borderId="0" xfId="1" applyNumberFormat="1" applyFont="1" applyFill="1" applyBorder="1" applyAlignment="1"/>
    <xf numFmtId="0" fontId="0" fillId="0" borderId="0" xfId="0" applyAlignment="1">
      <alignment horizontal="left"/>
    </xf>
    <xf numFmtId="0" fontId="2" fillId="0" borderId="4" xfId="2" applyBorder="1"/>
    <xf numFmtId="0" fontId="2" fillId="0" borderId="5" xfId="2" applyBorder="1"/>
    <xf numFmtId="0" fontId="2" fillId="0" borderId="10" xfId="2" applyBorder="1"/>
    <xf numFmtId="0" fontId="0" fillId="0" borderId="11" xfId="0" applyBorder="1"/>
    <xf numFmtId="0" fontId="102" fillId="0" borderId="0" xfId="0" applyFont="1"/>
    <xf numFmtId="164" fontId="34" fillId="0" borderId="0" xfId="5" applyNumberFormat="1" applyFont="1" applyFill="1" applyAlignment="1"/>
    <xf numFmtId="0" fontId="3" fillId="71" borderId="1" xfId="2" applyFont="1" applyFill="1" applyBorder="1"/>
    <xf numFmtId="0" fontId="3" fillId="71" borderId="1" xfId="0" applyFont="1" applyFill="1" applyBorder="1" applyAlignment="1">
      <alignment vertical="top"/>
    </xf>
    <xf numFmtId="165" fontId="3" fillId="71" borderId="1" xfId="2" applyNumberFormat="1" applyFont="1" applyFill="1" applyBorder="1"/>
    <xf numFmtId="0" fontId="2" fillId="71" borderId="1" xfId="2" applyFill="1" applyBorder="1"/>
    <xf numFmtId="0" fontId="3" fillId="71" borderId="0" xfId="2" applyFont="1" applyFill="1" applyAlignment="1">
      <alignment horizontal="left"/>
    </xf>
    <xf numFmtId="0" fontId="2" fillId="71" borderId="0" xfId="2" applyFill="1"/>
    <xf numFmtId="43" fontId="0" fillId="0" borderId="0" xfId="0" applyNumberFormat="1"/>
    <xf numFmtId="0" fontId="3" fillId="0" borderId="0" xfId="52220" applyFont="1"/>
    <xf numFmtId="0" fontId="3" fillId="0" borderId="0" xfId="52220" quotePrefix="1" applyFont="1" applyAlignment="1">
      <alignment horizontal="center"/>
    </xf>
    <xf numFmtId="0" fontId="3" fillId="0" borderId="0" xfId="52220" applyFont="1" applyAlignment="1">
      <alignment horizontal="center"/>
    </xf>
    <xf numFmtId="0" fontId="3" fillId="0" borderId="1" xfId="52220" applyFont="1" applyBorder="1"/>
    <xf numFmtId="0" fontId="3" fillId="0" borderId="1" xfId="52220" applyFont="1" applyBorder="1" applyAlignment="1">
      <alignment horizontal="center"/>
    </xf>
    <xf numFmtId="0" fontId="3" fillId="0" borderId="1" xfId="52220" quotePrefix="1" applyFont="1" applyBorder="1" applyAlignment="1">
      <alignment horizontal="center"/>
    </xf>
    <xf numFmtId="0" fontId="3" fillId="0" borderId="0" xfId="4" quotePrefix="1" applyFont="1"/>
    <xf numFmtId="165" fontId="3" fillId="0" borderId="0" xfId="6" quotePrefix="1" applyNumberFormat="1" applyFont="1" applyFill="1" applyBorder="1" applyAlignment="1"/>
    <xf numFmtId="165" fontId="3" fillId="0" borderId="0" xfId="51" applyNumberFormat="1" applyFont="1" applyFill="1" applyBorder="1" applyAlignment="1"/>
    <xf numFmtId="0" fontId="3" fillId="0" borderId="0" xfId="4" quotePrefix="1" applyFont="1" applyAlignment="1">
      <alignment horizontal="left" wrapText="1"/>
    </xf>
    <xf numFmtId="165" fontId="3" fillId="0" borderId="0" xfId="1" applyNumberFormat="1" applyFont="1" applyFill="1" applyBorder="1" applyAlignment="1"/>
    <xf numFmtId="3" fontId="3" fillId="0" borderId="0" xfId="4" quotePrefix="1" applyNumberFormat="1" applyFont="1" applyAlignment="1">
      <alignment horizontal="left"/>
    </xf>
    <xf numFmtId="165" fontId="3" fillId="0" borderId="8" xfId="1" applyNumberFormat="1" applyFont="1" applyFill="1" applyBorder="1" applyAlignment="1"/>
    <xf numFmtId="165" fontId="3" fillId="0" borderId="8" xfId="51" applyNumberFormat="1" applyFont="1" applyFill="1" applyBorder="1" applyAlignment="1"/>
    <xf numFmtId="43" fontId="3" fillId="0" borderId="0" xfId="1" applyFont="1" applyFill="1"/>
    <xf numFmtId="0" fontId="3" fillId="0" borderId="0" xfId="54" quotePrefix="1" applyFont="1"/>
    <xf numFmtId="164" fontId="3" fillId="0" borderId="43" xfId="5" applyNumberFormat="1" applyFont="1" applyFill="1" applyBorder="1" applyAlignment="1"/>
    <xf numFmtId="164" fontId="2" fillId="0" borderId="0" xfId="2" applyNumberFormat="1"/>
    <xf numFmtId="164" fontId="3" fillId="0" borderId="0" xfId="52220" applyNumberFormat="1" applyFont="1"/>
    <xf numFmtId="165" fontId="3" fillId="0" borderId="0" xfId="52220" applyNumberFormat="1" applyFont="1"/>
    <xf numFmtId="164" fontId="3" fillId="0" borderId="0" xfId="52" applyNumberFormat="1" applyFont="1" applyFill="1" applyBorder="1" applyAlignment="1"/>
    <xf numFmtId="165" fontId="3" fillId="0" borderId="4" xfId="6" applyNumberFormat="1" applyFont="1" applyFill="1" applyBorder="1" applyAlignment="1"/>
    <xf numFmtId="164" fontId="3" fillId="0" borderId="43" xfId="52" applyNumberFormat="1" applyFont="1" applyFill="1" applyBorder="1" applyAlignment="1"/>
    <xf numFmtId="164" fontId="3" fillId="0" borderId="1" xfId="2" applyNumberFormat="1" applyFont="1" applyBorder="1"/>
    <xf numFmtId="165" fontId="3" fillId="0" borderId="0" xfId="1" applyNumberFormat="1" applyFont="1" applyAlignment="1">
      <alignment horizontal="center"/>
    </xf>
    <xf numFmtId="165" fontId="3" fillId="0" borderId="0" xfId="1" applyNumberFormat="1" applyFont="1" applyFill="1"/>
    <xf numFmtId="165" fontId="12" fillId="0" borderId="0" xfId="2" applyNumberFormat="1" applyFont="1"/>
    <xf numFmtId="165" fontId="2" fillId="0" borderId="0" xfId="1" applyNumberFormat="1" applyFont="1" applyFill="1"/>
    <xf numFmtId="0" fontId="12" fillId="3" borderId="0" xfId="2" applyFont="1" applyFill="1"/>
    <xf numFmtId="0" fontId="105" fillId="0" borderId="0" xfId="2" applyFont="1" applyAlignment="1">
      <alignment horizontal="right"/>
    </xf>
    <xf numFmtId="0" fontId="106" fillId="0" borderId="0" xfId="2" applyFont="1"/>
    <xf numFmtId="164" fontId="12" fillId="0" borderId="0" xfId="2" applyNumberFormat="1" applyFont="1"/>
    <xf numFmtId="43" fontId="0" fillId="0" borderId="0" xfId="1" applyFont="1"/>
    <xf numFmtId="43" fontId="0" fillId="0" borderId="0" xfId="1" applyFont="1" applyFill="1"/>
    <xf numFmtId="0" fontId="30" fillId="0" borderId="0" xfId="0" applyFont="1"/>
    <xf numFmtId="41" fontId="107" fillId="72" borderId="44" xfId="1" quotePrefix="1" applyNumberFormat="1" applyFont="1" applyFill="1" applyBorder="1" applyAlignment="1" applyProtection="1">
      <alignment horizontal="center" vertical="center"/>
    </xf>
    <xf numFmtId="43" fontId="32" fillId="0" borderId="0" xfId="1" applyFont="1"/>
    <xf numFmtId="41" fontId="107" fillId="72" borderId="45" xfId="1" quotePrefix="1" applyNumberFormat="1" applyFont="1" applyFill="1" applyBorder="1" applyAlignment="1" applyProtection="1">
      <alignment horizontal="center" vertical="center"/>
    </xf>
    <xf numFmtId="0" fontId="32" fillId="0" borderId="10" xfId="0" applyFont="1" applyBorder="1"/>
    <xf numFmtId="0" fontId="109" fillId="0" borderId="0" xfId="0" applyFont="1"/>
    <xf numFmtId="0" fontId="0" fillId="0" borderId="0" xfId="1" applyNumberFormat="1" applyFont="1"/>
    <xf numFmtId="0" fontId="109" fillId="0" borderId="0" xfId="0" quotePrefix="1" applyFont="1"/>
    <xf numFmtId="0" fontId="0" fillId="0" borderId="0" xfId="0" quotePrefix="1"/>
    <xf numFmtId="0" fontId="109" fillId="3" borderId="0" xfId="0" quotePrefix="1" applyFont="1" applyFill="1"/>
    <xf numFmtId="0" fontId="0" fillId="3" borderId="0" xfId="0" quotePrefix="1" applyFill="1"/>
    <xf numFmtId="0" fontId="0" fillId="3" borderId="0" xfId="0" applyFill="1"/>
    <xf numFmtId="43" fontId="0" fillId="3" borderId="0" xfId="1" applyFont="1" applyFill="1"/>
    <xf numFmtId="0" fontId="111" fillId="0" borderId="0" xfId="0" quotePrefix="1" applyFont="1"/>
    <xf numFmtId="0" fontId="111" fillId="0" borderId="0" xfId="0" applyFont="1"/>
    <xf numFmtId="165" fontId="30" fillId="0" borderId="0" xfId="1" applyNumberFormat="1" applyFont="1" applyFill="1"/>
    <xf numFmtId="0" fontId="112" fillId="0" borderId="0" xfId="0" applyFont="1"/>
    <xf numFmtId="0" fontId="0" fillId="73" borderId="4" xfId="0" applyFill="1" applyBorder="1" applyAlignment="1">
      <alignment horizontal="center"/>
    </xf>
    <xf numFmtId="0" fontId="0" fillId="73" borderId="4" xfId="0" applyFill="1" applyBorder="1"/>
    <xf numFmtId="0" fontId="0" fillId="74" borderId="0" xfId="0" applyFill="1"/>
    <xf numFmtId="0" fontId="0" fillId="73" borderId="8" xfId="0" applyFill="1" applyBorder="1" applyAlignment="1">
      <alignment horizontal="center"/>
    </xf>
    <xf numFmtId="0" fontId="0" fillId="73" borderId="8" xfId="0" applyFill="1" applyBorder="1"/>
    <xf numFmtId="0" fontId="0" fillId="0" borderId="0" xfId="0" applyAlignment="1">
      <alignment horizontal="center"/>
    </xf>
    <xf numFmtId="0" fontId="113" fillId="75" borderId="0" xfId="0" applyFont="1" applyFill="1" applyAlignment="1">
      <alignment horizontal="center"/>
    </xf>
    <xf numFmtId="17" fontId="0" fillId="2" borderId="0" xfId="0" applyNumberFormat="1" applyFill="1"/>
    <xf numFmtId="164" fontId="0" fillId="2" borderId="0" xfId="0" applyNumberFormat="1" applyFill="1" applyAlignment="1">
      <alignment horizontal="center"/>
    </xf>
    <xf numFmtId="164" fontId="14" fillId="2" borderId="0" xfId="50699" applyNumberFormat="1" applyFont="1" applyFill="1" applyAlignment="1">
      <alignment horizontal="center"/>
    </xf>
    <xf numFmtId="164" fontId="0" fillId="2" borderId="0" xfId="0" applyNumberFormat="1" applyFill="1"/>
    <xf numFmtId="164" fontId="14" fillId="2" borderId="0" xfId="0" applyNumberFormat="1" applyFont="1" applyFill="1"/>
    <xf numFmtId="43" fontId="30" fillId="0" borderId="0" xfId="1" applyFont="1" applyFill="1"/>
    <xf numFmtId="164" fontId="14" fillId="2" borderId="0" xfId="0" applyNumberFormat="1" applyFont="1" applyFill="1" applyAlignment="1">
      <alignment horizontal="center"/>
    </xf>
    <xf numFmtId="164" fontId="14" fillId="2" borderId="0" xfId="50699" applyNumberFormat="1" applyFont="1" applyFill="1"/>
    <xf numFmtId="164" fontId="0" fillId="2" borderId="0" xfId="50699" applyNumberFormat="1" applyFont="1" applyFill="1" applyAlignment="1">
      <alignment horizontal="center"/>
    </xf>
    <xf numFmtId="164" fontId="0" fillId="2" borderId="0" xfId="50699" applyNumberFormat="1" applyFont="1" applyFill="1"/>
    <xf numFmtId="164" fontId="111" fillId="2" borderId="0" xfId="0" applyNumberFormat="1" applyFont="1" applyFill="1"/>
    <xf numFmtId="43" fontId="30" fillId="3" borderId="0" xfId="1" applyFont="1" applyFill="1"/>
    <xf numFmtId="17" fontId="0" fillId="0" borderId="0" xfId="0" applyNumberFormat="1"/>
    <xf numFmtId="164" fontId="111" fillId="0" borderId="0" xfId="50699" applyNumberFormat="1" applyFont="1" applyFill="1" applyAlignment="1">
      <alignment horizontal="center"/>
    </xf>
    <xf numFmtId="164" fontId="14" fillId="0" borderId="0" xfId="50699" applyNumberFormat="1" applyFont="1" applyFill="1" applyAlignment="1">
      <alignment horizontal="center"/>
    </xf>
    <xf numFmtId="164" fontId="14" fillId="0" borderId="0" xfId="0" applyNumberFormat="1" applyFont="1"/>
    <xf numFmtId="164" fontId="0" fillId="0" borderId="0" xfId="0" applyNumberFormat="1"/>
    <xf numFmtId="164" fontId="0" fillId="0" borderId="0" xfId="50699" applyNumberFormat="1" applyFont="1"/>
    <xf numFmtId="164" fontId="111" fillId="0" borderId="0" xfId="0" applyNumberFormat="1" applyFont="1"/>
    <xf numFmtId="17" fontId="0" fillId="0" borderId="8" xfId="0" applyNumberFormat="1" applyBorder="1"/>
    <xf numFmtId="164" fontId="111" fillId="0" borderId="8" xfId="50699" applyNumberFormat="1" applyFont="1" applyFill="1" applyBorder="1" applyAlignment="1">
      <alignment horizontal="center"/>
    </xf>
    <xf numFmtId="164" fontId="14" fillId="0" borderId="8" xfId="50699" applyNumberFormat="1" applyFont="1" applyFill="1" applyBorder="1" applyAlignment="1">
      <alignment horizontal="center"/>
    </xf>
    <xf numFmtId="164" fontId="14" fillId="0" borderId="8" xfId="0" applyNumberFormat="1" applyFont="1" applyBorder="1"/>
    <xf numFmtId="164" fontId="0" fillId="0" borderId="8" xfId="0" applyNumberFormat="1" applyBorder="1"/>
    <xf numFmtId="0" fontId="30" fillId="0" borderId="0" xfId="0" applyFont="1" applyAlignment="1">
      <alignment horizontal="left"/>
    </xf>
    <xf numFmtId="0" fontId="0" fillId="76" borderId="22" xfId="0" applyFill="1" applyBorder="1" applyAlignment="1">
      <alignment horizontal="center"/>
    </xf>
    <xf numFmtId="0" fontId="0" fillId="0" borderId="22" xfId="0" applyBorder="1"/>
    <xf numFmtId="0" fontId="0" fillId="0" borderId="47" xfId="0" applyBorder="1" applyAlignment="1">
      <alignment horizontal="center"/>
    </xf>
    <xf numFmtId="0" fontId="0" fillId="0" borderId="22" xfId="0" applyBorder="1" applyAlignment="1">
      <alignment horizontal="center"/>
    </xf>
    <xf numFmtId="164" fontId="111" fillId="0" borderId="22" xfId="0" applyNumberFormat="1" applyFont="1" applyBorder="1"/>
    <xf numFmtId="164" fontId="111" fillId="0" borderId="22" xfId="0" applyNumberFormat="1" applyFont="1" applyBorder="1" applyAlignment="1">
      <alignment horizontal="center"/>
    </xf>
    <xf numFmtId="43" fontId="111" fillId="0" borderId="22" xfId="1" applyFont="1" applyBorder="1" applyAlignment="1">
      <alignment horizontal="center"/>
    </xf>
    <xf numFmtId="164" fontId="0" fillId="0" borderId="22" xfId="0" applyNumberFormat="1" applyBorder="1" applyAlignment="1">
      <alignment horizontal="center"/>
    </xf>
    <xf numFmtId="164" fontId="0" fillId="0" borderId="22" xfId="0" applyNumberFormat="1" applyBorder="1"/>
    <xf numFmtId="0" fontId="0" fillId="78" borderId="22" xfId="0" applyFill="1" applyBorder="1" applyAlignment="1">
      <alignment horizontal="center"/>
    </xf>
    <xf numFmtId="0" fontId="0" fillId="78" borderId="22" xfId="0" applyFill="1" applyBorder="1"/>
    <xf numFmtId="0" fontId="0" fillId="0" borderId="45" xfId="0" applyBorder="1"/>
    <xf numFmtId="0" fontId="0" fillId="0" borderId="11" xfId="0" applyBorder="1" applyAlignment="1">
      <alignment horizontal="center"/>
    </xf>
    <xf numFmtId="43" fontId="111" fillId="0" borderId="11" xfId="1" applyFont="1" applyBorder="1" applyAlignment="1">
      <alignment horizontal="center"/>
    </xf>
    <xf numFmtId="43" fontId="111" fillId="0" borderId="47" xfId="1" applyFont="1" applyBorder="1" applyAlignment="1">
      <alignment horizontal="center"/>
    </xf>
    <xf numFmtId="0" fontId="32" fillId="0" borderId="0" xfId="0" applyFont="1" applyAlignment="1">
      <alignment horizontal="center"/>
    </xf>
    <xf numFmtId="0" fontId="0" fillId="2" borderId="0" xfId="0" applyFill="1"/>
    <xf numFmtId="164" fontId="0" fillId="0" borderId="0" xfId="0" applyNumberFormat="1" applyAlignment="1">
      <alignment horizontal="center"/>
    </xf>
    <xf numFmtId="164" fontId="14" fillId="0" borderId="0" xfId="50699" applyNumberFormat="1" applyFont="1" applyFill="1" applyBorder="1" applyAlignment="1">
      <alignment horizontal="center"/>
    </xf>
    <xf numFmtId="164" fontId="14" fillId="0" borderId="0" xfId="0" applyNumberFormat="1" applyFont="1" applyAlignment="1">
      <alignment horizontal="center"/>
    </xf>
    <xf numFmtId="164" fontId="0" fillId="0" borderId="0" xfId="50699" applyNumberFormat="1" applyFont="1" applyFill="1"/>
    <xf numFmtId="0" fontId="3" fillId="71" borderId="0" xfId="3" applyFont="1" applyFill="1"/>
    <xf numFmtId="0" fontId="3" fillId="71" borderId="0" xfId="2" applyFont="1" applyFill="1"/>
    <xf numFmtId="0" fontId="30" fillId="3" borderId="0" xfId="0" applyFont="1" applyFill="1"/>
    <xf numFmtId="0" fontId="113" fillId="3" borderId="0" xfId="0" applyFont="1" applyFill="1"/>
    <xf numFmtId="0" fontId="3" fillId="0" borderId="1" xfId="53" applyFont="1" applyBorder="1"/>
    <xf numFmtId="0" fontId="3" fillId="0" borderId="0" xfId="53" applyFont="1"/>
    <xf numFmtId="0" fontId="3" fillId="0" borderId="0" xfId="53" quotePrefix="1" applyFont="1" applyAlignment="1">
      <alignment horizontal="center"/>
    </xf>
    <xf numFmtId="0" fontId="3" fillId="0" borderId="0" xfId="53" applyFont="1" applyAlignment="1">
      <alignment horizontal="center"/>
    </xf>
    <xf numFmtId="0" fontId="3" fillId="0" borderId="1" xfId="53" applyFont="1" applyBorder="1" applyAlignment="1">
      <alignment horizontal="center"/>
    </xf>
    <xf numFmtId="14" fontId="3" fillId="0" borderId="1" xfId="53" applyNumberFormat="1" applyFont="1" applyBorder="1" applyAlignment="1">
      <alignment horizontal="center"/>
    </xf>
    <xf numFmtId="14" fontId="3" fillId="0" borderId="1" xfId="53" quotePrefix="1" applyNumberFormat="1" applyFont="1" applyBorder="1" applyAlignment="1">
      <alignment horizontal="center"/>
    </xf>
    <xf numFmtId="0" fontId="3" fillId="0" borderId="1" xfId="53" quotePrefix="1" applyFont="1" applyBorder="1" applyAlignment="1">
      <alignment horizontal="center"/>
    </xf>
    <xf numFmtId="164" fontId="3" fillId="0" borderId="0" xfId="52" applyNumberFormat="1" applyFont="1" applyFill="1" applyAlignment="1"/>
    <xf numFmtId="165" fontId="3" fillId="0" borderId="0" xfId="51" applyNumberFormat="1" applyFont="1" applyFill="1" applyBorder="1"/>
    <xf numFmtId="165" fontId="3" fillId="0" borderId="0" xfId="51" applyNumberFormat="1" applyFont="1" applyFill="1"/>
    <xf numFmtId="10" fontId="3" fillId="0" borderId="0" xfId="60" applyNumberFormat="1" applyFont="1" applyFill="1" applyBorder="1"/>
    <xf numFmtId="165" fontId="3" fillId="0" borderId="0" xfId="51" applyNumberFormat="1" applyFont="1" applyFill="1" applyAlignment="1"/>
    <xf numFmtId="0" fontId="34" fillId="0" borderId="0" xfId="53" applyFont="1"/>
    <xf numFmtId="0" fontId="34" fillId="0" borderId="1" xfId="53" applyFont="1" applyBorder="1"/>
    <xf numFmtId="0" fontId="34" fillId="0" borderId="2" xfId="53" applyFont="1" applyBorder="1" applyAlignment="1">
      <alignment horizontal="left"/>
    </xf>
    <xf numFmtId="0" fontId="34" fillId="0" borderId="0" xfId="53" applyFont="1" applyAlignment="1">
      <alignment horizontal="left"/>
    </xf>
    <xf numFmtId="0" fontId="34" fillId="0" borderId="0" xfId="53" applyFont="1" applyAlignment="1">
      <alignment horizontal="right"/>
    </xf>
    <xf numFmtId="0" fontId="34" fillId="0" borderId="0" xfId="2" applyFont="1" applyAlignment="1">
      <alignment horizontal="right"/>
    </xf>
    <xf numFmtId="0" fontId="105" fillId="0" borderId="0" xfId="2" applyFont="1"/>
    <xf numFmtId="0" fontId="34" fillId="0" borderId="1" xfId="3" applyFont="1" applyBorder="1"/>
    <xf numFmtId="0" fontId="34" fillId="0" borderId="1" xfId="2" applyFont="1" applyBorder="1"/>
    <xf numFmtId="0" fontId="34" fillId="0" borderId="1" xfId="2" applyFont="1" applyBorder="1" applyAlignment="1">
      <alignment horizontal="center"/>
    </xf>
    <xf numFmtId="0" fontId="34" fillId="0" borderId="0" xfId="53" quotePrefix="1" applyFont="1" applyAlignment="1">
      <alignment horizontal="center"/>
    </xf>
    <xf numFmtId="0" fontId="34" fillId="0" borderId="0" xfId="53" applyFont="1" applyAlignment="1">
      <alignment horizontal="center"/>
    </xf>
    <xf numFmtId="0" fontId="34" fillId="73" borderId="0" xfId="53" applyFont="1" applyFill="1" applyAlignment="1">
      <alignment horizontal="right"/>
    </xf>
    <xf numFmtId="43" fontId="34" fillId="73" borderId="0" xfId="1" applyFont="1" applyFill="1"/>
    <xf numFmtId="0" fontId="34" fillId="0" borderId="1" xfId="53" applyFont="1" applyBorder="1" applyAlignment="1">
      <alignment horizontal="center"/>
    </xf>
    <xf numFmtId="14" fontId="34" fillId="0" borderId="1" xfId="53" quotePrefix="1" applyNumberFormat="1" applyFont="1" applyBorder="1" applyAlignment="1">
      <alignment horizontal="center"/>
    </xf>
    <xf numFmtId="0" fontId="34" fillId="0" borderId="1" xfId="53" quotePrefix="1" applyFont="1" applyBorder="1" applyAlignment="1">
      <alignment horizontal="center"/>
    </xf>
    <xf numFmtId="0" fontId="114" fillId="0" borderId="0" xfId="52221" applyFont="1" applyAlignment="1">
      <alignment wrapText="1"/>
    </xf>
    <xf numFmtId="164" fontId="34" fillId="0" borderId="0" xfId="52" applyNumberFormat="1" applyFont="1" applyFill="1" applyAlignment="1">
      <alignment horizontal="left"/>
    </xf>
    <xf numFmtId="164" fontId="34" fillId="0" borderId="0" xfId="52" applyNumberFormat="1" applyFont="1" applyFill="1"/>
    <xf numFmtId="164" fontId="34" fillId="0" borderId="0" xfId="52" applyNumberFormat="1" applyFont="1" applyFill="1" applyBorder="1"/>
    <xf numFmtId="164" fontId="115" fillId="0" borderId="0" xfId="52" applyNumberFormat="1" applyFont="1" applyFill="1"/>
    <xf numFmtId="0" fontId="34" fillId="0" borderId="8" xfId="1" quotePrefix="1" applyNumberFormat="1" applyFont="1" applyFill="1" applyBorder="1" applyAlignment="1">
      <alignment horizontal="center"/>
    </xf>
    <xf numFmtId="10" fontId="34" fillId="0" borderId="8" xfId="1" applyNumberFormat="1" applyFont="1" applyFill="1" applyBorder="1" applyAlignment="1">
      <alignment horizontal="center"/>
    </xf>
    <xf numFmtId="164" fontId="34" fillId="0" borderId="8" xfId="52" applyNumberFormat="1" applyFont="1" applyFill="1" applyBorder="1" applyAlignment="1">
      <alignment horizontal="center"/>
    </xf>
    <xf numFmtId="165" fontId="115" fillId="0" borderId="0" xfId="1" applyNumberFormat="1" applyFont="1" applyFill="1"/>
    <xf numFmtId="165" fontId="34" fillId="0" borderId="0" xfId="51" applyNumberFormat="1" applyFont="1" applyFill="1" applyBorder="1"/>
    <xf numFmtId="164" fontId="34" fillId="73" borderId="0" xfId="52" applyNumberFormat="1" applyFont="1" applyFill="1" applyAlignment="1">
      <alignment horizontal="center"/>
    </xf>
    <xf numFmtId="10" fontId="34" fillId="73" borderId="0" xfId="8594" applyNumberFormat="1" applyFont="1" applyFill="1"/>
    <xf numFmtId="165" fontId="34" fillId="0" borderId="0" xfId="51" applyNumberFormat="1" applyFont="1" applyFill="1"/>
    <xf numFmtId="0" fontId="114" fillId="0" borderId="0" xfId="52221" applyFont="1"/>
    <xf numFmtId="165" fontId="116" fillId="0" borderId="0" xfId="51" applyNumberFormat="1" applyFont="1" applyFill="1" applyBorder="1"/>
    <xf numFmtId="164" fontId="34" fillId="0" borderId="0" xfId="52" applyNumberFormat="1" applyFont="1" applyFill="1" applyAlignment="1">
      <alignment horizontal="left" indent="1"/>
    </xf>
    <xf numFmtId="165" fontId="3" fillId="0" borderId="1" xfId="51" applyNumberFormat="1" applyFont="1" applyFill="1" applyBorder="1"/>
    <xf numFmtId="164" fontId="3" fillId="0" borderId="0" xfId="52" applyNumberFormat="1" applyFont="1" applyFill="1"/>
    <xf numFmtId="164" fontId="3" fillId="0" borderId="9" xfId="52" applyNumberFormat="1" applyFont="1" applyFill="1" applyBorder="1"/>
    <xf numFmtId="164" fontId="34" fillId="0" borderId="1" xfId="53" applyNumberFormat="1" applyFont="1" applyBorder="1"/>
    <xf numFmtId="0" fontId="2" fillId="0" borderId="0" xfId="2" applyAlignment="1">
      <alignment horizontal="left"/>
    </xf>
    <xf numFmtId="0" fontId="3" fillId="0" borderId="0" xfId="52222" quotePrefix="1" applyFont="1" applyAlignment="1">
      <alignment horizontal="center"/>
    </xf>
    <xf numFmtId="0" fontId="3" fillId="0" borderId="0" xfId="52222" applyFont="1"/>
    <xf numFmtId="0" fontId="3" fillId="0" borderId="0" xfId="52222" applyFont="1" applyAlignment="1">
      <alignment horizontal="center"/>
    </xf>
    <xf numFmtId="14" fontId="3" fillId="0" borderId="1" xfId="2" applyNumberFormat="1" applyFont="1" applyBorder="1" applyAlignment="1">
      <alignment horizontal="center"/>
    </xf>
    <xf numFmtId="14" fontId="3" fillId="0" borderId="1" xfId="2" quotePrefix="1" applyNumberFormat="1" applyFont="1" applyBorder="1" applyAlignment="1">
      <alignment horizontal="center"/>
    </xf>
    <xf numFmtId="0" fontId="3" fillId="0" borderId="1" xfId="52222" quotePrefix="1" applyFont="1" applyBorder="1" applyAlignment="1">
      <alignment horizontal="center"/>
    </xf>
    <xf numFmtId="14" fontId="3" fillId="0" borderId="0" xfId="2" applyNumberFormat="1" applyFont="1" applyAlignment="1">
      <alignment horizontal="center"/>
    </xf>
    <xf numFmtId="14" fontId="3" fillId="0" borderId="0" xfId="2" quotePrefix="1" applyNumberFormat="1" applyFont="1" applyAlignment="1">
      <alignment horizontal="center"/>
    </xf>
    <xf numFmtId="3" fontId="3" fillId="0" borderId="0" xfId="4" applyNumberFormat="1" applyFont="1" applyAlignment="1">
      <alignment horizontal="left"/>
    </xf>
    <xf numFmtId="166" fontId="3" fillId="0" borderId="0" xfId="51" applyNumberFormat="1" applyFont="1" applyFill="1" applyBorder="1" applyAlignment="1"/>
    <xf numFmtId="164" fontId="3" fillId="0" borderId="0" xfId="52" applyNumberFormat="1" applyFont="1" applyFill="1" applyBorder="1" applyAlignment="1">
      <alignment horizontal="left"/>
    </xf>
    <xf numFmtId="165" fontId="3" fillId="0" borderId="0" xfId="6" applyNumberFormat="1" applyFont="1" applyFill="1" applyBorder="1" applyAlignment="1">
      <alignment horizontal="left"/>
    </xf>
    <xf numFmtId="165" fontId="3" fillId="0" borderId="0" xfId="51" applyNumberFormat="1" applyFont="1" applyFill="1" applyBorder="1" applyAlignment="1">
      <alignment horizontal="left"/>
    </xf>
    <xf numFmtId="164" fontId="5" fillId="0" borderId="0" xfId="52" applyNumberFormat="1" applyFont="1" applyFill="1" applyBorder="1" applyAlignment="1"/>
    <xf numFmtId="165" fontId="3" fillId="0" borderId="4" xfId="51" applyNumberFormat="1" applyFont="1" applyFill="1" applyBorder="1" applyAlignment="1"/>
    <xf numFmtId="165" fontId="3" fillId="0" borderId="0" xfId="51" quotePrefix="1" applyNumberFormat="1" applyFont="1" applyFill="1" applyBorder="1" applyAlignment="1">
      <alignment horizontal="left"/>
    </xf>
    <xf numFmtId="165" fontId="3" fillId="0" borderId="0" xfId="2" applyNumberFormat="1" applyFont="1" applyAlignment="1">
      <alignment horizontal="left"/>
    </xf>
    <xf numFmtId="0" fontId="5" fillId="0" borderId="1" xfId="2" applyFont="1" applyBorder="1" applyAlignment="1">
      <alignment horizontal="left"/>
    </xf>
    <xf numFmtId="165" fontId="3" fillId="0" borderId="1" xfId="51" applyNumberFormat="1" applyFont="1" applyFill="1" applyBorder="1" applyAlignment="1"/>
    <xf numFmtId="0" fontId="3" fillId="0" borderId="0" xfId="3" applyFont="1" applyAlignment="1">
      <alignment horizontal="left"/>
    </xf>
    <xf numFmtId="165" fontId="3" fillId="0" borderId="0" xfId="51" quotePrefix="1" applyNumberFormat="1" applyFont="1" applyFill="1" applyAlignment="1">
      <alignment horizontal="center"/>
    </xf>
    <xf numFmtId="165" fontId="3" fillId="0" borderId="0" xfId="51" applyNumberFormat="1" applyFont="1" applyFill="1" applyAlignment="1">
      <alignment horizontal="center"/>
    </xf>
    <xf numFmtId="165" fontId="3" fillId="0" borderId="1" xfId="51" quotePrefix="1" applyNumberFormat="1" applyFont="1" applyFill="1" applyBorder="1" applyAlignment="1">
      <alignment horizontal="center"/>
    </xf>
    <xf numFmtId="0" fontId="5" fillId="0" borderId="0" xfId="52220" applyFont="1"/>
    <xf numFmtId="198" fontId="3" fillId="0" borderId="0" xfId="51" applyNumberFormat="1" applyFont="1" applyFill="1" applyBorder="1" applyAlignment="1"/>
    <xf numFmtId="166" fontId="3" fillId="0" borderId="0" xfId="51" applyNumberFormat="1" applyFont="1" applyFill="1" applyBorder="1" applyAlignment="1">
      <alignment horizontal="right"/>
    </xf>
    <xf numFmtId="165" fontId="3" fillId="0" borderId="4" xfId="2" applyNumberFormat="1" applyFont="1" applyBorder="1"/>
    <xf numFmtId="165" fontId="3" fillId="0" borderId="0" xfId="52222" applyNumberFormat="1" applyFont="1"/>
    <xf numFmtId="3" fontId="3" fillId="0" borderId="0" xfId="2" applyNumberFormat="1" applyFont="1" applyAlignment="1">
      <alignment horizontal="left"/>
    </xf>
    <xf numFmtId="0" fontId="5" fillId="0" borderId="0" xfId="2" applyFont="1" applyAlignment="1">
      <alignment horizontal="left"/>
    </xf>
    <xf numFmtId="165" fontId="3" fillId="0" borderId="21" xfId="51" applyNumberFormat="1" applyFont="1" applyFill="1" applyBorder="1" applyAlignment="1"/>
    <xf numFmtId="165" fontId="34" fillId="0" borderId="0" xfId="1" applyNumberFormat="1" applyFont="1" applyAlignment="1">
      <alignment horizontal="center"/>
    </xf>
    <xf numFmtId="0" fontId="8" fillId="0" borderId="0" xfId="2" applyFont="1" applyAlignment="1">
      <alignment horizontal="right"/>
    </xf>
    <xf numFmtId="0" fontId="34" fillId="0" borderId="0" xfId="52220" applyFont="1"/>
    <xf numFmtId="0" fontId="2" fillId="3" borderId="0" xfId="2" applyFill="1"/>
    <xf numFmtId="49" fontId="0" fillId="0" borderId="0" xfId="0" applyNumberFormat="1"/>
    <xf numFmtId="0" fontId="117" fillId="0" borderId="0" xfId="0" applyFont="1"/>
    <xf numFmtId="0" fontId="118" fillId="0" borderId="0" xfId="0" applyFont="1"/>
    <xf numFmtId="0" fontId="34" fillId="73" borderId="0" xfId="53" quotePrefix="1" applyFont="1" applyFill="1" applyAlignment="1">
      <alignment horizontal="center"/>
    </xf>
    <xf numFmtId="0" fontId="2" fillId="80" borderId="0" xfId="2" applyFill="1"/>
    <xf numFmtId="37" fontId="15" fillId="80" borderId="0" xfId="0" applyNumberFormat="1" applyFont="1" applyFill="1" applyAlignment="1">
      <alignment horizontal="fill"/>
    </xf>
    <xf numFmtId="43" fontId="2" fillId="80" borderId="0" xfId="1" applyFont="1" applyFill="1"/>
    <xf numFmtId="43" fontId="2" fillId="0" borderId="0" xfId="1" applyFont="1" applyFill="1"/>
    <xf numFmtId="165" fontId="12" fillId="0" borderId="0" xfId="1" applyNumberFormat="1" applyFont="1" applyFill="1"/>
    <xf numFmtId="165" fontId="12" fillId="0" borderId="0" xfId="1" applyNumberFormat="1" applyFont="1" applyFill="1" applyAlignment="1">
      <alignment horizontal="right"/>
    </xf>
    <xf numFmtId="0" fontId="3" fillId="0" borderId="6" xfId="0" applyFont="1" applyBorder="1" applyAlignment="1">
      <alignment horizontal="right" vertical="top"/>
    </xf>
    <xf numFmtId="0" fontId="3" fillId="0" borderId="3" xfId="0" applyFont="1" applyBorder="1" applyAlignment="1">
      <alignment horizontal="right"/>
    </xf>
    <xf numFmtId="0" fontId="3" fillId="0" borderId="0" xfId="0" applyFont="1" applyAlignment="1">
      <alignment horizontal="right" vertical="top" indent="1"/>
    </xf>
    <xf numFmtId="0" fontId="3" fillId="0" borderId="7" xfId="0" applyFont="1" applyBorder="1" applyAlignment="1">
      <alignment horizontal="right" vertical="top" indent="1"/>
    </xf>
    <xf numFmtId="164" fontId="3" fillId="0" borderId="7" xfId="0" applyNumberFormat="1" applyFont="1" applyBorder="1" applyAlignment="1">
      <alignment vertical="top"/>
    </xf>
    <xf numFmtId="164" fontId="7" fillId="0" borderId="7" xfId="0" applyNumberFormat="1" applyFont="1" applyBorder="1" applyAlignment="1">
      <alignment vertical="top"/>
    </xf>
    <xf numFmtId="164" fontId="3" fillId="70" borderId="7" xfId="0" applyNumberFormat="1" applyFont="1" applyFill="1" applyBorder="1" applyAlignment="1">
      <alignment vertical="top"/>
    </xf>
    <xf numFmtId="164" fontId="3" fillId="4" borderId="0" xfId="0" applyNumberFormat="1" applyFont="1" applyFill="1" applyAlignment="1">
      <alignment vertical="top"/>
    </xf>
    <xf numFmtId="164" fontId="3" fillId="4" borderId="7" xfId="0" applyNumberFormat="1" applyFont="1" applyFill="1" applyBorder="1" applyAlignment="1">
      <alignment vertical="top"/>
    </xf>
    <xf numFmtId="43" fontId="34" fillId="0" borderId="0" xfId="2" applyNumberFormat="1" applyFont="1"/>
    <xf numFmtId="0" fontId="12" fillId="79" borderId="3" xfId="0" applyFont="1" applyFill="1" applyBorder="1" applyAlignment="1">
      <alignment horizontal="right"/>
    </xf>
    <xf numFmtId="165" fontId="12" fillId="79" borderId="4" xfId="0" applyNumberFormat="1" applyFont="1" applyFill="1" applyBorder="1"/>
    <xf numFmtId="0" fontId="34" fillId="0" borderId="5" xfId="53" applyFont="1" applyBorder="1"/>
    <xf numFmtId="0" fontId="12" fillId="79" borderId="6" xfId="0" applyFont="1" applyFill="1" applyBorder="1" applyAlignment="1">
      <alignment horizontal="right"/>
    </xf>
    <xf numFmtId="165" fontId="12" fillId="79" borderId="0" xfId="0" applyNumberFormat="1" applyFont="1" applyFill="1"/>
    <xf numFmtId="0" fontId="34" fillId="0" borderId="7" xfId="53" applyFont="1" applyBorder="1"/>
    <xf numFmtId="0" fontId="34" fillId="0" borderId="10" xfId="0" applyFont="1" applyBorder="1"/>
    <xf numFmtId="0" fontId="34" fillId="0" borderId="8" xfId="0" applyFont="1" applyBorder="1"/>
    <xf numFmtId="0" fontId="34" fillId="0" borderId="11" xfId="53" applyFont="1" applyBorder="1"/>
    <xf numFmtId="0" fontId="12" fillId="0" borderId="0" xfId="0" applyFont="1"/>
    <xf numFmtId="0" fontId="106" fillId="0" borderId="0" xfId="0" applyFont="1"/>
    <xf numFmtId="0" fontId="117" fillId="0" borderId="0" xfId="0" applyFont="1" applyAlignment="1">
      <alignment horizontal="left"/>
    </xf>
    <xf numFmtId="0" fontId="12" fillId="0" borderId="0" xfId="0" applyFont="1" applyAlignment="1">
      <alignment horizontal="left"/>
    </xf>
    <xf numFmtId="3" fontId="34" fillId="0" borderId="0" xfId="4" applyNumberFormat="1" applyFont="1" applyAlignment="1">
      <alignment horizontal="left"/>
    </xf>
    <xf numFmtId="0" fontId="120" fillId="0" borderId="0" xfId="0" applyFont="1" applyAlignment="1">
      <alignment horizontal="center"/>
    </xf>
    <xf numFmtId="165" fontId="3" fillId="0" borderId="9" xfId="51" applyNumberFormat="1" applyFont="1" applyFill="1" applyBorder="1" applyAlignment="1"/>
    <xf numFmtId="0" fontId="34" fillId="0" borderId="0" xfId="0" applyFont="1"/>
    <xf numFmtId="43" fontId="34" fillId="3" borderId="0" xfId="1" applyFont="1" applyFill="1"/>
    <xf numFmtId="165" fontId="34" fillId="81" borderId="0" xfId="51" applyNumberFormat="1" applyFont="1" applyFill="1" applyBorder="1"/>
    <xf numFmtId="0" fontId="5" fillId="0" borderId="0" xfId="4" applyFont="1" applyAlignment="1">
      <alignment wrapText="1"/>
    </xf>
    <xf numFmtId="0" fontId="34" fillId="0" borderId="0" xfId="4" quotePrefix="1" applyFont="1"/>
    <xf numFmtId="165" fontId="3" fillId="0" borderId="21" xfId="1" applyNumberFormat="1" applyFont="1" applyFill="1" applyBorder="1" applyAlignment="1">
      <alignment horizontal="right"/>
    </xf>
    <xf numFmtId="10" fontId="3" fillId="0" borderId="0" xfId="52223" applyNumberFormat="1" applyFont="1" applyFill="1" applyBorder="1"/>
    <xf numFmtId="10" fontId="3" fillId="0" borderId="21" xfId="52223" applyNumberFormat="1" applyFont="1" applyFill="1" applyBorder="1" applyAlignment="1">
      <alignment horizontal="right"/>
    </xf>
    <xf numFmtId="165" fontId="3" fillId="0" borderId="9" xfId="1" applyNumberFormat="1" applyFont="1" applyFill="1" applyBorder="1" applyAlignment="1">
      <alignment horizontal="right"/>
    </xf>
    <xf numFmtId="10" fontId="3" fillId="0" borderId="9" xfId="52223" applyNumberFormat="1" applyFont="1" applyFill="1" applyBorder="1" applyAlignment="1">
      <alignment horizontal="right"/>
    </xf>
    <xf numFmtId="165" fontId="12" fillId="0" borderId="0" xfId="6" quotePrefix="1" applyNumberFormat="1" applyFont="1" applyFill="1" applyBorder="1" applyAlignment="1"/>
    <xf numFmtId="0" fontId="34" fillId="0" borderId="4" xfId="0" applyFont="1" applyBorder="1"/>
    <xf numFmtId="37" fontId="13" fillId="0" borderId="0" xfId="0" quotePrefix="1" applyNumberFormat="1" applyFont="1"/>
    <xf numFmtId="37" fontId="13" fillId="0" borderId="0" xfId="0" quotePrefix="1" applyNumberFormat="1" applyFont="1" applyAlignment="1">
      <alignment horizontal="right"/>
    </xf>
    <xf numFmtId="37" fontId="13" fillId="0" borderId="0" xfId="0" quotePrefix="1" applyNumberFormat="1" applyFont="1" applyAlignment="1">
      <alignment horizontal="left"/>
    </xf>
    <xf numFmtId="43" fontId="15" fillId="0" borderId="0" xfId="1" applyFont="1" applyFill="1"/>
    <xf numFmtId="165" fontId="15" fillId="0" borderId="0" xfId="50766" applyNumberFormat="1" applyFont="1" applyFill="1" applyAlignment="1"/>
    <xf numFmtId="0" fontId="3" fillId="0" borderId="4" xfId="0" applyFont="1" applyBorder="1" applyAlignment="1">
      <alignment horizontal="center" vertical="top"/>
    </xf>
    <xf numFmtId="165" fontId="3" fillId="0" borderId="2" xfId="51" applyNumberFormat="1" applyFont="1" applyFill="1" applyBorder="1" applyAlignment="1"/>
    <xf numFmtId="165" fontId="34" fillId="0" borderId="0" xfId="51" applyNumberFormat="1" applyFont="1" applyFill="1" applyBorder="1" applyAlignment="1"/>
    <xf numFmtId="164" fontId="0" fillId="0" borderId="0" xfId="50699" applyNumberFormat="1" applyFont="1" applyFill="1" applyAlignment="1">
      <alignment horizontal="center"/>
    </xf>
    <xf numFmtId="164" fontId="0" fillId="0" borderId="0" xfId="50699" applyNumberFormat="1" applyFont="1" applyFill="1" applyBorder="1" applyAlignment="1">
      <alignment horizontal="center"/>
    </xf>
    <xf numFmtId="164" fontId="0" fillId="0" borderId="0" xfId="50699" applyNumberFormat="1" applyFont="1" applyFill="1" applyBorder="1"/>
    <xf numFmtId="164" fontId="0" fillId="0" borderId="8" xfId="50699" applyNumberFormat="1" applyFont="1" applyFill="1" applyBorder="1" applyAlignment="1">
      <alignment horizontal="center"/>
    </xf>
    <xf numFmtId="164" fontId="14" fillId="0" borderId="8" xfId="0" applyNumberFormat="1" applyFont="1" applyBorder="1" applyAlignment="1">
      <alignment horizontal="center"/>
    </xf>
    <xf numFmtId="164" fontId="0" fillId="0" borderId="8" xfId="50699" applyNumberFormat="1" applyFont="1" applyFill="1" applyBorder="1"/>
    <xf numFmtId="164" fontId="111" fillId="0" borderId="8" xfId="0" applyNumberFormat="1" applyFont="1" applyBorder="1"/>
    <xf numFmtId="0" fontId="34" fillId="0" borderId="0" xfId="2" applyFont="1" applyAlignment="1">
      <alignment horizontal="left" indent="1"/>
    </xf>
    <xf numFmtId="0" fontId="121" fillId="0" borderId="0" xfId="2" applyFont="1" applyAlignment="1">
      <alignment horizontal="left"/>
    </xf>
    <xf numFmtId="165" fontId="3" fillId="0" borderId="0" xfId="1" applyNumberFormat="1" applyFont="1"/>
    <xf numFmtId="10" fontId="3" fillId="0" borderId="0" xfId="52223" applyNumberFormat="1" applyFont="1"/>
    <xf numFmtId="3" fontId="3" fillId="0" borderId="0" xfId="4" applyNumberFormat="1" applyFont="1" applyAlignment="1">
      <alignment horizontal="center"/>
    </xf>
    <xf numFmtId="0" fontId="3" fillId="0" borderId="0" xfId="4" applyFont="1" applyAlignment="1">
      <alignment horizontal="center"/>
    </xf>
    <xf numFmtId="3" fontId="3" fillId="0" borderId="0" xfId="4" quotePrefix="1" applyNumberFormat="1" applyFont="1" applyAlignment="1">
      <alignment horizontal="center"/>
    </xf>
    <xf numFmtId="0" fontId="3" fillId="0" borderId="0" xfId="52" applyNumberFormat="1" applyFont="1" applyFill="1" applyAlignment="1">
      <alignment horizontal="center"/>
    </xf>
    <xf numFmtId="0" fontId="3" fillId="0" borderId="0" xfId="4" quotePrefix="1" applyFont="1" applyAlignment="1">
      <alignment horizontal="center" wrapText="1"/>
    </xf>
    <xf numFmtId="0" fontId="3" fillId="0" borderId="0" xfId="4" applyFont="1" applyAlignment="1">
      <alignment horizontal="center" wrapText="1"/>
    </xf>
    <xf numFmtId="0" fontId="2" fillId="0" borderId="0" xfId="2" applyAlignment="1">
      <alignment horizontal="center"/>
    </xf>
    <xf numFmtId="0" fontId="114" fillId="0" borderId="0" xfId="52221" applyFont="1" applyAlignment="1">
      <alignment horizontal="center"/>
    </xf>
    <xf numFmtId="0" fontId="34" fillId="0" borderId="0" xfId="4" quotePrefix="1" applyFont="1" applyAlignment="1">
      <alignment horizontal="center"/>
    </xf>
    <xf numFmtId="0" fontId="3" fillId="0" borderId="0" xfId="54" quotePrefix="1" applyFont="1" applyAlignment="1">
      <alignment horizontal="center"/>
    </xf>
    <xf numFmtId="0" fontId="34" fillId="0" borderId="0" xfId="52220" applyFont="1" applyAlignment="1">
      <alignment horizontal="center"/>
    </xf>
    <xf numFmtId="165" fontId="3" fillId="0" borderId="0" xfId="1" applyNumberFormat="1" applyFont="1" applyFill="1" applyAlignment="1">
      <alignment horizontal="center"/>
    </xf>
    <xf numFmtId="165" fontId="34" fillId="0" borderId="8" xfId="51" applyNumberFormat="1" applyFont="1" applyFill="1" applyBorder="1" applyAlignment="1"/>
    <xf numFmtId="165" fontId="34" fillId="0" borderId="4" xfId="6" applyNumberFormat="1" applyFont="1" applyFill="1" applyBorder="1" applyAlignment="1"/>
    <xf numFmtId="165" fontId="34" fillId="0" borderId="0" xfId="52220" applyNumberFormat="1" applyFont="1"/>
    <xf numFmtId="164" fontId="34" fillId="0" borderId="43" xfId="52" applyNumberFormat="1" applyFont="1" applyFill="1" applyBorder="1" applyAlignment="1"/>
    <xf numFmtId="165" fontId="34" fillId="0" borderId="0" xfId="51" applyNumberFormat="1" applyFont="1" applyFill="1" applyAlignment="1"/>
    <xf numFmtId="3" fontId="3" fillId="0" borderId="0" xfId="2" applyNumberFormat="1" applyFont="1"/>
    <xf numFmtId="0" fontId="3" fillId="0" borderId="0" xfId="2" applyFont="1" applyAlignment="1">
      <alignment horizontal="left" indent="1"/>
    </xf>
    <xf numFmtId="0" fontId="114" fillId="0" borderId="0" xfId="52221" quotePrefix="1" applyFont="1"/>
    <xf numFmtId="0" fontId="34" fillId="0" borderId="0" xfId="53" quotePrefix="1" applyFont="1"/>
    <xf numFmtId="0" fontId="114" fillId="0" borderId="0" xfId="52221" applyFont="1" applyAlignment="1">
      <alignment horizontal="right"/>
    </xf>
    <xf numFmtId="165" fontId="3" fillId="0" borderId="21" xfId="51" applyNumberFormat="1" applyFont="1" applyFill="1" applyBorder="1"/>
    <xf numFmtId="0" fontId="10" fillId="0" borderId="0" xfId="0" applyFont="1"/>
    <xf numFmtId="165" fontId="34" fillId="0" borderId="0" xfId="53" applyNumberFormat="1" applyFont="1"/>
    <xf numFmtId="0" fontId="3" fillId="0" borderId="2" xfId="53" applyFont="1" applyBorder="1" applyAlignment="1">
      <alignment horizontal="left"/>
    </xf>
    <xf numFmtId="0" fontId="3" fillId="0" borderId="0" xfId="53" applyFont="1" applyAlignment="1">
      <alignment horizontal="right"/>
    </xf>
    <xf numFmtId="0" fontId="3" fillId="0" borderId="0" xfId="53" applyFont="1" applyAlignment="1">
      <alignment horizontal="left"/>
    </xf>
    <xf numFmtId="0" fontId="34" fillId="0" borderId="0" xfId="3" applyFont="1" applyAlignment="1">
      <alignment horizontal="left"/>
    </xf>
    <xf numFmtId="0" fontId="114" fillId="0" borderId="0" xfId="52221" quotePrefix="1" applyFont="1" applyAlignment="1">
      <alignment horizontal="right" wrapText="1"/>
    </xf>
    <xf numFmtId="0" fontId="8" fillId="0" borderId="0" xfId="53" applyFont="1"/>
    <xf numFmtId="0" fontId="12" fillId="0" borderId="0" xfId="52221" applyFont="1" applyAlignment="1">
      <alignment wrapText="1"/>
    </xf>
    <xf numFmtId="0" fontId="34" fillId="0" borderId="0" xfId="53" applyFont="1" applyAlignment="1">
      <alignment horizontal="left" indent="1"/>
    </xf>
    <xf numFmtId="165" fontId="3" fillId="0" borderId="0" xfId="53" applyNumberFormat="1" applyFont="1"/>
    <xf numFmtId="0" fontId="5" fillId="0" borderId="0" xfId="2" applyFont="1" applyAlignment="1">
      <alignment horizontal="left" indent="1"/>
    </xf>
    <xf numFmtId="165" fontId="3" fillId="0" borderId="0" xfId="1" quotePrefix="1" applyNumberFormat="1" applyFont="1" applyFill="1" applyBorder="1" applyAlignment="1"/>
    <xf numFmtId="165" fontId="3" fillId="0" borderId="21" xfId="1" applyNumberFormat="1" applyFont="1" applyFill="1" applyBorder="1"/>
    <xf numFmtId="164" fontId="3" fillId="0" borderId="0" xfId="52" applyNumberFormat="1" applyFont="1" applyFill="1" applyBorder="1"/>
    <xf numFmtId="165" fontId="12" fillId="0" borderId="0" xfId="1" quotePrefix="1" applyNumberFormat="1" applyFont="1" applyFill="1" applyBorder="1" applyAlignment="1"/>
    <xf numFmtId="165" fontId="34" fillId="0" borderId="0" xfId="1" applyNumberFormat="1" applyFont="1" applyFill="1" applyBorder="1"/>
    <xf numFmtId="165" fontId="3" fillId="0" borderId="9" xfId="1" applyNumberFormat="1" applyFont="1" applyFill="1" applyBorder="1"/>
    <xf numFmtId="165" fontId="3" fillId="4" borderId="0" xfId="51" applyNumberFormat="1" applyFont="1" applyFill="1" applyBorder="1" applyAlignment="1"/>
    <xf numFmtId="165" fontId="34" fillId="0" borderId="4" xfId="2" applyNumberFormat="1" applyFont="1" applyBorder="1"/>
    <xf numFmtId="165" fontId="3" fillId="0" borderId="0" xfId="4" applyNumberFormat="1" applyFont="1" applyAlignment="1">
      <alignment wrapText="1"/>
    </xf>
    <xf numFmtId="43" fontId="32" fillId="0" borderId="0" xfId="1" applyFont="1" applyFill="1" applyAlignment="1">
      <alignment horizontal="center"/>
    </xf>
    <xf numFmtId="0" fontId="32" fillId="0" borderId="8" xfId="0" quotePrefix="1" applyFont="1" applyBorder="1" applyAlignment="1">
      <alignment horizontal="center"/>
    </xf>
    <xf numFmtId="0" fontId="32" fillId="0" borderId="8" xfId="0" applyFont="1" applyBorder="1" applyAlignment="1">
      <alignment horizontal="center"/>
    </xf>
    <xf numFmtId="43" fontId="32" fillId="0" borderId="8" xfId="1" applyFont="1" applyFill="1" applyBorder="1" applyAlignment="1">
      <alignment horizontal="center"/>
    </xf>
    <xf numFmtId="165" fontId="121" fillId="0" borderId="0" xfId="1" applyNumberFormat="1" applyFont="1"/>
    <xf numFmtId="0" fontId="121" fillId="0" borderId="0" xfId="0" applyFont="1"/>
    <xf numFmtId="43" fontId="121" fillId="0" borderId="0" xfId="1" applyFont="1" applyFill="1"/>
    <xf numFmtId="165" fontId="34" fillId="73" borderId="0" xfId="1" applyNumberFormat="1" applyFont="1" applyFill="1" applyAlignment="1"/>
    <xf numFmtId="166" fontId="34" fillId="73" borderId="0" xfId="6" applyNumberFormat="1" applyFont="1" applyFill="1" applyBorder="1" applyAlignment="1"/>
    <xf numFmtId="43" fontId="32" fillId="0" borderId="0" xfId="1" applyFont="1" applyAlignment="1">
      <alignment horizontal="center"/>
    </xf>
    <xf numFmtId="43" fontId="32" fillId="0" borderId="8" xfId="1" applyFont="1" applyBorder="1" applyAlignment="1">
      <alignment horizontal="center"/>
    </xf>
    <xf numFmtId="0" fontId="34" fillId="0" borderId="0" xfId="4" applyFont="1" applyAlignment="1">
      <alignment horizontal="left" indent="1"/>
    </xf>
    <xf numFmtId="164" fontId="3" fillId="4" borderId="8" xfId="0" applyNumberFormat="1" applyFont="1" applyFill="1" applyBorder="1" applyAlignment="1">
      <alignment vertical="top"/>
    </xf>
    <xf numFmtId="0" fontId="34" fillId="73" borderId="0" xfId="2" applyFont="1" applyFill="1" applyAlignment="1">
      <alignment horizontal="left" indent="1"/>
    </xf>
    <xf numFmtId="0" fontId="30" fillId="82" borderId="0" xfId="0" applyFont="1" applyFill="1"/>
    <xf numFmtId="0" fontId="0" fillId="82" borderId="0" xfId="0" applyFill="1"/>
    <xf numFmtId="0" fontId="32" fillId="82" borderId="8" xfId="0" applyFont="1" applyFill="1" applyBorder="1"/>
    <xf numFmtId="0" fontId="112" fillId="82" borderId="0" xfId="0" applyFont="1" applyFill="1"/>
    <xf numFmtId="0" fontId="111" fillId="82" borderId="0" xfId="0" applyFont="1" applyFill="1"/>
    <xf numFmtId="41" fontId="108" fillId="82" borderId="44" xfId="1" quotePrefix="1" applyNumberFormat="1" applyFont="1" applyFill="1" applyBorder="1" applyAlignment="1" applyProtection="1">
      <alignment horizontal="center" vertical="center"/>
    </xf>
    <xf numFmtId="41" fontId="108" fillId="82" borderId="22" xfId="1" quotePrefix="1" applyNumberFormat="1" applyFont="1" applyFill="1" applyBorder="1" applyAlignment="1" applyProtection="1">
      <alignment horizontal="center" vertical="center"/>
    </xf>
    <xf numFmtId="0" fontId="110" fillId="82" borderId="46" xfId="1" quotePrefix="1" applyNumberFormat="1" applyFont="1" applyFill="1" applyBorder="1" applyAlignment="1" applyProtection="1">
      <alignment horizontal="left" vertical="center"/>
      <protection locked="0"/>
    </xf>
    <xf numFmtId="0" fontId="109" fillId="82" borderId="0" xfId="0" applyFont="1" applyFill="1" applyProtection="1">
      <protection locked="0"/>
    </xf>
    <xf numFmtId="43" fontId="110" fillId="82" borderId="46" xfId="1" quotePrefix="1" applyFont="1" applyFill="1" applyBorder="1" applyAlignment="1" applyProtection="1">
      <alignment horizontal="left" vertical="center"/>
      <protection locked="0"/>
    </xf>
    <xf numFmtId="43" fontId="110" fillId="82" borderId="0" xfId="1" quotePrefix="1" applyFont="1" applyFill="1" applyBorder="1" applyAlignment="1" applyProtection="1">
      <alignment horizontal="left" vertical="center"/>
      <protection locked="0"/>
    </xf>
    <xf numFmtId="0" fontId="109" fillId="82" borderId="0" xfId="0" applyFont="1" applyFill="1"/>
    <xf numFmtId="0" fontId="32" fillId="82" borderId="0" xfId="0" applyFont="1" applyFill="1"/>
    <xf numFmtId="164" fontId="0" fillId="0" borderId="0" xfId="52224" applyNumberFormat="1" applyFont="1" applyFill="1" applyAlignment="1">
      <alignment horizontal="center"/>
    </xf>
    <xf numFmtId="164" fontId="111" fillId="0" borderId="0" xfId="52224" applyNumberFormat="1" applyFont="1" applyFill="1" applyAlignment="1">
      <alignment horizontal="center"/>
    </xf>
    <xf numFmtId="164" fontId="0" fillId="0" borderId="0" xfId="52224" applyNumberFormat="1" applyFont="1" applyFill="1"/>
    <xf numFmtId="164" fontId="14" fillId="83" borderId="0" xfId="0" applyNumberFormat="1" applyFont="1" applyFill="1" applyAlignment="1">
      <alignment horizontal="center"/>
    </xf>
    <xf numFmtId="164" fontId="14" fillId="0" borderId="0" xfId="52224" applyNumberFormat="1" applyFont="1" applyFill="1" applyAlignment="1">
      <alignment horizontal="center"/>
    </xf>
    <xf numFmtId="164" fontId="14" fillId="83" borderId="0" xfId="52224" applyNumberFormat="1" applyFont="1" applyFill="1" applyAlignment="1">
      <alignment horizontal="center"/>
    </xf>
    <xf numFmtId="164" fontId="0" fillId="0" borderId="8" xfId="52224" applyNumberFormat="1" applyFont="1" applyFill="1" applyBorder="1" applyAlignment="1">
      <alignment horizontal="center"/>
    </xf>
    <xf numFmtId="164" fontId="111" fillId="0" borderId="8" xfId="52224" applyNumberFormat="1" applyFont="1" applyFill="1" applyBorder="1" applyAlignment="1">
      <alignment horizontal="center"/>
    </xf>
    <xf numFmtId="164" fontId="14" fillId="0" borderId="8" xfId="52224" applyNumberFormat="1" applyFont="1" applyFill="1" applyBorder="1" applyAlignment="1">
      <alignment horizontal="center"/>
    </xf>
    <xf numFmtId="164" fontId="14" fillId="83" borderId="8" xfId="52224" applyNumberFormat="1" applyFont="1" applyFill="1" applyBorder="1" applyAlignment="1">
      <alignment horizontal="center"/>
    </xf>
    <xf numFmtId="164" fontId="0" fillId="0" borderId="8" xfId="52224" applyNumberFormat="1" applyFont="1" applyFill="1" applyBorder="1"/>
    <xf numFmtId="164" fontId="14" fillId="36" borderId="0" xfId="52224" applyNumberFormat="1" applyFont="1" applyFill="1" applyBorder="1" applyAlignment="1">
      <alignment horizontal="center"/>
    </xf>
    <xf numFmtId="164" fontId="111" fillId="36" borderId="0" xfId="52224" applyNumberFormat="1" applyFont="1" applyFill="1" applyBorder="1" applyAlignment="1">
      <alignment horizontal="center"/>
    </xf>
    <xf numFmtId="164" fontId="14" fillId="36" borderId="0" xfId="0" applyNumberFormat="1" applyFont="1" applyFill="1"/>
    <xf numFmtId="164" fontId="0" fillId="36" borderId="0" xfId="0" applyNumberFormat="1" applyFill="1"/>
    <xf numFmtId="0" fontId="0" fillId="36" borderId="0" xfId="0" applyFill="1"/>
    <xf numFmtId="164" fontId="0" fillId="36" borderId="0" xfId="52224" applyNumberFormat="1" applyFont="1" applyFill="1" applyBorder="1"/>
    <xf numFmtId="164" fontId="111" fillId="36" borderId="0" xfId="0" applyNumberFormat="1" applyFont="1" applyFill="1"/>
    <xf numFmtId="164" fontId="14" fillId="36" borderId="8" xfId="52224" applyNumberFormat="1" applyFont="1" applyFill="1" applyBorder="1" applyAlignment="1">
      <alignment horizontal="center"/>
    </xf>
    <xf numFmtId="164" fontId="111" fillId="36" borderId="8" xfId="52224" applyNumberFormat="1" applyFont="1" applyFill="1" applyBorder="1" applyAlignment="1">
      <alignment horizontal="center"/>
    </xf>
    <xf numFmtId="164" fontId="14" fillId="36" borderId="8" xfId="0" applyNumberFormat="1" applyFont="1" applyFill="1" applyBorder="1"/>
    <xf numFmtId="164" fontId="0" fillId="36" borderId="8" xfId="0" applyNumberFormat="1" applyFill="1" applyBorder="1"/>
    <xf numFmtId="0" fontId="0" fillId="36" borderId="8" xfId="0" applyFill="1" applyBorder="1"/>
    <xf numFmtId="164" fontId="0" fillId="36" borderId="8" xfId="52224" applyNumberFormat="1" applyFont="1" applyFill="1" applyBorder="1"/>
    <xf numFmtId="164" fontId="111" fillId="36" borderId="8" xfId="0" applyNumberFormat="1" applyFont="1" applyFill="1" applyBorder="1"/>
    <xf numFmtId="164" fontId="14" fillId="0" borderId="0" xfId="52224" applyNumberFormat="1" applyFont="1" applyFill="1" applyBorder="1" applyAlignment="1">
      <alignment horizontal="center"/>
    </xf>
    <xf numFmtId="164" fontId="14" fillId="0" borderId="0" xfId="52224" applyNumberFormat="1" applyFont="1" applyFill="1"/>
    <xf numFmtId="164" fontId="14" fillId="74" borderId="0" xfId="0" applyNumberFormat="1" applyFont="1" applyFill="1" applyAlignment="1">
      <alignment horizontal="center"/>
    </xf>
    <xf numFmtId="164" fontId="0" fillId="0" borderId="0" xfId="52224" applyNumberFormat="1" applyFont="1"/>
    <xf numFmtId="17" fontId="0" fillId="4" borderId="0" xfId="0" applyNumberFormat="1" applyFill="1"/>
    <xf numFmtId="164" fontId="0" fillId="4" borderId="0" xfId="52224" applyNumberFormat="1" applyFont="1" applyFill="1" applyAlignment="1">
      <alignment horizontal="center"/>
    </xf>
    <xf numFmtId="164" fontId="111" fillId="4" borderId="0" xfId="52224" applyNumberFormat="1" applyFont="1" applyFill="1" applyAlignment="1">
      <alignment horizontal="center"/>
    </xf>
    <xf numFmtId="164" fontId="0" fillId="4" borderId="0" xfId="0" applyNumberFormat="1" applyFill="1" applyAlignment="1">
      <alignment horizontal="center"/>
    </xf>
    <xf numFmtId="164" fontId="0" fillId="4" borderId="0" xfId="0" applyNumberFormat="1" applyFill="1"/>
    <xf numFmtId="164" fontId="0" fillId="4" borderId="0" xfId="52224" applyNumberFormat="1" applyFont="1" applyFill="1"/>
    <xf numFmtId="164" fontId="111" fillId="4" borderId="0" xfId="0" applyNumberFormat="1" applyFont="1" applyFill="1"/>
    <xf numFmtId="164" fontId="0" fillId="74" borderId="0" xfId="0" applyNumberFormat="1" applyFill="1" applyAlignment="1">
      <alignment horizontal="center"/>
    </xf>
    <xf numFmtId="164" fontId="0" fillId="3" borderId="0" xfId="0" applyNumberFormat="1" applyFill="1" applyAlignment="1">
      <alignment horizontal="center"/>
    </xf>
    <xf numFmtId="0" fontId="113" fillId="3" borderId="0" xfId="0" applyFont="1" applyFill="1" applyAlignment="1">
      <alignment horizontal="center"/>
    </xf>
    <xf numFmtId="0" fontId="0" fillId="84" borderId="0" xfId="0" applyFill="1"/>
    <xf numFmtId="0" fontId="0" fillId="0" borderId="8" xfId="0" applyBorder="1" applyAlignment="1">
      <alignment horizontal="center"/>
    </xf>
    <xf numFmtId="164" fontId="0" fillId="0" borderId="0" xfId="52224" applyNumberFormat="1" applyFont="1" applyFill="1" applyBorder="1" applyAlignment="1">
      <alignment horizontal="center"/>
    </xf>
    <xf numFmtId="164" fontId="111" fillId="0" borderId="0" xfId="52224" applyNumberFormat="1" applyFont="1" applyFill="1" applyBorder="1" applyAlignment="1">
      <alignment horizontal="center"/>
    </xf>
    <xf numFmtId="164" fontId="0" fillId="0" borderId="0" xfId="52224" applyNumberFormat="1" applyFont="1" applyFill="1" applyBorder="1"/>
    <xf numFmtId="43" fontId="0" fillId="0" borderId="0" xfId="1" applyFont="1" applyFill="1" applyBorder="1" applyAlignment="1">
      <alignment horizontal="center"/>
    </xf>
    <xf numFmtId="44" fontId="0" fillId="0" borderId="0" xfId="52224" applyFont="1" applyBorder="1" applyAlignment="1">
      <alignment horizontal="center"/>
    </xf>
    <xf numFmtId="164" fontId="0" fillId="0" borderId="0" xfId="52224" applyNumberFormat="1" applyFont="1" applyBorder="1"/>
    <xf numFmtId="164" fontId="0" fillId="4" borderId="0" xfId="52224" applyNumberFormat="1" applyFont="1" applyFill="1" applyBorder="1" applyAlignment="1">
      <alignment horizontal="center"/>
    </xf>
    <xf numFmtId="164" fontId="111" fillId="4" borderId="0" xfId="52224" applyNumberFormat="1" applyFont="1" applyFill="1" applyBorder="1" applyAlignment="1">
      <alignment horizontal="center"/>
    </xf>
    <xf numFmtId="0" fontId="0" fillId="4" borderId="0" xfId="0" applyFill="1" applyAlignment="1">
      <alignment horizontal="center"/>
    </xf>
    <xf numFmtId="44" fontId="0" fillId="4" borderId="0" xfId="52224" applyFont="1" applyFill="1" applyBorder="1" applyAlignment="1">
      <alignment horizontal="center"/>
    </xf>
    <xf numFmtId="0" fontId="0" fillId="4" borderId="0" xfId="0" applyFill="1"/>
    <xf numFmtId="164" fontId="0" fillId="4" borderId="0" xfId="52224" applyNumberFormat="1" applyFont="1" applyFill="1" applyBorder="1"/>
    <xf numFmtId="0" fontId="113" fillId="0" borderId="0" xfId="0" applyFont="1" applyAlignment="1">
      <alignment horizontal="center"/>
    </xf>
    <xf numFmtId="0" fontId="32" fillId="0" borderId="0" xfId="0" applyFont="1"/>
    <xf numFmtId="43" fontId="30" fillId="4" borderId="0" xfId="1" applyFont="1" applyFill="1"/>
    <xf numFmtId="0" fontId="122" fillId="0" borderId="0" xfId="0" applyFont="1" applyAlignment="1">
      <alignment horizontal="left"/>
    </xf>
    <xf numFmtId="0" fontId="122" fillId="0" borderId="0" xfId="0" applyFont="1"/>
    <xf numFmtId="0" fontId="114" fillId="0" borderId="0" xfId="52221" quotePrefix="1" applyFont="1" applyAlignment="1">
      <alignment horizontal="center"/>
    </xf>
    <xf numFmtId="0" fontId="3" fillId="0" borderId="1" xfId="2" applyFont="1" applyBorder="1" applyAlignment="1">
      <alignment horizontal="left"/>
    </xf>
    <xf numFmtId="0" fontId="3" fillId="0" borderId="0" xfId="55" applyFont="1"/>
    <xf numFmtId="0" fontId="3" fillId="0" borderId="0" xfId="55" quotePrefix="1" applyFont="1" applyAlignment="1">
      <alignment horizontal="center"/>
    </xf>
    <xf numFmtId="0" fontId="3" fillId="0" borderId="0" xfId="55" quotePrefix="1" applyFont="1" applyAlignment="1">
      <alignment horizontal="left"/>
    </xf>
    <xf numFmtId="0" fontId="3" fillId="0" borderId="0" xfId="55" applyFont="1" applyAlignment="1">
      <alignment horizontal="center"/>
    </xf>
    <xf numFmtId="0" fontId="3" fillId="0" borderId="0" xfId="55" applyFont="1" applyAlignment="1">
      <alignment horizontal="left"/>
    </xf>
    <xf numFmtId="0" fontId="3" fillId="0" borderId="1" xfId="55" applyFont="1" applyBorder="1"/>
    <xf numFmtId="0" fontId="3" fillId="0" borderId="1" xfId="55" applyFont="1" applyBorder="1" applyAlignment="1">
      <alignment horizontal="center"/>
    </xf>
    <xf numFmtId="0" fontId="3" fillId="0" borderId="1" xfId="55" quotePrefix="1" applyFont="1" applyBorder="1" applyAlignment="1">
      <alignment horizontal="center"/>
    </xf>
    <xf numFmtId="0" fontId="3" fillId="0" borderId="1" xfId="55" quotePrefix="1" applyFont="1" applyBorder="1" applyAlignment="1">
      <alignment horizontal="left"/>
    </xf>
    <xf numFmtId="164" fontId="3" fillId="0" borderId="0" xfId="8" applyNumberFormat="1" applyFont="1" applyFill="1" applyBorder="1" applyAlignment="1"/>
    <xf numFmtId="164" fontId="3" fillId="0" borderId="0" xfId="8" applyNumberFormat="1" applyFont="1" applyFill="1" applyBorder="1" applyAlignment="1">
      <alignment horizontal="left"/>
    </xf>
    <xf numFmtId="165" fontId="3" fillId="0" borderId="0" xfId="1" applyNumberFormat="1" applyFont="1" applyFill="1" applyAlignment="1"/>
    <xf numFmtId="43" fontId="1" fillId="0" borderId="0" xfId="6" applyFont="1" applyFill="1" applyAlignment="1"/>
    <xf numFmtId="0" fontId="3" fillId="0" borderId="0" xfId="56" applyFont="1"/>
    <xf numFmtId="165" fontId="3" fillId="0" borderId="0" xfId="57" applyNumberFormat="1" applyFont="1" applyFill="1" applyBorder="1" applyAlignment="1"/>
    <xf numFmtId="165" fontId="3" fillId="0" borderId="0" xfId="57" applyNumberFormat="1" applyFont="1" applyFill="1" applyBorder="1" applyAlignment="1">
      <alignment horizontal="left"/>
    </xf>
    <xf numFmtId="3" fontId="3" fillId="0" borderId="0" xfId="4" quotePrefix="1" applyNumberFormat="1" applyFont="1" applyAlignment="1">
      <alignment horizontal="left" wrapText="1"/>
    </xf>
    <xf numFmtId="3" fontId="3" fillId="0" borderId="0" xfId="4" quotePrefix="1" applyNumberFormat="1" applyFont="1" applyAlignment="1">
      <alignment wrapText="1"/>
    </xf>
    <xf numFmtId="3" fontId="3" fillId="0" borderId="0" xfId="4" applyNumberFormat="1" applyFont="1" applyAlignment="1">
      <alignment horizontal="left" wrapText="1"/>
    </xf>
    <xf numFmtId="0" fontId="3" fillId="0" borderId="1" xfId="55" applyFont="1" applyBorder="1" applyAlignment="1">
      <alignment horizontal="left"/>
    </xf>
    <xf numFmtId="0" fontId="3" fillId="0" borderId="0" xfId="0" applyFont="1"/>
    <xf numFmtId="0" fontId="3" fillId="0" borderId="0" xfId="54" applyFont="1"/>
    <xf numFmtId="165" fontId="3" fillId="0" borderId="0" xfId="58" applyNumberFormat="1" applyFont="1" applyFill="1" applyBorder="1" applyAlignment="1"/>
    <xf numFmtId="165" fontId="3" fillId="0" borderId="0" xfId="58" applyNumberFormat="1" applyFont="1" applyFill="1" applyBorder="1" applyAlignment="1">
      <alignment horizontal="left"/>
    </xf>
    <xf numFmtId="165" fontId="3" fillId="0" borderId="0" xfId="54" applyNumberFormat="1" applyFont="1"/>
    <xf numFmtId="165" fontId="3" fillId="0" borderId="0" xfId="54" applyNumberFormat="1" applyFont="1" applyAlignment="1">
      <alignment horizontal="left"/>
    </xf>
    <xf numFmtId="165" fontId="3" fillId="0" borderId="0" xfId="55" applyNumberFormat="1" applyFont="1"/>
    <xf numFmtId="0" fontId="2" fillId="0" borderId="0" xfId="54" applyFont="1"/>
    <xf numFmtId="0" fontId="2" fillId="0" borderId="0" xfId="54" applyFont="1" applyAlignment="1">
      <alignment horizontal="left"/>
    </xf>
    <xf numFmtId="165" fontId="3" fillId="0" borderId="0" xfId="59" applyNumberFormat="1" applyFont="1" applyFill="1" applyBorder="1" applyAlignment="1"/>
    <xf numFmtId="165" fontId="3" fillId="0" borderId="0" xfId="59" applyNumberFormat="1" applyFont="1" applyFill="1" applyBorder="1" applyAlignment="1">
      <alignment horizontal="left"/>
    </xf>
    <xf numFmtId="165" fontId="3" fillId="0" borderId="0" xfId="59" quotePrefix="1" applyNumberFormat="1" applyFont="1" applyFill="1" applyBorder="1" applyAlignment="1"/>
    <xf numFmtId="0" fontId="3" fillId="0" borderId="0" xfId="54" applyFont="1" applyAlignment="1">
      <alignment horizontal="center"/>
    </xf>
    <xf numFmtId="165" fontId="3" fillId="0" borderId="0" xfId="1" quotePrefix="1" applyNumberFormat="1" applyFont="1" applyFill="1" applyAlignment="1">
      <alignment horizontal="center"/>
    </xf>
    <xf numFmtId="43" fontId="12" fillId="0" borderId="0" xfId="1" applyFont="1"/>
    <xf numFmtId="0" fontId="0" fillId="85" borderId="0" xfId="0" applyFill="1"/>
    <xf numFmtId="164" fontId="0" fillId="0" borderId="0" xfId="52224" applyNumberFormat="1" applyFont="1" applyBorder="1" applyAlignment="1">
      <alignment horizontal="center"/>
    </xf>
    <xf numFmtId="164" fontId="0" fillId="0" borderId="0" xfId="52224" applyNumberFormat="1" applyFont="1" applyAlignment="1">
      <alignment horizontal="center"/>
    </xf>
    <xf numFmtId="164" fontId="30" fillId="3" borderId="0" xfId="52224" applyNumberFormat="1" applyFont="1" applyFill="1" applyBorder="1"/>
    <xf numFmtId="164" fontId="30" fillId="3" borderId="0" xfId="0" applyNumberFormat="1" applyFont="1" applyFill="1"/>
    <xf numFmtId="0" fontId="3" fillId="3" borderId="1" xfId="2" applyFont="1" applyFill="1" applyBorder="1"/>
    <xf numFmtId="0" fontId="3" fillId="3" borderId="1" xfId="2" applyFont="1" applyFill="1" applyBorder="1" applyAlignment="1">
      <alignment horizontal="right"/>
    </xf>
    <xf numFmtId="0" fontId="2" fillId="0" borderId="7" xfId="2" applyBorder="1"/>
    <xf numFmtId="0" fontId="5" fillId="0" borderId="6" xfId="0" applyFont="1" applyBorder="1" applyAlignment="1">
      <alignment horizontal="left" indent="3"/>
    </xf>
    <xf numFmtId="164" fontId="12" fillId="4" borderId="0" xfId="2" applyNumberFormat="1" applyFont="1" applyFill="1"/>
    <xf numFmtId="0" fontId="105" fillId="0" borderId="0" xfId="2" applyFont="1" applyAlignment="1">
      <alignment horizontal="center"/>
    </xf>
    <xf numFmtId="0" fontId="105" fillId="3" borderId="0" xfId="2" applyFont="1" applyFill="1"/>
    <xf numFmtId="0" fontId="34" fillId="0" borderId="0" xfId="2" applyFont="1" applyAlignment="1">
      <alignment horizontal="left"/>
    </xf>
    <xf numFmtId="0" fontId="34" fillId="73" borderId="0" xfId="4" applyFont="1" applyFill="1" applyAlignment="1">
      <alignment horizontal="left" indent="1"/>
    </xf>
    <xf numFmtId="0" fontId="2" fillId="73" borderId="0" xfId="2" applyFill="1"/>
    <xf numFmtId="0" fontId="34" fillId="73" borderId="0" xfId="2" applyFont="1" applyFill="1" applyAlignment="1">
      <alignment horizontal="left"/>
    </xf>
    <xf numFmtId="0" fontId="123" fillId="0" borderId="0" xfId="2" applyFont="1" applyAlignment="1">
      <alignment horizontal="left" indent="1"/>
    </xf>
    <xf numFmtId="0" fontId="123" fillId="0" borderId="0" xfId="2" applyFont="1"/>
    <xf numFmtId="0" fontId="123" fillId="0" borderId="0" xfId="4" applyFont="1" applyAlignment="1">
      <alignment horizontal="left" indent="1"/>
    </xf>
    <xf numFmtId="0" fontId="123" fillId="0" borderId="0" xfId="4" applyFont="1" applyAlignment="1">
      <alignment horizontal="left" indent="2"/>
    </xf>
    <xf numFmtId="0" fontId="12" fillId="0" borderId="0" xfId="2" applyFont="1" applyAlignment="1">
      <alignment horizontal="left" indent="1"/>
    </xf>
    <xf numFmtId="0" fontId="12" fillId="0" borderId="0" xfId="2" applyFont="1"/>
    <xf numFmtId="43" fontId="106" fillId="0" borderId="0" xfId="2" applyNumberFormat="1" applyFont="1"/>
    <xf numFmtId="166" fontId="12" fillId="0" borderId="0" xfId="6" applyNumberFormat="1" applyFont="1" applyFill="1" applyBorder="1" applyAlignment="1"/>
    <xf numFmtId="165" fontId="12" fillId="0" borderId="0" xfId="1" applyNumberFormat="1" applyFont="1" applyFill="1" applyAlignment="1"/>
    <xf numFmtId="0" fontId="34" fillId="0" borderId="0" xfId="4" applyFont="1" applyAlignment="1">
      <alignment horizontal="left" indent="2"/>
    </xf>
    <xf numFmtId="166" fontId="34" fillId="0" borderId="0" xfId="1" applyNumberFormat="1" applyFont="1" applyFill="1" applyBorder="1" applyAlignment="1"/>
    <xf numFmtId="166" fontId="34" fillId="0" borderId="0" xfId="1" applyNumberFormat="1" applyFont="1" applyFill="1" applyBorder="1"/>
    <xf numFmtId="166" fontId="4" fillId="0" borderId="0" xfId="1" applyNumberFormat="1" applyFont="1" applyFill="1" applyBorder="1"/>
    <xf numFmtId="43" fontId="4" fillId="0" borderId="0" xfId="2" applyNumberFormat="1" applyFont="1"/>
    <xf numFmtId="0" fontId="124" fillId="0" borderId="0" xfId="2" applyFont="1" applyAlignment="1">
      <alignment horizontal="left"/>
    </xf>
    <xf numFmtId="165" fontId="4" fillId="0" borderId="0" xfId="2" applyNumberFormat="1" applyFont="1"/>
    <xf numFmtId="164" fontId="34" fillId="0" borderId="0" xfId="1" applyNumberFormat="1" applyFont="1" applyFill="1" applyAlignment="1"/>
    <xf numFmtId="164" fontId="4" fillId="0" borderId="0" xfId="2" applyNumberFormat="1" applyFont="1"/>
    <xf numFmtId="164" fontId="34" fillId="0" borderId="0" xfId="2" applyNumberFormat="1" applyFont="1"/>
    <xf numFmtId="164" fontId="34" fillId="0" borderId="0" xfId="8" applyNumberFormat="1" applyFont="1" applyFill="1" applyBorder="1" applyAlignment="1">
      <alignment horizontal="left"/>
    </xf>
    <xf numFmtId="164" fontId="34" fillId="0" borderId="0" xfId="8" applyNumberFormat="1" applyFont="1" applyFill="1" applyBorder="1"/>
    <xf numFmtId="164" fontId="34" fillId="0" borderId="0" xfId="8" applyNumberFormat="1" applyFont="1" applyFill="1"/>
    <xf numFmtId="165" fontId="34" fillId="0" borderId="0" xfId="9" applyNumberFormat="1" applyFont="1" applyFill="1" applyBorder="1"/>
    <xf numFmtId="199" fontId="34" fillId="0" borderId="0" xfId="8" applyNumberFormat="1" applyFont="1" applyFill="1"/>
    <xf numFmtId="165" fontId="34" fillId="0" borderId="0" xfId="9" applyNumberFormat="1" applyFont="1" applyFill="1"/>
    <xf numFmtId="166" fontId="34" fillId="0" borderId="0" xfId="9" applyNumberFormat="1" applyFont="1" applyFill="1" applyAlignment="1">
      <alignment horizontal="center"/>
    </xf>
    <xf numFmtId="166" fontId="34" fillId="0" borderId="0" xfId="9" applyNumberFormat="1" applyFont="1" applyFill="1"/>
    <xf numFmtId="165" fontId="34" fillId="0" borderId="21" xfId="9" applyNumberFormat="1" applyFont="1" applyFill="1" applyBorder="1"/>
    <xf numFmtId="199" fontId="34" fillId="0" borderId="0" xfId="8" applyNumberFormat="1" applyFont="1" applyFill="1" applyBorder="1"/>
    <xf numFmtId="166" fontId="34" fillId="0" borderId="0" xfId="9" applyNumberFormat="1" applyFont="1" applyFill="1" applyBorder="1"/>
    <xf numFmtId="198" fontId="34" fillId="0" borderId="1" xfId="9" applyNumberFormat="1" applyFont="1" applyFill="1" applyBorder="1"/>
    <xf numFmtId="164" fontId="34" fillId="0" borderId="21" xfId="8" applyNumberFormat="1" applyFont="1" applyFill="1" applyBorder="1"/>
    <xf numFmtId="200" fontId="34" fillId="0" borderId="0" xfId="8" applyNumberFormat="1" applyFont="1" applyFill="1" applyAlignment="1">
      <alignment horizontal="center"/>
    </xf>
    <xf numFmtId="164" fontId="34" fillId="0" borderId="0" xfId="8" applyNumberFormat="1" applyFont="1" applyFill="1" applyBorder="1" applyAlignment="1">
      <alignment horizontal="left" indent="1"/>
    </xf>
    <xf numFmtId="164" fontId="34" fillId="0" borderId="9" xfId="8" applyNumberFormat="1" applyFont="1" applyFill="1" applyBorder="1"/>
    <xf numFmtId="166" fontId="34" fillId="0" borderId="0" xfId="9" applyNumberFormat="1" applyFont="1" applyFill="1" applyBorder="1" applyAlignment="1">
      <alignment horizontal="center"/>
    </xf>
    <xf numFmtId="0" fontId="10" fillId="0" borderId="0" xfId="0" applyFont="1" applyAlignment="1">
      <alignment horizontal="left"/>
    </xf>
    <xf numFmtId="0" fontId="10" fillId="0" borderId="1" xfId="0" applyFont="1" applyBorder="1"/>
    <xf numFmtId="0" fontId="10" fillId="0" borderId="1" xfId="0" applyFont="1" applyBorder="1" applyAlignment="1">
      <alignment horizontal="right"/>
    </xf>
    <xf numFmtId="0" fontId="10" fillId="0" borderId="1" xfId="0" applyFont="1" applyBorder="1" applyAlignment="1">
      <alignment horizontal="center"/>
    </xf>
    <xf numFmtId="0" fontId="34" fillId="0" borderId="1" xfId="0" applyFont="1" applyBorder="1"/>
    <xf numFmtId="0" fontId="4" fillId="0" borderId="0" xfId="0" applyFont="1"/>
    <xf numFmtId="0" fontId="105" fillId="0" borderId="8" xfId="0" applyFont="1" applyBorder="1" applyAlignment="1">
      <alignment horizontal="center"/>
    </xf>
    <xf numFmtId="0" fontId="10" fillId="0" borderId="0" xfId="0" applyFont="1" applyAlignment="1">
      <alignment horizontal="right"/>
    </xf>
    <xf numFmtId="0" fontId="10" fillId="0" borderId="2" xfId="0" applyFont="1" applyBorder="1" applyAlignment="1">
      <alignment horizontal="left"/>
    </xf>
    <xf numFmtId="0" fontId="10" fillId="0" borderId="2" xfId="0" applyFont="1" applyBorder="1" applyAlignment="1">
      <alignment horizontal="right"/>
    </xf>
    <xf numFmtId="0" fontId="4" fillId="0" borderId="0" xfId="0" applyFont="1" applyAlignment="1">
      <alignment horizontal="center"/>
    </xf>
    <xf numFmtId="0" fontId="10" fillId="86" borderId="0" xfId="0" applyFont="1" applyFill="1" applyAlignment="1">
      <alignment horizontal="right"/>
    </xf>
    <xf numFmtId="0" fontId="10" fillId="86" borderId="0" xfId="0" applyFont="1" applyFill="1" applyAlignment="1">
      <alignment horizontal="left"/>
    </xf>
    <xf numFmtId="0" fontId="34" fillId="0" borderId="0" xfId="0" applyFont="1" applyAlignment="1">
      <alignment horizontal="center"/>
    </xf>
    <xf numFmtId="0" fontId="34" fillId="0" borderId="0" xfId="0" applyFont="1" applyAlignment="1">
      <alignment horizontal="right"/>
    </xf>
    <xf numFmtId="0" fontId="34" fillId="0" borderId="0" xfId="0" applyFont="1" applyAlignment="1">
      <alignment horizontal="left"/>
    </xf>
    <xf numFmtId="0" fontId="34" fillId="0" borderId="1" xfId="0" applyFont="1" applyBorder="1" applyAlignment="1">
      <alignment horizontal="center"/>
    </xf>
    <xf numFmtId="0" fontId="34" fillId="0" borderId="1" xfId="0" applyFont="1" applyBorder="1" applyAlignment="1">
      <alignment horizontal="right"/>
    </xf>
    <xf numFmtId="0" fontId="34" fillId="0" borderId="0" xfId="0" applyFont="1" applyAlignment="1">
      <alignment wrapText="1"/>
    </xf>
    <xf numFmtId="3" fontId="34" fillId="0" borderId="0" xfId="0" applyNumberFormat="1" applyFont="1" applyAlignment="1">
      <alignment horizontal="center"/>
    </xf>
    <xf numFmtId="0" fontId="125" fillId="87" borderId="0" xfId="0" applyFont="1" applyFill="1" applyAlignment="1">
      <alignment horizontal="center"/>
    </xf>
    <xf numFmtId="3" fontId="34" fillId="0" borderId="4" xfId="0" applyNumberFormat="1" applyFont="1" applyBorder="1" applyAlignment="1">
      <alignment horizontal="right"/>
    </xf>
    <xf numFmtId="0" fontId="34" fillId="0" borderId="4" xfId="0" applyFont="1" applyBorder="1" applyAlignment="1">
      <alignment horizontal="right"/>
    </xf>
    <xf numFmtId="0" fontId="34" fillId="0" borderId="0" xfId="0" applyFont="1" applyAlignment="1">
      <alignment horizontal="right" wrapText="1"/>
    </xf>
    <xf numFmtId="0" fontId="34" fillId="0" borderId="2" xfId="0" applyFont="1" applyBorder="1" applyAlignment="1">
      <alignment horizontal="right"/>
    </xf>
    <xf numFmtId="3" fontId="34" fillId="0" borderId="43" xfId="0" applyNumberFormat="1" applyFont="1" applyBorder="1"/>
    <xf numFmtId="0" fontId="34" fillId="0" borderId="43" xfId="0" applyFont="1" applyBorder="1"/>
    <xf numFmtId="3" fontId="34" fillId="0" borderId="9" xfId="0" applyNumberFormat="1" applyFont="1" applyBorder="1"/>
    <xf numFmtId="0" fontId="34" fillId="0" borderId="9" xfId="0" applyFont="1" applyBorder="1"/>
    <xf numFmtId="3" fontId="34" fillId="0" borderId="9" xfId="0" applyNumberFormat="1" applyFont="1" applyBorder="1" applyAlignment="1">
      <alignment horizontal="center"/>
    </xf>
    <xf numFmtId="0" fontId="34" fillId="0" borderId="9" xfId="0" applyFont="1" applyBorder="1" applyAlignment="1">
      <alignment horizontal="center"/>
    </xf>
    <xf numFmtId="3" fontId="34" fillId="0" borderId="43" xfId="0" applyNumberFormat="1" applyFont="1" applyBorder="1" applyAlignment="1">
      <alignment horizontal="right"/>
    </xf>
    <xf numFmtId="0" fontId="34" fillId="0" borderId="43" xfId="0" applyFont="1" applyBorder="1" applyAlignment="1">
      <alignment horizontal="right"/>
    </xf>
    <xf numFmtId="0" fontId="10" fillId="0" borderId="0" xfId="0" applyFont="1" applyAlignment="1">
      <alignment horizontal="center"/>
    </xf>
    <xf numFmtId="3" fontId="10" fillId="0" borderId="0" xfId="0" applyNumberFormat="1" applyFont="1" applyAlignment="1">
      <alignment horizontal="center"/>
    </xf>
    <xf numFmtId="3" fontId="34" fillId="0" borderId="9" xfId="0" applyNumberFormat="1" applyFont="1" applyBorder="1" applyAlignment="1">
      <alignment horizontal="right"/>
    </xf>
    <xf numFmtId="0" fontId="34" fillId="0" borderId="9" xfId="0" applyFont="1" applyBorder="1" applyAlignment="1">
      <alignment horizontal="right"/>
    </xf>
    <xf numFmtId="3" fontId="34" fillId="0" borderId="0" xfId="0" applyNumberFormat="1" applyFont="1"/>
    <xf numFmtId="3" fontId="34" fillId="0" borderId="8" xfId="0" applyNumberFormat="1" applyFont="1" applyBorder="1"/>
    <xf numFmtId="0" fontId="34" fillId="0" borderId="1" xfId="0" applyFont="1" applyBorder="1" applyAlignment="1">
      <alignment horizontal="left"/>
    </xf>
    <xf numFmtId="0" fontId="34" fillId="0" borderId="2" xfId="0" applyFont="1" applyBorder="1" applyAlignment="1">
      <alignment horizontal="left"/>
    </xf>
    <xf numFmtId="0" fontId="10" fillId="0" borderId="1" xfId="0" applyFont="1" applyBorder="1" applyAlignment="1">
      <alignment horizontal="left"/>
    </xf>
    <xf numFmtId="0" fontId="10" fillId="0" borderId="2" xfId="0" applyFont="1" applyBorder="1"/>
    <xf numFmtId="0" fontId="34" fillId="0" borderId="2" xfId="0" applyFont="1" applyBorder="1"/>
    <xf numFmtId="0" fontId="34" fillId="86" borderId="0" xfId="0" applyFont="1" applyFill="1"/>
    <xf numFmtId="201" fontId="0" fillId="0" borderId="0" xfId="0" applyNumberFormat="1"/>
    <xf numFmtId="0" fontId="34" fillId="88" borderId="0" xfId="0" applyFont="1" applyFill="1"/>
    <xf numFmtId="0" fontId="34" fillId="88" borderId="0" xfId="0" applyFont="1" applyFill="1" applyAlignment="1">
      <alignment horizontal="right"/>
    </xf>
    <xf numFmtId="0" fontId="4" fillId="88" borderId="0" xfId="0" applyFont="1" applyFill="1"/>
    <xf numFmtId="0" fontId="0" fillId="88" borderId="0" xfId="0" applyFill="1"/>
    <xf numFmtId="3" fontId="10" fillId="86" borderId="0" xfId="0" applyNumberFormat="1" applyFont="1" applyFill="1" applyAlignment="1">
      <alignment horizontal="center"/>
    </xf>
    <xf numFmtId="0" fontId="10" fillId="86" borderId="0" xfId="0" applyFont="1" applyFill="1" applyAlignment="1">
      <alignment horizontal="center"/>
    </xf>
    <xf numFmtId="3" fontId="34" fillId="86" borderId="0" xfId="0" applyNumberFormat="1" applyFont="1" applyFill="1" applyAlignment="1">
      <alignment horizontal="center"/>
    </xf>
    <xf numFmtId="0" fontId="34" fillId="0" borderId="48" xfId="0" applyFont="1" applyBorder="1"/>
    <xf numFmtId="0" fontId="129" fillId="0" borderId="0" xfId="0" applyFont="1" applyAlignment="1">
      <alignment horizontal="centerContinuous"/>
    </xf>
    <xf numFmtId="0" fontId="124" fillId="0" borderId="0" xfId="0" applyFont="1" applyAlignment="1">
      <alignment horizontal="centerContinuous"/>
    </xf>
    <xf numFmtId="0" fontId="124" fillId="0" borderId="0" xfId="0" applyFont="1" applyAlignment="1">
      <alignment horizontal="center"/>
    </xf>
    <xf numFmtId="0" fontId="124" fillId="0" borderId="0" xfId="0" applyFont="1"/>
    <xf numFmtId="0" fontId="130" fillId="89" borderId="49" xfId="0" applyFont="1" applyFill="1" applyBorder="1" applyAlignment="1">
      <alignment horizontal="center"/>
    </xf>
    <xf numFmtId="0" fontId="131" fillId="89" borderId="49" xfId="0" applyFont="1" applyFill="1" applyBorder="1"/>
    <xf numFmtId="0" fontId="131" fillId="89" borderId="49" xfId="0" applyFont="1" applyFill="1" applyBorder="1" applyAlignment="1">
      <alignment horizontal="center"/>
    </xf>
    <xf numFmtId="0" fontId="130" fillId="0" borderId="0" xfId="0" applyFont="1"/>
    <xf numFmtId="0" fontId="132" fillId="0" borderId="0" xfId="0" applyFont="1"/>
    <xf numFmtId="0" fontId="131" fillId="89" borderId="50" xfId="0" applyFont="1" applyFill="1" applyBorder="1" applyAlignment="1">
      <alignment horizontal="left"/>
    </xf>
    <xf numFmtId="3" fontId="131" fillId="89" borderId="50" xfId="0" applyNumberFormat="1" applyFont="1" applyFill="1" applyBorder="1"/>
    <xf numFmtId="0" fontId="133" fillId="0" borderId="0" xfId="0" applyFont="1" applyAlignment="1">
      <alignment horizontal="center"/>
    </xf>
    <xf numFmtId="0" fontId="132" fillId="0" borderId="0" xfId="0" applyFont="1" applyAlignment="1">
      <alignment horizontal="right"/>
    </xf>
    <xf numFmtId="3" fontId="134" fillId="0" borderId="0" xfId="0" applyNumberFormat="1" applyFont="1"/>
    <xf numFmtId="165" fontId="124" fillId="0" borderId="0" xfId="1" applyNumberFormat="1" applyFont="1"/>
    <xf numFmtId="165" fontId="34" fillId="0" borderId="0" xfId="1" applyNumberFormat="1" applyFont="1"/>
    <xf numFmtId="0" fontId="136" fillId="0" borderId="8" xfId="0" applyFont="1" applyBorder="1" applyAlignment="1">
      <alignment horizontal="center"/>
    </xf>
    <xf numFmtId="165" fontId="34" fillId="0" borderId="8" xfId="1" applyNumberFormat="1" applyFont="1" applyBorder="1" applyAlignment="1">
      <alignment horizontal="center"/>
    </xf>
    <xf numFmtId="0" fontId="137" fillId="88" borderId="0" xfId="0" applyFont="1" applyFill="1" applyAlignment="1">
      <alignment horizontal="center"/>
    </xf>
    <xf numFmtId="0" fontId="110" fillId="0" borderId="0" xfId="0" applyFont="1"/>
    <xf numFmtId="165" fontId="34" fillId="0" borderId="0" xfId="1" applyNumberFormat="1" applyFont="1" applyBorder="1" applyAlignment="1">
      <alignment horizontal="center"/>
    </xf>
    <xf numFmtId="0" fontId="138" fillId="87" borderId="0" xfId="0" applyFont="1" applyFill="1" applyAlignment="1">
      <alignment horizontal="center"/>
    </xf>
    <xf numFmtId="0" fontId="137" fillId="0" borderId="0" xfId="0" applyFont="1" applyAlignment="1">
      <alignment horizontal="center"/>
    </xf>
    <xf numFmtId="198" fontId="12" fillId="0" borderId="0" xfId="9" applyNumberFormat="1" applyFont="1" applyFill="1" applyAlignment="1">
      <alignment horizontal="center" wrapText="1"/>
    </xf>
    <xf numFmtId="165" fontId="34" fillId="0" borderId="0" xfId="1" applyNumberFormat="1" applyFont="1" applyAlignment="1">
      <alignment horizontal="right"/>
    </xf>
    <xf numFmtId="165" fontId="34" fillId="0" borderId="4" xfId="1" applyNumberFormat="1" applyFont="1" applyBorder="1" applyAlignment="1">
      <alignment horizontal="right"/>
    </xf>
    <xf numFmtId="0" fontId="4" fillId="0" borderId="0" xfId="52234"/>
    <xf numFmtId="0" fontId="13" fillId="0" borderId="0" xfId="52234" applyFont="1" applyAlignment="1">
      <alignment horizontal="centerContinuous"/>
    </xf>
    <xf numFmtId="0" fontId="4" fillId="0" borderId="0" xfId="52234" applyAlignment="1">
      <alignment horizontal="centerContinuous"/>
    </xf>
    <xf numFmtId="165" fontId="4" fillId="0" borderId="0" xfId="52233" applyNumberFormat="1" applyFont="1"/>
    <xf numFmtId="165" fontId="4" fillId="0" borderId="0" xfId="52234" applyNumberFormat="1"/>
    <xf numFmtId="0" fontId="126" fillId="0" borderId="0" xfId="52234" quotePrefix="1" applyFont="1" applyAlignment="1">
      <alignment horizontal="right"/>
    </xf>
    <xf numFmtId="165" fontId="127" fillId="0" borderId="0" xfId="52233" applyNumberFormat="1" applyFont="1"/>
    <xf numFmtId="0" fontId="17" fillId="90" borderId="52" xfId="52234" applyFont="1" applyFill="1" applyBorder="1" applyAlignment="1">
      <alignment horizontal="left"/>
    </xf>
    <xf numFmtId="0" fontId="17" fillId="90" borderId="51" xfId="52234" applyFont="1" applyFill="1" applyBorder="1"/>
    <xf numFmtId="165" fontId="17" fillId="90" borderId="52" xfId="52234" applyNumberFormat="1" applyFont="1" applyFill="1" applyBorder="1"/>
    <xf numFmtId="0" fontId="17" fillId="90" borderId="51" xfId="52234" applyFont="1" applyFill="1" applyBorder="1" applyAlignment="1">
      <alignment horizontal="center"/>
    </xf>
    <xf numFmtId="0" fontId="105" fillId="0" borderId="0" xfId="52234" applyFont="1" applyAlignment="1">
      <alignment horizontal="center"/>
    </xf>
    <xf numFmtId="0" fontId="126" fillId="0" borderId="0" xfId="52234" applyFont="1"/>
    <xf numFmtId="0" fontId="4" fillId="0" borderId="0" xfId="52234" applyAlignment="1">
      <alignment horizontal="center"/>
    </xf>
    <xf numFmtId="0" fontId="11" fillId="90" borderId="51" xfId="52234" applyFont="1" applyFill="1" applyBorder="1" applyAlignment="1">
      <alignment horizontal="center"/>
    </xf>
    <xf numFmtId="0" fontId="135" fillId="0" borderId="0" xfId="52234" applyFont="1" applyAlignment="1">
      <alignment horizontal="centerContinuous"/>
    </xf>
    <xf numFmtId="165" fontId="127" fillId="3" borderId="0" xfId="52233" applyNumberFormat="1" applyFont="1" applyFill="1"/>
    <xf numFmtId="165" fontId="12" fillId="0" borderId="0" xfId="9" applyNumberFormat="1" applyFont="1" applyFill="1" applyBorder="1"/>
    <xf numFmtId="3" fontId="34" fillId="3" borderId="0" xfId="0" applyNumberFormat="1" applyFont="1" applyFill="1"/>
    <xf numFmtId="0" fontId="34" fillId="3" borderId="0" xfId="0" applyFont="1" applyFill="1"/>
    <xf numFmtId="164" fontId="139" fillId="0" borderId="0" xfId="8" applyNumberFormat="1" applyFont="1" applyFill="1" applyBorder="1"/>
    <xf numFmtId="3" fontId="4" fillId="0" borderId="0" xfId="0" applyNumberFormat="1" applyFont="1"/>
    <xf numFmtId="165" fontId="4" fillId="3" borderId="0" xfId="52233" applyNumberFormat="1" applyFont="1" applyFill="1"/>
    <xf numFmtId="164" fontId="139" fillId="0" borderId="0" xfId="8" quotePrefix="1" applyNumberFormat="1" applyFont="1" applyFill="1" applyBorder="1" applyAlignment="1">
      <alignment horizontal="left"/>
    </xf>
    <xf numFmtId="3" fontId="0" fillId="0" borderId="0" xfId="0" applyNumberFormat="1"/>
    <xf numFmtId="164" fontId="12" fillId="0" borderId="0" xfId="8" applyNumberFormat="1" applyFont="1" applyFill="1" applyBorder="1"/>
    <xf numFmtId="164" fontId="34" fillId="0" borderId="0" xfId="8" applyNumberFormat="1" applyFont="1" applyFill="1" applyAlignment="1">
      <alignment horizontal="left" indent="1"/>
    </xf>
    <xf numFmtId="166" fontId="12" fillId="0" borderId="0" xfId="9" applyNumberFormat="1" applyFont="1" applyFill="1" applyBorder="1" applyAlignment="1">
      <alignment horizontal="left"/>
    </xf>
    <xf numFmtId="165" fontId="34" fillId="0" borderId="1" xfId="9" applyNumberFormat="1" applyFont="1" applyFill="1" applyBorder="1"/>
    <xf numFmtId="0" fontId="34" fillId="3" borderId="0" xfId="0" applyFont="1" applyFill="1" applyAlignment="1">
      <alignment horizontal="left"/>
    </xf>
    <xf numFmtId="0" fontId="34" fillId="3" borderId="0" xfId="0" applyFont="1" applyFill="1" applyAlignment="1">
      <alignment horizontal="right"/>
    </xf>
    <xf numFmtId="3" fontId="34" fillId="3" borderId="9" xfId="0" applyNumberFormat="1" applyFont="1" applyFill="1" applyBorder="1" applyAlignment="1">
      <alignment horizontal="right"/>
    </xf>
    <xf numFmtId="0" fontId="34" fillId="3" borderId="9" xfId="0" applyFont="1" applyFill="1" applyBorder="1" applyAlignment="1">
      <alignment horizontal="right"/>
    </xf>
    <xf numFmtId="3" fontId="34" fillId="3" borderId="9" xfId="0" applyNumberFormat="1" applyFont="1" applyFill="1" applyBorder="1"/>
    <xf numFmtId="0" fontId="34" fillId="3" borderId="9" xfId="0" applyFont="1" applyFill="1" applyBorder="1"/>
    <xf numFmtId="0" fontId="34" fillId="3" borderId="0" xfId="0" applyFont="1" applyFill="1" applyAlignment="1">
      <alignment horizontal="center"/>
    </xf>
    <xf numFmtId="3" fontId="4" fillId="4" borderId="0" xfId="0" applyNumberFormat="1" applyFont="1" applyFill="1"/>
    <xf numFmtId="3" fontId="4" fillId="91" borderId="0" xfId="0" applyNumberFormat="1" applyFont="1" applyFill="1"/>
    <xf numFmtId="3" fontId="10" fillId="0" borderId="0" xfId="0" applyNumberFormat="1" applyFont="1" applyAlignment="1">
      <alignment horizontal="right"/>
    </xf>
    <xf numFmtId="3" fontId="34" fillId="0" borderId="0" xfId="0" applyNumberFormat="1" applyFont="1" applyAlignment="1">
      <alignment horizontal="right"/>
    </xf>
    <xf numFmtId="3" fontId="10" fillId="4" borderId="0" xfId="0" applyNumberFormat="1" applyFont="1" applyFill="1" applyAlignment="1">
      <alignment horizontal="right"/>
    </xf>
    <xf numFmtId="3" fontId="34" fillId="4" borderId="0" xfId="0" applyNumberFormat="1" applyFont="1" applyFill="1" applyAlignment="1">
      <alignment horizontal="right"/>
    </xf>
    <xf numFmtId="164" fontId="34" fillId="0" borderId="1" xfId="8" applyNumberFormat="1" applyFont="1" applyFill="1" applyBorder="1"/>
    <xf numFmtId="164" fontId="139" fillId="0" borderId="0" xfId="8" applyNumberFormat="1" applyFont="1" applyFill="1" applyBorder="1" applyAlignment="1">
      <alignment horizontal="left"/>
    </xf>
    <xf numFmtId="0" fontId="34" fillId="0" borderId="0" xfId="52222" applyFont="1"/>
    <xf numFmtId="0" fontId="34" fillId="0" borderId="0" xfId="4" applyFont="1" applyAlignment="1">
      <alignment wrapText="1"/>
    </xf>
    <xf numFmtId="0" fontId="12" fillId="0" borderId="0" xfId="52222" applyFont="1"/>
    <xf numFmtId="3" fontId="34" fillId="0" borderId="0" xfId="52225" applyNumberFormat="1" applyFont="1" applyAlignment="1">
      <alignment horizontal="left"/>
    </xf>
    <xf numFmtId="0" fontId="34" fillId="0" borderId="1" xfId="52222" quotePrefix="1" applyFont="1" applyBorder="1" applyAlignment="1">
      <alignment horizontal="left"/>
    </xf>
    <xf numFmtId="0" fontId="34" fillId="0" borderId="1" xfId="52222" applyFont="1" applyBorder="1"/>
    <xf numFmtId="0" fontId="34" fillId="0" borderId="1" xfId="52222" applyFont="1" applyBorder="1" applyAlignment="1">
      <alignment horizontal="right"/>
    </xf>
    <xf numFmtId="0" fontId="34" fillId="0" borderId="2" xfId="52222" applyFont="1" applyBorder="1" applyAlignment="1">
      <alignment horizontal="left"/>
    </xf>
    <xf numFmtId="0" fontId="34" fillId="0" borderId="0" xfId="52222" applyFont="1" applyAlignment="1">
      <alignment horizontal="left"/>
    </xf>
    <xf numFmtId="0" fontId="34" fillId="0" borderId="0" xfId="52222" applyFont="1" applyAlignment="1">
      <alignment horizontal="right"/>
    </xf>
    <xf numFmtId="0" fontId="34" fillId="0" borderId="1" xfId="52222" applyFont="1" applyBorder="1" applyAlignment="1">
      <alignment horizontal="left"/>
    </xf>
    <xf numFmtId="0" fontId="34" fillId="0" borderId="0" xfId="52222" quotePrefix="1" applyFont="1" applyAlignment="1">
      <alignment horizontal="center"/>
    </xf>
    <xf numFmtId="0" fontId="34" fillId="0" borderId="0" xfId="52222" applyFont="1" applyAlignment="1">
      <alignment horizontal="center"/>
    </xf>
    <xf numFmtId="0" fontId="34" fillId="0" borderId="1" xfId="52222" applyFont="1" applyBorder="1" applyAlignment="1">
      <alignment horizontal="center"/>
    </xf>
    <xf numFmtId="14" fontId="34" fillId="0" borderId="1" xfId="52222" applyNumberFormat="1" applyFont="1" applyBorder="1" applyAlignment="1">
      <alignment horizontal="center"/>
    </xf>
    <xf numFmtId="14" fontId="34" fillId="0" borderId="1" xfId="52222" quotePrefix="1" applyNumberFormat="1" applyFont="1" applyBorder="1" applyAlignment="1">
      <alignment horizontal="center"/>
    </xf>
    <xf numFmtId="0" fontId="34" fillId="0" borderId="1" xfId="52222" quotePrefix="1" applyFont="1" applyBorder="1" applyAlignment="1">
      <alignment horizontal="center"/>
    </xf>
    <xf numFmtId="0" fontId="34" fillId="0" borderId="0" xfId="4" applyFont="1" applyAlignment="1">
      <alignment horizontal="right" wrapText="1"/>
    </xf>
    <xf numFmtId="165" fontId="34" fillId="0" borderId="0" xfId="52222" applyNumberFormat="1" applyFont="1"/>
    <xf numFmtId="3" fontId="34" fillId="0" borderId="0" xfId="52222" applyNumberFormat="1" applyFont="1"/>
    <xf numFmtId="0" fontId="34" fillId="0" borderId="0" xfId="4" quotePrefix="1" applyFont="1" applyAlignment="1">
      <alignment horizontal="right" wrapText="1"/>
    </xf>
    <xf numFmtId="0" fontId="12" fillId="0" borderId="1" xfId="52222" applyFont="1" applyBorder="1"/>
    <xf numFmtId="165" fontId="12" fillId="0" borderId="1" xfId="52222" applyNumberFormat="1" applyFont="1" applyBorder="1"/>
    <xf numFmtId="0" fontId="34" fillId="0" borderId="0" xfId="4" quotePrefix="1" applyFont="1" applyAlignment="1">
      <alignment wrapText="1"/>
    </xf>
    <xf numFmtId="0" fontId="34" fillId="0" borderId="1" xfId="52222" applyFont="1" applyBorder="1" applyAlignment="1">
      <alignment horizontal="left" indent="1"/>
    </xf>
    <xf numFmtId="3" fontId="34" fillId="0" borderId="0" xfId="52225" applyNumberFormat="1" applyFont="1" applyAlignment="1"/>
    <xf numFmtId="165" fontId="34" fillId="0" borderId="8" xfId="9" applyNumberFormat="1" applyFont="1" applyFill="1" applyBorder="1"/>
    <xf numFmtId="165" fontId="12" fillId="0" borderId="1" xfId="1" applyNumberFormat="1" applyFont="1" applyFill="1" applyBorder="1"/>
    <xf numFmtId="165" fontId="34" fillId="0" borderId="4" xfId="9" applyNumberFormat="1" applyFont="1" applyFill="1" applyBorder="1"/>
    <xf numFmtId="166" fontId="34" fillId="0" borderId="0" xfId="0" applyNumberFormat="1" applyFont="1"/>
    <xf numFmtId="0" fontId="17" fillId="0" borderId="0" xfId="2" applyFont="1" applyAlignment="1">
      <alignment horizontal="center"/>
    </xf>
    <xf numFmtId="0" fontId="34" fillId="0" borderId="0" xfId="52222" applyFont="1" applyAlignment="1">
      <alignment horizontal="center"/>
    </xf>
    <xf numFmtId="0" fontId="3" fillId="0" borderId="2" xfId="53" quotePrefix="1" applyFont="1" applyBorder="1" applyAlignment="1">
      <alignment horizontal="center"/>
    </xf>
    <xf numFmtId="0" fontId="3" fillId="0" borderId="8" xfId="53" applyFont="1" applyBorder="1" applyAlignment="1">
      <alignment horizontal="center"/>
    </xf>
    <xf numFmtId="0" fontId="3" fillId="0" borderId="0" xfId="53" applyFont="1" applyAlignment="1">
      <alignment horizontal="center"/>
    </xf>
    <xf numFmtId="0" fontId="34" fillId="0" borderId="2" xfId="53" quotePrefix="1" applyFont="1" applyBorder="1" applyAlignment="1">
      <alignment horizontal="center"/>
    </xf>
    <xf numFmtId="0" fontId="128" fillId="0" borderId="0" xfId="0" applyFont="1" applyAlignment="1">
      <alignment horizontal="center"/>
    </xf>
    <xf numFmtId="0" fontId="129" fillId="0" borderId="0" xfId="0" applyFont="1" applyAlignment="1">
      <alignment horizontal="center"/>
    </xf>
    <xf numFmtId="0" fontId="124" fillId="0" borderId="0" xfId="0" applyFont="1"/>
    <xf numFmtId="37" fontId="13" fillId="0" borderId="0" xfId="0" applyNumberFormat="1" applyFont="1" applyAlignment="1">
      <alignment horizontal="center"/>
    </xf>
    <xf numFmtId="169" fontId="13" fillId="0" borderId="0" xfId="0" quotePrefix="1" applyNumberFormat="1" applyFont="1" applyAlignment="1">
      <alignment horizontal="center"/>
    </xf>
    <xf numFmtId="0" fontId="102" fillId="0" borderId="0" xfId="0" applyFont="1" applyAlignment="1">
      <alignment horizontal="center"/>
    </xf>
    <xf numFmtId="0" fontId="0" fillId="0" borderId="0" xfId="0" applyAlignment="1">
      <alignment horizontal="center" vertical="center" wrapText="1"/>
    </xf>
    <xf numFmtId="0" fontId="0" fillId="0" borderId="8" xfId="0" applyBorder="1" applyAlignment="1">
      <alignment horizontal="center" vertical="center" wrapText="1"/>
    </xf>
    <xf numFmtId="0" fontId="113" fillId="3" borderId="23" xfId="0" applyFont="1" applyFill="1" applyBorder="1" applyAlignment="1">
      <alignment horizontal="center"/>
    </xf>
    <xf numFmtId="0" fontId="113" fillId="3" borderId="21" xfId="0" applyFont="1" applyFill="1" applyBorder="1" applyAlignment="1">
      <alignment horizontal="center"/>
    </xf>
    <xf numFmtId="0" fontId="113" fillId="3" borderId="47" xfId="0" applyFont="1" applyFill="1" applyBorder="1" applyAlignment="1">
      <alignment horizontal="center"/>
    </xf>
    <xf numFmtId="0" fontId="32" fillId="77" borderId="23" xfId="0" applyFont="1" applyFill="1" applyBorder="1" applyAlignment="1">
      <alignment horizontal="center"/>
    </xf>
    <xf numFmtId="0" fontId="32" fillId="77" borderId="21" xfId="0" applyFont="1" applyFill="1" applyBorder="1" applyAlignment="1">
      <alignment horizontal="center"/>
    </xf>
    <xf numFmtId="0" fontId="32" fillId="77" borderId="47" xfId="0" applyFont="1" applyFill="1" applyBorder="1" applyAlignment="1">
      <alignment horizontal="center"/>
    </xf>
    <xf numFmtId="0" fontId="0" fillId="73" borderId="4" xfId="0" applyFill="1" applyBorder="1" applyAlignment="1">
      <alignment horizontal="center" vertical="center" wrapText="1"/>
    </xf>
    <xf numFmtId="0" fontId="0" fillId="73" borderId="8" xfId="0" applyFill="1" applyBorder="1" applyAlignment="1">
      <alignment horizontal="center" vertical="center" wrapText="1"/>
    </xf>
    <xf numFmtId="0" fontId="32" fillId="77" borderId="5" xfId="0" applyFont="1" applyFill="1" applyBorder="1" applyAlignment="1">
      <alignment horizontal="center"/>
    </xf>
    <xf numFmtId="0" fontId="32" fillId="77" borderId="11" xfId="0" applyFont="1" applyFill="1" applyBorder="1" applyAlignment="1">
      <alignment horizontal="center"/>
    </xf>
    <xf numFmtId="0" fontId="34" fillId="0" borderId="0" xfId="52222" applyFont="1" applyBorder="1" applyAlignment="1">
      <alignment horizontal="left"/>
    </xf>
  </cellXfs>
  <cellStyles count="52236">
    <cellStyle name="****************************************** 2" xfId="95" xr:uid="{16D5851F-1F94-4FAD-8207-C8D7FF45C515}"/>
    <cellStyle name="20% - Accent1" xfId="28" builtinId="30" customBuiltin="1"/>
    <cellStyle name="20% - Accent1 2" xfId="401" xr:uid="{86867CB2-E7E1-482B-8DD6-8DFCD56A9FA7}"/>
    <cellStyle name="20% - Accent1 2 2" xfId="50878" xr:uid="{75924C20-B4A0-4C13-8A0B-F3C2CDE6E695}"/>
    <cellStyle name="20% - Accent1 2 2 2" xfId="51142" xr:uid="{FE7261E2-F862-4400-B753-ED5FD68DF4FE}"/>
    <cellStyle name="20% - Accent1 2 2 2 2" xfId="51616" xr:uid="{5C5ECD80-E9F1-4D22-B924-9747713CB36C}"/>
    <cellStyle name="20% - Accent1 2 2 2 3" xfId="52094" xr:uid="{816A4D84-EE66-4F16-8064-B0E1C8CED524}"/>
    <cellStyle name="20% - Accent1 2 2 3" xfId="51381" xr:uid="{D69BC65B-DAE0-414E-B97E-E4055D50DD4A}"/>
    <cellStyle name="20% - Accent1 2 2 4" xfId="51895" xr:uid="{A3304359-EB08-4006-B3B0-2DE9AF9BCE58}"/>
    <cellStyle name="20% - Accent1 2 3" xfId="50970" xr:uid="{2CE11552-BE90-4CC1-B8F2-1BE5CACD524B}"/>
    <cellStyle name="20% - Accent1 2 3 2" xfId="51214" xr:uid="{1769977A-AF2F-4893-ABBB-3FAC4C8311DB}"/>
    <cellStyle name="20% - Accent1 2 3 2 2" xfId="51687" xr:uid="{09D19344-5635-41AE-81A3-EDA16296D9CC}"/>
    <cellStyle name="20% - Accent1 2 3 2 3" xfId="52163" xr:uid="{E502D534-2C84-4A2F-97D9-5143989EA415}"/>
    <cellStyle name="20% - Accent1 2 3 3" xfId="51452" xr:uid="{6E31D176-748B-4526-B1D4-EAA222C5864D}"/>
    <cellStyle name="20% - Accent1 2 3 4" xfId="51966" xr:uid="{F8A1383B-E7D7-4C1B-A36E-0E2A259FEC6E}"/>
    <cellStyle name="20% - Accent1 2 4" xfId="51086" xr:uid="{E58A06CD-C18E-447F-A07D-F8F2BF33D8A1}"/>
    <cellStyle name="20% - Accent1 2 4 2" xfId="51560" xr:uid="{7C4B25F8-24C1-4C5B-8455-3D7A36E423E8}"/>
    <cellStyle name="20% - Accent1 2 4 3" xfId="52038" xr:uid="{5C612BD3-C6CA-46E1-831C-A6226F3D06B6}"/>
    <cellStyle name="20% - Accent1 2 5" xfId="50823" xr:uid="{2BEDAB64-0287-476F-B0EF-DD360F3ACBDB}"/>
    <cellStyle name="20% - Accent1 2 6" xfId="51325" xr:uid="{E50F995D-F448-415F-B8CF-0E39C93F97D8}"/>
    <cellStyle name="20% - Accent1 2 7" xfId="51839" xr:uid="{AC271903-4B3A-4320-9B5C-8189D8E927E8}"/>
    <cellStyle name="20% - Accent1 3" xfId="50836" xr:uid="{66F7DF0B-38AB-4C3A-BF40-5BB0C1B9C5C6}"/>
    <cellStyle name="20% - Accent1 3 2" xfId="50891" xr:uid="{186406ED-B4B4-40FC-9986-ED5882E78156}"/>
    <cellStyle name="20% - Accent1 3 2 2" xfId="51155" xr:uid="{1B24B299-F6C8-417C-9136-907A6534B5FA}"/>
    <cellStyle name="20% - Accent1 3 2 2 2" xfId="51629" xr:uid="{6C590CA7-06FF-4A72-B2A7-825CBF08A364}"/>
    <cellStyle name="20% - Accent1 3 2 2 3" xfId="52107" xr:uid="{95AAD28D-704D-40CD-B7A0-97F8961B0AAF}"/>
    <cellStyle name="20% - Accent1 3 2 3" xfId="51394" xr:uid="{FE3088D2-9694-48B0-B1D2-E834639AC3D3}"/>
    <cellStyle name="20% - Accent1 3 2 4" xfId="51908" xr:uid="{9C668BEE-A379-4C23-AE82-52687267C90D}"/>
    <cellStyle name="20% - Accent1 3 3" xfId="50983" xr:uid="{642335B6-8251-44C7-9E92-60F7432487CE}"/>
    <cellStyle name="20% - Accent1 3 3 2" xfId="51227" xr:uid="{6DF3A037-2C77-4BD3-91D8-D3209BEB6DB1}"/>
    <cellStyle name="20% - Accent1 3 3 2 2" xfId="51700" xr:uid="{B066947F-7CDF-4D86-B0C9-ECC8B0258AD3}"/>
    <cellStyle name="20% - Accent1 3 3 2 3" xfId="52176" xr:uid="{3C1BD031-A08F-40F8-8C93-476B31720737}"/>
    <cellStyle name="20% - Accent1 3 3 3" xfId="51465" xr:uid="{7B0A4DCB-FFE5-4872-A375-A835E0474606}"/>
    <cellStyle name="20% - Accent1 3 3 4" xfId="51979" xr:uid="{E8F611A2-5532-49D9-A453-B08E00C7F7CF}"/>
    <cellStyle name="20% - Accent1 3 4" xfId="51099" xr:uid="{33DC6C9C-71EC-4787-BFA3-AC28901A0F9F}"/>
    <cellStyle name="20% - Accent1 3 4 2" xfId="51573" xr:uid="{672FE358-52D3-4DE6-8858-970162F6D012}"/>
    <cellStyle name="20% - Accent1 3 4 3" xfId="52051" xr:uid="{369359F5-E255-4016-B9C6-D582F691005A}"/>
    <cellStyle name="20% - Accent1 3 5" xfId="51338" xr:uid="{87D6FE75-EC41-475E-BB9F-E3191D8E0737}"/>
    <cellStyle name="20% - Accent1 3 6" xfId="51852" xr:uid="{9165B5D4-BE99-4704-A1E8-C2903F99A613}"/>
    <cellStyle name="20% - Accent1 4" xfId="50849" xr:uid="{BAEEEC0F-5342-4D1F-8CB2-9126A020CEF1}"/>
    <cellStyle name="20% - Accent1 4 2" xfId="50904" xr:uid="{A25BA542-003B-4FD8-8EC1-AC32DE3CA9F6}"/>
    <cellStyle name="20% - Accent1 4 2 2" xfId="51168" xr:uid="{3C87205F-D9B2-4B3F-B3B4-94FC584DC842}"/>
    <cellStyle name="20% - Accent1 4 2 2 2" xfId="51642" xr:uid="{1BBFCA83-224B-4653-8533-8C6EB0F479E3}"/>
    <cellStyle name="20% - Accent1 4 2 2 3" xfId="52120" xr:uid="{117483BA-2EFA-47E0-915B-5FB6EB757D7F}"/>
    <cellStyle name="20% - Accent1 4 2 3" xfId="51407" xr:uid="{44ECBE51-342F-4313-B387-ADBF4EB58339}"/>
    <cellStyle name="20% - Accent1 4 2 4" xfId="51921" xr:uid="{436D549D-B3EE-44F2-BD2B-743DE9D13A84}"/>
    <cellStyle name="20% - Accent1 4 3" xfId="50996" xr:uid="{7396DF9E-0C6F-4251-AAFF-7B3A697A86E6}"/>
    <cellStyle name="20% - Accent1 4 3 2" xfId="51240" xr:uid="{77EF55DD-0588-4407-BDBF-75F395180420}"/>
    <cellStyle name="20% - Accent1 4 3 2 2" xfId="51713" xr:uid="{B5526CDA-1A9F-450E-8310-BF22ACB6FAA1}"/>
    <cellStyle name="20% - Accent1 4 3 2 3" xfId="52189" xr:uid="{27DEAC2F-488B-4C78-A432-8152DA0F2F30}"/>
    <cellStyle name="20% - Accent1 4 3 3" xfId="51478" xr:uid="{D1A27772-6331-4B6F-8E55-D98E978EAD39}"/>
    <cellStyle name="20% - Accent1 4 3 4" xfId="51992" xr:uid="{8291BA6F-46BD-44C2-8A9D-0AC8B1656625}"/>
    <cellStyle name="20% - Accent1 4 4" xfId="51112" xr:uid="{25760B30-CF42-40B4-9C6C-4F79D6FA94B1}"/>
    <cellStyle name="20% - Accent1 4 4 2" xfId="51586" xr:uid="{FA4E5812-85F7-48F5-B0B0-F3A5A273CD09}"/>
    <cellStyle name="20% - Accent1 4 4 3" xfId="52064" xr:uid="{16F0476D-98E4-4F32-A1B8-06617E1E2C7D}"/>
    <cellStyle name="20% - Accent1 4 5" xfId="51351" xr:uid="{27A52291-4E23-4CB6-8AC4-FADE4C9CF249}"/>
    <cellStyle name="20% - Accent1 4 6" xfId="51865" xr:uid="{C0DBEAD9-D95C-4AEA-AE8E-9573AA1818B3}"/>
    <cellStyle name="20% - Accent1 5 2" xfId="51017" xr:uid="{1D3AC3E5-DD32-4FE4-BD96-ABCD7377C864}"/>
    <cellStyle name="20% - Accent1 5 2 2" xfId="51255" xr:uid="{2724B784-80A4-45C8-9AC1-A9216E81BD70}"/>
    <cellStyle name="20% - Accent1 5 2 2 2" xfId="51728" xr:uid="{7D828F8C-03E4-40F9-817F-9207E536FE3A}"/>
    <cellStyle name="20% - Accent1 5 2 2 3" xfId="52204" xr:uid="{7473630C-A00F-4D01-882C-28AF79DC6100}"/>
    <cellStyle name="20% - Accent1 5 2 4" xfId="52007" xr:uid="{89CBC821-E6BB-43A9-A8CF-5087B16EBD45}"/>
    <cellStyle name="20% - Accent1 5 3" xfId="51124" xr:uid="{2CF4F720-6C6F-4843-8481-0060EB1D01A8}"/>
    <cellStyle name="20% - Accent1 5 3 2" xfId="51598" xr:uid="{05FD4D29-E849-4FF8-A468-FC8950BAC9CC}"/>
    <cellStyle name="20% - Accent1 5 3 3" xfId="52076" xr:uid="{E074D747-329C-4481-8290-59CA4B441FFD}"/>
    <cellStyle name="20% - Accent1 5 4" xfId="51363" xr:uid="{C4371B63-CB53-43A6-9F22-2EB8B88C72D5}"/>
    <cellStyle name="20% - Accent1 5 5" xfId="51877" xr:uid="{4EDDE74A-45D8-4ECB-93C3-39761EFD30F4}"/>
    <cellStyle name="20% - Accent1 6" xfId="50952" xr:uid="{5A64488E-0C2F-4B9D-8F4D-0136EA7B39D7}"/>
    <cellStyle name="20% - Accent1 6 2" xfId="51196" xr:uid="{D1DBDD60-4CA6-4237-8B7C-C0EBE5288DC6}"/>
    <cellStyle name="20% - Accent1 6 2 2" xfId="51669" xr:uid="{45807B26-9E96-4476-916B-34640C9842C9}"/>
    <cellStyle name="20% - Accent1 6 2 3" xfId="52145" xr:uid="{0877EE73-4B39-41A2-90DE-315CA5B11CE2}"/>
    <cellStyle name="20% - Accent1 6 3" xfId="51434" xr:uid="{38B3B7B6-AEEA-4E44-8942-B78AADB57B22}"/>
    <cellStyle name="20% - Accent1 6 4" xfId="51948" xr:uid="{836F6056-0078-48DF-B5E4-ADA5923240CA}"/>
    <cellStyle name="20% - Accent1 7" xfId="51068" xr:uid="{152D58A7-E0B1-4077-A2DD-8998FCEF65A3}"/>
    <cellStyle name="20% - Accent1 7 2" xfId="51542" xr:uid="{7F664589-71F3-4166-83AF-ABF43CE885DB}"/>
    <cellStyle name="20% - Accent1 7 3" xfId="52021" xr:uid="{FDB5AAFD-6DD3-41E5-AD6B-5911BB00A7EC}"/>
    <cellStyle name="20% - Accent1 8" xfId="51307" xr:uid="{93204005-C8A9-4697-8B9C-7BED019BCE28}"/>
    <cellStyle name="20% - Accent2" xfId="32" builtinId="34" hidden="1" customBuiltin="1"/>
    <cellStyle name="20% - Accent2" xfId="52227" builtinId="34" customBuiltin="1"/>
    <cellStyle name="20% - Accent2 2" xfId="402" xr:uid="{4AF78278-3C3C-4F51-8E8B-B65AA104E6C7}"/>
    <cellStyle name="20% - Accent2 2 2" xfId="50880" xr:uid="{C6D725C0-DFB9-481C-922C-1535BFE16C4D}"/>
    <cellStyle name="20% - Accent2 2 2 2" xfId="51144" xr:uid="{F4C1189C-C39F-423A-87F9-E147A34286CD}"/>
    <cellStyle name="20% - Accent2 2 2 2 2" xfId="51618" xr:uid="{9A8E1D6B-5911-41B4-976F-A590BA8FA135}"/>
    <cellStyle name="20% - Accent2 2 2 2 3" xfId="52096" xr:uid="{8D7A0048-454A-4C0B-98E0-F4414B594498}"/>
    <cellStyle name="20% - Accent2 2 2 3" xfId="51383" xr:uid="{F6A8D386-4BA1-4C3E-B852-2A9221FD77D2}"/>
    <cellStyle name="20% - Accent2 2 2 4" xfId="51897" xr:uid="{90520081-D392-4331-8CFC-14B4A36EDDEB}"/>
    <cellStyle name="20% - Accent2 2 3" xfId="50972" xr:uid="{49749265-3B1F-4FE8-9BBD-81B80D797CFE}"/>
    <cellStyle name="20% - Accent2 2 3 2" xfId="51216" xr:uid="{4607145B-C43F-4728-BE3A-B650CFD44122}"/>
    <cellStyle name="20% - Accent2 2 3 2 2" xfId="51689" xr:uid="{50963D39-0580-43E6-83CB-86C4A349B297}"/>
    <cellStyle name="20% - Accent2 2 3 2 3" xfId="52165" xr:uid="{96909ADD-8012-4DC0-BE85-A849BD293D75}"/>
    <cellStyle name="20% - Accent2 2 3 3" xfId="51454" xr:uid="{3294DDD4-E635-4AEF-9F40-8D16E9B325D5}"/>
    <cellStyle name="20% - Accent2 2 3 4" xfId="51968" xr:uid="{E625B827-A31B-4E25-B187-8BD5D1B2E12A}"/>
    <cellStyle name="20% - Accent2 2 4" xfId="51088" xr:uid="{A7C2B719-823B-49C6-A632-07C2EEC93B62}"/>
    <cellStyle name="20% - Accent2 2 4 2" xfId="51562" xr:uid="{8560287C-149D-4A31-8618-0BA2BDC58CB0}"/>
    <cellStyle name="20% - Accent2 2 4 3" xfId="52040" xr:uid="{AF6D4E48-2A4F-4F57-8145-13458AD273D6}"/>
    <cellStyle name="20% - Accent2 2 5" xfId="50825" xr:uid="{BD31EA02-D908-49B7-9970-F9DA491F40E3}"/>
    <cellStyle name="20% - Accent2 2 6" xfId="51327" xr:uid="{10162FBF-8014-4D49-B1FF-543F948C4735}"/>
    <cellStyle name="20% - Accent2 2 7" xfId="51841" xr:uid="{C2F24612-3F83-4C5B-883A-680E73670593}"/>
    <cellStyle name="20% - Accent2 3" xfId="50838" xr:uid="{1C69274D-A1E5-40E2-9B87-1A3872478B33}"/>
    <cellStyle name="20% - Accent2 3 2" xfId="50893" xr:uid="{73D1FFB4-C7C5-42C9-A3D1-0B9070C34FA4}"/>
    <cellStyle name="20% - Accent2 3 2 2" xfId="51157" xr:uid="{606AB6F7-7F1D-4B6B-8C16-28AEC6132FEF}"/>
    <cellStyle name="20% - Accent2 3 2 2 2" xfId="51631" xr:uid="{280DF34D-D5DB-48F7-BE39-F1109A3EFE00}"/>
    <cellStyle name="20% - Accent2 3 2 2 3" xfId="52109" xr:uid="{A9EC5320-E46F-4AF6-B5CE-FCCF9FBE22E9}"/>
    <cellStyle name="20% - Accent2 3 2 3" xfId="51396" xr:uid="{13ED5AAC-BEA8-47C3-A2BF-5562DC27C83C}"/>
    <cellStyle name="20% - Accent2 3 2 4" xfId="51910" xr:uid="{579BCEAF-0EEC-4BCF-B3D5-70A695611E2D}"/>
    <cellStyle name="20% - Accent2 3 3" xfId="50985" xr:uid="{DA6E697A-7687-48C7-BBBB-16DC8C3D543F}"/>
    <cellStyle name="20% - Accent2 3 3 2" xfId="51229" xr:uid="{55B31CDB-D94A-4EBE-9F61-62DAEA7C4F82}"/>
    <cellStyle name="20% - Accent2 3 3 2 2" xfId="51702" xr:uid="{E24BF7DA-D6AC-476C-BF51-05A396181D20}"/>
    <cellStyle name="20% - Accent2 3 3 2 3" xfId="52178" xr:uid="{F682D8D2-88C6-44E2-A775-9CBF34E30F11}"/>
    <cellStyle name="20% - Accent2 3 3 3" xfId="51467" xr:uid="{75D3DE61-E20F-49C1-8685-D159D44A9AD7}"/>
    <cellStyle name="20% - Accent2 3 3 4" xfId="51981" xr:uid="{CD9AEB08-5A7E-4ECC-B299-102498DB8964}"/>
    <cellStyle name="20% - Accent2 3 4" xfId="51101" xr:uid="{31A313A0-6572-46B2-9E27-0FBA5808A362}"/>
    <cellStyle name="20% - Accent2 3 4 2" xfId="51575" xr:uid="{E4B5D255-65AD-49DC-BA5B-999C47FE8072}"/>
    <cellStyle name="20% - Accent2 3 4 3" xfId="52053" xr:uid="{29483575-353D-464F-851F-AE2BE0598C27}"/>
    <cellStyle name="20% - Accent2 3 5" xfId="51340" xr:uid="{B33CACE4-7F8D-45C2-A941-00E69FEAE686}"/>
    <cellStyle name="20% - Accent2 3 6" xfId="51854" xr:uid="{6126AC30-399E-43C0-A231-AC0171A6218D}"/>
    <cellStyle name="20% - Accent2 4" xfId="50851" xr:uid="{5C989CB4-E967-4836-A305-5437DE3F5EB9}"/>
    <cellStyle name="20% - Accent2 4 2" xfId="50906" xr:uid="{667D5859-0607-4679-B19E-3F1F6AD8DBFF}"/>
    <cellStyle name="20% - Accent2 4 2 2" xfId="51170" xr:uid="{9BAAD34C-702B-4DAD-8859-62C6770DB165}"/>
    <cellStyle name="20% - Accent2 4 2 2 2" xfId="51644" xr:uid="{48456722-A849-416C-A04E-A004E25F24F5}"/>
    <cellStyle name="20% - Accent2 4 2 2 3" xfId="52122" xr:uid="{A1AB3C37-122E-4D83-8857-A9E8F61D2000}"/>
    <cellStyle name="20% - Accent2 4 2 3" xfId="51409" xr:uid="{2B1837F1-4344-4E6C-BC47-A50BDE8213F2}"/>
    <cellStyle name="20% - Accent2 4 2 4" xfId="51923" xr:uid="{BCC358D9-9A8F-46D9-A259-44F6F63E0A1A}"/>
    <cellStyle name="20% - Accent2 4 3" xfId="50998" xr:uid="{B1BE4154-9CB9-4E67-BB87-DD39EB6FA6BD}"/>
    <cellStyle name="20% - Accent2 4 3 2" xfId="51242" xr:uid="{DEA7409F-2AB6-4D65-BA4D-03945ED47E68}"/>
    <cellStyle name="20% - Accent2 4 3 2 2" xfId="51715" xr:uid="{76651E3A-236B-47DC-A234-72C19237279D}"/>
    <cellStyle name="20% - Accent2 4 3 2 3" xfId="52191" xr:uid="{D65CDB8E-4E26-4CEB-9A93-48C66BCA4AF6}"/>
    <cellStyle name="20% - Accent2 4 3 3" xfId="51480" xr:uid="{96187495-4F9F-4F52-A67E-C159122824F6}"/>
    <cellStyle name="20% - Accent2 4 3 4" xfId="51994" xr:uid="{7D9AA8DA-B26F-4407-854F-7DB8A91F9BF2}"/>
    <cellStyle name="20% - Accent2 4 4" xfId="51114" xr:uid="{84975EB6-D4F2-4380-A42C-EC00AAB05FFC}"/>
    <cellStyle name="20% - Accent2 4 4 2" xfId="51588" xr:uid="{9405F86E-5BA2-4AE6-AFE4-061D425D4630}"/>
    <cellStyle name="20% - Accent2 4 4 3" xfId="52066" xr:uid="{8832342A-ECBA-4F36-89B4-E162ADC7599C}"/>
    <cellStyle name="20% - Accent2 4 5" xfId="51353" xr:uid="{43E04159-A0A8-402C-A632-D87F8F186345}"/>
    <cellStyle name="20% - Accent2 4 6" xfId="51867" xr:uid="{E4608959-DA54-4748-8899-362912E8AC27}"/>
    <cellStyle name="20% - Accent2 5" xfId="50861" xr:uid="{750EDFDD-77E1-4687-B34A-B667032BA42D}"/>
    <cellStyle name="20% - Accent2 5 2" xfId="51019" xr:uid="{2D8BBA03-3992-40A2-AC07-EC3FB06C8CA1}"/>
    <cellStyle name="20% - Accent2 5 2 2" xfId="51257" xr:uid="{57E707BA-8ECE-4E5D-8B36-6F2AC7E2C403}"/>
    <cellStyle name="20% - Accent2 5 2 2 2" xfId="51730" xr:uid="{4805EF8B-BCEE-4154-811C-5AF0F4D45711}"/>
    <cellStyle name="20% - Accent2 5 2 2 3" xfId="52206" xr:uid="{DEA6604D-C442-4613-BC3F-2B21D9483739}"/>
    <cellStyle name="20% - Accent2 5 2 3" xfId="51494" xr:uid="{CAD1E055-2F70-460D-AE7B-EEB9497AD72C}"/>
    <cellStyle name="20% - Accent2 5 2 4" xfId="52009" xr:uid="{A8657654-DB81-4409-A0EF-162B46C8093E}"/>
    <cellStyle name="20% - Accent2 5 3" xfId="51125" xr:uid="{EEDEB8C4-8D7D-4AA3-AF18-2D62C0A0413E}"/>
    <cellStyle name="20% - Accent2 5 3 2" xfId="51599" xr:uid="{96DB57CA-405A-4C2C-8679-5A2DDFA5CE7C}"/>
    <cellStyle name="20% - Accent2 5 3 3" xfId="52077" xr:uid="{5B410134-E8CE-43F9-AAB4-AB5C2505F084}"/>
    <cellStyle name="20% - Accent2 5 4" xfId="51364" xr:uid="{385CE9A5-1183-4F4C-8792-5C9977C111D8}"/>
    <cellStyle name="20% - Accent2 5 5" xfId="51878" xr:uid="{8FF5FFA8-7126-469B-967E-3C278FCF53CD}"/>
    <cellStyle name="20% - Accent2 6" xfId="50953" xr:uid="{05226DF6-8DDA-474B-9091-1B90BFA6A261}"/>
    <cellStyle name="20% - Accent2 6 2" xfId="51197" xr:uid="{E2179CD6-9AD2-4CE9-9618-7AFD556E8AF7}"/>
    <cellStyle name="20% - Accent2 6 2 2" xfId="51670" xr:uid="{1480FDFA-10C0-48D8-B0F0-4201121B5E88}"/>
    <cellStyle name="20% - Accent2 6 2 3" xfId="52146" xr:uid="{7694C26F-5923-4F78-82D0-00A59A8D87A0}"/>
    <cellStyle name="20% - Accent2 6 3" xfId="51435" xr:uid="{0899F62C-706E-4536-B067-61C1400CF008}"/>
    <cellStyle name="20% - Accent2 6 4" xfId="51949" xr:uid="{9DBBC1F6-540E-46F5-BFC3-08D48F0F612D}"/>
    <cellStyle name="20% - Accent2 7" xfId="51070" xr:uid="{58E98D0E-CD2E-4531-B6BF-A8A2DDA78F17}"/>
    <cellStyle name="20% - Accent2 7 2" xfId="51544" xr:uid="{F7CAB87F-C85E-47A6-BBDD-8C17C2A5B797}"/>
    <cellStyle name="20% - Accent2 7 3" xfId="52023" xr:uid="{64F2A458-785E-4496-83DE-3AC4E4830C33}"/>
    <cellStyle name="20% - Accent2 8" xfId="51309" xr:uid="{409CE6C3-58F1-4E8C-805B-A534E915372B}"/>
    <cellStyle name="20% - Accent2 9" xfId="51784" xr:uid="{00142D99-0DFA-4B4F-996D-CF6CE9C82D88}"/>
    <cellStyle name="20% - Accent3" xfId="36" builtinId="38" customBuiltin="1"/>
    <cellStyle name="20% - Accent3 2" xfId="403" xr:uid="{28E713C2-AD9D-4E35-A336-0390D3AC47FC}"/>
    <cellStyle name="20% - Accent3 2 2" xfId="50882" xr:uid="{40E38384-50E0-404C-994F-B087848CB898}"/>
    <cellStyle name="20% - Accent3 2 2 2" xfId="51146" xr:uid="{21FB2C7A-A054-4D68-B873-42FA3603C715}"/>
    <cellStyle name="20% - Accent3 2 2 2 2" xfId="51620" xr:uid="{E1CD769D-A6DB-425E-8C1F-B8352250FCBE}"/>
    <cellStyle name="20% - Accent3 2 2 2 3" xfId="52098" xr:uid="{7BD70E28-928F-4724-A3B4-3A622602CBA3}"/>
    <cellStyle name="20% - Accent3 2 2 3" xfId="51385" xr:uid="{49C2766A-36BD-4460-BEFC-23640BC9ABCF}"/>
    <cellStyle name="20% - Accent3 2 2 4" xfId="51899" xr:uid="{8DB469AD-87C2-4C34-B3B0-DD3057872BC4}"/>
    <cellStyle name="20% - Accent3 2 3" xfId="50974" xr:uid="{A0E9F2C1-A4E5-4E41-AE56-B05B37FEC376}"/>
    <cellStyle name="20% - Accent3 2 3 2" xfId="51218" xr:uid="{9C90ED89-E131-45BA-8DC3-BE78C2BF0C8F}"/>
    <cellStyle name="20% - Accent3 2 3 2 2" xfId="51691" xr:uid="{CC0F4FE5-5B17-47C6-AA36-0277897FB598}"/>
    <cellStyle name="20% - Accent3 2 3 2 3" xfId="52167" xr:uid="{5374668F-958F-4842-A4AE-EEF7237C76FD}"/>
    <cellStyle name="20% - Accent3 2 3 3" xfId="51456" xr:uid="{C01C5980-303B-468E-8B2A-E7D6BACC3129}"/>
    <cellStyle name="20% - Accent3 2 3 4" xfId="51970" xr:uid="{FE73E876-7161-429E-93A5-E6C2275DDD68}"/>
    <cellStyle name="20% - Accent3 2 4" xfId="51090" xr:uid="{EC71CB14-1FCE-4B14-8EBB-9F813B9C0AE4}"/>
    <cellStyle name="20% - Accent3 2 4 2" xfId="51564" xr:uid="{93C5E620-B26E-4D8A-A07D-596B265C3F0C}"/>
    <cellStyle name="20% - Accent3 2 4 3" xfId="52042" xr:uid="{F2B3548A-F4A1-4A9F-83ED-3C0EF20B69A6}"/>
    <cellStyle name="20% - Accent3 2 5" xfId="50827" xr:uid="{E0FA6649-8515-414D-84C0-9C2308037F55}"/>
    <cellStyle name="20% - Accent3 2 6" xfId="51329" xr:uid="{389FA5D2-AA06-44DC-8429-896F6646600F}"/>
    <cellStyle name="20% - Accent3 2 7" xfId="51843" xr:uid="{8AB7477C-E74F-4E94-83FA-4F700A2E3C81}"/>
    <cellStyle name="20% - Accent3 3" xfId="50840" xr:uid="{7D3A18FE-AF72-43A6-B55A-2A74030C7749}"/>
    <cellStyle name="20% - Accent3 3 2" xfId="50895" xr:uid="{2AD6B75C-B212-42E9-A8A1-5C854A53085E}"/>
    <cellStyle name="20% - Accent3 3 2 2" xfId="51159" xr:uid="{D137D8C3-EEF5-46A8-B942-B2019E89B8F9}"/>
    <cellStyle name="20% - Accent3 3 2 2 2" xfId="51633" xr:uid="{57E0545A-4C82-403B-A25D-2BA1AB4A41C2}"/>
    <cellStyle name="20% - Accent3 3 2 2 3" xfId="52111" xr:uid="{431F54B1-EB51-4289-B0AE-94E9DECFE9C0}"/>
    <cellStyle name="20% - Accent3 3 2 3" xfId="51398" xr:uid="{39B52F32-028D-45CF-8FBE-71D3B881BACC}"/>
    <cellStyle name="20% - Accent3 3 2 4" xfId="51912" xr:uid="{58B4CD68-8360-4E17-A8A7-8D8CE9317389}"/>
    <cellStyle name="20% - Accent3 3 3" xfId="50987" xr:uid="{F165A7A3-A96C-478D-9395-89F0A9D56416}"/>
    <cellStyle name="20% - Accent3 3 3 2" xfId="51231" xr:uid="{A886E7D3-9045-4D5E-8D61-EF110D358C85}"/>
    <cellStyle name="20% - Accent3 3 3 2 2" xfId="51704" xr:uid="{A2A5EEB7-0ED6-4007-B6ED-4828A5DD5539}"/>
    <cellStyle name="20% - Accent3 3 3 2 3" xfId="52180" xr:uid="{7FE5824D-EA06-411D-A4A2-4C289CF31E78}"/>
    <cellStyle name="20% - Accent3 3 3 3" xfId="51469" xr:uid="{0D13E85F-02EC-4C6B-9DAD-70767FBE63A2}"/>
    <cellStyle name="20% - Accent3 3 3 4" xfId="51983" xr:uid="{35945E8C-5BF5-45AD-8C97-F74BDDA1A7A8}"/>
    <cellStyle name="20% - Accent3 3 4" xfId="51103" xr:uid="{A60C87CC-6482-41FA-83C7-E09B78D577C9}"/>
    <cellStyle name="20% - Accent3 3 4 2" xfId="51577" xr:uid="{6A13C877-6A06-4DDE-84A4-9E0F3014839B}"/>
    <cellStyle name="20% - Accent3 3 4 3" xfId="52055" xr:uid="{575CE6C5-030A-43EC-BB77-518C856786AA}"/>
    <cellStyle name="20% - Accent3 3 5" xfId="51342" xr:uid="{C946279F-227C-48D7-8EEF-410CF29D088C}"/>
    <cellStyle name="20% - Accent3 3 6" xfId="51856" xr:uid="{A09CCF98-1030-4D0B-80DF-CB6D2F98468A}"/>
    <cellStyle name="20% - Accent3 4" xfId="50853" xr:uid="{EB5D6674-0594-4E75-836F-029EAD9D55C0}"/>
    <cellStyle name="20% - Accent3 4 2" xfId="50908" xr:uid="{61BF947F-0E44-4491-AD83-E9074B872B46}"/>
    <cellStyle name="20% - Accent3 4 2 2" xfId="51172" xr:uid="{FDA07916-1425-4E95-9B88-EE08CAEE94ED}"/>
    <cellStyle name="20% - Accent3 4 2 2 2" xfId="51646" xr:uid="{DC5B0E7C-AA00-4E3F-AEC0-01A58B6489EE}"/>
    <cellStyle name="20% - Accent3 4 2 2 3" xfId="52124" xr:uid="{080FC01B-244C-42F6-B071-A427CE26FC75}"/>
    <cellStyle name="20% - Accent3 4 2 3" xfId="51411" xr:uid="{3BBB33C0-59CA-496F-95E9-C49DA9AEA3F3}"/>
    <cellStyle name="20% - Accent3 4 2 4" xfId="51925" xr:uid="{C0BC66F1-4FBD-436A-97C1-013B5E2F4B4B}"/>
    <cellStyle name="20% - Accent3 4 3" xfId="51000" xr:uid="{DFDCAB56-BB26-47AA-BFAF-392B6230B336}"/>
    <cellStyle name="20% - Accent3 4 3 2" xfId="51244" xr:uid="{FAEE01D7-2F5F-4C18-B31D-745DD35FE4E5}"/>
    <cellStyle name="20% - Accent3 4 3 2 2" xfId="51717" xr:uid="{077180DA-6578-46F5-A9F2-85A1672CB8BC}"/>
    <cellStyle name="20% - Accent3 4 3 2 3" xfId="52193" xr:uid="{FB6F6D36-52A8-4A65-AFD7-C844DFEA851B}"/>
    <cellStyle name="20% - Accent3 4 3 3" xfId="51482" xr:uid="{6C2D4B0E-D1E6-46C6-8D3B-7B1390E77EBC}"/>
    <cellStyle name="20% - Accent3 4 3 4" xfId="51996" xr:uid="{37247600-F2DB-4718-A87E-7795C5D6D8ED}"/>
    <cellStyle name="20% - Accent3 4 4" xfId="51116" xr:uid="{B8ECE11A-F1AF-4020-B0E1-A92613B10B11}"/>
    <cellStyle name="20% - Accent3 4 4 2" xfId="51590" xr:uid="{C8C187C4-8C6B-449A-B17A-F84035AE6DAB}"/>
    <cellStyle name="20% - Accent3 4 4 3" xfId="52068" xr:uid="{9EE26A19-1350-4B06-AD36-96AF3B532A7C}"/>
    <cellStyle name="20% - Accent3 4 5" xfId="51355" xr:uid="{BD68575F-970A-46A9-9A0E-733D60BCEDEE}"/>
    <cellStyle name="20% - Accent3 4 6" xfId="51869" xr:uid="{0236A74A-5C19-4BBA-A5D6-1CBD4D3A6A4A}"/>
    <cellStyle name="20% - Accent3 5" xfId="50862" xr:uid="{580C2AED-B3AE-4893-AEB8-82B331E3D7A8}"/>
    <cellStyle name="20% - Accent3 5 2" xfId="51021" xr:uid="{CD76FA11-8DF1-4CFC-9220-6AB1D1984A87}"/>
    <cellStyle name="20% - Accent3 5 2 2" xfId="51259" xr:uid="{23CC9973-7241-4ACF-BF88-E2C6743405AE}"/>
    <cellStyle name="20% - Accent3 5 2 2 2" xfId="51732" xr:uid="{A72C01F6-B99B-4C90-96DC-540357E9CDF2}"/>
    <cellStyle name="20% - Accent3 5 2 2 3" xfId="52208" xr:uid="{78468AC0-19B3-45D2-9B5F-FB5E7FA67C9B}"/>
    <cellStyle name="20% - Accent3 5 2 3" xfId="51496" xr:uid="{4C49C90E-2DED-4BD5-8EE5-9647C8540D97}"/>
    <cellStyle name="20% - Accent3 5 2 4" xfId="52011" xr:uid="{3E8268A1-91EF-4CAC-92AD-F1E895299BB4}"/>
    <cellStyle name="20% - Accent3 5 3" xfId="51126" xr:uid="{E0FDED2B-7124-4485-AB6C-6602A242CB3A}"/>
    <cellStyle name="20% - Accent3 5 3 2" xfId="51600" xr:uid="{7B2EF798-333D-4E15-8813-C5BBAAE30AF1}"/>
    <cellStyle name="20% - Accent3 5 3 3" xfId="52078" xr:uid="{14E745B2-6CE6-433F-85A2-66FAA2CBACF5}"/>
    <cellStyle name="20% - Accent3 5 4" xfId="51365" xr:uid="{0C450A2D-9C81-45DD-9D8E-694AE80669A3}"/>
    <cellStyle name="20% - Accent3 5 5" xfId="51879" xr:uid="{847F0C98-DCE6-42ED-8CD6-7C48FF802D7F}"/>
    <cellStyle name="20% - Accent3 6" xfId="50954" xr:uid="{A835C41E-5AD7-4F25-9085-D359CA31DD81}"/>
    <cellStyle name="20% - Accent3 6 2" xfId="51198" xr:uid="{D690CEF8-5AE0-49CF-8762-FEF80F69008F}"/>
    <cellStyle name="20% - Accent3 6 2 2" xfId="51671" xr:uid="{F661F8E3-072F-41AC-AF74-224827C2AFCC}"/>
    <cellStyle name="20% - Accent3 6 2 3" xfId="52147" xr:uid="{2953839C-38A1-418C-B85A-710B55EEB389}"/>
    <cellStyle name="20% - Accent3 6 3" xfId="51436" xr:uid="{68439BB4-DD66-44C2-8DD0-4E2248F3C137}"/>
    <cellStyle name="20% - Accent3 6 4" xfId="51950" xr:uid="{AAB1FE51-346E-4E33-84C8-41885C0638AD}"/>
    <cellStyle name="20% - Accent3 7" xfId="51072" xr:uid="{D5CCEABD-89EB-451C-9D84-A9FA23F64F84}"/>
    <cellStyle name="20% - Accent3 7 2" xfId="51546" xr:uid="{119785C7-76B5-4329-8F71-EEA3618E40AF}"/>
    <cellStyle name="20% - Accent3 7 3" xfId="52025" xr:uid="{C459C918-1702-44CC-8C3F-9B768AC55BEC}"/>
    <cellStyle name="20% - Accent3 8" xfId="51311" xr:uid="{0A7C5E55-9B1A-4CF2-83D3-90EC2DF0A92F}"/>
    <cellStyle name="20% - Accent3 9" xfId="51786" xr:uid="{9BAD8978-12E1-4B49-9F9F-C5371CECB885}"/>
    <cellStyle name="20% - Accent4" xfId="40" builtinId="42" customBuiltin="1"/>
    <cellStyle name="20% - Accent4 2" xfId="404" xr:uid="{0DCD27E5-D2E1-4A28-B74D-95E7733C93F0}"/>
    <cellStyle name="20% - Accent4 2 2" xfId="50884" xr:uid="{7E64BB77-8E5F-4DF2-8C92-F8DD44DB3B9D}"/>
    <cellStyle name="20% - Accent4 2 2 2" xfId="51148" xr:uid="{9BF4E16D-A683-4C79-9B4F-D8895C34AD49}"/>
    <cellStyle name="20% - Accent4 2 2 2 2" xfId="51622" xr:uid="{F005FB96-0C1A-4876-9465-22B611F62857}"/>
    <cellStyle name="20% - Accent4 2 2 2 3" xfId="52100" xr:uid="{BC5401ED-A7B3-43E8-B57E-30005937BF87}"/>
    <cellStyle name="20% - Accent4 2 2 3" xfId="51387" xr:uid="{2C058268-A76A-4F66-A1AE-B4736F674A7E}"/>
    <cellStyle name="20% - Accent4 2 2 4" xfId="51901" xr:uid="{406D4761-AAB3-48F3-8E3B-FAFF18A36CE9}"/>
    <cellStyle name="20% - Accent4 2 3" xfId="50976" xr:uid="{01BBF190-EF5C-4CD0-877E-593F71C1761D}"/>
    <cellStyle name="20% - Accent4 2 3 2" xfId="51220" xr:uid="{442C3C5D-F502-4695-B89F-44DE641655ED}"/>
    <cellStyle name="20% - Accent4 2 3 2 2" xfId="51693" xr:uid="{811D63A3-5E32-4444-86FC-08FB202FA12C}"/>
    <cellStyle name="20% - Accent4 2 3 2 3" xfId="52169" xr:uid="{67FFF989-EAF2-4B09-B6E5-C2A288DE16C3}"/>
    <cellStyle name="20% - Accent4 2 3 3" xfId="51458" xr:uid="{C8A0EF4A-09A9-4DED-84A7-D06EAB4E4EF9}"/>
    <cellStyle name="20% - Accent4 2 3 4" xfId="51972" xr:uid="{0A309F4D-430E-4660-8255-0B70F4B348E4}"/>
    <cellStyle name="20% - Accent4 2 4" xfId="51092" xr:uid="{5E24F916-3085-44EC-B6F6-3761D6B0ADDC}"/>
    <cellStyle name="20% - Accent4 2 4 2" xfId="51566" xr:uid="{7B715B6A-71CB-4FB0-8300-24BC37C079D3}"/>
    <cellStyle name="20% - Accent4 2 4 3" xfId="52044" xr:uid="{3707C261-767A-406A-B0CE-BD97BEE4B56F}"/>
    <cellStyle name="20% - Accent4 2 5" xfId="50829" xr:uid="{48254DCF-8764-4D64-946D-8B6637F6D883}"/>
    <cellStyle name="20% - Accent4 2 6" xfId="51331" xr:uid="{48AE889E-3A4C-46E1-AECF-ED7E34AAB8FC}"/>
    <cellStyle name="20% - Accent4 2 7" xfId="51845" xr:uid="{33A1C0AA-A34C-4C1E-A8B0-1F347EE349ED}"/>
    <cellStyle name="20% - Accent4 3" xfId="50842" xr:uid="{F00674B9-DB66-4B0E-99D9-6D32E108EC4B}"/>
    <cellStyle name="20% - Accent4 3 2" xfId="50897" xr:uid="{77E744BC-B485-4AC8-8A4C-9231C3B063EC}"/>
    <cellStyle name="20% - Accent4 3 2 2" xfId="51161" xr:uid="{1ABCF182-360C-4556-8A9E-58462B0F13D3}"/>
    <cellStyle name="20% - Accent4 3 2 2 2" xfId="51635" xr:uid="{EE5B39DE-A68B-4273-AD43-0CF99A45342B}"/>
    <cellStyle name="20% - Accent4 3 2 2 3" xfId="52113" xr:uid="{C945DC31-A8D4-4576-9313-88B6BA839D5B}"/>
    <cellStyle name="20% - Accent4 3 2 3" xfId="51400" xr:uid="{8D723623-B599-407E-8F0B-C5A43216B38D}"/>
    <cellStyle name="20% - Accent4 3 2 4" xfId="51914" xr:uid="{DB93472E-D470-40AB-B0CA-274009AA0E89}"/>
    <cellStyle name="20% - Accent4 3 3" xfId="50989" xr:uid="{3A59F80A-11E7-4EAC-914C-1616B37343CA}"/>
    <cellStyle name="20% - Accent4 3 3 2" xfId="51233" xr:uid="{6135006F-472E-444A-B79C-A4F197B98543}"/>
    <cellStyle name="20% - Accent4 3 3 2 2" xfId="51706" xr:uid="{0601B3D1-0D29-483C-A7A2-C3FA5ACBADF9}"/>
    <cellStyle name="20% - Accent4 3 3 2 3" xfId="52182" xr:uid="{492DBFC2-D6F9-4C04-8C4E-99CEE5F07A1E}"/>
    <cellStyle name="20% - Accent4 3 3 3" xfId="51471" xr:uid="{2BEE6BC8-B104-4089-A8F9-2CED72F97527}"/>
    <cellStyle name="20% - Accent4 3 3 4" xfId="51985" xr:uid="{B11D412D-CB41-4D79-953D-B381F955E591}"/>
    <cellStyle name="20% - Accent4 3 4" xfId="51105" xr:uid="{9613C48D-F865-4FC8-A998-ED721340A8A4}"/>
    <cellStyle name="20% - Accent4 3 4 2" xfId="51579" xr:uid="{0B0C61BE-8A9A-431E-A13C-C7438B43014F}"/>
    <cellStyle name="20% - Accent4 3 4 3" xfId="52057" xr:uid="{39EEA958-D524-4206-B58B-B2F090684146}"/>
    <cellStyle name="20% - Accent4 3 5" xfId="51344" xr:uid="{93DF2F6E-075C-4A9E-9FBD-3292EE552E36}"/>
    <cellStyle name="20% - Accent4 3 6" xfId="51858" xr:uid="{B1918A35-B0CD-4091-8A53-2DC156E0F6CB}"/>
    <cellStyle name="20% - Accent4 4" xfId="50855" xr:uid="{E7A1FB6D-D641-4448-A7D1-52683FD166D5}"/>
    <cellStyle name="20% - Accent4 4 2" xfId="50910" xr:uid="{13172F63-BA92-49C5-8333-41C33688E849}"/>
    <cellStyle name="20% - Accent4 4 2 2" xfId="51174" xr:uid="{C1DA09FC-0009-4360-A32F-DEAE72778983}"/>
    <cellStyle name="20% - Accent4 4 2 2 2" xfId="51648" xr:uid="{FF6CE88D-B336-4304-B637-12A3935C745E}"/>
    <cellStyle name="20% - Accent4 4 2 2 3" xfId="52126" xr:uid="{D1D4CF32-AA30-42AF-BC70-B90250A23099}"/>
    <cellStyle name="20% - Accent4 4 2 3" xfId="51413" xr:uid="{47306ECC-36CF-4AD3-92AF-C15F05CF3E7A}"/>
    <cellStyle name="20% - Accent4 4 2 4" xfId="51927" xr:uid="{AD17F066-932E-48EC-9507-7AB2E749F8E1}"/>
    <cellStyle name="20% - Accent4 4 3" xfId="51002" xr:uid="{563FEAA5-FF07-422E-9395-DC26112C13D0}"/>
    <cellStyle name="20% - Accent4 4 3 2" xfId="51246" xr:uid="{8556E2B4-DA71-4841-8D90-F613077AC511}"/>
    <cellStyle name="20% - Accent4 4 3 2 2" xfId="51719" xr:uid="{4E9F53C4-CE5D-4FC1-B4DE-E2ECD301AEB6}"/>
    <cellStyle name="20% - Accent4 4 3 2 3" xfId="52195" xr:uid="{4D6AC096-F4FA-4AB9-8F13-2F265ECA83E4}"/>
    <cellStyle name="20% - Accent4 4 3 3" xfId="51484" xr:uid="{549DB994-A5C7-48E8-8CC5-8D32B46F537B}"/>
    <cellStyle name="20% - Accent4 4 3 4" xfId="51998" xr:uid="{C0401F77-DCD1-4BE4-AFA7-FBD2D05359F9}"/>
    <cellStyle name="20% - Accent4 4 4" xfId="51118" xr:uid="{0D3E8619-AC26-450D-9ED1-B128AEF00E3C}"/>
    <cellStyle name="20% - Accent4 4 4 2" xfId="51592" xr:uid="{0CE0EEB9-1093-4CB7-B22F-96C05084808E}"/>
    <cellStyle name="20% - Accent4 4 4 3" xfId="52070" xr:uid="{E1FB5BE0-BEDB-4211-9864-4B5F2C6370E7}"/>
    <cellStyle name="20% - Accent4 4 5" xfId="51357" xr:uid="{BE500900-43C7-4EE1-BA23-C2F7A6B3FDDA}"/>
    <cellStyle name="20% - Accent4 4 6" xfId="51871" xr:uid="{BF8B23E1-53E2-4568-B692-4B46BA696025}"/>
    <cellStyle name="20% - Accent4 5" xfId="50863" xr:uid="{7E16E7B9-51B4-4B39-8B23-1FB041B73454}"/>
    <cellStyle name="20% - Accent4 5 2" xfId="51023" xr:uid="{F184D135-6758-4559-8A99-330C074C50F1}"/>
    <cellStyle name="20% - Accent4 5 2 2" xfId="51261" xr:uid="{80475983-C39E-4F38-B825-0ECDC976EFE6}"/>
    <cellStyle name="20% - Accent4 5 2 2 2" xfId="51734" xr:uid="{19209D5B-4994-4E3E-A14D-6F8DD30F3403}"/>
    <cellStyle name="20% - Accent4 5 2 2 3" xfId="52210" xr:uid="{6C38CC22-1284-4DC6-91C9-3D50F838DE4D}"/>
    <cellStyle name="20% - Accent4 5 2 3" xfId="51498" xr:uid="{4980F52E-E71E-4A73-ABCD-1BE8D2D30324}"/>
    <cellStyle name="20% - Accent4 5 2 4" xfId="52013" xr:uid="{2C2247EB-DBCA-43DF-BE23-EF1E92AF68CC}"/>
    <cellStyle name="20% - Accent4 5 3" xfId="51127" xr:uid="{5F9BD2BE-7DE0-4BD1-AEFC-E1E7B29F4FB7}"/>
    <cellStyle name="20% - Accent4 5 3 2" xfId="51601" xr:uid="{E680E8ED-5809-4492-BAD6-81F46BF2776F}"/>
    <cellStyle name="20% - Accent4 5 3 3" xfId="52079" xr:uid="{45381C22-4CAA-4CE1-8158-CED56D4BD707}"/>
    <cellStyle name="20% - Accent4 5 4" xfId="51366" xr:uid="{AB72C318-00A2-4A5F-BDE4-4455C4385F24}"/>
    <cellStyle name="20% - Accent4 5 5" xfId="51880" xr:uid="{AA990F6E-12A8-49FE-810D-4DFAD548603C}"/>
    <cellStyle name="20% - Accent4 6" xfId="50955" xr:uid="{BDD19998-284B-4198-91AA-371A75625EDE}"/>
    <cellStyle name="20% - Accent4 6 2" xfId="51199" xr:uid="{B1BCA02A-F7DE-4124-8491-D022C86878E0}"/>
    <cellStyle name="20% - Accent4 6 2 2" xfId="51672" xr:uid="{7BAB3CBF-D6BC-4964-B012-73D4550CD498}"/>
    <cellStyle name="20% - Accent4 6 2 3" xfId="52148" xr:uid="{A2D0F534-B064-4206-B9F3-F9F00ACEAC1C}"/>
    <cellStyle name="20% - Accent4 6 3" xfId="51437" xr:uid="{6A71B873-B663-4508-9EDD-802616C88926}"/>
    <cellStyle name="20% - Accent4 6 4" xfId="51951" xr:uid="{1FCDE4D6-0B75-4EA8-A515-6E1ED36DE2E1}"/>
    <cellStyle name="20% - Accent4 7" xfId="51074" xr:uid="{F52F7572-A3B3-44FD-95F1-1752241D49F2}"/>
    <cellStyle name="20% - Accent4 7 2" xfId="51548" xr:uid="{8FD898F1-98CA-484F-A59E-45DE41E9F0AE}"/>
    <cellStyle name="20% - Accent4 7 3" xfId="52027" xr:uid="{A621A673-AE9D-4073-8368-1DD3CD9BA56B}"/>
    <cellStyle name="20% - Accent4 8" xfId="51313" xr:uid="{4EDDCFFE-F4C2-4D98-A57B-8F346E3D7863}"/>
    <cellStyle name="20% - Accent4 9" xfId="51788" xr:uid="{4263EA60-4033-46F8-92BB-F1D413EECD27}"/>
    <cellStyle name="20% - Accent5" xfId="44" builtinId="46" customBuiltin="1"/>
    <cellStyle name="20% - Accent5 2" xfId="405" xr:uid="{F68F0205-4269-448B-A76A-64F563FBF1A0}"/>
    <cellStyle name="20% - Accent5 2 2" xfId="50886" xr:uid="{3CDBB114-D90B-4C53-8EBA-BAF6122C4DB2}"/>
    <cellStyle name="20% - Accent5 2 2 2" xfId="51150" xr:uid="{0BDB2C26-DA96-45E8-A253-0BEB3F002B2B}"/>
    <cellStyle name="20% - Accent5 2 2 2 2" xfId="51624" xr:uid="{89740154-6DEF-4D72-8F59-B5EDB14163D1}"/>
    <cellStyle name="20% - Accent5 2 2 2 3" xfId="52102" xr:uid="{FFFC543B-EAEB-4494-A733-AEEFE1B9C950}"/>
    <cellStyle name="20% - Accent5 2 2 3" xfId="51389" xr:uid="{33C61794-48E0-44B0-B05C-8F8EAE4DFEE2}"/>
    <cellStyle name="20% - Accent5 2 2 4" xfId="51903" xr:uid="{E446BB15-6952-4DA1-9CE5-031B2CA92828}"/>
    <cellStyle name="20% - Accent5 2 3" xfId="50978" xr:uid="{414FA607-0B0F-4A9B-9EBA-6D1B63E9D99F}"/>
    <cellStyle name="20% - Accent5 2 3 2" xfId="51222" xr:uid="{4FAEF298-B4B6-4C33-A740-43151A0A671B}"/>
    <cellStyle name="20% - Accent5 2 3 2 2" xfId="51695" xr:uid="{0341C8A4-2F81-455C-BEB0-DAB4CA3CDA5A}"/>
    <cellStyle name="20% - Accent5 2 3 2 3" xfId="52171" xr:uid="{91DCA6B3-7BD4-4148-BD9D-3CF237368993}"/>
    <cellStyle name="20% - Accent5 2 3 3" xfId="51460" xr:uid="{0FCFF15C-CB75-4F18-9149-9DF2F5A85087}"/>
    <cellStyle name="20% - Accent5 2 3 4" xfId="51974" xr:uid="{D6672FB9-9D69-4798-8BC5-5F9E0539A0C6}"/>
    <cellStyle name="20% - Accent5 2 4" xfId="51094" xr:uid="{F1B616F6-7CBF-47B8-9741-40DBD7E174D0}"/>
    <cellStyle name="20% - Accent5 2 4 2" xfId="51568" xr:uid="{DF3BC90F-8249-454E-B66E-E02359661BE5}"/>
    <cellStyle name="20% - Accent5 2 4 3" xfId="52046" xr:uid="{A2AF22BC-AFF8-444E-905F-D0D989E53E69}"/>
    <cellStyle name="20% - Accent5 2 5" xfId="50831" xr:uid="{01732D79-95BD-4279-ABE5-278C0FD7E2CB}"/>
    <cellStyle name="20% - Accent5 2 6" xfId="51333" xr:uid="{0C8EEBD0-FAF0-4061-9DDB-29ED3E168A50}"/>
    <cellStyle name="20% - Accent5 2 7" xfId="51847" xr:uid="{4333B18E-4E4B-469C-BEFC-F2B5A69B6E85}"/>
    <cellStyle name="20% - Accent5 3" xfId="50844" xr:uid="{9601B0C1-FA00-4751-8474-C90CB4883223}"/>
    <cellStyle name="20% - Accent5 3 2" xfId="50899" xr:uid="{2E73091E-51F5-4136-A7D8-DE2CB9F8E459}"/>
    <cellStyle name="20% - Accent5 3 2 2" xfId="51163" xr:uid="{5E6BE0BC-F65F-4190-8F35-799609B9722D}"/>
    <cellStyle name="20% - Accent5 3 2 2 2" xfId="51637" xr:uid="{D3875363-86D1-4EE1-B746-D5D1DC1778DB}"/>
    <cellStyle name="20% - Accent5 3 2 2 3" xfId="52115" xr:uid="{DF0DDBDC-CDBA-4381-849F-10C2E6E97AB8}"/>
    <cellStyle name="20% - Accent5 3 2 3" xfId="51402" xr:uid="{F7F63DB5-38AE-4B71-9985-8A45022431D0}"/>
    <cellStyle name="20% - Accent5 3 2 4" xfId="51916" xr:uid="{49DBB780-CEAC-401E-9286-D749229FD98C}"/>
    <cellStyle name="20% - Accent5 3 3" xfId="50991" xr:uid="{BE326BAF-B739-4DCA-B493-E7589FD66025}"/>
    <cellStyle name="20% - Accent5 3 3 2" xfId="51235" xr:uid="{28FEFA6F-B270-44F6-995D-E9DF8D678943}"/>
    <cellStyle name="20% - Accent5 3 3 2 2" xfId="51708" xr:uid="{54DC8640-501F-4EA8-AC7A-387A6DBE24AD}"/>
    <cellStyle name="20% - Accent5 3 3 2 3" xfId="52184" xr:uid="{7DAEA050-FBDF-4641-90AB-88E675B64EE8}"/>
    <cellStyle name="20% - Accent5 3 3 3" xfId="51473" xr:uid="{3E3C4514-CD85-470D-8C92-8AE5EA7644C2}"/>
    <cellStyle name="20% - Accent5 3 3 4" xfId="51987" xr:uid="{E38048B0-3A79-4826-8CEF-0CC076AB4F43}"/>
    <cellStyle name="20% - Accent5 3 4" xfId="51107" xr:uid="{C895F49E-10F5-4955-8DDF-9199151BBDFC}"/>
    <cellStyle name="20% - Accent5 3 4 2" xfId="51581" xr:uid="{75CD3E9A-6ABB-49EB-8C34-3A39DCCC6263}"/>
    <cellStyle name="20% - Accent5 3 4 3" xfId="52059" xr:uid="{949E3207-F2FB-433E-9915-CF40DF1C0DF0}"/>
    <cellStyle name="20% - Accent5 3 5" xfId="51346" xr:uid="{0B7DFE4D-BE73-4F82-BAC8-7783A93E7F0E}"/>
    <cellStyle name="20% - Accent5 3 6" xfId="51860" xr:uid="{849FA3A0-340D-4D8C-9256-217AFE35E252}"/>
    <cellStyle name="20% - Accent5 4" xfId="50857" xr:uid="{2595E817-C36F-4B5A-8E81-DAB60C205F38}"/>
    <cellStyle name="20% - Accent5 4 2" xfId="50912" xr:uid="{07579818-1D1F-49FB-A492-E5F1480B6E9E}"/>
    <cellStyle name="20% - Accent5 4 2 2" xfId="51176" xr:uid="{7D18C6EB-F037-4EC7-B7DE-9DFDFF122559}"/>
    <cellStyle name="20% - Accent5 4 2 2 2" xfId="51650" xr:uid="{05A1AC90-CD98-4243-AC8E-79949078CDCC}"/>
    <cellStyle name="20% - Accent5 4 2 2 3" xfId="52128" xr:uid="{7F14D8AE-E7DA-496F-9EEF-27A1AD2BC629}"/>
    <cellStyle name="20% - Accent5 4 2 3" xfId="51415" xr:uid="{4438BF65-5BE2-48F0-B706-6030399B7E8D}"/>
    <cellStyle name="20% - Accent5 4 2 4" xfId="51929" xr:uid="{5F4D7949-95FA-4A97-B0A1-FF10C6CB78C1}"/>
    <cellStyle name="20% - Accent5 4 3" xfId="51004" xr:uid="{8DF03B7B-FBC7-4175-8652-20F3EDD5637A}"/>
    <cellStyle name="20% - Accent5 4 3 2" xfId="51248" xr:uid="{BF1773D6-C62E-472C-B376-8037B2B2040E}"/>
    <cellStyle name="20% - Accent5 4 3 2 2" xfId="51721" xr:uid="{74E782E3-0548-44D7-8681-4BD61E408371}"/>
    <cellStyle name="20% - Accent5 4 3 2 3" xfId="52197" xr:uid="{D85AE884-33BF-4215-9972-0F7D5F4F3489}"/>
    <cellStyle name="20% - Accent5 4 3 3" xfId="51486" xr:uid="{01ADD77B-A16B-4966-B9DB-3753C98B7D45}"/>
    <cellStyle name="20% - Accent5 4 3 4" xfId="52000" xr:uid="{1161F2A9-D5BA-45A5-B980-C583295C4AAD}"/>
    <cellStyle name="20% - Accent5 4 4" xfId="51120" xr:uid="{A1A5FF29-0BD6-4BB1-96BE-7E39859FDF34}"/>
    <cellStyle name="20% - Accent5 4 4 2" xfId="51594" xr:uid="{881F0A19-B2DB-47E0-B12A-C7624F2E6472}"/>
    <cellStyle name="20% - Accent5 4 4 3" xfId="52072" xr:uid="{89233409-341E-4BA9-8E6A-C0A8DB715A1A}"/>
    <cellStyle name="20% - Accent5 4 5" xfId="51359" xr:uid="{3F303AE3-B6DD-4F56-9FF6-9B6FB60DC6BD}"/>
    <cellStyle name="20% - Accent5 4 6" xfId="51873" xr:uid="{AD792C77-10AF-4D29-A644-6101F12D3D2B}"/>
    <cellStyle name="20% - Accent5 5" xfId="50864" xr:uid="{18E1B618-022A-484C-8B15-9098C530B18D}"/>
    <cellStyle name="20% - Accent5 5 2" xfId="51025" xr:uid="{C3886E25-2D72-4892-AF48-E681B48675F9}"/>
    <cellStyle name="20% - Accent5 5 2 2" xfId="51263" xr:uid="{DB055EA9-F2BA-4760-8876-A17ABB25DCEB}"/>
    <cellStyle name="20% - Accent5 5 2 2 2" xfId="51736" xr:uid="{9C26AC6C-16F8-49AE-8052-1288E92E4877}"/>
    <cellStyle name="20% - Accent5 5 2 2 3" xfId="52212" xr:uid="{E3639014-E667-4FA4-8309-0EF50FE9513C}"/>
    <cellStyle name="20% - Accent5 5 2 3" xfId="51500" xr:uid="{C73659B1-882E-4A98-8F9E-CB4CF26250D2}"/>
    <cellStyle name="20% - Accent5 5 2 4" xfId="52015" xr:uid="{F3953288-24ED-40D8-A36F-E46779036605}"/>
    <cellStyle name="20% - Accent5 5 3" xfId="51128" xr:uid="{1CCF837D-3617-4BC5-B61F-67435698BCDE}"/>
    <cellStyle name="20% - Accent5 5 3 2" xfId="51602" xr:uid="{431BEA00-6A12-43A2-B516-79F85037FB0E}"/>
    <cellStyle name="20% - Accent5 5 3 3" xfId="52080" xr:uid="{C4D3F0B0-5C61-464F-9F9B-E884B307D3C5}"/>
    <cellStyle name="20% - Accent5 5 4" xfId="51367" xr:uid="{F30C4397-355E-4049-B9E5-1382F2982C14}"/>
    <cellStyle name="20% - Accent5 5 5" xfId="51881" xr:uid="{BEA828A4-256F-4986-BA8D-7F8F86C7CBE8}"/>
    <cellStyle name="20% - Accent5 6" xfId="50956" xr:uid="{D5C8414D-E57A-4FB6-9B7D-5BEF49A9A80A}"/>
    <cellStyle name="20% - Accent5 6 2" xfId="51200" xr:uid="{EED9C3C0-51F6-4D54-AE27-79FE40B1FF13}"/>
    <cellStyle name="20% - Accent5 6 2 2" xfId="51673" xr:uid="{D808674D-4629-472E-BE15-5B682FC78AC5}"/>
    <cellStyle name="20% - Accent5 6 2 3" xfId="52149" xr:uid="{95283F75-8AD2-41FE-9FB9-2783E6287A27}"/>
    <cellStyle name="20% - Accent5 6 3" xfId="51438" xr:uid="{99548F3C-30D8-4669-AE9D-E7B9443A760C}"/>
    <cellStyle name="20% - Accent5 6 4" xfId="51952" xr:uid="{FD3E110F-F3B5-4D29-AA1F-1F81930C9B26}"/>
    <cellStyle name="20% - Accent5 7" xfId="51076" xr:uid="{1026E626-70B0-40AE-86F1-9C138C8A8AFD}"/>
    <cellStyle name="20% - Accent5 7 2" xfId="51550" xr:uid="{8C9C12C7-8FC1-4FC3-A971-58C04A6291D2}"/>
    <cellStyle name="20% - Accent5 7 3" xfId="52029" xr:uid="{19EA82C5-566F-4F9B-8850-F7D0B3E9A5CB}"/>
    <cellStyle name="20% - Accent5 8" xfId="51315" xr:uid="{AD7992B9-E88B-4AC5-B246-C5665DF3A9B2}"/>
    <cellStyle name="20% - Accent5 9" xfId="51790" xr:uid="{7E4C897A-08F3-483C-8057-1FD5B839A6A9}"/>
    <cellStyle name="20% - Accent6" xfId="48" builtinId="50" customBuiltin="1"/>
    <cellStyle name="20% - Accent6 2" xfId="406" xr:uid="{0A088DEF-CD36-4386-B8C0-0CFC6A50AD41}"/>
    <cellStyle name="20% - Accent6 2 2" xfId="50888" xr:uid="{22711CA5-3A0C-4F38-88D8-0D94DE8BC699}"/>
    <cellStyle name="20% - Accent6 2 2 2" xfId="51152" xr:uid="{641B48F6-537F-48A8-B5A3-53BD702148F6}"/>
    <cellStyle name="20% - Accent6 2 2 2 2" xfId="51626" xr:uid="{8AD50D03-CDA2-4D98-A895-2F48BE85F155}"/>
    <cellStyle name="20% - Accent6 2 2 2 3" xfId="52104" xr:uid="{AC528C86-FD9E-43D9-805C-0C26760A5D1E}"/>
    <cellStyle name="20% - Accent6 2 2 3" xfId="51391" xr:uid="{227A0D46-6BD1-4A92-BD3B-978E8D05F704}"/>
    <cellStyle name="20% - Accent6 2 2 4" xfId="51905" xr:uid="{5850A951-2F48-4AA7-B4E9-44D88C808A69}"/>
    <cellStyle name="20% - Accent6 2 3" xfId="50980" xr:uid="{A15B2E80-37E7-4B49-9CB8-DA38B83DBF43}"/>
    <cellStyle name="20% - Accent6 2 3 2" xfId="51224" xr:uid="{F9DBE989-85CC-4250-A9AB-28DB0A7B5A48}"/>
    <cellStyle name="20% - Accent6 2 3 2 2" xfId="51697" xr:uid="{E040000E-857B-4EB6-81C6-3985B3BE6B7C}"/>
    <cellStyle name="20% - Accent6 2 3 2 3" xfId="52173" xr:uid="{AD8FCF46-BB3A-41B2-AE3F-E4B72BB106C8}"/>
    <cellStyle name="20% - Accent6 2 3 3" xfId="51462" xr:uid="{677EE774-4FA7-4F6A-A345-706A420C3833}"/>
    <cellStyle name="20% - Accent6 2 3 4" xfId="51976" xr:uid="{A82F5A6E-DE47-4146-94A0-4DABD2385958}"/>
    <cellStyle name="20% - Accent6 2 4" xfId="51096" xr:uid="{1E7A705D-916B-4245-AC59-D14CBADEBABA}"/>
    <cellStyle name="20% - Accent6 2 4 2" xfId="51570" xr:uid="{A06CEB43-C133-4E69-A604-AC63D21CBAD3}"/>
    <cellStyle name="20% - Accent6 2 4 3" xfId="52048" xr:uid="{5641835D-EA73-42C4-A25E-2FE7D2DCCAF0}"/>
    <cellStyle name="20% - Accent6 2 5" xfId="50833" xr:uid="{7E9E5CA6-FCB0-4204-9ED9-44D195021DCB}"/>
    <cellStyle name="20% - Accent6 2 6" xfId="51335" xr:uid="{C4141362-1D69-4B42-BB4B-DAD71FDF368C}"/>
    <cellStyle name="20% - Accent6 2 7" xfId="51849" xr:uid="{EE996D53-45A4-4AB2-A7A8-2343C958A4AB}"/>
    <cellStyle name="20% - Accent6 3" xfId="50846" xr:uid="{598CAE91-D6D8-40FC-83D1-72488EBF5540}"/>
    <cellStyle name="20% - Accent6 3 2" xfId="50901" xr:uid="{8F39EB06-2DC0-4B4E-971C-2951B3847DB8}"/>
    <cellStyle name="20% - Accent6 3 2 2" xfId="51165" xr:uid="{CBBA6F37-70C1-4166-B2D4-14944ECE5C1C}"/>
    <cellStyle name="20% - Accent6 3 2 2 2" xfId="51639" xr:uid="{7A42B4DD-5CED-4E04-AC53-772DE388D9E5}"/>
    <cellStyle name="20% - Accent6 3 2 2 3" xfId="52117" xr:uid="{151613E0-8D8B-4178-B486-79103DAB14D7}"/>
    <cellStyle name="20% - Accent6 3 2 3" xfId="51404" xr:uid="{CBF297EC-7449-4CD2-860E-FEDD7867C7C4}"/>
    <cellStyle name="20% - Accent6 3 2 4" xfId="51918" xr:uid="{3F74FC34-9F32-4CDB-B54D-5B5AB94EA10F}"/>
    <cellStyle name="20% - Accent6 3 3" xfId="50993" xr:uid="{AD182CDE-6422-444D-9CCE-7D58A83ADFF2}"/>
    <cellStyle name="20% - Accent6 3 3 2" xfId="51237" xr:uid="{3CB8611C-2628-44A6-921C-2FCE7F84D958}"/>
    <cellStyle name="20% - Accent6 3 3 2 2" xfId="51710" xr:uid="{C5A382E6-540B-4110-9E54-5D035FEE776D}"/>
    <cellStyle name="20% - Accent6 3 3 2 3" xfId="52186" xr:uid="{34D50909-83E6-492F-8A7B-051A7D0937E1}"/>
    <cellStyle name="20% - Accent6 3 3 3" xfId="51475" xr:uid="{85DBA19D-E971-48E7-AB02-0B719187D18A}"/>
    <cellStyle name="20% - Accent6 3 3 4" xfId="51989" xr:uid="{370D368E-939E-459C-839A-75479DB4D62C}"/>
    <cellStyle name="20% - Accent6 3 4" xfId="51109" xr:uid="{D4CF796F-3912-4560-A844-FA645B879557}"/>
    <cellStyle name="20% - Accent6 3 4 2" xfId="51583" xr:uid="{280AFF72-1D9E-4747-9E61-82CF251929F1}"/>
    <cellStyle name="20% - Accent6 3 4 3" xfId="52061" xr:uid="{4BE4C0AB-940D-4DB6-8766-AE03B60CCBD2}"/>
    <cellStyle name="20% - Accent6 3 5" xfId="51348" xr:uid="{6859429C-961B-4E86-AC1F-B9E715CD718F}"/>
    <cellStyle name="20% - Accent6 3 6" xfId="51862" xr:uid="{315EB475-A1E6-429C-8418-642FFD2C8F6F}"/>
    <cellStyle name="20% - Accent6 4" xfId="50859" xr:uid="{672FAB43-24B5-409F-900C-26E2329A9D44}"/>
    <cellStyle name="20% - Accent6 4 2" xfId="50914" xr:uid="{C8C04840-7D30-4042-B34C-F497BD8F93C7}"/>
    <cellStyle name="20% - Accent6 4 2 2" xfId="51178" xr:uid="{7DD4365F-07BD-4E77-8214-CA9E498A83AA}"/>
    <cellStyle name="20% - Accent6 4 2 2 2" xfId="51652" xr:uid="{8F3F0DBE-E7FA-4A7B-BEA3-78E080C02C52}"/>
    <cellStyle name="20% - Accent6 4 2 2 3" xfId="52130" xr:uid="{55943A40-F055-445B-B779-745C248C76B3}"/>
    <cellStyle name="20% - Accent6 4 2 3" xfId="51417" xr:uid="{48ECDA0B-AE1A-4C3B-A8FA-BAB6CF198E51}"/>
    <cellStyle name="20% - Accent6 4 2 4" xfId="51931" xr:uid="{191E4C21-8C2B-47EA-B7E1-2F753D6B6D70}"/>
    <cellStyle name="20% - Accent6 4 3" xfId="51006" xr:uid="{F0E34BC2-4EF3-497F-9ACB-FFE3940E8E41}"/>
    <cellStyle name="20% - Accent6 4 3 2" xfId="51250" xr:uid="{342B998C-531D-4C1A-9045-AD92F41009DD}"/>
    <cellStyle name="20% - Accent6 4 3 2 2" xfId="51723" xr:uid="{D22B5E59-A57D-4018-9F31-308AAA7FD443}"/>
    <cellStyle name="20% - Accent6 4 3 2 3" xfId="52199" xr:uid="{FBAC18D5-C6BC-471A-AFE0-DD020A20CF47}"/>
    <cellStyle name="20% - Accent6 4 3 3" xfId="51488" xr:uid="{D9C57C3A-A90D-4691-9A1F-865903502436}"/>
    <cellStyle name="20% - Accent6 4 3 4" xfId="52002" xr:uid="{3F7CF11E-CCDC-4756-AAAD-F08D3628AB18}"/>
    <cellStyle name="20% - Accent6 4 4" xfId="51122" xr:uid="{1865BFAB-9D4A-4944-ACCB-DAFAB90ACA49}"/>
    <cellStyle name="20% - Accent6 4 4 2" xfId="51596" xr:uid="{18B859C7-2526-4A23-AECB-A8B128B1D9F6}"/>
    <cellStyle name="20% - Accent6 4 4 3" xfId="52074" xr:uid="{6846E4B7-2B5E-4152-942B-00F386D18CB2}"/>
    <cellStyle name="20% - Accent6 4 5" xfId="51361" xr:uid="{EC70E195-E694-4150-A141-F2F0919772B7}"/>
    <cellStyle name="20% - Accent6 4 6" xfId="51875" xr:uid="{62AB5C24-1500-4FFE-8BF4-7F38FC0DEB0A}"/>
    <cellStyle name="20% - Accent6 5" xfId="50865" xr:uid="{97A3221B-9BA2-40CF-884F-ECE813A8B0D2}"/>
    <cellStyle name="20% - Accent6 5 2" xfId="51027" xr:uid="{B87BE8AF-29E8-46C4-8A86-27456AE95FF6}"/>
    <cellStyle name="20% - Accent6 5 2 2" xfId="51265" xr:uid="{3A6C433F-3B61-4DC4-B2E9-22326C1CA684}"/>
    <cellStyle name="20% - Accent6 5 2 2 2" xfId="51738" xr:uid="{2C043400-8F7A-4229-BF1D-296A50AB274A}"/>
    <cellStyle name="20% - Accent6 5 2 2 3" xfId="52214" xr:uid="{9454A02F-C880-4B15-B9A0-E6A117D88EAF}"/>
    <cellStyle name="20% - Accent6 5 2 3" xfId="51502" xr:uid="{85CDBC14-5AE9-4855-9A44-90CD43EDFA5D}"/>
    <cellStyle name="20% - Accent6 5 2 4" xfId="52017" xr:uid="{BABA462B-7141-4D81-BD8F-613CF0CBFB8F}"/>
    <cellStyle name="20% - Accent6 5 3" xfId="51129" xr:uid="{DD3ED9D1-5606-4DC4-B54F-2E7F8C6A13E3}"/>
    <cellStyle name="20% - Accent6 5 3 2" xfId="51603" xr:uid="{CA7DDB27-A5D2-4475-BF90-10F100C3E90E}"/>
    <cellStyle name="20% - Accent6 5 3 3" xfId="52081" xr:uid="{E27B19B5-BBA3-47A4-B2E8-52DE0E46178D}"/>
    <cellStyle name="20% - Accent6 5 4" xfId="51368" xr:uid="{01161DF1-956F-4BFF-BABF-DDF3A472D78F}"/>
    <cellStyle name="20% - Accent6 5 5" xfId="51882" xr:uid="{FD15DC74-ED81-420A-8319-46ACC71A8649}"/>
    <cellStyle name="20% - Accent6 6" xfId="50957" xr:uid="{19F3D65B-B0EA-4243-9978-E3C18C64F01D}"/>
    <cellStyle name="20% - Accent6 6 2" xfId="51201" xr:uid="{8F68123F-1CA8-4CAD-8701-5FE226B961A9}"/>
    <cellStyle name="20% - Accent6 6 2 2" xfId="51674" xr:uid="{01CD8544-C1CC-4B12-87EC-02E39D73A314}"/>
    <cellStyle name="20% - Accent6 6 2 3" xfId="52150" xr:uid="{7AAE5FA1-70EA-4F22-B951-53D5C722B6D0}"/>
    <cellStyle name="20% - Accent6 6 3" xfId="51439" xr:uid="{B473F771-2FCB-484A-85EC-C6D5CE7B0E70}"/>
    <cellStyle name="20% - Accent6 6 4" xfId="51953" xr:uid="{E916D72D-CF14-42FC-969B-A39628D1FAD0}"/>
    <cellStyle name="20% - Accent6 7" xfId="51078" xr:uid="{A6C29007-DE56-45F7-96AD-9FF8C6F1765C}"/>
    <cellStyle name="20% - Accent6 7 2" xfId="51552" xr:uid="{B6ADF530-D505-4632-A4AF-CC19DFB88F5D}"/>
    <cellStyle name="20% - Accent6 7 3" xfId="52031" xr:uid="{CA113059-8B00-4127-AAE4-B9D40C306CC3}"/>
    <cellStyle name="20% - Accent6 8" xfId="51317" xr:uid="{6C75DEC3-EA2A-4E39-8E73-42FF442FCB36}"/>
    <cellStyle name="20% - Accent6 9" xfId="51792" xr:uid="{728AFCA6-1ACC-4F99-A7F5-B2E600CEECEC}"/>
    <cellStyle name="40% - Accent1" xfId="29" builtinId="31" customBuiltin="1"/>
    <cellStyle name="40% - Accent1 2" xfId="407" xr:uid="{CE9734E2-EDCB-45F0-A8A9-5EBB1F5FDADE}"/>
    <cellStyle name="40% - Accent1 2 2" xfId="50879" xr:uid="{7E55FC89-41EA-463D-A103-D21516FDA47F}"/>
    <cellStyle name="40% - Accent1 2 2 2" xfId="51143" xr:uid="{20C67439-3537-47C2-A61E-56CBDC7D28B1}"/>
    <cellStyle name="40% - Accent1 2 2 2 2" xfId="51617" xr:uid="{602DAD91-1856-4847-B5EC-A1899A7C49D4}"/>
    <cellStyle name="40% - Accent1 2 2 2 3" xfId="52095" xr:uid="{54A7AED7-71C2-4183-B242-21CD51421676}"/>
    <cellStyle name="40% - Accent1 2 2 3" xfId="51382" xr:uid="{D400F4D7-CECF-41EF-9B78-2532F4722201}"/>
    <cellStyle name="40% - Accent1 2 2 4" xfId="51896" xr:uid="{EED143B1-C663-45FC-B8A5-A79DB1BE8B36}"/>
    <cellStyle name="40% - Accent1 2 3" xfId="50971" xr:uid="{DFC6CE81-237C-44EC-BF7A-8B831000DDC2}"/>
    <cellStyle name="40% - Accent1 2 3 2" xfId="51215" xr:uid="{9FB7A2F8-5513-468A-9C41-0DF2888E8D00}"/>
    <cellStyle name="40% - Accent1 2 3 2 2" xfId="51688" xr:uid="{4C7456ED-9F1D-4AED-9D4D-FB441BCACDD8}"/>
    <cellStyle name="40% - Accent1 2 3 2 3" xfId="52164" xr:uid="{314C2FA4-2B68-46FF-BAEC-58196356A4F0}"/>
    <cellStyle name="40% - Accent1 2 3 3" xfId="51453" xr:uid="{47A8C8EE-58A3-485A-A1D8-8DF1695F8FB1}"/>
    <cellStyle name="40% - Accent1 2 3 4" xfId="51967" xr:uid="{32537955-4F7C-4E2C-AE00-26DC54A52F62}"/>
    <cellStyle name="40% - Accent1 2 4" xfId="51087" xr:uid="{802BF06C-341B-4B9B-B70E-DBC2EDC46299}"/>
    <cellStyle name="40% - Accent1 2 4 2" xfId="51561" xr:uid="{802E185D-C8F0-4F8C-9016-A559F2936103}"/>
    <cellStyle name="40% - Accent1 2 4 3" xfId="52039" xr:uid="{3876EE34-669C-46B1-B571-C1BA61BBBCF6}"/>
    <cellStyle name="40% - Accent1 2 5" xfId="50824" xr:uid="{7912B287-088F-4748-8EA8-1B8EA3CDA995}"/>
    <cellStyle name="40% - Accent1 2 6" xfId="51326" xr:uid="{BCE8BF4F-45B1-45BE-8B0E-0451F8EC8F9F}"/>
    <cellStyle name="40% - Accent1 2 7" xfId="51840" xr:uid="{FD224A27-C848-418D-B161-2593B2CE7BDE}"/>
    <cellStyle name="40% - Accent1 3" xfId="50837" xr:uid="{FFF99595-6ED6-4A67-9898-1BAFD6910407}"/>
    <cellStyle name="40% - Accent1 3 2" xfId="50892" xr:uid="{CF6D4602-FB73-441C-BA9A-690189CE96BD}"/>
    <cellStyle name="40% - Accent1 3 2 2" xfId="51156" xr:uid="{91477B91-1150-45EF-A9B5-568A19ED35E4}"/>
    <cellStyle name="40% - Accent1 3 2 2 2" xfId="51630" xr:uid="{0E5FF9FD-B8F6-4E88-AFDB-56CD61FD1520}"/>
    <cellStyle name="40% - Accent1 3 2 2 3" xfId="52108" xr:uid="{E64165B7-F651-4176-894C-08B80170D9F2}"/>
    <cellStyle name="40% - Accent1 3 2 3" xfId="51395" xr:uid="{A6257DF5-63AB-4104-AEF6-CB3D221010A1}"/>
    <cellStyle name="40% - Accent1 3 2 4" xfId="51909" xr:uid="{FFE1D39B-8286-454E-98EB-67A368334903}"/>
    <cellStyle name="40% - Accent1 3 3" xfId="50984" xr:uid="{28A4A4C4-638D-432E-8292-BB4519642F38}"/>
    <cellStyle name="40% - Accent1 3 3 2" xfId="51228" xr:uid="{F8D85B0D-21C5-4732-8A6C-498F0419051E}"/>
    <cellStyle name="40% - Accent1 3 3 2 2" xfId="51701" xr:uid="{86565D80-5D05-46A6-990C-EF8920C50B5B}"/>
    <cellStyle name="40% - Accent1 3 3 2 3" xfId="52177" xr:uid="{BE69E581-6B54-4886-9501-FCCEBFE5F2E0}"/>
    <cellStyle name="40% - Accent1 3 3 3" xfId="51466" xr:uid="{8002CF17-F684-4752-A147-6C3D012E5102}"/>
    <cellStyle name="40% - Accent1 3 3 4" xfId="51980" xr:uid="{26DCD0C9-6374-4893-B023-5BBD1D020A40}"/>
    <cellStyle name="40% - Accent1 3 4" xfId="51100" xr:uid="{6680B143-3AE1-4DBE-94FB-01C8F36D170A}"/>
    <cellStyle name="40% - Accent1 3 4 2" xfId="51574" xr:uid="{B80CBFF6-51E3-4DBA-81C5-DAF59F4733A8}"/>
    <cellStyle name="40% - Accent1 3 4 3" xfId="52052" xr:uid="{00F8C30A-0EC3-4C4B-8D53-2CAF3B79714A}"/>
    <cellStyle name="40% - Accent1 3 5" xfId="51339" xr:uid="{0B5E6B83-3DE9-4FE8-BF15-D001B4DDC618}"/>
    <cellStyle name="40% - Accent1 3 6" xfId="51853" xr:uid="{5C0578D6-9166-4493-82C8-A4AB98559DFC}"/>
    <cellStyle name="40% - Accent1 4" xfId="50850" xr:uid="{E9DBF5F6-A248-4C15-AB36-7C36748D46D3}"/>
    <cellStyle name="40% - Accent1 4 2" xfId="50905" xr:uid="{5D539D67-1A7C-4426-9223-8122A720512B}"/>
    <cellStyle name="40% - Accent1 4 2 2" xfId="51169" xr:uid="{9235F37B-F85C-4240-A72A-CC960A9ACE10}"/>
    <cellStyle name="40% - Accent1 4 2 2 2" xfId="51643" xr:uid="{C78ECEE7-276E-4239-A7A3-DF353F31D36E}"/>
    <cellStyle name="40% - Accent1 4 2 2 3" xfId="52121" xr:uid="{9F14A9E2-5244-4C6D-AE92-AD39FA839AF3}"/>
    <cellStyle name="40% - Accent1 4 2 3" xfId="51408" xr:uid="{03541C2E-444B-4B51-9505-C2143C12720D}"/>
    <cellStyle name="40% - Accent1 4 2 4" xfId="51922" xr:uid="{9DFD4144-EF78-42BC-9B29-B2613AD69CA3}"/>
    <cellStyle name="40% - Accent1 4 3" xfId="50997" xr:uid="{21ACF8DC-3116-4399-9ED6-6176399987B8}"/>
    <cellStyle name="40% - Accent1 4 3 2" xfId="51241" xr:uid="{D50E6C13-D1E4-4541-B93A-57C29C84B842}"/>
    <cellStyle name="40% - Accent1 4 3 2 2" xfId="51714" xr:uid="{69CC13E0-E833-48AE-B1B7-2B1F3F9732E4}"/>
    <cellStyle name="40% - Accent1 4 3 2 3" xfId="52190" xr:uid="{79F15CE7-84D2-4C8C-B3B2-E90905E83290}"/>
    <cellStyle name="40% - Accent1 4 3 3" xfId="51479" xr:uid="{93974BD8-C084-44A9-A1E6-1708AA935CE9}"/>
    <cellStyle name="40% - Accent1 4 3 4" xfId="51993" xr:uid="{6E3DBB74-414B-4182-938D-44B64E00FA39}"/>
    <cellStyle name="40% - Accent1 4 4" xfId="51113" xr:uid="{3184A68E-44DE-48E6-9186-95088DE44A76}"/>
    <cellStyle name="40% - Accent1 4 4 2" xfId="51587" xr:uid="{4270DE32-8507-4A24-812A-F6A07B5E6D14}"/>
    <cellStyle name="40% - Accent1 4 4 3" xfId="52065" xr:uid="{B93B9BE5-2205-49F4-BB5B-AC982E898C98}"/>
    <cellStyle name="40% - Accent1 4 5" xfId="51352" xr:uid="{78B29D7D-522C-4FDF-8939-996055ECF2BA}"/>
    <cellStyle name="40% - Accent1 4 6" xfId="51866" xr:uid="{7234D472-F050-4DEE-BDE7-CBC61E403AEA}"/>
    <cellStyle name="40% - Accent1 5" xfId="50866" xr:uid="{3ADE2EFF-3D01-41C2-A449-CD53E552C11F}"/>
    <cellStyle name="40% - Accent1 5 2" xfId="51018" xr:uid="{58AE6E5E-2D53-4D87-A826-D87A426199C3}"/>
    <cellStyle name="40% - Accent1 5 2 2" xfId="51256" xr:uid="{D2C66CC1-E52E-437D-A8DC-0B2F71D567D9}"/>
    <cellStyle name="40% - Accent1 5 2 2 2" xfId="51729" xr:uid="{73E73E77-04B6-43CB-96EE-3281D44B8A59}"/>
    <cellStyle name="40% - Accent1 5 2 2 3" xfId="52205" xr:uid="{F0E6CEE1-BFF6-4C73-88CB-E7C3248D535D}"/>
    <cellStyle name="40% - Accent1 5 2 3" xfId="51493" xr:uid="{D57C73A5-5663-4679-B3DC-0330E3286DE4}"/>
    <cellStyle name="40% - Accent1 5 2 4" xfId="52008" xr:uid="{BFD91605-3A2D-452E-9BAC-79D4A7A65CA2}"/>
    <cellStyle name="40% - Accent1 5 3" xfId="51130" xr:uid="{F4180A6E-7949-43C7-A401-30E23D47191F}"/>
    <cellStyle name="40% - Accent1 5 3 2" xfId="51604" xr:uid="{6CCB5206-9E7A-40F1-A620-2B6E55096729}"/>
    <cellStyle name="40% - Accent1 5 3 3" xfId="52082" xr:uid="{E4DA9743-24F4-4A43-B2DC-103BE9DEE2CE}"/>
    <cellStyle name="40% - Accent1 5 4" xfId="51369" xr:uid="{0F53E0D2-0986-4F04-9305-23E379009748}"/>
    <cellStyle name="40% - Accent1 5 5" xfId="51883" xr:uid="{D35C0735-5C10-405C-9F85-28FEEF201CFF}"/>
    <cellStyle name="40% - Accent1 6" xfId="50958" xr:uid="{FB273F15-10CB-4C19-9CDA-769AB1C411E5}"/>
    <cellStyle name="40% - Accent1 6 2" xfId="51202" xr:uid="{BD2EC019-88B7-4113-8432-6AD49EFD4339}"/>
    <cellStyle name="40% - Accent1 6 2 2" xfId="51675" xr:uid="{CC8FAA95-EFC0-46D6-A402-BC8E1330C8DB}"/>
    <cellStyle name="40% - Accent1 6 2 3" xfId="52151" xr:uid="{9B8A33C7-E92F-49D8-B6C6-0DFA73516B69}"/>
    <cellStyle name="40% - Accent1 6 3" xfId="51440" xr:uid="{10C62D69-80A0-47CC-A467-BE384BE5621E}"/>
    <cellStyle name="40% - Accent1 6 4" xfId="51954" xr:uid="{6E8243E5-8496-428E-AB1A-50C270D335DF}"/>
    <cellStyle name="40% - Accent1 7" xfId="51069" xr:uid="{76FB6329-3356-4701-803D-D7D8166EB70A}"/>
    <cellStyle name="40% - Accent1 7 2" xfId="51543" xr:uid="{41787F63-BEEE-4F8D-AFD8-F2074FC12A9B}"/>
    <cellStyle name="40% - Accent1 7 3" xfId="52022" xr:uid="{ADA99C51-B1B6-436C-B1C8-20C83BD17275}"/>
    <cellStyle name="40% - Accent1 8" xfId="51308" xr:uid="{B43A41A8-2AAA-4A53-9E01-0B572DAC8C13}"/>
    <cellStyle name="40% - Accent1 9" xfId="51783" xr:uid="{B2638909-E68F-40D4-870B-527512BA26ED}"/>
    <cellStyle name="40% - Accent2" xfId="33" builtinId="35" customBuiltin="1"/>
    <cellStyle name="40% - Accent2 2" xfId="408" xr:uid="{5203515A-577B-4126-9BE5-BC39BE4E49C3}"/>
    <cellStyle name="40% - Accent2 2 2" xfId="50881" xr:uid="{A4B19B3B-64A8-4C12-96E8-E1C248782C86}"/>
    <cellStyle name="40% - Accent2 2 2 2" xfId="51145" xr:uid="{EB2AA95B-4809-46D9-AE20-63F9362C4735}"/>
    <cellStyle name="40% - Accent2 2 2 2 2" xfId="51619" xr:uid="{40F26043-4724-4D0F-9BE1-4039EF3A3695}"/>
    <cellStyle name="40% - Accent2 2 2 2 3" xfId="52097" xr:uid="{F5C8F3C5-9FB3-46BF-8DF8-8155ABE83B85}"/>
    <cellStyle name="40% - Accent2 2 2 3" xfId="51384" xr:uid="{D9EACAD2-7AA5-468B-8189-2FEE1FA5FFAB}"/>
    <cellStyle name="40% - Accent2 2 2 4" xfId="51898" xr:uid="{D3B87461-C15B-4F28-8CFB-C32B9E222548}"/>
    <cellStyle name="40% - Accent2 2 3" xfId="50973" xr:uid="{140BF3E9-4ADF-4096-9920-182CD1712F22}"/>
    <cellStyle name="40% - Accent2 2 3 2" xfId="51217" xr:uid="{0053E16B-AD92-4B9C-8167-0E74C3570BE9}"/>
    <cellStyle name="40% - Accent2 2 3 2 2" xfId="51690" xr:uid="{124F8821-BA41-4082-9453-6418B871A9B5}"/>
    <cellStyle name="40% - Accent2 2 3 2 3" xfId="52166" xr:uid="{7BD916E2-9B1D-4B4D-B814-2324719E4C7E}"/>
    <cellStyle name="40% - Accent2 2 3 3" xfId="51455" xr:uid="{8D611A30-83C5-495D-9530-FA6607B8AA79}"/>
    <cellStyle name="40% - Accent2 2 3 4" xfId="51969" xr:uid="{0A9CBC35-A4FF-4EBE-861C-E525AEE2BAFC}"/>
    <cellStyle name="40% - Accent2 2 4" xfId="51089" xr:uid="{8E5113D9-2D57-4E02-9BB7-5C8E36139A42}"/>
    <cellStyle name="40% - Accent2 2 4 2" xfId="51563" xr:uid="{4CC3662F-A37A-4131-935A-CE3BA889277B}"/>
    <cellStyle name="40% - Accent2 2 4 3" xfId="52041" xr:uid="{CF46F771-C409-4EF2-8EBB-F6B2A3EA684A}"/>
    <cellStyle name="40% - Accent2 2 5" xfId="50826" xr:uid="{0F7496B4-1CE2-4329-AE4D-31B26B5668E6}"/>
    <cellStyle name="40% - Accent2 2 6" xfId="51328" xr:uid="{E4DBDBD3-3B46-4FAD-B654-A9603E82FD46}"/>
    <cellStyle name="40% - Accent2 2 7" xfId="51842" xr:uid="{A0BC06BE-8A42-484E-94C5-CBB70D1A75C1}"/>
    <cellStyle name="40% - Accent2 3" xfId="50839" xr:uid="{A32DDC7A-1CC5-4832-A23A-9A2B6AEBA3A9}"/>
    <cellStyle name="40% - Accent2 3 2" xfId="50894" xr:uid="{9E7D9049-1C78-401C-BD7E-1D91E4708D8D}"/>
    <cellStyle name="40% - Accent2 3 2 2" xfId="51158" xr:uid="{EABD42EE-DF14-4F2A-A902-385DDCDC369F}"/>
    <cellStyle name="40% - Accent2 3 2 2 2" xfId="51632" xr:uid="{6ED47627-5D95-465A-8709-7D51A76FA981}"/>
    <cellStyle name="40% - Accent2 3 2 2 3" xfId="52110" xr:uid="{0353E911-9F0D-4B4E-8C69-EA2DC5F91E46}"/>
    <cellStyle name="40% - Accent2 3 2 3" xfId="51397" xr:uid="{60C4D325-B8C3-4CE1-A94D-25C036D65E15}"/>
    <cellStyle name="40% - Accent2 3 2 4" xfId="51911" xr:uid="{6DBF4B4E-4C1D-4BF4-8C0C-2DA9623A607B}"/>
    <cellStyle name="40% - Accent2 3 3" xfId="50986" xr:uid="{0247B31D-02C8-48E0-8DC5-A4F73F23F539}"/>
    <cellStyle name="40% - Accent2 3 3 2" xfId="51230" xr:uid="{5C699021-293C-43A4-89FB-6FA896013B5D}"/>
    <cellStyle name="40% - Accent2 3 3 2 2" xfId="51703" xr:uid="{44AA6B4E-529B-49DD-B496-D264BD42FA7E}"/>
    <cellStyle name="40% - Accent2 3 3 2 3" xfId="52179" xr:uid="{476DA1E1-8A11-463F-A48A-258EB78F7FAC}"/>
    <cellStyle name="40% - Accent2 3 3 3" xfId="51468" xr:uid="{8CDEE7DB-6EBC-4562-AE84-5ADEDADAE5BD}"/>
    <cellStyle name="40% - Accent2 3 3 4" xfId="51982" xr:uid="{D9BA6C44-B83B-48B4-B9BC-329238E60B8D}"/>
    <cellStyle name="40% - Accent2 3 4" xfId="51102" xr:uid="{87507F79-ADD5-4261-92D0-A3A935DF8937}"/>
    <cellStyle name="40% - Accent2 3 4 2" xfId="51576" xr:uid="{A910ECD9-5F58-47A8-B7A5-DE201908AD2B}"/>
    <cellStyle name="40% - Accent2 3 4 3" xfId="52054" xr:uid="{B56DD47F-FC25-40A8-B283-E5FDD1E799DB}"/>
    <cellStyle name="40% - Accent2 3 5" xfId="51341" xr:uid="{04FB791C-8CA1-405F-B23D-1415A837029B}"/>
    <cellStyle name="40% - Accent2 3 6" xfId="51855" xr:uid="{86B36FD7-BEAA-44DA-93AE-AAD9A83733C3}"/>
    <cellStyle name="40% - Accent2 4" xfId="50852" xr:uid="{BFF7B1FA-78A5-4E07-95F5-2A0EE4B6E92B}"/>
    <cellStyle name="40% - Accent2 4 2" xfId="50907" xr:uid="{19A589D5-8831-4274-BA11-5E117E0C5F8D}"/>
    <cellStyle name="40% - Accent2 4 2 2" xfId="51171" xr:uid="{F7CAA5B9-843E-465B-9881-05351C501EB8}"/>
    <cellStyle name="40% - Accent2 4 2 2 2" xfId="51645" xr:uid="{3FC9DD8B-9CA3-47E7-950A-4C4B27839DC2}"/>
    <cellStyle name="40% - Accent2 4 2 2 3" xfId="52123" xr:uid="{8D138FA8-D953-47C3-A1F1-5074F49A9A4E}"/>
    <cellStyle name="40% - Accent2 4 2 3" xfId="51410" xr:uid="{3DFAD184-6029-475D-B7C1-21B63EABEB1E}"/>
    <cellStyle name="40% - Accent2 4 2 4" xfId="51924" xr:uid="{CD134833-9D8A-4C47-8498-A822B49E53BF}"/>
    <cellStyle name="40% - Accent2 4 3" xfId="50999" xr:uid="{DAB8AAB2-ED61-4C1F-BE09-C903C928FB57}"/>
    <cellStyle name="40% - Accent2 4 3 2" xfId="51243" xr:uid="{13184E08-D115-4FE1-A8D3-C7607BC09E4B}"/>
    <cellStyle name="40% - Accent2 4 3 2 2" xfId="51716" xr:uid="{4E3624EB-5997-436F-BC70-BAE7C377CD4E}"/>
    <cellStyle name="40% - Accent2 4 3 2 3" xfId="52192" xr:uid="{ECD2EBEC-8090-4792-A3C3-9A43338C7EB5}"/>
    <cellStyle name="40% - Accent2 4 3 3" xfId="51481" xr:uid="{577B9C64-6B07-43D5-9DC6-F540EEB1A58F}"/>
    <cellStyle name="40% - Accent2 4 3 4" xfId="51995" xr:uid="{1C001005-501F-4688-8626-2355DA67B269}"/>
    <cellStyle name="40% - Accent2 4 4" xfId="51115" xr:uid="{B66246A1-9FD7-4DB5-A242-81F3EF35D35A}"/>
    <cellStyle name="40% - Accent2 4 4 2" xfId="51589" xr:uid="{82BEA52E-FA1E-42B4-A933-B67966D34DB0}"/>
    <cellStyle name="40% - Accent2 4 4 3" xfId="52067" xr:uid="{7A61400A-6E7A-4CFB-A9A2-E201944FB7CD}"/>
    <cellStyle name="40% - Accent2 4 5" xfId="51354" xr:uid="{C0077169-2C34-4EAC-BBCF-B77D0EFC0073}"/>
    <cellStyle name="40% - Accent2 4 6" xfId="51868" xr:uid="{ED1B38DE-7543-496A-8DFA-053290B5C6F3}"/>
    <cellStyle name="40% - Accent2 5" xfId="50867" xr:uid="{8A8FED92-DBF6-4F20-946E-7189BFB9D180}"/>
    <cellStyle name="40% - Accent2 5 2" xfId="51020" xr:uid="{1C32C39A-E865-4C47-A742-542D2550A58A}"/>
    <cellStyle name="40% - Accent2 5 2 2" xfId="51258" xr:uid="{12DDD197-926E-4D38-872E-A5A3CAE372F4}"/>
    <cellStyle name="40% - Accent2 5 2 2 2" xfId="51731" xr:uid="{92714DA2-0742-474D-BF24-F7FAFD9D91F6}"/>
    <cellStyle name="40% - Accent2 5 2 2 3" xfId="52207" xr:uid="{F7163C87-978F-4E9D-B8DD-7D8E9D7CA8CD}"/>
    <cellStyle name="40% - Accent2 5 2 3" xfId="51495" xr:uid="{76EE82A1-22F2-4C91-A2DC-0FE29F91AA50}"/>
    <cellStyle name="40% - Accent2 5 2 4" xfId="52010" xr:uid="{B5FEB740-238B-4684-BFEE-7DF00DBAF346}"/>
    <cellStyle name="40% - Accent2 5 3" xfId="51131" xr:uid="{21B99503-5E7F-4959-AF84-3211B0662070}"/>
    <cellStyle name="40% - Accent2 5 3 2" xfId="51605" xr:uid="{6D99E73A-6E27-4844-A38C-985C21DE8018}"/>
    <cellStyle name="40% - Accent2 5 3 3" xfId="52083" xr:uid="{F0517571-0076-4D6D-8401-E69BA6B6BFBF}"/>
    <cellStyle name="40% - Accent2 5 4" xfId="51370" xr:uid="{99CCA839-E6F2-4718-B21D-C376AC97BAD3}"/>
    <cellStyle name="40% - Accent2 5 5" xfId="51884" xr:uid="{B6D57B5D-F23C-47F2-A290-6FD626D9E4E3}"/>
    <cellStyle name="40% - Accent2 6" xfId="50959" xr:uid="{D25BC9DA-94E9-41DB-A6D0-03329306E88E}"/>
    <cellStyle name="40% - Accent2 6 2" xfId="51203" xr:uid="{554AEDDE-76F6-4818-9650-3C0C6CF0CCCD}"/>
    <cellStyle name="40% - Accent2 6 2 2" xfId="51676" xr:uid="{24E7A841-1A4D-40C4-B3C7-E66F4B4B44C8}"/>
    <cellStyle name="40% - Accent2 6 2 3" xfId="52152" xr:uid="{857AB49F-42F6-4861-B275-099D8925EB61}"/>
    <cellStyle name="40% - Accent2 6 3" xfId="51441" xr:uid="{6D3178BF-73CB-4788-9935-8E77B005483B}"/>
    <cellStyle name="40% - Accent2 6 4" xfId="51955" xr:uid="{5586DA74-0030-49D6-8730-BFB2D6CD1901}"/>
    <cellStyle name="40% - Accent2 7" xfId="51071" xr:uid="{B98F8BB9-F6AF-45A2-8014-D310C45FA1B2}"/>
    <cellStyle name="40% - Accent2 7 2" xfId="51545" xr:uid="{96C5E072-16D0-4885-92F7-EB8C937B96BF}"/>
    <cellStyle name="40% - Accent2 7 3" xfId="52024" xr:uid="{2643F98C-52AD-49A8-B42E-475DC8B0599C}"/>
    <cellStyle name="40% - Accent2 8" xfId="51310" xr:uid="{7EEDA48C-5C37-475A-9716-16B28496751D}"/>
    <cellStyle name="40% - Accent2 9" xfId="51785" xr:uid="{A69C5277-2227-4B1A-83A2-44F9236E058F}"/>
    <cellStyle name="40% - Accent3" xfId="37" builtinId="39" customBuiltin="1"/>
    <cellStyle name="40% - Accent3 2" xfId="409" xr:uid="{58D8F843-09B9-49DB-97E5-DC6B7A899645}"/>
    <cellStyle name="40% - Accent3 2 2" xfId="50883" xr:uid="{39FF5117-9A3D-447A-A8B4-606C9BFACDC2}"/>
    <cellStyle name="40% - Accent3 2 2 2" xfId="51147" xr:uid="{00D5DF48-FA0D-4BCD-AF15-2EFF7B6357B6}"/>
    <cellStyle name="40% - Accent3 2 2 2 2" xfId="51621" xr:uid="{64E8DD90-77BA-44C9-9D3E-3340D5C8F145}"/>
    <cellStyle name="40% - Accent3 2 2 2 3" xfId="52099" xr:uid="{C33C8A66-D3A5-4683-AC5A-17A166BEDF6D}"/>
    <cellStyle name="40% - Accent3 2 2 3" xfId="51386" xr:uid="{FBC7234D-A060-49BC-AD68-B4A70FE9B562}"/>
    <cellStyle name="40% - Accent3 2 2 4" xfId="51900" xr:uid="{86274D72-0CE4-49ED-89DB-8756B30ABFE1}"/>
    <cellStyle name="40% - Accent3 2 3" xfId="50975" xr:uid="{C9DF80B7-AEC5-4599-9837-29DF35FE5086}"/>
    <cellStyle name="40% - Accent3 2 3 2" xfId="51219" xr:uid="{C1CD3FD9-93E2-4E39-A5FB-201AE14A3674}"/>
    <cellStyle name="40% - Accent3 2 3 2 2" xfId="51692" xr:uid="{86A2B87A-7C92-4D95-8560-8B0842B828EE}"/>
    <cellStyle name="40% - Accent3 2 3 2 3" xfId="52168" xr:uid="{9FB7EDCF-6E6A-4AAE-AD72-C98B89502125}"/>
    <cellStyle name="40% - Accent3 2 3 3" xfId="51457" xr:uid="{F3D3B269-BB12-4736-9E48-D8EB4604E602}"/>
    <cellStyle name="40% - Accent3 2 3 4" xfId="51971" xr:uid="{72B98E9C-D697-4A10-BC3C-02F420302455}"/>
    <cellStyle name="40% - Accent3 2 4" xfId="51091" xr:uid="{EC556D06-2D0B-4863-A3CB-95A84123593C}"/>
    <cellStyle name="40% - Accent3 2 4 2" xfId="51565" xr:uid="{24EE4F98-E3CB-44BE-923C-C4F7D09CF74E}"/>
    <cellStyle name="40% - Accent3 2 4 3" xfId="52043" xr:uid="{49AD3F20-8DAC-42E8-875F-5C1DE9F90562}"/>
    <cellStyle name="40% - Accent3 2 5" xfId="50828" xr:uid="{D92D4E61-AC1C-4BA4-BB59-07419DB045B2}"/>
    <cellStyle name="40% - Accent3 2 6" xfId="51330" xr:uid="{90098777-B439-48ED-87AC-BD4BCBC58090}"/>
    <cellStyle name="40% - Accent3 2 7" xfId="51844" xr:uid="{560A9946-06F1-4E62-94DC-051F9143F183}"/>
    <cellStyle name="40% - Accent3 3" xfId="50841" xr:uid="{B1014F42-590A-46A0-A0FF-49C044DD6C92}"/>
    <cellStyle name="40% - Accent3 3 2" xfId="50896" xr:uid="{92E454DD-126B-47E6-B713-542A29F3D46C}"/>
    <cellStyle name="40% - Accent3 3 2 2" xfId="51160" xr:uid="{62AC7662-D497-4B2A-B1AC-665E6A6004FB}"/>
    <cellStyle name="40% - Accent3 3 2 2 2" xfId="51634" xr:uid="{E83C4243-54C2-403B-93B7-F13F9824542E}"/>
    <cellStyle name="40% - Accent3 3 2 2 3" xfId="52112" xr:uid="{B8F2523A-A1C9-4B11-BA43-BFDD99B995BB}"/>
    <cellStyle name="40% - Accent3 3 2 3" xfId="51399" xr:uid="{73AF5B6D-2D53-43A3-A092-4662118D96CA}"/>
    <cellStyle name="40% - Accent3 3 2 4" xfId="51913" xr:uid="{F05DBE67-14B2-4D23-9C2D-A5B3F1D055A3}"/>
    <cellStyle name="40% - Accent3 3 3" xfId="50988" xr:uid="{1E26CC75-9E21-433C-BFA6-37D94F52DF19}"/>
    <cellStyle name="40% - Accent3 3 3 2" xfId="51232" xr:uid="{6F4345A5-C26E-4180-BB20-38270B11191A}"/>
    <cellStyle name="40% - Accent3 3 3 2 2" xfId="51705" xr:uid="{9B06BAF1-253A-4C80-B8FD-D8E026216E80}"/>
    <cellStyle name="40% - Accent3 3 3 2 3" xfId="52181" xr:uid="{B43D1B08-39F8-498E-8923-9A9C2849BBCF}"/>
    <cellStyle name="40% - Accent3 3 3 3" xfId="51470" xr:uid="{1BAAF554-A60D-4D33-99EE-8FBB131E26C0}"/>
    <cellStyle name="40% - Accent3 3 3 4" xfId="51984" xr:uid="{6CB95980-9BFF-4990-B1D2-0F3FFB21E7CD}"/>
    <cellStyle name="40% - Accent3 3 4" xfId="51104" xr:uid="{80973159-2871-4E3C-BD34-38EEC3E454E3}"/>
    <cellStyle name="40% - Accent3 3 4 2" xfId="51578" xr:uid="{8D469E67-5801-4551-9A00-3B30F2543F6D}"/>
    <cellStyle name="40% - Accent3 3 4 3" xfId="52056" xr:uid="{5837B0C1-50C6-45F1-BC2B-4FED22BE65E5}"/>
    <cellStyle name="40% - Accent3 3 5" xfId="51343" xr:uid="{29AA2A99-F2DC-4917-A9A8-6EBD61B0AA2A}"/>
    <cellStyle name="40% - Accent3 3 6" xfId="51857" xr:uid="{43DF1CE1-EE34-4FD5-8624-8C0CE391F6D9}"/>
    <cellStyle name="40% - Accent3 4" xfId="50854" xr:uid="{7E0E2A38-82EA-4988-915F-0AE61E4E9EA7}"/>
    <cellStyle name="40% - Accent3 4 2" xfId="50909" xr:uid="{FD1EF687-5927-404A-911C-314512573995}"/>
    <cellStyle name="40% - Accent3 4 2 2" xfId="51173" xr:uid="{F628F532-EFFD-4E3A-801F-799DC04F8FA6}"/>
    <cellStyle name="40% - Accent3 4 2 2 2" xfId="51647" xr:uid="{006C7432-3DA8-4F6F-9893-F5A35977F129}"/>
    <cellStyle name="40% - Accent3 4 2 2 3" xfId="52125" xr:uid="{4BBF3321-B752-4DF8-B976-3038327BC200}"/>
    <cellStyle name="40% - Accent3 4 2 3" xfId="51412" xr:uid="{7640CB96-5B67-494C-8F07-8600436E0EF2}"/>
    <cellStyle name="40% - Accent3 4 2 4" xfId="51926" xr:uid="{DD7AA4A7-F1ED-4D9A-9E9D-4F9D88DF2CFF}"/>
    <cellStyle name="40% - Accent3 4 3" xfId="51001" xr:uid="{E588E198-8713-408B-9F2F-99AAFC01CE2A}"/>
    <cellStyle name="40% - Accent3 4 3 2" xfId="51245" xr:uid="{AAF39BCA-6429-4E4F-AA81-597068AD8E80}"/>
    <cellStyle name="40% - Accent3 4 3 2 2" xfId="51718" xr:uid="{C2FB7814-D8EA-4AF1-B583-D8EE5BD4DAD6}"/>
    <cellStyle name="40% - Accent3 4 3 2 3" xfId="52194" xr:uid="{553D0340-B937-402C-86C4-885B2815A68B}"/>
    <cellStyle name="40% - Accent3 4 3 3" xfId="51483" xr:uid="{26FEF797-F67E-4949-AB1D-E982CFFD2E2C}"/>
    <cellStyle name="40% - Accent3 4 3 4" xfId="51997" xr:uid="{5914AC1D-5CB2-4223-B62D-FACDEF013CC4}"/>
    <cellStyle name="40% - Accent3 4 4" xfId="51117" xr:uid="{79B393D8-1051-43B9-A6DB-4556C6FD6DDA}"/>
    <cellStyle name="40% - Accent3 4 4 2" xfId="51591" xr:uid="{D8168F2D-79ED-4F59-8ACB-0808F78C48C8}"/>
    <cellStyle name="40% - Accent3 4 4 3" xfId="52069" xr:uid="{A4928B6D-7A05-439A-A8C2-B1F31AA72E31}"/>
    <cellStyle name="40% - Accent3 4 5" xfId="51356" xr:uid="{40E535CA-31EE-4D19-BA60-1AA8AFEEF28E}"/>
    <cellStyle name="40% - Accent3 4 6" xfId="51870" xr:uid="{DBB62B13-D1BE-4FFE-8E22-FE69E3797E5F}"/>
    <cellStyle name="40% - Accent3 5" xfId="50868" xr:uid="{AB23F2B6-5285-44F0-B3BC-CF939DBC0F28}"/>
    <cellStyle name="40% - Accent3 5 2" xfId="51022" xr:uid="{D1D44FDE-70FC-493A-8806-E3860B013ED4}"/>
    <cellStyle name="40% - Accent3 5 2 2" xfId="51260" xr:uid="{E0A191C4-836B-47F4-BC75-13F30DAF0FE2}"/>
    <cellStyle name="40% - Accent3 5 2 2 2" xfId="51733" xr:uid="{7DCFFCAA-A120-477A-AA92-4D720962463A}"/>
    <cellStyle name="40% - Accent3 5 2 2 3" xfId="52209" xr:uid="{5B3B61DB-ECE3-4029-9B64-338E97932452}"/>
    <cellStyle name="40% - Accent3 5 2 3" xfId="51497" xr:uid="{E19A87CD-125C-42C8-8C31-267268D865DA}"/>
    <cellStyle name="40% - Accent3 5 2 4" xfId="52012" xr:uid="{A5C7BA9F-0F8A-4906-8420-010094B2AA11}"/>
    <cellStyle name="40% - Accent3 5 3" xfId="51132" xr:uid="{3770B3B8-C3C3-429B-8C66-0DDBF666EF54}"/>
    <cellStyle name="40% - Accent3 5 3 2" xfId="51606" xr:uid="{0AB92573-B96D-4164-B07C-44C67585D796}"/>
    <cellStyle name="40% - Accent3 5 3 3" xfId="52084" xr:uid="{52C1374B-CB7F-43A2-BE67-DEAAD0ECA669}"/>
    <cellStyle name="40% - Accent3 5 4" xfId="51371" xr:uid="{B2BAE815-F373-47CC-8971-EA998561AE28}"/>
    <cellStyle name="40% - Accent3 5 5" xfId="51885" xr:uid="{6FEF4746-114A-43A1-96A4-E1082DD10EB5}"/>
    <cellStyle name="40% - Accent3 6" xfId="50960" xr:uid="{C6DDC09A-CA47-4171-BFB1-CA4FC69AD112}"/>
    <cellStyle name="40% - Accent3 6 2" xfId="51204" xr:uid="{AED78BBD-AC62-4E09-859A-976E8B3201BD}"/>
    <cellStyle name="40% - Accent3 6 2 2" xfId="51677" xr:uid="{C6B95944-26D4-4C82-82AE-BED09DA6FC30}"/>
    <cellStyle name="40% - Accent3 6 2 3" xfId="52153" xr:uid="{CDEAAC18-E3E9-4EB4-A600-82A092FEA57A}"/>
    <cellStyle name="40% - Accent3 6 3" xfId="51442" xr:uid="{3268EAB4-7457-4BD8-B71E-2D3771AF6077}"/>
    <cellStyle name="40% - Accent3 6 4" xfId="51956" xr:uid="{BE2BB6DE-ED5E-4E0E-8CCD-7A454EADC7D5}"/>
    <cellStyle name="40% - Accent3 7" xfId="51073" xr:uid="{1B00A87A-1E10-43E7-8B84-FF037D9F37A4}"/>
    <cellStyle name="40% - Accent3 7 2" xfId="51547" xr:uid="{24814EAB-2578-4119-A086-CD576E20FB60}"/>
    <cellStyle name="40% - Accent3 7 3" xfId="52026" xr:uid="{F7E4C0DA-7F1A-456F-A02F-01AC935FE2BA}"/>
    <cellStyle name="40% - Accent3 8" xfId="51312" xr:uid="{BF31BA90-435F-4961-833E-92619009922A}"/>
    <cellStyle name="40% - Accent3 9" xfId="51787" xr:uid="{5F87EC80-2BE1-4E0A-9366-7004B6ED6115}"/>
    <cellStyle name="40% - Accent4" xfId="41" builtinId="43" customBuiltin="1"/>
    <cellStyle name="40% - Accent4 2" xfId="410" xr:uid="{9C58C475-EBC4-496C-87F6-0D7C25AAEFD4}"/>
    <cellStyle name="40% - Accent4 2 2" xfId="50885" xr:uid="{54F92D40-478D-4915-88DB-BA242E252C17}"/>
    <cellStyle name="40% - Accent4 2 2 2" xfId="51149" xr:uid="{7F1E6EF1-F5FD-4DB9-97D8-269D26C4F73F}"/>
    <cellStyle name="40% - Accent4 2 2 2 2" xfId="51623" xr:uid="{AAA26C17-23CE-4B4B-8F58-8B140EC783CD}"/>
    <cellStyle name="40% - Accent4 2 2 2 3" xfId="52101" xr:uid="{DB2A10D6-7EE9-4C4C-8FEE-CEC041B352B9}"/>
    <cellStyle name="40% - Accent4 2 2 3" xfId="51388" xr:uid="{80F4AA2D-8717-4DCA-8C28-C0BEA9D1A116}"/>
    <cellStyle name="40% - Accent4 2 2 4" xfId="51902" xr:uid="{FADCEF05-4B87-459D-B2F3-2D91E449CFA4}"/>
    <cellStyle name="40% - Accent4 2 3" xfId="50977" xr:uid="{A805C9B8-D246-4EE2-B1CA-D9FB202E5FE5}"/>
    <cellStyle name="40% - Accent4 2 3 2" xfId="51221" xr:uid="{149E4C2A-4C32-45F4-9FF5-36755128D892}"/>
    <cellStyle name="40% - Accent4 2 3 2 2" xfId="51694" xr:uid="{AB04A224-CF65-422D-AF56-0A0D6BBE297C}"/>
    <cellStyle name="40% - Accent4 2 3 2 3" xfId="52170" xr:uid="{31D1C551-F3A3-464E-8C2C-C1DBC0ACAC79}"/>
    <cellStyle name="40% - Accent4 2 3 3" xfId="51459" xr:uid="{909B15C0-FA59-4F4E-963C-5C3B67B19E84}"/>
    <cellStyle name="40% - Accent4 2 3 4" xfId="51973" xr:uid="{CDA799AF-8C1A-4FAC-B98C-BFC0909739BA}"/>
    <cellStyle name="40% - Accent4 2 4" xfId="51093" xr:uid="{8F233E8A-2C13-405A-92CF-0E3C715995BA}"/>
    <cellStyle name="40% - Accent4 2 4 2" xfId="51567" xr:uid="{D32FD88E-6D80-4811-BA58-75934C9724FB}"/>
    <cellStyle name="40% - Accent4 2 4 3" xfId="52045" xr:uid="{3325EEB7-1BCB-4F66-A42D-B959EACFD27D}"/>
    <cellStyle name="40% - Accent4 2 5" xfId="50830" xr:uid="{98392A1A-FFB7-4362-B460-1C005A815B13}"/>
    <cellStyle name="40% - Accent4 2 6" xfId="51332" xr:uid="{194DAC92-E242-4443-99EE-46FF2193BF40}"/>
    <cellStyle name="40% - Accent4 2 7" xfId="51846" xr:uid="{DD2E1033-8567-4362-86BA-CEF87F9CDE22}"/>
    <cellStyle name="40% - Accent4 3" xfId="50843" xr:uid="{F569D60D-4C95-49B3-803C-FD727BEA67FA}"/>
    <cellStyle name="40% - Accent4 3 2" xfId="50898" xr:uid="{BA2BA6D8-FF5B-4AE1-92D9-7DE3538E865D}"/>
    <cellStyle name="40% - Accent4 3 2 2" xfId="51162" xr:uid="{5318F76F-9756-48F5-9334-8091DFBE602C}"/>
    <cellStyle name="40% - Accent4 3 2 2 2" xfId="51636" xr:uid="{3E5FAE69-1E6D-4308-B147-1981F6B5E7D9}"/>
    <cellStyle name="40% - Accent4 3 2 2 3" xfId="52114" xr:uid="{D6BFC3E6-8A5D-4375-87BD-5DEC60B3E5E0}"/>
    <cellStyle name="40% - Accent4 3 2 3" xfId="51401" xr:uid="{4461C1C6-E6D6-4A84-A801-DDA83A085CF4}"/>
    <cellStyle name="40% - Accent4 3 2 4" xfId="51915" xr:uid="{111B1304-A324-497C-8D14-4FECFC839748}"/>
    <cellStyle name="40% - Accent4 3 3" xfId="50990" xr:uid="{0E19FC66-9B66-483C-9697-94512405182F}"/>
    <cellStyle name="40% - Accent4 3 3 2" xfId="51234" xr:uid="{317182C9-E02E-4ADC-BDD3-40D33A18CEDD}"/>
    <cellStyle name="40% - Accent4 3 3 2 2" xfId="51707" xr:uid="{EB7FFDC1-983E-4884-9687-C61815ACC4D4}"/>
    <cellStyle name="40% - Accent4 3 3 2 3" xfId="52183" xr:uid="{4DA29CD7-5D19-4D7A-8321-47173AA097A6}"/>
    <cellStyle name="40% - Accent4 3 3 3" xfId="51472" xr:uid="{FA4537AE-4CE9-4992-ACA3-D42D13A0C150}"/>
    <cellStyle name="40% - Accent4 3 3 4" xfId="51986" xr:uid="{86869740-58EA-4E95-9B72-1592EF347364}"/>
    <cellStyle name="40% - Accent4 3 4" xfId="51106" xr:uid="{5F8EDA6E-DBE8-4DAE-ACA6-D44B1E6F699A}"/>
    <cellStyle name="40% - Accent4 3 4 2" xfId="51580" xr:uid="{874041E4-ECC5-4127-926F-4439081D8FE7}"/>
    <cellStyle name="40% - Accent4 3 4 3" xfId="52058" xr:uid="{06B5C804-EA02-4E76-8134-022D774250B5}"/>
    <cellStyle name="40% - Accent4 3 5" xfId="51345" xr:uid="{868652C4-11D7-45FC-BF22-AA9DE0ADC928}"/>
    <cellStyle name="40% - Accent4 3 6" xfId="51859" xr:uid="{BB795A97-4675-440D-9006-44F87BF841AD}"/>
    <cellStyle name="40% - Accent4 4" xfId="50856" xr:uid="{393093D9-53BF-4DFC-9DCE-CBFB55E37B7B}"/>
    <cellStyle name="40% - Accent4 4 2" xfId="50911" xr:uid="{25EFE606-1E26-47B8-B66E-D3CEC76BEE8A}"/>
    <cellStyle name="40% - Accent4 4 2 2" xfId="51175" xr:uid="{CB8689D2-CAA8-45B8-BBF2-F42E0AFCB59B}"/>
    <cellStyle name="40% - Accent4 4 2 2 2" xfId="51649" xr:uid="{77B823D4-B095-40D3-BF04-B9311F81A5F6}"/>
    <cellStyle name="40% - Accent4 4 2 2 3" xfId="52127" xr:uid="{3A9A6317-B6BD-4E1A-994E-B35D4499B71E}"/>
    <cellStyle name="40% - Accent4 4 2 3" xfId="51414" xr:uid="{2FE2D470-E2B8-4D6A-BDE0-F6D77948C533}"/>
    <cellStyle name="40% - Accent4 4 2 4" xfId="51928" xr:uid="{6406A1D4-2565-4D96-8122-C2A8172A6273}"/>
    <cellStyle name="40% - Accent4 4 3" xfId="51003" xr:uid="{F24D1F71-AEF6-42EE-B43E-08412C3AC38E}"/>
    <cellStyle name="40% - Accent4 4 3 2" xfId="51247" xr:uid="{A99E42E9-18EF-4160-AFCA-316C2586A3F7}"/>
    <cellStyle name="40% - Accent4 4 3 2 2" xfId="51720" xr:uid="{8178FA79-8AF5-40D6-BB34-F18A997A7152}"/>
    <cellStyle name="40% - Accent4 4 3 2 3" xfId="52196" xr:uid="{0087BDD3-CE86-4F11-A2B9-FEA3A3328F95}"/>
    <cellStyle name="40% - Accent4 4 3 3" xfId="51485" xr:uid="{57CAD71E-DD1E-4E6D-A9C9-DBC75151E227}"/>
    <cellStyle name="40% - Accent4 4 3 4" xfId="51999" xr:uid="{5115F247-EDAD-442A-AFAA-E1C79C5CDE9E}"/>
    <cellStyle name="40% - Accent4 4 4" xfId="51119" xr:uid="{72A231DB-CD43-47CD-8AA1-B659FDF80A79}"/>
    <cellStyle name="40% - Accent4 4 4 2" xfId="51593" xr:uid="{665D1402-8F6C-482A-80F1-6303014203E8}"/>
    <cellStyle name="40% - Accent4 4 4 3" xfId="52071" xr:uid="{FFC03971-440D-42E6-9CDC-D7FA5B94F816}"/>
    <cellStyle name="40% - Accent4 4 5" xfId="51358" xr:uid="{998CAE89-325A-4D18-8E20-E75CB49BF30F}"/>
    <cellStyle name="40% - Accent4 4 6" xfId="51872" xr:uid="{B700AE6D-8B11-41CD-9B10-9EA02F70B2FF}"/>
    <cellStyle name="40% - Accent4 5" xfId="50869" xr:uid="{4C4228C6-002E-43D7-A06D-8B63843819EF}"/>
    <cellStyle name="40% - Accent4 5 2" xfId="51024" xr:uid="{C15A8CD2-20C7-410C-9841-2D43A2CF22A3}"/>
    <cellStyle name="40% - Accent4 5 2 2" xfId="51262" xr:uid="{95A33931-1E5A-4ECF-9D9B-2315214B8C6B}"/>
    <cellStyle name="40% - Accent4 5 2 2 2" xfId="51735" xr:uid="{995609DB-9EC2-42D3-A604-E804950E0C90}"/>
    <cellStyle name="40% - Accent4 5 2 2 3" xfId="52211" xr:uid="{350450FC-F6D4-46F1-AC3D-C080DE918183}"/>
    <cellStyle name="40% - Accent4 5 2 3" xfId="51499" xr:uid="{22428F70-82E0-49EB-9F0D-2BBB6B6B9674}"/>
    <cellStyle name="40% - Accent4 5 2 4" xfId="52014" xr:uid="{DBEFA9A3-C3D4-49E0-BE0F-AD6EB6F74F61}"/>
    <cellStyle name="40% - Accent4 5 3" xfId="51133" xr:uid="{7B066FD7-1324-4126-9CAB-0DFB38B41694}"/>
    <cellStyle name="40% - Accent4 5 3 2" xfId="51607" xr:uid="{125A5EA5-2B07-4BDF-8D5D-1219D4AF0702}"/>
    <cellStyle name="40% - Accent4 5 3 3" xfId="52085" xr:uid="{244020B8-B1FC-4554-8DE6-6391BFF0B87E}"/>
    <cellStyle name="40% - Accent4 5 4" xfId="51372" xr:uid="{78FA6BCD-D596-4D2E-A009-3E92EF8172A3}"/>
    <cellStyle name="40% - Accent4 5 5" xfId="51886" xr:uid="{8258BDE2-83F1-4539-A9F3-E1D81B5BF48A}"/>
    <cellStyle name="40% - Accent4 6" xfId="50961" xr:uid="{9D362FDE-4FC7-4D97-93A4-E1F941652453}"/>
    <cellStyle name="40% - Accent4 6 2" xfId="51205" xr:uid="{D4E4878F-5128-4DAC-8EC8-A2562CC17988}"/>
    <cellStyle name="40% - Accent4 6 2 2" xfId="51678" xr:uid="{D16B5265-C431-40AA-ACFB-CBB9DD5EB8E7}"/>
    <cellStyle name="40% - Accent4 6 2 3" xfId="52154" xr:uid="{AD538B2D-C416-4F06-888E-F9DB08760127}"/>
    <cellStyle name="40% - Accent4 6 3" xfId="51443" xr:uid="{2EEDE183-3CAB-47AE-874D-A360ED5F43F6}"/>
    <cellStyle name="40% - Accent4 6 4" xfId="51957" xr:uid="{F7BAEBB1-03D3-4014-877F-A5D4AE8E7B16}"/>
    <cellStyle name="40% - Accent4 7" xfId="51075" xr:uid="{9A912D13-5DCB-4C34-9267-5E0CCA7E5290}"/>
    <cellStyle name="40% - Accent4 7 2" xfId="51549" xr:uid="{59745369-3FCD-4063-9E72-BE405637DF21}"/>
    <cellStyle name="40% - Accent4 7 3" xfId="52028" xr:uid="{D5B37153-ACDB-4BC1-B753-5722E9FAF9D0}"/>
    <cellStyle name="40% - Accent4 8" xfId="51314" xr:uid="{F5B06F71-BBF8-4889-865E-3C2050F79EE8}"/>
    <cellStyle name="40% - Accent4 9" xfId="51789" xr:uid="{34603EF4-F1DA-4907-B9F6-BE998C3EB251}"/>
    <cellStyle name="40% - Accent5" xfId="45" builtinId="47" customBuiltin="1"/>
    <cellStyle name="40% - Accent5 2" xfId="411" xr:uid="{BCB1B604-65DD-46B0-B4EA-A12C7C552DD5}"/>
    <cellStyle name="40% - Accent5 2 2" xfId="50887" xr:uid="{141F4E82-1365-4ED2-B69A-EB553EE4A213}"/>
    <cellStyle name="40% - Accent5 2 2 2" xfId="51151" xr:uid="{96C3862B-4457-4FEA-82F1-87E38A47AA69}"/>
    <cellStyle name="40% - Accent5 2 2 2 2" xfId="51625" xr:uid="{BA275CCB-CBC7-43D5-9D51-9C101855209D}"/>
    <cellStyle name="40% - Accent5 2 2 2 3" xfId="52103" xr:uid="{571C2517-C4EF-46FC-A64D-D7FE2572779B}"/>
    <cellStyle name="40% - Accent5 2 2 3" xfId="51390" xr:uid="{DC982F52-5678-4EDC-8BC0-FC4C8559C9A2}"/>
    <cellStyle name="40% - Accent5 2 2 4" xfId="51904" xr:uid="{938FE77C-2DC3-4179-988E-AF4E22A665F3}"/>
    <cellStyle name="40% - Accent5 2 3" xfId="50979" xr:uid="{23D45F92-9C09-46EB-9E07-AEE09A063200}"/>
    <cellStyle name="40% - Accent5 2 3 2" xfId="51223" xr:uid="{6E6B658F-A8F4-4259-A8D8-7E973357A02F}"/>
    <cellStyle name="40% - Accent5 2 3 2 2" xfId="51696" xr:uid="{09B96643-43C4-40BC-AEBD-EA153A872390}"/>
    <cellStyle name="40% - Accent5 2 3 2 3" xfId="52172" xr:uid="{643F3307-58D4-4D38-B3E4-80E9EC8F9A3F}"/>
    <cellStyle name="40% - Accent5 2 3 3" xfId="51461" xr:uid="{78A2C62A-1107-4D5D-8C96-0CDFF74FBE72}"/>
    <cellStyle name="40% - Accent5 2 3 4" xfId="51975" xr:uid="{5769EB5F-B5D5-420B-A732-87AFCA057AEF}"/>
    <cellStyle name="40% - Accent5 2 4" xfId="51095" xr:uid="{BFD59F81-5E52-45E0-B76B-D64747DA04EA}"/>
    <cellStyle name="40% - Accent5 2 4 2" xfId="51569" xr:uid="{EA7DDEF6-C37C-4DED-A20E-73F0712DCEDE}"/>
    <cellStyle name="40% - Accent5 2 4 3" xfId="52047" xr:uid="{B98C0233-FD56-41FB-8DC9-FB51D752A644}"/>
    <cellStyle name="40% - Accent5 2 5" xfId="50832" xr:uid="{836805B9-9CEE-46E5-A151-89A3313299AB}"/>
    <cellStyle name="40% - Accent5 2 6" xfId="51334" xr:uid="{503D173E-4DC5-450F-9B46-8D3E5E75A578}"/>
    <cellStyle name="40% - Accent5 2 7" xfId="51848" xr:uid="{1A8C4460-D58E-4E47-ACAA-C16268A338B2}"/>
    <cellStyle name="40% - Accent5 3" xfId="50845" xr:uid="{25CF2A56-2ABC-4C15-976A-2BBC7D0207C7}"/>
    <cellStyle name="40% - Accent5 3 2" xfId="50900" xr:uid="{1C237694-3338-4BB4-A2AD-D5558B4CCD58}"/>
    <cellStyle name="40% - Accent5 3 2 2" xfId="51164" xr:uid="{3704C9E1-5BA5-4447-B4A0-A6595089CD34}"/>
    <cellStyle name="40% - Accent5 3 2 2 2" xfId="51638" xr:uid="{6FC2262D-4F53-4A31-BA3E-10431391C795}"/>
    <cellStyle name="40% - Accent5 3 2 2 3" xfId="52116" xr:uid="{8502C21F-10C2-4FC8-A66D-4758F27991F1}"/>
    <cellStyle name="40% - Accent5 3 2 3" xfId="51403" xr:uid="{6E7761ED-EC67-40CD-B5AB-5DE642444CD9}"/>
    <cellStyle name="40% - Accent5 3 2 4" xfId="51917" xr:uid="{FC996B3A-B6C9-48C0-9630-108B192AB103}"/>
    <cellStyle name="40% - Accent5 3 3" xfId="50992" xr:uid="{4F9F099F-1F2A-4A15-B216-1C8D6137348C}"/>
    <cellStyle name="40% - Accent5 3 3 2" xfId="51236" xr:uid="{AFAC76A1-D233-4929-AA00-F0394B7CCA26}"/>
    <cellStyle name="40% - Accent5 3 3 2 2" xfId="51709" xr:uid="{F6610151-F21A-4DC0-8AA6-E0225C8D2624}"/>
    <cellStyle name="40% - Accent5 3 3 2 3" xfId="52185" xr:uid="{DD823B10-98EF-4C19-8920-AA4E150FED3A}"/>
    <cellStyle name="40% - Accent5 3 3 3" xfId="51474" xr:uid="{0C94392F-019A-4AFC-A0E8-3FA7EA92D9E1}"/>
    <cellStyle name="40% - Accent5 3 3 4" xfId="51988" xr:uid="{2CFCC886-DC10-4EF5-9A75-30F7A20BAE41}"/>
    <cellStyle name="40% - Accent5 3 4" xfId="51108" xr:uid="{5504DDA9-F86D-4AB2-BF28-5A4FB5CC5CF9}"/>
    <cellStyle name="40% - Accent5 3 4 2" xfId="51582" xr:uid="{FAE3C936-87BF-49D1-98BA-E1DB2989B92F}"/>
    <cellStyle name="40% - Accent5 3 4 3" xfId="52060" xr:uid="{E23D280D-DCC8-46C0-8ECC-21B8F27C18D2}"/>
    <cellStyle name="40% - Accent5 3 5" xfId="51347" xr:uid="{F0BB5994-4B97-4B88-AB6C-24191B5C8254}"/>
    <cellStyle name="40% - Accent5 3 6" xfId="51861" xr:uid="{91ABD3CE-DAB2-4F0A-9258-BD71B5DE934D}"/>
    <cellStyle name="40% - Accent5 4" xfId="50858" xr:uid="{5F0F99DA-DF78-4BC9-8E48-E74A686069D2}"/>
    <cellStyle name="40% - Accent5 4 2" xfId="50913" xr:uid="{4DDCEB59-6EA3-4303-9DF3-9C746AE0CF4F}"/>
    <cellStyle name="40% - Accent5 4 2 2" xfId="51177" xr:uid="{32811EDC-98A4-4ECE-BA12-DBABCCF18FC2}"/>
    <cellStyle name="40% - Accent5 4 2 2 2" xfId="51651" xr:uid="{8652BC51-68EC-4C0E-B47A-95B1D7883787}"/>
    <cellStyle name="40% - Accent5 4 2 2 3" xfId="52129" xr:uid="{1D9F389E-B356-4298-8D60-BA1028B6553C}"/>
    <cellStyle name="40% - Accent5 4 2 3" xfId="51416" xr:uid="{CF4C1162-A635-4360-B012-94B3E3D99E86}"/>
    <cellStyle name="40% - Accent5 4 2 4" xfId="51930" xr:uid="{F416292B-F9A3-45F6-9995-CFA4FCF2260C}"/>
    <cellStyle name="40% - Accent5 4 3" xfId="51005" xr:uid="{94CD9F49-6422-4A2F-9727-3206CB9C48B7}"/>
    <cellStyle name="40% - Accent5 4 3 2" xfId="51249" xr:uid="{F43E7F30-6C3F-4BE3-A513-2AFE0EEE31D4}"/>
    <cellStyle name="40% - Accent5 4 3 2 2" xfId="51722" xr:uid="{7D175DDD-84A6-4A65-902A-57FEA299E7CD}"/>
    <cellStyle name="40% - Accent5 4 3 2 3" xfId="52198" xr:uid="{9E6348A1-B16B-4F24-BA07-15EBEB1B2173}"/>
    <cellStyle name="40% - Accent5 4 3 3" xfId="51487" xr:uid="{4E05ECAE-7BF2-4323-B9A2-740E737BEDFA}"/>
    <cellStyle name="40% - Accent5 4 3 4" xfId="52001" xr:uid="{F620F12C-C306-47A0-8308-881B1CAEE7D0}"/>
    <cellStyle name="40% - Accent5 4 4" xfId="51121" xr:uid="{BC96B625-602C-440F-9173-09C28C6F2829}"/>
    <cellStyle name="40% - Accent5 4 4 2" xfId="51595" xr:uid="{DADA5189-652A-47C2-885F-78570FDBBC44}"/>
    <cellStyle name="40% - Accent5 4 4 3" xfId="52073" xr:uid="{31BFD93A-F960-48D4-8875-6BA51FB54F7E}"/>
    <cellStyle name="40% - Accent5 4 5" xfId="51360" xr:uid="{98F770A2-CAE0-4419-AF4B-CB8A49CA0397}"/>
    <cellStyle name="40% - Accent5 4 6" xfId="51874" xr:uid="{BF8DAD26-4371-41F3-AB01-5CA146E90E10}"/>
    <cellStyle name="40% - Accent5 5" xfId="50870" xr:uid="{BBC41BA6-9CC7-41B1-86EB-B143E6051348}"/>
    <cellStyle name="40% - Accent5 5 2" xfId="51026" xr:uid="{C0813481-10C3-4EA9-97E7-BA8FDF2B3C76}"/>
    <cellStyle name="40% - Accent5 5 2 2" xfId="51264" xr:uid="{31AF1A04-3334-467C-99DA-B2EB8A62A8F2}"/>
    <cellStyle name="40% - Accent5 5 2 2 2" xfId="51737" xr:uid="{1C100EE2-F87C-41BE-A217-3074E9C2762F}"/>
    <cellStyle name="40% - Accent5 5 2 2 3" xfId="52213" xr:uid="{136F473A-63F7-4E18-91C2-1D0AE357500C}"/>
    <cellStyle name="40% - Accent5 5 2 3" xfId="51501" xr:uid="{2DE12224-09AA-4CA1-9391-B2F9EBA3550B}"/>
    <cellStyle name="40% - Accent5 5 2 4" xfId="52016" xr:uid="{C71D6D08-27F9-44DE-9E04-A4B51FE48BCF}"/>
    <cellStyle name="40% - Accent5 5 3" xfId="51134" xr:uid="{45463E22-4578-4A14-A3FC-252A6741F401}"/>
    <cellStyle name="40% - Accent5 5 3 2" xfId="51608" xr:uid="{A878E2E5-3477-4DAA-846F-433607D04C10}"/>
    <cellStyle name="40% - Accent5 5 3 3" xfId="52086" xr:uid="{F401141E-57B5-4A46-BD80-ED17D86B09E7}"/>
    <cellStyle name="40% - Accent5 5 4" xfId="51373" xr:uid="{2F4DF98C-9436-4D8C-A28D-E506DC00612D}"/>
    <cellStyle name="40% - Accent5 5 5" xfId="51887" xr:uid="{92F0EDCE-DE01-4350-BBA3-592B4D2352EB}"/>
    <cellStyle name="40% - Accent5 6" xfId="50962" xr:uid="{0F88A41A-7CD1-45B2-A97B-85FC348832E5}"/>
    <cellStyle name="40% - Accent5 6 2" xfId="51206" xr:uid="{E7288CCA-EC19-49F8-A504-E8DC5C354836}"/>
    <cellStyle name="40% - Accent5 6 2 2" xfId="51679" xr:uid="{680173A8-3401-46A4-B06E-FA299F735A2F}"/>
    <cellStyle name="40% - Accent5 6 2 3" xfId="52155" xr:uid="{62C7BA5C-91D9-4BDB-98A1-AD9430122E2B}"/>
    <cellStyle name="40% - Accent5 6 3" xfId="51444" xr:uid="{6A70FD76-8C8B-41C3-AB1A-AA32E034B8A3}"/>
    <cellStyle name="40% - Accent5 6 4" xfId="51958" xr:uid="{31D3946E-1774-4BC8-9F62-4F75C0908F7E}"/>
    <cellStyle name="40% - Accent5 7" xfId="51077" xr:uid="{ECE21CC3-37D7-4808-A831-E5DA38CA82F4}"/>
    <cellStyle name="40% - Accent5 7 2" xfId="51551" xr:uid="{05183749-2FC4-4392-8840-14D319846BFC}"/>
    <cellStyle name="40% - Accent5 7 3" xfId="52030" xr:uid="{3F68AC51-38F5-4BFA-A56C-858C6ED3BB89}"/>
    <cellStyle name="40% - Accent5 8" xfId="51316" xr:uid="{A8B92060-E636-409D-9FD3-A1803DAB2B1C}"/>
    <cellStyle name="40% - Accent5 9" xfId="51791" xr:uid="{DA4B38CE-3782-4F69-A682-586FF55D1F34}"/>
    <cellStyle name="40% - Accent6" xfId="49" builtinId="51" customBuiltin="1"/>
    <cellStyle name="40% - Accent6 2" xfId="412" xr:uid="{27C2063D-E330-4DDB-B940-55259BBA5C35}"/>
    <cellStyle name="40% - Accent6 2 2" xfId="50889" xr:uid="{1B09A564-AC3F-4AD9-B981-4E573DEAEBCB}"/>
    <cellStyle name="40% - Accent6 2 2 2" xfId="51153" xr:uid="{AA7C3C05-2733-4F2E-A9D4-26ED6522D7B5}"/>
    <cellStyle name="40% - Accent6 2 2 2 2" xfId="51627" xr:uid="{5078AD42-FD4F-4E8A-9FFA-5E4CB2CF68C7}"/>
    <cellStyle name="40% - Accent6 2 2 2 3" xfId="52105" xr:uid="{A939D67D-2482-4905-BD05-957B1DD6C8F0}"/>
    <cellStyle name="40% - Accent6 2 2 3" xfId="51392" xr:uid="{9EACEBD4-7116-4620-B7AD-1F2DDBBAE730}"/>
    <cellStyle name="40% - Accent6 2 2 4" xfId="51906" xr:uid="{5B11AE77-A68C-4D9D-89DF-7710969F7CD8}"/>
    <cellStyle name="40% - Accent6 2 3" xfId="50981" xr:uid="{9DCB6B72-8C88-45F3-8005-AB43D30F9DEA}"/>
    <cellStyle name="40% - Accent6 2 3 2" xfId="51225" xr:uid="{8ED62E46-1178-4BDC-BCAC-30BE52702A3A}"/>
    <cellStyle name="40% - Accent6 2 3 2 2" xfId="51698" xr:uid="{D9987ABC-31FB-4D62-88C0-B2892FAE8751}"/>
    <cellStyle name="40% - Accent6 2 3 2 3" xfId="52174" xr:uid="{BE6E874A-1E7C-46E4-AAAF-3C918726C196}"/>
    <cellStyle name="40% - Accent6 2 3 3" xfId="51463" xr:uid="{EFFFBA70-73F6-49FD-A29C-B83D23CF3B4E}"/>
    <cellStyle name="40% - Accent6 2 3 4" xfId="51977" xr:uid="{7070B071-7F48-43AE-BC47-CEE3986B302A}"/>
    <cellStyle name="40% - Accent6 2 4" xfId="51097" xr:uid="{5444E26E-2D4F-4164-B323-06844D7691B3}"/>
    <cellStyle name="40% - Accent6 2 4 2" xfId="51571" xr:uid="{6A6E20E8-29BA-4122-B965-6F9BCCF838C2}"/>
    <cellStyle name="40% - Accent6 2 4 3" xfId="52049" xr:uid="{92E27931-09F8-4183-AEBE-CA1B7F3BA6F9}"/>
    <cellStyle name="40% - Accent6 2 5" xfId="50834" xr:uid="{C9D81570-7BC4-4488-8369-C2C6C75208EE}"/>
    <cellStyle name="40% - Accent6 2 6" xfId="51336" xr:uid="{73D76582-B669-41B7-B05E-4A1A74366388}"/>
    <cellStyle name="40% - Accent6 2 7" xfId="51850" xr:uid="{1DF6579F-F3BE-4087-9DCE-05A79E8E70CF}"/>
    <cellStyle name="40% - Accent6 3" xfId="50847" xr:uid="{F9E8683E-C889-4B70-96CE-CC64A68BD5E0}"/>
    <cellStyle name="40% - Accent6 3 2" xfId="50902" xr:uid="{35643ABE-ED08-47F1-B45E-3E42055F5304}"/>
    <cellStyle name="40% - Accent6 3 2 2" xfId="51166" xr:uid="{39CBC7E6-116C-41B8-8247-FCCE6072CE32}"/>
    <cellStyle name="40% - Accent6 3 2 2 2" xfId="51640" xr:uid="{B2A07C3C-667E-4E0F-A1A4-87D21B926336}"/>
    <cellStyle name="40% - Accent6 3 2 2 3" xfId="52118" xr:uid="{BA3492D4-4400-4CE6-8926-3617A51A3417}"/>
    <cellStyle name="40% - Accent6 3 2 3" xfId="51405" xr:uid="{D0078E73-670B-49BE-83D1-D904F3D768F6}"/>
    <cellStyle name="40% - Accent6 3 2 4" xfId="51919" xr:uid="{78C885EA-F036-4D3D-B36E-DC5A3BB03C1F}"/>
    <cellStyle name="40% - Accent6 3 3" xfId="50994" xr:uid="{4ADC2EAB-D7C1-4EF9-9181-50BD7F6AE8E5}"/>
    <cellStyle name="40% - Accent6 3 3 2" xfId="51238" xr:uid="{BDD75299-DB36-4980-97D5-3B460E207585}"/>
    <cellStyle name="40% - Accent6 3 3 2 2" xfId="51711" xr:uid="{CA8D9E45-7538-4AAF-8A4D-3328FCE1CB57}"/>
    <cellStyle name="40% - Accent6 3 3 2 3" xfId="52187" xr:uid="{EBB876BE-49EC-44EF-BF06-84E9FDA869CC}"/>
    <cellStyle name="40% - Accent6 3 3 3" xfId="51476" xr:uid="{36280E75-BBA8-4E92-AF91-D18EB8751561}"/>
    <cellStyle name="40% - Accent6 3 3 4" xfId="51990" xr:uid="{114F938E-8207-47E7-BBE8-AEBD941E9403}"/>
    <cellStyle name="40% - Accent6 3 4" xfId="51110" xr:uid="{3409D946-789A-441C-9B67-CE2B275525E3}"/>
    <cellStyle name="40% - Accent6 3 4 2" xfId="51584" xr:uid="{F4F2D30C-3D92-463D-B754-869DFC69FC44}"/>
    <cellStyle name="40% - Accent6 3 4 3" xfId="52062" xr:uid="{E7C5E3B2-EA6D-43B4-BE69-A238416B521E}"/>
    <cellStyle name="40% - Accent6 3 5" xfId="51349" xr:uid="{CEEDB623-A5E2-4F8C-A766-149A88E434FE}"/>
    <cellStyle name="40% - Accent6 3 6" xfId="51863" xr:uid="{09E4642A-07B2-4F5C-8ACE-3F3F9E603F2E}"/>
    <cellStyle name="40% - Accent6 4" xfId="50860" xr:uid="{17FA6664-8F93-4CCF-9901-101A9C495D4F}"/>
    <cellStyle name="40% - Accent6 4 2" xfId="50915" xr:uid="{B278B2CE-0687-4BC8-ABFD-FE3DC10C3181}"/>
    <cellStyle name="40% - Accent6 4 2 2" xfId="51179" xr:uid="{F08E9AAD-7525-4809-A123-B197FBB61E82}"/>
    <cellStyle name="40% - Accent6 4 2 2 2" xfId="51653" xr:uid="{5DAF08B0-57F5-4944-BF08-066F3A85503A}"/>
    <cellStyle name="40% - Accent6 4 2 2 3" xfId="52131" xr:uid="{3D26C4B5-CA89-4E2F-AA38-16D1E3C96A7E}"/>
    <cellStyle name="40% - Accent6 4 2 3" xfId="51418" xr:uid="{A033A930-77BD-4DB6-87BB-E689A50D900F}"/>
    <cellStyle name="40% - Accent6 4 2 4" xfId="51932" xr:uid="{86724181-188E-4905-BFB5-7C4030CBDE5F}"/>
    <cellStyle name="40% - Accent6 4 3" xfId="51007" xr:uid="{E3127A84-C1F4-4965-A84F-545F52E8D9E3}"/>
    <cellStyle name="40% - Accent6 4 3 2" xfId="51251" xr:uid="{74B3283A-929D-4084-A59E-D861E71D26F7}"/>
    <cellStyle name="40% - Accent6 4 3 2 2" xfId="51724" xr:uid="{8FF91B8F-BF62-4D77-B48E-35A580D63167}"/>
    <cellStyle name="40% - Accent6 4 3 2 3" xfId="52200" xr:uid="{851E9C4F-6B37-4622-BF64-439E9853D6A5}"/>
    <cellStyle name="40% - Accent6 4 3 3" xfId="51489" xr:uid="{BED74B89-38D6-4559-95D4-3D56FC2ADB77}"/>
    <cellStyle name="40% - Accent6 4 3 4" xfId="52003" xr:uid="{E2FA8414-7ED9-4F5C-B8DE-048EAB32173B}"/>
    <cellStyle name="40% - Accent6 4 4" xfId="51123" xr:uid="{139EC45B-CDB3-4E15-B2F3-EAC117149DAF}"/>
    <cellStyle name="40% - Accent6 4 4 2" xfId="51597" xr:uid="{B5278C74-CC86-4A02-9723-0764C03158BB}"/>
    <cellStyle name="40% - Accent6 4 4 3" xfId="52075" xr:uid="{82B07AC9-4B33-416B-8720-BD69495B5F6C}"/>
    <cellStyle name="40% - Accent6 4 5" xfId="51362" xr:uid="{70E67D21-D4E9-4DF3-B0F2-C11A972E4AEA}"/>
    <cellStyle name="40% - Accent6 4 6" xfId="51876" xr:uid="{F61786D7-4746-4928-A03D-17B1E8FD57EF}"/>
    <cellStyle name="40% - Accent6 5" xfId="50871" xr:uid="{BC54D6F1-83D3-47CF-83C8-811536678870}"/>
    <cellStyle name="40% - Accent6 5 2" xfId="51028" xr:uid="{CD848EA1-3055-4856-A90C-DF9CCC7AB186}"/>
    <cellStyle name="40% - Accent6 5 2 2" xfId="51266" xr:uid="{49326E95-D6DA-4871-94ED-134A0BB6D5FD}"/>
    <cellStyle name="40% - Accent6 5 2 2 2" xfId="51739" xr:uid="{FE9E057B-7CE7-4FF8-A8E3-64C9D501BFCF}"/>
    <cellStyle name="40% - Accent6 5 2 2 3" xfId="52215" xr:uid="{2E010AFF-FC55-40A0-A3C1-3E46208D9588}"/>
    <cellStyle name="40% - Accent6 5 2 3" xfId="51503" xr:uid="{AD4F68AD-8BAB-4836-9318-E08EB7CBB5B6}"/>
    <cellStyle name="40% - Accent6 5 2 4" xfId="52018" xr:uid="{3CFCDCB1-CA92-46E5-B2B4-FDEE28C5C5FA}"/>
    <cellStyle name="40% - Accent6 5 3" xfId="51135" xr:uid="{397DF3EF-7470-4BE6-BFB6-699A6BA67220}"/>
    <cellStyle name="40% - Accent6 5 3 2" xfId="51609" xr:uid="{98D45384-1505-472D-8E7F-BF266FCE3AD2}"/>
    <cellStyle name="40% - Accent6 5 3 3" xfId="52087" xr:uid="{C65767F4-1052-40EE-916E-D9492AF3CFAE}"/>
    <cellStyle name="40% - Accent6 5 4" xfId="51374" xr:uid="{3B674F09-6D05-4DDA-A91A-80BDE7B32724}"/>
    <cellStyle name="40% - Accent6 5 5" xfId="51888" xr:uid="{D229DA80-21A8-4E4A-BBE2-14A80DEBCF99}"/>
    <cellStyle name="40% - Accent6 6" xfId="50963" xr:uid="{530246D1-3098-45BF-8308-F4DA77D0624D}"/>
    <cellStyle name="40% - Accent6 6 2" xfId="51207" xr:uid="{649BA915-C824-4CDA-B8D7-743035CBAA71}"/>
    <cellStyle name="40% - Accent6 6 2 2" xfId="51680" xr:uid="{C8CC3827-EE3E-4DFA-B7D9-8542970474C2}"/>
    <cellStyle name="40% - Accent6 6 2 3" xfId="52156" xr:uid="{BC1F54E3-DF0B-407B-AA81-01E82AAE8779}"/>
    <cellStyle name="40% - Accent6 6 3" xfId="51445" xr:uid="{76ADD628-76D1-476E-9952-CE06598867D8}"/>
    <cellStyle name="40% - Accent6 6 4" xfId="51959" xr:uid="{5886B399-C667-45B4-8EE5-B0DC32B8D707}"/>
    <cellStyle name="40% - Accent6 7" xfId="51079" xr:uid="{052BA87B-75BF-4423-81F5-B5E823B4C644}"/>
    <cellStyle name="40% - Accent6 7 2" xfId="51553" xr:uid="{863570E1-C996-4494-B035-D5E0AE868A6E}"/>
    <cellStyle name="40% - Accent6 7 3" xfId="52032" xr:uid="{D8E9DA6A-D68D-427F-85AB-D9E065F88521}"/>
    <cellStyle name="40% - Accent6 8" xfId="51318" xr:uid="{34B82C05-3197-4BB7-B37E-FEB26754549D}"/>
    <cellStyle name="40% - Accent6 9" xfId="51793" xr:uid="{192AF797-BE6A-40F4-A2A9-5562FC1A2D9C}"/>
    <cellStyle name="60% - Accent1" xfId="30" builtinId="32" customBuiltin="1"/>
    <cellStyle name="60% - Accent1 2" xfId="413" xr:uid="{9DBBB11B-12FA-4A04-B7F6-1EB7672FAF48}"/>
    <cellStyle name="60% - Accent1 3" xfId="50769" xr:uid="{A277A060-BEE5-4C04-A2F1-43B3A5E7DB77}"/>
    <cellStyle name="60% - Accent2" xfId="34" builtinId="36" customBuiltin="1"/>
    <cellStyle name="60% - Accent2 2" xfId="414" xr:uid="{8312B917-64B3-4C1F-AA4A-42E6346353BA}"/>
    <cellStyle name="60% - Accent2 3" xfId="50770" xr:uid="{35CEA7C5-25A0-48F8-ADD7-A03708896954}"/>
    <cellStyle name="60% - Accent3" xfId="38" builtinId="40" customBuiltin="1"/>
    <cellStyle name="60% - Accent3 2" xfId="415" xr:uid="{B96879B5-60E1-48E9-96DE-EF285F913CF8}"/>
    <cellStyle name="60% - Accent3 3" xfId="50771" xr:uid="{5EFEBD22-C381-4C1D-BE30-18291139C5EE}"/>
    <cellStyle name="60% - Accent4" xfId="42" builtinId="44" customBuiltin="1"/>
    <cellStyle name="60% - Accent4 2" xfId="416" xr:uid="{7FC31DEB-097C-4465-B1D0-A0957F93CB6A}"/>
    <cellStyle name="60% - Accent4 3" xfId="50772" xr:uid="{C6706C64-AB6A-44BC-81E0-7863B813CA9B}"/>
    <cellStyle name="60% - Accent5" xfId="46" builtinId="48" customBuiltin="1"/>
    <cellStyle name="60% - Accent5 2" xfId="417" xr:uid="{E76F070D-E38B-4753-8847-0610E741E537}"/>
    <cellStyle name="60% - Accent5 3" xfId="50773" xr:uid="{DC7C43CF-5E45-4E02-9D6E-954135C57F58}"/>
    <cellStyle name="60% - Accent6" xfId="50" builtinId="52" customBuiltin="1"/>
    <cellStyle name="60% - Accent6 2" xfId="418" xr:uid="{4BBB35DA-3F1A-413A-953E-F33C622C8A72}"/>
    <cellStyle name="60% - Accent6 3" xfId="50774" xr:uid="{16C3697A-2B25-4ED5-9D37-7DAC6055C178}"/>
    <cellStyle name="Accent1" xfId="27" builtinId="29" customBuiltin="1"/>
    <cellStyle name="Accent1 2" xfId="419" xr:uid="{168A299A-F185-4BDA-8B9B-2D9F4F77B737}"/>
    <cellStyle name="Accent2" xfId="31" builtinId="33" customBuiltin="1"/>
    <cellStyle name="Accent2 2" xfId="420" xr:uid="{0F456A01-A2C6-4917-B6AB-E816756E50CE}"/>
    <cellStyle name="Accent3" xfId="35" builtinId="37" customBuiltin="1"/>
    <cellStyle name="Accent3 2" xfId="421" xr:uid="{B79E0A76-7579-4F3A-9776-7B57443CEF4A}"/>
    <cellStyle name="Accent4" xfId="39" builtinId="41" customBuiltin="1"/>
    <cellStyle name="Accent4 2" xfId="422" xr:uid="{FD84B5D5-9C2F-404B-90B4-659C39AAE713}"/>
    <cellStyle name="Accent5" xfId="43" builtinId="45" customBuiltin="1"/>
    <cellStyle name="Accent5 2" xfId="423" xr:uid="{A1394CF3-E07D-4FFC-B041-5E32DD88E0C4}"/>
    <cellStyle name="Accent6" xfId="47" builtinId="49" customBuiltin="1"/>
    <cellStyle name="Accent6 2" xfId="424" xr:uid="{C5CB9953-7E64-40D8-B945-8F17E94F7492}"/>
    <cellStyle name="AcNote" xfId="97" xr:uid="{7B8F312A-14F6-4010-8272-0CBCE6B7C4D8}"/>
    <cellStyle name="active" xfId="98" xr:uid="{0E6AA61A-B0A8-4F51-909B-FF1D700A650D}"/>
    <cellStyle name="amount" xfId="99" xr:uid="{4C97359D-42DE-4F01-88AB-ECCE5DC71641}"/>
    <cellStyle name="Bad" xfId="16" builtinId="27" customBuiltin="1"/>
    <cellStyle name="Bad 2" xfId="425" xr:uid="{1B393B64-036E-45A4-AB4F-115F1EC702BD}"/>
    <cellStyle name="Body text" xfId="100" xr:uid="{515E721B-9240-47C5-8BD0-778DC003B746}"/>
    <cellStyle name="bodyText" xfId="101" xr:uid="{B916CC76-BF69-44CF-9545-875FF92F77E2}"/>
    <cellStyle name="Calculation" xfId="20" builtinId="22" customBuiltin="1"/>
    <cellStyle name="Calculation 2" xfId="426" xr:uid="{4D20AF29-94E1-4045-A78C-C6C1653F93FB}"/>
    <cellStyle name="Check Cell" xfId="22" builtinId="23" customBuiltin="1"/>
    <cellStyle name="Check Cell 2" xfId="427" xr:uid="{1B057A1C-374E-4A3A-9754-BC6C9BE88FB7}"/>
    <cellStyle name="columnHeader" xfId="102" xr:uid="{C803C533-D47B-4734-831B-98D90E822593}"/>
    <cellStyle name="Comma" xfId="1" builtinId="3"/>
    <cellStyle name="Comma  - Style1" xfId="103" xr:uid="{632EADBC-00C0-46FF-ACAB-22514E0C4C55}"/>
    <cellStyle name="Comma  - Style2" xfId="104" xr:uid="{847350D0-6E03-4E2D-B148-7AD55A413215}"/>
    <cellStyle name="Comma  - Style3" xfId="105" xr:uid="{7FD19C83-6377-4B81-A13F-66C2ECE05D54}"/>
    <cellStyle name="Comma  - Style4" xfId="106" xr:uid="{8796244D-D0C3-4F60-9945-DC960A7F0C3B}"/>
    <cellStyle name="Comma  - Style5" xfId="107" xr:uid="{FB027ACB-9A08-4B0C-A7DF-16DF2411DF3F}"/>
    <cellStyle name="Comma  - Style6" xfId="108" xr:uid="{E4D5B8EE-BAC1-4DFA-B9FF-674B1A79A2A9}"/>
    <cellStyle name="Comma  - Style7" xfId="109" xr:uid="{8D3F6A21-FC3C-4524-AA93-A596B2165620}"/>
    <cellStyle name="Comma  - Style8" xfId="110" xr:uid="{0D39E5B7-B4D6-4D10-AFC5-E2B7D8F88BD0}"/>
    <cellStyle name="Comma [0] 2" xfId="111" xr:uid="{4BD1B82E-9CB9-4D9F-9AFC-7732A2D49849}"/>
    <cellStyle name="Comma 10" xfId="9" xr:uid="{5D1C3818-7617-4CA7-8057-DE25CCAEF291}"/>
    <cellStyle name="Comma 10 2" xfId="69" xr:uid="{E02744EF-4A7C-4D69-B5B4-EA27558731E9}"/>
    <cellStyle name="Comma 11" xfId="52219" xr:uid="{9CDE834F-49BE-496D-A4B1-732AD2FC794C}"/>
    <cellStyle name="Comma 12" xfId="52228" xr:uid="{FA3B4AD0-AE2F-45DA-A818-C0CE286569D0}"/>
    <cellStyle name="Comma 13" xfId="52233" xr:uid="{DA7123C0-C9D7-4BC3-B4C7-3429B35D6B3D}"/>
    <cellStyle name="Comma 16" xfId="51270" xr:uid="{F9DA1DE5-C0BF-4E70-B84A-08E6FC22FB27}"/>
    <cellStyle name="Comma 16 2" xfId="51742" xr:uid="{DC34C363-3C70-4071-A8A7-22A8704472FF}"/>
    <cellStyle name="Comma 16 3" xfId="52218" xr:uid="{193A63D6-7F57-4936-8A52-95E8F5E65B4A}"/>
    <cellStyle name="Comma 2" xfId="6" xr:uid="{02D5F204-8C81-4E29-8112-AA2C80788E31}"/>
    <cellStyle name="Comma 2 10" xfId="50725" xr:uid="{5A61E7BC-D22C-43FF-A014-F351AC7FB787}"/>
    <cellStyle name="Comma 2 10 2" xfId="51136" xr:uid="{CD564299-9497-4D10-9159-F47B042C3360}"/>
    <cellStyle name="Comma 2 10 2 2" xfId="51610" xr:uid="{8DC9BDD3-BC4B-47F8-9227-F75D05A897B6}"/>
    <cellStyle name="Comma 2 10 2 3" xfId="52088" xr:uid="{F7B5A902-730A-417F-B25C-64ACD9A5E947}"/>
    <cellStyle name="Comma 2 10 3" xfId="50872" xr:uid="{2575775F-0FB7-4127-9C97-DDB619460351}"/>
    <cellStyle name="Comma 2 10 4" xfId="51375" xr:uid="{CEB771D8-56C3-4D72-B84F-B844AE445CAD}"/>
    <cellStyle name="Comma 2 10 5" xfId="51889" xr:uid="{D2AD0F4C-893A-4A0C-B76F-DB7A1D840E73}"/>
    <cellStyle name="Comma 2 11" xfId="50766" xr:uid="{A2ED6182-80AB-453D-9C89-19763F192270}"/>
    <cellStyle name="Comma 2 11 2" xfId="51182" xr:uid="{54FD96CD-D75F-4C89-8600-3A409F3EBFE3}"/>
    <cellStyle name="Comma 2 11 2 2" xfId="51656" xr:uid="{A967DC3A-A83F-4217-9BC1-437118F3A7AC}"/>
    <cellStyle name="Comma 2 11 2 3" xfId="52133" xr:uid="{01D9A6D5-A505-4E87-9460-0213B1DB83F6}"/>
    <cellStyle name="Comma 2 11 3" xfId="50918" xr:uid="{9B9F4271-2B42-435B-B2F4-E9B12C6D17BB}"/>
    <cellStyle name="Comma 2 11 4" xfId="51421" xr:uid="{9ADA0CA8-F488-473B-91A6-B91380AD4E33}"/>
    <cellStyle name="Comma 2 11 5" xfId="51935" xr:uid="{993CA75B-010A-4826-A4CD-4914BE2036AC}"/>
    <cellStyle name="Comma 2 12" xfId="50964" xr:uid="{AE9F0F1C-25F9-4EE6-8B63-C4294D351C57}"/>
    <cellStyle name="Comma 2 12 2" xfId="51208" xr:uid="{FE960C86-BE36-4EC6-8F71-4481F481BB6C}"/>
    <cellStyle name="Comma 2 12 2 2" xfId="51681" xr:uid="{08BCEDD5-6970-4218-977A-AE473BB34842}"/>
    <cellStyle name="Comma 2 12 2 3" xfId="52157" xr:uid="{35A7ECBD-61BF-4B23-87D5-C61F10ACCA60}"/>
    <cellStyle name="Comma 2 12 3" xfId="51446" xr:uid="{CCF8BDA0-A15E-4514-88A9-8D684976C829}"/>
    <cellStyle name="Comma 2 12 4" xfId="51960" xr:uid="{AAE9E485-7C69-4521-8403-6B90EA088E3D}"/>
    <cellStyle name="Comma 2 13" xfId="51032" xr:uid="{B590E0EC-D833-48AB-A054-D871A8A41F87}"/>
    <cellStyle name="Comma 2 13 2" xfId="51506" xr:uid="{7A49D12D-17DE-4F77-9920-CB953DC8CABC}"/>
    <cellStyle name="Comma 2 13 3" xfId="51794" xr:uid="{344A3BCA-DF8B-4E3B-B789-0C96AB3255AA}"/>
    <cellStyle name="Comma 2 14" xfId="50776" xr:uid="{0A258984-2FC3-4D45-9C45-312F687A5F83}"/>
    <cellStyle name="Comma 2 15" xfId="51271" xr:uid="{AA862E89-2CAE-4109-861E-8C3A450B52BC}"/>
    <cellStyle name="Comma 2 16" xfId="51743" xr:uid="{D53E0CBE-6CA9-4771-AB5B-638856183ACB}"/>
    <cellStyle name="Comma 2 2" xfId="7" xr:uid="{868C161C-C009-4207-89BF-FD4BF76F9103}"/>
    <cellStyle name="Comma 2 2 10" xfId="50778" xr:uid="{4990EBF7-B269-4798-9A5F-159516E57A87}"/>
    <cellStyle name="Comma 2 2 11" xfId="51273" xr:uid="{52A4EAC7-CFCB-43C3-978D-5333F27458D6}"/>
    <cellStyle name="Comma 2 2 12" xfId="51744" xr:uid="{7448A017-DA2E-4D02-8AFF-DFA8B4F23363}"/>
    <cellStyle name="Comma 2 2 13" xfId="92" xr:uid="{0CC105D5-1B80-4D79-B7F9-42C2CDFE95C8}"/>
    <cellStyle name="Comma 2 2 2" xfId="80" xr:uid="{14418FA6-576B-45E4-9BF8-56534772F9B2}"/>
    <cellStyle name="Comma 2 2 2 2" xfId="81" xr:uid="{E1B1D88C-DB5E-493C-A84E-2DA607A6E319}"/>
    <cellStyle name="Comma 2 2 2 2 2" xfId="50649" xr:uid="{4D7D811C-6216-43F8-810B-438CF622B60D}"/>
    <cellStyle name="Comma 2 2 2 2 2 2" xfId="51054" xr:uid="{47F1A01A-50E7-4B49-AFDE-51FC6C95F1E5}"/>
    <cellStyle name="Comma 2 2 2 2 2 3" xfId="51528" xr:uid="{056894CF-3651-435E-AA74-EE1E825F3DE3}"/>
    <cellStyle name="Comma 2 2 2 2 2 4" xfId="51816" xr:uid="{A586BF14-0E75-4E98-BE25-4F8705FBE798}"/>
    <cellStyle name="Comma 2 2 2 2 3" xfId="50683" xr:uid="{2197F734-9155-4E48-8558-91E8B1A3DEDB}"/>
    <cellStyle name="Comma 2 2 2 2 4" xfId="50728" xr:uid="{2BDC6301-AF35-42E0-A942-4A18C515CCC6}"/>
    <cellStyle name="Comma 2 2 2 2 5" xfId="50798" xr:uid="{455C10B4-EA30-4F1E-A2D2-2012D1A1739F}"/>
    <cellStyle name="Comma 2 2 2 2 6" xfId="51293" xr:uid="{F2CA3C68-E6EC-45C4-9D64-33D0351CE740}"/>
    <cellStyle name="Comma 2 2 2 2 7" xfId="51746" xr:uid="{2EE421E0-C17D-45AD-8E17-C753908F18BB}"/>
    <cellStyle name="Comma 2 2 2 3" xfId="50648" xr:uid="{3D540B71-106B-4026-8BF5-935DB1B33338}"/>
    <cellStyle name="Comma 2 2 2 3 2" xfId="51190" xr:uid="{F7C7C739-2939-4E85-B14D-49AB0D115BE5}"/>
    <cellStyle name="Comma 2 2 2 3 2 2" xfId="51664" xr:uid="{49080B10-E83E-47FF-90BE-773398CAC101}"/>
    <cellStyle name="Comma 2 2 2 3 2 3" xfId="52140" xr:uid="{37F38E46-127D-4807-B3F4-B7DD92C99B32}"/>
    <cellStyle name="Comma 2 2 2 3 3" xfId="50927" xr:uid="{F0019493-AD36-408D-B5F3-658A613BAE23}"/>
    <cellStyle name="Comma 2 2 2 3 4" xfId="51429" xr:uid="{4F6AF223-8813-4107-A1AA-EC807D6746C9}"/>
    <cellStyle name="Comma 2 2 2 3 5" xfId="51943" xr:uid="{6FCD1569-EAFA-4529-8BDC-ED5DB3292030}"/>
    <cellStyle name="Comma 2 2 2 4" xfId="50682" xr:uid="{6AEB9CE2-4DAB-4D5F-AE94-3E693B731277}"/>
    <cellStyle name="Comma 2 2 2 4 2" xfId="51012" xr:uid="{3F5F0E6C-233B-45CC-A95E-4AE8C3E2BBE5}"/>
    <cellStyle name="Comma 2 2 2 5" xfId="50727" xr:uid="{63CF4ACD-7BD2-4078-A674-00C59B555BAE}"/>
    <cellStyle name="Comma 2 2 2 5 2" xfId="51040" xr:uid="{8651C4C5-714B-4F96-89F0-3BD8A9DB19B8}"/>
    <cellStyle name="Comma 2 2 2 5 3" xfId="51514" xr:uid="{FF2A831E-FA25-4A08-BFEC-AFBC75D0339D}"/>
    <cellStyle name="Comma 2 2 2 5 4" xfId="51802" xr:uid="{F34ADE85-D49C-4F07-9149-88939E6F39E1}"/>
    <cellStyle name="Comma 2 2 2 6" xfId="50784" xr:uid="{ADC9B723-DF17-4256-94B4-9F4B523BB524}"/>
    <cellStyle name="Comma 2 2 2 7" xfId="51279" xr:uid="{CC5CF2E2-DC30-4815-865F-E0566817ABD4}"/>
    <cellStyle name="Comma 2 2 2 8" xfId="51745" xr:uid="{F6E8E73C-5D67-4EB1-85E8-1653C9A27301}"/>
    <cellStyle name="Comma 2 2 3" xfId="286" xr:uid="{50F01F53-C1F1-4389-8C5A-93954F48CCAE}"/>
    <cellStyle name="Comma 2 2 3 2" xfId="1190" xr:uid="{E1242C4C-3901-4596-B9E2-8F801C55B705}"/>
    <cellStyle name="Comma 2 2 3 2 2" xfId="51048" xr:uid="{4C54736F-3BFD-401C-976C-431BDFDB83EB}"/>
    <cellStyle name="Comma 2 2 3 2 3" xfId="51522" xr:uid="{772C91D6-980B-4787-990C-39E547E93B6C}"/>
    <cellStyle name="Comma 2 2 3 2 4" xfId="51810" xr:uid="{672E06B4-5486-4D6F-BDF0-9E1349318AA2}"/>
    <cellStyle name="Comma 2 2 3 3" xfId="2175" xr:uid="{43B006E4-5A2D-4AC6-8AD1-3F0262F945F4}"/>
    <cellStyle name="Comma 2 2 3 4" xfId="50650" xr:uid="{34D48719-A79D-4CDF-803A-5EC48759D269}"/>
    <cellStyle name="Comma 2 2 3 5" xfId="50684" xr:uid="{799001EE-20F3-4D2D-A186-E5CFED50612C}"/>
    <cellStyle name="Comma 2 2 3 6" xfId="50729" xr:uid="{FD731F6C-C2A3-42B9-B008-0937F3E40855}"/>
    <cellStyle name="Comma 2 2 3 7" xfId="50792" xr:uid="{1B7938A3-ED90-4E0C-BFAD-7795899E315A}"/>
    <cellStyle name="Comma 2 2 3 8" xfId="51287" xr:uid="{E7C11999-7D39-4BC9-91D8-774D1D75BE78}"/>
    <cellStyle name="Comma 2 2 3 9" xfId="51747" xr:uid="{CAC464D2-C0E4-479B-94FE-9B8812FF1C19}"/>
    <cellStyle name="Comma 2 2 4" xfId="50647" xr:uid="{B1A038F6-1484-4D8D-999D-7445D8F7CEFF}"/>
    <cellStyle name="Comma 2 2 4 2" xfId="50685" xr:uid="{02C04590-47B4-4501-BFF7-FDD8D58DB68F}"/>
    <cellStyle name="Comma 2 2 4 2 2" xfId="51060" xr:uid="{A122988B-0B51-4F2D-B6AA-011C1598D979}"/>
    <cellStyle name="Comma 2 2 4 2 3" xfId="51534" xr:uid="{06C03565-C770-4024-8E6E-5AA38136F466}"/>
    <cellStyle name="Comma 2 2 4 2 4" xfId="51822" xr:uid="{B9F8C555-BF92-4DF5-ABFB-2D00CF6DE2DD}"/>
    <cellStyle name="Comma 2 2 4 3" xfId="50730" xr:uid="{9198E9BE-85AD-420F-B0D4-F5E61B581793}"/>
    <cellStyle name="Comma 2 2 4 4" xfId="50804" xr:uid="{62B4DF8D-08F2-45C2-945C-94F05E3122F4}"/>
    <cellStyle name="Comma 2 2 4 5" xfId="51299" xr:uid="{0CF04143-1EB7-4304-910F-68883AA2496F}"/>
    <cellStyle name="Comma 2 2 4 6" xfId="51748" xr:uid="{302C7E78-3DAB-4DA6-9388-FA74191D1507}"/>
    <cellStyle name="Comma 2 2 5" xfId="50686" xr:uid="{E3E1E9AD-89D6-4CED-A578-FD9F800C9980}"/>
    <cellStyle name="Comma 2 2 5 2" xfId="50731" xr:uid="{39E24569-6EED-49E5-8FEA-95A10F1BB273}"/>
    <cellStyle name="Comma 2 2 5 2 2" xfId="51081" xr:uid="{35FEAE6B-45B4-4890-ADA3-C3BFD7CEA1BF}"/>
    <cellStyle name="Comma 2 2 5 2 3" xfId="51555" xr:uid="{0623646B-4CF7-4A0F-910D-BF6810BF0CD5}"/>
    <cellStyle name="Comma 2 2 5 2 4" xfId="51831" xr:uid="{93953DFA-B089-4DF1-A053-4204D11C1BF8}"/>
    <cellStyle name="Comma 2 2 5 3" xfId="50814" xr:uid="{7496E51A-B7B8-4AAB-9D2A-ACCD9AF79E68}"/>
    <cellStyle name="Comma 2 2 5 4" xfId="51320" xr:uid="{6533BDAE-8EBA-4806-ADA1-3923145CE756}"/>
    <cellStyle name="Comma 2 2 5 5" xfId="51749" xr:uid="{20C61A7A-5BA0-4CE4-8EAC-9A1D302C313F}"/>
    <cellStyle name="Comma 2 2 6" xfId="50681" xr:uid="{4E5981FF-71F1-401E-9EC3-8817922C0456}"/>
    <cellStyle name="Comma 2 2 6 2" xfId="51137" xr:uid="{D2A4CD4E-D1C9-4CB9-91BE-7A49A45A6BAA}"/>
    <cellStyle name="Comma 2 2 6 2 2" xfId="51611" xr:uid="{76F48DFD-27A6-4484-8A38-EC403A158DB4}"/>
    <cellStyle name="Comma 2 2 6 2 3" xfId="52089" xr:uid="{86F4BCDB-5780-45B3-8BAC-484D9D5A5F44}"/>
    <cellStyle name="Comma 2 2 6 3" xfId="50873" xr:uid="{7268D259-E7D7-41F0-8A1E-D6B728F8828B}"/>
    <cellStyle name="Comma 2 2 6 4" xfId="51376" xr:uid="{93B6F0F3-E78B-413A-B231-E0390464CA5E}"/>
    <cellStyle name="Comma 2 2 6 5" xfId="51890" xr:uid="{C411A759-2671-4177-BB5F-EB4FADB6427D}"/>
    <cellStyle name="Comma 2 2 7" xfId="50726" xr:uid="{C4615CC6-9CD6-4156-BB20-CDF46E49869C}"/>
    <cellStyle name="Comma 2 2 7 2" xfId="51186" xr:uid="{96809862-1CB9-466A-8922-5BCF7A42A7D2}"/>
    <cellStyle name="Comma 2 2 7 2 2" xfId="51660" xr:uid="{581E48A9-85CD-4527-941D-2DC3A40F901D}"/>
    <cellStyle name="Comma 2 2 7 2 3" xfId="52136" xr:uid="{0D6EDE85-A35A-4108-9CB2-16E1B1A92B50}"/>
    <cellStyle name="Comma 2 2 7 3" xfId="50922" xr:uid="{75B65C93-BBD4-44DA-A8BD-ACEA79DFAB84}"/>
    <cellStyle name="Comma 2 2 7 4" xfId="51425" xr:uid="{D9B9E828-C846-496D-AE9C-A5DD875372D8}"/>
    <cellStyle name="Comma 2 2 7 5" xfId="51939" xr:uid="{D5E7F371-9522-46DC-9A67-BFAC09D1E12A}"/>
    <cellStyle name="Comma 2 2 8" xfId="50965" xr:uid="{4D85C614-5D95-41CA-A72D-F7753593914B}"/>
    <cellStyle name="Comma 2 2 8 2" xfId="51209" xr:uid="{EA7F9250-E5C6-483B-80A1-9EEE53F83E7F}"/>
    <cellStyle name="Comma 2 2 8 2 2" xfId="51682" xr:uid="{09A5CBE7-3D67-42ED-85D5-E9FD803402E6}"/>
    <cellStyle name="Comma 2 2 8 2 3" xfId="52158" xr:uid="{1C6B8E55-E826-459C-ADB4-99151C37B5E2}"/>
    <cellStyle name="Comma 2 2 8 3" xfId="51447" xr:uid="{45EBD988-D26B-4567-B29F-482D8FCB77EA}"/>
    <cellStyle name="Comma 2 2 8 4" xfId="51961" xr:uid="{F9EEE31C-F5F1-423A-80E6-09DF97F7768C}"/>
    <cellStyle name="Comma 2 2 9" xfId="51034" xr:uid="{22198F56-053A-4899-AE89-96F071BCE2D1}"/>
    <cellStyle name="Comma 2 2 9 2" xfId="51508" xr:uid="{30CB05E7-102E-468B-8045-DA0766FF8025}"/>
    <cellStyle name="Comma 2 2 9 3" xfId="51796" xr:uid="{B83DA89F-0674-4331-BF75-0FE68A4CB840}"/>
    <cellStyle name="Comma 2 3" xfId="112" xr:uid="{265ED81B-7F65-4000-9F23-09FDB2C6F738}"/>
    <cellStyle name="Comma 2 3 10" xfId="51750" xr:uid="{0CBDEC63-7C22-49BC-9FCB-BC60AC82760A}"/>
    <cellStyle name="Comma 2 3 2" xfId="2284" xr:uid="{CC23136B-AD3D-4085-9E11-1DC69E1211C3}"/>
    <cellStyle name="Comma 2 3 2 2" xfId="50652" xr:uid="{26E3306A-2B3C-4AAB-8BC6-7D4DE829124A}"/>
    <cellStyle name="Comma 2 3 2 2 2" xfId="50689" xr:uid="{00990BDC-9DF2-4499-9E4B-3B26606F25A1}"/>
    <cellStyle name="Comma 2 3 2 2 2 2" xfId="51056" xr:uid="{4FDF66D3-8D88-4F7E-9437-63EE387EDB56}"/>
    <cellStyle name="Comma 2 3 2 2 2 3" xfId="51530" xr:uid="{23E24142-4357-43FC-9E10-DD481B67D696}"/>
    <cellStyle name="Comma 2 3 2 2 2 4" xfId="51818" xr:uid="{60A21645-B59A-4036-9F71-38082043ED05}"/>
    <cellStyle name="Comma 2 3 2 2 3" xfId="50734" xr:uid="{58A1BEEA-3878-44BA-9A8C-704657C68124}"/>
    <cellStyle name="Comma 2 3 2 2 4" xfId="50800" xr:uid="{C3376BDF-C7A9-415C-82E7-5152C9BD0B17}"/>
    <cellStyle name="Comma 2 3 2 2 5" xfId="51295" xr:uid="{09ADFCC8-62D4-47DB-8066-56321C23129B}"/>
    <cellStyle name="Comma 2 3 2 2 6" xfId="51752" xr:uid="{B3E0CE71-FE57-41F5-83CD-40472B8DF24E}"/>
    <cellStyle name="Comma 2 3 2 3" xfId="50688" xr:uid="{29B30DDA-0784-4681-89BA-1F6BD8DC3866}"/>
    <cellStyle name="Comma 2 3 2 3 2" xfId="51042" xr:uid="{4D8AB3AC-ED84-4DA3-AFC2-DEA5F0EB58C5}"/>
    <cellStyle name="Comma 2 3 2 3 3" xfId="51516" xr:uid="{6A137EE1-791C-4D7E-8D7B-FEC4ECDBFF54}"/>
    <cellStyle name="Comma 2 3 2 3 4" xfId="51804" xr:uid="{DC95D118-B111-4749-B9FB-223165D42554}"/>
    <cellStyle name="Comma 2 3 2 4" xfId="50733" xr:uid="{A5FEF966-AAB2-4C57-8C50-8472405DDC06}"/>
    <cellStyle name="Comma 2 3 2 5" xfId="50786" xr:uid="{C3833B0B-839F-4C7C-85BC-707C6F37160F}"/>
    <cellStyle name="Comma 2 3 2 6" xfId="51281" xr:uid="{7D2F1815-A051-48B0-9912-A862A105B03A}"/>
    <cellStyle name="Comma 2 3 2 7" xfId="51751" xr:uid="{E8B0FA2A-080A-41E3-9961-053848DBB26C}"/>
    <cellStyle name="Comma 2 3 3" xfId="50651" xr:uid="{0FA87BFD-1E0D-44A3-A53B-9C522A7248F2}"/>
    <cellStyle name="Comma 2 3 3 2" xfId="50690" xr:uid="{BC908714-310A-43AF-808E-1D2F71D66C8E}"/>
    <cellStyle name="Comma 2 3 3 2 2" xfId="51050" xr:uid="{29BD6BD5-1CA9-4D71-9358-3A37D5B1B1B4}"/>
    <cellStyle name="Comma 2 3 3 2 3" xfId="51524" xr:uid="{0EFD7943-1AEA-4892-9478-9DDAB0D94460}"/>
    <cellStyle name="Comma 2 3 3 2 4" xfId="51812" xr:uid="{5BB84A22-CAA9-45AF-8E12-8B744B0612DB}"/>
    <cellStyle name="Comma 2 3 3 3" xfId="50735" xr:uid="{0FDE367B-B3FC-4944-B38D-F4CCFB7DECD0}"/>
    <cellStyle name="Comma 2 3 3 4" xfId="50794" xr:uid="{3A4B42D4-1E4A-4A10-8EC3-3A8F15ECA764}"/>
    <cellStyle name="Comma 2 3 3 5" xfId="51289" xr:uid="{B6C02D1C-76EC-48C0-A09D-A9A230E8BB6E}"/>
    <cellStyle name="Comma 2 3 3 6" xfId="51753" xr:uid="{7DE64B3F-6B6D-4B03-AAA3-D5BDC26DF2BE}"/>
    <cellStyle name="Comma 2 3 4" xfId="50691" xr:uid="{39F5D4BE-13F0-41E4-80B3-95C8EDD333C7}"/>
    <cellStyle name="Comma 2 3 4 2" xfId="50736" xr:uid="{AA86B3F5-7801-4012-A802-3D7B163DCAC7}"/>
    <cellStyle name="Comma 2 3 4 2 2" xfId="51062" xr:uid="{5301A140-01ED-477D-AD6F-FC0B1E0809E9}"/>
    <cellStyle name="Comma 2 3 4 2 3" xfId="51536" xr:uid="{5F844ECD-47ED-4B85-998B-76CD94A97A1D}"/>
    <cellStyle name="Comma 2 3 4 2 4" xfId="51824" xr:uid="{991B220E-86D5-47BC-A8D6-EB4032879B72}"/>
    <cellStyle name="Comma 2 3 4 3" xfId="50806" xr:uid="{515BA399-02D3-43B4-8540-22B5521787F9}"/>
    <cellStyle name="Comma 2 3 4 4" xfId="51301" xr:uid="{3DE7D8C7-FF85-40CF-9AEA-1A99DDDF7F12}"/>
    <cellStyle name="Comma 2 3 4 5" xfId="51754" xr:uid="{32083DFE-EFA9-45BA-A010-0784C9284919}"/>
    <cellStyle name="Comma 2 3 5" xfId="50687" xr:uid="{CAB66902-AF79-4CB2-B439-BD50442E882C}"/>
    <cellStyle name="Comma 2 3 5 2" xfId="51189" xr:uid="{B6BDBD14-3C75-4B37-95DE-4C08577EB7D7}"/>
    <cellStyle name="Comma 2 3 5 2 2" xfId="51663" xr:uid="{81A7BC7D-F3F5-4277-98E4-BB331AFA7672}"/>
    <cellStyle name="Comma 2 3 5 2 3" xfId="52139" xr:uid="{32243AC5-1F3E-4318-8864-435A0C443712}"/>
    <cellStyle name="Comma 2 3 5 3" xfId="50926" xr:uid="{D451E172-3CE2-434B-8D5E-3B50BF481DC3}"/>
    <cellStyle name="Comma 2 3 5 4" xfId="51428" xr:uid="{31D2993F-01E5-48B0-BCFD-D6666FA2E1E5}"/>
    <cellStyle name="Comma 2 3 5 5" xfId="51942" xr:uid="{A8D95971-6AFC-4A18-B017-D493D088392F}"/>
    <cellStyle name="Comma 2 3 6" xfId="50732" xr:uid="{ADB48513-0885-42A3-992A-0E0F7C25BA11}"/>
    <cellStyle name="Comma 2 3 6 2" xfId="51015" xr:uid="{81A226A1-DB47-493E-809F-F09F9E9F5AA5}"/>
    <cellStyle name="Comma 2 3 7" xfId="51036" xr:uid="{9D4830AB-8C9D-4C6B-A072-CA2176C88200}"/>
    <cellStyle name="Comma 2 3 7 2" xfId="51510" xr:uid="{9EC61EF7-7A87-4664-9344-C3739F3AEB05}"/>
    <cellStyle name="Comma 2 3 7 3" xfId="51798" xr:uid="{389D2D81-4B52-4900-ADFE-48F0149C771C}"/>
    <cellStyle name="Comma 2 3 8" xfId="50780" xr:uid="{7A93855F-D41B-4ECE-A82B-9908EEC73CF0}"/>
    <cellStyle name="Comma 2 3 9" xfId="51275" xr:uid="{B7F76DF6-B1E4-40A6-80F8-3AC66330EC26}"/>
    <cellStyle name="Comma 2 4" xfId="91" xr:uid="{3FCEC0D5-F058-4B1E-8307-54C40DE1F7D8}"/>
    <cellStyle name="Comma 2 4 2" xfId="50693" xr:uid="{3769537B-071E-4C49-A356-A8B0B0559776}"/>
    <cellStyle name="Comma 2 4 2 2" xfId="50738" xr:uid="{1EE0C7DC-E222-44AA-A8F7-C7F216082F80}"/>
    <cellStyle name="Comma 2 4 2 2 2" xfId="51052" xr:uid="{2B9C6A2D-63A7-4CAA-B576-D30FAFFD53A5}"/>
    <cellStyle name="Comma 2 4 2 2 3" xfId="51526" xr:uid="{42939902-7A45-4885-ACD4-23BD8EE83BE8}"/>
    <cellStyle name="Comma 2 4 2 2 4" xfId="51814" xr:uid="{062A32BD-F954-45A2-9987-8D51CAE43E31}"/>
    <cellStyle name="Comma 2 4 2 3" xfId="50796" xr:uid="{7CFCB28C-11D4-4D1B-999B-21A51CE0789D}"/>
    <cellStyle name="Comma 2 4 2 4" xfId="51291" xr:uid="{90A0A983-FA93-42D8-BC0D-438489788492}"/>
    <cellStyle name="Comma 2 4 2 5" xfId="51756" xr:uid="{C768DB3D-C703-42AF-B22C-2CD85FE7E819}"/>
    <cellStyle name="Comma 2 4 3" xfId="50692" xr:uid="{E57C84E0-DEF1-4975-8FF0-30649580BC93}"/>
    <cellStyle name="Comma 2 4 3 2" xfId="51009" xr:uid="{EA186520-3A5B-41F1-A509-AB1C8D06E9B9}"/>
    <cellStyle name="Comma 2 4 4" xfId="50737" xr:uid="{7F57F9F8-0D85-493E-8797-FE2D794D4811}"/>
    <cellStyle name="Comma 2 4 4 2" xfId="51038" xr:uid="{EF9865F1-9E0E-4C84-A66F-A5F04550F229}"/>
    <cellStyle name="Comma 2 4 4 3" xfId="51512" xr:uid="{FCC4B512-6FB0-4815-ADF2-525027F0C087}"/>
    <cellStyle name="Comma 2 4 4 4" xfId="51800" xr:uid="{8B0EE9C9-C161-4CB8-96CB-6C8FE6DFD342}"/>
    <cellStyle name="Comma 2 4 5" xfId="50782" xr:uid="{E0F0DA38-3BD2-46C6-BFD3-26A7B815DA1D}"/>
    <cellStyle name="Comma 2 4 6" xfId="51277" xr:uid="{DE2759EA-DF3D-442C-9821-DBA7EC1862D7}"/>
    <cellStyle name="Comma 2 4 7" xfId="51755" xr:uid="{F0362FDF-7F83-4244-8E45-9F2F7D6FF1A3}"/>
    <cellStyle name="Comma 2 4 8" xfId="50653" xr:uid="{18B2C51C-DE52-4DD7-9933-9C40C5370288}"/>
    <cellStyle name="Comma 2 5" xfId="50646" xr:uid="{DF3588DC-B484-45E2-9830-91D97DF10983}"/>
    <cellStyle name="Comma 2 5 2" xfId="50694" xr:uid="{244FE277-78A4-45CF-87E4-F83858C461FE}"/>
    <cellStyle name="Comma 2 6" xfId="50695" xr:uid="{D57F8FA3-7445-44B1-890D-069412136F50}"/>
    <cellStyle name="Comma 2 6 2" xfId="50739" xr:uid="{8E76D2D3-8F21-4569-ABA3-EB0EED8E64D0}"/>
    <cellStyle name="Comma 2 6 2 2" xfId="51046" xr:uid="{9052EC74-16C8-4E4C-8076-F8B02DCBD9DE}"/>
    <cellStyle name="Comma 2 6 2 3" xfId="51520" xr:uid="{5F413595-7D0E-4DE9-ACCB-2304930F1D67}"/>
    <cellStyle name="Comma 2 6 2 4" xfId="51808" xr:uid="{CD651D43-38EE-45EB-97E0-EF6E942014A5}"/>
    <cellStyle name="Comma 2 6 3" xfId="50790" xr:uid="{6687E4E8-6FB5-4B12-8B69-6B6B29FBC9E9}"/>
    <cellStyle name="Comma 2 6 4" xfId="51285" xr:uid="{97A8B14A-E06A-41C2-A7CC-B70D84EC205C}"/>
    <cellStyle name="Comma 2 6 5" xfId="51757" xr:uid="{0EE90F3E-9902-4E20-8AC9-0413833072F3}"/>
    <cellStyle name="Comma 2 7" xfId="50696" xr:uid="{4C949CC3-5445-4B20-A8C3-E647AF31549D}"/>
    <cellStyle name="Comma 2 7 2" xfId="50740" xr:uid="{CB4A5A99-AF2A-4102-97CA-E33A99117DE3}"/>
    <cellStyle name="Comma 2 7 2 2" xfId="51058" xr:uid="{48D11DE2-75CA-4EF5-8469-F2BB8059A2AD}"/>
    <cellStyle name="Comma 2 7 2 3" xfId="51532" xr:uid="{C6CCFC0E-876C-4051-B385-44DD0149EB7F}"/>
    <cellStyle name="Comma 2 7 2 4" xfId="51820" xr:uid="{9D3E2E5F-F3DC-43C7-B5F0-8D961AE906A1}"/>
    <cellStyle name="Comma 2 7 3" xfId="50802" xr:uid="{22AAF603-C895-4A49-B6CF-4F5D187D353E}"/>
    <cellStyle name="Comma 2 7 4" xfId="51297" xr:uid="{AB6756C0-023B-4489-867A-8D330C6866D6}"/>
    <cellStyle name="Comma 2 7 5" xfId="51758" xr:uid="{C45EF27C-98BF-4070-8781-7A5437FD5979}"/>
    <cellStyle name="Comma 2 8" xfId="50697" xr:uid="{01E38267-080B-42FE-B97A-B9FC19B7EA1E}"/>
    <cellStyle name="Comma 2 8 2" xfId="50741" xr:uid="{2AE026E1-C05A-4490-8B9E-0E6162D70041}"/>
    <cellStyle name="Comma 2 8 2 2" xfId="51066" xr:uid="{EE9D6A25-719D-4882-A72A-82D2C1ABBA69}"/>
    <cellStyle name="Comma 2 8 2 3" xfId="51540" xr:uid="{BD07750A-5DBA-4492-A681-33C49EBC022D}"/>
    <cellStyle name="Comma 2 8 2 4" xfId="51828" xr:uid="{867152CD-7859-416D-A8BB-9E2BB6B89286}"/>
    <cellStyle name="Comma 2 8 3" xfId="50810" xr:uid="{3BF3CCC7-EA2D-4B8D-AC07-0725F9106E16}"/>
    <cellStyle name="Comma 2 8 4" xfId="51305" xr:uid="{5C403279-DD11-450C-8290-91F1AC783980}"/>
    <cellStyle name="Comma 2 8 5" xfId="51759" xr:uid="{16594149-8610-4E5B-AE14-575520FD5293}"/>
    <cellStyle name="Comma 2 9" xfId="50680" xr:uid="{F8CF011F-B74B-47FC-BF10-D7791A96F52D}"/>
    <cellStyle name="Comma 2 9 2" xfId="51080" xr:uid="{25D01F5E-5BEA-4100-9EF1-BAE574E20890}"/>
    <cellStyle name="Comma 2 9 2 2" xfId="51554" xr:uid="{E77F0A47-7A30-45FC-BE69-30C54DB1BDB9}"/>
    <cellStyle name="Comma 2 9 2 3" xfId="52033" xr:uid="{42FCFD48-2E84-4900-B277-ADCB89582A20}"/>
    <cellStyle name="Comma 2 9 3" xfId="50813" xr:uid="{1E78985A-42CC-4766-9CA1-8646644BD130}"/>
    <cellStyle name="Comma 2 9 4" xfId="51319" xr:uid="{22AA1F1A-6A23-4C93-B7DA-56D8D15B0D4E}"/>
    <cellStyle name="Comma 2 9 5" xfId="51830" xr:uid="{F0528CA8-BB05-4866-8185-86093CDB167A}"/>
    <cellStyle name="Comma 3" xfId="51" xr:uid="{C63950AA-5993-4A33-9C6F-EA8162B8CAD6}"/>
    <cellStyle name="Comma 3 2" xfId="61" xr:uid="{604FED49-EC3A-4529-95B9-16D7E0BC09C6}"/>
    <cellStyle name="Comma 3 2 2" xfId="237" xr:uid="{478C98A9-78B8-46BF-9756-15B07C7B107E}"/>
    <cellStyle name="Comma 3 2 3" xfId="229" xr:uid="{B7F509F9-8DE9-4CB1-9CC5-3888FB4F332F}"/>
    <cellStyle name="Comma 3 2 4" xfId="78" xr:uid="{B59B74CB-CD1C-45B2-B5C8-1E84323EF208}"/>
    <cellStyle name="Comma 3 3" xfId="83" xr:uid="{CB1F0ED2-5FE1-4E7C-B8EC-22B57E706DE1}"/>
    <cellStyle name="Comma 3 3 10" xfId="7197" xr:uid="{3B0AC32F-56CC-4E6B-9442-82E3C02107A8}"/>
    <cellStyle name="Comma 3 3 10 2" xfId="15577" xr:uid="{BF435F22-72F4-4938-BFEE-017450E53A4D}"/>
    <cellStyle name="Comma 3 3 10 2 2" xfId="32337" xr:uid="{E2DBC6D3-1857-47DD-8268-57300951E86E}"/>
    <cellStyle name="Comma 3 3 10 2 3" xfId="49096" xr:uid="{A6BD62A3-A399-415F-8746-5B2279508DBA}"/>
    <cellStyle name="Comma 3 3 10 3" xfId="23957" xr:uid="{684AAB46-4A58-4AD7-8135-4E94D26E9283}"/>
    <cellStyle name="Comma 3 3 10 4" xfId="40716" xr:uid="{44A7BB0F-25AA-4CA0-B637-4D1E634AE99E}"/>
    <cellStyle name="Comma 3 3 11" xfId="7603" xr:uid="{A900BD7B-5BBE-4965-9111-60CB62243764}"/>
    <cellStyle name="Comma 3 3 11 2" xfId="15983" xr:uid="{09DAA1F8-903E-468F-BA3F-EECA8F3CB5D0}"/>
    <cellStyle name="Comma 3 3 11 2 2" xfId="32743" xr:uid="{2795A975-C10D-4004-94D2-10399207A321}"/>
    <cellStyle name="Comma 3 3 11 2 3" xfId="49502" xr:uid="{44D98371-CCCE-4461-843D-F15089450F1B}"/>
    <cellStyle name="Comma 3 3 11 3" xfId="24363" xr:uid="{1146E080-DCD3-485B-A0CB-0202CDC21822}"/>
    <cellStyle name="Comma 3 3 11 4" xfId="41122" xr:uid="{9A8E90CE-CF20-455B-9B18-830C262859BE}"/>
    <cellStyle name="Comma 3 3 12" xfId="8009" xr:uid="{6BEE9FAB-EB09-4E99-A0A9-386710665CC1}"/>
    <cellStyle name="Comma 3 3 12 2" xfId="16389" xr:uid="{0EB9F017-8A0A-4BBE-A74F-432A880ABD1C}"/>
    <cellStyle name="Comma 3 3 12 2 2" xfId="33149" xr:uid="{0CECE287-02D8-49F3-AC02-1A6587DECAB1}"/>
    <cellStyle name="Comma 3 3 12 2 3" xfId="49908" xr:uid="{27601730-7747-4221-BCD0-87732BFFD630}"/>
    <cellStyle name="Comma 3 3 12 3" xfId="24769" xr:uid="{3748560F-96E7-452F-9025-C116A8EF9A3D}"/>
    <cellStyle name="Comma 3 3 12 4" xfId="41528" xr:uid="{91BE93E2-1B3F-4531-BDCE-C458417F6467}"/>
    <cellStyle name="Comma 3 3 13" xfId="8415" xr:uid="{FE357E1A-D733-4041-A40A-226C3D60594F}"/>
    <cellStyle name="Comma 3 3 13 2" xfId="16795" xr:uid="{B72BB895-7BE7-4BBE-AFFC-E45FB6E3BDCA}"/>
    <cellStyle name="Comma 3 3 13 2 2" xfId="33555" xr:uid="{5328D91F-E22B-4F07-BB8B-6839EB2066FD}"/>
    <cellStyle name="Comma 3 3 13 2 3" xfId="50314" xr:uid="{2989473C-C9CC-4F98-B561-B83FFFFBDB7F}"/>
    <cellStyle name="Comma 3 3 13 3" xfId="25175" xr:uid="{A4C462E2-2F40-4E73-8353-EB3DF2D05388}"/>
    <cellStyle name="Comma 3 3 13 4" xfId="41934" xr:uid="{713D0FEC-AA82-4DEF-B0FE-BA593A8FA7AB}"/>
    <cellStyle name="Comma 3 3 14" xfId="2285" xr:uid="{A9DA6477-6901-4AF5-81CD-AB5D367C9ECB}"/>
    <cellStyle name="Comma 3 3 14 2" xfId="10668" xr:uid="{A3F15833-1D58-4263-B639-9B49827CAF81}"/>
    <cellStyle name="Comma 3 3 14 2 2" xfId="27428" xr:uid="{E6C19E05-78E0-45C3-A66C-0090A8F6051F}"/>
    <cellStyle name="Comma 3 3 14 2 3" xfId="44187" xr:uid="{3221F4A7-C28B-4056-9CE2-9D43AAE648FD}"/>
    <cellStyle name="Comma 3 3 14 3" xfId="19048" xr:uid="{4C70C63E-AFCA-47BA-9E80-59ACA3A167DC}"/>
    <cellStyle name="Comma 3 3 14 4" xfId="35807" xr:uid="{1C8373DB-95B7-4A79-8461-6C6D50903084}"/>
    <cellStyle name="Comma 3 3 15" xfId="8865" xr:uid="{CDDB3CE7-DFA7-47B9-8F6A-FCB33D966609}"/>
    <cellStyle name="Comma 3 3 15 2" xfId="25625" xr:uid="{720C66CA-65E4-447D-BA0A-F22C32C79E74}"/>
    <cellStyle name="Comma 3 3 15 3" xfId="42384" xr:uid="{DCBB860F-2D57-462A-8E52-9DE75A473D34}"/>
    <cellStyle name="Comma 3 3 16" xfId="17245" xr:uid="{4F80D7C3-1282-410A-8F2E-300171EEFFE4}"/>
    <cellStyle name="Comma 3 3 17" xfId="34004" xr:uid="{6D651093-EF65-4BDD-8359-ED45AB72D236}"/>
    <cellStyle name="Comma 3 3 18" xfId="51044" xr:uid="{38FFDE4B-E66D-497F-B5E8-6F13E68C92F2}"/>
    <cellStyle name="Comma 3 3 19" xfId="51518" xr:uid="{8A859593-6F3B-41FA-A78D-14042DE39220}"/>
    <cellStyle name="Comma 3 3 2" xfId="236" xr:uid="{4B53F58B-CE3D-4788-8256-25A757152143}"/>
    <cellStyle name="Comma 3 3 20" xfId="51806" xr:uid="{B11B470B-571D-4511-B6DF-41214C86185A}"/>
    <cellStyle name="Comma 3 3 21" xfId="428" xr:uid="{8DC6D489-A834-4756-B18E-6EC557B84BE7}"/>
    <cellStyle name="Comma 3 3 3" xfId="429" xr:uid="{87E6BF05-EDA5-490E-A41B-BE4FAF48D97E}"/>
    <cellStyle name="Comma 3 3 3 10" xfId="8460" xr:uid="{DAFA0DF2-DD35-4FC1-BFBD-1F16D7FEF2B1}"/>
    <cellStyle name="Comma 3 3 3 10 2" xfId="16840" xr:uid="{80002290-781D-4E92-8B6D-A99350AB3C9F}"/>
    <cellStyle name="Comma 3 3 3 10 2 2" xfId="33600" xr:uid="{3A35F23E-2E6F-48D4-91D8-AD00C5A89559}"/>
    <cellStyle name="Comma 3 3 3 10 2 3" xfId="50359" xr:uid="{86E35C0F-F82A-462C-974A-60FE28A5D486}"/>
    <cellStyle name="Comma 3 3 3 10 3" xfId="25220" xr:uid="{9F7E0FBB-1BC0-4C0C-A2B4-980D4FD60A6C}"/>
    <cellStyle name="Comma 3 3 3 10 4" xfId="41979" xr:uid="{C46E4018-4F0E-4BAF-A167-2D4DD98E26AE}"/>
    <cellStyle name="Comma 3 3 3 11" xfId="2286" xr:uid="{71D55FD3-ECA3-4AF4-A1CD-62147C4CDF43}"/>
    <cellStyle name="Comma 3 3 3 11 2" xfId="10669" xr:uid="{2FC5CDD6-52D6-4317-A48C-115CA13C840C}"/>
    <cellStyle name="Comma 3 3 3 11 2 2" xfId="27429" xr:uid="{AD566E3D-203B-4B93-A70E-55108D4A63EA}"/>
    <cellStyle name="Comma 3 3 3 11 2 3" xfId="44188" xr:uid="{75048C72-90ED-4F7F-A033-E20BB602D9F3}"/>
    <cellStyle name="Comma 3 3 3 11 3" xfId="19049" xr:uid="{AE3834DB-70E0-451D-AA91-E5AACCCB6892}"/>
    <cellStyle name="Comma 3 3 3 11 4" xfId="35808" xr:uid="{F3A76B66-E110-40F5-919D-B773100075EB}"/>
    <cellStyle name="Comma 3 3 3 12" xfId="8866" xr:uid="{066268E3-04FA-42B1-AF8D-FD30796C1603}"/>
    <cellStyle name="Comma 3 3 3 12 2" xfId="25626" xr:uid="{869AB7F0-6DE7-4A45-A7A8-5E88D372A983}"/>
    <cellStyle name="Comma 3 3 3 12 3" xfId="42385" xr:uid="{A3B344B7-D497-4218-96C3-6E451E938C4F}"/>
    <cellStyle name="Comma 3 3 3 13" xfId="17246" xr:uid="{51A02C45-316F-4BA3-A57F-8E6A80439BD4}"/>
    <cellStyle name="Comma 3 3 3 14" xfId="34005" xr:uid="{687609EB-FE55-4688-B5DD-91ED61E514F5}"/>
    <cellStyle name="Comma 3 3 3 2" xfId="897" xr:uid="{BC625884-47EC-469C-A6BC-AF4A0B288338}"/>
    <cellStyle name="Comma 3 3 3 2 2" xfId="4292" xr:uid="{44254408-1779-45E9-BC9F-BCA369A1C314}"/>
    <cellStyle name="Comma 3 3 3 2 2 2" xfId="12672" xr:uid="{3D60FD78-B7E5-45B2-A83F-BC6881AA5E85}"/>
    <cellStyle name="Comma 3 3 3 2 2 2 2" xfId="29432" xr:uid="{5E68A148-7B71-41D4-8B31-165ACC87897E}"/>
    <cellStyle name="Comma 3 3 3 2 2 2 3" xfId="46191" xr:uid="{610883C7-AC78-4A59-8589-8B93B203B23C}"/>
    <cellStyle name="Comma 3 3 3 2 2 3" xfId="21052" xr:uid="{935DDC2C-47F9-48BF-94E4-591C2AFEA0C8}"/>
    <cellStyle name="Comma 3 3 3 2 2 4" xfId="37811" xr:uid="{121C21D9-5081-4FFC-8D54-A692D6B701D7}"/>
    <cellStyle name="Comma 3 3 3 2 3" xfId="5979" xr:uid="{7925FE25-E6EA-4AD6-943E-FF94CE6CFAFC}"/>
    <cellStyle name="Comma 3 3 3 2 3 2" xfId="14359" xr:uid="{6AACC276-6461-4CF7-BD59-11E35A2E2563}"/>
    <cellStyle name="Comma 3 3 3 2 3 2 2" xfId="31119" xr:uid="{5BA0143A-9004-4814-BD2D-6BA75D606B87}"/>
    <cellStyle name="Comma 3 3 3 2 3 2 3" xfId="47878" xr:uid="{B660C79E-DA79-4660-9256-9F72DA31576B}"/>
    <cellStyle name="Comma 3 3 3 2 3 3" xfId="22739" xr:uid="{C846A562-8885-4D1D-B4EB-94CEE9226C45}"/>
    <cellStyle name="Comma 3 3 3 2 3 4" xfId="39498" xr:uid="{88F97E61-84BF-4F9E-9AF9-C95EA06BA9C5}"/>
    <cellStyle name="Comma 3 3 3 2 4" xfId="2715" xr:uid="{9B6F178E-E267-4940-BB38-A143A6B33257}"/>
    <cellStyle name="Comma 3 3 3 2 4 2" xfId="11095" xr:uid="{F450A9EA-349A-4C64-AD26-8A405E3EC02F}"/>
    <cellStyle name="Comma 3 3 3 2 4 2 2" xfId="27855" xr:uid="{1D74158D-D9B3-44FA-BBBB-74030E900928}"/>
    <cellStyle name="Comma 3 3 3 2 4 2 3" xfId="44614" xr:uid="{A588ACFC-D98E-48F7-B720-D0B8C16BA75C}"/>
    <cellStyle name="Comma 3 3 3 2 4 3" xfId="19475" xr:uid="{A5B961DD-66DB-4218-961F-C03FBAC7D619}"/>
    <cellStyle name="Comma 3 3 3 2 4 4" xfId="36234" xr:uid="{8C9721A4-0BE9-4F87-9E2B-3869D37007BC}"/>
    <cellStyle name="Comma 3 3 3 2 5" xfId="9292" xr:uid="{65EDA8F5-1B25-4CE2-8052-D45EC68C9A1B}"/>
    <cellStyle name="Comma 3 3 3 2 5 2" xfId="26052" xr:uid="{225852A8-6572-4F77-B55F-2874C4E0A136}"/>
    <cellStyle name="Comma 3 3 3 2 5 3" xfId="42811" xr:uid="{030206C7-313B-435C-8135-9139FD1CDF55}"/>
    <cellStyle name="Comma 3 3 3 2 6" xfId="17672" xr:uid="{D624CF29-921D-4488-944D-685F8B593596}"/>
    <cellStyle name="Comma 3 3 3 2 7" xfId="34431" xr:uid="{567E0DAB-3038-42E1-A7BB-F71E6365F2AB}"/>
    <cellStyle name="Comma 3 3 3 3" xfId="1331" xr:uid="{D8D651D5-281B-45F9-87E1-0E774AF04524}"/>
    <cellStyle name="Comma 3 3 3 3 2" xfId="4720" xr:uid="{82BBA0B0-C2DD-4CD7-BA52-2302B1F7BFA7}"/>
    <cellStyle name="Comma 3 3 3 3 2 2" xfId="13100" xr:uid="{1BA6CCCC-E38C-478E-92AC-2450DE361BE5}"/>
    <cellStyle name="Comma 3 3 3 3 2 2 2" xfId="29860" xr:uid="{9946CB79-A17E-4885-9B02-DB810634E568}"/>
    <cellStyle name="Comma 3 3 3 3 2 2 3" xfId="46619" xr:uid="{88EC664F-3546-4DA3-AB7D-1F592B3E881C}"/>
    <cellStyle name="Comma 3 3 3 3 2 3" xfId="21480" xr:uid="{017BDF2F-934C-4FC6-BB71-81FC3D5E0D2B}"/>
    <cellStyle name="Comma 3 3 3 3 2 4" xfId="38239" xr:uid="{702E093D-30CD-4B7A-916F-0FDB786944A6}"/>
    <cellStyle name="Comma 3 3 3 3 3" xfId="6407" xr:uid="{78D95EE0-C8FA-473B-B583-C8AC172D26CA}"/>
    <cellStyle name="Comma 3 3 3 3 3 2" xfId="14787" xr:uid="{C17A774D-26D9-468F-B247-8FEB26308A26}"/>
    <cellStyle name="Comma 3 3 3 3 3 2 2" xfId="31547" xr:uid="{B3BE4A1F-4338-42EF-80B5-0BB412099837}"/>
    <cellStyle name="Comma 3 3 3 3 3 2 3" xfId="48306" xr:uid="{DD3776B5-55FE-456F-A766-44BFFA165C6A}"/>
    <cellStyle name="Comma 3 3 3 3 3 3" xfId="23167" xr:uid="{FDA795D7-CFBE-4B96-9C51-8A612D86C8A6}"/>
    <cellStyle name="Comma 3 3 3 3 3 4" xfId="39926" xr:uid="{0638F5DB-059F-481F-B32E-5AD86658513D}"/>
    <cellStyle name="Comma 3 3 3 3 4" xfId="3143" xr:uid="{1DFB5494-FC25-406A-A76D-F7E00E1D7301}"/>
    <cellStyle name="Comma 3 3 3 3 4 2" xfId="11523" xr:uid="{44F2B83D-2B3C-4FFA-9945-201BF9B2E0F4}"/>
    <cellStyle name="Comma 3 3 3 3 4 2 2" xfId="28283" xr:uid="{CC6E6D84-1498-4CB4-9996-0DE94A6454D5}"/>
    <cellStyle name="Comma 3 3 3 3 4 2 3" xfId="45042" xr:uid="{ABE4168A-082D-4AAE-9423-FBB3B9BFF746}"/>
    <cellStyle name="Comma 3 3 3 3 4 3" xfId="19903" xr:uid="{09C4645B-EBC5-4702-AD7E-239ED6865D0C}"/>
    <cellStyle name="Comma 3 3 3 3 4 4" xfId="36662" xr:uid="{F6EADA51-B983-4571-9CAB-27E4690F9402}"/>
    <cellStyle name="Comma 3 3 3 3 5" xfId="9720" xr:uid="{0E0B3418-3221-4A6B-B0D3-ED3A26792B27}"/>
    <cellStyle name="Comma 3 3 3 3 5 2" xfId="26480" xr:uid="{EA3EF68E-676D-4235-A2EA-59CD77F2029B}"/>
    <cellStyle name="Comma 3 3 3 3 5 3" xfId="43239" xr:uid="{B2F455A5-8261-4C62-977E-8B525B6FD819}"/>
    <cellStyle name="Comma 3 3 3 3 6" xfId="18100" xr:uid="{A9A26CB5-8202-4439-8686-ADC6705AE17C}"/>
    <cellStyle name="Comma 3 3 3 3 7" xfId="34859" xr:uid="{A66ED57C-08F2-4398-8C2A-322D1A4CFB51}"/>
    <cellStyle name="Comma 3 3 3 4" xfId="1760" xr:uid="{155F0F3E-D286-45C7-802D-D9E4BDB6F0A5}"/>
    <cellStyle name="Comma 3 3 3 4 2" xfId="5149" xr:uid="{41E8BD5D-A5BB-4773-AAFE-1FA980F5019E}"/>
    <cellStyle name="Comma 3 3 3 4 2 2" xfId="13529" xr:uid="{13819D41-6F24-4D59-B9A2-AA3E00443FB7}"/>
    <cellStyle name="Comma 3 3 3 4 2 2 2" xfId="30289" xr:uid="{DA68AAB9-E0D6-456C-9413-C789D9FCD848}"/>
    <cellStyle name="Comma 3 3 3 4 2 2 3" xfId="47048" xr:uid="{78FCB56C-06A3-4210-B9A2-34D4815507A2}"/>
    <cellStyle name="Comma 3 3 3 4 2 3" xfId="21909" xr:uid="{94785B7F-8289-4F08-9188-4B6EA58B000F}"/>
    <cellStyle name="Comma 3 3 3 4 2 4" xfId="38668" xr:uid="{63C1E0FF-61BE-490F-BCF0-0CCD57F803B9}"/>
    <cellStyle name="Comma 3 3 3 4 3" xfId="6836" xr:uid="{09A74B10-965B-4E0B-94BC-4091D3E0ACC9}"/>
    <cellStyle name="Comma 3 3 3 4 3 2" xfId="15216" xr:uid="{4567D0C5-051A-43F7-86EC-7AB4DF926D3D}"/>
    <cellStyle name="Comma 3 3 3 4 3 2 2" xfId="31976" xr:uid="{BFC3D0AD-2C29-442A-994B-5335B5210DE0}"/>
    <cellStyle name="Comma 3 3 3 4 3 2 3" xfId="48735" xr:uid="{7E113CB7-72AE-4DF5-AB1C-03390484F295}"/>
    <cellStyle name="Comma 3 3 3 4 3 3" xfId="23596" xr:uid="{B8A1CB32-B2B0-4DB0-B273-E48DDF8E8AF8}"/>
    <cellStyle name="Comma 3 3 3 4 3 4" xfId="40355" xr:uid="{98F2856F-EA9F-4E2C-8AF1-174C48377384}"/>
    <cellStyle name="Comma 3 3 3 4 4" xfId="3460" xr:uid="{800EDA80-426F-4820-AA87-B147D15C2AA1}"/>
    <cellStyle name="Comma 3 3 3 4 4 2" xfId="11840" xr:uid="{17E50F4F-A99C-4D9C-919B-F527A28436B9}"/>
    <cellStyle name="Comma 3 3 3 4 4 2 2" xfId="28600" xr:uid="{BCC8373D-239A-4164-836A-F319326685C7}"/>
    <cellStyle name="Comma 3 3 3 4 4 2 3" xfId="45359" xr:uid="{08C972C7-8C70-4783-8FC3-FA9E522D0877}"/>
    <cellStyle name="Comma 3 3 3 4 4 3" xfId="20220" xr:uid="{AE40B627-B376-47FA-BF0B-6367326E5584}"/>
    <cellStyle name="Comma 3 3 3 4 4 4" xfId="36979" xr:uid="{B9F49451-17E8-4E31-9E1C-68158E5148E7}"/>
    <cellStyle name="Comma 3 3 3 4 5" xfId="10149" xr:uid="{93A12F7A-58A5-43E5-AAA5-1EB33EF0FC01}"/>
    <cellStyle name="Comma 3 3 3 4 5 2" xfId="26909" xr:uid="{5E0167B3-8F08-4F29-83EA-C49FB7419A57}"/>
    <cellStyle name="Comma 3 3 3 4 5 3" xfId="43668" xr:uid="{1B2DAE16-2E5C-4950-82C6-22EA9B14D269}"/>
    <cellStyle name="Comma 3 3 3 4 6" xfId="18529" xr:uid="{1AF6E07D-C581-47B3-8B2D-03992F5856C6}"/>
    <cellStyle name="Comma 3 3 3 4 7" xfId="35288" xr:uid="{AC7D599F-8455-4198-8695-978CBC18C352}"/>
    <cellStyle name="Comma 3 3 3 5" xfId="3879" xr:uid="{8E9259E3-E2B1-470F-855E-D41E0DE41D2A}"/>
    <cellStyle name="Comma 3 3 3 5 2" xfId="12259" xr:uid="{610F1F86-F295-45BC-B57F-E1903D1FDFD4}"/>
    <cellStyle name="Comma 3 3 3 5 2 2" xfId="29019" xr:uid="{B7E25C2F-6C6B-4FFB-BD30-D62D3C691CE7}"/>
    <cellStyle name="Comma 3 3 3 5 2 3" xfId="45778" xr:uid="{87CEF2B8-A66C-4BBC-A4FB-0652EADD3D22}"/>
    <cellStyle name="Comma 3 3 3 5 3" xfId="20639" xr:uid="{CB800173-5321-42FF-954A-A1F0535D920F}"/>
    <cellStyle name="Comma 3 3 3 5 4" xfId="37398" xr:uid="{5CF40F34-E688-48C9-B733-139A81ED5488}"/>
    <cellStyle name="Comma 3 3 3 6" xfId="5553" xr:uid="{F9B4FB80-9EB9-4192-8C69-81BAC41791DB}"/>
    <cellStyle name="Comma 3 3 3 6 2" xfId="13933" xr:uid="{97F2BEDA-BB96-4E84-8A47-5A5D16977AAA}"/>
    <cellStyle name="Comma 3 3 3 6 2 2" xfId="30693" xr:uid="{DE158294-7C2F-4A7D-B644-77293FAFC385}"/>
    <cellStyle name="Comma 3 3 3 6 2 3" xfId="47452" xr:uid="{982F31B2-1C5C-4B25-9BDA-92A6B7B50B59}"/>
    <cellStyle name="Comma 3 3 3 6 3" xfId="22313" xr:uid="{3E03B3D5-0986-42A4-8667-09DF4FCF374E}"/>
    <cellStyle name="Comma 3 3 3 6 4" xfId="39072" xr:uid="{1B3178CB-D885-46B6-8477-1D96AEC264AB}"/>
    <cellStyle name="Comma 3 3 3 7" xfId="7242" xr:uid="{C6355022-0F62-4285-B62E-6E664B9E7C15}"/>
    <cellStyle name="Comma 3 3 3 7 2" xfId="15622" xr:uid="{281FECEE-13A4-42CE-AF73-204C1947BD1F}"/>
    <cellStyle name="Comma 3 3 3 7 2 2" xfId="32382" xr:uid="{6BAA674B-6F55-4826-A27A-5F76AC2E2371}"/>
    <cellStyle name="Comma 3 3 3 7 2 3" xfId="49141" xr:uid="{10909CE0-95C2-4EF1-8F62-6FED57B08DDE}"/>
    <cellStyle name="Comma 3 3 3 7 3" xfId="24002" xr:uid="{7A647058-B2A0-48E8-9285-00752A26F836}"/>
    <cellStyle name="Comma 3 3 3 7 4" xfId="40761" xr:uid="{EB0E3678-9AF7-49AC-AC17-F8B90CFA9E88}"/>
    <cellStyle name="Comma 3 3 3 8" xfId="7648" xr:uid="{B34577C6-936A-4227-AFDF-DEC1A0932432}"/>
    <cellStyle name="Comma 3 3 3 8 2" xfId="16028" xr:uid="{D1CF99E5-DDB3-4487-ABAE-3920D8D45C4E}"/>
    <cellStyle name="Comma 3 3 3 8 2 2" xfId="32788" xr:uid="{E4A85C34-C4FA-4794-A82B-ABCE4C829BE5}"/>
    <cellStyle name="Comma 3 3 3 8 2 3" xfId="49547" xr:uid="{EAE2D0E0-DF8C-4151-ADE2-8BEA187D0E9B}"/>
    <cellStyle name="Comma 3 3 3 8 3" xfId="24408" xr:uid="{5F270919-5F4D-464D-A555-1B6656BC9A57}"/>
    <cellStyle name="Comma 3 3 3 8 4" xfId="41167" xr:uid="{C68EEF26-1275-473D-B2B1-C1C9800F248D}"/>
    <cellStyle name="Comma 3 3 3 9" xfId="8054" xr:uid="{DD7A168C-5178-44D3-AF6C-45A24E899272}"/>
    <cellStyle name="Comma 3 3 3 9 2" xfId="16434" xr:uid="{026A454B-EBF5-4888-947F-49A31023084C}"/>
    <cellStyle name="Comma 3 3 3 9 2 2" xfId="33194" xr:uid="{BAC947E5-4D3A-4A82-B5E2-46C71D917EBF}"/>
    <cellStyle name="Comma 3 3 3 9 2 3" xfId="49953" xr:uid="{CD6A854D-7AB4-4872-8103-ED153BBE1F14}"/>
    <cellStyle name="Comma 3 3 3 9 3" xfId="24814" xr:uid="{AD42F964-704B-41C0-BC6A-F21F82A5BEFB}"/>
    <cellStyle name="Comma 3 3 3 9 4" xfId="41573" xr:uid="{2BF8A396-2491-4881-AEF3-88FF95E639F3}"/>
    <cellStyle name="Comma 3 3 4" xfId="430" xr:uid="{429D8921-CB30-4688-B2EE-214AADF35B67}"/>
    <cellStyle name="Comma 3 3 4 10" xfId="8686" xr:uid="{3BAF4334-A8DC-4F65-B756-369177737EB0}"/>
    <cellStyle name="Comma 3 3 4 10 2" xfId="17066" xr:uid="{E0D389F8-1EC9-4EA2-A6F5-D124A33C3C5D}"/>
    <cellStyle name="Comma 3 3 4 10 2 2" xfId="33826" xr:uid="{2E1907B8-448B-4B2D-87AE-EBFA26DEEF49}"/>
    <cellStyle name="Comma 3 3 4 10 2 3" xfId="50585" xr:uid="{AE4A1573-E0CC-44AC-B618-4176BDF8B562}"/>
    <cellStyle name="Comma 3 3 4 10 3" xfId="25446" xr:uid="{3AB16A7D-67BC-4836-ACE3-5F7A42B5B4FA}"/>
    <cellStyle name="Comma 3 3 4 10 4" xfId="42205" xr:uid="{33987F2E-8A8B-4414-8B86-7C88D9A85574}"/>
    <cellStyle name="Comma 3 3 4 11" xfId="2287" xr:uid="{D1498D81-1F49-4A50-9F60-CC0373AB0FB5}"/>
    <cellStyle name="Comma 3 3 4 11 2" xfId="10670" xr:uid="{FED0E67F-2CAA-42E5-A9FD-6D12EBA84522}"/>
    <cellStyle name="Comma 3 3 4 11 2 2" xfId="27430" xr:uid="{096C27CD-F52C-4EBC-A204-1B7280E5AECB}"/>
    <cellStyle name="Comma 3 3 4 11 2 3" xfId="44189" xr:uid="{7B7A7FBA-1943-4972-B145-50EDE8CEBAF4}"/>
    <cellStyle name="Comma 3 3 4 11 3" xfId="19050" xr:uid="{802ED81A-1AE5-4763-8C9B-1CBF84D68B4E}"/>
    <cellStyle name="Comma 3 3 4 11 4" xfId="35809" xr:uid="{77F97EC1-C168-4EF9-A11F-188AABA49814}"/>
    <cellStyle name="Comma 3 3 4 12" xfId="8867" xr:uid="{BF0C8618-2FD1-4B43-8395-10BCEA4E859A}"/>
    <cellStyle name="Comma 3 3 4 12 2" xfId="25627" xr:uid="{441C65F3-84E3-4AF9-A94A-85E45508C770}"/>
    <cellStyle name="Comma 3 3 4 12 3" xfId="42386" xr:uid="{872CCAE7-6B8F-4814-A997-CCC5478188AD}"/>
    <cellStyle name="Comma 3 3 4 13" xfId="17247" xr:uid="{4CFF6BCE-50E9-4887-BEF5-A0899351C283}"/>
    <cellStyle name="Comma 3 3 4 14" xfId="34006" xr:uid="{CC5D424C-B3BB-4100-B24F-30A99919C0F1}"/>
    <cellStyle name="Comma 3 3 4 2" xfId="898" xr:uid="{1BA16597-78C3-44DC-8514-3CBE5F0A5CFB}"/>
    <cellStyle name="Comma 3 3 4 2 2" xfId="4293" xr:uid="{F47B52CC-551A-4397-85B6-26626AC7F2C2}"/>
    <cellStyle name="Comma 3 3 4 2 2 2" xfId="12673" xr:uid="{C00D7C5A-2FC8-48CC-8522-1C8794151DDB}"/>
    <cellStyle name="Comma 3 3 4 2 2 2 2" xfId="29433" xr:uid="{2B9B954E-7481-4331-BB9F-35437888D53A}"/>
    <cellStyle name="Comma 3 3 4 2 2 2 3" xfId="46192" xr:uid="{293ACEBE-EE16-441E-A7E4-CFF12AD9A471}"/>
    <cellStyle name="Comma 3 3 4 2 2 3" xfId="21053" xr:uid="{3F1B470A-3DB3-4D9A-A3EC-6DE47CF2E426}"/>
    <cellStyle name="Comma 3 3 4 2 2 4" xfId="37812" xr:uid="{D8EAC760-406D-4BEB-8E0A-DC3D4371C95A}"/>
    <cellStyle name="Comma 3 3 4 2 3" xfId="5980" xr:uid="{2C83C486-0C2E-4784-804C-79F4B60A87D2}"/>
    <cellStyle name="Comma 3 3 4 2 3 2" xfId="14360" xr:uid="{9C52C958-A4E9-4C66-A6C9-CABDD78D45E9}"/>
    <cellStyle name="Comma 3 3 4 2 3 2 2" xfId="31120" xr:uid="{DB82B4D4-B00F-466E-A749-41EF7172B6FD}"/>
    <cellStyle name="Comma 3 3 4 2 3 2 3" xfId="47879" xr:uid="{C5D28505-9F69-4E5B-BFEF-C1E34FA50FBE}"/>
    <cellStyle name="Comma 3 3 4 2 3 3" xfId="22740" xr:uid="{E1733575-7C05-4743-926D-B7275DE211D3}"/>
    <cellStyle name="Comma 3 3 4 2 3 4" xfId="39499" xr:uid="{4E1B83AD-93B6-4F09-90EE-80457493E84E}"/>
    <cellStyle name="Comma 3 3 4 2 4" xfId="2716" xr:uid="{0CAE71C8-03D7-437A-830F-F85DF9B6D230}"/>
    <cellStyle name="Comma 3 3 4 2 4 2" xfId="11096" xr:uid="{0AE22F69-045E-4E1F-AB75-6BF80A6546E5}"/>
    <cellStyle name="Comma 3 3 4 2 4 2 2" xfId="27856" xr:uid="{DBE7CD31-1716-48A1-8549-DFAEE75C0B21}"/>
    <cellStyle name="Comma 3 3 4 2 4 2 3" xfId="44615" xr:uid="{68E469E6-49E5-49CA-B4BF-4FEE2D0E5FB3}"/>
    <cellStyle name="Comma 3 3 4 2 4 3" xfId="19476" xr:uid="{0ABFB4C9-C415-49F0-BF08-40F86FC6F328}"/>
    <cellStyle name="Comma 3 3 4 2 4 4" xfId="36235" xr:uid="{FE81D99D-188F-4DF8-AD04-14C912FC8D2C}"/>
    <cellStyle name="Comma 3 3 4 2 5" xfId="9293" xr:uid="{04F1D333-1A13-40DA-BA9B-7F74673CAC4C}"/>
    <cellStyle name="Comma 3 3 4 2 5 2" xfId="26053" xr:uid="{2F6B66BE-4835-4F18-9C78-11AD44986AF5}"/>
    <cellStyle name="Comma 3 3 4 2 5 3" xfId="42812" xr:uid="{A99198D7-8787-4E18-9DC9-C2EDFC9285AC}"/>
    <cellStyle name="Comma 3 3 4 2 6" xfId="17673" xr:uid="{3657F10F-532A-40A4-AE34-5BCF2347BB08}"/>
    <cellStyle name="Comma 3 3 4 2 7" xfId="34432" xr:uid="{D9074019-CCF0-48C6-BD29-8D6C547DC72E}"/>
    <cellStyle name="Comma 3 3 4 3" xfId="1332" xr:uid="{5C34223F-295D-4E0E-8A37-EC9B1C3449C4}"/>
    <cellStyle name="Comma 3 3 4 3 2" xfId="4721" xr:uid="{4D0F289F-3D8E-494E-B0D9-82A83CAEAF96}"/>
    <cellStyle name="Comma 3 3 4 3 2 2" xfId="13101" xr:uid="{A9B2026D-591E-40B7-91C2-A10F83E52831}"/>
    <cellStyle name="Comma 3 3 4 3 2 2 2" xfId="29861" xr:uid="{78461A45-DE8B-4656-B21A-EF66F32ED7C0}"/>
    <cellStyle name="Comma 3 3 4 3 2 2 3" xfId="46620" xr:uid="{50CAB81C-D4BB-4879-9874-41C1A82F99C6}"/>
    <cellStyle name="Comma 3 3 4 3 2 3" xfId="21481" xr:uid="{3A985FD4-8261-425E-8C40-B6F6BDAB995B}"/>
    <cellStyle name="Comma 3 3 4 3 2 4" xfId="38240" xr:uid="{BD6F9D5C-799E-45C7-9EDC-F460520AE120}"/>
    <cellStyle name="Comma 3 3 4 3 3" xfId="6408" xr:uid="{61062476-D9AF-4B2A-8486-9541181114FF}"/>
    <cellStyle name="Comma 3 3 4 3 3 2" xfId="14788" xr:uid="{B5FA8B57-9146-4B28-929B-CD80B34EE573}"/>
    <cellStyle name="Comma 3 3 4 3 3 2 2" xfId="31548" xr:uid="{ABEE1035-9F2B-40C3-A265-239DEA77B693}"/>
    <cellStyle name="Comma 3 3 4 3 3 2 3" xfId="48307" xr:uid="{7FCFCCA5-DF13-454F-9CB9-919E80776F4A}"/>
    <cellStyle name="Comma 3 3 4 3 3 3" xfId="23168" xr:uid="{735CBD09-9E40-44A9-A01D-325270081EE6}"/>
    <cellStyle name="Comma 3 3 4 3 3 4" xfId="39927" xr:uid="{DF913263-4DE6-4CC5-89FF-B604C450308E}"/>
    <cellStyle name="Comma 3 3 4 3 4" xfId="3144" xr:uid="{937E4EAD-6DFF-4619-9ACB-5332C0470873}"/>
    <cellStyle name="Comma 3 3 4 3 4 2" xfId="11524" xr:uid="{CBD4BA80-FF02-4341-A980-E51EFCECFDAE}"/>
    <cellStyle name="Comma 3 3 4 3 4 2 2" xfId="28284" xr:uid="{351590BB-0E08-4C8A-855E-54E83DB07E08}"/>
    <cellStyle name="Comma 3 3 4 3 4 2 3" xfId="45043" xr:uid="{947C4B1E-9838-4FE2-A099-1E7109EDDD6C}"/>
    <cellStyle name="Comma 3 3 4 3 4 3" xfId="19904" xr:uid="{49AC526D-FA46-48D2-A651-58734EB43D3A}"/>
    <cellStyle name="Comma 3 3 4 3 4 4" xfId="36663" xr:uid="{90E3D970-8DB0-4E36-B466-37D19577CEF0}"/>
    <cellStyle name="Comma 3 3 4 3 5" xfId="9721" xr:uid="{5FFAFB23-6060-4DF9-84F8-9E8B54DC8C70}"/>
    <cellStyle name="Comma 3 3 4 3 5 2" xfId="26481" xr:uid="{666544B9-F5EE-414B-8C45-D7C419F6BC3C}"/>
    <cellStyle name="Comma 3 3 4 3 5 3" xfId="43240" xr:uid="{A2944B36-EA2D-4ACD-85EF-D7EF9F28F5FA}"/>
    <cellStyle name="Comma 3 3 4 3 6" xfId="18101" xr:uid="{2674C167-E888-4C66-A69E-AB0C2864139A}"/>
    <cellStyle name="Comma 3 3 4 3 7" xfId="34860" xr:uid="{E49BF926-3282-44DF-BCD8-A08698446570}"/>
    <cellStyle name="Comma 3 3 4 4" xfId="1986" xr:uid="{7DA6DB27-2D33-4721-AE8F-EF41B71729DE}"/>
    <cellStyle name="Comma 3 3 4 4 2" xfId="5375" xr:uid="{4A2ACC76-A1E8-4894-A1FA-FF029084BBB9}"/>
    <cellStyle name="Comma 3 3 4 4 2 2" xfId="13755" xr:uid="{5471E0BE-D9ED-443B-A724-F2B3B18E3C5A}"/>
    <cellStyle name="Comma 3 3 4 4 2 2 2" xfId="30515" xr:uid="{9F616E09-0563-459F-9CC3-3245C98A5FE4}"/>
    <cellStyle name="Comma 3 3 4 4 2 2 3" xfId="47274" xr:uid="{320B8A59-B3DF-4524-91DE-C8D1EB85D042}"/>
    <cellStyle name="Comma 3 3 4 4 2 3" xfId="22135" xr:uid="{9FAADAB3-4DD7-4653-BA0A-7B3076837051}"/>
    <cellStyle name="Comma 3 3 4 4 2 4" xfId="38894" xr:uid="{F9A98B02-681C-40F1-9CD8-8ABDBAC29EC2}"/>
    <cellStyle name="Comma 3 3 4 4 3" xfId="7062" xr:uid="{4086868E-4209-4A81-827C-893C52F6A1F1}"/>
    <cellStyle name="Comma 3 3 4 4 3 2" xfId="15442" xr:uid="{05DE93BD-4E2A-4019-A1FE-F6162E983CB8}"/>
    <cellStyle name="Comma 3 3 4 4 3 2 2" xfId="32202" xr:uid="{C43FD2F8-E64F-45AD-9184-0B4BAA4E3359}"/>
    <cellStyle name="Comma 3 3 4 4 3 2 3" xfId="48961" xr:uid="{6DAD1128-974D-4A9D-B62F-C3181DA8D48C}"/>
    <cellStyle name="Comma 3 3 4 4 3 3" xfId="23822" xr:uid="{46D628CB-FDBD-45AD-8FD1-DDFCD970BC08}"/>
    <cellStyle name="Comma 3 3 4 4 3 4" xfId="40581" xr:uid="{FE5F6424-41A3-41D7-9526-6C2E35690CA4}"/>
    <cellStyle name="Comma 3 3 4 4 4" xfId="3685" xr:uid="{6E8EBA58-0AB7-48F1-A0DF-99A1D7476C6E}"/>
    <cellStyle name="Comma 3 3 4 4 4 2" xfId="12065" xr:uid="{B345D237-9246-4A3A-B71B-ACA35E2838B7}"/>
    <cellStyle name="Comma 3 3 4 4 4 2 2" xfId="28825" xr:uid="{5E49B575-544C-46F7-A47E-86501A0AFA44}"/>
    <cellStyle name="Comma 3 3 4 4 4 2 3" xfId="45584" xr:uid="{C2C379DF-F2BA-40C5-9A59-67B07AB0E85D}"/>
    <cellStyle name="Comma 3 3 4 4 4 3" xfId="20445" xr:uid="{EC12E6E5-090C-4AA0-A863-CB5BE53E6806}"/>
    <cellStyle name="Comma 3 3 4 4 4 4" xfId="37204" xr:uid="{831A82A0-1402-4662-B22F-0665785D2856}"/>
    <cellStyle name="Comma 3 3 4 4 5" xfId="10375" xr:uid="{934DE68F-3325-438B-A54F-5CCB5B190AA3}"/>
    <cellStyle name="Comma 3 3 4 4 5 2" xfId="27135" xr:uid="{F868F445-17DC-4D0E-9945-CAB6FE27B5E5}"/>
    <cellStyle name="Comma 3 3 4 4 5 3" xfId="43894" xr:uid="{95C4C5D3-F398-478B-B775-E78366BE9BE8}"/>
    <cellStyle name="Comma 3 3 4 4 6" xfId="18755" xr:uid="{48374F81-76BA-48A2-8334-8ED2B2FBA268}"/>
    <cellStyle name="Comma 3 3 4 4 7" xfId="35514" xr:uid="{9605F91D-5546-4647-A608-D9CA2EF0E35A}"/>
    <cellStyle name="Comma 3 3 4 5" xfId="4105" xr:uid="{1A795CB5-1A7E-431D-BEFD-95085FA52868}"/>
    <cellStyle name="Comma 3 3 4 5 2" xfId="12485" xr:uid="{59493639-A095-47F9-8A99-976E1B3F4E04}"/>
    <cellStyle name="Comma 3 3 4 5 2 2" xfId="29245" xr:uid="{287E41EB-D170-49AD-BC7A-53089CE6ED4F}"/>
    <cellStyle name="Comma 3 3 4 5 2 3" xfId="46004" xr:uid="{19B9A47F-8A5E-47FC-BFF2-FAEB114218FB}"/>
    <cellStyle name="Comma 3 3 4 5 3" xfId="20865" xr:uid="{C2C01FFB-C9C8-47AC-8FC2-137FC3173B2A}"/>
    <cellStyle name="Comma 3 3 4 5 4" xfId="37624" xr:uid="{10067B5D-1602-4810-90CE-CED8B25D064E}"/>
    <cellStyle name="Comma 3 3 4 6" xfId="5554" xr:uid="{FCC55693-C51E-4F5E-A38D-605C0442C267}"/>
    <cellStyle name="Comma 3 3 4 6 2" xfId="13934" xr:uid="{C5CF53BB-50B1-41FE-A077-0F7C7B3374A3}"/>
    <cellStyle name="Comma 3 3 4 6 2 2" xfId="30694" xr:uid="{DB9A4DB2-3569-4688-923B-47FC42D95578}"/>
    <cellStyle name="Comma 3 3 4 6 2 3" xfId="47453" xr:uid="{35BBC911-F345-4E53-840E-24EDD222AC30}"/>
    <cellStyle name="Comma 3 3 4 6 3" xfId="22314" xr:uid="{9FA93DE2-CB12-444F-A4FB-9152B49F3D56}"/>
    <cellStyle name="Comma 3 3 4 6 4" xfId="39073" xr:uid="{9512A16B-E668-4F26-B53C-EF9B62ACE448}"/>
    <cellStyle name="Comma 3 3 4 7" xfId="7468" xr:uid="{1852C711-5FD2-4639-B279-D85E01A4B17B}"/>
    <cellStyle name="Comma 3 3 4 7 2" xfId="15848" xr:uid="{ACE7CB34-B30A-4C68-82EB-7E2276EB6425}"/>
    <cellStyle name="Comma 3 3 4 7 2 2" xfId="32608" xr:uid="{D2D56B4E-76F3-4422-B14E-2C856B8F5888}"/>
    <cellStyle name="Comma 3 3 4 7 2 3" xfId="49367" xr:uid="{758F2BDC-15C9-41F7-9870-C8220BA5C8E0}"/>
    <cellStyle name="Comma 3 3 4 7 3" xfId="24228" xr:uid="{B616D3C3-DEDB-4B17-B95F-EB07A6007495}"/>
    <cellStyle name="Comma 3 3 4 7 4" xfId="40987" xr:uid="{CD2C4689-416A-4B01-A9AE-DE69BCF952B5}"/>
    <cellStyle name="Comma 3 3 4 8" xfId="7874" xr:uid="{4C0EC3A3-B775-448A-8524-0A4DD36F4325}"/>
    <cellStyle name="Comma 3 3 4 8 2" xfId="16254" xr:uid="{C1A500F2-C2BB-4C2C-B51B-0C234DF1F84C}"/>
    <cellStyle name="Comma 3 3 4 8 2 2" xfId="33014" xr:uid="{678046B4-AB38-47C5-B85B-6E92F5022B13}"/>
    <cellStyle name="Comma 3 3 4 8 2 3" xfId="49773" xr:uid="{7BCF5CD0-9C23-460D-9A16-E3AF2308F61F}"/>
    <cellStyle name="Comma 3 3 4 8 3" xfId="24634" xr:uid="{7E082665-4D09-4472-B1AB-5CB95F2CC2E4}"/>
    <cellStyle name="Comma 3 3 4 8 4" xfId="41393" xr:uid="{688A10C1-2835-4671-BB7B-AE6B81B06C9A}"/>
    <cellStyle name="Comma 3 3 4 9" xfId="8280" xr:uid="{820781F6-8965-4477-89EE-D434DA1E9DD6}"/>
    <cellStyle name="Comma 3 3 4 9 2" xfId="16660" xr:uid="{340FC565-82EF-4793-9928-04ACE3FCB65B}"/>
    <cellStyle name="Comma 3 3 4 9 2 2" xfId="33420" xr:uid="{1451BCEC-9641-46D6-97D2-486F9757BF45}"/>
    <cellStyle name="Comma 3 3 4 9 2 3" xfId="50179" xr:uid="{861535BD-3BAD-4229-90B7-80D5926D610F}"/>
    <cellStyle name="Comma 3 3 4 9 3" xfId="25040" xr:uid="{EABE772A-4981-489C-B2FC-95A3FE1C710A}"/>
    <cellStyle name="Comma 3 3 4 9 4" xfId="41799" xr:uid="{F1687B12-8798-48AE-8B29-1D40C10883C2}"/>
    <cellStyle name="Comma 3 3 5" xfId="896" xr:uid="{D7949958-F545-476B-AB33-D1E20BF3C6ED}"/>
    <cellStyle name="Comma 3 3 5 2" xfId="4291" xr:uid="{23818091-30AB-4246-92CE-C95FC6AD6B20}"/>
    <cellStyle name="Comma 3 3 5 2 2" xfId="12671" xr:uid="{420FA71E-78A7-474B-8395-898CC637E32A}"/>
    <cellStyle name="Comma 3 3 5 2 2 2" xfId="29431" xr:uid="{0B3F569E-5EEC-40F0-BAC3-4DF4361C0800}"/>
    <cellStyle name="Comma 3 3 5 2 2 3" xfId="46190" xr:uid="{17B75BA3-15E0-414D-BB88-10710117196E}"/>
    <cellStyle name="Comma 3 3 5 2 3" xfId="21051" xr:uid="{4B23FFE8-D7BB-4C94-A72D-60FE6D1CCD85}"/>
    <cellStyle name="Comma 3 3 5 2 4" xfId="37810" xr:uid="{99C9C024-CEF7-4B4F-BC2F-E6DED40276FE}"/>
    <cellStyle name="Comma 3 3 5 3" xfId="5978" xr:uid="{A3E1E4FC-3E8C-4FA7-895B-055A2A829304}"/>
    <cellStyle name="Comma 3 3 5 3 2" xfId="14358" xr:uid="{9967BDBC-39C0-4EDA-B709-48B87924A568}"/>
    <cellStyle name="Comma 3 3 5 3 2 2" xfId="31118" xr:uid="{6231BECA-21BE-4072-952A-A2BDFBC4184C}"/>
    <cellStyle name="Comma 3 3 5 3 2 3" xfId="47877" xr:uid="{9C821626-558C-4258-A1EF-1F4FDAA95CDF}"/>
    <cellStyle name="Comma 3 3 5 3 3" xfId="22738" xr:uid="{802B1F3F-667F-434E-8ED9-71D5BBB084E0}"/>
    <cellStyle name="Comma 3 3 5 3 4" xfId="39497" xr:uid="{FD1AC4CD-E8B8-4EEA-9252-1043DDF4F534}"/>
    <cellStyle name="Comma 3 3 5 4" xfId="2714" xr:uid="{DC55A777-4D34-4822-96DD-0622774FA55E}"/>
    <cellStyle name="Comma 3 3 5 4 2" xfId="11094" xr:uid="{EB0465B3-A033-4EDD-9900-96A2105BF7B6}"/>
    <cellStyle name="Comma 3 3 5 4 2 2" xfId="27854" xr:uid="{F38591B4-9E78-4276-A307-79D46791743B}"/>
    <cellStyle name="Comma 3 3 5 4 2 3" xfId="44613" xr:uid="{26AD536B-CAA8-43AF-9E78-11FB609FAEA2}"/>
    <cellStyle name="Comma 3 3 5 4 3" xfId="19474" xr:uid="{ED37C853-FDA8-4BFA-9295-6669B1C846EE}"/>
    <cellStyle name="Comma 3 3 5 4 4" xfId="36233" xr:uid="{A4E19DE4-A0C0-45E0-8195-B83F978801AC}"/>
    <cellStyle name="Comma 3 3 5 5" xfId="9291" xr:uid="{B8B872B0-68B0-48F3-9A81-4C472E307D5A}"/>
    <cellStyle name="Comma 3 3 5 5 2" xfId="26051" xr:uid="{B32A7857-7F36-4E6D-9524-DBA8816E5C05}"/>
    <cellStyle name="Comma 3 3 5 5 3" xfId="42810" xr:uid="{09250B00-091F-4F54-9EFE-2E35BF957379}"/>
    <cellStyle name="Comma 3 3 5 6" xfId="17671" xr:uid="{3BC78703-EE5A-407F-A76D-66E34960604C}"/>
    <cellStyle name="Comma 3 3 5 7" xfId="34430" xr:uid="{F58235EC-B406-4A53-BBE2-792296C9B366}"/>
    <cellStyle name="Comma 3 3 6" xfId="1330" xr:uid="{9563A260-D35C-4FF2-973D-33D033677C7F}"/>
    <cellStyle name="Comma 3 3 6 2" xfId="4719" xr:uid="{ACA30B9B-EDF8-4F0B-8669-7272A0EA0502}"/>
    <cellStyle name="Comma 3 3 6 2 2" xfId="13099" xr:uid="{07BA99A6-80F4-4BAD-9B54-42452647F1C5}"/>
    <cellStyle name="Comma 3 3 6 2 2 2" xfId="29859" xr:uid="{4462F63C-F281-472F-B7B2-18383377BBF0}"/>
    <cellStyle name="Comma 3 3 6 2 2 3" xfId="46618" xr:uid="{FEE9B43C-C9DB-4088-87B2-2A85C1DCCA29}"/>
    <cellStyle name="Comma 3 3 6 2 3" xfId="21479" xr:uid="{76E5980F-7217-47E6-9F97-A96C2320682E}"/>
    <cellStyle name="Comma 3 3 6 2 4" xfId="38238" xr:uid="{53AEDA7F-5A21-46A1-8F67-DFFCA6467790}"/>
    <cellStyle name="Comma 3 3 6 3" xfId="6406" xr:uid="{560CE247-9AE2-462F-BF60-11711DA5C796}"/>
    <cellStyle name="Comma 3 3 6 3 2" xfId="14786" xr:uid="{8BA34F3C-3778-4571-8939-C61087EEA4AB}"/>
    <cellStyle name="Comma 3 3 6 3 2 2" xfId="31546" xr:uid="{7F6813CF-C941-459D-B68A-DABF56EEB76C}"/>
    <cellStyle name="Comma 3 3 6 3 2 3" xfId="48305" xr:uid="{9DC409B3-635A-4001-AA0F-41919AF40F33}"/>
    <cellStyle name="Comma 3 3 6 3 3" xfId="23166" xr:uid="{4E628D6C-9357-475E-A6EE-3E46156D0853}"/>
    <cellStyle name="Comma 3 3 6 3 4" xfId="39925" xr:uid="{161F4045-E93C-4126-AC23-9C7F589A4413}"/>
    <cellStyle name="Comma 3 3 6 4" xfId="3142" xr:uid="{6F24A56A-8284-4A6F-A984-5D595CB271FD}"/>
    <cellStyle name="Comma 3 3 6 4 2" xfId="11522" xr:uid="{A79C9983-18DD-4A83-A64C-755417AC8518}"/>
    <cellStyle name="Comma 3 3 6 4 2 2" xfId="28282" xr:uid="{6AC2A4A0-0A67-4A72-B804-29FBFD4CFFBB}"/>
    <cellStyle name="Comma 3 3 6 4 2 3" xfId="45041" xr:uid="{9FB787BE-901B-42B5-B3E7-3E336397CA55}"/>
    <cellStyle name="Comma 3 3 6 4 3" xfId="19902" xr:uid="{C37C5516-B805-4194-A6AB-30A95ED73005}"/>
    <cellStyle name="Comma 3 3 6 4 4" xfId="36661" xr:uid="{92097FC0-096B-43F9-90E2-1AF41DC1FFD8}"/>
    <cellStyle name="Comma 3 3 6 5" xfId="9719" xr:uid="{0912019C-91E7-423A-871C-A84A2D68AE31}"/>
    <cellStyle name="Comma 3 3 6 5 2" xfId="26479" xr:uid="{F7B591AC-C3CD-4510-9315-2B7AA94462AA}"/>
    <cellStyle name="Comma 3 3 6 5 3" xfId="43238" xr:uid="{95DDC3B2-C907-4268-A574-CA5497D50CD4}"/>
    <cellStyle name="Comma 3 3 6 6" xfId="18099" xr:uid="{A971C3DA-ADA0-4F64-A09E-F322944EE936}"/>
    <cellStyle name="Comma 3 3 6 7" xfId="34858" xr:uid="{1A669A87-C229-442F-8087-016D96619A76}"/>
    <cellStyle name="Comma 3 3 7" xfId="1715" xr:uid="{3EE67CC1-92E5-4503-B456-B2ED3D80CA7D}"/>
    <cellStyle name="Comma 3 3 7 2" xfId="5104" xr:uid="{AA33ECD2-F0B1-43DC-8955-3BE13B714DE2}"/>
    <cellStyle name="Comma 3 3 7 2 2" xfId="13484" xr:uid="{1A5717B2-A3D0-4320-8FA1-7D7CAA5357D0}"/>
    <cellStyle name="Comma 3 3 7 2 2 2" xfId="30244" xr:uid="{3736F05D-DD5B-42C3-B7AF-7D9CC2DA905B}"/>
    <cellStyle name="Comma 3 3 7 2 2 3" xfId="47003" xr:uid="{1D8CBE11-D7DF-47D6-AA8A-B427E74A687C}"/>
    <cellStyle name="Comma 3 3 7 2 3" xfId="21864" xr:uid="{296610AE-6F57-408E-8A68-8F9CE9B214C3}"/>
    <cellStyle name="Comma 3 3 7 2 4" xfId="38623" xr:uid="{FBF517C8-C04E-4F95-BB15-4DB7B2ABC808}"/>
    <cellStyle name="Comma 3 3 7 3" xfId="6791" xr:uid="{8E4B1E63-33C3-4F63-8966-90C6831A1D81}"/>
    <cellStyle name="Comma 3 3 7 3 2" xfId="15171" xr:uid="{AFC4CB20-6BFC-4426-A1F9-59F7F7BC3EB2}"/>
    <cellStyle name="Comma 3 3 7 3 2 2" xfId="31931" xr:uid="{595FDECD-7A75-46B6-94B9-B08D6799D112}"/>
    <cellStyle name="Comma 3 3 7 3 2 3" xfId="48690" xr:uid="{8577A017-3ED3-4D2B-9F92-E7FA6D5EC856}"/>
    <cellStyle name="Comma 3 3 7 3 3" xfId="23551" xr:uid="{E260DF04-084F-4822-AEAD-63A799AB8768}"/>
    <cellStyle name="Comma 3 3 7 3 4" xfId="40310" xr:uid="{5CC36B51-F29A-4A8E-B1B8-2C3C5CC2D7CD}"/>
    <cellStyle name="Comma 3 3 7 4" xfId="3438" xr:uid="{23DCBBB2-9A7A-464E-87D9-FA24189E851E}"/>
    <cellStyle name="Comma 3 3 7 4 2" xfId="11818" xr:uid="{846368D4-EF2C-42C5-9EB5-122FE45DDF62}"/>
    <cellStyle name="Comma 3 3 7 4 2 2" xfId="28578" xr:uid="{E98C5077-1C27-450B-9AB0-190C58475422}"/>
    <cellStyle name="Comma 3 3 7 4 2 3" xfId="45337" xr:uid="{6FAF22CA-6914-4ACB-834E-D08285DF227D}"/>
    <cellStyle name="Comma 3 3 7 4 3" xfId="20198" xr:uid="{5D4D942C-8D5E-4534-9288-23FD8D717AC9}"/>
    <cellStyle name="Comma 3 3 7 4 4" xfId="36957" xr:uid="{E2ECC94C-4506-4D33-A0C8-E90545BAC6A8}"/>
    <cellStyle name="Comma 3 3 7 5" xfId="10104" xr:uid="{50C2BFA8-7ED6-400E-9525-417865431DB2}"/>
    <cellStyle name="Comma 3 3 7 5 2" xfId="26864" xr:uid="{819E37A4-C8A3-4DE1-9273-12777A9CDF53}"/>
    <cellStyle name="Comma 3 3 7 5 3" xfId="43623" xr:uid="{30989AC8-D36F-420C-855E-EAB0F15D6F6E}"/>
    <cellStyle name="Comma 3 3 7 6" xfId="18484" xr:uid="{7503D708-F6A9-47EA-A8BE-D21BB6117867}"/>
    <cellStyle name="Comma 3 3 7 7" xfId="35243" xr:uid="{CBC63C3F-3451-4B1A-9C55-C2D0D1CE4436}"/>
    <cellStyle name="Comma 3 3 8" xfId="3833" xr:uid="{721448BE-3C2F-4FC8-ABF2-1B70B9F9199C}"/>
    <cellStyle name="Comma 3 3 8 2" xfId="12213" xr:uid="{69998A6D-E904-4E9B-8B47-04EBD3CB31E9}"/>
    <cellStyle name="Comma 3 3 8 2 2" xfId="28973" xr:uid="{AFFEE668-0232-4D55-B0F1-0C3B703791B5}"/>
    <cellStyle name="Comma 3 3 8 2 3" xfId="45732" xr:uid="{8D303D4B-B40F-46B0-8C4C-20AC8691048F}"/>
    <cellStyle name="Comma 3 3 8 3" xfId="20593" xr:uid="{968AAE8F-90D4-49C3-A9A7-27D3A09D61F2}"/>
    <cellStyle name="Comma 3 3 8 4" xfId="37352" xr:uid="{85C08593-7198-413D-966C-0FB92D2BB9C4}"/>
    <cellStyle name="Comma 3 3 9" xfId="5552" xr:uid="{9673ECF6-E7F1-4578-ACA6-62A31B93D653}"/>
    <cellStyle name="Comma 3 3 9 2" xfId="13932" xr:uid="{D5E29B7A-65BC-4EC0-B437-379D47B1128A}"/>
    <cellStyle name="Comma 3 3 9 2 2" xfId="30692" xr:uid="{B4F31853-2376-44D3-95F6-92864312C678}"/>
    <cellStyle name="Comma 3 3 9 2 3" xfId="47451" xr:uid="{BCAFCA17-48B4-4270-8C66-0DADA5D6469D}"/>
    <cellStyle name="Comma 3 3 9 3" xfId="22312" xr:uid="{548BF3A4-E40E-4502-B81D-7387A4E7C73B}"/>
    <cellStyle name="Comma 3 3 9 4" xfId="39071" xr:uid="{681070DE-3718-42FA-9322-397C59DE261C}"/>
    <cellStyle name="Comma 3 4" xfId="113" xr:uid="{70568AB9-ECDB-4C76-AEF7-F20D1A1BE24D}"/>
    <cellStyle name="Comma 3 5" xfId="50742" xr:uid="{99CBC915-881F-45F5-8CA9-FD32B600224B}"/>
    <cellStyle name="Comma 3 6" xfId="50788" xr:uid="{40570F79-D491-4B18-B44E-C1BC1254C458}"/>
    <cellStyle name="Comma 3 7" xfId="51283" xr:uid="{09AFC273-FA09-4A08-AB80-61B0C51A8617}"/>
    <cellStyle name="Comma 3 8" xfId="51760" xr:uid="{2E085FD8-BC1E-40D2-BB5A-1D2C60B344ED}"/>
    <cellStyle name="Comma 3 9" xfId="76" xr:uid="{6A94CB76-9AA0-4707-841B-16F02C8FD15A}"/>
    <cellStyle name="Comma 39" xfId="57" xr:uid="{8FD00353-689F-4358-854B-D42E34255B09}"/>
    <cellStyle name="Comma 4" xfId="67" xr:uid="{A4943655-85FD-435D-9363-70CB680B9866}"/>
    <cellStyle name="Comma 4 10" xfId="3731" xr:uid="{C23D1666-83A8-46EF-9C88-BF3AFC749C37}"/>
    <cellStyle name="Comma 4 10 2" xfId="12111" xr:uid="{A10471DE-E982-4799-B6BE-2DDA9178EE5E}"/>
    <cellStyle name="Comma 4 10 2 2" xfId="28871" xr:uid="{5F7041EA-8E28-4CCF-A2B7-6CD22CC27C72}"/>
    <cellStyle name="Comma 4 10 2 3" xfId="45630" xr:uid="{0B8181AF-A2C9-4082-9377-48F391AC3A54}"/>
    <cellStyle name="Comma 4 10 3" xfId="20491" xr:uid="{2901A512-DCD6-4EA7-9458-AFAC15FD6F17}"/>
    <cellStyle name="Comma 4 10 4" xfId="37250" xr:uid="{8213CD12-2817-4A12-B263-193341A8A863}"/>
    <cellStyle name="Comma 4 11" xfId="5439" xr:uid="{E2F2456F-7457-486E-AAB7-B70E94F0DB33}"/>
    <cellStyle name="Comma 4 11 2" xfId="13819" xr:uid="{33FA8B1D-4FE9-4924-A0A0-83AC8F840B9F}"/>
    <cellStyle name="Comma 4 11 2 2" xfId="30579" xr:uid="{23A827CD-0394-4821-9421-C9E052155CE9}"/>
    <cellStyle name="Comma 4 11 2 3" xfId="47338" xr:uid="{2F020B49-DFEF-40F9-AEAA-DF931FD46CAB}"/>
    <cellStyle name="Comma 4 11 3" xfId="22199" xr:uid="{537AABAF-77AF-49C8-A72F-F8D514F5AF7C}"/>
    <cellStyle name="Comma 4 11 4" xfId="38958" xr:uid="{73BEBC2D-E578-4FA1-81F6-49E1878F52C5}"/>
    <cellStyle name="Comma 4 12" xfId="7108" xr:uid="{5E299DA2-65C9-45E9-AB07-CFC4167AB680}"/>
    <cellStyle name="Comma 4 12 2" xfId="15488" xr:uid="{78DA6C82-9505-4FAD-B13D-4B6A24B5C94A}"/>
    <cellStyle name="Comma 4 12 2 2" xfId="32248" xr:uid="{EBC9ACDA-F9E8-4303-BBF2-253E78760140}"/>
    <cellStyle name="Comma 4 12 2 3" xfId="49007" xr:uid="{26F6B3A5-5F2D-4205-AF97-C0B01C7E0CF3}"/>
    <cellStyle name="Comma 4 12 3" xfId="23868" xr:uid="{8EADA944-5131-4E9B-AAEA-B7DEB8B3B36A}"/>
    <cellStyle name="Comma 4 12 4" xfId="40627" xr:uid="{AFCFB216-DD0A-44EC-9682-F1C69A6CB829}"/>
    <cellStyle name="Comma 4 13" xfId="7514" xr:uid="{8D735E9A-3249-42F3-A636-79541236C031}"/>
    <cellStyle name="Comma 4 13 2" xfId="15894" xr:uid="{923781AB-FFA1-451A-8EC7-259D9FB50722}"/>
    <cellStyle name="Comma 4 13 2 2" xfId="32654" xr:uid="{65C2783F-4C90-4315-9859-7473C4A4DDA1}"/>
    <cellStyle name="Comma 4 13 2 3" xfId="49413" xr:uid="{91AABFC7-6D93-4471-B3C7-9AA275429D8B}"/>
    <cellStyle name="Comma 4 13 3" xfId="24274" xr:uid="{C1E932C6-F82C-4F55-9078-CC8479D4361A}"/>
    <cellStyle name="Comma 4 13 4" xfId="41033" xr:uid="{1AAAEB0E-EA1B-499A-9DA5-627C31D6DC63}"/>
    <cellStyle name="Comma 4 14" xfId="7920" xr:uid="{DFBABD85-13DC-4D28-A2DC-D775C5A58D36}"/>
    <cellStyle name="Comma 4 14 2" xfId="16300" xr:uid="{61F7F25D-35EA-452B-A6E3-E34CD0D8E5E3}"/>
    <cellStyle name="Comma 4 14 2 2" xfId="33060" xr:uid="{4D0EC1D0-6CFF-4F5E-A294-02B56747C679}"/>
    <cellStyle name="Comma 4 14 2 3" xfId="49819" xr:uid="{945084BB-5417-4FB5-9592-841C120F4DC8}"/>
    <cellStyle name="Comma 4 14 3" xfId="24680" xr:uid="{B54793E5-F23A-4D86-AB22-C97F2CFD75C8}"/>
    <cellStyle name="Comma 4 14 4" xfId="41439" xr:uid="{1306CB8E-8A26-4972-B668-6839133BD337}"/>
    <cellStyle name="Comma 4 15" xfId="8326" xr:uid="{9CFCB530-FD96-4965-B2CF-9C1D4635630C}"/>
    <cellStyle name="Comma 4 15 2" xfId="16706" xr:uid="{7210BD84-6471-426C-B16E-F867A79C1145}"/>
    <cellStyle name="Comma 4 15 2 2" xfId="33466" xr:uid="{657E4481-CFC2-4B3E-8BB3-08679E5EB22B}"/>
    <cellStyle name="Comma 4 15 2 3" xfId="50225" xr:uid="{59A77B5F-107D-4EAF-A297-00CBBA381E23}"/>
    <cellStyle name="Comma 4 15 3" xfId="25086" xr:uid="{FEB32887-020F-47CA-810A-2185528784C8}"/>
    <cellStyle name="Comma 4 15 4" xfId="41845" xr:uid="{1CACB97F-090A-428C-92BE-49749454F528}"/>
    <cellStyle name="Comma 4 16" xfId="8752" xr:uid="{CE4E013B-A29E-48FC-9B1D-2EE14A8E34FB}"/>
    <cellStyle name="Comma 4 16 2" xfId="25512" xr:uid="{863CDDBD-5BA0-4B19-B343-74DB750DC5FF}"/>
    <cellStyle name="Comma 4 16 3" xfId="42271" xr:uid="{A028A3A5-863E-42E3-9064-396283E70F32}"/>
    <cellStyle name="Comma 4 17" xfId="17132" xr:uid="{33522387-D310-40EE-AC9B-0148F558EF34}"/>
    <cellStyle name="Comma 4 18" xfId="33891" xr:uid="{C0DABA50-27B5-4EA3-9BE3-173DC45231D6}"/>
    <cellStyle name="Comma 4 19" xfId="278" xr:uid="{2DBBA9B7-3F24-450B-9587-61EC10D4E6D2}"/>
    <cellStyle name="Comma 4 2" xfId="307" xr:uid="{3E05EE94-4426-4444-B0A9-DC83CC8CE579}"/>
    <cellStyle name="Comma 4 2 10" xfId="7536" xr:uid="{22A27C3C-BDFE-4CB5-8B34-81A14DEFBA95}"/>
    <cellStyle name="Comma 4 2 10 2" xfId="15916" xr:uid="{49768092-32EB-4D1B-A672-A6A6B5A5F5EF}"/>
    <cellStyle name="Comma 4 2 10 2 2" xfId="32676" xr:uid="{5F92A82A-E70C-42D8-B351-11DD2281AA64}"/>
    <cellStyle name="Comma 4 2 10 2 3" xfId="49435" xr:uid="{86D9F1DF-7D87-4268-BF2F-A78EDC3AC369}"/>
    <cellStyle name="Comma 4 2 10 3" xfId="24296" xr:uid="{55B189BF-BECD-44EC-B1D0-4614D7AC5D1A}"/>
    <cellStyle name="Comma 4 2 10 4" xfId="41055" xr:uid="{5EB7209E-BEB8-4CAF-B007-272B97B42AB0}"/>
    <cellStyle name="Comma 4 2 11" xfId="7942" xr:uid="{C75321AB-0A57-43F8-859F-97697DB21F1C}"/>
    <cellStyle name="Comma 4 2 11 2" xfId="16322" xr:uid="{66EA9985-ACFF-4EAC-8E78-1137807F1289}"/>
    <cellStyle name="Comma 4 2 11 2 2" xfId="33082" xr:uid="{93D74B9B-E535-4E7C-A6A8-1080434145A1}"/>
    <cellStyle name="Comma 4 2 11 2 3" xfId="49841" xr:uid="{DC267784-E69E-4DBE-A352-D2A3705D5185}"/>
    <cellStyle name="Comma 4 2 11 3" xfId="24702" xr:uid="{AF275163-5FFC-49D0-8DC7-92A1553A699C}"/>
    <cellStyle name="Comma 4 2 11 4" xfId="41461" xr:uid="{DC5AC70C-3695-4C13-B9DC-BF18BD6FF16B}"/>
    <cellStyle name="Comma 4 2 12" xfId="8348" xr:uid="{3ED844CA-6130-4F19-82C2-5B20FE1483C3}"/>
    <cellStyle name="Comma 4 2 12 2" xfId="16728" xr:uid="{028BD2E0-DEC1-4BBA-B45F-D6A1709DBA89}"/>
    <cellStyle name="Comma 4 2 12 2 2" xfId="33488" xr:uid="{96EA1BF2-F47A-4656-B60C-E89170055A31}"/>
    <cellStyle name="Comma 4 2 12 2 3" xfId="50247" xr:uid="{BDEB3A6B-CAE1-4717-AAB2-187281114B16}"/>
    <cellStyle name="Comma 4 2 12 3" xfId="25108" xr:uid="{13D1A3CB-FD5D-491E-A806-C1E53CE3062B}"/>
    <cellStyle name="Comma 4 2 12 4" xfId="41867" xr:uid="{1915458B-981D-4E64-A197-FA2E6616864B}"/>
    <cellStyle name="Comma 4 2 13" xfId="2092" xr:uid="{3E56D630-7489-4F50-943A-6211DA3FA983}"/>
    <cellStyle name="Comma 4 2 13 2" xfId="10480" xr:uid="{CB675E67-1062-45E5-9B48-097AAA44099C}"/>
    <cellStyle name="Comma 4 2 13 2 2" xfId="27240" xr:uid="{24C1F5D0-9A1B-4BCA-BF56-82C82465C5E1}"/>
    <cellStyle name="Comma 4 2 13 2 3" xfId="43999" xr:uid="{11D3C28A-E802-42E5-8505-51FCD9B2F1BC}"/>
    <cellStyle name="Comma 4 2 13 3" xfId="18860" xr:uid="{C6041255-CC2B-431E-88B9-DD14E1736F2E}"/>
    <cellStyle name="Comma 4 2 13 4" xfId="35619" xr:uid="{08AAE877-A509-4FEF-AB02-3005892CE50A}"/>
    <cellStyle name="Comma 4 2 14" xfId="8780" xr:uid="{6F41D3EA-EC07-4402-98F3-84FEE1E7A858}"/>
    <cellStyle name="Comma 4 2 14 2" xfId="25540" xr:uid="{843A78DE-41C6-49A5-8440-38EE093F11C3}"/>
    <cellStyle name="Comma 4 2 14 3" xfId="42299" xr:uid="{57E33D24-593B-4929-AA81-984EF4E798FC}"/>
    <cellStyle name="Comma 4 2 15" xfId="17160" xr:uid="{AA1D0418-B40D-40DA-9277-B53B793DBF85}"/>
    <cellStyle name="Comma 4 2 16" xfId="33919" xr:uid="{45A07162-8D2E-44D5-8929-E1141AB36B14}"/>
    <cellStyle name="Comma 4 2 2" xfId="390" xr:uid="{6295B0E3-7F5A-4B90-A9ED-0AF454CE9D7C}"/>
    <cellStyle name="Comma 4 2 2 10" xfId="8462" xr:uid="{A3BC6902-C745-4F8B-83FA-562E4C82C605}"/>
    <cellStyle name="Comma 4 2 2 10 2" xfId="16842" xr:uid="{6D48FF65-9735-4677-BCD5-3968A6F02DB4}"/>
    <cellStyle name="Comma 4 2 2 10 2 2" xfId="33602" xr:uid="{F4C54719-CA6E-41AE-81C2-C7586826467F}"/>
    <cellStyle name="Comma 4 2 2 10 2 3" xfId="50361" xr:uid="{A94AFD55-72FA-4577-9B66-0C1E0159B7EB}"/>
    <cellStyle name="Comma 4 2 2 10 3" xfId="25222" xr:uid="{3B1535BD-6AEC-47DE-8633-9BDB2C7E2E18}"/>
    <cellStyle name="Comma 4 2 2 10 4" xfId="41981" xr:uid="{4ED06548-49AD-47F4-9EE8-DF69320168D9}"/>
    <cellStyle name="Comma 4 2 2 11" xfId="2273" xr:uid="{7E904F14-186F-4EC9-961A-3C1353C31BD7}"/>
    <cellStyle name="Comma 4 2 2 11 2" xfId="10657" xr:uid="{21ECE744-3C38-4677-B73A-FA5E6CECC411}"/>
    <cellStyle name="Comma 4 2 2 11 2 2" xfId="27417" xr:uid="{5C3B51F0-CFFF-4C9E-8476-32691C1C8047}"/>
    <cellStyle name="Comma 4 2 2 11 2 3" xfId="44176" xr:uid="{64A44002-4BA7-4BF3-B39D-6D3D3AE58795}"/>
    <cellStyle name="Comma 4 2 2 11 3" xfId="19037" xr:uid="{4EDC5CC2-4952-4BEF-B82F-2CC2171BBE72}"/>
    <cellStyle name="Comma 4 2 2 11 4" xfId="35796" xr:uid="{D8B0B14E-F486-4A5E-A827-6FD8447BFAF3}"/>
    <cellStyle name="Comma 4 2 2 12" xfId="8854" xr:uid="{1BF20A44-E098-4AEF-8626-6E07AB2301F9}"/>
    <cellStyle name="Comma 4 2 2 12 2" xfId="25614" xr:uid="{2EC9FF2F-CF75-4456-AA2D-69A177DA16AD}"/>
    <cellStyle name="Comma 4 2 2 12 3" xfId="42373" xr:uid="{292A422A-13D4-49F9-AD77-5B49C9590A8D}"/>
    <cellStyle name="Comma 4 2 2 13" xfId="17234" xr:uid="{F2A780C8-B219-4827-81B6-C56B8CCA433A}"/>
    <cellStyle name="Comma 4 2 2 14" xfId="33993" xr:uid="{84E4D8D7-AF32-4B97-91F8-DADA9192F4AC}"/>
    <cellStyle name="Comma 4 2 2 2" xfId="885" xr:uid="{0D5AF83A-2F6F-4DA5-9E7D-2FDE4D52D550}"/>
    <cellStyle name="Comma 4 2 2 2 2" xfId="4280" xr:uid="{39BCD55C-EBA1-421C-995D-45BB19097E37}"/>
    <cellStyle name="Comma 4 2 2 2 2 2" xfId="12660" xr:uid="{F34C844F-0087-4FFB-A6A4-7D13CFE0E827}"/>
    <cellStyle name="Comma 4 2 2 2 2 2 2" xfId="29420" xr:uid="{F56B3038-88DB-45EA-9EBF-8CCA505ECCE4}"/>
    <cellStyle name="Comma 4 2 2 2 2 2 3" xfId="46179" xr:uid="{62891C7D-EB3A-42E6-A352-A0D07DD49B06}"/>
    <cellStyle name="Comma 4 2 2 2 2 3" xfId="21040" xr:uid="{FF85CD61-2A2C-4C58-85C6-347E296A6AB5}"/>
    <cellStyle name="Comma 4 2 2 2 2 4" xfId="37799" xr:uid="{DCAF8AB2-53A9-4C37-BDD9-8F02483BFF71}"/>
    <cellStyle name="Comma 4 2 2 2 3" xfId="5967" xr:uid="{7CCE5BED-73DD-459A-99D2-C75E79E950CF}"/>
    <cellStyle name="Comma 4 2 2 2 3 2" xfId="14347" xr:uid="{D201018A-80B8-42AC-A039-C48957988702}"/>
    <cellStyle name="Comma 4 2 2 2 3 2 2" xfId="31107" xr:uid="{4EED1304-A141-4099-AC26-65EFDE1F1AAD}"/>
    <cellStyle name="Comma 4 2 2 2 3 2 3" xfId="47866" xr:uid="{FBACDFC0-17E3-4793-8E9E-286618869079}"/>
    <cellStyle name="Comma 4 2 2 2 3 3" xfId="22727" xr:uid="{A47ED0DD-FE30-46DB-8DDD-D71B39F3CC94}"/>
    <cellStyle name="Comma 4 2 2 2 3 4" xfId="39486" xr:uid="{7B1A15E5-6B91-4AC1-BEC2-D7AFD3106B9B}"/>
    <cellStyle name="Comma 4 2 2 2 4" xfId="2703" xr:uid="{64C63CC1-9FDF-4541-8C17-CF1AC0416F75}"/>
    <cellStyle name="Comma 4 2 2 2 4 2" xfId="11083" xr:uid="{1F53E2D7-37D6-499D-949D-9B4279C409B5}"/>
    <cellStyle name="Comma 4 2 2 2 4 2 2" xfId="27843" xr:uid="{0BD18FCE-6E44-4018-B6E0-E0CC23DB2A42}"/>
    <cellStyle name="Comma 4 2 2 2 4 2 3" xfId="44602" xr:uid="{C86F129B-0A66-4583-963C-DCD259E4CA79}"/>
    <cellStyle name="Comma 4 2 2 2 4 3" xfId="19463" xr:uid="{AD6B56E3-3672-4D63-997B-62F8DD5CCE45}"/>
    <cellStyle name="Comma 4 2 2 2 4 4" xfId="36222" xr:uid="{5729FCAE-95A4-4EB8-8847-D4685E1AE222}"/>
    <cellStyle name="Comma 4 2 2 2 5" xfId="9280" xr:uid="{2B7151D0-97A3-4ABB-B50F-99487DCB3780}"/>
    <cellStyle name="Comma 4 2 2 2 5 2" xfId="26040" xr:uid="{0B179821-9873-4CD6-80B7-C65F3FE1A7C8}"/>
    <cellStyle name="Comma 4 2 2 2 5 3" xfId="42799" xr:uid="{970E5F86-E7A8-4921-ABD7-0139633B9CD4}"/>
    <cellStyle name="Comma 4 2 2 2 6" xfId="17660" xr:uid="{3B2EE2E5-EDCB-4490-A526-8C93B6502D04}"/>
    <cellStyle name="Comma 4 2 2 2 7" xfId="34419" xr:uid="{6292BFBB-867F-49B3-8872-61EBB89EE880}"/>
    <cellStyle name="Comma 4 2 2 3" xfId="1319" xr:uid="{03784CDC-61FE-4742-81BA-953192B37DAC}"/>
    <cellStyle name="Comma 4 2 2 3 2" xfId="4708" xr:uid="{49D73603-84D4-441F-B019-5760273065F2}"/>
    <cellStyle name="Comma 4 2 2 3 2 2" xfId="13088" xr:uid="{41FA89A4-3EEB-4DB3-951A-7F1C1FA2FAD1}"/>
    <cellStyle name="Comma 4 2 2 3 2 2 2" xfId="29848" xr:uid="{990452D7-C64D-421E-B6BE-1D9E587BE8AF}"/>
    <cellStyle name="Comma 4 2 2 3 2 2 3" xfId="46607" xr:uid="{4B3B4EF0-F3C8-4DBE-ADB5-BB7CFCBE5833}"/>
    <cellStyle name="Comma 4 2 2 3 2 3" xfId="21468" xr:uid="{C3B143D3-90C2-4EC6-86BA-CDECE3E433FF}"/>
    <cellStyle name="Comma 4 2 2 3 2 4" xfId="38227" xr:uid="{7C5FB8E0-D3DB-4D6F-966C-5E06E5B3DEC8}"/>
    <cellStyle name="Comma 4 2 2 3 3" xfId="6395" xr:uid="{24074935-1C62-402B-8388-9C73B40F3AF4}"/>
    <cellStyle name="Comma 4 2 2 3 3 2" xfId="14775" xr:uid="{E511B3BF-A2F6-4D43-844F-49B6726F9AE7}"/>
    <cellStyle name="Comma 4 2 2 3 3 2 2" xfId="31535" xr:uid="{C40CB3D1-B261-49D9-81F0-EF16DF84050F}"/>
    <cellStyle name="Comma 4 2 2 3 3 2 3" xfId="48294" xr:uid="{8BE2D7BF-B85F-4CEE-9E0F-D14C966AED60}"/>
    <cellStyle name="Comma 4 2 2 3 3 3" xfId="23155" xr:uid="{24618D92-60A1-49D8-BC93-51B20550E9DE}"/>
    <cellStyle name="Comma 4 2 2 3 3 4" xfId="39914" xr:uid="{C90148C5-0B38-4D99-8811-2F03E42F448F}"/>
    <cellStyle name="Comma 4 2 2 3 4" xfId="3131" xr:uid="{4B1A6CFC-7D09-4ED5-A565-3E572B94A67E}"/>
    <cellStyle name="Comma 4 2 2 3 4 2" xfId="11511" xr:uid="{2858738D-EEE1-43E8-8847-449C04F1E88D}"/>
    <cellStyle name="Comma 4 2 2 3 4 2 2" xfId="28271" xr:uid="{07A7A545-7FEA-4486-B9E5-1A680DEE820E}"/>
    <cellStyle name="Comma 4 2 2 3 4 2 3" xfId="45030" xr:uid="{7F2F2172-AA19-4EE9-94D2-AD0F1F6209C1}"/>
    <cellStyle name="Comma 4 2 2 3 4 3" xfId="19891" xr:uid="{18DDC197-324D-4A0F-8D19-2179F229328D}"/>
    <cellStyle name="Comma 4 2 2 3 4 4" xfId="36650" xr:uid="{A81206F6-A1F7-4136-A4F0-BAA3F0BC46E4}"/>
    <cellStyle name="Comma 4 2 2 3 5" xfId="9708" xr:uid="{9091671E-4249-422D-9FD2-8A69E3D10884}"/>
    <cellStyle name="Comma 4 2 2 3 5 2" xfId="26468" xr:uid="{867F4A93-3F37-483A-BD91-2B9E4D32F64E}"/>
    <cellStyle name="Comma 4 2 2 3 5 3" xfId="43227" xr:uid="{6538DACD-44FA-4C35-B29D-722B0D151091}"/>
    <cellStyle name="Comma 4 2 2 3 6" xfId="18088" xr:uid="{44465B8A-DCA8-45BA-9A1B-29769E0B9BEC}"/>
    <cellStyle name="Comma 4 2 2 3 7" xfId="34847" xr:uid="{2B6F8D87-AEB5-41ED-BC31-E5C6EA6C1101}"/>
    <cellStyle name="Comma 4 2 2 4" xfId="1762" xr:uid="{A6A04B50-D03C-415C-A4F7-2E37164B8F31}"/>
    <cellStyle name="Comma 4 2 2 4 2" xfId="5151" xr:uid="{21196DCF-472C-4E13-8859-C47E9521976F}"/>
    <cellStyle name="Comma 4 2 2 4 2 2" xfId="13531" xr:uid="{8CD86E8C-3E15-4175-8A4A-B686835496DD}"/>
    <cellStyle name="Comma 4 2 2 4 2 2 2" xfId="30291" xr:uid="{20517AAC-2386-4EBC-8861-52CE09B7AD12}"/>
    <cellStyle name="Comma 4 2 2 4 2 2 3" xfId="47050" xr:uid="{41E6E40F-B48B-466F-8D06-4A6221588928}"/>
    <cellStyle name="Comma 4 2 2 4 2 3" xfId="21911" xr:uid="{B42BF1E4-24E8-4C83-A99B-EFD997610FE7}"/>
    <cellStyle name="Comma 4 2 2 4 2 4" xfId="38670" xr:uid="{DC480A0D-0AB6-4036-8670-EB207B782E59}"/>
    <cellStyle name="Comma 4 2 2 4 3" xfId="6838" xr:uid="{3DFA2805-AD83-491C-9A49-CE28EA082CB2}"/>
    <cellStyle name="Comma 4 2 2 4 3 2" xfId="15218" xr:uid="{993C6940-1C11-4471-933A-F7D7A3E6769E}"/>
    <cellStyle name="Comma 4 2 2 4 3 2 2" xfId="31978" xr:uid="{479D77EE-16C0-4E50-AEF2-E86970DD355B}"/>
    <cellStyle name="Comma 4 2 2 4 3 2 3" xfId="48737" xr:uid="{C632317D-7C8C-4734-BB7D-18462E503298}"/>
    <cellStyle name="Comma 4 2 2 4 3 3" xfId="23598" xr:uid="{81A33D55-D9C1-499F-B52A-421AC3B65DB0}"/>
    <cellStyle name="Comma 4 2 2 4 3 4" xfId="40357" xr:uid="{FB114F72-525B-49B6-A871-FBE172B522C3}"/>
    <cellStyle name="Comma 4 2 2 4 4" xfId="3462" xr:uid="{97783E8C-6B26-418E-8C78-ABF9545D95FB}"/>
    <cellStyle name="Comma 4 2 2 4 4 2" xfId="11842" xr:uid="{260343FA-AE4E-4F41-AAB2-56EFFBC779A9}"/>
    <cellStyle name="Comma 4 2 2 4 4 2 2" xfId="28602" xr:uid="{A1A9532D-852C-40D9-8452-7883E7A27744}"/>
    <cellStyle name="Comma 4 2 2 4 4 2 3" xfId="45361" xr:uid="{CE4A4634-8D99-4964-93EA-47F0733A931E}"/>
    <cellStyle name="Comma 4 2 2 4 4 3" xfId="20222" xr:uid="{0C62274A-2419-431C-A315-76B3000A0D5F}"/>
    <cellStyle name="Comma 4 2 2 4 4 4" xfId="36981" xr:uid="{49C9F791-D460-4A62-88C2-FCBFDBB69049}"/>
    <cellStyle name="Comma 4 2 2 4 5" xfId="10151" xr:uid="{26AFFF91-4A87-48D9-9193-AF89AB86965E}"/>
    <cellStyle name="Comma 4 2 2 4 5 2" xfId="26911" xr:uid="{AEC84F26-9BA5-4577-9D90-04A8A6AB3062}"/>
    <cellStyle name="Comma 4 2 2 4 5 3" xfId="43670" xr:uid="{E294B3A3-D872-46FE-BEAB-363D332CE7E6}"/>
    <cellStyle name="Comma 4 2 2 4 6" xfId="18531" xr:uid="{869D105C-A542-471F-BE17-5FC2093472B6}"/>
    <cellStyle name="Comma 4 2 2 4 7" xfId="35290" xr:uid="{0D673FD6-4244-4598-9030-8C303213946F}"/>
    <cellStyle name="Comma 4 2 2 5" xfId="3881" xr:uid="{3309CC73-B81B-49C3-AEF0-E73EDF5BFAA7}"/>
    <cellStyle name="Comma 4 2 2 5 2" xfId="12261" xr:uid="{5E699BDE-54B4-44FD-AF80-8C897D941AED}"/>
    <cellStyle name="Comma 4 2 2 5 2 2" xfId="29021" xr:uid="{D79568B7-3794-4B92-A7D3-6FC3A22820C9}"/>
    <cellStyle name="Comma 4 2 2 5 2 3" xfId="45780" xr:uid="{3D423AEA-99BC-48D7-8A18-B28061D60A49}"/>
    <cellStyle name="Comma 4 2 2 5 3" xfId="20641" xr:uid="{5227E46B-561B-4394-940E-5150E271B423}"/>
    <cellStyle name="Comma 4 2 2 5 4" xfId="37400" xr:uid="{71891869-E47E-4427-98FC-36857E4E9169}"/>
    <cellStyle name="Comma 4 2 2 6" xfId="5541" xr:uid="{EE996CC6-19D2-4077-875E-3B1356DC4A76}"/>
    <cellStyle name="Comma 4 2 2 6 2" xfId="13921" xr:uid="{34B640FB-89FC-4DDB-AA26-E0E8DAE18FB0}"/>
    <cellStyle name="Comma 4 2 2 6 2 2" xfId="30681" xr:uid="{2C1336FE-8DB8-4E38-BC84-E8E19AFDE749}"/>
    <cellStyle name="Comma 4 2 2 6 2 3" xfId="47440" xr:uid="{C17533E6-4589-4B63-BD4D-E1D033996646}"/>
    <cellStyle name="Comma 4 2 2 6 3" xfId="22301" xr:uid="{8AE87837-AAA2-4475-9D78-E9DF3788784D}"/>
    <cellStyle name="Comma 4 2 2 6 4" xfId="39060" xr:uid="{71A541CD-B510-4FBB-B463-F4B41DA664ED}"/>
    <cellStyle name="Comma 4 2 2 7" xfId="7244" xr:uid="{F9A90A7E-8104-45D2-8127-530CFC57BBB6}"/>
    <cellStyle name="Comma 4 2 2 7 2" xfId="15624" xr:uid="{1FF7CD6D-D85E-4D7E-8470-6DE971928406}"/>
    <cellStyle name="Comma 4 2 2 7 2 2" xfId="32384" xr:uid="{A85EAE1B-CDA4-4B55-A17F-3A8F01E1C54F}"/>
    <cellStyle name="Comma 4 2 2 7 2 3" xfId="49143" xr:uid="{64665F33-1D55-4027-8C60-F2829A85DFE4}"/>
    <cellStyle name="Comma 4 2 2 7 3" xfId="24004" xr:uid="{7413BB28-5499-4CA1-8144-4289854DA0EF}"/>
    <cellStyle name="Comma 4 2 2 7 4" xfId="40763" xr:uid="{1285C86D-DC50-49F3-8002-DA4D8D5245B6}"/>
    <cellStyle name="Comma 4 2 2 8" xfId="7650" xr:uid="{44CF57F1-C6C1-4004-80F8-59D0D36C9075}"/>
    <cellStyle name="Comma 4 2 2 8 2" xfId="16030" xr:uid="{42831802-37F6-4D8D-B6F2-0C6621FE21DC}"/>
    <cellStyle name="Comma 4 2 2 8 2 2" xfId="32790" xr:uid="{0C8C0DBC-3913-433C-9C24-8C042754CDB2}"/>
    <cellStyle name="Comma 4 2 2 8 2 3" xfId="49549" xr:uid="{A9B49365-8DF6-4FDA-8E33-E5C652D714DF}"/>
    <cellStyle name="Comma 4 2 2 8 3" xfId="24410" xr:uid="{3FB0C498-F7E6-4695-805B-9E92C11C3E47}"/>
    <cellStyle name="Comma 4 2 2 8 4" xfId="41169" xr:uid="{8ED414E8-1E7A-4246-B0BA-B5307B1F99E2}"/>
    <cellStyle name="Comma 4 2 2 9" xfId="8056" xr:uid="{3227AA78-A766-4910-B6FC-2629046D062F}"/>
    <cellStyle name="Comma 4 2 2 9 2" xfId="16436" xr:uid="{A97A1066-3FD8-4293-8447-B30CE8BE9038}"/>
    <cellStyle name="Comma 4 2 2 9 2 2" xfId="33196" xr:uid="{DB29AF1B-5E92-4218-A78E-7E022CFECBE9}"/>
    <cellStyle name="Comma 4 2 2 9 2 3" xfId="49955" xr:uid="{36FB4C2F-C193-46B8-8557-56C8D8BF998D}"/>
    <cellStyle name="Comma 4 2 2 9 3" xfId="24816" xr:uid="{420682A7-1685-472E-A0D8-71D6F8C7BB06}"/>
    <cellStyle name="Comma 4 2 2 9 4" xfId="41575" xr:uid="{031A0761-6BF7-4437-8753-43384F7D52BB}"/>
    <cellStyle name="Comma 4 2 3" xfId="325" xr:uid="{6EB7DB12-27F5-439B-B039-20097D933673}"/>
    <cellStyle name="Comma 4 2 3 2" xfId="1194" xr:uid="{CC927C5F-1D20-417E-AD6D-0EFBD0E49C01}"/>
    <cellStyle name="Comma 4 2 3 2 2" xfId="4584" xr:uid="{10A18D27-2AE5-4915-99CE-1DC09B3AB832}"/>
    <cellStyle name="Comma 4 2 3 2 2 2" xfId="12964" xr:uid="{79EFF534-9714-4159-99B0-0C802D6F92B1}"/>
    <cellStyle name="Comma 4 2 3 2 2 2 2" xfId="29724" xr:uid="{EA217149-3E47-4926-A17F-D9E3201BBB3F}"/>
    <cellStyle name="Comma 4 2 3 2 2 2 3" xfId="46483" xr:uid="{152C51A3-39E9-4BDD-A48C-ECFED1EB6897}"/>
    <cellStyle name="Comma 4 2 3 2 2 3" xfId="21344" xr:uid="{AFEAD0CE-5208-403D-B113-076AF13792D7}"/>
    <cellStyle name="Comma 4 2 3 2 2 4" xfId="38103" xr:uid="{98813E7E-A1DB-478B-8949-DF8C879B10E0}"/>
    <cellStyle name="Comma 4 2 3 2 3" xfId="6271" xr:uid="{FB49995D-DC26-46C0-A7D3-8ADFF7E5F578}"/>
    <cellStyle name="Comma 4 2 3 2 3 2" xfId="14651" xr:uid="{BD374C7C-001C-4460-A042-9A6C9E8F55A5}"/>
    <cellStyle name="Comma 4 2 3 2 3 2 2" xfId="31411" xr:uid="{156269F1-6535-4F00-B200-0CBFEA6E7236}"/>
    <cellStyle name="Comma 4 2 3 2 3 2 3" xfId="48170" xr:uid="{0B92750E-908C-4FBA-BAA8-3925DB9B545B}"/>
    <cellStyle name="Comma 4 2 3 2 3 3" xfId="23031" xr:uid="{D89B81C2-F829-4D26-AC09-96AB6740F722}"/>
    <cellStyle name="Comma 4 2 3 2 3 4" xfId="39790" xr:uid="{30D10C22-C911-4C61-8DE0-72E5ED26CF69}"/>
    <cellStyle name="Comma 4 2 3 2 4" xfId="3007" xr:uid="{0C55EC5D-58D2-4E96-A18A-B03EC8AD25BA}"/>
    <cellStyle name="Comma 4 2 3 2 4 2" xfId="11387" xr:uid="{8C539CBF-D9F2-4951-A898-1579E711B524}"/>
    <cellStyle name="Comma 4 2 3 2 4 2 2" xfId="28147" xr:uid="{5E5539F9-F090-412C-8628-45633AB5C9A4}"/>
    <cellStyle name="Comma 4 2 3 2 4 2 3" xfId="44906" xr:uid="{051025CE-BB5F-407D-AF52-D7FEABA97738}"/>
    <cellStyle name="Comma 4 2 3 2 4 3" xfId="19767" xr:uid="{B39762DC-4E11-47EE-B3AF-500C7E7BA30A}"/>
    <cellStyle name="Comma 4 2 3 2 4 4" xfId="36526" xr:uid="{976C4D1B-7DE9-4390-A9F3-903C7BE83F81}"/>
    <cellStyle name="Comma 4 2 3 2 5" xfId="9584" xr:uid="{10BB4C66-B214-428D-BDFF-7C022FCBA843}"/>
    <cellStyle name="Comma 4 2 3 2 5 2" xfId="26344" xr:uid="{CFD2001E-24AA-4D91-8FC2-9A05F857D4B1}"/>
    <cellStyle name="Comma 4 2 3 2 5 3" xfId="43103" xr:uid="{8B898C99-D807-45DF-B681-3D71AE126138}"/>
    <cellStyle name="Comma 4 2 3 2 6" xfId="17964" xr:uid="{F4AE5613-34F1-46D1-8608-87B2185366B5}"/>
    <cellStyle name="Comma 4 2 3 2 7" xfId="34723" xr:uid="{E29FB7C8-DC3E-4167-BD67-479E247FDADA}"/>
    <cellStyle name="Comma 4 2 3 3" xfId="1919" xr:uid="{6AEC5682-5AF8-488A-AC3A-A357B85BEE48}"/>
    <cellStyle name="Comma 4 2 3 3 2" xfId="5308" xr:uid="{24F60BF4-DA94-4DC0-99F1-BE746885145D}"/>
    <cellStyle name="Comma 4 2 3 3 2 2" xfId="13688" xr:uid="{7F0CF204-5C43-453F-883E-441CA251DCA7}"/>
    <cellStyle name="Comma 4 2 3 3 2 2 2" xfId="30448" xr:uid="{21D101E4-C184-43AC-B33A-BB9F582D12F7}"/>
    <cellStyle name="Comma 4 2 3 3 2 2 3" xfId="47207" xr:uid="{39C8995C-338C-4C22-B03E-6FD4AB63A990}"/>
    <cellStyle name="Comma 4 2 3 3 2 3" xfId="22068" xr:uid="{D5AE3E3E-7197-4FE8-B498-23FF94137447}"/>
    <cellStyle name="Comma 4 2 3 3 2 4" xfId="38827" xr:uid="{04C7761F-8854-4AB0-8836-E48D9CB22E9F}"/>
    <cellStyle name="Comma 4 2 3 3 3" xfId="6995" xr:uid="{0A80D9FE-391F-4D11-B150-49DC11DADE0D}"/>
    <cellStyle name="Comma 4 2 3 3 3 2" xfId="15375" xr:uid="{BE23F545-7665-47D9-9E41-BA0E436155A8}"/>
    <cellStyle name="Comma 4 2 3 3 3 2 2" xfId="32135" xr:uid="{5F94F187-0E0D-477B-8EB7-F7F0D3D423EE}"/>
    <cellStyle name="Comma 4 2 3 3 3 2 3" xfId="48894" xr:uid="{8082E6A9-BCD6-41F0-BA37-168783B920AC}"/>
    <cellStyle name="Comma 4 2 3 3 3 3" xfId="23755" xr:uid="{3DBF974F-DB75-4B32-BF59-6D1C730BB5DC}"/>
    <cellStyle name="Comma 4 2 3 3 3 4" xfId="40514" xr:uid="{5A066E81-EC21-470F-AEBF-4E1B574F31CF}"/>
    <cellStyle name="Comma 4 2 3 3 4" xfId="3618" xr:uid="{3D7869EC-6D47-4C51-BD6F-D456CB0CAC61}"/>
    <cellStyle name="Comma 4 2 3 3 4 2" xfId="11998" xr:uid="{B2F5CD6A-0563-487D-B900-62066C170D3B}"/>
    <cellStyle name="Comma 4 2 3 3 4 2 2" xfId="28758" xr:uid="{EC5ED2AA-3602-4C83-87FA-6E16F5F30DB1}"/>
    <cellStyle name="Comma 4 2 3 3 4 2 3" xfId="45517" xr:uid="{09A4364A-E909-4B4B-B744-FE582E1F8932}"/>
    <cellStyle name="Comma 4 2 3 3 4 3" xfId="20378" xr:uid="{BB91FDD0-CFFF-4433-8E46-2994CCC67190}"/>
    <cellStyle name="Comma 4 2 3 3 4 4" xfId="37137" xr:uid="{0E7C18DB-AFD1-4F66-A792-B2EC87A97895}"/>
    <cellStyle name="Comma 4 2 3 3 5" xfId="10308" xr:uid="{F698BB92-F961-4247-B277-E34D2E595300}"/>
    <cellStyle name="Comma 4 2 3 3 5 2" xfId="27068" xr:uid="{9A1F4EFC-A7D4-446F-9A65-446E1CE99418}"/>
    <cellStyle name="Comma 4 2 3 3 5 3" xfId="43827" xr:uid="{E82252A3-DBE6-4190-BE2A-25EBA1EFED0D}"/>
    <cellStyle name="Comma 4 2 3 3 6" xfId="18688" xr:uid="{0F81CA46-11FD-492F-8BEA-0856CE740802}"/>
    <cellStyle name="Comma 4 2 3 3 7" xfId="35447" xr:uid="{4230991F-BA54-4A38-8C34-29010E24304A}"/>
    <cellStyle name="Comma 4 2 3 4" xfId="4038" xr:uid="{48698526-416D-4E94-8190-7E71764C110A}"/>
    <cellStyle name="Comma 4 2 3 4 2" xfId="12418" xr:uid="{3A90E25D-BA82-447D-88CE-C79519C9521E}"/>
    <cellStyle name="Comma 4 2 3 4 2 2" xfId="29178" xr:uid="{79A4FDC4-8519-4D46-BEE4-5AE955AD4703}"/>
    <cellStyle name="Comma 4 2 3 4 2 3" xfId="45937" xr:uid="{EFC048BA-C6DE-49B8-95D8-C6241013A214}"/>
    <cellStyle name="Comma 4 2 3 4 3" xfId="20798" xr:uid="{D42B3EAE-0B01-4759-8179-10551DEB8F3C}"/>
    <cellStyle name="Comma 4 2 3 4 4" xfId="37557" xr:uid="{6D14758A-EC48-4C81-A31D-6E624F190065}"/>
    <cellStyle name="Comma 4 2 3 5" xfId="7401" xr:uid="{90EB4D5B-1E1D-41BE-BCAF-3DBAE159CADC}"/>
    <cellStyle name="Comma 4 2 3 5 2" xfId="15781" xr:uid="{7ADD1718-64D3-4503-84C7-EFFADC4E3712}"/>
    <cellStyle name="Comma 4 2 3 5 2 2" xfId="32541" xr:uid="{61FC9E9D-558A-43EF-BE30-534E1283CF06}"/>
    <cellStyle name="Comma 4 2 3 5 2 3" xfId="49300" xr:uid="{921304E8-7114-47BB-BC54-752077FEFFA6}"/>
    <cellStyle name="Comma 4 2 3 5 3" xfId="24161" xr:uid="{2F16F337-D6A4-46C5-BB75-47ED55294463}"/>
    <cellStyle name="Comma 4 2 3 5 4" xfId="40920" xr:uid="{D13E7049-8ADC-4D6D-AF4A-39A32A8F1D39}"/>
    <cellStyle name="Comma 4 2 3 6" xfId="7807" xr:uid="{A704F4A9-113B-4F99-BEED-7B41569D4AF8}"/>
    <cellStyle name="Comma 4 2 3 6 2" xfId="16187" xr:uid="{0EBC1233-1EE5-4C67-8617-8C22613ADA8D}"/>
    <cellStyle name="Comma 4 2 3 6 2 2" xfId="32947" xr:uid="{B70AE620-0D5E-4326-B728-CA64CC3D290B}"/>
    <cellStyle name="Comma 4 2 3 6 2 3" xfId="49706" xr:uid="{DA00B3EB-0172-4353-8B06-FB7EF836B52B}"/>
    <cellStyle name="Comma 4 2 3 6 3" xfId="24567" xr:uid="{DC57F8F1-A384-45A7-AEEA-29B8370F0148}"/>
    <cellStyle name="Comma 4 2 3 6 4" xfId="41326" xr:uid="{7928EFAD-6E35-452E-B3BD-7E433DCB4606}"/>
    <cellStyle name="Comma 4 2 3 7" xfId="8213" xr:uid="{773BE2D3-2C84-4A53-99E0-04D59E5A982C}"/>
    <cellStyle name="Comma 4 2 3 7 2" xfId="16593" xr:uid="{9475C51F-10D4-4AF4-93BE-048EB29DF51A}"/>
    <cellStyle name="Comma 4 2 3 7 2 2" xfId="33353" xr:uid="{A495911A-1B1B-458F-B335-A75AC9E4FEF0}"/>
    <cellStyle name="Comma 4 2 3 7 2 3" xfId="50112" xr:uid="{AF347A70-F8F0-4764-B73B-95A6E50AA187}"/>
    <cellStyle name="Comma 4 2 3 7 3" xfId="24973" xr:uid="{2FA8806A-1DC6-449B-B848-84A863695619}"/>
    <cellStyle name="Comma 4 2 3 7 4" xfId="41732" xr:uid="{0F505F56-0D9B-48BD-BA26-16FB23459A36}"/>
    <cellStyle name="Comma 4 2 3 8" xfId="8619" xr:uid="{3BE07494-2490-4A83-8CE5-3BED4D8B9075}"/>
    <cellStyle name="Comma 4 2 3 8 2" xfId="16999" xr:uid="{D1FCB96F-D407-4B85-BA7C-FE583F32ED17}"/>
    <cellStyle name="Comma 4 2 3 8 2 2" xfId="33759" xr:uid="{12F8579C-A757-4E97-9636-CD5D32D6C8D4}"/>
    <cellStyle name="Comma 4 2 3 8 2 3" xfId="50518" xr:uid="{7B1BF3C4-7E9F-4FA2-8AE1-919F8DB0937B}"/>
    <cellStyle name="Comma 4 2 3 8 3" xfId="25379" xr:uid="{1EE1AE0B-74F1-4899-BD70-5DB8358659CD}"/>
    <cellStyle name="Comma 4 2 3 8 4" xfId="42138" xr:uid="{A6ECB4D3-C2DA-4E8A-B476-5837F626355B}"/>
    <cellStyle name="Comma 4 2 4" xfId="811" xr:uid="{6A2CBAD5-A8E5-4E34-BF90-3E1E53C4A2C9}"/>
    <cellStyle name="Comma 4 2 4 2" xfId="4206" xr:uid="{B9DD4670-8E68-4F67-9112-4C1CF5399DAE}"/>
    <cellStyle name="Comma 4 2 4 2 2" xfId="12586" xr:uid="{CC09959D-DF58-41A4-B7A1-1CDC042C63C1}"/>
    <cellStyle name="Comma 4 2 4 2 2 2" xfId="29346" xr:uid="{5BE90A26-8740-4D17-AB1B-DF499A43CD7C}"/>
    <cellStyle name="Comma 4 2 4 2 2 3" xfId="46105" xr:uid="{C72C10D7-12C4-4C6F-AF9A-BDA0BB50CCA1}"/>
    <cellStyle name="Comma 4 2 4 2 3" xfId="20966" xr:uid="{9744CA99-58A2-4BAD-BE1D-8B709FB187BF}"/>
    <cellStyle name="Comma 4 2 4 2 4" xfId="37725" xr:uid="{70C794D0-A00C-4AA7-843C-1C9FCD427645}"/>
    <cellStyle name="Comma 4 2 4 3" xfId="5893" xr:uid="{DA68A24C-2099-4F6A-801B-D58D6623A851}"/>
    <cellStyle name="Comma 4 2 4 3 2" xfId="14273" xr:uid="{1920C2E3-18F2-4614-854E-960701B75991}"/>
    <cellStyle name="Comma 4 2 4 3 2 2" xfId="31033" xr:uid="{BF136DBA-8FEB-41B4-90BA-B6B5329FF68D}"/>
    <cellStyle name="Comma 4 2 4 3 2 3" xfId="47792" xr:uid="{512B9277-FCAE-4E9F-B4EE-902DCDAA1D0B}"/>
    <cellStyle name="Comma 4 2 4 3 3" xfId="22653" xr:uid="{62430213-1220-4776-B650-7A43C6028713}"/>
    <cellStyle name="Comma 4 2 4 3 4" xfId="39412" xr:uid="{046C6F19-BE3F-4DC5-97D2-1AF262D29269}"/>
    <cellStyle name="Comma 4 2 4 4" xfId="2629" xr:uid="{E7299F5D-A9AA-4698-9121-F1640AEE1908}"/>
    <cellStyle name="Comma 4 2 4 4 2" xfId="11009" xr:uid="{5003558D-462A-4176-92FC-D6759235D5AB}"/>
    <cellStyle name="Comma 4 2 4 4 2 2" xfId="27769" xr:uid="{C9E59A29-A288-41AF-A68B-5921E9CBAABB}"/>
    <cellStyle name="Comma 4 2 4 4 2 3" xfId="44528" xr:uid="{086F181E-F0D2-447C-8386-7364FF3FF3BB}"/>
    <cellStyle name="Comma 4 2 4 4 3" xfId="19389" xr:uid="{D67A1F2B-6A43-40D8-81F9-59FAD82AB624}"/>
    <cellStyle name="Comma 4 2 4 4 4" xfId="36148" xr:uid="{F1341D21-A725-44B0-8460-18C642ED446B}"/>
    <cellStyle name="Comma 4 2 4 5" xfId="9206" xr:uid="{C3C2BABB-3763-4CDA-A335-C59E535F61A5}"/>
    <cellStyle name="Comma 4 2 4 5 2" xfId="25966" xr:uid="{0EB402F8-2ACC-44DC-87F7-0A726D4676F6}"/>
    <cellStyle name="Comma 4 2 4 5 3" xfId="42725" xr:uid="{9A68DE3B-F34D-4072-8272-F37B1DAC3A0B}"/>
    <cellStyle name="Comma 4 2 4 6" xfId="17586" xr:uid="{FCE0E9AC-DC84-49F7-84F1-8A274DCA55AC}"/>
    <cellStyle name="Comma 4 2 4 7" xfId="34345" xr:uid="{3F4B6076-F0C6-4EA3-B05E-F646CCD055E3}"/>
    <cellStyle name="Comma 4 2 5" xfId="1245" xr:uid="{51F666C6-8D13-4B26-85CC-263CD5EB4FCE}"/>
    <cellStyle name="Comma 4 2 5 2" xfId="4634" xr:uid="{D9942E95-B0BA-4262-B4E7-10628ADC6C34}"/>
    <cellStyle name="Comma 4 2 5 2 2" xfId="13014" xr:uid="{CABA6B56-3C55-4DDA-852A-02DDFC86B9E4}"/>
    <cellStyle name="Comma 4 2 5 2 2 2" xfId="29774" xr:uid="{EA36056A-030F-4D03-AA05-A18F5D90DB99}"/>
    <cellStyle name="Comma 4 2 5 2 2 3" xfId="46533" xr:uid="{9FF97722-30C9-40A0-B8C9-FF6620FD5A46}"/>
    <cellStyle name="Comma 4 2 5 2 3" xfId="21394" xr:uid="{3D0DD037-EE2B-4290-A29B-DFD76D9AF178}"/>
    <cellStyle name="Comma 4 2 5 2 4" xfId="38153" xr:uid="{C6FC9B6C-86F2-4773-8074-0DDD7AE1EF76}"/>
    <cellStyle name="Comma 4 2 5 3" xfId="6321" xr:uid="{FA49536E-3397-4C3E-A737-7F6EDA33211B}"/>
    <cellStyle name="Comma 4 2 5 3 2" xfId="14701" xr:uid="{A4BBCD7C-07FF-4DBF-A5E7-A5125F0905D5}"/>
    <cellStyle name="Comma 4 2 5 3 2 2" xfId="31461" xr:uid="{D9CCB31E-D2EB-4470-B2C5-887CC10952B7}"/>
    <cellStyle name="Comma 4 2 5 3 2 3" xfId="48220" xr:uid="{2B472471-D310-493C-9096-A789FF043650}"/>
    <cellStyle name="Comma 4 2 5 3 3" xfId="23081" xr:uid="{B1FFFF0A-1A41-481F-951C-27EE1E89A4B0}"/>
    <cellStyle name="Comma 4 2 5 3 4" xfId="39840" xr:uid="{F7DB357C-E041-4D49-B8CA-CB8419E13FC1}"/>
    <cellStyle name="Comma 4 2 5 4" xfId="3057" xr:uid="{572DBBD2-83EB-4142-B129-0D9D7921CA33}"/>
    <cellStyle name="Comma 4 2 5 4 2" xfId="11437" xr:uid="{D4DAADF6-4929-4793-90D2-668715564A4D}"/>
    <cellStyle name="Comma 4 2 5 4 2 2" xfId="28197" xr:uid="{D7C65394-4C69-43AB-9262-37D55BAD4686}"/>
    <cellStyle name="Comma 4 2 5 4 2 3" xfId="44956" xr:uid="{79CE7061-2703-411A-AFEC-2BCF355A3102}"/>
    <cellStyle name="Comma 4 2 5 4 3" xfId="19817" xr:uid="{8E83257F-1925-4F96-B5C9-1F6B7EAA8DED}"/>
    <cellStyle name="Comma 4 2 5 4 4" xfId="36576" xr:uid="{F2C7697B-96D1-4916-9048-E9422BFC58A6}"/>
    <cellStyle name="Comma 4 2 5 5" xfId="9634" xr:uid="{381BE919-0676-474B-BED4-175AAD79C6E6}"/>
    <cellStyle name="Comma 4 2 5 5 2" xfId="26394" xr:uid="{7BE4E8BC-902C-48D4-99F0-4FDFBCCB35BC}"/>
    <cellStyle name="Comma 4 2 5 5 3" xfId="43153" xr:uid="{928808BA-C794-4767-88C0-D896EF9F8DC8}"/>
    <cellStyle name="Comma 4 2 5 6" xfId="18014" xr:uid="{AE347479-7312-4A63-A1F5-F45F834A0056}"/>
    <cellStyle name="Comma 4 2 5 7" xfId="34773" xr:uid="{387A0F4A-AF44-411B-950C-7CF2926FA758}"/>
    <cellStyle name="Comma 4 2 6" xfId="1648" xr:uid="{E88AB545-DDD8-43CD-BE59-504ADE06E709}"/>
    <cellStyle name="Comma 4 2 6 2" xfId="5037" xr:uid="{BD2877C7-AC5F-4026-B48B-2042F91AA9C8}"/>
    <cellStyle name="Comma 4 2 6 2 2" xfId="13417" xr:uid="{46F96A07-6B0D-412D-BB8E-7505B0F9A955}"/>
    <cellStyle name="Comma 4 2 6 2 2 2" xfId="30177" xr:uid="{AB2B5FA7-FDEF-480B-B9DE-BA746012A22D}"/>
    <cellStyle name="Comma 4 2 6 2 2 3" xfId="46936" xr:uid="{F9E247D4-D551-497B-9AA6-46D30D88744D}"/>
    <cellStyle name="Comma 4 2 6 2 3" xfId="21797" xr:uid="{EECE2F9C-65D8-4482-A279-24287412CA12}"/>
    <cellStyle name="Comma 4 2 6 2 4" xfId="38556" xr:uid="{584829C6-212D-429D-AC39-E82DE01ACD71}"/>
    <cellStyle name="Comma 4 2 6 3" xfId="6724" xr:uid="{E0C46371-C84F-4F7C-BE37-54E564333EAC}"/>
    <cellStyle name="Comma 4 2 6 3 2" xfId="15104" xr:uid="{A56D7408-433D-4C90-A503-F047A5BB2377}"/>
    <cellStyle name="Comma 4 2 6 3 2 2" xfId="31864" xr:uid="{6A63CA7E-5634-45AF-BE28-79FE2BBE2A96}"/>
    <cellStyle name="Comma 4 2 6 3 2 3" xfId="48623" xr:uid="{0729B469-E670-4412-8150-25C671FC0EB8}"/>
    <cellStyle name="Comma 4 2 6 3 3" xfId="23484" xr:uid="{7702B116-C79A-4370-A9A3-6F1D6D668BF4}"/>
    <cellStyle name="Comma 4 2 6 3 4" xfId="40243" xr:uid="{5153D210-F62F-4ACD-B981-A64477B1E465}"/>
    <cellStyle name="Comma 4 2 6 4" xfId="2196" xr:uid="{7C666FD8-0ECA-42CE-81CD-51D863906E5E}"/>
    <cellStyle name="Comma 4 2 6 4 2" xfId="10583" xr:uid="{1FA1DD61-A9E9-4F35-99CD-ACEBB3BA0383}"/>
    <cellStyle name="Comma 4 2 6 4 2 2" xfId="27343" xr:uid="{AE69A895-D095-4ED3-AFA6-B85730D3BCB2}"/>
    <cellStyle name="Comma 4 2 6 4 2 3" xfId="44102" xr:uid="{6E9BB04D-78F9-4BDD-9A1B-DE5DFE98188E}"/>
    <cellStyle name="Comma 4 2 6 4 3" xfId="18963" xr:uid="{6DC77AE3-48D9-46E3-BB27-4BD1E868CD19}"/>
    <cellStyle name="Comma 4 2 6 4 4" xfId="35722" xr:uid="{1CAE3099-A9D2-48A4-92A4-B2123B1A594C}"/>
    <cellStyle name="Comma 4 2 6 5" xfId="10037" xr:uid="{ECC42A23-75F5-4A6A-B089-E7CE02D3BDE2}"/>
    <cellStyle name="Comma 4 2 6 5 2" xfId="26797" xr:uid="{963D89BF-ECBC-4EB2-A145-B7300D6D31EF}"/>
    <cellStyle name="Comma 4 2 6 5 3" xfId="43556" xr:uid="{AA34ACC3-BF65-4B94-8C92-17CC1A399960}"/>
    <cellStyle name="Comma 4 2 6 6" xfId="18417" xr:uid="{28AF5F0C-5900-4E5A-AB1F-489A2D9DDDD5}"/>
    <cellStyle name="Comma 4 2 6 7" xfId="35176" xr:uid="{1DA1587F-D017-49A3-9910-C0A86E9D3D20}"/>
    <cellStyle name="Comma 4 2 7" xfId="3766" xr:uid="{4C912118-E1BC-4F2A-93AD-F5652ACC64EA}"/>
    <cellStyle name="Comma 4 2 7 2" xfId="12146" xr:uid="{A596602F-01E3-4FE8-BED0-310B09BE7258}"/>
    <cellStyle name="Comma 4 2 7 2 2" xfId="28906" xr:uid="{E4B8F564-DCB9-4BA8-8113-C2DFAA11ADA2}"/>
    <cellStyle name="Comma 4 2 7 2 3" xfId="45665" xr:uid="{32AC21D0-762A-4B04-B9CE-B7262520CD42}"/>
    <cellStyle name="Comma 4 2 7 3" xfId="20526" xr:uid="{2A78D348-593C-4FE4-8B33-46F609C81D6F}"/>
    <cellStyle name="Comma 4 2 7 4" xfId="37285" xr:uid="{4D39EC09-930A-4B73-824F-BC696AEC7FB1}"/>
    <cellStyle name="Comma 4 2 8" xfId="5467" xr:uid="{02D12FBF-DC75-49CF-AE8B-89B31FF70010}"/>
    <cellStyle name="Comma 4 2 8 2" xfId="13847" xr:uid="{7F4EBA06-206D-4B90-B981-578A8FEA48E9}"/>
    <cellStyle name="Comma 4 2 8 2 2" xfId="30607" xr:uid="{086C5ABB-87F2-43C6-AA28-2D3F38A22710}"/>
    <cellStyle name="Comma 4 2 8 2 3" xfId="47366" xr:uid="{383B2F88-5FC2-4D30-8290-69B4565D9FB4}"/>
    <cellStyle name="Comma 4 2 8 3" xfId="22227" xr:uid="{FF678DF0-D54A-4C86-94C9-EE09CE1F3F49}"/>
    <cellStyle name="Comma 4 2 8 4" xfId="38986" xr:uid="{0315C548-41CF-4066-A4C0-B6298996D493}"/>
    <cellStyle name="Comma 4 2 9" xfId="7130" xr:uid="{2D129490-67CF-4289-8A8F-EAB9B224C12B}"/>
    <cellStyle name="Comma 4 2 9 2" xfId="15510" xr:uid="{3934BB42-1741-498C-9995-0C511828F467}"/>
    <cellStyle name="Comma 4 2 9 2 2" xfId="32270" xr:uid="{043FF07E-4C5F-4052-8B79-8C6F0BFC4EFE}"/>
    <cellStyle name="Comma 4 2 9 2 3" xfId="49029" xr:uid="{29A098BD-6CA1-40E7-8B08-CBC537E9B1BE}"/>
    <cellStyle name="Comma 4 2 9 3" xfId="23890" xr:uid="{508E812E-B4F3-4241-8BBA-7D452845727D}"/>
    <cellStyle name="Comma 4 2 9 4" xfId="40649" xr:uid="{FE867257-1EA4-4E41-9AEE-75DA9B2E3D3A}"/>
    <cellStyle name="Comma 4 20" xfId="114" xr:uid="{595EBA6C-F390-4ACF-A280-55971B4FF59A}"/>
    <cellStyle name="Comma 4 3" xfId="362" xr:uid="{849A0950-BA3B-45AF-B07E-6CE0F03691CD}"/>
    <cellStyle name="Comma 4 3 10" xfId="7537" xr:uid="{EEBF17EC-BBD1-4091-A3F1-9B4C5801CFD6}"/>
    <cellStyle name="Comma 4 3 10 2" xfId="15917" xr:uid="{A8B8A8C1-E105-4ED5-A79D-A940367CAE3D}"/>
    <cellStyle name="Comma 4 3 10 2 2" xfId="32677" xr:uid="{FA1BA521-94FC-423A-9089-CB115E85B2F4}"/>
    <cellStyle name="Comma 4 3 10 2 3" xfId="49436" xr:uid="{64147732-C710-409F-94A4-B64369FB5CE2}"/>
    <cellStyle name="Comma 4 3 10 3" xfId="24297" xr:uid="{074EF71F-82F4-45DB-9A86-3FB4A70C5586}"/>
    <cellStyle name="Comma 4 3 10 4" xfId="41056" xr:uid="{B83A7E40-AD16-4FC8-9B71-89843716763E}"/>
    <cellStyle name="Comma 4 3 11" xfId="7943" xr:uid="{2F322DBE-9CBB-435C-A91E-6DDAC6FFF260}"/>
    <cellStyle name="Comma 4 3 11 2" xfId="16323" xr:uid="{DA2C5C63-9DF4-4514-A1DB-FEF298299D9A}"/>
    <cellStyle name="Comma 4 3 11 2 2" xfId="33083" xr:uid="{9EEAACD2-96B7-4C34-8C96-2F8683147A4B}"/>
    <cellStyle name="Comma 4 3 11 2 3" xfId="49842" xr:uid="{7897C768-0215-4586-AEF3-64D004DA1C85}"/>
    <cellStyle name="Comma 4 3 11 3" xfId="24703" xr:uid="{9ADE37C4-C3FF-44D3-87F6-27F0D9712ADB}"/>
    <cellStyle name="Comma 4 3 11 4" xfId="41462" xr:uid="{C2A5BFB2-E377-4FDE-8A5D-81E5BCF451FF}"/>
    <cellStyle name="Comma 4 3 12" xfId="8349" xr:uid="{ABEAD488-7B3F-418C-AA06-06A7C541DD8F}"/>
    <cellStyle name="Comma 4 3 12 2" xfId="16729" xr:uid="{2BD23708-1DC8-46B2-A29B-894C55B4A024}"/>
    <cellStyle name="Comma 4 3 12 2 2" xfId="33489" xr:uid="{E8F78125-8D99-455F-A0B3-42DC42B42E53}"/>
    <cellStyle name="Comma 4 3 12 2 3" xfId="50248" xr:uid="{216F80AF-C160-4495-9866-58F412FFD741}"/>
    <cellStyle name="Comma 4 3 12 3" xfId="25109" xr:uid="{4E2D10FF-2676-4DE5-B84C-E1E5E4F24E1E}"/>
    <cellStyle name="Comma 4 3 12 4" xfId="41868" xr:uid="{DCA04408-5C74-4710-B74E-0A84E9221B36}"/>
    <cellStyle name="Comma 4 3 13" xfId="2118" xr:uid="{A33547BF-2B70-4BFE-A8C8-AE3F82394925}"/>
    <cellStyle name="Comma 4 3 13 2" xfId="10506" xr:uid="{16E802FC-C489-4064-B006-C214E7998643}"/>
    <cellStyle name="Comma 4 3 13 2 2" xfId="27266" xr:uid="{6EE8AFC5-30B2-4B80-9153-4110FD1B2041}"/>
    <cellStyle name="Comma 4 3 13 2 3" xfId="44025" xr:uid="{B576BC30-5E8C-4C4F-998F-E530377C8DFC}"/>
    <cellStyle name="Comma 4 3 13 3" xfId="18886" xr:uid="{FF022AFB-231D-48D4-8594-F114ADE5AB94}"/>
    <cellStyle name="Comma 4 3 13 4" xfId="35645" xr:uid="{586C5A78-6F36-4D0E-805F-E547EA50D53D}"/>
    <cellStyle name="Comma 4 3 14" xfId="8826" xr:uid="{4F541EE6-DE05-4B54-BE29-3801F5A32D7A}"/>
    <cellStyle name="Comma 4 3 14 2" xfId="25586" xr:uid="{94C90D75-6949-4824-8153-9B2782A003F8}"/>
    <cellStyle name="Comma 4 3 14 3" xfId="42345" xr:uid="{1A720B8A-81F2-4EB1-9B48-9B4A2336253C}"/>
    <cellStyle name="Comma 4 3 15" xfId="17206" xr:uid="{0C207447-76BA-4873-B8CC-28BBE26BF0DF}"/>
    <cellStyle name="Comma 4 3 16" xfId="33965" xr:uid="{58DF16E7-674C-4FA5-9A0B-B7B060EBB9A3}"/>
    <cellStyle name="Comma 4 3 2" xfId="431" xr:uid="{B20ED883-9795-4B2A-8504-9F845E65BE48}"/>
    <cellStyle name="Comma 4 3 2 10" xfId="8463" xr:uid="{51F5A45A-5AA8-4CFB-A288-343E83A00F19}"/>
    <cellStyle name="Comma 4 3 2 10 2" xfId="16843" xr:uid="{04D28EC0-68B7-4728-A116-D9D4C0AE68AB}"/>
    <cellStyle name="Comma 4 3 2 10 2 2" xfId="33603" xr:uid="{84B1F81C-D741-4DCD-A6DC-28A8D9140F81}"/>
    <cellStyle name="Comma 4 3 2 10 2 3" xfId="50362" xr:uid="{5566099B-3E91-4FAC-A383-942114EA488E}"/>
    <cellStyle name="Comma 4 3 2 10 3" xfId="25223" xr:uid="{8EB1F6C8-0748-4E27-AB98-2E4BF1426B39}"/>
    <cellStyle name="Comma 4 3 2 10 4" xfId="41982" xr:uid="{DCD45902-8E17-4578-98F9-179B0F876AA4}"/>
    <cellStyle name="Comma 4 3 2 11" xfId="2288" xr:uid="{07C57625-DD1F-4A49-BE43-C944143E3AAF}"/>
    <cellStyle name="Comma 4 3 2 11 2" xfId="10671" xr:uid="{30440DD3-F033-4B52-A83A-A1BCDE009C4D}"/>
    <cellStyle name="Comma 4 3 2 11 2 2" xfId="27431" xr:uid="{C5A56CDD-AC1F-4F69-81D0-8A1158DE44AF}"/>
    <cellStyle name="Comma 4 3 2 11 2 3" xfId="44190" xr:uid="{E35E591F-E33E-48E7-AF63-A64C84C93B16}"/>
    <cellStyle name="Comma 4 3 2 11 3" xfId="19051" xr:uid="{01A241B6-F1A0-4573-90BE-759E7F318125}"/>
    <cellStyle name="Comma 4 3 2 11 4" xfId="35810" xr:uid="{8776B317-4645-4DD8-B5C1-EC270D10F727}"/>
    <cellStyle name="Comma 4 3 2 12" xfId="8868" xr:uid="{9BEA238A-4433-43E2-B6F2-4B579BC3D87E}"/>
    <cellStyle name="Comma 4 3 2 12 2" xfId="25628" xr:uid="{DDC1AB98-3ADF-41A8-9F24-34376E0E3657}"/>
    <cellStyle name="Comma 4 3 2 12 3" xfId="42387" xr:uid="{E5E32D9D-BA2E-463D-9D40-C9C640D46EBE}"/>
    <cellStyle name="Comma 4 3 2 13" xfId="17248" xr:uid="{6935A319-3ED5-42CA-9931-5A8E6780F8AC}"/>
    <cellStyle name="Comma 4 3 2 14" xfId="34007" xr:uid="{84D5963A-F404-4C7D-865E-C2F8125EFC10}"/>
    <cellStyle name="Comma 4 3 2 2" xfId="899" xr:uid="{AE05DA91-1D94-43EA-AE3E-6C0EBCDDB0A5}"/>
    <cellStyle name="Comma 4 3 2 2 2" xfId="4294" xr:uid="{8AD61A60-FC7C-48C7-9662-699F5E1F757F}"/>
    <cellStyle name="Comma 4 3 2 2 2 2" xfId="12674" xr:uid="{7CEB0DB2-CD3E-464C-84EC-077BAC73E280}"/>
    <cellStyle name="Comma 4 3 2 2 2 2 2" xfId="29434" xr:uid="{38AC6B23-CC40-4FC2-A02B-808CBCB3574A}"/>
    <cellStyle name="Comma 4 3 2 2 2 2 3" xfId="46193" xr:uid="{34E7A8E1-722A-482B-A018-3F163AD04EF8}"/>
    <cellStyle name="Comma 4 3 2 2 2 3" xfId="21054" xr:uid="{2B075F8D-826D-4E84-90BF-0D864C6F86F0}"/>
    <cellStyle name="Comma 4 3 2 2 2 4" xfId="37813" xr:uid="{7BA65ED1-1A75-429D-B88B-F6B528E85EA9}"/>
    <cellStyle name="Comma 4 3 2 2 3" xfId="5981" xr:uid="{02C4AE95-E6AA-472A-B780-3C5D31D0F7D7}"/>
    <cellStyle name="Comma 4 3 2 2 3 2" xfId="14361" xr:uid="{93598E0D-7C80-4A71-B2FB-63172F2A3ED1}"/>
    <cellStyle name="Comma 4 3 2 2 3 2 2" xfId="31121" xr:uid="{9A9CC5C7-4D15-4472-A9BA-8AD3442E33F6}"/>
    <cellStyle name="Comma 4 3 2 2 3 2 3" xfId="47880" xr:uid="{36A7AF39-FD00-4811-9281-E3F5FD2BC4A9}"/>
    <cellStyle name="Comma 4 3 2 2 3 3" xfId="22741" xr:uid="{19719620-7930-4132-BF48-FB85B3266E71}"/>
    <cellStyle name="Comma 4 3 2 2 3 4" xfId="39500" xr:uid="{D982659E-5CF2-4018-B1DC-803E5A7B5A91}"/>
    <cellStyle name="Comma 4 3 2 2 4" xfId="2717" xr:uid="{FDB01D71-C9D2-4A78-B4C9-20D9427D0FAD}"/>
    <cellStyle name="Comma 4 3 2 2 4 2" xfId="11097" xr:uid="{B2F9E63A-5CDD-4CAC-92C9-C8142C418C97}"/>
    <cellStyle name="Comma 4 3 2 2 4 2 2" xfId="27857" xr:uid="{3978EE64-9161-49FC-8580-A2DC8E972D19}"/>
    <cellStyle name="Comma 4 3 2 2 4 2 3" xfId="44616" xr:uid="{E295184C-3015-48FC-891F-5682447FCDD2}"/>
    <cellStyle name="Comma 4 3 2 2 4 3" xfId="19477" xr:uid="{760D4527-EA78-49EB-91D7-3A76DEC071C0}"/>
    <cellStyle name="Comma 4 3 2 2 4 4" xfId="36236" xr:uid="{700F78E5-D80F-4437-B838-846B2E54DB8D}"/>
    <cellStyle name="Comma 4 3 2 2 5" xfId="9294" xr:uid="{E0B8DE7A-90B5-43AD-A974-AC08CA5D18AD}"/>
    <cellStyle name="Comma 4 3 2 2 5 2" xfId="26054" xr:uid="{87C9BD96-169A-45FE-8834-1FA6D7318A89}"/>
    <cellStyle name="Comma 4 3 2 2 5 3" xfId="42813" xr:uid="{68B4242F-05F9-4EA7-9F3F-E4616D41CAE8}"/>
    <cellStyle name="Comma 4 3 2 2 6" xfId="17674" xr:uid="{56835016-D707-4B1A-A3CB-39230F25E7C1}"/>
    <cellStyle name="Comma 4 3 2 2 7" xfId="34433" xr:uid="{16F2795F-87E7-49CC-8FAB-BD9BD8ABF857}"/>
    <cellStyle name="Comma 4 3 2 3" xfId="1333" xr:uid="{6AA8A1AE-195E-42A0-A45F-11104591F10E}"/>
    <cellStyle name="Comma 4 3 2 3 2" xfId="4722" xr:uid="{D998DA40-E489-48F3-B523-E4841C30585D}"/>
    <cellStyle name="Comma 4 3 2 3 2 2" xfId="13102" xr:uid="{FE40BE32-4480-44DC-9D4C-AE88EBE8A1DA}"/>
    <cellStyle name="Comma 4 3 2 3 2 2 2" xfId="29862" xr:uid="{B1579B1E-5101-4E17-B827-B72DF84C8A71}"/>
    <cellStyle name="Comma 4 3 2 3 2 2 3" xfId="46621" xr:uid="{175B9751-9276-4C41-AEFA-CE0A67CD898F}"/>
    <cellStyle name="Comma 4 3 2 3 2 3" xfId="21482" xr:uid="{F9A299A5-6D7B-4F9C-A820-2F737EBB0C48}"/>
    <cellStyle name="Comma 4 3 2 3 2 4" xfId="38241" xr:uid="{AF562080-2C7E-4139-9BC8-3F36C17F44E5}"/>
    <cellStyle name="Comma 4 3 2 3 3" xfId="6409" xr:uid="{4962522E-46ED-4B15-B5C8-CE2457D5EFFA}"/>
    <cellStyle name="Comma 4 3 2 3 3 2" xfId="14789" xr:uid="{A26E9146-C1C5-44DE-98D0-49AB5E5A69E6}"/>
    <cellStyle name="Comma 4 3 2 3 3 2 2" xfId="31549" xr:uid="{F6DA220F-AA31-4A87-A01C-1C1BD8A7F3E7}"/>
    <cellStyle name="Comma 4 3 2 3 3 2 3" xfId="48308" xr:uid="{7E74324A-EA40-4EC2-87E3-6BE60105C245}"/>
    <cellStyle name="Comma 4 3 2 3 3 3" xfId="23169" xr:uid="{E673BFD8-9FE7-43C5-AF8F-D7AA96766786}"/>
    <cellStyle name="Comma 4 3 2 3 3 4" xfId="39928" xr:uid="{53070244-526B-4FC5-AE7E-A5A4A46E8A15}"/>
    <cellStyle name="Comma 4 3 2 3 4" xfId="3145" xr:uid="{A88F74AC-9C10-413F-ABC1-68E1662086BC}"/>
    <cellStyle name="Comma 4 3 2 3 4 2" xfId="11525" xr:uid="{679B8D27-949F-4798-8CED-A2C8DA166C30}"/>
    <cellStyle name="Comma 4 3 2 3 4 2 2" xfId="28285" xr:uid="{7AC27440-2587-46AA-9FEB-195ACD27D231}"/>
    <cellStyle name="Comma 4 3 2 3 4 2 3" xfId="45044" xr:uid="{02D3806A-C234-4059-8063-47128127CB1B}"/>
    <cellStyle name="Comma 4 3 2 3 4 3" xfId="19905" xr:uid="{92B3AA84-37AD-4DE7-9AC7-C356A0CCAEAF}"/>
    <cellStyle name="Comma 4 3 2 3 4 4" xfId="36664" xr:uid="{B902C358-903D-4789-9366-CC733D4B8744}"/>
    <cellStyle name="Comma 4 3 2 3 5" xfId="9722" xr:uid="{C7CDA363-3A49-40BD-AB82-482838F1DB97}"/>
    <cellStyle name="Comma 4 3 2 3 5 2" xfId="26482" xr:uid="{3F7F04EA-5153-48AD-9BE6-DC550F8063AA}"/>
    <cellStyle name="Comma 4 3 2 3 5 3" xfId="43241" xr:uid="{DC8DE535-2410-4F23-AD81-DB35317C4890}"/>
    <cellStyle name="Comma 4 3 2 3 6" xfId="18102" xr:uid="{D094F4D5-E953-48E4-BF19-BC7F9611DE2A}"/>
    <cellStyle name="Comma 4 3 2 3 7" xfId="34861" xr:uid="{3A6A4655-E6A1-464B-ACE4-BF38AC9D9556}"/>
    <cellStyle name="Comma 4 3 2 4" xfId="1763" xr:uid="{8C5FD5E0-3DCB-4749-8D42-F5ADD43A0FFE}"/>
    <cellStyle name="Comma 4 3 2 4 2" xfId="5152" xr:uid="{E003A86D-AFB3-43F7-AE9A-CCFBC901DCED}"/>
    <cellStyle name="Comma 4 3 2 4 2 2" xfId="13532" xr:uid="{B957B4E6-096A-44FE-ADB0-8ED4EDCAE6ED}"/>
    <cellStyle name="Comma 4 3 2 4 2 2 2" xfId="30292" xr:uid="{9C57837C-D3F5-4D8D-B630-4ADE54E4B899}"/>
    <cellStyle name="Comma 4 3 2 4 2 2 3" xfId="47051" xr:uid="{853652CB-B5B2-43C7-8542-A51BF75CB147}"/>
    <cellStyle name="Comma 4 3 2 4 2 3" xfId="21912" xr:uid="{65C355CE-043E-4EFA-B155-BC76865CE3FE}"/>
    <cellStyle name="Comma 4 3 2 4 2 4" xfId="38671" xr:uid="{7F1D4ADE-A650-4E4C-AB61-B8922B92B010}"/>
    <cellStyle name="Comma 4 3 2 4 3" xfId="6839" xr:uid="{C0925DAF-70A3-46A9-9C0A-2244D692E9A9}"/>
    <cellStyle name="Comma 4 3 2 4 3 2" xfId="15219" xr:uid="{380B2371-7E0A-4D2C-AD6A-83450B6C2672}"/>
    <cellStyle name="Comma 4 3 2 4 3 2 2" xfId="31979" xr:uid="{85AC8655-E255-4196-8D72-1FD6B605E76D}"/>
    <cellStyle name="Comma 4 3 2 4 3 2 3" xfId="48738" xr:uid="{6C66E7B4-164F-4914-B278-01657A7A7C5F}"/>
    <cellStyle name="Comma 4 3 2 4 3 3" xfId="23599" xr:uid="{AB59E5F6-DB21-48E5-957D-18045CA68398}"/>
    <cellStyle name="Comma 4 3 2 4 3 4" xfId="40358" xr:uid="{A1B595E6-0318-46BC-8B3B-225940CB3928}"/>
    <cellStyle name="Comma 4 3 2 4 4" xfId="3463" xr:uid="{72BBC8D2-A1A7-4284-8EF3-64BD76562419}"/>
    <cellStyle name="Comma 4 3 2 4 4 2" xfId="11843" xr:uid="{DA6915FC-4ADD-47A8-9C4C-5DE3DD5945B6}"/>
    <cellStyle name="Comma 4 3 2 4 4 2 2" xfId="28603" xr:uid="{738F36EA-3D7E-4F91-A06C-1372D5D8BD50}"/>
    <cellStyle name="Comma 4 3 2 4 4 2 3" xfId="45362" xr:uid="{1E5F1139-CF94-4BFB-A925-53FF829F687F}"/>
    <cellStyle name="Comma 4 3 2 4 4 3" xfId="20223" xr:uid="{33AD18DC-D766-4D76-B93E-D20DC67CBCFB}"/>
    <cellStyle name="Comma 4 3 2 4 4 4" xfId="36982" xr:uid="{4EB111AC-FB36-4F0A-B37A-1CE9544D3B17}"/>
    <cellStyle name="Comma 4 3 2 4 5" xfId="10152" xr:uid="{80D9E69C-0B28-46A5-8B43-0AC564B3ECD2}"/>
    <cellStyle name="Comma 4 3 2 4 5 2" xfId="26912" xr:uid="{104EE0A5-3286-4369-958B-7F839B4A7904}"/>
    <cellStyle name="Comma 4 3 2 4 5 3" xfId="43671" xr:uid="{A6247AD8-805C-4849-8CEA-670503FCB758}"/>
    <cellStyle name="Comma 4 3 2 4 6" xfId="18532" xr:uid="{9B1D1124-539C-41FF-980D-4C126987AB9C}"/>
    <cellStyle name="Comma 4 3 2 4 7" xfId="35291" xr:uid="{6A7B8A91-6254-4477-800B-96CB094D6654}"/>
    <cellStyle name="Comma 4 3 2 5" xfId="3882" xr:uid="{8E66BBBB-61F6-4D10-A1C8-E1EC6827517C}"/>
    <cellStyle name="Comma 4 3 2 5 2" xfId="12262" xr:uid="{16C33805-C4C0-46EC-8BA7-417E7B5B6B7E}"/>
    <cellStyle name="Comma 4 3 2 5 2 2" xfId="29022" xr:uid="{3D3821C4-2AE4-45A4-94BE-84D42C1F7187}"/>
    <cellStyle name="Comma 4 3 2 5 2 3" xfId="45781" xr:uid="{B7CD0C35-E4C0-43C0-AC7A-B01E6FEA5117}"/>
    <cellStyle name="Comma 4 3 2 5 3" xfId="20642" xr:uid="{23847E7A-BC15-40E6-9777-9376DC1B7714}"/>
    <cellStyle name="Comma 4 3 2 5 4" xfId="37401" xr:uid="{DF19251B-0ABA-4E29-BA4F-B595316AA8BB}"/>
    <cellStyle name="Comma 4 3 2 6" xfId="5555" xr:uid="{4E39EA6B-632A-4E52-98EE-1B42D960B133}"/>
    <cellStyle name="Comma 4 3 2 6 2" xfId="13935" xr:uid="{51DB1ACE-E08C-4B57-ABBE-202853FF5BEF}"/>
    <cellStyle name="Comma 4 3 2 6 2 2" xfId="30695" xr:uid="{DCAE40DA-5899-42CE-A6D5-161E80C6954B}"/>
    <cellStyle name="Comma 4 3 2 6 2 3" xfId="47454" xr:uid="{E9363EA2-4212-488E-B48F-8CCABF86BBD5}"/>
    <cellStyle name="Comma 4 3 2 6 3" xfId="22315" xr:uid="{55E68E22-F4E7-432F-A003-D8746391936F}"/>
    <cellStyle name="Comma 4 3 2 6 4" xfId="39074" xr:uid="{690636C9-340B-4614-BBB6-84FE2B3A3029}"/>
    <cellStyle name="Comma 4 3 2 7" xfId="7245" xr:uid="{B06E12B4-CEA4-4DD8-A3AB-8059F8F0EDB6}"/>
    <cellStyle name="Comma 4 3 2 7 2" xfId="15625" xr:uid="{6CB80B46-F145-4156-9EAB-701C91315019}"/>
    <cellStyle name="Comma 4 3 2 7 2 2" xfId="32385" xr:uid="{86403D9C-597F-4A47-9921-A2C878C80B4C}"/>
    <cellStyle name="Comma 4 3 2 7 2 3" xfId="49144" xr:uid="{23D65154-5BDB-443F-A5E4-7EB379BF3ABA}"/>
    <cellStyle name="Comma 4 3 2 7 3" xfId="24005" xr:uid="{144CC60E-E89C-4122-9E91-3FBE657E6833}"/>
    <cellStyle name="Comma 4 3 2 7 4" xfId="40764" xr:uid="{FEAE8A4E-C78C-4ACF-8556-0B4FEB7BC20C}"/>
    <cellStyle name="Comma 4 3 2 8" xfId="7651" xr:uid="{ECBBFFE6-40DE-4D60-8F64-05F923482484}"/>
    <cellStyle name="Comma 4 3 2 8 2" xfId="16031" xr:uid="{49C7A2A3-AD30-41B9-8D42-6D9E3918E1C1}"/>
    <cellStyle name="Comma 4 3 2 8 2 2" xfId="32791" xr:uid="{683EA68B-B523-48C3-8665-2214048144A3}"/>
    <cellStyle name="Comma 4 3 2 8 2 3" xfId="49550" xr:uid="{EF3EA042-7852-4687-B008-7C37FBEE27B1}"/>
    <cellStyle name="Comma 4 3 2 8 3" xfId="24411" xr:uid="{2E44B65E-10F3-47C5-A1B2-C22AD0873338}"/>
    <cellStyle name="Comma 4 3 2 8 4" xfId="41170" xr:uid="{76525860-D8B3-422D-AD2E-5524928F5A3E}"/>
    <cellStyle name="Comma 4 3 2 9" xfId="8057" xr:uid="{4496CF51-4F0F-4D9A-9F26-CE2053C308A1}"/>
    <cellStyle name="Comma 4 3 2 9 2" xfId="16437" xr:uid="{777EDC1F-8961-4F19-B3B5-AE83A66E60FA}"/>
    <cellStyle name="Comma 4 3 2 9 2 2" xfId="33197" xr:uid="{1EA9749F-F27E-4562-A3D8-7F3BEA7A42A8}"/>
    <cellStyle name="Comma 4 3 2 9 2 3" xfId="49956" xr:uid="{E32CA7CA-3B8E-4192-9F7A-CCC8FB4E3955}"/>
    <cellStyle name="Comma 4 3 2 9 3" xfId="24817" xr:uid="{3D356BDC-6B2B-4663-B2F7-F74C8ACDCB1F}"/>
    <cellStyle name="Comma 4 3 2 9 4" xfId="41576" xr:uid="{1E46C11E-705B-4D06-9280-5ED3DC834808}"/>
    <cellStyle name="Comma 4 3 3" xfId="432" xr:uid="{6F4D2EED-AE97-44E1-9826-AAD5758595A3}"/>
    <cellStyle name="Comma 4 3 3 10" xfId="8620" xr:uid="{00F6017A-C439-40D8-9035-8C503716A483}"/>
    <cellStyle name="Comma 4 3 3 10 2" xfId="17000" xr:uid="{EAF10905-D38A-4D21-A829-6CB14908250C}"/>
    <cellStyle name="Comma 4 3 3 10 2 2" xfId="33760" xr:uid="{AF79110D-A2BD-4E3F-8C8B-133EDD48519B}"/>
    <cellStyle name="Comma 4 3 3 10 2 3" xfId="50519" xr:uid="{3BC0FA2C-E1A2-4901-A474-4EDA8E6FFE9D}"/>
    <cellStyle name="Comma 4 3 3 10 3" xfId="25380" xr:uid="{C8936151-CD38-4C62-8B26-F6D27580F5DC}"/>
    <cellStyle name="Comma 4 3 3 10 4" xfId="42139" xr:uid="{74609827-59E8-4229-B2EB-C9A8381AED29}"/>
    <cellStyle name="Comma 4 3 3 11" xfId="2289" xr:uid="{D0C77E17-6D18-401C-986F-C31C5E35B5B7}"/>
    <cellStyle name="Comma 4 3 3 11 2" xfId="10672" xr:uid="{4D5F40AD-BDBF-48D6-A395-154F092F09AC}"/>
    <cellStyle name="Comma 4 3 3 11 2 2" xfId="27432" xr:uid="{1FF1B381-A9AB-4563-B12E-51CFB36FBB7E}"/>
    <cellStyle name="Comma 4 3 3 11 2 3" xfId="44191" xr:uid="{9B7ECD76-C5E1-4D4F-BD5B-2927B4F4232B}"/>
    <cellStyle name="Comma 4 3 3 11 3" xfId="19052" xr:uid="{E4BBB8A9-37BE-4DB6-8296-34F422601E53}"/>
    <cellStyle name="Comma 4 3 3 11 4" xfId="35811" xr:uid="{ABAFCB19-A6E8-4E2D-97FF-C819B1F9F4F5}"/>
    <cellStyle name="Comma 4 3 3 12" xfId="8869" xr:uid="{47581EE1-94B1-4319-873F-DAABDE1CD8E2}"/>
    <cellStyle name="Comma 4 3 3 12 2" xfId="25629" xr:uid="{2A695687-BC20-459E-BEEB-F7ECBDCA5DB7}"/>
    <cellStyle name="Comma 4 3 3 12 3" xfId="42388" xr:uid="{9156B545-C457-4811-A41C-2918756B9264}"/>
    <cellStyle name="Comma 4 3 3 13" xfId="17249" xr:uid="{023DDD8F-64E7-4127-B24E-2AD99207CDEE}"/>
    <cellStyle name="Comma 4 3 3 14" xfId="34008" xr:uid="{5194306B-0CBF-481B-8244-AF7ECEAC8932}"/>
    <cellStyle name="Comma 4 3 3 2" xfId="900" xr:uid="{26A4BEAA-AF1C-4302-893A-902F580C6F09}"/>
    <cellStyle name="Comma 4 3 3 2 2" xfId="4295" xr:uid="{4B9534D6-42C3-43F3-9B7E-44244D77258E}"/>
    <cellStyle name="Comma 4 3 3 2 2 2" xfId="12675" xr:uid="{38460ACA-D0A6-4A36-9AA3-AC33BC0BFB16}"/>
    <cellStyle name="Comma 4 3 3 2 2 2 2" xfId="29435" xr:uid="{A49610D8-F55A-4122-96B6-CAC9B55D6880}"/>
    <cellStyle name="Comma 4 3 3 2 2 2 3" xfId="46194" xr:uid="{08B99891-2572-4CB1-9C07-86B95E314710}"/>
    <cellStyle name="Comma 4 3 3 2 2 3" xfId="21055" xr:uid="{30082BE0-8E7B-4072-9763-C5A3100B3156}"/>
    <cellStyle name="Comma 4 3 3 2 2 4" xfId="37814" xr:uid="{E4405971-4321-4112-8FB1-B5B95A320A4C}"/>
    <cellStyle name="Comma 4 3 3 2 3" xfId="5982" xr:uid="{380A50AA-C396-483C-AE4A-A4A41AFFD556}"/>
    <cellStyle name="Comma 4 3 3 2 3 2" xfId="14362" xr:uid="{F7C93EE6-AA4A-4940-9F03-DB031D19F773}"/>
    <cellStyle name="Comma 4 3 3 2 3 2 2" xfId="31122" xr:uid="{43DD7FDB-DB56-47EA-9542-D1206AB93ADD}"/>
    <cellStyle name="Comma 4 3 3 2 3 2 3" xfId="47881" xr:uid="{3B1BA511-6213-4757-88D4-70880DDE4866}"/>
    <cellStyle name="Comma 4 3 3 2 3 3" xfId="22742" xr:uid="{295D9ABE-9AB6-4CAD-A83B-695778F099BB}"/>
    <cellStyle name="Comma 4 3 3 2 3 4" xfId="39501" xr:uid="{1B2FDB44-9264-4A0A-9D9C-E6B8C11A6AD4}"/>
    <cellStyle name="Comma 4 3 3 2 4" xfId="2718" xr:uid="{E340349C-9278-4858-82E9-7AAD54AAAE09}"/>
    <cellStyle name="Comma 4 3 3 2 4 2" xfId="11098" xr:uid="{9B7996E3-1AEC-4B53-80F1-12AD372EABC9}"/>
    <cellStyle name="Comma 4 3 3 2 4 2 2" xfId="27858" xr:uid="{92A3CB8D-6676-4C9D-808E-0F116387184A}"/>
    <cellStyle name="Comma 4 3 3 2 4 2 3" xfId="44617" xr:uid="{C5C8D6FF-9D53-40D9-BA0E-6E944103BF24}"/>
    <cellStyle name="Comma 4 3 3 2 4 3" xfId="19478" xr:uid="{31D29AC1-194E-4F51-A4C6-47B5E68DF8B2}"/>
    <cellStyle name="Comma 4 3 3 2 4 4" xfId="36237" xr:uid="{B8457242-700A-42F7-BA7F-C3EA297443D6}"/>
    <cellStyle name="Comma 4 3 3 2 5" xfId="9295" xr:uid="{D9D5DD26-E730-47E7-8BC1-701139D55B8C}"/>
    <cellStyle name="Comma 4 3 3 2 5 2" xfId="26055" xr:uid="{AE2AD748-59B1-4E81-BA70-3AD07F99E4E7}"/>
    <cellStyle name="Comma 4 3 3 2 5 3" xfId="42814" xr:uid="{63EC9898-AFCE-4E43-9A65-2C1CFDDE8EF8}"/>
    <cellStyle name="Comma 4 3 3 2 6" xfId="17675" xr:uid="{8324929C-EC44-4D58-9997-9B9B5CE3F5FF}"/>
    <cellStyle name="Comma 4 3 3 2 7" xfId="34434" xr:uid="{E0C64930-77F4-436E-BA8A-D0E7577D1DB5}"/>
    <cellStyle name="Comma 4 3 3 3" xfId="1334" xr:uid="{95F3EF47-8823-4B1A-8F42-9828799DE013}"/>
    <cellStyle name="Comma 4 3 3 3 2" xfId="4723" xr:uid="{E4687168-EDDD-4834-960A-3D2EEA964A43}"/>
    <cellStyle name="Comma 4 3 3 3 2 2" xfId="13103" xr:uid="{313DB2BD-5AEE-4E14-9718-64D6D4A848AE}"/>
    <cellStyle name="Comma 4 3 3 3 2 2 2" xfId="29863" xr:uid="{42866A3A-F169-4C16-BFE1-D0AE8CF3D6CB}"/>
    <cellStyle name="Comma 4 3 3 3 2 2 3" xfId="46622" xr:uid="{CF237CEE-2E38-4EEF-B7FB-4653C30ECB0E}"/>
    <cellStyle name="Comma 4 3 3 3 2 3" xfId="21483" xr:uid="{1386ABEF-FD92-460A-9CE4-55D9BF74D49D}"/>
    <cellStyle name="Comma 4 3 3 3 2 4" xfId="38242" xr:uid="{BF594B3F-D08F-4F1E-A9F0-AABA4AB1D788}"/>
    <cellStyle name="Comma 4 3 3 3 3" xfId="6410" xr:uid="{12F6B015-6DD4-4E16-AAE7-FC9227854EFA}"/>
    <cellStyle name="Comma 4 3 3 3 3 2" xfId="14790" xr:uid="{3ED36551-023C-49B2-87D4-996540D4A88F}"/>
    <cellStyle name="Comma 4 3 3 3 3 2 2" xfId="31550" xr:uid="{D9DEEC13-1109-49F9-8F0A-BC117F6236AF}"/>
    <cellStyle name="Comma 4 3 3 3 3 2 3" xfId="48309" xr:uid="{033204D3-1FC9-46C8-B792-CB3FD2260418}"/>
    <cellStyle name="Comma 4 3 3 3 3 3" xfId="23170" xr:uid="{D2DB8D33-15BD-4306-803A-DBC890C1E293}"/>
    <cellStyle name="Comma 4 3 3 3 3 4" xfId="39929" xr:uid="{82F5F7E1-971D-444C-814F-A2E576028C27}"/>
    <cellStyle name="Comma 4 3 3 3 4" xfId="3146" xr:uid="{D07BFD1F-CAFB-4A9A-A232-FC33CA0B5787}"/>
    <cellStyle name="Comma 4 3 3 3 4 2" xfId="11526" xr:uid="{21BFC33D-4139-4610-9002-FF5186589F60}"/>
    <cellStyle name="Comma 4 3 3 3 4 2 2" xfId="28286" xr:uid="{368255BF-8720-463F-8967-30512F6D5C5E}"/>
    <cellStyle name="Comma 4 3 3 3 4 2 3" xfId="45045" xr:uid="{B20074B3-A8A9-4B5A-BDFB-E1348614184A}"/>
    <cellStyle name="Comma 4 3 3 3 4 3" xfId="19906" xr:uid="{912B6178-95F8-460D-A817-9099BFDFC6A2}"/>
    <cellStyle name="Comma 4 3 3 3 4 4" xfId="36665" xr:uid="{1300C324-9640-4D42-B47D-A890075F6352}"/>
    <cellStyle name="Comma 4 3 3 3 5" xfId="9723" xr:uid="{95931E71-F217-4EEF-BD39-BED5A3AEDC0A}"/>
    <cellStyle name="Comma 4 3 3 3 5 2" xfId="26483" xr:uid="{FA01F9E9-6767-45FB-8867-0AE4F4A37FBE}"/>
    <cellStyle name="Comma 4 3 3 3 5 3" xfId="43242" xr:uid="{8D7892A6-10E6-4B00-9433-836CCE2A772D}"/>
    <cellStyle name="Comma 4 3 3 3 6" xfId="18103" xr:uid="{48959BE3-DD26-4F69-A2C7-DEF4D035D44C}"/>
    <cellStyle name="Comma 4 3 3 3 7" xfId="34862" xr:uid="{EEA62ABD-824A-4F6F-AF64-1D9826C19F69}"/>
    <cellStyle name="Comma 4 3 3 4" xfId="1920" xr:uid="{8BBB1223-DE15-4DC4-A67C-F5FBEF6ACAB5}"/>
    <cellStyle name="Comma 4 3 3 4 2" xfId="5309" xr:uid="{76CF72FF-7097-481B-BF51-E36AADF336A0}"/>
    <cellStyle name="Comma 4 3 3 4 2 2" xfId="13689" xr:uid="{6A7EBB11-9F0E-44FC-A961-7F54ED03B987}"/>
    <cellStyle name="Comma 4 3 3 4 2 2 2" xfId="30449" xr:uid="{C73B6068-E41A-4A51-ACC1-C72D8A752B75}"/>
    <cellStyle name="Comma 4 3 3 4 2 2 3" xfId="47208" xr:uid="{AF9B384D-A625-43B9-A318-0D8AAA26A398}"/>
    <cellStyle name="Comma 4 3 3 4 2 3" xfId="22069" xr:uid="{AA7FF044-3C0C-4771-BF9F-362744895549}"/>
    <cellStyle name="Comma 4 3 3 4 2 4" xfId="38828" xr:uid="{16C4C63F-5DE7-43E4-B34D-5DC03AB8C0E1}"/>
    <cellStyle name="Comma 4 3 3 4 3" xfId="6996" xr:uid="{5B8001B0-DD19-472D-9111-B10D55277C48}"/>
    <cellStyle name="Comma 4 3 3 4 3 2" xfId="15376" xr:uid="{E4478B69-26F0-417F-A907-A14F1635E7DC}"/>
    <cellStyle name="Comma 4 3 3 4 3 2 2" xfId="32136" xr:uid="{27923B62-B84F-4E63-9AFD-8A4CA38F14D3}"/>
    <cellStyle name="Comma 4 3 3 4 3 2 3" xfId="48895" xr:uid="{784B9731-E32B-4330-AD1D-5CCA1055701E}"/>
    <cellStyle name="Comma 4 3 3 4 3 3" xfId="23756" xr:uid="{B501B5BC-BBC4-4FF4-B49A-3982BE6318FB}"/>
    <cellStyle name="Comma 4 3 3 4 3 4" xfId="40515" xr:uid="{290684B1-5549-41E1-92F1-D0441034C9BC}"/>
    <cellStyle name="Comma 4 3 3 4 4" xfId="3619" xr:uid="{198D0C7B-4905-441B-8F4B-F0D43E334970}"/>
    <cellStyle name="Comma 4 3 3 4 4 2" xfId="11999" xr:uid="{9609BD72-E05B-49A2-A28D-72BD637EAD31}"/>
    <cellStyle name="Comma 4 3 3 4 4 2 2" xfId="28759" xr:uid="{6D39659F-E3AC-4F46-8F38-8584BDBCE929}"/>
    <cellStyle name="Comma 4 3 3 4 4 2 3" xfId="45518" xr:uid="{2462E998-EBD5-4AA1-B6BC-F76A7647A1CE}"/>
    <cellStyle name="Comma 4 3 3 4 4 3" xfId="20379" xr:uid="{78CB5A3F-6766-4015-9984-9D74FAF586D8}"/>
    <cellStyle name="Comma 4 3 3 4 4 4" xfId="37138" xr:uid="{CA271629-0B08-44B3-842D-FED82E9A9736}"/>
    <cellStyle name="Comma 4 3 3 4 5" xfId="10309" xr:uid="{5F565F6E-7A40-4451-9913-DB6EFCCF4436}"/>
    <cellStyle name="Comma 4 3 3 4 5 2" xfId="27069" xr:uid="{A52AEBFD-F2CE-4F88-B6B9-04A0B07F91EC}"/>
    <cellStyle name="Comma 4 3 3 4 5 3" xfId="43828" xr:uid="{CC1FD029-2C47-4208-83F4-68253F38D0C5}"/>
    <cellStyle name="Comma 4 3 3 4 6" xfId="18689" xr:uid="{7BEE686F-DCE5-4C85-9C2A-71963B60A9D4}"/>
    <cellStyle name="Comma 4 3 3 4 7" xfId="35448" xr:uid="{26A86EC7-2661-43D5-8A89-7295077DC098}"/>
    <cellStyle name="Comma 4 3 3 5" xfId="4039" xr:uid="{8569D393-0D9A-4C20-BC9C-E27E680EDDE2}"/>
    <cellStyle name="Comma 4 3 3 5 2" xfId="12419" xr:uid="{E3AE53AA-A0AE-4E95-8B8D-5E27D4C0A977}"/>
    <cellStyle name="Comma 4 3 3 5 2 2" xfId="29179" xr:uid="{F95E76E3-F008-46C7-A0A1-A7934ADDB096}"/>
    <cellStyle name="Comma 4 3 3 5 2 3" xfId="45938" xr:uid="{CF054947-8617-4194-B498-A722DF32C7D6}"/>
    <cellStyle name="Comma 4 3 3 5 3" xfId="20799" xr:uid="{87F7BFE0-61FC-4BD8-98E3-4A62C4187DCB}"/>
    <cellStyle name="Comma 4 3 3 5 4" xfId="37558" xr:uid="{E74882D8-0D7E-4218-B40C-792F83AEDD96}"/>
    <cellStyle name="Comma 4 3 3 6" xfId="5556" xr:uid="{8D9A7B48-E178-400E-AFE6-FC7A8E2E37C2}"/>
    <cellStyle name="Comma 4 3 3 6 2" xfId="13936" xr:uid="{6D3FEC09-CAEB-4C10-A6C7-908271365A43}"/>
    <cellStyle name="Comma 4 3 3 6 2 2" xfId="30696" xr:uid="{4980D20F-CD0F-479F-8CB4-2476A8273105}"/>
    <cellStyle name="Comma 4 3 3 6 2 3" xfId="47455" xr:uid="{16719A7B-DE53-4970-9BAE-643D9F3560DB}"/>
    <cellStyle name="Comma 4 3 3 6 3" xfId="22316" xr:uid="{9932B422-317F-47EB-A26D-16D78CB6E6CB}"/>
    <cellStyle name="Comma 4 3 3 6 4" xfId="39075" xr:uid="{CCA485E0-6AE6-41EA-B7C2-268EA6A1A0EA}"/>
    <cellStyle name="Comma 4 3 3 7" xfId="7402" xr:uid="{4BBE42CF-B6AB-42DA-A894-516CE8F3C282}"/>
    <cellStyle name="Comma 4 3 3 7 2" xfId="15782" xr:uid="{2C482290-FB4A-4371-8913-055F08169215}"/>
    <cellStyle name="Comma 4 3 3 7 2 2" xfId="32542" xr:uid="{C2ED32F4-C46B-4650-A267-2128C6278550}"/>
    <cellStyle name="Comma 4 3 3 7 2 3" xfId="49301" xr:uid="{E8D54215-B6FF-49F5-999C-1E6E2A4F6DD9}"/>
    <cellStyle name="Comma 4 3 3 7 3" xfId="24162" xr:uid="{BA6334E1-C890-47E6-A675-5CFA13C174E4}"/>
    <cellStyle name="Comma 4 3 3 7 4" xfId="40921" xr:uid="{31A832E8-94D1-496B-9C47-F79C731764AA}"/>
    <cellStyle name="Comma 4 3 3 8" xfId="7808" xr:uid="{4D3EF8FA-ED35-4AE9-97D1-A657B985B5C7}"/>
    <cellStyle name="Comma 4 3 3 8 2" xfId="16188" xr:uid="{2A49975D-0E5D-4D9F-B213-F7590B54E921}"/>
    <cellStyle name="Comma 4 3 3 8 2 2" xfId="32948" xr:uid="{A7E68EA7-D078-4F78-B9A7-AE15701611DF}"/>
    <cellStyle name="Comma 4 3 3 8 2 3" xfId="49707" xr:uid="{29F094D4-F31E-443A-974F-386F44AAE672}"/>
    <cellStyle name="Comma 4 3 3 8 3" xfId="24568" xr:uid="{4088E28B-6CE6-4BA9-8732-001402185CB8}"/>
    <cellStyle name="Comma 4 3 3 8 4" xfId="41327" xr:uid="{90F258B7-3879-426A-B84B-22DB920AA276}"/>
    <cellStyle name="Comma 4 3 3 9" xfId="8214" xr:uid="{E800DE8D-10E5-4E16-9331-8BF7755B2D32}"/>
    <cellStyle name="Comma 4 3 3 9 2" xfId="16594" xr:uid="{6ECF0759-6906-4739-9643-BE2790582962}"/>
    <cellStyle name="Comma 4 3 3 9 2 2" xfId="33354" xr:uid="{C4F20F11-F781-455A-AC6E-498655CC493D}"/>
    <cellStyle name="Comma 4 3 3 9 2 3" xfId="50113" xr:uid="{B1C10AC0-31AD-48DD-A1B2-A603A28FDC47}"/>
    <cellStyle name="Comma 4 3 3 9 3" xfId="24974" xr:uid="{442E1343-D84E-49D1-9747-154B6802B3E0}"/>
    <cellStyle name="Comma 4 3 3 9 4" xfId="41733" xr:uid="{78002392-DE8B-4083-9FD1-7AD523BC4CA9}"/>
    <cellStyle name="Comma 4 3 4" xfId="857" xr:uid="{7DA73654-1A65-47A4-B9C0-2875D38414A0}"/>
    <cellStyle name="Comma 4 3 4 2" xfId="4252" xr:uid="{993D1E41-5B3C-4B45-8E09-D2BD79B89CAE}"/>
    <cellStyle name="Comma 4 3 4 2 2" xfId="12632" xr:uid="{1578B446-755A-4563-B9BB-AFFB805AB85E}"/>
    <cellStyle name="Comma 4 3 4 2 2 2" xfId="29392" xr:uid="{79C39342-FEE9-4ADE-BFA6-37971165ADF2}"/>
    <cellStyle name="Comma 4 3 4 2 2 3" xfId="46151" xr:uid="{4599E6A2-C363-4546-BEAC-85852C06A4E6}"/>
    <cellStyle name="Comma 4 3 4 2 3" xfId="21012" xr:uid="{5FE4E0DD-DDDE-4A4F-AB58-89C80E0DC4FE}"/>
    <cellStyle name="Comma 4 3 4 2 4" xfId="37771" xr:uid="{9FBC2921-9B79-4F24-9351-0760A9ED6EF6}"/>
    <cellStyle name="Comma 4 3 4 3" xfId="5939" xr:uid="{7885AA34-D4C8-4AF8-903B-9F2A5D76BA09}"/>
    <cellStyle name="Comma 4 3 4 3 2" xfId="14319" xr:uid="{4804466D-42B4-45B9-BD38-7F96E4B7C8BE}"/>
    <cellStyle name="Comma 4 3 4 3 2 2" xfId="31079" xr:uid="{ED0FF21E-4753-4240-853A-C0EEBA62BD8D}"/>
    <cellStyle name="Comma 4 3 4 3 2 3" xfId="47838" xr:uid="{2F024FA5-D703-4A27-B51C-B9C9178B57FB}"/>
    <cellStyle name="Comma 4 3 4 3 3" xfId="22699" xr:uid="{26B363BD-5049-48C6-9BD7-E6DF63198280}"/>
    <cellStyle name="Comma 4 3 4 3 4" xfId="39458" xr:uid="{BE5D8DBB-B950-40F9-B3EF-864ABBD672A8}"/>
    <cellStyle name="Comma 4 3 4 4" xfId="2675" xr:uid="{870A3D03-88B4-4ADB-B7D7-B00BE51156E6}"/>
    <cellStyle name="Comma 4 3 4 4 2" xfId="11055" xr:uid="{879F61B4-ED47-46D7-BC29-D3C87DE0DCA4}"/>
    <cellStyle name="Comma 4 3 4 4 2 2" xfId="27815" xr:uid="{BA95AD99-8822-4B12-9FC5-B26185F008E9}"/>
    <cellStyle name="Comma 4 3 4 4 2 3" xfId="44574" xr:uid="{4B61C76E-A27E-49C8-AFCA-648411276FF8}"/>
    <cellStyle name="Comma 4 3 4 4 3" xfId="19435" xr:uid="{97F92207-9F17-4100-BE24-04B9C86B9DA2}"/>
    <cellStyle name="Comma 4 3 4 4 4" xfId="36194" xr:uid="{7821D7A1-A7BC-4EA7-B9A3-F2F3EB79E574}"/>
    <cellStyle name="Comma 4 3 4 5" xfId="9252" xr:uid="{AA693D16-7CB7-44BF-886C-ACE155697FC3}"/>
    <cellStyle name="Comma 4 3 4 5 2" xfId="26012" xr:uid="{824DF3AB-7F28-499D-ABF2-CA945D8E741F}"/>
    <cellStyle name="Comma 4 3 4 5 3" xfId="42771" xr:uid="{F4BD8456-5177-4F2C-841F-6DF58E88A039}"/>
    <cellStyle name="Comma 4 3 4 6" xfId="17632" xr:uid="{97D36DA3-D039-41EE-9669-42F70DA452D5}"/>
    <cellStyle name="Comma 4 3 4 7" xfId="34391" xr:uid="{23E35B0D-8659-476D-A04D-6E5B5A0BD53D}"/>
    <cellStyle name="Comma 4 3 5" xfId="1291" xr:uid="{AF17D0D1-3445-42CC-A562-31E0E001C52B}"/>
    <cellStyle name="Comma 4 3 5 2" xfId="4680" xr:uid="{3AFD4FE6-BC0F-4E5F-826E-14EB079C98C6}"/>
    <cellStyle name="Comma 4 3 5 2 2" xfId="13060" xr:uid="{577C9343-1EC5-4124-88F9-952C5DFE12EA}"/>
    <cellStyle name="Comma 4 3 5 2 2 2" xfId="29820" xr:uid="{9B1F6139-D1FA-4556-AE99-DE9A6E69BF7E}"/>
    <cellStyle name="Comma 4 3 5 2 2 3" xfId="46579" xr:uid="{ADA62359-0E59-445E-81B1-7D1C783EE8E5}"/>
    <cellStyle name="Comma 4 3 5 2 3" xfId="21440" xr:uid="{5AC0FF54-0AA7-4411-BA41-10F5DBAE5F8A}"/>
    <cellStyle name="Comma 4 3 5 2 4" xfId="38199" xr:uid="{93A92CC9-6E1D-43CD-8F31-E05227779DA5}"/>
    <cellStyle name="Comma 4 3 5 3" xfId="6367" xr:uid="{56D221A1-204D-4884-B6F3-720A2C597F2B}"/>
    <cellStyle name="Comma 4 3 5 3 2" xfId="14747" xr:uid="{8A9BCE8E-0496-4EC7-9540-BD1F0EE0C0F5}"/>
    <cellStyle name="Comma 4 3 5 3 2 2" xfId="31507" xr:uid="{78E2E30F-D5C5-40FE-A163-85EE94753899}"/>
    <cellStyle name="Comma 4 3 5 3 2 3" xfId="48266" xr:uid="{4A2E060C-0F36-47F3-9D84-E61F0F598290}"/>
    <cellStyle name="Comma 4 3 5 3 3" xfId="23127" xr:uid="{014E6C30-2A13-4F4A-8806-0B7C746D0A19}"/>
    <cellStyle name="Comma 4 3 5 3 4" xfId="39886" xr:uid="{2DA54643-AACA-4775-A1D1-B596D87AAD69}"/>
    <cellStyle name="Comma 4 3 5 4" xfId="3103" xr:uid="{45539BEC-C2BE-4FC6-98DA-5819363EC481}"/>
    <cellStyle name="Comma 4 3 5 4 2" xfId="11483" xr:uid="{0874D3A0-1461-4E93-B4C3-CEFDE6266528}"/>
    <cellStyle name="Comma 4 3 5 4 2 2" xfId="28243" xr:uid="{14D2CE4E-00B0-4BE5-99FD-872949B71269}"/>
    <cellStyle name="Comma 4 3 5 4 2 3" xfId="45002" xr:uid="{4F132D49-CBA9-4530-BF1B-90DEDE339D7F}"/>
    <cellStyle name="Comma 4 3 5 4 3" xfId="19863" xr:uid="{4AC91CCC-C747-43B8-96C2-52F8B57576C5}"/>
    <cellStyle name="Comma 4 3 5 4 4" xfId="36622" xr:uid="{47EBD86A-111E-465E-85F3-157FCB36CB45}"/>
    <cellStyle name="Comma 4 3 5 5" xfId="9680" xr:uid="{1915F50A-5371-4710-9C30-0EA25CD9BA72}"/>
    <cellStyle name="Comma 4 3 5 5 2" xfId="26440" xr:uid="{F8E34800-3DE2-4A68-8AA8-311D6F798477}"/>
    <cellStyle name="Comma 4 3 5 5 3" xfId="43199" xr:uid="{1B433FCB-5690-46B7-84C9-FE5F865015FB}"/>
    <cellStyle name="Comma 4 3 5 6" xfId="18060" xr:uid="{AF2843C1-DA74-4EC9-831D-0A49623F1662}"/>
    <cellStyle name="Comma 4 3 5 7" xfId="34819" xr:uid="{D3A8D500-A1C1-4D8F-BD82-5BD1038BB7BF}"/>
    <cellStyle name="Comma 4 3 6" xfId="1649" xr:uid="{12C5E39A-0D22-4843-AB5F-D99AFB854839}"/>
    <cellStyle name="Comma 4 3 6 2" xfId="5038" xr:uid="{3703CDB3-D8CA-48AA-9D10-53FA8527DC1B}"/>
    <cellStyle name="Comma 4 3 6 2 2" xfId="13418" xr:uid="{277CEEA2-168B-47CA-8F63-4AAD8FCD71F9}"/>
    <cellStyle name="Comma 4 3 6 2 2 2" xfId="30178" xr:uid="{CA3A5581-AFAB-4768-B7BC-B37C905A5EAE}"/>
    <cellStyle name="Comma 4 3 6 2 2 3" xfId="46937" xr:uid="{28C71384-7480-4095-A9A6-4F28743F94ED}"/>
    <cellStyle name="Comma 4 3 6 2 3" xfId="21798" xr:uid="{B791044D-5FC1-4485-89BF-C8F5974331B2}"/>
    <cellStyle name="Comma 4 3 6 2 4" xfId="38557" xr:uid="{7ACCA313-A9CC-496F-99A6-CC3FF292A3F4}"/>
    <cellStyle name="Comma 4 3 6 3" xfId="6725" xr:uid="{63D0D3BD-673D-4EA0-A986-88C61B94884A}"/>
    <cellStyle name="Comma 4 3 6 3 2" xfId="15105" xr:uid="{07FF40E5-D31B-4781-9669-5A84DD1C1BC8}"/>
    <cellStyle name="Comma 4 3 6 3 2 2" xfId="31865" xr:uid="{C44D8753-B454-4ED4-B6E4-11033809B6B3}"/>
    <cellStyle name="Comma 4 3 6 3 2 3" xfId="48624" xr:uid="{6EF3B055-C8A6-431B-89FC-2EB9E8E4C149}"/>
    <cellStyle name="Comma 4 3 6 3 3" xfId="23485" xr:uid="{3FC7EDDF-68E2-4C36-B530-691E33F04173}"/>
    <cellStyle name="Comma 4 3 6 3 4" xfId="40244" xr:uid="{6AEA9537-CC2F-451E-A9CD-AFE78BAC875E}"/>
    <cellStyle name="Comma 4 3 6 4" xfId="2245" xr:uid="{08DA25D5-3327-41C4-9F58-C6901750FABB}"/>
    <cellStyle name="Comma 4 3 6 4 2" xfId="10629" xr:uid="{053E23C1-2709-472D-B526-BB3BB010C668}"/>
    <cellStyle name="Comma 4 3 6 4 2 2" xfId="27389" xr:uid="{4BBBC526-7EC8-4060-8F09-A66BF30B6E8B}"/>
    <cellStyle name="Comma 4 3 6 4 2 3" xfId="44148" xr:uid="{C7CD2B7C-E383-4BD8-B651-A0050C38B955}"/>
    <cellStyle name="Comma 4 3 6 4 3" xfId="19009" xr:uid="{B95FD383-0251-4260-9687-D73682760514}"/>
    <cellStyle name="Comma 4 3 6 4 4" xfId="35768" xr:uid="{9237C553-1CFA-4221-A732-3CB3F508D35C}"/>
    <cellStyle name="Comma 4 3 6 5" xfId="10038" xr:uid="{5D46ACB8-1F40-4289-811D-B9B8C6C28BB8}"/>
    <cellStyle name="Comma 4 3 6 5 2" xfId="26798" xr:uid="{DC69A65B-7431-4779-A4C5-DFF8B313A687}"/>
    <cellStyle name="Comma 4 3 6 5 3" xfId="43557" xr:uid="{F9E1D30C-9856-4FDD-9334-0D51741EC30C}"/>
    <cellStyle name="Comma 4 3 6 6" xfId="18418" xr:uid="{58F528FE-BA49-4758-84A0-75BC720512B4}"/>
    <cellStyle name="Comma 4 3 6 7" xfId="35177" xr:uid="{7AC4F217-F307-42D2-817D-69D76BA0203E}"/>
    <cellStyle name="Comma 4 3 7" xfId="3767" xr:uid="{FF37BF20-FAE5-4A8B-936C-B594AD15C913}"/>
    <cellStyle name="Comma 4 3 7 2" xfId="12147" xr:uid="{261FA8B2-4AA1-492D-A954-035A48A259F4}"/>
    <cellStyle name="Comma 4 3 7 2 2" xfId="28907" xr:uid="{E05F777E-42C6-4ED1-A84E-0B66B698B700}"/>
    <cellStyle name="Comma 4 3 7 2 3" xfId="45666" xr:uid="{F19A859F-5D30-4CDF-B1D4-6629A8A579C9}"/>
    <cellStyle name="Comma 4 3 7 3" xfId="20527" xr:uid="{8B1EEEF9-C7BD-41C3-BBF3-B894F9B6B1CF}"/>
    <cellStyle name="Comma 4 3 7 4" xfId="37286" xr:uid="{37EC4F41-B10E-43DF-9C10-023B72B3AAAD}"/>
    <cellStyle name="Comma 4 3 8" xfId="5513" xr:uid="{EDC6322C-236A-46A1-AE24-17B67E6767FF}"/>
    <cellStyle name="Comma 4 3 8 2" xfId="13893" xr:uid="{90D95DE0-4525-4C49-B9BB-2819C7E201A8}"/>
    <cellStyle name="Comma 4 3 8 2 2" xfId="30653" xr:uid="{26A597E6-5726-4A2F-A1CD-CDE11BA5E3C2}"/>
    <cellStyle name="Comma 4 3 8 2 3" xfId="47412" xr:uid="{462A4B83-FC3A-4927-9940-33D798C6CA41}"/>
    <cellStyle name="Comma 4 3 8 3" xfId="22273" xr:uid="{FE5C80AE-C876-4243-AC21-A58CA0BF3DBE}"/>
    <cellStyle name="Comma 4 3 8 4" xfId="39032" xr:uid="{AF50F591-8D6A-4D31-9514-CFACB4F693AF}"/>
    <cellStyle name="Comma 4 3 9" xfId="7131" xr:uid="{36353FF6-9A1E-4A56-B80D-E44B94C13A69}"/>
    <cellStyle name="Comma 4 3 9 2" xfId="15511" xr:uid="{C8EE4B6F-277E-4F3F-8DA7-4875B20D9701}"/>
    <cellStyle name="Comma 4 3 9 2 2" xfId="32271" xr:uid="{FCFD811F-0E8C-4688-9FB1-2BE980BA7C82}"/>
    <cellStyle name="Comma 4 3 9 2 3" xfId="49030" xr:uid="{A9213216-9400-4485-B194-A90E19B78849}"/>
    <cellStyle name="Comma 4 3 9 3" xfId="23891" xr:uid="{CE77983F-1F5E-49C9-B8F2-11E8E22448DE}"/>
    <cellStyle name="Comma 4 3 9 4" xfId="40650" xr:uid="{E78118FD-30D4-47D0-BA5F-7F0C88FBBF9C}"/>
    <cellStyle name="Comma 4 4" xfId="317" xr:uid="{544A263D-C6AD-4905-AB10-AEC748611877}"/>
    <cellStyle name="Comma 4 4 10" xfId="2142" xr:uid="{B2737C49-61D3-4E23-9CF2-245245CFEC6E}"/>
    <cellStyle name="Comma 4 4 10 2" xfId="10530" xr:uid="{D7C572B7-1F4D-4015-A756-796A3CFF6A7D}"/>
    <cellStyle name="Comma 4 4 10 2 2" xfId="27290" xr:uid="{3A34783F-2A56-4F1A-B7CA-212EAE739174}"/>
    <cellStyle name="Comma 4 4 10 2 3" xfId="44049" xr:uid="{03509EC4-FD16-425E-AC56-E7B2C100B082}"/>
    <cellStyle name="Comma 4 4 10 3" xfId="18910" xr:uid="{E19C867E-88FB-438E-888E-094400E04C00}"/>
    <cellStyle name="Comma 4 4 10 4" xfId="35669" xr:uid="{729105BC-006F-4228-9EB2-9B15BB75FF19}"/>
    <cellStyle name="Comma 4 4 2" xfId="433" xr:uid="{F8E76C25-80ED-457E-AF32-17EFBE0BE5D9}"/>
    <cellStyle name="Comma 4 4 2 10" xfId="8464" xr:uid="{500202BD-094E-4714-B955-E5698415F3CF}"/>
    <cellStyle name="Comma 4 4 2 10 2" xfId="16844" xr:uid="{E8C93586-EE36-40C7-82A7-7F9DA96112E1}"/>
    <cellStyle name="Comma 4 4 2 10 2 2" xfId="33604" xr:uid="{8867FA2A-B6F9-485B-9BBE-2E2B1B362A26}"/>
    <cellStyle name="Comma 4 4 2 10 2 3" xfId="50363" xr:uid="{4132CB50-7A1A-4A04-A516-91DA9D1D2F5F}"/>
    <cellStyle name="Comma 4 4 2 10 3" xfId="25224" xr:uid="{5961E1FC-B4B7-4903-A28E-28D4A521591E}"/>
    <cellStyle name="Comma 4 4 2 10 4" xfId="41983" xr:uid="{9F995408-913F-4F0E-9F9B-904F6978D341}"/>
    <cellStyle name="Comma 4 4 2 11" xfId="2290" xr:uid="{265059E4-0BFA-4118-9E92-15A0227AB65D}"/>
    <cellStyle name="Comma 4 4 2 11 2" xfId="10673" xr:uid="{EB9FB3C3-0BA7-4FA9-84EE-74855A9D4625}"/>
    <cellStyle name="Comma 4 4 2 11 2 2" xfId="27433" xr:uid="{BA2DD11B-8637-416A-9597-D6EE70F6795C}"/>
    <cellStyle name="Comma 4 4 2 11 2 3" xfId="44192" xr:uid="{D52691D3-4937-4917-98C9-7D1EEF9CCC2D}"/>
    <cellStyle name="Comma 4 4 2 11 3" xfId="19053" xr:uid="{1C19FA57-4829-468B-BAC3-94C8CCCDE85F}"/>
    <cellStyle name="Comma 4 4 2 11 4" xfId="35812" xr:uid="{9825427B-D727-448F-8DD9-3A4B1A5F1B78}"/>
    <cellStyle name="Comma 4 4 2 12" xfId="8870" xr:uid="{C62B0369-CA48-431E-A8B6-0BCC35B47E9A}"/>
    <cellStyle name="Comma 4 4 2 12 2" xfId="25630" xr:uid="{06949B8C-4888-44DC-9D60-B7E78C73C913}"/>
    <cellStyle name="Comma 4 4 2 12 3" xfId="42389" xr:uid="{60FF7702-A2A4-4AA4-847A-4AACBED0CEE0}"/>
    <cellStyle name="Comma 4 4 2 13" xfId="17250" xr:uid="{7AB94542-51FA-4437-BF1C-CDDB4B2ADCC4}"/>
    <cellStyle name="Comma 4 4 2 14" xfId="34009" xr:uid="{D19BFAC2-FEAD-4A2C-8C37-8D91994338A2}"/>
    <cellStyle name="Comma 4 4 2 2" xfId="901" xr:uid="{761C95C7-5FE5-4A56-92A1-6B8BDB869BDC}"/>
    <cellStyle name="Comma 4 4 2 2 2" xfId="4296" xr:uid="{E338F17D-C6E0-4DB6-B0D1-B6E0A55629E4}"/>
    <cellStyle name="Comma 4 4 2 2 2 2" xfId="12676" xr:uid="{3BF1EF6E-E608-4700-954A-67E68A2D54D1}"/>
    <cellStyle name="Comma 4 4 2 2 2 2 2" xfId="29436" xr:uid="{E14E332E-CD93-4C85-8DB0-5B5784A40336}"/>
    <cellStyle name="Comma 4 4 2 2 2 2 3" xfId="46195" xr:uid="{4A4959FC-5EBC-4B55-8D72-5CFB04057037}"/>
    <cellStyle name="Comma 4 4 2 2 2 3" xfId="21056" xr:uid="{01FFA6CD-69F9-4799-A62A-93D5B20178F5}"/>
    <cellStyle name="Comma 4 4 2 2 2 4" xfId="37815" xr:uid="{D80A8AC8-41A0-4DD7-BC9E-7FD9793D639B}"/>
    <cellStyle name="Comma 4 4 2 2 3" xfId="5983" xr:uid="{49AC9FCF-CF1A-414A-8BFD-AA7C923E81F4}"/>
    <cellStyle name="Comma 4 4 2 2 3 2" xfId="14363" xr:uid="{9826E8F2-0409-4EA0-8795-23E4EBE2A7E7}"/>
    <cellStyle name="Comma 4 4 2 2 3 2 2" xfId="31123" xr:uid="{6ACF00F0-00A1-4778-B988-8535E512369F}"/>
    <cellStyle name="Comma 4 4 2 2 3 2 3" xfId="47882" xr:uid="{53ACF434-C2BC-4AB2-BEA0-064918084123}"/>
    <cellStyle name="Comma 4 4 2 2 3 3" xfId="22743" xr:uid="{C11DF88C-BBB5-48E3-9738-E70F66B3F2D6}"/>
    <cellStyle name="Comma 4 4 2 2 3 4" xfId="39502" xr:uid="{AA20F6F7-F591-435D-8539-B3C337DD95FA}"/>
    <cellStyle name="Comma 4 4 2 2 4" xfId="2719" xr:uid="{C4F200A1-2BA7-49EE-B2A6-0B9BF8409811}"/>
    <cellStyle name="Comma 4 4 2 2 4 2" xfId="11099" xr:uid="{BB24E9AC-73A6-4600-AD56-EB719FB9EEDE}"/>
    <cellStyle name="Comma 4 4 2 2 4 2 2" xfId="27859" xr:uid="{BA1138D3-4294-4CB9-AF3C-8342F9C32A2B}"/>
    <cellStyle name="Comma 4 4 2 2 4 2 3" xfId="44618" xr:uid="{6DFF8630-FB66-4EC4-85B8-4751311AE290}"/>
    <cellStyle name="Comma 4 4 2 2 4 3" xfId="19479" xr:uid="{2251C476-32D6-4E75-B0D9-D122EAA65ECD}"/>
    <cellStyle name="Comma 4 4 2 2 4 4" xfId="36238" xr:uid="{62966DD3-1DE8-41EF-BC57-D6EA1C3BA015}"/>
    <cellStyle name="Comma 4 4 2 2 5" xfId="9296" xr:uid="{4C547CA3-6A6C-4903-B485-0EFAF1C3F0F5}"/>
    <cellStyle name="Comma 4 4 2 2 5 2" xfId="26056" xr:uid="{232B0D26-98B3-41B9-ADE3-11CF84850F2F}"/>
    <cellStyle name="Comma 4 4 2 2 5 3" xfId="42815" xr:uid="{A7E5CEFF-BA22-46BF-A58D-DCC90DB1CECD}"/>
    <cellStyle name="Comma 4 4 2 2 6" xfId="17676" xr:uid="{91BFAD29-3F25-4142-9FFB-10EF91C2D41A}"/>
    <cellStyle name="Comma 4 4 2 2 7" xfId="34435" xr:uid="{39E6B931-406E-492C-AF15-16BE454E2072}"/>
    <cellStyle name="Comma 4 4 2 3" xfId="1335" xr:uid="{5F2033E3-F346-4A34-A93C-39737F558608}"/>
    <cellStyle name="Comma 4 4 2 3 2" xfId="4724" xr:uid="{07847E63-91DB-4D44-912E-DA685111D9CC}"/>
    <cellStyle name="Comma 4 4 2 3 2 2" xfId="13104" xr:uid="{652788B6-098C-4DCF-8632-7458653EE267}"/>
    <cellStyle name="Comma 4 4 2 3 2 2 2" xfId="29864" xr:uid="{77D56992-9DB3-4EC9-A3BF-C6244F43F661}"/>
    <cellStyle name="Comma 4 4 2 3 2 2 3" xfId="46623" xr:uid="{15DBE1EE-7216-41B9-BAA8-2D1696E36E6D}"/>
    <cellStyle name="Comma 4 4 2 3 2 3" xfId="21484" xr:uid="{F22876AA-0A70-4A14-BA8C-9CBE7A05DA25}"/>
    <cellStyle name="Comma 4 4 2 3 2 4" xfId="38243" xr:uid="{17DA32F5-7ED4-4791-9785-574E8BEBAEB5}"/>
    <cellStyle name="Comma 4 4 2 3 3" xfId="6411" xr:uid="{BFE4BEA3-AF6B-4999-AE63-965B14A1A36C}"/>
    <cellStyle name="Comma 4 4 2 3 3 2" xfId="14791" xr:uid="{C588D175-E978-474B-B449-773FC92F22E1}"/>
    <cellStyle name="Comma 4 4 2 3 3 2 2" xfId="31551" xr:uid="{3A9D3AED-D8AB-4070-9F39-773262C5BBE1}"/>
    <cellStyle name="Comma 4 4 2 3 3 2 3" xfId="48310" xr:uid="{F4C06A48-CC4C-4CD4-AB3F-E214C9E5BD19}"/>
    <cellStyle name="Comma 4 4 2 3 3 3" xfId="23171" xr:uid="{CD819730-735E-4DAB-8BFB-90224166E12D}"/>
    <cellStyle name="Comma 4 4 2 3 3 4" xfId="39930" xr:uid="{31B9D9C4-5E6F-4953-9C86-D64F034518A2}"/>
    <cellStyle name="Comma 4 4 2 3 4" xfId="3147" xr:uid="{37EBACE5-83F3-412C-80B0-EC7ED60D58AC}"/>
    <cellStyle name="Comma 4 4 2 3 4 2" xfId="11527" xr:uid="{C930E98F-31FE-4B67-8F41-A6371E56EA5A}"/>
    <cellStyle name="Comma 4 4 2 3 4 2 2" xfId="28287" xr:uid="{6F5EC69E-AE63-4793-94EA-85A61CC49560}"/>
    <cellStyle name="Comma 4 4 2 3 4 2 3" xfId="45046" xr:uid="{AF55AFAD-643D-4BF9-87F1-D714E5AC552F}"/>
    <cellStyle name="Comma 4 4 2 3 4 3" xfId="19907" xr:uid="{857666C9-3A25-431E-986B-5DEE46C24840}"/>
    <cellStyle name="Comma 4 4 2 3 4 4" xfId="36666" xr:uid="{7794E866-6D1A-4492-8A6C-CDBCB02FB48E}"/>
    <cellStyle name="Comma 4 4 2 3 5" xfId="9724" xr:uid="{69CC0343-F573-4B29-867B-A84E465C1EAC}"/>
    <cellStyle name="Comma 4 4 2 3 5 2" xfId="26484" xr:uid="{6FBA5DB1-DD17-4DA6-94DF-D4E7D2E6004B}"/>
    <cellStyle name="Comma 4 4 2 3 5 3" xfId="43243" xr:uid="{5FED94BE-0858-4F39-A4FE-3C78612D3D4F}"/>
    <cellStyle name="Comma 4 4 2 3 6" xfId="18104" xr:uid="{FBB8E05F-E845-49E3-8F78-D7CECA9A6E8A}"/>
    <cellStyle name="Comma 4 4 2 3 7" xfId="34863" xr:uid="{1498C311-97D6-4622-9F75-473EFF791B2D}"/>
    <cellStyle name="Comma 4 4 2 4" xfId="1764" xr:uid="{423749A4-426C-441A-B53C-C1F02B54A13D}"/>
    <cellStyle name="Comma 4 4 2 4 2" xfId="5153" xr:uid="{70081405-2D95-4813-8E10-7C6747D4FEE3}"/>
    <cellStyle name="Comma 4 4 2 4 2 2" xfId="13533" xr:uid="{DCA99F38-14E7-4809-A88D-5A7166F963D9}"/>
    <cellStyle name="Comma 4 4 2 4 2 2 2" xfId="30293" xr:uid="{C3A193A3-F8A6-48A3-A962-CFD798240CCC}"/>
    <cellStyle name="Comma 4 4 2 4 2 2 3" xfId="47052" xr:uid="{ED3B88F8-1F9D-4212-BA8E-383BDEFF26E7}"/>
    <cellStyle name="Comma 4 4 2 4 2 3" xfId="21913" xr:uid="{78792858-9A8A-426F-9EAD-F0A24B16F898}"/>
    <cellStyle name="Comma 4 4 2 4 2 4" xfId="38672" xr:uid="{9737955B-113D-41D0-B05B-9342DC5DE006}"/>
    <cellStyle name="Comma 4 4 2 4 3" xfId="6840" xr:uid="{CEF195A9-6AB6-4F06-B6E2-02A0A02AE9F6}"/>
    <cellStyle name="Comma 4 4 2 4 3 2" xfId="15220" xr:uid="{C7BCD214-F2A7-4F5A-BCA9-37816C1DA81A}"/>
    <cellStyle name="Comma 4 4 2 4 3 2 2" xfId="31980" xr:uid="{04028647-55A9-4148-900E-AEC03A247529}"/>
    <cellStyle name="Comma 4 4 2 4 3 2 3" xfId="48739" xr:uid="{5F2AF71B-BBBA-4534-B2CD-ACDC560E1AE1}"/>
    <cellStyle name="Comma 4 4 2 4 3 3" xfId="23600" xr:uid="{640602D4-FEDE-4453-92CA-5F4D85317E52}"/>
    <cellStyle name="Comma 4 4 2 4 3 4" xfId="40359" xr:uid="{0CE370AC-E56C-4554-8D97-9FBFA146BC5A}"/>
    <cellStyle name="Comma 4 4 2 4 4" xfId="3464" xr:uid="{CB6094F5-3885-4D81-A476-4B10331D83CB}"/>
    <cellStyle name="Comma 4 4 2 4 4 2" xfId="11844" xr:uid="{27019C18-3937-4FC9-876A-B9C67448DD6E}"/>
    <cellStyle name="Comma 4 4 2 4 4 2 2" xfId="28604" xr:uid="{583F58A7-FF42-42AB-936E-0B6C08CBD415}"/>
    <cellStyle name="Comma 4 4 2 4 4 2 3" xfId="45363" xr:uid="{002B2D01-B360-4331-97DF-1CB11CEA2603}"/>
    <cellStyle name="Comma 4 4 2 4 4 3" xfId="20224" xr:uid="{82822D68-4949-4A83-BEC9-855804D4769B}"/>
    <cellStyle name="Comma 4 4 2 4 4 4" xfId="36983" xr:uid="{AB52420E-3F03-4F7E-A832-2CB8837788A7}"/>
    <cellStyle name="Comma 4 4 2 4 5" xfId="10153" xr:uid="{FDF9B953-27A0-4372-8501-132BA18914B2}"/>
    <cellStyle name="Comma 4 4 2 4 5 2" xfId="26913" xr:uid="{F1BA864C-2210-4116-853C-EBE0B507116A}"/>
    <cellStyle name="Comma 4 4 2 4 5 3" xfId="43672" xr:uid="{11321C15-83DD-444C-9D34-0F70CF2884EC}"/>
    <cellStyle name="Comma 4 4 2 4 6" xfId="18533" xr:uid="{AE14B636-8AB6-46B0-9E85-AA645E1B043D}"/>
    <cellStyle name="Comma 4 4 2 4 7" xfId="35292" xr:uid="{026EEE06-94A1-4D15-9A7B-04BE91695203}"/>
    <cellStyle name="Comma 4 4 2 5" xfId="3883" xr:uid="{23962EF3-B5E4-4E4C-857E-27A6713E3AF4}"/>
    <cellStyle name="Comma 4 4 2 5 2" xfId="12263" xr:uid="{BCD9A775-D079-4D91-8436-DA2F854ED353}"/>
    <cellStyle name="Comma 4 4 2 5 2 2" xfId="29023" xr:uid="{D594685A-D197-400F-8663-6FBF50C1FAAE}"/>
    <cellStyle name="Comma 4 4 2 5 2 3" xfId="45782" xr:uid="{6E09BC5A-2DE1-4FA7-B697-02023DFDCC20}"/>
    <cellStyle name="Comma 4 4 2 5 3" xfId="20643" xr:uid="{426FBB90-7059-4EBE-AFC1-1BD456B5C868}"/>
    <cellStyle name="Comma 4 4 2 5 4" xfId="37402" xr:uid="{46693087-D2FD-400C-AEC9-51421B4BDA47}"/>
    <cellStyle name="Comma 4 4 2 6" xfId="5557" xr:uid="{CF63C5AC-01B1-40A0-9845-0ED576469C43}"/>
    <cellStyle name="Comma 4 4 2 6 2" xfId="13937" xr:uid="{A726CD90-87FA-49FA-9B5E-A1C9721BD724}"/>
    <cellStyle name="Comma 4 4 2 6 2 2" xfId="30697" xr:uid="{1488A1DB-4C3D-488C-897F-3641C2356AF5}"/>
    <cellStyle name="Comma 4 4 2 6 2 3" xfId="47456" xr:uid="{8E4320C1-F38C-4F85-8006-1CA29B9CF9BC}"/>
    <cellStyle name="Comma 4 4 2 6 3" xfId="22317" xr:uid="{E2D6A2D7-DB90-4AED-A18D-1CB5510C2843}"/>
    <cellStyle name="Comma 4 4 2 6 4" xfId="39076" xr:uid="{020A27DE-025F-4CD7-8098-254403A4ED56}"/>
    <cellStyle name="Comma 4 4 2 7" xfId="7246" xr:uid="{075FD277-947E-487A-9464-87801BDE86DA}"/>
    <cellStyle name="Comma 4 4 2 7 2" xfId="15626" xr:uid="{92DAE761-77B3-48EF-B068-E8D0B136804C}"/>
    <cellStyle name="Comma 4 4 2 7 2 2" xfId="32386" xr:uid="{926D3E20-136D-487D-8B5F-0E3E4AA0F7E3}"/>
    <cellStyle name="Comma 4 4 2 7 2 3" xfId="49145" xr:uid="{8AA218D5-F3C4-467D-8F57-2BD759862147}"/>
    <cellStyle name="Comma 4 4 2 7 3" xfId="24006" xr:uid="{126FCE81-CA18-4192-B531-BB0C53E88714}"/>
    <cellStyle name="Comma 4 4 2 7 4" xfId="40765" xr:uid="{F3DCE7D4-A196-465C-AFBF-5756065D9518}"/>
    <cellStyle name="Comma 4 4 2 8" xfId="7652" xr:uid="{056EF410-D9D6-4838-96F3-25492D72D5D9}"/>
    <cellStyle name="Comma 4 4 2 8 2" xfId="16032" xr:uid="{7DA11F30-AEE8-4A04-80F3-DB7761A5300C}"/>
    <cellStyle name="Comma 4 4 2 8 2 2" xfId="32792" xr:uid="{627A5FA7-C110-4D5C-B073-E7288075749F}"/>
    <cellStyle name="Comma 4 4 2 8 2 3" xfId="49551" xr:uid="{59F548B7-EED5-4F38-B7C4-721703A302DE}"/>
    <cellStyle name="Comma 4 4 2 8 3" xfId="24412" xr:uid="{35AF6FF0-1E29-468E-B91B-4608E0108416}"/>
    <cellStyle name="Comma 4 4 2 8 4" xfId="41171" xr:uid="{D0D48B24-98A3-4A93-8948-60B6064A3278}"/>
    <cellStyle name="Comma 4 4 2 9" xfId="8058" xr:uid="{15788321-1FA6-4DA0-9B1A-F2DDB41D48FD}"/>
    <cellStyle name="Comma 4 4 2 9 2" xfId="16438" xr:uid="{9F7E2577-72BB-46EC-9BEB-FBE90B43AD02}"/>
    <cellStyle name="Comma 4 4 2 9 2 2" xfId="33198" xr:uid="{21EEA8A1-ABCF-4BB3-90D3-8D650755110A}"/>
    <cellStyle name="Comma 4 4 2 9 2 3" xfId="49957" xr:uid="{F390C30F-A596-4ACE-8205-17245113583D}"/>
    <cellStyle name="Comma 4 4 2 9 3" xfId="24818" xr:uid="{20B2DC85-4006-4E45-941E-115E465B2B19}"/>
    <cellStyle name="Comma 4 4 2 9 4" xfId="41577" xr:uid="{3429F09A-98B8-4FCC-A478-424B445F9E5F}"/>
    <cellStyle name="Comma 4 4 3" xfId="434" xr:uid="{4F422CE1-FFEC-43EB-A8B8-A5C0FE04292B}"/>
    <cellStyle name="Comma 4 4 3 10" xfId="8726" xr:uid="{436F0D4B-544D-4D52-8CC5-2914E679FED4}"/>
    <cellStyle name="Comma 4 4 3 10 2" xfId="17106" xr:uid="{6A1A1B5A-D863-4174-A51A-C7BA5A3F8B6F}"/>
    <cellStyle name="Comma 4 4 3 10 2 2" xfId="33866" xr:uid="{B39396DD-4403-4723-A09D-9322790BE5FC}"/>
    <cellStyle name="Comma 4 4 3 10 2 3" xfId="50625" xr:uid="{73BDAEBB-6C07-4754-9570-84EB1E843909}"/>
    <cellStyle name="Comma 4 4 3 10 3" xfId="25486" xr:uid="{09330242-2240-4B1B-8ED8-9012365AAEE7}"/>
    <cellStyle name="Comma 4 4 3 10 4" xfId="42245" xr:uid="{885099B7-9E33-4999-B42B-A832945A4544}"/>
    <cellStyle name="Comma 4 4 3 11" xfId="2291" xr:uid="{D77B10D0-869C-4CED-89E4-EA8776B3C59B}"/>
    <cellStyle name="Comma 4 4 3 11 2" xfId="10674" xr:uid="{A27115DD-ED9C-43BD-AC5E-350A149ED7A1}"/>
    <cellStyle name="Comma 4 4 3 11 2 2" xfId="27434" xr:uid="{9F4221F0-75C9-4401-8722-40234711B5CE}"/>
    <cellStyle name="Comma 4 4 3 11 2 3" xfId="44193" xr:uid="{2F27472A-B515-4247-BB3F-233A717C8A19}"/>
    <cellStyle name="Comma 4 4 3 11 3" xfId="19054" xr:uid="{F788AA58-5CE6-4EEE-AA84-4198F97E1F39}"/>
    <cellStyle name="Comma 4 4 3 11 4" xfId="35813" xr:uid="{468FD903-AA3C-4019-92B1-916099B4A7DD}"/>
    <cellStyle name="Comma 4 4 3 12" xfId="8871" xr:uid="{392A19D2-91FE-401A-89DF-AB3C54186721}"/>
    <cellStyle name="Comma 4 4 3 12 2" xfId="25631" xr:uid="{FECDDEF1-D32E-4497-AFC8-32C3119552C5}"/>
    <cellStyle name="Comma 4 4 3 12 3" xfId="42390" xr:uid="{99CD1698-BF86-4629-87E2-C16B31586425}"/>
    <cellStyle name="Comma 4 4 3 13" xfId="17251" xr:uid="{FB227942-AD02-4F4A-8D1A-F0B6A7899CA3}"/>
    <cellStyle name="Comma 4 4 3 14" xfId="34010" xr:uid="{D7E7C9B9-69C7-46E4-9636-716ED89256D8}"/>
    <cellStyle name="Comma 4 4 3 2" xfId="902" xr:uid="{995F94E8-ED78-4BC2-A9BD-E982955C4DEC}"/>
    <cellStyle name="Comma 4 4 3 2 2" xfId="4297" xr:uid="{AC4AA78D-C069-453E-8D02-08A64E113D2D}"/>
    <cellStyle name="Comma 4 4 3 2 2 2" xfId="12677" xr:uid="{11EEACBB-452F-4C2A-BC5A-F690951331A1}"/>
    <cellStyle name="Comma 4 4 3 2 2 2 2" xfId="29437" xr:uid="{94E811BA-F150-43FC-97CC-FAFDA9F4F41A}"/>
    <cellStyle name="Comma 4 4 3 2 2 2 3" xfId="46196" xr:uid="{65287F2A-6932-4529-9141-61CE059E3337}"/>
    <cellStyle name="Comma 4 4 3 2 2 3" xfId="21057" xr:uid="{8CE4CC6F-FC45-4417-B58F-EF29FE7A2690}"/>
    <cellStyle name="Comma 4 4 3 2 2 4" xfId="37816" xr:uid="{F1152D7C-D2EB-4160-9298-592E5F36E534}"/>
    <cellStyle name="Comma 4 4 3 2 3" xfId="5984" xr:uid="{CBBC4120-2893-4235-81BE-78A5164D6973}"/>
    <cellStyle name="Comma 4 4 3 2 3 2" xfId="14364" xr:uid="{D0E73330-A1E0-4491-BF5F-5EAFC64FF6A9}"/>
    <cellStyle name="Comma 4 4 3 2 3 2 2" xfId="31124" xr:uid="{5EAC41E4-1E14-4A86-9E64-19E60AC530F9}"/>
    <cellStyle name="Comma 4 4 3 2 3 2 3" xfId="47883" xr:uid="{208F3169-D358-40B4-9392-9CA7395D639A}"/>
    <cellStyle name="Comma 4 4 3 2 3 3" xfId="22744" xr:uid="{4E9520C8-6F16-4CB2-A58E-DA5B9A8A53F5}"/>
    <cellStyle name="Comma 4 4 3 2 3 4" xfId="39503" xr:uid="{5FCDFFB9-1B15-4AEF-8124-976C264C57CA}"/>
    <cellStyle name="Comma 4 4 3 2 4" xfId="2720" xr:uid="{61CFE765-2C2C-4F40-879C-FC1A7E177F73}"/>
    <cellStyle name="Comma 4 4 3 2 4 2" xfId="11100" xr:uid="{DA04ACFE-60E9-42BA-8AAF-47948EFD8609}"/>
    <cellStyle name="Comma 4 4 3 2 4 2 2" xfId="27860" xr:uid="{3F0C5155-18E0-48CB-AADF-EBEBAB875317}"/>
    <cellStyle name="Comma 4 4 3 2 4 2 3" xfId="44619" xr:uid="{FC431505-D7E2-4CF2-AA14-01ADF833EADE}"/>
    <cellStyle name="Comma 4 4 3 2 4 3" xfId="19480" xr:uid="{3B279B27-18CE-4080-B8AC-821FC224170A}"/>
    <cellStyle name="Comma 4 4 3 2 4 4" xfId="36239" xr:uid="{EC62EB09-7766-4D35-9244-6C9D28854D16}"/>
    <cellStyle name="Comma 4 4 3 2 5" xfId="9297" xr:uid="{535A3100-9A03-49C0-A922-EE0B5947E97A}"/>
    <cellStyle name="Comma 4 4 3 2 5 2" xfId="26057" xr:uid="{360C3E03-EAC0-4965-8F09-EF401ABE4600}"/>
    <cellStyle name="Comma 4 4 3 2 5 3" xfId="42816" xr:uid="{5612A143-DF3C-4580-9AD2-42D7E00DAFCA}"/>
    <cellStyle name="Comma 4 4 3 2 6" xfId="17677" xr:uid="{8B46EEA2-B867-4556-8FAD-6411A391C860}"/>
    <cellStyle name="Comma 4 4 3 2 7" xfId="34436" xr:uid="{35F38756-55BA-44D1-B3BB-6198F09DB913}"/>
    <cellStyle name="Comma 4 4 3 3" xfId="1336" xr:uid="{6E1D7F87-6175-439F-AE9F-D12E01A4FA04}"/>
    <cellStyle name="Comma 4 4 3 3 2" xfId="4725" xr:uid="{BC6C682E-250D-4FE9-9B90-9F69CD7AD144}"/>
    <cellStyle name="Comma 4 4 3 3 2 2" xfId="13105" xr:uid="{C47EDB2D-7ED3-41E6-8975-54A56FE5CFA3}"/>
    <cellStyle name="Comma 4 4 3 3 2 2 2" xfId="29865" xr:uid="{EA667E91-BD50-499B-8AF5-1F1DFF48FC01}"/>
    <cellStyle name="Comma 4 4 3 3 2 2 3" xfId="46624" xr:uid="{391B485F-422F-4D7B-A300-CDB5D6E4F5CD}"/>
    <cellStyle name="Comma 4 4 3 3 2 3" xfId="21485" xr:uid="{6AB74413-4286-4123-B0A4-1DB3371C0735}"/>
    <cellStyle name="Comma 4 4 3 3 2 4" xfId="38244" xr:uid="{A2E2F2C3-93C2-4F49-8C5E-DEDD28C80FB8}"/>
    <cellStyle name="Comma 4 4 3 3 3" xfId="6412" xr:uid="{FE88C802-90EF-4D24-8DA5-0A89A1E4B986}"/>
    <cellStyle name="Comma 4 4 3 3 3 2" xfId="14792" xr:uid="{30F206A1-FE46-4FD3-859A-39AB9007E4F5}"/>
    <cellStyle name="Comma 4 4 3 3 3 2 2" xfId="31552" xr:uid="{974E0973-A344-4830-BA81-59449B2FDD54}"/>
    <cellStyle name="Comma 4 4 3 3 3 2 3" xfId="48311" xr:uid="{2689D098-DE3D-45A8-8EF8-DEE6B5C5C776}"/>
    <cellStyle name="Comma 4 4 3 3 3 3" xfId="23172" xr:uid="{17951395-F6C7-4F60-A8B1-CDD5FC4F0E1A}"/>
    <cellStyle name="Comma 4 4 3 3 3 4" xfId="39931" xr:uid="{C374ABA6-915D-4A5D-87B0-A5B157E5DBA0}"/>
    <cellStyle name="Comma 4 4 3 3 4" xfId="3148" xr:uid="{AF4B35A7-3C54-4726-87F8-BB5C52132956}"/>
    <cellStyle name="Comma 4 4 3 3 4 2" xfId="11528" xr:uid="{8307EBF2-F3D5-428D-9F5E-F1DAB9EDC97C}"/>
    <cellStyle name="Comma 4 4 3 3 4 2 2" xfId="28288" xr:uid="{EC76E9C9-E4C8-46C9-A7EB-AD3B8EAC1123}"/>
    <cellStyle name="Comma 4 4 3 3 4 2 3" xfId="45047" xr:uid="{B29A4711-8C26-4C91-8DB4-4EBF4296F792}"/>
    <cellStyle name="Comma 4 4 3 3 4 3" xfId="19908" xr:uid="{606F92BC-226E-40A2-B1A0-34D7F3F2C4B7}"/>
    <cellStyle name="Comma 4 4 3 3 4 4" xfId="36667" xr:uid="{094BF1AD-E696-4524-849F-CB1DD849091B}"/>
    <cellStyle name="Comma 4 4 3 3 5" xfId="9725" xr:uid="{18863ECB-18D0-4E9B-98CA-BF3F5E9E4737}"/>
    <cellStyle name="Comma 4 4 3 3 5 2" xfId="26485" xr:uid="{EE7321B9-B96D-485E-9AB3-65D5C88A56A6}"/>
    <cellStyle name="Comma 4 4 3 3 5 3" xfId="43244" xr:uid="{FA822C21-7018-48E7-8388-B6F0F5AE03D3}"/>
    <cellStyle name="Comma 4 4 3 3 6" xfId="18105" xr:uid="{F723C058-9D14-48EA-B4CD-D96FFCAD542F}"/>
    <cellStyle name="Comma 4 4 3 3 7" xfId="34864" xr:uid="{2A306391-0C0F-4F4E-AD48-D7479F1DF9F1}"/>
    <cellStyle name="Comma 4 4 3 4" xfId="2026" xr:uid="{77A3AC40-5710-4520-B7B6-9D8B7E975DEE}"/>
    <cellStyle name="Comma 4 4 3 4 2" xfId="5415" xr:uid="{48428702-166D-449A-9557-BA893E52B09C}"/>
    <cellStyle name="Comma 4 4 3 4 2 2" xfId="13795" xr:uid="{D636DF28-5F65-4C48-9236-2CF846F3D849}"/>
    <cellStyle name="Comma 4 4 3 4 2 2 2" xfId="30555" xr:uid="{8D054024-8459-40AD-A8CD-CF3AEF01196C}"/>
    <cellStyle name="Comma 4 4 3 4 2 2 3" xfId="47314" xr:uid="{8AD046E2-4AB3-4D28-8E0A-9E1C2A597E05}"/>
    <cellStyle name="Comma 4 4 3 4 2 3" xfId="22175" xr:uid="{7DD37CD9-C043-4824-ABE9-8A1E2074AF1B}"/>
    <cellStyle name="Comma 4 4 3 4 2 4" xfId="38934" xr:uid="{C7000705-C2F2-4FD4-817C-AD35041C9D99}"/>
    <cellStyle name="Comma 4 4 3 4 3" xfId="7102" xr:uid="{1C90C629-E15D-45BC-B2AF-892623AA48A1}"/>
    <cellStyle name="Comma 4 4 3 4 3 2" xfId="15482" xr:uid="{D58610CF-2BB8-4AFC-82B0-75F3EA66F4AE}"/>
    <cellStyle name="Comma 4 4 3 4 3 2 2" xfId="32242" xr:uid="{7A3988D0-A7CF-4B58-970A-AE39A3BD8D96}"/>
    <cellStyle name="Comma 4 4 3 4 3 2 3" xfId="49001" xr:uid="{BCFB29FE-421B-4E8D-8FE7-C69B8977D1C5}"/>
    <cellStyle name="Comma 4 4 3 4 3 3" xfId="23862" xr:uid="{A15B3359-4E13-4F92-9165-1F3BD718DFBA}"/>
    <cellStyle name="Comma 4 4 3 4 3 4" xfId="40621" xr:uid="{0C10F880-D9ED-4795-ADC0-C51877E1331C}"/>
    <cellStyle name="Comma 4 4 3 4 4" xfId="3725" xr:uid="{DD92CF54-EA04-4659-A2DB-858C9BB34DDB}"/>
    <cellStyle name="Comma 4 4 3 4 4 2" xfId="12105" xr:uid="{511FAF44-DC10-4A45-863D-BF9C1640D2E1}"/>
    <cellStyle name="Comma 4 4 3 4 4 2 2" xfId="28865" xr:uid="{2C342974-4517-42B3-A303-C74059958AE3}"/>
    <cellStyle name="Comma 4 4 3 4 4 2 3" xfId="45624" xr:uid="{9C01CC7D-312F-477D-B0FB-6399D4AB2F46}"/>
    <cellStyle name="Comma 4 4 3 4 4 3" xfId="20485" xr:uid="{9B2C6A0B-D90D-495A-AE87-3BCAA30E9C74}"/>
    <cellStyle name="Comma 4 4 3 4 4 4" xfId="37244" xr:uid="{1591E42F-815D-4F80-BEF4-74CEFBD3DF33}"/>
    <cellStyle name="Comma 4 4 3 4 5" xfId="10415" xr:uid="{16AB7970-1C9D-4FE3-A7E6-9D07B043416D}"/>
    <cellStyle name="Comma 4 4 3 4 5 2" xfId="27175" xr:uid="{298502AB-B266-4459-BA02-631DC3D486F9}"/>
    <cellStyle name="Comma 4 4 3 4 5 3" xfId="43934" xr:uid="{1BD69351-FB91-43F5-93E6-1886AFD6AF9A}"/>
    <cellStyle name="Comma 4 4 3 4 6" xfId="18795" xr:uid="{DE8FB651-DC32-4A6B-AB0E-BFD0E50361BD}"/>
    <cellStyle name="Comma 4 4 3 4 7" xfId="35554" xr:uid="{1DE4F9D5-BF33-4A60-9956-CD7B6887EE11}"/>
    <cellStyle name="Comma 4 4 3 5" xfId="4145" xr:uid="{F20984B7-83B0-486A-B971-987B94F0F1A7}"/>
    <cellStyle name="Comma 4 4 3 5 2" xfId="12525" xr:uid="{949CB4A8-45E0-4309-AD24-50A5EE39167F}"/>
    <cellStyle name="Comma 4 4 3 5 2 2" xfId="29285" xr:uid="{74DF1898-D65E-451E-97BD-CCD09F0FEE8B}"/>
    <cellStyle name="Comma 4 4 3 5 2 3" xfId="46044" xr:uid="{27AC8479-4BD6-4881-8F13-2AD15CF5691C}"/>
    <cellStyle name="Comma 4 4 3 5 3" xfId="20905" xr:uid="{BFA55A4B-31B6-4E73-A200-5A04910B1D9F}"/>
    <cellStyle name="Comma 4 4 3 5 4" xfId="37664" xr:uid="{A2D15D51-16BB-4983-AD58-46DF42765F90}"/>
    <cellStyle name="Comma 4 4 3 6" xfId="5558" xr:uid="{2631D967-5047-454B-884D-4217830608F4}"/>
    <cellStyle name="Comma 4 4 3 6 2" xfId="13938" xr:uid="{951C1BE4-3383-4A43-A17F-C020DAECC91C}"/>
    <cellStyle name="Comma 4 4 3 6 2 2" xfId="30698" xr:uid="{67B32A6F-FB8A-408D-9058-36B3A857C65F}"/>
    <cellStyle name="Comma 4 4 3 6 2 3" xfId="47457" xr:uid="{CE69258C-0AB6-4FCB-ADA5-FA33412F1CB7}"/>
    <cellStyle name="Comma 4 4 3 6 3" xfId="22318" xr:uid="{B1B7FC0A-8B50-49EE-93A1-107FF75D9FD1}"/>
    <cellStyle name="Comma 4 4 3 6 4" xfId="39077" xr:uid="{ED26F377-DD58-4A56-9F2C-4743CDE920E8}"/>
    <cellStyle name="Comma 4 4 3 7" xfId="7508" xr:uid="{7BD22AE2-8134-4CA9-A811-A1D8E9552926}"/>
    <cellStyle name="Comma 4 4 3 7 2" xfId="15888" xr:uid="{12C7E991-CE2E-4480-909A-413FA1150E35}"/>
    <cellStyle name="Comma 4 4 3 7 2 2" xfId="32648" xr:uid="{68B10C26-4A8F-4F2F-9705-AB1A7F75C30A}"/>
    <cellStyle name="Comma 4 4 3 7 2 3" xfId="49407" xr:uid="{E702F50A-6464-4953-A07C-98253582C567}"/>
    <cellStyle name="Comma 4 4 3 7 3" xfId="24268" xr:uid="{501B188D-0BAD-4C67-ABB4-151B2450A46D}"/>
    <cellStyle name="Comma 4 4 3 7 4" xfId="41027" xr:uid="{2F9403B7-78A1-4B31-83D9-DE87F2254148}"/>
    <cellStyle name="Comma 4 4 3 8" xfId="7914" xr:uid="{3B90444F-4079-4D97-8935-73F5B93A8993}"/>
    <cellStyle name="Comma 4 4 3 8 2" xfId="16294" xr:uid="{F4A693AE-941E-4ECC-8390-2A0E8B5493E4}"/>
    <cellStyle name="Comma 4 4 3 8 2 2" xfId="33054" xr:uid="{AE695C3A-0862-4D0F-98E0-4BD10CCF75A9}"/>
    <cellStyle name="Comma 4 4 3 8 2 3" xfId="49813" xr:uid="{49CA2D8F-1796-40B2-8F88-2D88483F89E6}"/>
    <cellStyle name="Comma 4 4 3 8 3" xfId="24674" xr:uid="{61673213-8B4C-467A-A4E1-92666959AC0B}"/>
    <cellStyle name="Comma 4 4 3 8 4" xfId="41433" xr:uid="{AFFFF621-9B24-4988-B6BC-C265D7F52812}"/>
    <cellStyle name="Comma 4 4 3 9" xfId="8320" xr:uid="{E29A3683-889A-4DD5-BB05-D85A4ACBE71D}"/>
    <cellStyle name="Comma 4 4 3 9 2" xfId="16700" xr:uid="{05657BD1-CB0D-48F8-A49B-8E07AFFF5BEA}"/>
    <cellStyle name="Comma 4 4 3 9 2 2" xfId="33460" xr:uid="{BB361E94-8ACE-44D8-906C-3CD3EB35E910}"/>
    <cellStyle name="Comma 4 4 3 9 2 3" xfId="50219" xr:uid="{CB7947B9-9F43-425F-B78F-0593CFB24714}"/>
    <cellStyle name="Comma 4 4 3 9 3" xfId="25080" xr:uid="{4C70DC2F-3437-403E-B5BA-6D3640C700B4}"/>
    <cellStyle name="Comma 4 4 3 9 4" xfId="41839" xr:uid="{C6D9F4A1-D8C7-4DA6-B9C9-F6E154E890DA}"/>
    <cellStyle name="Comma 4 4 4" xfId="1755" xr:uid="{68F7E1B4-32D6-4107-8A2D-0387FBD62791}"/>
    <cellStyle name="Comma 4 4 4 2" xfId="3458" xr:uid="{18BAEB90-3176-4FFC-8C0F-AB1E8DADE792}"/>
    <cellStyle name="Comma 4 4 4 2 2" xfId="11838" xr:uid="{B52D8132-4C10-4379-BA66-EB4096894040}"/>
    <cellStyle name="Comma 4 4 4 2 2 2" xfId="28598" xr:uid="{5932E06C-0E30-4EEB-A6CF-1CFA1731454B}"/>
    <cellStyle name="Comma 4 4 4 2 2 3" xfId="45357" xr:uid="{FCB041CC-F2F9-4215-A4F8-530077AE97F5}"/>
    <cellStyle name="Comma 4 4 4 2 3" xfId="20218" xr:uid="{9F466E7F-CD96-4621-9D17-9DDF40F240DF}"/>
    <cellStyle name="Comma 4 4 4 2 4" xfId="36977" xr:uid="{6036FF57-79C9-4917-A666-1E99AD9310EC}"/>
    <cellStyle name="Comma 4 4 4 3" xfId="5144" xr:uid="{B6EAF42B-82F0-4A60-A838-5B2E016AC316}"/>
    <cellStyle name="Comma 4 4 4 3 2" xfId="13524" xr:uid="{3EE71339-A845-4266-8DA5-7FB0B2E069D2}"/>
    <cellStyle name="Comma 4 4 4 3 2 2" xfId="30284" xr:uid="{1BF41990-CD44-46B9-B628-1A8E35B56DE3}"/>
    <cellStyle name="Comma 4 4 4 3 2 3" xfId="47043" xr:uid="{F4D421B7-A3A4-4F6C-9141-09EA36A9FAE6}"/>
    <cellStyle name="Comma 4 4 4 3 3" xfId="21904" xr:uid="{C912B60B-1397-42CA-ABB0-D014AA4389A7}"/>
    <cellStyle name="Comma 4 4 4 3 4" xfId="38663" xr:uid="{65C1E9E7-4853-438A-A95D-52D3BC633437}"/>
    <cellStyle name="Comma 4 4 4 4" xfId="6831" xr:uid="{05C3B306-3990-4236-8F01-84C6C5FAF228}"/>
    <cellStyle name="Comma 4 4 4 4 2" xfId="15211" xr:uid="{FC1986A5-7E4F-46F5-9BBA-FC04A69CD1E5}"/>
    <cellStyle name="Comma 4 4 4 4 2 2" xfId="31971" xr:uid="{FA64C181-969A-4AF0-BCE4-A6729F13FA96}"/>
    <cellStyle name="Comma 4 4 4 4 2 3" xfId="48730" xr:uid="{3377D152-38CA-4004-9ADA-304724F0A027}"/>
    <cellStyle name="Comma 4 4 4 4 3" xfId="23591" xr:uid="{E39B2F84-A0AF-47BF-B4C8-3DA13FE70D2E}"/>
    <cellStyle name="Comma 4 4 4 4 4" xfId="40350" xr:uid="{10D3FE6A-AD2B-4FDA-A771-77FA3A01FB4F}"/>
    <cellStyle name="Comma 4 4 4 5" xfId="2206" xr:uid="{CD2E2D95-FF67-4EDB-AD1A-3C073ABC7ED9}"/>
    <cellStyle name="Comma 4 4 4 6" xfId="10144" xr:uid="{0CAB7EBD-AA07-4294-8D14-D1CDD26902CD}"/>
    <cellStyle name="Comma 4 4 4 6 2" xfId="26904" xr:uid="{33100F5E-E7C1-4E3E-A06D-FAAE3DAEDC2E}"/>
    <cellStyle name="Comma 4 4 4 6 3" xfId="43663" xr:uid="{11CD57D3-2692-4C65-9B8B-6A6845921B67}"/>
    <cellStyle name="Comma 4 4 4 7" xfId="18524" xr:uid="{47C6EDA3-365D-4A22-B364-8F51421AB1C7}"/>
    <cellStyle name="Comma 4 4 4 8" xfId="35283" xr:uid="{4E308FC1-57DD-46A2-A477-74517A6D39D8}"/>
    <cellStyle name="Comma 4 4 5" xfId="3874" xr:uid="{F65766FD-7ACE-4F78-94FF-1A841A080468}"/>
    <cellStyle name="Comma 4 4 5 2" xfId="12254" xr:uid="{1966092E-4025-4067-99C3-74469618646C}"/>
    <cellStyle name="Comma 4 4 5 2 2" xfId="29014" xr:uid="{EDDF0C56-DAB5-419E-B9E8-D2314DEA0348}"/>
    <cellStyle name="Comma 4 4 5 2 3" xfId="45773" xr:uid="{11027CD4-8B04-4290-BE26-92904ED29394}"/>
    <cellStyle name="Comma 4 4 5 3" xfId="20634" xr:uid="{CE476389-9659-49B0-B213-C7B77FFA6F32}"/>
    <cellStyle name="Comma 4 4 5 4" xfId="37393" xr:uid="{11D57345-F53E-499E-A49D-1EC4B36A39D6}"/>
    <cellStyle name="Comma 4 4 6" xfId="7237" xr:uid="{40FA238A-793F-42C7-B48E-A28DF999805E}"/>
    <cellStyle name="Comma 4 4 6 2" xfId="15617" xr:uid="{270C6902-E604-4F61-A90D-B9959B830CDA}"/>
    <cellStyle name="Comma 4 4 6 2 2" xfId="32377" xr:uid="{C5277479-8368-4751-9EB8-FFD86A740979}"/>
    <cellStyle name="Comma 4 4 6 2 3" xfId="49136" xr:uid="{0912E352-B99B-4990-9417-B1EF1862A3E8}"/>
    <cellStyle name="Comma 4 4 6 3" xfId="23997" xr:uid="{3AAFFD88-5AC9-4378-A521-38E12C49CBD7}"/>
    <cellStyle name="Comma 4 4 6 4" xfId="40756" xr:uid="{49AC9CA5-7557-4370-9DEB-DE1A5D5D7203}"/>
    <cellStyle name="Comma 4 4 7" xfId="7643" xr:uid="{B2F7E5DC-2F7C-48CD-A9B1-7A9E9E0F06AB}"/>
    <cellStyle name="Comma 4 4 7 2" xfId="16023" xr:uid="{2B588081-DF29-4748-96BF-463DD899161D}"/>
    <cellStyle name="Comma 4 4 7 2 2" xfId="32783" xr:uid="{BD98670A-CA9D-4CED-8ED2-F148DAC71DDD}"/>
    <cellStyle name="Comma 4 4 7 2 3" xfId="49542" xr:uid="{48547567-2B20-4F5C-BBDF-EC3575D3B56B}"/>
    <cellStyle name="Comma 4 4 7 3" xfId="24403" xr:uid="{707AE2B3-969F-4A9B-A259-CB290EB6C5A2}"/>
    <cellStyle name="Comma 4 4 7 4" xfId="41162" xr:uid="{7B72DD63-242E-4BBC-8B8D-335842017EB8}"/>
    <cellStyle name="Comma 4 4 8" xfId="8049" xr:uid="{5C8592B8-8987-47CA-B675-A781113B0CD2}"/>
    <cellStyle name="Comma 4 4 8 2" xfId="16429" xr:uid="{11F6B615-BC28-4EF2-B3AF-474BA8CCA7A2}"/>
    <cellStyle name="Comma 4 4 8 2 2" xfId="33189" xr:uid="{2038C37D-89B4-470A-8631-EF4E58A22E90}"/>
    <cellStyle name="Comma 4 4 8 2 3" xfId="49948" xr:uid="{309144D1-DB21-451A-9DCB-CE2BF5D51EE9}"/>
    <cellStyle name="Comma 4 4 8 3" xfId="24809" xr:uid="{7F466BDA-9227-42E7-A4DB-ECBCA15B041E}"/>
    <cellStyle name="Comma 4 4 8 4" xfId="41568" xr:uid="{ED2C24FF-AF81-4251-9B9A-1043DE66A7CB}"/>
    <cellStyle name="Comma 4 4 9" xfId="8455" xr:uid="{E230EC60-ADE2-41EC-BC47-E4253F49E737}"/>
    <cellStyle name="Comma 4 4 9 2" xfId="16835" xr:uid="{A5805584-CC23-4A17-831E-CEC9BB088DB1}"/>
    <cellStyle name="Comma 4 4 9 2 2" xfId="33595" xr:uid="{9F9E6F22-CABA-4A0D-8A59-6D82F9670626}"/>
    <cellStyle name="Comma 4 4 9 2 3" xfId="50354" xr:uid="{05240276-B031-4857-8860-AE10290023F7}"/>
    <cellStyle name="Comma 4 4 9 3" xfId="25215" xr:uid="{3ED33350-31AB-419D-A555-474C4989852A}"/>
    <cellStyle name="Comma 4 4 9 4" xfId="41974" xr:uid="{E0283F75-2B04-46A6-9BD4-2BD9FC4E1488}"/>
    <cellStyle name="Comma 4 5" xfId="435" xr:uid="{3AE3E683-D5F1-4E66-A255-1864EF43982C}"/>
    <cellStyle name="Comma 4 5 10" xfId="8461" xr:uid="{69AE667A-1DE0-4E40-A172-7D653A41701B}"/>
    <cellStyle name="Comma 4 5 10 2" xfId="16841" xr:uid="{F9408DCA-4DD9-474D-A9C8-5E9CEA4FD9BD}"/>
    <cellStyle name="Comma 4 5 10 2 2" xfId="33601" xr:uid="{3B5981C7-8971-42FE-B782-9C5E4175EF12}"/>
    <cellStyle name="Comma 4 5 10 2 3" xfId="50360" xr:uid="{2676CB62-2F28-4EB4-B9C9-EF11CD818ED5}"/>
    <cellStyle name="Comma 4 5 10 3" xfId="25221" xr:uid="{CD937479-26E5-4983-8727-34AEDFA10612}"/>
    <cellStyle name="Comma 4 5 10 4" xfId="41980" xr:uid="{D99CD9C1-A9DB-40BA-8FAC-A12A864A1B18}"/>
    <cellStyle name="Comma 4 5 11" xfId="2292" xr:uid="{2A058615-56C5-4F98-A403-E85CD874ECB7}"/>
    <cellStyle name="Comma 4 5 11 2" xfId="10675" xr:uid="{1D0CC065-2864-4820-8DA5-F1A3497FB329}"/>
    <cellStyle name="Comma 4 5 11 2 2" xfId="27435" xr:uid="{5469AC15-35B3-4AA0-968A-7AB3B4AD2DFF}"/>
    <cellStyle name="Comma 4 5 11 2 3" xfId="44194" xr:uid="{A9908B0C-BCD5-45AF-BDC2-A9AD23A6AA95}"/>
    <cellStyle name="Comma 4 5 11 3" xfId="19055" xr:uid="{2812D03C-DBDE-49E1-9E09-FA5DBA359462}"/>
    <cellStyle name="Comma 4 5 11 4" xfId="35814" xr:uid="{F36AEADA-4E20-4971-8B0C-C5CDF29FDFAD}"/>
    <cellStyle name="Comma 4 5 12" xfId="8872" xr:uid="{68CA2CA7-1574-450A-8747-81FC227E4469}"/>
    <cellStyle name="Comma 4 5 12 2" xfId="25632" xr:uid="{A6A3D38C-345D-443E-A5A1-3F1181C0DC43}"/>
    <cellStyle name="Comma 4 5 12 3" xfId="42391" xr:uid="{A638F5BB-E19F-44F1-B6D5-C0164F35512F}"/>
    <cellStyle name="Comma 4 5 13" xfId="17252" xr:uid="{7D3B67FF-A4E4-417B-B5D2-77EB42720F1A}"/>
    <cellStyle name="Comma 4 5 14" xfId="34011" xr:uid="{E53D007F-40F2-4E7A-B0A8-E21D7E047F8D}"/>
    <cellStyle name="Comma 4 5 2" xfId="903" xr:uid="{6B79EF2D-B190-4F71-B1D2-957A18465905}"/>
    <cellStyle name="Comma 4 5 2 2" xfId="4298" xr:uid="{F1B55A25-E657-48F2-9ABC-30BFE30F36B6}"/>
    <cellStyle name="Comma 4 5 2 2 2" xfId="12678" xr:uid="{1E828A0A-65F8-4482-941F-6941C230AEF9}"/>
    <cellStyle name="Comma 4 5 2 2 2 2" xfId="29438" xr:uid="{A6AD089A-1893-4D3C-8A70-443DCA0FE89B}"/>
    <cellStyle name="Comma 4 5 2 2 2 3" xfId="46197" xr:uid="{DC260800-5332-4765-B99E-7E6BD0FCA110}"/>
    <cellStyle name="Comma 4 5 2 2 3" xfId="21058" xr:uid="{2CBE5D1B-75C2-4D42-BC7D-6BDC685479E3}"/>
    <cellStyle name="Comma 4 5 2 2 4" xfId="37817" xr:uid="{6C39AB66-17B5-4958-AB0F-9EA315A0E3D4}"/>
    <cellStyle name="Comma 4 5 2 3" xfId="5985" xr:uid="{5FDAE4D3-A331-4247-94C8-7E48A86C9CF6}"/>
    <cellStyle name="Comma 4 5 2 3 2" xfId="14365" xr:uid="{584928B9-0483-4FC6-9610-708873D6C147}"/>
    <cellStyle name="Comma 4 5 2 3 2 2" xfId="31125" xr:uid="{776E6B60-C319-4DF7-A5B3-E72A8ADF1075}"/>
    <cellStyle name="Comma 4 5 2 3 2 3" xfId="47884" xr:uid="{0E4948D1-B229-4F12-B840-86CC5516B103}"/>
    <cellStyle name="Comma 4 5 2 3 3" xfId="22745" xr:uid="{9A036CF3-EA12-477E-8CFE-B5248E37565A}"/>
    <cellStyle name="Comma 4 5 2 3 4" xfId="39504" xr:uid="{EBCCB746-1D8D-4D88-9DD7-04E4127A04B3}"/>
    <cellStyle name="Comma 4 5 2 4" xfId="2721" xr:uid="{12CF7E39-DB43-437D-8923-EB4356B297B7}"/>
    <cellStyle name="Comma 4 5 2 4 2" xfId="11101" xr:uid="{D25DDC75-B399-4F5F-A4B4-E05F9418866D}"/>
    <cellStyle name="Comma 4 5 2 4 2 2" xfId="27861" xr:uid="{688D1366-57E5-4CE1-A731-2E469B4F73E8}"/>
    <cellStyle name="Comma 4 5 2 4 2 3" xfId="44620" xr:uid="{A2AC0F76-A8A3-4EEA-81B0-5BCE7EAED21C}"/>
    <cellStyle name="Comma 4 5 2 4 3" xfId="19481" xr:uid="{00451DD6-E4E9-4838-952C-A05BF890B774}"/>
    <cellStyle name="Comma 4 5 2 4 4" xfId="36240" xr:uid="{2D08764C-59CA-4749-A57A-59FED914CE15}"/>
    <cellStyle name="Comma 4 5 2 5" xfId="9298" xr:uid="{A08058CD-1381-49ED-A03A-50A432E61F5C}"/>
    <cellStyle name="Comma 4 5 2 5 2" xfId="26058" xr:uid="{B52A9D21-FA3F-4EFF-AF92-2AC70596B849}"/>
    <cellStyle name="Comma 4 5 2 5 3" xfId="42817" xr:uid="{98B40A42-F838-433A-B242-AC3EA88A3BE1}"/>
    <cellStyle name="Comma 4 5 2 6" xfId="17678" xr:uid="{7004BD3E-3CC7-4053-A6AE-106993126306}"/>
    <cellStyle name="Comma 4 5 2 7" xfId="34437" xr:uid="{F902FC64-7B26-405D-95E0-63C4E18D5FB6}"/>
    <cellStyle name="Comma 4 5 3" xfId="1337" xr:uid="{D8576EC9-4EC3-4161-AC57-937C4441BF22}"/>
    <cellStyle name="Comma 4 5 3 2" xfId="4726" xr:uid="{F2C4CD99-AC31-47BF-A8FB-4D8E14073B60}"/>
    <cellStyle name="Comma 4 5 3 2 2" xfId="13106" xr:uid="{5A01CCA7-0592-4429-BAD1-B2A484767739}"/>
    <cellStyle name="Comma 4 5 3 2 2 2" xfId="29866" xr:uid="{9036805F-D790-4EB9-AC09-713B6FB5006F}"/>
    <cellStyle name="Comma 4 5 3 2 2 3" xfId="46625" xr:uid="{9337EDBA-9026-4637-80CA-A0C8BAD6E718}"/>
    <cellStyle name="Comma 4 5 3 2 3" xfId="21486" xr:uid="{6A00F76D-22CE-408A-BC2D-9C253380A9D5}"/>
    <cellStyle name="Comma 4 5 3 2 4" xfId="38245" xr:uid="{EDD7326A-ABE5-4942-86F2-5D0C93DAE3DA}"/>
    <cellStyle name="Comma 4 5 3 3" xfId="6413" xr:uid="{4C0ACBE7-F4DD-4300-9446-AEBBBF053D16}"/>
    <cellStyle name="Comma 4 5 3 3 2" xfId="14793" xr:uid="{A43BAD60-D963-4FD0-9699-157A01DCBDF4}"/>
    <cellStyle name="Comma 4 5 3 3 2 2" xfId="31553" xr:uid="{1F68B7E0-4065-47E5-9250-C6CA497A6375}"/>
    <cellStyle name="Comma 4 5 3 3 2 3" xfId="48312" xr:uid="{1E582B88-9168-45BF-89A5-B61E98B2665C}"/>
    <cellStyle name="Comma 4 5 3 3 3" xfId="23173" xr:uid="{F3CFCAAF-2900-470E-BFE6-8F0E73F341A1}"/>
    <cellStyle name="Comma 4 5 3 3 4" xfId="39932" xr:uid="{A6274A27-DCB9-45A8-BD76-FB68AFC7D95C}"/>
    <cellStyle name="Comma 4 5 3 4" xfId="3149" xr:uid="{F8D4D5A2-C2BD-472B-BD83-6CDE942AB1AF}"/>
    <cellStyle name="Comma 4 5 3 4 2" xfId="11529" xr:uid="{B589D644-BF83-416E-B30D-67AB1594A792}"/>
    <cellStyle name="Comma 4 5 3 4 2 2" xfId="28289" xr:uid="{5F57F6A1-81EC-41F2-94BF-9551E8B3A624}"/>
    <cellStyle name="Comma 4 5 3 4 2 3" xfId="45048" xr:uid="{D5891996-97DB-427D-A63F-09885DB0133E}"/>
    <cellStyle name="Comma 4 5 3 4 3" xfId="19909" xr:uid="{A58D61E8-D5A4-4F15-ACC8-616F949196D0}"/>
    <cellStyle name="Comma 4 5 3 4 4" xfId="36668" xr:uid="{DFC7BB4A-91BD-4BCD-ABC6-1E5B5E072196}"/>
    <cellStyle name="Comma 4 5 3 5" xfId="9726" xr:uid="{F3A15596-D5E3-4E77-8AFC-ED7114C9801E}"/>
    <cellStyle name="Comma 4 5 3 5 2" xfId="26486" xr:uid="{F7005620-49B7-4F01-B469-5620A87D51C0}"/>
    <cellStyle name="Comma 4 5 3 5 3" xfId="43245" xr:uid="{7C726A96-E8A6-444E-8C64-906014CB8274}"/>
    <cellStyle name="Comma 4 5 3 6" xfId="18106" xr:uid="{E3CB6F25-1D57-48BD-AA0E-F76AB5EB84CC}"/>
    <cellStyle name="Comma 4 5 3 7" xfId="34865" xr:uid="{5F06D9DC-611D-4542-913D-F4D624CFFA2C}"/>
    <cellStyle name="Comma 4 5 4" xfId="1761" xr:uid="{FF181796-0C0F-4678-BEC8-853D43BC7339}"/>
    <cellStyle name="Comma 4 5 4 2" xfId="5150" xr:uid="{C938B08A-35D9-4111-BE61-0E38208961A8}"/>
    <cellStyle name="Comma 4 5 4 2 2" xfId="13530" xr:uid="{4DFC3DBF-4766-4820-885C-621377899D2E}"/>
    <cellStyle name="Comma 4 5 4 2 2 2" xfId="30290" xr:uid="{2A3C738B-2A3B-4720-A413-3E72F5AA101E}"/>
    <cellStyle name="Comma 4 5 4 2 2 3" xfId="47049" xr:uid="{4835DE8C-3F34-4881-A02A-019ED4FB212F}"/>
    <cellStyle name="Comma 4 5 4 2 3" xfId="21910" xr:uid="{60F8A9DF-E28A-48C4-9D54-D2DDE8E36E5D}"/>
    <cellStyle name="Comma 4 5 4 2 4" xfId="38669" xr:uid="{3BA23D76-91E7-42CF-8A3F-5EDDAB9D8399}"/>
    <cellStyle name="Comma 4 5 4 3" xfId="6837" xr:uid="{ABFDEF16-C3F4-44C7-992E-910542A79C89}"/>
    <cellStyle name="Comma 4 5 4 3 2" xfId="15217" xr:uid="{CC2F07C5-420B-4196-BD61-9C4A25E5AD0E}"/>
    <cellStyle name="Comma 4 5 4 3 2 2" xfId="31977" xr:uid="{B666EF8F-503F-483E-B5FC-DA27812DED9D}"/>
    <cellStyle name="Comma 4 5 4 3 2 3" xfId="48736" xr:uid="{E61012AF-63A1-4674-9A12-701304A0E533}"/>
    <cellStyle name="Comma 4 5 4 3 3" xfId="23597" xr:uid="{A13C80B8-F72E-4089-9C3C-8DEF2138D67A}"/>
    <cellStyle name="Comma 4 5 4 3 4" xfId="40356" xr:uid="{3D2C75D3-78A0-4205-A29C-E1A1F70C30B3}"/>
    <cellStyle name="Comma 4 5 4 4" xfId="3461" xr:uid="{F1BB5795-8867-49A0-B83B-CADEFAF50476}"/>
    <cellStyle name="Comma 4 5 4 4 2" xfId="11841" xr:uid="{2B909142-C300-42AB-9503-842CF8FDE19C}"/>
    <cellStyle name="Comma 4 5 4 4 2 2" xfId="28601" xr:uid="{897A2BD7-2ECA-41DA-9AF3-3C89F70904E2}"/>
    <cellStyle name="Comma 4 5 4 4 2 3" xfId="45360" xr:uid="{1DBF5AA6-3FBC-4E60-B3F9-87F68E785628}"/>
    <cellStyle name="Comma 4 5 4 4 3" xfId="20221" xr:uid="{C4CBEE7C-94D3-4250-A0BE-01EE642FDDB0}"/>
    <cellStyle name="Comma 4 5 4 4 4" xfId="36980" xr:uid="{8B5B0D30-3332-4DAE-85E3-4299E3E535C6}"/>
    <cellStyle name="Comma 4 5 4 5" xfId="10150" xr:uid="{A6D5C2F9-995B-4ACE-8247-E558CBD41B3C}"/>
    <cellStyle name="Comma 4 5 4 5 2" xfId="26910" xr:uid="{261E44C1-A0CF-48D1-9979-4A279CEA464A}"/>
    <cellStyle name="Comma 4 5 4 5 3" xfId="43669" xr:uid="{724E19C7-F1E6-4249-AEC7-845EF693E88F}"/>
    <cellStyle name="Comma 4 5 4 6" xfId="18530" xr:uid="{39051614-ACBF-4818-854D-6A3981B0A728}"/>
    <cellStyle name="Comma 4 5 4 7" xfId="35289" xr:uid="{5DD31110-C5F4-488B-B83F-AD8E908AD49C}"/>
    <cellStyle name="Comma 4 5 5" xfId="3880" xr:uid="{4630500C-22EF-4D36-B14F-6FC0DFBC6BA9}"/>
    <cellStyle name="Comma 4 5 5 2" xfId="12260" xr:uid="{77DD460E-6D29-49DA-BE46-B4BB43AEC8F7}"/>
    <cellStyle name="Comma 4 5 5 2 2" xfId="29020" xr:uid="{A54D0D4F-722C-468F-AA77-9471CA220747}"/>
    <cellStyle name="Comma 4 5 5 2 3" xfId="45779" xr:uid="{92922EB1-0F98-43F2-942D-1EFAA5D477F2}"/>
    <cellStyle name="Comma 4 5 5 3" xfId="20640" xr:uid="{E4E3549A-CC33-4A23-AD0C-5AC62E40CF24}"/>
    <cellStyle name="Comma 4 5 5 4" xfId="37399" xr:uid="{1B91FA6D-9A79-4714-AD18-7B26C1B64430}"/>
    <cellStyle name="Comma 4 5 6" xfId="5559" xr:uid="{02B8999F-083B-44FF-9337-4F7E464487EE}"/>
    <cellStyle name="Comma 4 5 6 2" xfId="13939" xr:uid="{D01B8271-7CAC-4E28-9212-DD8D59D4AB84}"/>
    <cellStyle name="Comma 4 5 6 2 2" xfId="30699" xr:uid="{2042360C-E8B1-4915-ACC6-FD3F9C7A41C4}"/>
    <cellStyle name="Comma 4 5 6 2 3" xfId="47458" xr:uid="{9319EF65-273C-431C-856E-06E15D7712E0}"/>
    <cellStyle name="Comma 4 5 6 3" xfId="22319" xr:uid="{5621B3E0-1DA5-4621-9ECB-77A18BF35F02}"/>
    <cellStyle name="Comma 4 5 6 4" xfId="39078" xr:uid="{A84FFE88-C316-4487-B477-CF7E9BA9D3E0}"/>
    <cellStyle name="Comma 4 5 7" xfId="7243" xr:uid="{C09825FB-C95B-4F7E-9E18-288E51D1A4C6}"/>
    <cellStyle name="Comma 4 5 7 2" xfId="15623" xr:uid="{154FB2E1-8B78-4788-B040-6128D4922E17}"/>
    <cellStyle name="Comma 4 5 7 2 2" xfId="32383" xr:uid="{58BCD8F8-E272-4A3C-91C6-30E110767B14}"/>
    <cellStyle name="Comma 4 5 7 2 3" xfId="49142" xr:uid="{A03F5CCC-8A68-44FB-BFA4-2E9C1A0A0484}"/>
    <cellStyle name="Comma 4 5 7 3" xfId="24003" xr:uid="{A50FE9D1-6A87-4C1E-9B55-1E64383657E8}"/>
    <cellStyle name="Comma 4 5 7 4" xfId="40762" xr:uid="{7659928D-AAC2-4C6F-8950-5D9C0E5589CA}"/>
    <cellStyle name="Comma 4 5 8" xfId="7649" xr:uid="{84239F40-F133-4E55-BFAA-84AD15A6915A}"/>
    <cellStyle name="Comma 4 5 8 2" xfId="16029" xr:uid="{CDA1A32D-013E-4040-AE74-8D72E5F66868}"/>
    <cellStyle name="Comma 4 5 8 2 2" xfId="32789" xr:uid="{6C2C7FCF-897F-4C6B-8D7C-88CD6BDB4270}"/>
    <cellStyle name="Comma 4 5 8 2 3" xfId="49548" xr:uid="{BE8F1B00-1C20-4DA1-8B77-FAEE8EFFF522}"/>
    <cellStyle name="Comma 4 5 8 3" xfId="24409" xr:uid="{A44E7CD1-C28D-4980-9836-03B9B03B5901}"/>
    <cellStyle name="Comma 4 5 8 4" xfId="41168" xr:uid="{354D10A5-2180-4EAF-A5B0-39ADFAAA3D74}"/>
    <cellStyle name="Comma 4 5 9" xfId="8055" xr:uid="{8571956E-6028-4FB7-BEE5-378ABBD5CDF1}"/>
    <cellStyle name="Comma 4 5 9 2" xfId="16435" xr:uid="{3BCB1DB7-49D1-4D67-83EA-BE29B3C9E9C6}"/>
    <cellStyle name="Comma 4 5 9 2 2" xfId="33195" xr:uid="{A4F62DED-8151-4549-A63E-3C12FCDC10B7}"/>
    <cellStyle name="Comma 4 5 9 2 3" xfId="49954" xr:uid="{4CCDA101-4072-4910-B632-96F44BB38BEF}"/>
    <cellStyle name="Comma 4 5 9 3" xfId="24815" xr:uid="{533FB683-2196-480F-AC63-C82644D67431}"/>
    <cellStyle name="Comma 4 5 9 4" xfId="41574" xr:uid="{E8BF09F1-42D5-4762-9326-C03F923AC4E0}"/>
    <cellStyle name="Comma 4 6" xfId="436" xr:uid="{DAA93272-71E3-4E9D-A1FF-86CCD79EF73C}"/>
    <cellStyle name="Comma 4 6 10" xfId="8597" xr:uid="{0CF63544-0122-4705-86C4-D26F8FF2D885}"/>
    <cellStyle name="Comma 4 6 10 2" xfId="16977" xr:uid="{C828BB9C-4362-4C97-AB2B-9D0661917EEF}"/>
    <cellStyle name="Comma 4 6 10 2 2" xfId="33737" xr:uid="{195290A1-78BD-410B-BFD5-90ACE7F4E633}"/>
    <cellStyle name="Comma 4 6 10 2 3" xfId="50496" xr:uid="{8EC2831C-FBD7-4B47-9C6F-65CD7084EE78}"/>
    <cellStyle name="Comma 4 6 10 3" xfId="25357" xr:uid="{2C0EF470-1EB4-4A22-AF96-E63485E919A2}"/>
    <cellStyle name="Comma 4 6 10 4" xfId="42116" xr:uid="{B2CB45EA-AD6B-4C03-8F73-7E5C70D42A31}"/>
    <cellStyle name="Comma 4 6 11" xfId="2293" xr:uid="{2A377C23-218D-4207-AFD4-6760CE1435B6}"/>
    <cellStyle name="Comma 4 6 11 2" xfId="10676" xr:uid="{4BD4E212-54F4-4521-91AB-073D13A6CF17}"/>
    <cellStyle name="Comma 4 6 11 2 2" xfId="27436" xr:uid="{D52F0EF0-04E1-46A5-BA5F-60D90D0ECF30}"/>
    <cellStyle name="Comma 4 6 11 2 3" xfId="44195" xr:uid="{E8A83039-2AF4-4722-BC9C-3C4AC4739C25}"/>
    <cellStyle name="Comma 4 6 11 3" xfId="19056" xr:uid="{976A3682-EC69-49B1-A5CC-96C589AD9CF6}"/>
    <cellStyle name="Comma 4 6 11 4" xfId="35815" xr:uid="{A83A2D03-702C-483C-9583-8FE5A6C3F85A}"/>
    <cellStyle name="Comma 4 6 12" xfId="8873" xr:uid="{093050D9-5A9C-4084-AE5A-F07222BEF36A}"/>
    <cellStyle name="Comma 4 6 12 2" xfId="25633" xr:uid="{510173C0-BAFB-4163-9279-004769445108}"/>
    <cellStyle name="Comma 4 6 12 3" xfId="42392" xr:uid="{4D5CDC49-E1FC-478D-A14B-3C1238AFDDAD}"/>
    <cellStyle name="Comma 4 6 13" xfId="17253" xr:uid="{B8430546-BD55-4F4B-9C2C-3B54D4D3DF3C}"/>
    <cellStyle name="Comma 4 6 14" xfId="34012" xr:uid="{DC001D05-7BF5-4809-A50C-06E0EC3C7A27}"/>
    <cellStyle name="Comma 4 6 2" xfId="904" xr:uid="{34A79C93-B1F2-4E5E-81C9-AE686FB7D5C9}"/>
    <cellStyle name="Comma 4 6 2 2" xfId="4299" xr:uid="{F2179311-7203-4EC3-8C7E-97E09B41B78B}"/>
    <cellStyle name="Comma 4 6 2 2 2" xfId="12679" xr:uid="{90148420-64AE-4990-9462-38E118A3485F}"/>
    <cellStyle name="Comma 4 6 2 2 2 2" xfId="29439" xr:uid="{18B03864-D51B-4006-BF0C-76EED35B7E7F}"/>
    <cellStyle name="Comma 4 6 2 2 2 3" xfId="46198" xr:uid="{ECC7E099-EC23-4B30-97F3-F696A720A1BE}"/>
    <cellStyle name="Comma 4 6 2 2 3" xfId="21059" xr:uid="{B66FF375-AA11-46CD-8F49-4EFBDA69A69E}"/>
    <cellStyle name="Comma 4 6 2 2 4" xfId="37818" xr:uid="{CA3273C3-527C-436A-B8DB-2432E7E258C1}"/>
    <cellStyle name="Comma 4 6 2 3" xfId="5986" xr:uid="{48FDCBB8-B6ED-4D71-ACF4-695A98D6CE4F}"/>
    <cellStyle name="Comma 4 6 2 3 2" xfId="14366" xr:uid="{D75018FA-37D5-4FB8-95A0-52648FD2D304}"/>
    <cellStyle name="Comma 4 6 2 3 2 2" xfId="31126" xr:uid="{B3DFD381-DC55-412D-BAED-9C7E595BA2FE}"/>
    <cellStyle name="Comma 4 6 2 3 2 3" xfId="47885" xr:uid="{9447B9CD-DD10-4E2F-807F-7A460DF31098}"/>
    <cellStyle name="Comma 4 6 2 3 3" xfId="22746" xr:uid="{BAEA95AB-F1EA-4396-B0C4-5985E667ABF3}"/>
    <cellStyle name="Comma 4 6 2 3 4" xfId="39505" xr:uid="{829A4CF2-47E0-4842-9629-9BE88C9E325A}"/>
    <cellStyle name="Comma 4 6 2 4" xfId="2722" xr:uid="{6E7A444F-89A7-49B9-8952-4830702530B7}"/>
    <cellStyle name="Comma 4 6 2 4 2" xfId="11102" xr:uid="{C736203A-36AD-4F70-834F-878E8C3B5692}"/>
    <cellStyle name="Comma 4 6 2 4 2 2" xfId="27862" xr:uid="{0C291D38-8D56-46A7-B671-D2C019247C2A}"/>
    <cellStyle name="Comma 4 6 2 4 2 3" xfId="44621" xr:uid="{E95D921A-D188-4E99-916F-AD135B20793D}"/>
    <cellStyle name="Comma 4 6 2 4 3" xfId="19482" xr:uid="{B2706DC3-C339-4E9B-984D-6F9EC80F2904}"/>
    <cellStyle name="Comma 4 6 2 4 4" xfId="36241" xr:uid="{F89B9E81-8D93-444F-996F-183A0B082566}"/>
    <cellStyle name="Comma 4 6 2 5" xfId="9299" xr:uid="{156D5A29-1221-4BDB-85BA-F000583B4B27}"/>
    <cellStyle name="Comma 4 6 2 5 2" xfId="26059" xr:uid="{88C59B6D-1A21-47A2-AE87-94FCFF07B943}"/>
    <cellStyle name="Comma 4 6 2 5 3" xfId="42818" xr:uid="{BCE4123C-E2BD-4E9D-9793-CB5AAB552E62}"/>
    <cellStyle name="Comma 4 6 2 6" xfId="17679" xr:uid="{CB920BC6-A66C-4715-87F9-1ADF0D131DD7}"/>
    <cellStyle name="Comma 4 6 2 7" xfId="34438" xr:uid="{AF532109-1A79-45A5-B1C0-B8BA32CD0300}"/>
    <cellStyle name="Comma 4 6 3" xfId="1338" xr:uid="{BCBE9B98-B6F7-4749-8266-9F4B8F527DE7}"/>
    <cellStyle name="Comma 4 6 3 2" xfId="4727" xr:uid="{C6489FC1-2ACF-479B-AC69-57909A2E7FDF}"/>
    <cellStyle name="Comma 4 6 3 2 2" xfId="13107" xr:uid="{1A6FE119-2C51-4431-B34D-73E84715D2B1}"/>
    <cellStyle name="Comma 4 6 3 2 2 2" xfId="29867" xr:uid="{8715515B-E9C5-4E00-8953-BD13E8C69A0E}"/>
    <cellStyle name="Comma 4 6 3 2 2 3" xfId="46626" xr:uid="{F49DF84C-6F27-4F2C-8D3A-7604F819ABC8}"/>
    <cellStyle name="Comma 4 6 3 2 3" xfId="21487" xr:uid="{A21178D0-1EB4-4D7A-95E1-4B5E9ECB341C}"/>
    <cellStyle name="Comma 4 6 3 2 4" xfId="38246" xr:uid="{8A09917C-E88B-4F53-BC79-5FB1405D6D00}"/>
    <cellStyle name="Comma 4 6 3 3" xfId="6414" xr:uid="{FBCB75C1-20BF-43E3-9B35-83E4870C235F}"/>
    <cellStyle name="Comma 4 6 3 3 2" xfId="14794" xr:uid="{65E81046-32C8-4A04-94EB-C5AB5C2A5651}"/>
    <cellStyle name="Comma 4 6 3 3 2 2" xfId="31554" xr:uid="{90E8DD64-6D3D-4215-BBF2-5435483459AB}"/>
    <cellStyle name="Comma 4 6 3 3 2 3" xfId="48313" xr:uid="{F2B2609C-A13A-45FD-9A6A-5FB7ABCF0F2F}"/>
    <cellStyle name="Comma 4 6 3 3 3" xfId="23174" xr:uid="{7F54ACE7-BC81-438B-94D6-5209A2C896D1}"/>
    <cellStyle name="Comma 4 6 3 3 4" xfId="39933" xr:uid="{9A78962D-1B43-4D0B-9810-D0B77DDFE5E9}"/>
    <cellStyle name="Comma 4 6 3 4" xfId="3150" xr:uid="{25C948E3-0765-4B2E-93F1-A13F9E7F829B}"/>
    <cellStyle name="Comma 4 6 3 4 2" xfId="11530" xr:uid="{BA52A05E-1036-4AB8-B93B-E7282717121B}"/>
    <cellStyle name="Comma 4 6 3 4 2 2" xfId="28290" xr:uid="{34803B23-8EAF-4729-973A-FE4580F4CD13}"/>
    <cellStyle name="Comma 4 6 3 4 2 3" xfId="45049" xr:uid="{E51F7C40-9528-46B9-8875-0695A97EFD87}"/>
    <cellStyle name="Comma 4 6 3 4 3" xfId="19910" xr:uid="{FC698FEC-7033-4858-B1D3-D51E83677482}"/>
    <cellStyle name="Comma 4 6 3 4 4" xfId="36669" xr:uid="{AC4A1D31-314D-4217-AF49-C651B12AB0E7}"/>
    <cellStyle name="Comma 4 6 3 5" xfId="9727" xr:uid="{71C5C154-5925-4D06-A923-6E7ECEE56843}"/>
    <cellStyle name="Comma 4 6 3 5 2" xfId="26487" xr:uid="{DF76BC76-A2FC-4C68-93B4-3A94CE636F74}"/>
    <cellStyle name="Comma 4 6 3 5 3" xfId="43246" xr:uid="{A07D9F68-6AAE-4894-BA2F-304314C0F696}"/>
    <cellStyle name="Comma 4 6 3 6" xfId="18107" xr:uid="{DBF06AA1-2E10-4D32-91B7-B0A684A310D7}"/>
    <cellStyle name="Comma 4 6 3 7" xfId="34866" xr:uid="{CA8183C2-6310-42AC-BD0D-DDF16A416CBB}"/>
    <cellStyle name="Comma 4 6 4" xfId="1897" xr:uid="{C9CDF75E-2C02-40D7-BB46-EF63C9EB6164}"/>
    <cellStyle name="Comma 4 6 4 2" xfId="5286" xr:uid="{BA6A953A-A8EE-491D-AC63-F8D387AC2947}"/>
    <cellStyle name="Comma 4 6 4 2 2" xfId="13666" xr:uid="{ABB19687-ECAD-4F34-82F8-C6D4E828EEDF}"/>
    <cellStyle name="Comma 4 6 4 2 2 2" xfId="30426" xr:uid="{F5DB0988-9E3C-40E9-A82B-0266D751A9BA}"/>
    <cellStyle name="Comma 4 6 4 2 2 3" xfId="47185" xr:uid="{C28CD41C-8D9D-43FC-8222-04F60896AFC8}"/>
    <cellStyle name="Comma 4 6 4 2 3" xfId="22046" xr:uid="{8C92D15A-6530-44B9-9B5D-4AEE6F9D89F0}"/>
    <cellStyle name="Comma 4 6 4 2 4" xfId="38805" xr:uid="{294E3B48-F116-46AC-A497-EC13E47BD9BA}"/>
    <cellStyle name="Comma 4 6 4 3" xfId="6973" xr:uid="{8CD3D46C-3430-4639-A0AF-57000DA90CC6}"/>
    <cellStyle name="Comma 4 6 4 3 2" xfId="15353" xr:uid="{993A858C-325C-4F68-B848-9AA63985FB22}"/>
    <cellStyle name="Comma 4 6 4 3 2 2" xfId="32113" xr:uid="{AE0C106C-A9FB-4CB2-B484-5AE17A1C1DD6}"/>
    <cellStyle name="Comma 4 6 4 3 2 3" xfId="48872" xr:uid="{4ABE8772-2D11-4BED-918D-B141432CFC9F}"/>
    <cellStyle name="Comma 4 6 4 3 3" xfId="23733" xr:uid="{570B8351-5205-4D58-BDE0-DABB7C8D6A36}"/>
    <cellStyle name="Comma 4 6 4 3 4" xfId="40492" xr:uid="{1915AB2B-BF0C-4CE6-A7D6-A1DA91D2D014}"/>
    <cellStyle name="Comma 4 6 4 4" xfId="3596" xr:uid="{40DF61D4-E529-498D-A075-556A46F32FDD}"/>
    <cellStyle name="Comma 4 6 4 4 2" xfId="11976" xr:uid="{CB28C9D0-FC92-4F07-B439-304CDBF2F9DB}"/>
    <cellStyle name="Comma 4 6 4 4 2 2" xfId="28736" xr:uid="{8B4434EB-8CC2-48A4-8A26-DF66514CE832}"/>
    <cellStyle name="Comma 4 6 4 4 2 3" xfId="45495" xr:uid="{D43E83F6-14C3-4820-9862-95A3B4A809A8}"/>
    <cellStyle name="Comma 4 6 4 4 3" xfId="20356" xr:uid="{686499D3-5A8A-403E-88CC-55D54C17F211}"/>
    <cellStyle name="Comma 4 6 4 4 4" xfId="37115" xr:uid="{CAE34830-0429-4E8A-B3B3-CBAE53418502}"/>
    <cellStyle name="Comma 4 6 4 5" xfId="10286" xr:uid="{9C93EC50-6D11-4125-80FA-E5A826E4776E}"/>
    <cellStyle name="Comma 4 6 4 5 2" xfId="27046" xr:uid="{F39635FA-613C-4CD7-BA81-F211685616FF}"/>
    <cellStyle name="Comma 4 6 4 5 3" xfId="43805" xr:uid="{08CDD095-CB6D-467A-8B47-5DECDDB0EC78}"/>
    <cellStyle name="Comma 4 6 4 6" xfId="18666" xr:uid="{468B780D-5132-4BFF-9E3E-DBFE7ED3DA68}"/>
    <cellStyle name="Comma 4 6 4 7" xfId="35425" xr:uid="{D9D18EFC-ABEB-4684-9419-A5556CE59DCC}"/>
    <cellStyle name="Comma 4 6 5" xfId="4016" xr:uid="{689D218D-5D26-4D8C-A37C-9A0194C2E1C7}"/>
    <cellStyle name="Comma 4 6 5 2" xfId="12396" xr:uid="{F0FF71F0-FA20-40A2-9DFC-D78085142EC8}"/>
    <cellStyle name="Comma 4 6 5 2 2" xfId="29156" xr:uid="{D3943979-553A-4C01-BD39-28EC4FCC1B22}"/>
    <cellStyle name="Comma 4 6 5 2 3" xfId="45915" xr:uid="{E5E1A294-8D8B-4063-8782-921A92A26C19}"/>
    <cellStyle name="Comma 4 6 5 3" xfId="20776" xr:uid="{6BE10594-CE68-486F-839D-5AF4FCBB4036}"/>
    <cellStyle name="Comma 4 6 5 4" xfId="37535" xr:uid="{7651797E-CE78-4D80-88C6-6D5AFE1098BE}"/>
    <cellStyle name="Comma 4 6 6" xfId="5560" xr:uid="{F4F7A23F-F9FC-4C65-87F7-E0078029CC1F}"/>
    <cellStyle name="Comma 4 6 6 2" xfId="13940" xr:uid="{2C8F2B3C-DC5F-4481-9F9B-B4991446FE1D}"/>
    <cellStyle name="Comma 4 6 6 2 2" xfId="30700" xr:uid="{A9F6F290-812F-4478-8511-D848A7B8F4EE}"/>
    <cellStyle name="Comma 4 6 6 2 3" xfId="47459" xr:uid="{A8075AB1-A215-4851-8A4D-B2A1DA7B3A23}"/>
    <cellStyle name="Comma 4 6 6 3" xfId="22320" xr:uid="{48333C82-471B-4A80-99F0-71A19D11DC58}"/>
    <cellStyle name="Comma 4 6 6 4" xfId="39079" xr:uid="{191493C4-1F42-44D6-8563-C9CF26A0A343}"/>
    <cellStyle name="Comma 4 6 7" xfId="7379" xr:uid="{8A33A36B-D47C-403F-B44C-8B7DC3B39014}"/>
    <cellStyle name="Comma 4 6 7 2" xfId="15759" xr:uid="{641525B0-47F4-43B3-BD1E-E0D3D5A7C372}"/>
    <cellStyle name="Comma 4 6 7 2 2" xfId="32519" xr:uid="{C3F66104-F0AC-4882-A499-5824115FB51C}"/>
    <cellStyle name="Comma 4 6 7 2 3" xfId="49278" xr:uid="{A8A0612D-CE2F-4836-947D-84F2840DB679}"/>
    <cellStyle name="Comma 4 6 7 3" xfId="24139" xr:uid="{D105497D-0C0C-4171-9A72-7BA01DDA300F}"/>
    <cellStyle name="Comma 4 6 7 4" xfId="40898" xr:uid="{97CEE03A-7D9D-4AC4-B054-16EE56413DF2}"/>
    <cellStyle name="Comma 4 6 8" xfId="7785" xr:uid="{57569239-161C-40AE-9435-8863B66405D7}"/>
    <cellStyle name="Comma 4 6 8 2" xfId="16165" xr:uid="{8B85A989-056E-46EC-8970-B8A7ACB4C229}"/>
    <cellStyle name="Comma 4 6 8 2 2" xfId="32925" xr:uid="{2F48DA28-2998-4669-B1F6-7C41856FFEFB}"/>
    <cellStyle name="Comma 4 6 8 2 3" xfId="49684" xr:uid="{2AFCD3C1-A127-4951-943D-6A5E43DFEA30}"/>
    <cellStyle name="Comma 4 6 8 3" xfId="24545" xr:uid="{D96D3526-6212-4D38-B4B8-788ABA1EEB96}"/>
    <cellStyle name="Comma 4 6 8 4" xfId="41304" xr:uid="{33C54B63-E966-4CEA-89BD-CA6479BCE392}"/>
    <cellStyle name="Comma 4 6 9" xfId="8191" xr:uid="{75A5B647-60C0-4046-9C41-6062BB61DF76}"/>
    <cellStyle name="Comma 4 6 9 2" xfId="16571" xr:uid="{87617C3B-E01F-4304-BC35-9EB6C828179E}"/>
    <cellStyle name="Comma 4 6 9 2 2" xfId="33331" xr:uid="{A5742403-8937-453C-A2A6-92C460222F7C}"/>
    <cellStyle name="Comma 4 6 9 2 3" xfId="50090" xr:uid="{BD1FCAD0-CFD0-4CA4-B16C-C64FC26CB187}"/>
    <cellStyle name="Comma 4 6 9 3" xfId="24951" xr:uid="{6B5D7E11-A283-46E7-BB01-FBF7E5755B74}"/>
    <cellStyle name="Comma 4 6 9 4" xfId="41710" xr:uid="{B6487652-8598-44F5-81F9-2EDD689CF0D1}"/>
    <cellStyle name="Comma 4 7" xfId="783" xr:uid="{BB1A487D-C3D0-4BB9-B6D4-F7B0B8B85978}"/>
    <cellStyle name="Comma 4 7 2" xfId="4178" xr:uid="{A5C08EE1-94FF-4F6C-A19A-5E63E973451C}"/>
    <cellStyle name="Comma 4 7 2 2" xfId="12558" xr:uid="{3F441DF1-C0E5-4B91-93D1-09FE68BD1BDC}"/>
    <cellStyle name="Comma 4 7 2 2 2" xfId="29318" xr:uid="{3E8C89F3-42E9-415D-A20F-6B766E53A172}"/>
    <cellStyle name="Comma 4 7 2 2 3" xfId="46077" xr:uid="{33D6AD0C-F191-4C25-AA63-9FBA87CE27CF}"/>
    <cellStyle name="Comma 4 7 2 3" xfId="20938" xr:uid="{1A575056-15C7-4226-ABB1-89CC21908B90}"/>
    <cellStyle name="Comma 4 7 2 4" xfId="37697" xr:uid="{FAA6ACED-1DF1-4C7E-8FB9-3B9A6B5F4F3E}"/>
    <cellStyle name="Comma 4 7 3" xfId="5865" xr:uid="{D27973BD-8284-4080-B721-5CA00901539C}"/>
    <cellStyle name="Comma 4 7 3 2" xfId="14245" xr:uid="{ECD0BA44-D509-4613-978C-2DCF78828F24}"/>
    <cellStyle name="Comma 4 7 3 2 2" xfId="31005" xr:uid="{3E8A96A8-C66E-4D6C-930E-DAC32B5A3405}"/>
    <cellStyle name="Comma 4 7 3 2 3" xfId="47764" xr:uid="{C9EE92CD-51CC-48A7-8973-68F25E890C16}"/>
    <cellStyle name="Comma 4 7 3 3" xfId="22625" xr:uid="{41913093-4BBE-45FE-A276-FB34AEFEC73E}"/>
    <cellStyle name="Comma 4 7 3 4" xfId="39384" xr:uid="{835FDC3B-B026-45F4-8F85-4E38D27FE16C}"/>
    <cellStyle name="Comma 4 7 4" xfId="2601" xr:uid="{7BF5CD74-66D5-4B18-A3BA-EA99ECEFF2C7}"/>
    <cellStyle name="Comma 4 7 4 2" xfId="10981" xr:uid="{0B4211A4-3C20-43F4-8D69-8B8B71BC66D3}"/>
    <cellStyle name="Comma 4 7 4 2 2" xfId="27741" xr:uid="{F3512799-D44D-48C6-846C-F1364A652756}"/>
    <cellStyle name="Comma 4 7 4 2 3" xfId="44500" xr:uid="{D04FC1C1-F37C-4D3A-BA89-63533B546E7D}"/>
    <cellStyle name="Comma 4 7 4 3" xfId="19361" xr:uid="{4AA5FFF5-AA25-4123-B485-79EA74EFC903}"/>
    <cellStyle name="Comma 4 7 4 4" xfId="36120" xr:uid="{A6FA05CE-9DFB-4B50-A8DC-A005F51F6113}"/>
    <cellStyle name="Comma 4 7 5" xfId="9178" xr:uid="{B8CEBBD8-501A-4830-A089-736B4A9F1208}"/>
    <cellStyle name="Comma 4 7 5 2" xfId="25938" xr:uid="{35433931-0A2C-4AA2-A17E-4380A4FD577C}"/>
    <cellStyle name="Comma 4 7 5 3" xfId="42697" xr:uid="{E77D4EA4-B62A-486F-895D-516CEE7D3E26}"/>
    <cellStyle name="Comma 4 7 6" xfId="17558" xr:uid="{D269F67D-0C74-4E5A-ADA9-9F33C594BE19}"/>
    <cellStyle name="Comma 4 7 7" xfId="34317" xr:uid="{F72FE86D-8494-4155-93CC-621E1FDEAADA}"/>
    <cellStyle name="Comma 4 8" xfId="1217" xr:uid="{5BF265ED-20CB-43D9-B241-4033787508AB}"/>
    <cellStyle name="Comma 4 8 2" xfId="4606" xr:uid="{5D13027A-E40C-4819-AB52-401DCD0612FC}"/>
    <cellStyle name="Comma 4 8 2 2" xfId="12986" xr:uid="{0D050B4B-8D94-461C-A68A-F437C1305732}"/>
    <cellStyle name="Comma 4 8 2 2 2" xfId="29746" xr:uid="{CC9EA024-02CD-4BAB-BAEE-8FA22C6B8286}"/>
    <cellStyle name="Comma 4 8 2 2 3" xfId="46505" xr:uid="{1EF934AB-8C37-4DAC-9C7D-ABAED4D12DFE}"/>
    <cellStyle name="Comma 4 8 2 3" xfId="21366" xr:uid="{527F5C76-507A-4D9B-B218-F6396B288FFF}"/>
    <cellStyle name="Comma 4 8 2 4" xfId="38125" xr:uid="{629DE1E5-A369-462E-A212-055268F70E43}"/>
    <cellStyle name="Comma 4 8 3" xfId="6293" xr:uid="{B979D69B-7EC2-4190-BF66-7A05E015D130}"/>
    <cellStyle name="Comma 4 8 3 2" xfId="14673" xr:uid="{2D7AF9DA-3476-4FC8-94C9-EA8AFDE625ED}"/>
    <cellStyle name="Comma 4 8 3 2 2" xfId="31433" xr:uid="{ACE6C795-023A-4A4E-A508-F92F9CA57111}"/>
    <cellStyle name="Comma 4 8 3 2 3" xfId="48192" xr:uid="{3E2D168F-B9C2-4238-A8AA-2B3589292B99}"/>
    <cellStyle name="Comma 4 8 3 3" xfId="23053" xr:uid="{70B97C9B-CD42-4D5C-AA8D-8EBF21E19796}"/>
    <cellStyle name="Comma 4 8 3 4" xfId="39812" xr:uid="{E246362C-27A0-439C-99E9-61671F53C971}"/>
    <cellStyle name="Comma 4 8 4" xfId="3029" xr:uid="{1237CF5C-C9BF-4500-8B7B-EF3FE1233FDB}"/>
    <cellStyle name="Comma 4 8 4 2" xfId="11409" xr:uid="{A8DA29A5-3142-4999-A266-A27850D00377}"/>
    <cellStyle name="Comma 4 8 4 2 2" xfId="28169" xr:uid="{489F7924-331B-4844-AEA4-8ADDA738E9E3}"/>
    <cellStyle name="Comma 4 8 4 2 3" xfId="44928" xr:uid="{35336CA7-E409-4405-A6E2-B73713FFECCC}"/>
    <cellStyle name="Comma 4 8 4 3" xfId="19789" xr:uid="{15D5425A-3EF2-4BCC-A93B-4AF3CB1E74ED}"/>
    <cellStyle name="Comma 4 8 4 4" xfId="36548" xr:uid="{FDB4D1AA-2B6D-4191-8A27-392B3F38B7C6}"/>
    <cellStyle name="Comma 4 8 5" xfId="9606" xr:uid="{4AD8D0D4-8CC6-4ABC-B174-244E2D24BBAA}"/>
    <cellStyle name="Comma 4 8 5 2" xfId="26366" xr:uid="{F3DBD2F5-B944-461F-B87B-89955BE57E4E}"/>
    <cellStyle name="Comma 4 8 5 3" xfId="43125" xr:uid="{8671444C-AFB8-4480-B310-21DAC4D6C673}"/>
    <cellStyle name="Comma 4 8 6" xfId="17986" xr:uid="{EDA58075-FC0A-4C81-936B-92A27FCB1E69}"/>
    <cellStyle name="Comma 4 8 7" xfId="34745" xr:uid="{9A2B74BD-CCCA-45F5-966C-83E3EE9D9217}"/>
    <cellStyle name="Comma 4 9" xfId="1626" xr:uid="{D3BB9708-B2ED-48FF-AA1F-E84456575FC5}"/>
    <cellStyle name="Comma 4 9 2" xfId="5015" xr:uid="{1A7A2A85-1AE4-4F74-B5D9-0125577BBB36}"/>
    <cellStyle name="Comma 4 9 2 2" xfId="13395" xr:uid="{486FB5D7-86E5-4FA1-93E9-134F9E5A9330}"/>
    <cellStyle name="Comma 4 9 2 2 2" xfId="30155" xr:uid="{0EF7B391-4CEF-44E0-AD7D-F22C2EF71B75}"/>
    <cellStyle name="Comma 4 9 2 2 3" xfId="46914" xr:uid="{2F713AA5-DF48-4517-84BC-690D3E99F9AE}"/>
    <cellStyle name="Comma 4 9 2 3" xfId="21775" xr:uid="{03D8F084-2A9C-4B99-8FCE-F4D6CDB1F3E7}"/>
    <cellStyle name="Comma 4 9 2 4" xfId="38534" xr:uid="{CBD5E8AF-3236-414F-8720-4F6FE05DF737}"/>
    <cellStyle name="Comma 4 9 3" xfId="6702" xr:uid="{168C767A-9ABE-4AA1-BD9E-7CDFB30E0453}"/>
    <cellStyle name="Comma 4 9 3 2" xfId="15082" xr:uid="{91506CC5-DA3C-43FF-A98F-505418DDDAE2}"/>
    <cellStyle name="Comma 4 9 3 2 2" xfId="31842" xr:uid="{5A9E6581-8681-4E60-B26D-3791EE4113EE}"/>
    <cellStyle name="Comma 4 9 3 2 3" xfId="48601" xr:uid="{229B5F61-9F15-4397-9F24-02E43860675E}"/>
    <cellStyle name="Comma 4 9 3 3" xfId="23462" xr:uid="{51A06598-2A79-4309-A6EA-EE148D25A823}"/>
    <cellStyle name="Comma 4 9 3 4" xfId="40221" xr:uid="{ABC10A40-ACB8-4B7B-B5F6-963FEB399793}"/>
    <cellStyle name="Comma 4 9 4" xfId="2167" xr:uid="{21A8EE43-F0E6-41EE-AF2D-B4F0EB36475C}"/>
    <cellStyle name="Comma 4 9 4 2" xfId="10555" xr:uid="{3830BE1D-4713-4890-A829-4FCE5A64C10E}"/>
    <cellStyle name="Comma 4 9 4 2 2" xfId="27315" xr:uid="{33C620A0-83DA-44D0-B85B-9F244466F83C}"/>
    <cellStyle name="Comma 4 9 4 2 3" xfId="44074" xr:uid="{1FDFCFFE-64A1-440A-8CDA-BAA3F18DED24}"/>
    <cellStyle name="Comma 4 9 4 3" xfId="18935" xr:uid="{44423EB4-6BBB-4822-B3EC-F86775885B95}"/>
    <cellStyle name="Comma 4 9 4 4" xfId="35694" xr:uid="{2E11E7DA-751F-40B1-A797-2D3578620502}"/>
    <cellStyle name="Comma 4 9 5" xfId="10015" xr:uid="{EB820C7C-DCF1-4611-8321-A9E6C624B370}"/>
    <cellStyle name="Comma 4 9 5 2" xfId="26775" xr:uid="{5E789256-E223-42B0-8564-8C474F4DA970}"/>
    <cellStyle name="Comma 4 9 5 3" xfId="43534" xr:uid="{0FE39C18-2026-4F1C-B892-426D558B2558}"/>
    <cellStyle name="Comma 4 9 6" xfId="18395" xr:uid="{5F1ADDF3-2F2F-41E4-B3C1-9EB847C31E5F}"/>
    <cellStyle name="Comma 4 9 7" xfId="35154" xr:uid="{0692D678-0F71-4ED8-93DB-54F60DA009DE}"/>
    <cellStyle name="Comma 40" xfId="58" xr:uid="{3B33F9C6-A39E-406C-960F-39319D76F492}"/>
    <cellStyle name="Comma 41" xfId="59" xr:uid="{BEBB7C33-939A-4703-9883-6B469B291DE6}"/>
    <cellStyle name="Comma 5" xfId="115" xr:uid="{03B087B7-DA17-49B6-82B0-7C5F13B50807}"/>
    <cellStyle name="Comma 5 2" xfId="326" xr:uid="{73823C92-2220-40B2-8B00-AE97E915AC96}"/>
    <cellStyle name="Comma 5 3" xfId="437" xr:uid="{1004CCE0-2294-4EE0-90EB-78D3B36B2108}"/>
    <cellStyle name="Comma 5 4" xfId="2207" xr:uid="{9CC2BE52-DBED-49B9-8361-A266B8F21072}"/>
    <cellStyle name="Comma 5 5" xfId="318" xr:uid="{F152D712-0834-4015-9AF0-67C1F02FAB4E}"/>
    <cellStyle name="Comma 6" xfId="116" xr:uid="{A157965F-4F70-4BC7-88CC-89226D6C905C}"/>
    <cellStyle name="Comma 6 10" xfId="17183" xr:uid="{135581CC-DBF6-4F07-AA2C-3C9E1CE472DB}"/>
    <cellStyle name="Comma 6 11" xfId="33942" xr:uid="{9D48CB21-1880-43BC-92EF-E35C8B1397C7}"/>
    <cellStyle name="Comma 6 2" xfId="438" xr:uid="{54ACBB5A-32BC-4FA8-A73F-5E32419C1D90}"/>
    <cellStyle name="Comma 6 3" xfId="439" xr:uid="{CAF7A3E7-C121-4ED3-8746-1852F545B88C}"/>
    <cellStyle name="Comma 6 4" xfId="834" xr:uid="{D84E63EB-1892-4F1F-867D-9B72590AF3C9}"/>
    <cellStyle name="Comma 6 4 2" xfId="4229" xr:uid="{067421BE-150C-4623-884E-37702FB10915}"/>
    <cellStyle name="Comma 6 4 2 2" xfId="12609" xr:uid="{C895621C-D2D9-4892-ACF7-7108431FC4C4}"/>
    <cellStyle name="Comma 6 4 2 2 2" xfId="29369" xr:uid="{6385B51D-255F-402B-9594-4DF869178F8C}"/>
    <cellStyle name="Comma 6 4 2 2 3" xfId="46128" xr:uid="{5F939473-1E59-4DC8-86A6-0D73BC562945}"/>
    <cellStyle name="Comma 6 4 2 3" xfId="20989" xr:uid="{5CFE1A02-45DA-48FA-BE37-061E1C044D24}"/>
    <cellStyle name="Comma 6 4 2 4" xfId="37748" xr:uid="{C7B207C9-B315-42DD-8FC8-6E1D5B7EFEA9}"/>
    <cellStyle name="Comma 6 4 3" xfId="5916" xr:uid="{A57BF13A-4070-47D3-8420-51B40BB8102F}"/>
    <cellStyle name="Comma 6 4 3 2" xfId="14296" xr:uid="{33DDFB95-F45F-4F62-BAF8-A47C095DF825}"/>
    <cellStyle name="Comma 6 4 3 2 2" xfId="31056" xr:uid="{023488D6-7108-4566-80D7-A98E159B7A9A}"/>
    <cellStyle name="Comma 6 4 3 2 3" xfId="47815" xr:uid="{9A068171-F66A-4C37-8DC4-C322761C35C7}"/>
    <cellStyle name="Comma 6 4 3 3" xfId="22676" xr:uid="{86AA4DE0-F73F-4DC8-9578-41BDA7753A64}"/>
    <cellStyle name="Comma 6 4 3 4" xfId="39435" xr:uid="{16E1A553-2052-44DD-B98D-E1B50EA25AAA}"/>
    <cellStyle name="Comma 6 4 4" xfId="2652" xr:uid="{BBCE1C6A-095F-487C-B734-BC720AD56CE0}"/>
    <cellStyle name="Comma 6 4 4 2" xfId="11032" xr:uid="{D59A66EC-C7C4-4A0A-83F4-DAFFCE81D58E}"/>
    <cellStyle name="Comma 6 4 4 2 2" xfId="27792" xr:uid="{D0E6E4A5-00A1-4164-8F6E-CC7762E7F131}"/>
    <cellStyle name="Comma 6 4 4 2 3" xfId="44551" xr:uid="{9C593681-5433-4B33-8699-16746DA42BE6}"/>
    <cellStyle name="Comma 6 4 4 3" xfId="19412" xr:uid="{DBB70939-4978-4BCE-8529-E82EB4C73CC0}"/>
    <cellStyle name="Comma 6 4 4 4" xfId="36171" xr:uid="{EE6D6207-3BD9-4B31-B3E8-2C9DFE9BC3CA}"/>
    <cellStyle name="Comma 6 4 5" xfId="9229" xr:uid="{DD472CB9-5066-47DE-A557-0F74D4469406}"/>
    <cellStyle name="Comma 6 4 5 2" xfId="25989" xr:uid="{676902CC-1E40-43C2-8BA9-734BB5AF182E}"/>
    <cellStyle name="Comma 6 4 5 3" xfId="42748" xr:uid="{0B33335C-7147-485E-B7F2-8BD0C10A95DC}"/>
    <cellStyle name="Comma 6 4 6" xfId="17609" xr:uid="{9BB7B4A0-7203-4828-9FFC-CC47067142FB}"/>
    <cellStyle name="Comma 6 4 7" xfId="34368" xr:uid="{FEF936DE-89AF-4EA0-95D7-155405BE9C2B}"/>
    <cellStyle name="Comma 6 5" xfId="1268" xr:uid="{1F9E6EBD-376F-4B7C-9509-E628E309E176}"/>
    <cellStyle name="Comma 6 5 2" xfId="4657" xr:uid="{322E7C75-4AB6-45EE-87AE-8A69E93154F7}"/>
    <cellStyle name="Comma 6 5 2 2" xfId="13037" xr:uid="{5DBC7260-CD8F-49A8-83DB-141FBFD48F6E}"/>
    <cellStyle name="Comma 6 5 2 2 2" xfId="29797" xr:uid="{D9CB74BF-946C-46FF-920F-94AA8E212C31}"/>
    <cellStyle name="Comma 6 5 2 2 3" xfId="46556" xr:uid="{D352043D-7785-4C66-B253-3A7621ACC122}"/>
    <cellStyle name="Comma 6 5 2 3" xfId="21417" xr:uid="{3BD94C97-9CB4-4521-B781-DD84DEF4E9D3}"/>
    <cellStyle name="Comma 6 5 2 4" xfId="38176" xr:uid="{F795F918-8A81-4086-93EA-D4C40FBA4B21}"/>
    <cellStyle name="Comma 6 5 3" xfId="6344" xr:uid="{348EF55C-80A1-4E3C-A5ED-3B2873B60EB8}"/>
    <cellStyle name="Comma 6 5 3 2" xfId="14724" xr:uid="{39BACD16-9A27-492C-B106-9E2075F646AF}"/>
    <cellStyle name="Comma 6 5 3 2 2" xfId="31484" xr:uid="{7E06F166-E1EB-4F8F-8438-30C1E4688205}"/>
    <cellStyle name="Comma 6 5 3 2 3" xfId="48243" xr:uid="{04A804B1-EF47-4EA9-9BE4-9A445B7DEBD5}"/>
    <cellStyle name="Comma 6 5 3 3" xfId="23104" xr:uid="{90BB66BC-B231-4BB9-8C1E-A1C3210FBB25}"/>
    <cellStyle name="Comma 6 5 3 4" xfId="39863" xr:uid="{62CF3783-7FDE-4011-B89E-8A22DE3F3056}"/>
    <cellStyle name="Comma 6 5 4" xfId="3080" xr:uid="{8B33E7AE-7077-4E60-B025-9F81E4A8013B}"/>
    <cellStyle name="Comma 6 5 4 2" xfId="11460" xr:uid="{A597A6D7-57AC-4521-8916-60DE64468CB4}"/>
    <cellStyle name="Comma 6 5 4 2 2" xfId="28220" xr:uid="{3509DA75-7B3A-4602-B822-C1F515A76600}"/>
    <cellStyle name="Comma 6 5 4 2 3" xfId="44979" xr:uid="{549BD53A-021A-4345-B4D5-B9CFC897B156}"/>
    <cellStyle name="Comma 6 5 4 3" xfId="19840" xr:uid="{0AA6C80D-51D3-454F-BCF1-32CB15E66F4E}"/>
    <cellStyle name="Comma 6 5 4 4" xfId="36599" xr:uid="{76A6B529-5F53-4432-A5FD-D8EFDF9BA14F}"/>
    <cellStyle name="Comma 6 5 5" xfId="9657" xr:uid="{86C4896F-844E-4F6E-B4B5-5BD38586C4DE}"/>
    <cellStyle name="Comma 6 5 5 2" xfId="26417" xr:uid="{114B7869-2D77-4443-B24C-FDFEF6F03606}"/>
    <cellStyle name="Comma 6 5 5 3" xfId="43176" xr:uid="{BAC49AC4-6605-4532-9F19-3A9D065F2384}"/>
    <cellStyle name="Comma 6 5 6" xfId="18037" xr:uid="{22EFAB60-AE97-45EF-874C-E667A12E9FC6}"/>
    <cellStyle name="Comma 6 5 7" xfId="34796" xr:uid="{10CB7FFF-B3BE-4828-8A12-CF44EA4CC30B}"/>
    <cellStyle name="Comma 6 6" xfId="2222" xr:uid="{8F40F616-2FC2-4D0E-95F0-B54650105A74}"/>
    <cellStyle name="Comma 6 6 2" xfId="10606" xr:uid="{2F88BD7F-B2FB-4523-A1BD-6D3EC0D1CD10}"/>
    <cellStyle name="Comma 6 6 2 2" xfId="27366" xr:uid="{AA8B1427-922E-4D39-B55A-839EC1EEFCD3}"/>
    <cellStyle name="Comma 6 6 2 3" xfId="44125" xr:uid="{1E805172-CDEB-41E1-8416-E4C875861780}"/>
    <cellStyle name="Comma 6 6 3" xfId="18986" xr:uid="{FC97282A-8E40-48CB-AB26-46B677801E92}"/>
    <cellStyle name="Comma 6 6 4" xfId="35745" xr:uid="{84A78D83-3959-4B9E-BEF4-5C50AE35EB6B}"/>
    <cellStyle name="Comma 6 7" xfId="3753" xr:uid="{BB959A85-A01E-4137-BA4E-D934A01A85F1}"/>
    <cellStyle name="Comma 6 7 2" xfId="12133" xr:uid="{C8827512-1A24-4E09-9F09-ECA80DD26DCE}"/>
    <cellStyle name="Comma 6 7 2 2" xfId="28893" xr:uid="{FA2ADBAF-E60F-4874-8E87-3874E3A41C87}"/>
    <cellStyle name="Comma 6 7 2 3" xfId="45652" xr:uid="{B06CFD5A-D290-4E5A-BEDE-EEA2FDF9C604}"/>
    <cellStyle name="Comma 6 7 3" xfId="20513" xr:uid="{0FEE3254-F0D5-4224-980D-529CF83B1467}"/>
    <cellStyle name="Comma 6 7 4" xfId="37272" xr:uid="{758B2DEE-D8CD-40BB-BBD7-CD19AD0FD3FE}"/>
    <cellStyle name="Comma 6 8" xfId="5490" xr:uid="{DEF83295-CD2B-442F-8FC3-CC53A5645893}"/>
    <cellStyle name="Comma 6 8 2" xfId="13870" xr:uid="{0DF7DE75-446D-498F-991C-B320D13FF9B1}"/>
    <cellStyle name="Comma 6 8 2 2" xfId="30630" xr:uid="{40B37E97-6DD8-4510-BB55-2C9DF5EC96EC}"/>
    <cellStyle name="Comma 6 8 2 3" xfId="47389" xr:uid="{D919B5CD-3317-40E3-BB94-A4560A1E49FF}"/>
    <cellStyle name="Comma 6 8 3" xfId="22250" xr:uid="{3F097B76-FE8A-485C-B0A7-5D73B16CF886}"/>
    <cellStyle name="Comma 6 8 4" xfId="39009" xr:uid="{BCD6E8AD-9CB7-49C1-A872-A8EC96FD2998}"/>
    <cellStyle name="Comma 6 9" xfId="8803" xr:uid="{34BCF4DB-04FB-4673-9A7F-C925E4CE1756}"/>
    <cellStyle name="Comma 6 9 2" xfId="25563" xr:uid="{FA6022A2-975E-4C72-82D0-AF03FCD53B2E}"/>
    <cellStyle name="Comma 6 9 3" xfId="42322" xr:uid="{1D607B7C-22F0-437C-81D2-5BF839789195}"/>
    <cellStyle name="Comma 7" xfId="117" xr:uid="{43B528BD-6312-4EFB-B86D-00886CCCE8F4}"/>
    <cellStyle name="Comma 7 10" xfId="7538" xr:uid="{B898A441-CF72-45FB-A665-576DCEF8B0EA}"/>
    <cellStyle name="Comma 7 10 2" xfId="15918" xr:uid="{2D93BC07-BF61-4400-96E4-4A0D94071247}"/>
    <cellStyle name="Comma 7 10 2 2" xfId="32678" xr:uid="{B691FCB6-AB4E-448F-824C-2E9E1BECB359}"/>
    <cellStyle name="Comma 7 10 2 3" xfId="49437" xr:uid="{CFF85BDF-6C87-4C89-95E3-8E323872DBBB}"/>
    <cellStyle name="Comma 7 10 3" xfId="24298" xr:uid="{EBDA525A-A41B-4486-A7CC-65DA66E81564}"/>
    <cellStyle name="Comma 7 10 4" xfId="41057" xr:uid="{F8CFFF3E-45A6-47B0-A337-01EB50A34075}"/>
    <cellStyle name="Comma 7 11" xfId="7944" xr:uid="{1B8C66E6-0CBC-4680-87B5-676286DEE7CB}"/>
    <cellStyle name="Comma 7 11 2" xfId="16324" xr:uid="{864C2669-3D74-4C93-BBF5-5ECCF28825FF}"/>
    <cellStyle name="Comma 7 11 2 2" xfId="33084" xr:uid="{3F079BE7-8CC2-4A02-87EF-AADD482F8A8E}"/>
    <cellStyle name="Comma 7 11 2 3" xfId="49843" xr:uid="{C83D303F-C01A-41EF-858B-72767322BF22}"/>
    <cellStyle name="Comma 7 11 3" xfId="24704" xr:uid="{53E220ED-7A58-4D09-95AC-5DBFB7CC9FF6}"/>
    <cellStyle name="Comma 7 11 4" xfId="41463" xr:uid="{44365538-6B4C-45EA-A600-D5D4302AC68E}"/>
    <cellStyle name="Comma 7 12" xfId="8350" xr:uid="{A0BBED32-CE25-4F6E-B5C4-AED3D5313872}"/>
    <cellStyle name="Comma 7 12 2" xfId="16730" xr:uid="{073ACC2C-FDCB-4590-8642-10283F65CFFF}"/>
    <cellStyle name="Comma 7 12 2 2" xfId="33490" xr:uid="{C823CE69-B44F-4056-9058-62F14C9948C6}"/>
    <cellStyle name="Comma 7 12 2 3" xfId="50249" xr:uid="{39E9BC6E-029F-425A-9AE3-31FD15A4FD2C}"/>
    <cellStyle name="Comma 7 12 3" xfId="25110" xr:uid="{AC4714B0-91A0-4B79-8C1E-092049945070}"/>
    <cellStyle name="Comma 7 12 4" xfId="41869" xr:uid="{202921FA-9FB2-41BF-9362-FE5E80C276E6}"/>
    <cellStyle name="Comma 7 13" xfId="2034" xr:uid="{7496F975-6630-4894-B60A-CB32690F4CE1}"/>
    <cellStyle name="Comma 7 13 2" xfId="10422" xr:uid="{7CD0EE73-F989-458E-A47D-833702C01E56}"/>
    <cellStyle name="Comma 7 13 2 2" xfId="27182" xr:uid="{0F577F37-E37C-497C-9F56-A954E6BC3441}"/>
    <cellStyle name="Comma 7 13 2 3" xfId="43941" xr:uid="{5DC54D7D-3C69-4BA0-A9A9-8EF1A27970DE}"/>
    <cellStyle name="Comma 7 13 3" xfId="18802" xr:uid="{08581FC5-6428-42B2-8B2D-1FD30ECAA500}"/>
    <cellStyle name="Comma 7 13 4" xfId="35561" xr:uid="{D571C0E8-EEC8-4BD4-836D-F9ED76A477EF}"/>
    <cellStyle name="Comma 7 14" xfId="8874" xr:uid="{39383552-89C0-4F5D-9632-81A9BE1190D6}"/>
    <cellStyle name="Comma 7 14 2" xfId="25634" xr:uid="{02290533-C616-423F-B7A6-6A897F46E79F}"/>
    <cellStyle name="Comma 7 14 3" xfId="42393" xr:uid="{8D853177-F341-4A66-8A20-B770E6301228}"/>
    <cellStyle name="Comma 7 15" xfId="17254" xr:uid="{68E4EA2E-8F93-4DF0-A021-BD9D02A12E04}"/>
    <cellStyle name="Comma 7 16" xfId="34013" xr:uid="{63EFF54E-A66E-48DB-AA6D-12495661A966}"/>
    <cellStyle name="Comma 7 17" xfId="50930" xr:uid="{31EDEF42-B133-4CB9-8EBC-D6372A9EA107}"/>
    <cellStyle name="Comma 7 18" xfId="440" xr:uid="{6DF8B98C-D40B-40E8-A31B-83BEF5E3FE40}"/>
    <cellStyle name="Comma 7 2" xfId="441" xr:uid="{699ACB8D-0101-47B4-A008-909CD140CC5C}"/>
    <cellStyle name="Comma 7 2 10" xfId="8465" xr:uid="{6BA40422-0C0C-473B-8259-045FCAC34EED}"/>
    <cellStyle name="Comma 7 2 10 2" xfId="16845" xr:uid="{EF74F811-78D2-42E1-98C8-EFA9AE35DCF5}"/>
    <cellStyle name="Comma 7 2 10 2 2" xfId="33605" xr:uid="{700FCA91-5D27-4BBD-879E-0B1DFE151A4F}"/>
    <cellStyle name="Comma 7 2 10 2 3" xfId="50364" xr:uid="{26FE6EEA-6243-4070-9A12-C57331090999}"/>
    <cellStyle name="Comma 7 2 10 3" xfId="25225" xr:uid="{FF14E80C-4808-40AA-9074-CED216FF3557}"/>
    <cellStyle name="Comma 7 2 10 4" xfId="41984" xr:uid="{2D0B4341-5D83-495D-8456-425E1AFD2D67}"/>
    <cellStyle name="Comma 7 2 11" xfId="2295" xr:uid="{298D82FE-6423-4471-A223-78D6F98C198C}"/>
    <cellStyle name="Comma 7 2 11 2" xfId="10678" xr:uid="{0FBBC60A-CF3D-4754-BAA5-814A4C29D1C1}"/>
    <cellStyle name="Comma 7 2 11 2 2" xfId="27438" xr:uid="{DA489398-E4D3-4D6C-B4FE-2BA2865576D7}"/>
    <cellStyle name="Comma 7 2 11 2 3" xfId="44197" xr:uid="{923A8321-141B-42A7-B50F-4E02E9DB53A4}"/>
    <cellStyle name="Comma 7 2 11 3" xfId="19058" xr:uid="{8E0C775C-79D7-4122-9D84-B90791DA1682}"/>
    <cellStyle name="Comma 7 2 11 4" xfId="35817" xr:uid="{2BC9C602-164F-4B3D-AA36-9E480BC18129}"/>
    <cellStyle name="Comma 7 2 12" xfId="8875" xr:uid="{0A9EE584-9776-4B1B-ACB8-E55232C50680}"/>
    <cellStyle name="Comma 7 2 12 2" xfId="25635" xr:uid="{79EA8115-C63F-4CA3-A972-7B6F6FFB98A9}"/>
    <cellStyle name="Comma 7 2 12 3" xfId="42394" xr:uid="{D85690D0-09FE-48DC-B630-B4BD2020020C}"/>
    <cellStyle name="Comma 7 2 13" xfId="17255" xr:uid="{77592DD0-75CD-4F25-B6C5-AD617C437F97}"/>
    <cellStyle name="Comma 7 2 14" xfId="34014" xr:uid="{FDA1E153-6BEA-4EC6-8FD9-6041DDDBCA30}"/>
    <cellStyle name="Comma 7 2 2" xfId="906" xr:uid="{F58DF686-A18E-4070-9526-F22305750BE7}"/>
    <cellStyle name="Comma 7 2 2 2" xfId="4301" xr:uid="{9C7197FE-978D-4B88-A75B-529E967AFABD}"/>
    <cellStyle name="Comma 7 2 2 2 2" xfId="12681" xr:uid="{8919030D-635D-4E57-99C2-C0B7A871B78D}"/>
    <cellStyle name="Comma 7 2 2 2 2 2" xfId="29441" xr:uid="{725B38A9-2CBB-44F3-976E-E116415EFD52}"/>
    <cellStyle name="Comma 7 2 2 2 2 3" xfId="46200" xr:uid="{1EC3CDA5-F83F-4E2A-8580-D963A566490C}"/>
    <cellStyle name="Comma 7 2 2 2 3" xfId="21061" xr:uid="{A4EDD88D-07C3-462E-90BE-C55B801E3652}"/>
    <cellStyle name="Comma 7 2 2 2 4" xfId="37820" xr:uid="{CA817DF7-E346-4DF2-910C-531234A0DA7D}"/>
    <cellStyle name="Comma 7 2 2 3" xfId="5988" xr:uid="{D5BC357E-931C-47ED-B4CA-CD87A500B99E}"/>
    <cellStyle name="Comma 7 2 2 3 2" xfId="14368" xr:uid="{7409D55E-17E3-4ABE-83FA-0E1B39A502FF}"/>
    <cellStyle name="Comma 7 2 2 3 2 2" xfId="31128" xr:uid="{50DB6DBC-9E24-4A8B-B108-BAAE9935FEDC}"/>
    <cellStyle name="Comma 7 2 2 3 2 3" xfId="47887" xr:uid="{54B28050-0805-443C-843E-F64FB89825DF}"/>
    <cellStyle name="Comma 7 2 2 3 3" xfId="22748" xr:uid="{0537745D-4EA2-4995-BBCF-9415C1BD9005}"/>
    <cellStyle name="Comma 7 2 2 3 4" xfId="39507" xr:uid="{7A68CF23-32BB-4C3A-A41A-1C0CE7518A2E}"/>
    <cellStyle name="Comma 7 2 2 4" xfId="2724" xr:uid="{BBC283CE-53CD-41B7-90D1-EF9AEE25703F}"/>
    <cellStyle name="Comma 7 2 2 4 2" xfId="11104" xr:uid="{C4945E38-7A48-48DA-AC82-7F61E35D5732}"/>
    <cellStyle name="Comma 7 2 2 4 2 2" xfId="27864" xr:uid="{52992F01-C954-4D14-9808-9454E04208E3}"/>
    <cellStyle name="Comma 7 2 2 4 2 3" xfId="44623" xr:uid="{B701D939-4D32-462D-B2F4-6BC4ECF2525F}"/>
    <cellStyle name="Comma 7 2 2 4 3" xfId="19484" xr:uid="{9048430A-9324-498F-9BD0-C5ED0AF94014}"/>
    <cellStyle name="Comma 7 2 2 4 4" xfId="36243" xr:uid="{2F565B59-8373-4F0D-A7B5-941F4041DF67}"/>
    <cellStyle name="Comma 7 2 2 5" xfId="9301" xr:uid="{9C6957DD-E8F6-4DEF-BDFF-2B3CA5FE8E4F}"/>
    <cellStyle name="Comma 7 2 2 5 2" xfId="26061" xr:uid="{78F37D1D-D215-4BA5-BAD0-9B1CFD7ACE77}"/>
    <cellStyle name="Comma 7 2 2 5 3" xfId="42820" xr:uid="{6209AA5A-AC27-44E8-B0E9-1D4DE78DC7DD}"/>
    <cellStyle name="Comma 7 2 2 6" xfId="17681" xr:uid="{E578A6BE-EE55-4180-9E49-34C0CAB0B3E1}"/>
    <cellStyle name="Comma 7 2 2 7" xfId="34440" xr:uid="{221FF807-76EF-4772-82AA-003AE00F910B}"/>
    <cellStyle name="Comma 7 2 3" xfId="1340" xr:uid="{537AD1D4-0D3F-40CC-B139-A2E539C9D7B4}"/>
    <cellStyle name="Comma 7 2 3 2" xfId="4729" xr:uid="{1533D99A-D8D1-4FEC-8FD4-09D822979833}"/>
    <cellStyle name="Comma 7 2 3 2 2" xfId="13109" xr:uid="{FF9F2CCF-091C-495B-A892-1B7489303FBF}"/>
    <cellStyle name="Comma 7 2 3 2 2 2" xfId="29869" xr:uid="{AD65D133-CACC-4581-A6C9-9480AFC4C790}"/>
    <cellStyle name="Comma 7 2 3 2 2 3" xfId="46628" xr:uid="{7F010266-7761-4E9B-88B7-63D430164470}"/>
    <cellStyle name="Comma 7 2 3 2 3" xfId="21489" xr:uid="{453EF74B-0A14-40F7-A029-6D7C8C588E88}"/>
    <cellStyle name="Comma 7 2 3 2 4" xfId="38248" xr:uid="{6446ED2F-9C4D-4B1E-A9EC-1F602A44E3A0}"/>
    <cellStyle name="Comma 7 2 3 3" xfId="6416" xr:uid="{85B659D7-4DE1-48C5-9FD4-9C5FA61D2D8E}"/>
    <cellStyle name="Comma 7 2 3 3 2" xfId="14796" xr:uid="{6786A8C4-5034-46A4-9A15-35F7592C8B36}"/>
    <cellStyle name="Comma 7 2 3 3 2 2" xfId="31556" xr:uid="{DB0183C8-F379-4FCF-888D-E31F6CC3303D}"/>
    <cellStyle name="Comma 7 2 3 3 2 3" xfId="48315" xr:uid="{4E4C2DBB-DC03-47D9-847B-474E898C8B2F}"/>
    <cellStyle name="Comma 7 2 3 3 3" xfId="23176" xr:uid="{F235B519-23B0-42B4-A519-8E29AD19BB17}"/>
    <cellStyle name="Comma 7 2 3 3 4" xfId="39935" xr:uid="{4693B931-A139-4680-BA5A-74D96ACBC25F}"/>
    <cellStyle name="Comma 7 2 3 4" xfId="3152" xr:uid="{138BB721-2ECF-47E9-A4EB-677486F56C86}"/>
    <cellStyle name="Comma 7 2 3 4 2" xfId="11532" xr:uid="{28CDA258-E927-4E0A-ABD2-C3285033F4A1}"/>
    <cellStyle name="Comma 7 2 3 4 2 2" xfId="28292" xr:uid="{D01E2209-233D-4AF3-A045-9C2DF20A1E44}"/>
    <cellStyle name="Comma 7 2 3 4 2 3" xfId="45051" xr:uid="{4C6F39D4-F4D4-4743-9CF5-2960DF1C858D}"/>
    <cellStyle name="Comma 7 2 3 4 3" xfId="19912" xr:uid="{B723A698-5029-4DAA-84A6-D860C8C52C35}"/>
    <cellStyle name="Comma 7 2 3 4 4" xfId="36671" xr:uid="{35505E73-E375-461B-86FD-1962FD6C46A0}"/>
    <cellStyle name="Comma 7 2 3 5" xfId="9729" xr:uid="{248AB6C5-41E4-4B4B-A936-DEA331887F34}"/>
    <cellStyle name="Comma 7 2 3 5 2" xfId="26489" xr:uid="{E7EB5075-431A-477D-9A96-88E17888D4F0}"/>
    <cellStyle name="Comma 7 2 3 5 3" xfId="43248" xr:uid="{3C281D86-5121-454B-A0C9-D860AD01CEAE}"/>
    <cellStyle name="Comma 7 2 3 6" xfId="18109" xr:uid="{86BD98A9-5A52-4430-BC1C-6BBA41CC6502}"/>
    <cellStyle name="Comma 7 2 3 7" xfId="34868" xr:uid="{3C9A1A09-8FFE-4766-AC5C-E938307845AB}"/>
    <cellStyle name="Comma 7 2 4" xfId="1765" xr:uid="{042A2EFE-ACBB-4BB9-B3C6-39EC0D5AD3E8}"/>
    <cellStyle name="Comma 7 2 4 2" xfId="5154" xr:uid="{96026E8B-016B-4969-BA8E-9C1D7672C68E}"/>
    <cellStyle name="Comma 7 2 4 2 2" xfId="13534" xr:uid="{4C1BA73F-47FA-4F3D-8C83-303F73C5235A}"/>
    <cellStyle name="Comma 7 2 4 2 2 2" xfId="30294" xr:uid="{10492DBC-6F00-469B-BDFE-EBFF58C305D7}"/>
    <cellStyle name="Comma 7 2 4 2 2 3" xfId="47053" xr:uid="{085C8BBB-1ED0-486C-8C10-E1CD34D9006D}"/>
    <cellStyle name="Comma 7 2 4 2 3" xfId="21914" xr:uid="{66D0395C-4A7F-4CBE-AA38-CD7A48EDA9CD}"/>
    <cellStyle name="Comma 7 2 4 2 4" xfId="38673" xr:uid="{7AA60393-FC48-4465-B90E-EDF48E341A48}"/>
    <cellStyle name="Comma 7 2 4 3" xfId="6841" xr:uid="{678DF552-027F-4F8E-AC81-E106271F29FB}"/>
    <cellStyle name="Comma 7 2 4 3 2" xfId="15221" xr:uid="{9ABB1995-2CAE-4C39-85F9-FE0285CC7A3A}"/>
    <cellStyle name="Comma 7 2 4 3 2 2" xfId="31981" xr:uid="{507BD0D9-4CCE-4592-A7CA-221B3C227EBB}"/>
    <cellStyle name="Comma 7 2 4 3 2 3" xfId="48740" xr:uid="{C8EAFA35-4875-474C-B406-47AB8872C4CB}"/>
    <cellStyle name="Comma 7 2 4 3 3" xfId="23601" xr:uid="{CB485BCD-D0EC-4F51-BACE-20BD72E2A378}"/>
    <cellStyle name="Comma 7 2 4 3 4" xfId="40360" xr:uid="{A357F5BB-E540-4FC3-8D6F-9A5D05FA5945}"/>
    <cellStyle name="Comma 7 2 4 4" xfId="3465" xr:uid="{48D9E145-3609-48A6-928E-554F50180B15}"/>
    <cellStyle name="Comma 7 2 4 4 2" xfId="11845" xr:uid="{98226727-8B8D-40EE-9776-CFD6FF408ED0}"/>
    <cellStyle name="Comma 7 2 4 4 2 2" xfId="28605" xr:uid="{522CEB29-1D55-45C9-9C69-86C9E85E952A}"/>
    <cellStyle name="Comma 7 2 4 4 2 3" xfId="45364" xr:uid="{A304017D-F550-49C4-9EFD-A5050C365ED6}"/>
    <cellStyle name="Comma 7 2 4 4 3" xfId="20225" xr:uid="{5119E1C6-B7DF-4D2F-A3EB-CB320741985B}"/>
    <cellStyle name="Comma 7 2 4 4 4" xfId="36984" xr:uid="{CE225CFC-19C0-40BF-AD91-530502451FB3}"/>
    <cellStyle name="Comma 7 2 4 5" xfId="10154" xr:uid="{CFCE5156-04C7-4C74-9436-DA3904B973A5}"/>
    <cellStyle name="Comma 7 2 4 5 2" xfId="26914" xr:uid="{0776DF5F-E374-4A72-AA49-4A40231E5C0B}"/>
    <cellStyle name="Comma 7 2 4 5 3" xfId="43673" xr:uid="{C64D8413-005F-412C-B42E-893340EE740B}"/>
    <cellStyle name="Comma 7 2 4 6" xfId="18534" xr:uid="{F99DE97B-DF58-4925-BC6F-088028B9825C}"/>
    <cellStyle name="Comma 7 2 4 7" xfId="35293" xr:uid="{F189F0E9-871E-483A-866F-70F1E51EAF44}"/>
    <cellStyle name="Comma 7 2 5" xfId="3884" xr:uid="{1F82630F-FBB6-4527-BD1A-3E8FA4E5CD82}"/>
    <cellStyle name="Comma 7 2 5 2" xfId="12264" xr:uid="{067C138E-5A58-4C9C-8CB0-07F8A70944BA}"/>
    <cellStyle name="Comma 7 2 5 2 2" xfId="29024" xr:uid="{6D37BFFD-B730-40BB-88FC-D42086F4F32D}"/>
    <cellStyle name="Comma 7 2 5 2 3" xfId="45783" xr:uid="{D74A8D82-1E9C-4F5C-AE25-8D84692A8261}"/>
    <cellStyle name="Comma 7 2 5 3" xfId="20644" xr:uid="{C24F2E25-653B-48E6-B9CE-4636C4090250}"/>
    <cellStyle name="Comma 7 2 5 4" xfId="37403" xr:uid="{4605C8B3-B0BD-4E1D-9BFC-5B460C5E1C0D}"/>
    <cellStyle name="Comma 7 2 6" xfId="5562" xr:uid="{987D7163-CEFF-4162-AD47-EA6B4BA5032E}"/>
    <cellStyle name="Comma 7 2 6 2" xfId="13942" xr:uid="{74CCA9C0-D2C5-4133-BD34-B2763B53D538}"/>
    <cellStyle name="Comma 7 2 6 2 2" xfId="30702" xr:uid="{53D1AB74-5071-4152-974C-6FEB01F6AB69}"/>
    <cellStyle name="Comma 7 2 6 2 3" xfId="47461" xr:uid="{3DA109AF-46E9-4DB1-9B9E-85A7151031B2}"/>
    <cellStyle name="Comma 7 2 6 3" xfId="22322" xr:uid="{D585DF26-4A23-4AAB-A64C-694D56048C41}"/>
    <cellStyle name="Comma 7 2 6 4" xfId="39081" xr:uid="{72EFCB88-0A11-42B5-9504-1C5AD247B920}"/>
    <cellStyle name="Comma 7 2 7" xfId="7247" xr:uid="{5741C6ED-83A4-48D5-8F6A-62CF6D4E609B}"/>
    <cellStyle name="Comma 7 2 7 2" xfId="15627" xr:uid="{32C781DF-61B5-444F-ADA5-BAA1B267A577}"/>
    <cellStyle name="Comma 7 2 7 2 2" xfId="32387" xr:uid="{CE959AA1-B16C-48FF-9486-F25C00EF734E}"/>
    <cellStyle name="Comma 7 2 7 2 3" xfId="49146" xr:uid="{F7217BC1-AB46-4E76-A523-C77996782928}"/>
    <cellStyle name="Comma 7 2 7 3" xfId="24007" xr:uid="{233D3878-56E0-4224-8503-454A933D234C}"/>
    <cellStyle name="Comma 7 2 7 4" xfId="40766" xr:uid="{D446689A-DB6A-46FD-9C7C-544DDCBF345A}"/>
    <cellStyle name="Comma 7 2 8" xfId="7653" xr:uid="{6D399A92-2E1E-4AC9-A6BD-5CC628E822B9}"/>
    <cellStyle name="Comma 7 2 8 2" xfId="16033" xr:uid="{F43E9BE1-D73D-46F4-A071-0BEC93D003BE}"/>
    <cellStyle name="Comma 7 2 8 2 2" xfId="32793" xr:uid="{BF354AFC-EC03-4A15-B1DC-797415F0EFEC}"/>
    <cellStyle name="Comma 7 2 8 2 3" xfId="49552" xr:uid="{FE0FA332-5D29-4A96-BAA4-D41C9D08778C}"/>
    <cellStyle name="Comma 7 2 8 3" xfId="24413" xr:uid="{965597CB-4890-4DC7-82DF-B941A9113BA3}"/>
    <cellStyle name="Comma 7 2 8 4" xfId="41172" xr:uid="{84DAEC9A-6169-4B8C-8F53-430AF47608FF}"/>
    <cellStyle name="Comma 7 2 9" xfId="8059" xr:uid="{4C86C80A-AC93-46A2-A6A5-8F549DFD1C54}"/>
    <cellStyle name="Comma 7 2 9 2" xfId="16439" xr:uid="{C8BE4AB0-0492-461E-A22D-CBB08BB49699}"/>
    <cellStyle name="Comma 7 2 9 2 2" xfId="33199" xr:uid="{DEFD9A9C-CF36-45F3-A41A-48BB2F0AD535}"/>
    <cellStyle name="Comma 7 2 9 2 3" xfId="49958" xr:uid="{500012F1-6CDB-4D63-A41C-5E42DFD6E480}"/>
    <cellStyle name="Comma 7 2 9 3" xfId="24819" xr:uid="{57F15FE9-346E-405C-A36E-7A925E3F6720}"/>
    <cellStyle name="Comma 7 2 9 4" xfId="41578" xr:uid="{ED8D3BA6-78A1-45B4-9434-934C08F72273}"/>
    <cellStyle name="Comma 7 3" xfId="442" xr:uid="{5F95C684-E4BA-4E1D-8DC4-9AE98949D35E}"/>
    <cellStyle name="Comma 7 3 10" xfId="8621" xr:uid="{313F7F24-E9D9-46C1-989C-E6909ADA009E}"/>
    <cellStyle name="Comma 7 3 10 2" xfId="17001" xr:uid="{D82E3BCF-F017-4024-B1A7-0F4052F205A2}"/>
    <cellStyle name="Comma 7 3 10 2 2" xfId="33761" xr:uid="{55A18CF2-9007-475E-8EBF-F45522414B06}"/>
    <cellStyle name="Comma 7 3 10 2 3" xfId="50520" xr:uid="{AC74550A-B1C5-4A5E-9FA4-B7F3F2B41B20}"/>
    <cellStyle name="Comma 7 3 10 3" xfId="25381" xr:uid="{D816C00B-F398-4C61-8B7D-A1C7C788A9F2}"/>
    <cellStyle name="Comma 7 3 10 4" xfId="42140" xr:uid="{3288F5B0-20A7-4826-AE95-ED86D6ADE3E3}"/>
    <cellStyle name="Comma 7 3 11" xfId="2296" xr:uid="{A32F46AE-E87D-42BA-B279-0A409EE00402}"/>
    <cellStyle name="Comma 7 3 11 2" xfId="10679" xr:uid="{90F796E7-E13A-4EDA-BBBD-C28FC4AC25AD}"/>
    <cellStyle name="Comma 7 3 11 2 2" xfId="27439" xr:uid="{524F9E26-E940-4660-8298-528A587F0870}"/>
    <cellStyle name="Comma 7 3 11 2 3" xfId="44198" xr:uid="{1E9C8241-A982-4E2A-931F-359AAE2F8841}"/>
    <cellStyle name="Comma 7 3 11 3" xfId="19059" xr:uid="{112B87FC-8E15-43B6-ADA3-43507F35167B}"/>
    <cellStyle name="Comma 7 3 11 4" xfId="35818" xr:uid="{DAE62FF1-8343-4765-A0D8-0E9922A7A55D}"/>
    <cellStyle name="Comma 7 3 12" xfId="8876" xr:uid="{4C088762-975E-4368-B900-B63B9DC16680}"/>
    <cellStyle name="Comma 7 3 12 2" xfId="25636" xr:uid="{C26CBD1B-271F-482A-ABD3-C31256B33CD2}"/>
    <cellStyle name="Comma 7 3 12 3" xfId="42395" xr:uid="{C39D07CF-620E-46FB-AFD7-2A80E52550C2}"/>
    <cellStyle name="Comma 7 3 13" xfId="17256" xr:uid="{3984326B-2897-4298-9E6F-CF2A931C9A86}"/>
    <cellStyle name="Comma 7 3 14" xfId="34015" xr:uid="{ED8EE5C4-D821-433A-8070-638F1C4BD89F}"/>
    <cellStyle name="Comma 7 3 2" xfId="907" xr:uid="{E21A3588-6957-42DC-B5EA-DBA39A240383}"/>
    <cellStyle name="Comma 7 3 2 2" xfId="4302" xr:uid="{D37384BD-9D83-47AB-AC91-99D264234F12}"/>
    <cellStyle name="Comma 7 3 2 2 2" xfId="12682" xr:uid="{BB8BC25E-6A6D-4A30-AE7F-E238C4BEAFAF}"/>
    <cellStyle name="Comma 7 3 2 2 2 2" xfId="29442" xr:uid="{966D5476-FA4E-4C2B-8620-0C2D0F8A54B3}"/>
    <cellStyle name="Comma 7 3 2 2 2 3" xfId="46201" xr:uid="{127AE82E-40AA-4C04-8FE7-52636BBDBE8E}"/>
    <cellStyle name="Comma 7 3 2 2 3" xfId="21062" xr:uid="{57253E69-6E11-4675-AB71-47D55F8870D8}"/>
    <cellStyle name="Comma 7 3 2 2 4" xfId="37821" xr:uid="{0FFDFA5E-494F-4D53-8A28-9D1E727E69A8}"/>
    <cellStyle name="Comma 7 3 2 3" xfId="5989" xr:uid="{40177AED-E5CB-46CC-A3C2-6CD79BD0AFA6}"/>
    <cellStyle name="Comma 7 3 2 3 2" xfId="14369" xr:uid="{FFDF0A07-C671-4B33-95FC-DD6F320BBDCB}"/>
    <cellStyle name="Comma 7 3 2 3 2 2" xfId="31129" xr:uid="{44A007F8-6720-4536-BD57-76DFBECEE763}"/>
    <cellStyle name="Comma 7 3 2 3 2 3" xfId="47888" xr:uid="{E9A4A619-D571-49A6-9D58-B4A6DFFF5898}"/>
    <cellStyle name="Comma 7 3 2 3 3" xfId="22749" xr:uid="{EF6E4839-3A9B-4316-83FB-BED86D86A78A}"/>
    <cellStyle name="Comma 7 3 2 3 4" xfId="39508" xr:uid="{E7A49768-5076-43C8-8227-F6D97AC75CDD}"/>
    <cellStyle name="Comma 7 3 2 4" xfId="2725" xr:uid="{8FB8111E-6C72-4B7C-9C6C-F6091DB572B4}"/>
    <cellStyle name="Comma 7 3 2 4 2" xfId="11105" xr:uid="{03B05FB7-0884-43FA-B28C-E9D003EB7EA8}"/>
    <cellStyle name="Comma 7 3 2 4 2 2" xfId="27865" xr:uid="{E6806D58-455F-4779-BFA4-02FB52ACF5D3}"/>
    <cellStyle name="Comma 7 3 2 4 2 3" xfId="44624" xr:uid="{78A2504B-3706-4E3C-BAFA-7BDBE3A65907}"/>
    <cellStyle name="Comma 7 3 2 4 3" xfId="19485" xr:uid="{2A05679C-5D95-4CB8-A77A-EA1A59EBD286}"/>
    <cellStyle name="Comma 7 3 2 4 4" xfId="36244" xr:uid="{4155839A-0059-4C73-859B-A419BBCFFDBB}"/>
    <cellStyle name="Comma 7 3 2 5" xfId="9302" xr:uid="{4E7AB66B-7FB8-4421-937C-F60FEBDDCB84}"/>
    <cellStyle name="Comma 7 3 2 5 2" xfId="26062" xr:uid="{3BD1D18F-BD4A-494D-94E8-BBF7A831D361}"/>
    <cellStyle name="Comma 7 3 2 5 3" xfId="42821" xr:uid="{D2B3B3B5-B7F7-4BA9-90A5-5D055ECAC0DC}"/>
    <cellStyle name="Comma 7 3 2 6" xfId="17682" xr:uid="{10688086-4041-4FB9-9FA6-3553A336D047}"/>
    <cellStyle name="Comma 7 3 2 7" xfId="34441" xr:uid="{87FE430C-A320-409A-A3DD-B5A961EAC0A9}"/>
    <cellStyle name="Comma 7 3 3" xfId="1341" xr:uid="{EB609312-3FD7-4D7A-BA39-5BF9E1E9CF50}"/>
    <cellStyle name="Comma 7 3 3 2" xfId="4730" xr:uid="{B63C7AE0-71D0-4367-B7F1-57A0A24B490E}"/>
    <cellStyle name="Comma 7 3 3 2 2" xfId="13110" xr:uid="{304E528F-6EBA-40DC-B408-55AA2D0D691F}"/>
    <cellStyle name="Comma 7 3 3 2 2 2" xfId="29870" xr:uid="{1095503E-C945-4135-B16B-237187BEA83C}"/>
    <cellStyle name="Comma 7 3 3 2 2 3" xfId="46629" xr:uid="{BA0972AE-CDFE-4512-A20A-3394E52902A6}"/>
    <cellStyle name="Comma 7 3 3 2 3" xfId="21490" xr:uid="{413B8126-3AC7-4D33-BBCF-2B5F8F20FEC9}"/>
    <cellStyle name="Comma 7 3 3 2 4" xfId="38249" xr:uid="{5FB6EE97-EE7F-4992-BD0E-AD700B92F0AC}"/>
    <cellStyle name="Comma 7 3 3 3" xfId="6417" xr:uid="{97F83B84-E96C-4006-B2ED-D54E12A96367}"/>
    <cellStyle name="Comma 7 3 3 3 2" xfId="14797" xr:uid="{3C228994-2EB4-42D6-BFDF-B930BE42272B}"/>
    <cellStyle name="Comma 7 3 3 3 2 2" xfId="31557" xr:uid="{8A333271-DF92-4B3F-853F-780E98655259}"/>
    <cellStyle name="Comma 7 3 3 3 2 3" xfId="48316" xr:uid="{BED83631-7689-42E6-844B-C9D092007A5B}"/>
    <cellStyle name="Comma 7 3 3 3 3" xfId="23177" xr:uid="{47D889DD-6DF4-418C-9CF1-A3BCB74B3AC8}"/>
    <cellStyle name="Comma 7 3 3 3 4" xfId="39936" xr:uid="{E87F5820-76C0-46F7-9F8F-F160E149599A}"/>
    <cellStyle name="Comma 7 3 3 4" xfId="3153" xr:uid="{4AD7CF0A-3369-4A67-813E-A98220CBD4B4}"/>
    <cellStyle name="Comma 7 3 3 4 2" xfId="11533" xr:uid="{F5F9DB9D-2860-413A-AADD-076D4571ED24}"/>
    <cellStyle name="Comma 7 3 3 4 2 2" xfId="28293" xr:uid="{4FB36086-BD45-4B0E-BC7B-69AEBFB98186}"/>
    <cellStyle name="Comma 7 3 3 4 2 3" xfId="45052" xr:uid="{6F91A4B3-0607-46A9-B453-16243C49A171}"/>
    <cellStyle name="Comma 7 3 3 4 3" xfId="19913" xr:uid="{D895F63A-595F-447B-999E-4768E7803343}"/>
    <cellStyle name="Comma 7 3 3 4 4" xfId="36672" xr:uid="{B09350AF-0F34-46B3-BA47-7D5A7028482B}"/>
    <cellStyle name="Comma 7 3 3 5" xfId="9730" xr:uid="{5E0DAF5B-1070-468A-9C58-C15463CBDB9D}"/>
    <cellStyle name="Comma 7 3 3 5 2" xfId="26490" xr:uid="{81BA50BB-1B17-4D16-AB85-3511BAA1846B}"/>
    <cellStyle name="Comma 7 3 3 5 3" xfId="43249" xr:uid="{AA5C7D4A-33CB-45BD-942C-251C60CE3113}"/>
    <cellStyle name="Comma 7 3 3 6" xfId="18110" xr:uid="{B706CB8D-8E16-4A1D-8C5D-6ED2470DF6B5}"/>
    <cellStyle name="Comma 7 3 3 7" xfId="34869" xr:uid="{790A8816-CEC6-4525-8ACA-1F34E9DAA806}"/>
    <cellStyle name="Comma 7 3 4" xfId="1921" xr:uid="{25A0AC8D-71D9-429E-8116-1A90BEF20049}"/>
    <cellStyle name="Comma 7 3 4 2" xfId="5310" xr:uid="{3EBE36FF-250E-4A90-8534-05381E021AAF}"/>
    <cellStyle name="Comma 7 3 4 2 2" xfId="13690" xr:uid="{91D69867-C6FF-4069-8E73-CD8C0C53C712}"/>
    <cellStyle name="Comma 7 3 4 2 2 2" xfId="30450" xr:uid="{B13D28DF-656C-415B-8113-449348FAF86B}"/>
    <cellStyle name="Comma 7 3 4 2 2 3" xfId="47209" xr:uid="{1B34841A-373F-4EAF-97C4-6687EC1A2846}"/>
    <cellStyle name="Comma 7 3 4 2 3" xfId="22070" xr:uid="{DE51D237-3D21-4833-A832-701B3CFA4E1E}"/>
    <cellStyle name="Comma 7 3 4 2 4" xfId="38829" xr:uid="{67B1680F-1806-4E4E-9FD5-67616CEF0583}"/>
    <cellStyle name="Comma 7 3 4 3" xfId="6997" xr:uid="{BDBBD1CB-EF37-4A1A-8934-B7EE9A13B284}"/>
    <cellStyle name="Comma 7 3 4 3 2" xfId="15377" xr:uid="{80E673C7-BA5A-4AD3-85E8-4ED84AF5AAC4}"/>
    <cellStyle name="Comma 7 3 4 3 2 2" xfId="32137" xr:uid="{0C076319-553A-4B44-9250-7E81BAC6A5FA}"/>
    <cellStyle name="Comma 7 3 4 3 2 3" xfId="48896" xr:uid="{253836AE-3095-44BE-9146-542EA9D2E324}"/>
    <cellStyle name="Comma 7 3 4 3 3" xfId="23757" xr:uid="{1B8B9A55-A7E6-405C-98FE-A9037DAC59C3}"/>
    <cellStyle name="Comma 7 3 4 3 4" xfId="40516" xr:uid="{0506237A-391C-4DF8-B8EE-7BF77A252520}"/>
    <cellStyle name="Comma 7 3 4 4" xfId="3620" xr:uid="{B539D572-5C19-4D28-AC8F-BFFCC7F6974E}"/>
    <cellStyle name="Comma 7 3 4 4 2" xfId="12000" xr:uid="{878127F4-C02B-439F-ABA9-0667B6946E59}"/>
    <cellStyle name="Comma 7 3 4 4 2 2" xfId="28760" xr:uid="{822C99C5-9E00-4D68-946C-30BCB3B778E9}"/>
    <cellStyle name="Comma 7 3 4 4 2 3" xfId="45519" xr:uid="{9D01BD77-7DF0-4347-BFD3-512DC11E333C}"/>
    <cellStyle name="Comma 7 3 4 4 3" xfId="20380" xr:uid="{FF17E5D4-497C-4B1A-BC3A-845F2234486F}"/>
    <cellStyle name="Comma 7 3 4 4 4" xfId="37139" xr:uid="{6991FB7D-D120-4F34-8C7E-6FF2FE61E49E}"/>
    <cellStyle name="Comma 7 3 4 5" xfId="10310" xr:uid="{8B3E01C5-AD84-438C-B799-763C9D895C0C}"/>
    <cellStyle name="Comma 7 3 4 5 2" xfId="27070" xr:uid="{9517783D-7AF7-4AC9-8E5A-16A8E23AAC62}"/>
    <cellStyle name="Comma 7 3 4 5 3" xfId="43829" xr:uid="{E0F14F41-3A08-4EBC-B738-A62AABB6AE2F}"/>
    <cellStyle name="Comma 7 3 4 6" xfId="18690" xr:uid="{4143B114-522F-4018-8B3A-6B73F5A64518}"/>
    <cellStyle name="Comma 7 3 4 7" xfId="35449" xr:uid="{7A979C68-9C15-428D-A8E9-6D01401AB77D}"/>
    <cellStyle name="Comma 7 3 5" xfId="4040" xr:uid="{31A641BA-6270-4308-B604-CB6FA06D002E}"/>
    <cellStyle name="Comma 7 3 5 2" xfId="12420" xr:uid="{D9ABA0C4-5ABC-415C-80A2-5EBE701E5670}"/>
    <cellStyle name="Comma 7 3 5 2 2" xfId="29180" xr:uid="{60139E1E-551D-4373-B584-DF3918AAFC83}"/>
    <cellStyle name="Comma 7 3 5 2 3" xfId="45939" xr:uid="{E854C5BB-342E-4BD9-BBCA-1D99241D2689}"/>
    <cellStyle name="Comma 7 3 5 3" xfId="20800" xr:uid="{0991DD4B-55C8-4AC8-A1A7-BD55697446E0}"/>
    <cellStyle name="Comma 7 3 5 4" xfId="37559" xr:uid="{F84055A2-09F5-4BD3-B2F5-BE9D5CFEEEA0}"/>
    <cellStyle name="Comma 7 3 6" xfId="5563" xr:uid="{41365454-4B32-4816-9DEA-BBB9F2EAEB6C}"/>
    <cellStyle name="Comma 7 3 6 2" xfId="13943" xr:uid="{4A7359D3-8165-41A6-8419-17112A8422E5}"/>
    <cellStyle name="Comma 7 3 6 2 2" xfId="30703" xr:uid="{8E7C9941-6669-4D75-9A0E-8759A86E9845}"/>
    <cellStyle name="Comma 7 3 6 2 3" xfId="47462" xr:uid="{4DC8E2CF-376B-4523-B140-6DFF35DA114E}"/>
    <cellStyle name="Comma 7 3 6 3" xfId="22323" xr:uid="{7C396C84-1B9E-4CA8-890E-244CFC98948B}"/>
    <cellStyle name="Comma 7 3 6 4" xfId="39082" xr:uid="{EFBD8037-FFA6-4B03-86C7-2E9EFD178010}"/>
    <cellStyle name="Comma 7 3 7" xfId="7403" xr:uid="{C89A90E5-FAC6-49CB-8E81-BE0FCFE88E3A}"/>
    <cellStyle name="Comma 7 3 7 2" xfId="15783" xr:uid="{78324FED-D5B0-46C2-9704-471FBE546CB8}"/>
    <cellStyle name="Comma 7 3 7 2 2" xfId="32543" xr:uid="{AEF4130B-CA09-41B3-8602-EDD89C12C8A3}"/>
    <cellStyle name="Comma 7 3 7 2 3" xfId="49302" xr:uid="{D4578961-38C2-4540-B236-0D439996E832}"/>
    <cellStyle name="Comma 7 3 7 3" xfId="24163" xr:uid="{EB886C3E-1D81-4326-AED5-BBF45983756C}"/>
    <cellStyle name="Comma 7 3 7 4" xfId="40922" xr:uid="{A5C509AF-89DC-4390-B5E3-04EB0CCCF576}"/>
    <cellStyle name="Comma 7 3 8" xfId="7809" xr:uid="{5EDA53F8-B0CA-4F7C-AFB2-C5DB91CBF96C}"/>
    <cellStyle name="Comma 7 3 8 2" xfId="16189" xr:uid="{73D5057E-9500-47EB-B86A-8B2D816701A3}"/>
    <cellStyle name="Comma 7 3 8 2 2" xfId="32949" xr:uid="{056C3CCD-28D0-45B7-8FFA-D4736FE4C267}"/>
    <cellStyle name="Comma 7 3 8 2 3" xfId="49708" xr:uid="{4C526721-5ED7-43E7-A684-CB6C5893FF0F}"/>
    <cellStyle name="Comma 7 3 8 3" xfId="24569" xr:uid="{0487C381-FA33-40CB-9EB7-296D1CA22A0F}"/>
    <cellStyle name="Comma 7 3 8 4" xfId="41328" xr:uid="{00B806F7-11EE-41B3-828F-E578B8A076F2}"/>
    <cellStyle name="Comma 7 3 9" xfId="8215" xr:uid="{405360FA-DF70-4484-84B0-3EE1B9018759}"/>
    <cellStyle name="Comma 7 3 9 2" xfId="16595" xr:uid="{21A01F7D-B306-48B8-96D4-4A33693DD684}"/>
    <cellStyle name="Comma 7 3 9 2 2" xfId="33355" xr:uid="{2BB7409E-3BF3-4D52-98C2-C3200CD1414B}"/>
    <cellStyle name="Comma 7 3 9 2 3" xfId="50114" xr:uid="{694094D8-0C62-46F6-BB68-E824C34B20CD}"/>
    <cellStyle name="Comma 7 3 9 3" xfId="24975" xr:uid="{2421C283-B294-41F0-BAF7-14EF75665ABA}"/>
    <cellStyle name="Comma 7 3 9 4" xfId="41734" xr:uid="{A72DBDBD-3BEE-4F5C-AB54-65AFBDC661CF}"/>
    <cellStyle name="Comma 7 4" xfId="905" xr:uid="{8C2E18C4-5A3F-446A-AA14-2008CE858137}"/>
    <cellStyle name="Comma 7 4 2" xfId="4300" xr:uid="{61F6DB36-1B2B-4C09-9122-EF70AF6D8A6D}"/>
    <cellStyle name="Comma 7 4 2 2" xfId="12680" xr:uid="{604ADBA7-60FD-4B80-B4E0-2D8FCE57BE7D}"/>
    <cellStyle name="Comma 7 4 2 2 2" xfId="29440" xr:uid="{52EB0AC5-AE2D-45C3-86D4-D1ABBA3CB217}"/>
    <cellStyle name="Comma 7 4 2 2 3" xfId="46199" xr:uid="{0528C7A6-E928-4E54-A211-4F91295111C1}"/>
    <cellStyle name="Comma 7 4 2 3" xfId="21060" xr:uid="{3E54AABB-8B0B-490D-AA4F-8AC55612E7D0}"/>
    <cellStyle name="Comma 7 4 2 4" xfId="37819" xr:uid="{065FA1B0-C32F-44D7-9C38-A9F5845AB702}"/>
    <cellStyle name="Comma 7 4 3" xfId="5987" xr:uid="{07D28D15-E148-4AF4-B5DB-60B255694879}"/>
    <cellStyle name="Comma 7 4 3 2" xfId="14367" xr:uid="{737D1297-474B-4BE8-8107-3E0584E21F10}"/>
    <cellStyle name="Comma 7 4 3 2 2" xfId="31127" xr:uid="{AC4B32B9-8972-413D-83A7-155BD5520627}"/>
    <cellStyle name="Comma 7 4 3 2 3" xfId="47886" xr:uid="{A92644E9-F3BB-40AB-80CB-BBDE7A0895A8}"/>
    <cellStyle name="Comma 7 4 3 3" xfId="22747" xr:uid="{31983826-E2E0-4D8B-B174-8102A1785A80}"/>
    <cellStyle name="Comma 7 4 3 4" xfId="39506" xr:uid="{87A831BD-9DA8-47A6-85E7-866B9384915C}"/>
    <cellStyle name="Comma 7 4 4" xfId="2723" xr:uid="{7791D12D-0B74-497C-9D19-0FA388C1A8DA}"/>
    <cellStyle name="Comma 7 4 4 2" xfId="11103" xr:uid="{6FE30116-1B57-4394-90E9-EA19DCB07DDD}"/>
    <cellStyle name="Comma 7 4 4 2 2" xfId="27863" xr:uid="{B4A49814-1DC3-4AAE-BC43-1FD6C863AB32}"/>
    <cellStyle name="Comma 7 4 4 2 3" xfId="44622" xr:uid="{741DF0DA-3E02-411A-B03D-72E73478479D}"/>
    <cellStyle name="Comma 7 4 4 3" xfId="19483" xr:uid="{52D63798-FCD0-4FB2-90C3-EA9564465AB6}"/>
    <cellStyle name="Comma 7 4 4 4" xfId="36242" xr:uid="{105D9A2C-49B8-4BA5-90C4-5C25F9693149}"/>
    <cellStyle name="Comma 7 4 5" xfId="9300" xr:uid="{A4EC9860-99B6-4472-8F20-F531A8AABED9}"/>
    <cellStyle name="Comma 7 4 5 2" xfId="26060" xr:uid="{E87FE90A-C541-4092-A3F0-DB6D7A134B77}"/>
    <cellStyle name="Comma 7 4 5 3" xfId="42819" xr:uid="{48EFCEE9-DD54-46A5-8D7A-C3761339B6CE}"/>
    <cellStyle name="Comma 7 4 6" xfId="17680" xr:uid="{DAE00EEE-8484-4E30-BA02-4714A41C1BEA}"/>
    <cellStyle name="Comma 7 4 7" xfId="34439" xr:uid="{F72A66BB-19A6-4183-8E81-05728573C985}"/>
    <cellStyle name="Comma 7 5" xfId="1339" xr:uid="{1DF295E9-66A7-4567-975C-7CFC880F94A0}"/>
    <cellStyle name="Comma 7 5 2" xfId="4728" xr:uid="{D030E50B-D2FB-47F2-9DCD-C43A36CDFE63}"/>
    <cellStyle name="Comma 7 5 2 2" xfId="13108" xr:uid="{49C3883C-0086-4A47-A34E-CA98DAD18C1C}"/>
    <cellStyle name="Comma 7 5 2 2 2" xfId="29868" xr:uid="{09AE3995-82DC-472A-A6C4-27F98B0C2C1F}"/>
    <cellStyle name="Comma 7 5 2 2 3" xfId="46627" xr:uid="{709F9BB6-23B7-4FF9-A9BA-C335172D694F}"/>
    <cellStyle name="Comma 7 5 2 3" xfId="21488" xr:uid="{8784FF8C-DD4C-48B0-9613-ABBEDF9C3DB6}"/>
    <cellStyle name="Comma 7 5 2 4" xfId="38247" xr:uid="{632B162D-463D-40EB-9C10-CFD148EE00A3}"/>
    <cellStyle name="Comma 7 5 3" xfId="6415" xr:uid="{3A21504E-E2B4-41F9-8FA5-A3B452250E1C}"/>
    <cellStyle name="Comma 7 5 3 2" xfId="14795" xr:uid="{832017EC-0D84-415D-91E0-3AE96AB1592D}"/>
    <cellStyle name="Comma 7 5 3 2 2" xfId="31555" xr:uid="{1F37A01B-42AA-4A20-9CF1-73E52E202FF7}"/>
    <cellStyle name="Comma 7 5 3 2 3" xfId="48314" xr:uid="{37AA1A7A-855A-4BED-AF3C-D6BEC4861811}"/>
    <cellStyle name="Comma 7 5 3 3" xfId="23175" xr:uid="{D81BF12E-396A-4BD6-B783-7ABCE41F0E22}"/>
    <cellStyle name="Comma 7 5 3 4" xfId="39934" xr:uid="{E80178AB-F295-4418-93AA-C84A53D58A83}"/>
    <cellStyle name="Comma 7 5 4" xfId="3151" xr:uid="{FEC61265-220B-45C3-98FC-AA78F538C879}"/>
    <cellStyle name="Comma 7 5 4 2" xfId="11531" xr:uid="{C6D6073E-406F-4F86-AB7F-F076876BCBB9}"/>
    <cellStyle name="Comma 7 5 4 2 2" xfId="28291" xr:uid="{2128220D-5E04-48D0-B376-AB6C28CE74E8}"/>
    <cellStyle name="Comma 7 5 4 2 3" xfId="45050" xr:uid="{B06F2531-3777-4605-8DA7-CA292C9310F0}"/>
    <cellStyle name="Comma 7 5 4 3" xfId="19911" xr:uid="{07C5B65D-002A-4797-A14F-834AEBE0A6D2}"/>
    <cellStyle name="Comma 7 5 4 4" xfId="36670" xr:uid="{1B746232-3807-49B1-A4A6-0A90436EB0B1}"/>
    <cellStyle name="Comma 7 5 5" xfId="9728" xr:uid="{DD8C385E-C095-4D56-A4E6-9AE7F7FCF265}"/>
    <cellStyle name="Comma 7 5 5 2" xfId="26488" xr:uid="{64151E1F-29AE-4136-A905-BD731465F09D}"/>
    <cellStyle name="Comma 7 5 5 3" xfId="43247" xr:uid="{9688C55B-5646-49CF-BA5E-BDB0BE085637}"/>
    <cellStyle name="Comma 7 5 6" xfId="18108" xr:uid="{EAD9E883-AFD0-493A-99AC-C196F954E1D2}"/>
    <cellStyle name="Comma 7 5 7" xfId="34867" xr:uid="{E4610BED-9456-4F41-AD17-F1BD830EF8A2}"/>
    <cellStyle name="Comma 7 6" xfId="1650" xr:uid="{2A5F2BD2-4879-4856-8C3A-620110B3FB84}"/>
    <cellStyle name="Comma 7 6 2" xfId="5039" xr:uid="{25E64A9F-53C3-4BAC-BC42-45EB66234FAF}"/>
    <cellStyle name="Comma 7 6 2 2" xfId="13419" xr:uid="{08016EB0-5C68-4971-ADF8-E08509682A5E}"/>
    <cellStyle name="Comma 7 6 2 2 2" xfId="30179" xr:uid="{6122F222-DAB0-4F27-8ED2-73803AF61D7D}"/>
    <cellStyle name="Comma 7 6 2 2 3" xfId="46938" xr:uid="{1D5A94AA-A5A2-4F14-A282-46AE8920107E}"/>
    <cellStyle name="Comma 7 6 2 3" xfId="21799" xr:uid="{390D3FA2-65FE-4A5C-967D-D0FB4DB9368D}"/>
    <cellStyle name="Comma 7 6 2 4" xfId="38558" xr:uid="{1598E0AC-A5F4-4C57-B7B4-215A1A9380D9}"/>
    <cellStyle name="Comma 7 6 3" xfId="6726" xr:uid="{5A25D79A-DFAA-4BF7-BDF6-471E5FB4AF5F}"/>
    <cellStyle name="Comma 7 6 3 2" xfId="15106" xr:uid="{ACDA831B-D409-422A-87F6-034B470F6320}"/>
    <cellStyle name="Comma 7 6 3 2 2" xfId="31866" xr:uid="{44A7C412-6DBE-4C2D-92A5-41CAC6901C76}"/>
    <cellStyle name="Comma 7 6 3 2 3" xfId="48625" xr:uid="{D9BA1CDA-45A6-4D99-8673-F47AF42D6FF9}"/>
    <cellStyle name="Comma 7 6 3 3" xfId="23486" xr:uid="{F94368DA-E179-4ADB-9978-E4375A4EA8C1}"/>
    <cellStyle name="Comma 7 6 3 4" xfId="40245" xr:uid="{E64A7077-6ACC-44D1-8049-D325ABB33D7C}"/>
    <cellStyle name="Comma 7 6 4" xfId="2294" xr:uid="{D615BE77-27CC-484A-ACBE-208CB076EC77}"/>
    <cellStyle name="Comma 7 6 4 2" xfId="10677" xr:uid="{70FCF6E4-FDC4-4371-B36C-F1A989ABAA5A}"/>
    <cellStyle name="Comma 7 6 4 2 2" xfId="27437" xr:uid="{3CCD9CE2-44E2-4D42-8771-B6755EABB071}"/>
    <cellStyle name="Comma 7 6 4 2 3" xfId="44196" xr:uid="{9C5A9618-21C1-4339-AF1E-DC27596592B0}"/>
    <cellStyle name="Comma 7 6 4 3" xfId="19057" xr:uid="{97A794D0-9DBD-48E5-9B2F-E2E570AA8C8C}"/>
    <cellStyle name="Comma 7 6 4 4" xfId="35816" xr:uid="{80FDF6E6-547E-4DBA-BCD5-D2EDB0ACAAC6}"/>
    <cellStyle name="Comma 7 6 5" xfId="10039" xr:uid="{0C7C8B91-CD7E-42FE-90CE-83DBBE821B5C}"/>
    <cellStyle name="Comma 7 6 5 2" xfId="26799" xr:uid="{B651A616-9962-4B26-843F-C5977861ED41}"/>
    <cellStyle name="Comma 7 6 5 3" xfId="43558" xr:uid="{49D24896-F60E-45BB-BEF1-1E3E898D14C3}"/>
    <cellStyle name="Comma 7 6 6" xfId="18419" xr:uid="{021D3C31-86C0-44F1-96D9-E89BF72E4921}"/>
    <cellStyle name="Comma 7 6 7" xfId="35178" xr:uid="{28C987A7-9786-43FE-8DED-06F562BC3136}"/>
    <cellStyle name="Comma 7 7" xfId="3768" xr:uid="{4369736B-144E-4BA9-82A8-BE143605461E}"/>
    <cellStyle name="Comma 7 7 2" xfId="12148" xr:uid="{9FB5C83D-E031-43CF-B2FD-6DACCA607A05}"/>
    <cellStyle name="Comma 7 7 2 2" xfId="28908" xr:uid="{EEA94A91-3EC2-4388-8CC9-81901EB7CC8E}"/>
    <cellStyle name="Comma 7 7 2 3" xfId="45667" xr:uid="{738EE0B2-E946-4CDE-BB3B-2122AB5B9F8C}"/>
    <cellStyle name="Comma 7 7 3" xfId="20528" xr:uid="{DD75543F-EF7E-4F13-BA9B-2E368EA33FD7}"/>
    <cellStyle name="Comma 7 7 4" xfId="37287" xr:uid="{1C90A166-A81F-4430-9106-18213AA935DF}"/>
    <cellStyle name="Comma 7 8" xfId="5561" xr:uid="{1E2C4DFA-6C0F-49A8-B555-4EA7BB7969E6}"/>
    <cellStyle name="Comma 7 8 2" xfId="13941" xr:uid="{19576D15-8464-4168-B868-EA4E492608F1}"/>
    <cellStyle name="Comma 7 8 2 2" xfId="30701" xr:uid="{4A361C41-EC51-4863-B43E-DD601FB069B9}"/>
    <cellStyle name="Comma 7 8 2 3" xfId="47460" xr:uid="{397BC08A-C682-4A8A-935C-6F6DC7BADB36}"/>
    <cellStyle name="Comma 7 8 3" xfId="22321" xr:uid="{A050D2B6-7D8E-46AF-8F4E-4A2A5D14EC0D}"/>
    <cellStyle name="Comma 7 8 4" xfId="39080" xr:uid="{A7A174DD-9ACB-4755-94BA-BAD7154EACAA}"/>
    <cellStyle name="Comma 7 9" xfId="7132" xr:uid="{C88BC5D5-0026-4A51-BA3F-DD7846793A6E}"/>
    <cellStyle name="Comma 7 9 2" xfId="15512" xr:uid="{64C18B91-1676-44FC-A5B0-0DDA74AA1BAB}"/>
    <cellStyle name="Comma 7 9 2 2" xfId="32272" xr:uid="{DD597EE7-B0F8-4955-9345-8D572149A971}"/>
    <cellStyle name="Comma 7 9 2 3" xfId="49031" xr:uid="{347C0D0D-F3E0-44C6-9442-7EC3AA111A93}"/>
    <cellStyle name="Comma 7 9 3" xfId="23892" xr:uid="{3806B22B-0970-4E7F-B595-CE596BBB558E}"/>
    <cellStyle name="Comma 7 9 4" xfId="40651" xr:uid="{9105A0C2-C035-4787-B587-B36FE2B030C0}"/>
    <cellStyle name="Comma 8" xfId="118" xr:uid="{0CDDF240-0335-433C-B333-0DA41E4530A1}"/>
    <cellStyle name="Comma 8 2" xfId="50724" xr:uid="{D150F47F-3697-484E-9ED1-4A8DDDAF8918}"/>
    <cellStyle name="Comma 9" xfId="213" xr:uid="{5A578ED9-72A9-43A2-A353-46FC41F7C430}"/>
    <cellStyle name="Comma0" xfId="443" xr:uid="{FC5D62FD-689B-4499-A565-73A659B8BB22}"/>
    <cellStyle name="Currency" xfId="52224" builtinId="4"/>
    <cellStyle name="Currency 10" xfId="8" xr:uid="{8E723E04-7887-4080-9814-F87BE926B577}"/>
    <cellStyle name="Currency 2" xfId="5" xr:uid="{6AB1728D-52D7-42A0-9458-1E701C3CCB17}"/>
    <cellStyle name="Currency 2 2" xfId="52" xr:uid="{7865D052-FA61-4FBE-8C0E-99A5A8FA4F0B}"/>
    <cellStyle name="Currency 2 2 2" xfId="50699" xr:uid="{5ACC3ACD-858C-413F-A0D1-CE9E8B4E8164}"/>
    <cellStyle name="Currency 2 2 2 2" xfId="51187" xr:uid="{47A4BC52-A5E2-4623-9846-459EA9830715}"/>
    <cellStyle name="Currency 2 2 2 2 2" xfId="51661" xr:uid="{5A897442-C0B4-4B4E-A90E-0B55C17D57C1}"/>
    <cellStyle name="Currency 2 2 2 2 3" xfId="52137" xr:uid="{B3A14C72-BE7C-458F-8B84-1BB7BC8F2218}"/>
    <cellStyle name="Currency 2 2 2 3" xfId="50923" xr:uid="{A43815EA-9B49-4BE5-B570-FF31C9A2849B}"/>
    <cellStyle name="Currency 2 2 2 4" xfId="51426" xr:uid="{C2F12872-A13E-47EA-9BC8-D12212184776}"/>
    <cellStyle name="Currency 2 2 2 5" xfId="51940" xr:uid="{93072734-5481-4024-A076-6045756A8443}"/>
    <cellStyle name="Currency 2 2 3" xfId="50744" xr:uid="{5200D39F-B348-4A77-A584-A96BD1828A2C}"/>
    <cellStyle name="Currency 2 2 3 2" xfId="51837" xr:uid="{48C1D799-D3F6-4124-9A78-AE83F3C7D402}"/>
    <cellStyle name="Currency 2 2 4" xfId="51762" xr:uid="{414A6807-D222-4AE1-A728-17C79B95D1F6}"/>
    <cellStyle name="Currency 2 2 5" xfId="444" xr:uid="{FE7A116A-4CEE-4E43-84EE-E804453F7973}"/>
    <cellStyle name="Currency 2 2 6" xfId="85" xr:uid="{5B43FF2D-989B-4827-9E75-17B48708B4C5}"/>
    <cellStyle name="Currency 2 3" xfId="445" xr:uid="{FB23E40B-9256-4A1D-8BAC-EFDAAFFE509C}"/>
    <cellStyle name="Currency 2 3 2" xfId="51183" xr:uid="{51ACFE9C-F271-4CE7-8C44-69386F633F61}"/>
    <cellStyle name="Currency 2 3 2 2" xfId="51657" xr:uid="{F4DE1974-0147-4DB8-88D9-C16F47B97B34}"/>
    <cellStyle name="Currency 2 3 2 3" xfId="52134" xr:uid="{7CDE6F56-5DE1-49AD-9A07-B1A0098E358A}"/>
    <cellStyle name="Currency 2 3 3" xfId="50919" xr:uid="{92D2D621-3E0D-4617-A0C7-7D48A239CB22}"/>
    <cellStyle name="Currency 2 3 4" xfId="51422" xr:uid="{9517D02A-8F44-4E06-B26B-BF2501935B49}"/>
    <cellStyle name="Currency 2 3 5" xfId="51936" xr:uid="{2855DFAC-8B41-458D-B322-43BB16FB5870}"/>
    <cellStyle name="Currency 2 4" xfId="8730" xr:uid="{CAEAF00D-5FE0-4834-939E-5905D0548D2A}"/>
    <cellStyle name="Currency 2 4 2" xfId="17110" xr:uid="{62AF4485-79AB-47C1-9B84-3BA8A95F1E8A}"/>
    <cellStyle name="Currency 2 4 2 2" xfId="33870" xr:uid="{7DB8839B-86C2-42D8-A631-E19C016F1EA9}"/>
    <cellStyle name="Currency 2 4 2 3" xfId="50629" xr:uid="{102318C7-B0B5-4B33-92EE-953D4DDC42BE}"/>
    <cellStyle name="Currency 2 4 3" xfId="25490" xr:uid="{9157B6D9-2CF9-4FF3-8A92-5FD2EE34B849}"/>
    <cellStyle name="Currency 2 4 4" xfId="42249" xr:uid="{734134E7-0D6F-43FC-BE5F-C33A80FE139C}"/>
    <cellStyle name="Currency 2 4 5" xfId="51067" xr:uid="{E9C43B8A-3251-4E48-9543-12E3ECC92285}"/>
    <cellStyle name="Currency 2 4 6" xfId="51541" xr:uid="{6B492316-6CCE-418C-87DA-FD3EC0A5D8EC}"/>
    <cellStyle name="Currency 2 4 7" xfId="51829" xr:uid="{3D1C62BD-1CF4-412E-AF7B-F4AEF5C293C7}"/>
    <cellStyle name="Currency 2 5" xfId="50698" xr:uid="{7E54AF9E-180F-4C17-B132-EBA9B711374C}"/>
    <cellStyle name="Currency 2 6" xfId="50743" xr:uid="{BAE0ECA6-31BA-4A65-85BB-B143A1D6B8CF}"/>
    <cellStyle name="Currency 2 7" xfId="50811" xr:uid="{7E2CAE67-606D-4628-BBBE-13C4BB32C5F8}"/>
    <cellStyle name="Currency 2 8" xfId="51306" xr:uid="{D468D721-51ED-402D-AF19-21E144960666}"/>
    <cellStyle name="Currency 2 9" xfId="51761" xr:uid="{81BEF728-9385-4762-9C9D-7447E5376D4B}"/>
    <cellStyle name="Currency 3" xfId="84" xr:uid="{4E807211-55CD-40B0-BE77-2E9D746DF1BB}"/>
    <cellStyle name="Currency 3 2" xfId="119" xr:uid="{244309E1-CCCB-443F-BEB0-41B8F033017A}"/>
    <cellStyle name="Currency 3 2 2" xfId="447" xr:uid="{A0FCD504-6907-4082-937A-376C2BE5F53A}"/>
    <cellStyle name="Currency 3 3" xfId="2297" xr:uid="{14DD053A-2A08-4F27-8E0F-FAE74C72B94A}"/>
    <cellStyle name="Currency 3 4" xfId="446" xr:uid="{235D615C-E069-47E3-A3AA-AF9D47E3FF49}"/>
    <cellStyle name="Currency 4" xfId="448" xr:uid="{E3BA75AC-FB20-495A-B840-8BAC595D90B3}"/>
    <cellStyle name="Currency 4 2" xfId="449" xr:uid="{68BA55E0-4311-4492-A127-92BABAEDB069}"/>
    <cellStyle name="Currency 5" xfId="450" xr:uid="{75D4E19C-58BD-477F-8F10-C47EF66F83BB}"/>
    <cellStyle name="Currency0" xfId="451" xr:uid="{DC1F910C-4BED-41A1-A905-9E5135F1F0B4}"/>
    <cellStyle name="Date" xfId="452" xr:uid="{C32C07A8-84E5-49CC-A1D5-170C28945280}"/>
    <cellStyle name="DESCRIPTION" xfId="120" xr:uid="{B97A9C7E-B205-4136-A7BF-4A6211D5C18B}"/>
    <cellStyle name="DisplayPercent" xfId="121" xr:uid="{62FB8FF5-A93D-4C18-9A86-46FB85D54D07}"/>
    <cellStyle name="Dollar" xfId="122" xr:uid="{EB906C7F-705F-455E-BEF4-3F3A9631612C}"/>
    <cellStyle name="Dollar0Decimals" xfId="123" xr:uid="{AD64A503-6B31-4CA6-9F2F-4D890F70E7DB}"/>
    <cellStyle name="Dollar2Decimals" xfId="124" xr:uid="{26C91C7C-762A-44FC-A13E-4542484949CA}"/>
    <cellStyle name="DriversNumber" xfId="125" xr:uid="{A6D79996-32F0-4BBD-9518-DAEDED694471}"/>
    <cellStyle name="DriversPercent" xfId="126" xr:uid="{FEE42C15-1FF2-4ED5-BA07-05699B9458EB}"/>
    <cellStyle name="Explanatory Text" xfId="25" builtinId="53" customBuiltin="1"/>
    <cellStyle name="Explanatory Text 2" xfId="453" xr:uid="{3DBA51FD-68EE-470A-8CB0-64E38B8A613C}"/>
    <cellStyle name="F2" xfId="454" xr:uid="{44AED788-A158-433C-BBA6-CEC69974DBCF}"/>
    <cellStyle name="F3" xfId="455" xr:uid="{85B52D78-8E77-4AE7-A96F-5E6961AD1FC4}"/>
    <cellStyle name="F8" xfId="456" xr:uid="{314FAD41-EA6B-4B52-B67B-93B8DAA773E4}"/>
    <cellStyle name="Fixed" xfId="457" xr:uid="{27D3DCC0-D93F-45E4-986B-D43CD65449D0}"/>
    <cellStyle name="Good" xfId="15" builtinId="26" customBuiltin="1"/>
    <cellStyle name="Good 2" xfId="458" xr:uid="{FD02FF0F-3B84-41B3-9F3F-07782737F352}"/>
    <cellStyle name="Grey" xfId="127" xr:uid="{E6DFD099-97AD-4CC6-AA18-E984CEF95ADE}"/>
    <cellStyle name="Header" xfId="128" xr:uid="{8BB45B8D-2717-484F-9398-8FFDD1AA0B38}"/>
    <cellStyle name="Header Total" xfId="129" xr:uid="{8E1BF3B2-2E2C-4F3B-A32C-2D8A4B480BF0}"/>
    <cellStyle name="Header_newmodel" xfId="130" xr:uid="{991D9C7F-801C-47A5-9855-BB3B2CC5A07D}"/>
    <cellStyle name="Header1" xfId="131" xr:uid="{C7AB97FC-1D48-4481-BE25-D841B6C4683D}"/>
    <cellStyle name="Header2" xfId="132" xr:uid="{B9C669DD-D31F-4670-AD64-699A4B8BDAD7}"/>
    <cellStyle name="Header3" xfId="133" xr:uid="{64A0F104-8C86-4A42-AFB0-88D10BC2A5B3}"/>
    <cellStyle name="Header4" xfId="134" xr:uid="{B283653C-F989-4BFC-83A3-6215E94B0944}"/>
    <cellStyle name="HeaderStyle" xfId="135" xr:uid="{02328A2B-3E7F-435C-A4C4-0D1A73F8421D}"/>
    <cellStyle name="HeaderValueStyle" xfId="136" xr:uid="{0EF165D5-BFFD-4DC5-80F4-8E4EAEF59828}"/>
    <cellStyle name="Heading 1" xfId="11" builtinId="16" customBuiltin="1"/>
    <cellStyle name="Heading 1 2" xfId="459" xr:uid="{05168D64-3535-4759-AB46-C0012D5966FF}"/>
    <cellStyle name="Heading 1 2 2" xfId="50654" xr:uid="{92ACDE66-FF2B-4DFF-A7FF-A21E63C1CF96}"/>
    <cellStyle name="Heading 1 2 2 2" xfId="51832" xr:uid="{13615FA3-BDAC-42D9-85BC-1577913E8203}"/>
    <cellStyle name="Heading 1 2 3" xfId="50815" xr:uid="{6DD5418C-FD39-4884-8547-186FCB759838}"/>
    <cellStyle name="Heading 2" xfId="12" builtinId="17" customBuiltin="1"/>
    <cellStyle name="Heading 2 2" xfId="460" xr:uid="{33FF818F-0919-448A-8E4B-560C14A51609}"/>
    <cellStyle name="Heading 2 2 2" xfId="50655" xr:uid="{890ABAC8-08A8-4CB3-8141-96B47CD4EE70}"/>
    <cellStyle name="Heading 2 3" xfId="50656" xr:uid="{9D6D5C93-8764-4825-986F-62BCA8D0F5BC}"/>
    <cellStyle name="Heading 2 4" xfId="50657" xr:uid="{022AE9BE-7ABE-478A-964A-289CEDDAC76E}"/>
    <cellStyle name="Heading 2 4 2" xfId="50816" xr:uid="{01255A41-E802-4240-ABEC-BDCFED30A212}"/>
    <cellStyle name="Heading 3" xfId="13" builtinId="18" customBuiltin="1"/>
    <cellStyle name="Heading 3 2" xfId="461" xr:uid="{4EA5F3A1-568F-4679-ADEE-4DF49A5FC6CA}"/>
    <cellStyle name="Heading 4" xfId="14" builtinId="19" customBuiltin="1"/>
    <cellStyle name="Heading 4 2" xfId="462" xr:uid="{976084C7-2C81-44AA-A6FD-0E2C546072CA}"/>
    <cellStyle name="Hyperlink 2" xfId="65" xr:uid="{9A9CDD5A-9540-435E-ADB2-494798C05F2D}"/>
    <cellStyle name="Hyperlink 2 2" xfId="51031" xr:uid="{378068E7-9246-4811-9979-01BF120628D5}"/>
    <cellStyle name="Input" xfId="18" builtinId="20" customBuiltin="1"/>
    <cellStyle name="Input [yellow]" xfId="137" xr:uid="{0CF63E72-B5D4-4B2F-9D3E-B6A89EDBDA18}"/>
    <cellStyle name="Input 2" xfId="463" xr:uid="{843F9AD9-043A-40B2-ABDF-54731667C01A}"/>
    <cellStyle name="Input 3" xfId="52231" xr:uid="{DA8F0C75-1C44-4AC9-9683-B60C54AC3B63}"/>
    <cellStyle name="Input 4" xfId="52230" xr:uid="{9DD13B2A-D998-4A1C-85FB-DB2493F76E90}"/>
    <cellStyle name="Input Box" xfId="138" xr:uid="{8533AA03-A07C-40A5-A204-DBB9006CF65B}"/>
    <cellStyle name="Inputs" xfId="139" xr:uid="{FBC31DA5-9E7F-40BA-BBD3-8278EC7EB32A}"/>
    <cellStyle name="ISBSPercentSS" xfId="140" xr:uid="{CEC57519-9863-4466-9809-7EC0710734A0}"/>
    <cellStyle name="ISBSPercentSSBoldwBorders" xfId="141" xr:uid="{6F91083B-9ED9-417F-A34B-D01BEF681DF2}"/>
    <cellStyle name="Linked Cell" xfId="21" builtinId="24" customBuiltin="1"/>
    <cellStyle name="Linked Cell 2" xfId="464" xr:uid="{54CB7D0E-802B-4FFE-8B5B-79378031ED31}"/>
    <cellStyle name="Multiple" xfId="142" xr:uid="{6FAADE64-7008-406A-9182-0A38FC67D4E6}"/>
    <cellStyle name="Name" xfId="143" xr:uid="{45102A86-37B3-414A-8085-C81C55FD7709}"/>
    <cellStyle name="Neutral" xfId="17" builtinId="28" customBuiltin="1"/>
    <cellStyle name="Neutral 2" xfId="465" xr:uid="{87CD3BC2-BA4F-47A8-AE49-18527F3FC245}"/>
    <cellStyle name="Neutral 3" xfId="50768" xr:uid="{A5C58602-849A-4B84-985B-19CAAF8EF3FF}"/>
    <cellStyle name="NewAcct" xfId="144" xr:uid="{58AC09B4-2538-4284-B30E-1346D9490166}"/>
    <cellStyle name="NonPrint_Heading" xfId="145" xr:uid="{2B2DF6D6-67E7-45B3-BFE6-894D7590555B}"/>
    <cellStyle name="Normal" xfId="0" builtinId="0"/>
    <cellStyle name="Normal - Style1" xfId="146" xr:uid="{DA7D2D4D-8A38-4A16-BC62-18B352ABDBF3}"/>
    <cellStyle name="Normal 10" xfId="147" xr:uid="{F6FD59F7-1FD4-4EFF-9F8D-D1F1229E4B81}"/>
    <cellStyle name="Normal 10 10" xfId="766" xr:uid="{94E5F994-D747-4337-BB08-81343D64C6ED}"/>
    <cellStyle name="Normal 10 10 2" xfId="4161" xr:uid="{2598B6FC-E632-4592-B88F-476F08235D5B}"/>
    <cellStyle name="Normal 10 10 2 2" xfId="12541" xr:uid="{907BECB2-FFD6-4D5F-90FB-DB4C1648B8A3}"/>
    <cellStyle name="Normal 10 10 2 2 2" xfId="29301" xr:uid="{5CEB9C89-859B-47F1-A3FA-5EE3E9B3D40F}"/>
    <cellStyle name="Normal 10 10 2 2 3" xfId="46060" xr:uid="{3E4625BF-6C51-4229-8BA4-2C46D1DD9C60}"/>
    <cellStyle name="Normal 10 10 2 3" xfId="20921" xr:uid="{7D319E6E-2C4A-4345-8063-BA62323625CA}"/>
    <cellStyle name="Normal 10 10 2 4" xfId="37680" xr:uid="{122B59B5-D314-4539-8DD0-D1F06D23B4EB}"/>
    <cellStyle name="Normal 10 10 3" xfId="5848" xr:uid="{BC1FA78D-2E84-4521-8CE8-5BC7CC5F665D}"/>
    <cellStyle name="Normal 10 10 3 2" xfId="14228" xr:uid="{30685B9B-0A92-4855-ADA5-3D8FB848A0AC}"/>
    <cellStyle name="Normal 10 10 3 2 2" xfId="30988" xr:uid="{C4EC1BD7-B944-47AA-A9F6-B10390779673}"/>
    <cellStyle name="Normal 10 10 3 2 3" xfId="47747" xr:uid="{52AEEDDC-998E-4A0E-BC9A-327680E926B4}"/>
    <cellStyle name="Normal 10 10 3 3" xfId="22608" xr:uid="{7EFD1DD1-14B3-493D-80BB-3DBDBAE080BA}"/>
    <cellStyle name="Normal 10 10 3 4" xfId="39367" xr:uid="{5267B2E1-FF18-4E3C-BA37-3F86F8D909E3}"/>
    <cellStyle name="Normal 10 10 4" xfId="2584" xr:uid="{64D67224-DB48-4AC9-8C5C-1A6F934EEABD}"/>
    <cellStyle name="Normal 10 10 4 2" xfId="10964" xr:uid="{910C9B36-DBF3-4378-AD94-CB2C5760E2DF}"/>
    <cellStyle name="Normal 10 10 4 2 2" xfId="27724" xr:uid="{084CCF24-7A67-4F78-A6FF-96C4A1C7C4C9}"/>
    <cellStyle name="Normal 10 10 4 2 3" xfId="44483" xr:uid="{09F14E4C-1A31-4D21-8EE5-7E38CC812CB5}"/>
    <cellStyle name="Normal 10 10 4 3" xfId="19344" xr:uid="{62D897C8-49E0-41DC-B751-2FC1543D4E0C}"/>
    <cellStyle name="Normal 10 10 4 4" xfId="36103" xr:uid="{24FA085B-D1AD-4226-9C74-BCFC1CDFA7F0}"/>
    <cellStyle name="Normal 10 10 5" xfId="9161" xr:uid="{B8A8B8B1-E1D3-4C0A-9270-13A20DB1DBE0}"/>
    <cellStyle name="Normal 10 10 5 2" xfId="25921" xr:uid="{B0803710-3C7A-4C9E-BD3D-9D1F11492310}"/>
    <cellStyle name="Normal 10 10 5 3" xfId="42680" xr:uid="{674BC496-C421-4701-B74B-B7D85DDF02E8}"/>
    <cellStyle name="Normal 10 10 6" xfId="17541" xr:uid="{E380EBE4-9798-4EEC-B38B-ECA87B6A26AC}"/>
    <cellStyle name="Normal 10 10 7" xfId="34300" xr:uid="{647D9E16-EB7D-4E35-894F-E0E972DE9D7D}"/>
    <cellStyle name="Normal 10 11" xfId="1200" xr:uid="{23C2C50C-AFC6-4CFB-A2B9-07DD03B9CBC7}"/>
    <cellStyle name="Normal 10 11 2" xfId="4589" xr:uid="{C72434AB-035A-4B23-AE07-AF87AF06EB0C}"/>
    <cellStyle name="Normal 10 11 2 2" xfId="12969" xr:uid="{90F65E08-31BB-462E-9AB2-37DC5F354B3E}"/>
    <cellStyle name="Normal 10 11 2 2 2" xfId="29729" xr:uid="{D34929CD-4EC9-4CAD-841E-20FA3F6BD915}"/>
    <cellStyle name="Normal 10 11 2 2 3" xfId="46488" xr:uid="{D96C84C2-B610-44E4-9D3B-B8A79C4FEE7E}"/>
    <cellStyle name="Normal 10 11 2 3" xfId="21349" xr:uid="{176C2767-370F-4EDF-A7B2-671CE4FEF406}"/>
    <cellStyle name="Normal 10 11 2 4" xfId="38108" xr:uid="{E7605595-ABCE-405B-9DA7-D3020BADDDF5}"/>
    <cellStyle name="Normal 10 11 3" xfId="6276" xr:uid="{7F9EC20A-A553-4688-9CB3-CE5D86D335A5}"/>
    <cellStyle name="Normal 10 11 3 2" xfId="14656" xr:uid="{6C8A75F3-FD16-4051-B4BA-FBC99776169D}"/>
    <cellStyle name="Normal 10 11 3 2 2" xfId="31416" xr:uid="{487CE626-1A40-4EC5-87B8-44E3F0147605}"/>
    <cellStyle name="Normal 10 11 3 2 3" xfId="48175" xr:uid="{9344AFA7-1701-465D-873F-3880D331F7EC}"/>
    <cellStyle name="Normal 10 11 3 3" xfId="23036" xr:uid="{10ECC375-8DBF-4E7F-A612-7E4617F77EBC}"/>
    <cellStyle name="Normal 10 11 3 4" xfId="39795" xr:uid="{A2E973CF-8BA4-421A-9260-3677CA8AC572}"/>
    <cellStyle name="Normal 10 11 4" xfId="3012" xr:uid="{199438B3-1576-4765-A640-D808EAE45D68}"/>
    <cellStyle name="Normal 10 11 4 2" xfId="11392" xr:uid="{8E2D09B7-4523-42E5-AE8E-D33A38A5BC7F}"/>
    <cellStyle name="Normal 10 11 4 2 2" xfId="28152" xr:uid="{5675A411-457D-4747-8176-E65FDF0BD922}"/>
    <cellStyle name="Normal 10 11 4 2 3" xfId="44911" xr:uid="{456FFB1A-245B-4B75-84FA-95D60724F942}"/>
    <cellStyle name="Normal 10 11 4 3" xfId="19772" xr:uid="{0E86637B-0A2B-4051-8E79-6501969B12C4}"/>
    <cellStyle name="Normal 10 11 4 4" xfId="36531" xr:uid="{75ABA2C2-7C45-47C1-930D-6EC45ABFA432}"/>
    <cellStyle name="Normal 10 11 5" xfId="9589" xr:uid="{C5A86F86-9BA2-4C76-8287-391AE5DDCA93}"/>
    <cellStyle name="Normal 10 11 5 2" xfId="26349" xr:uid="{624FDEB7-18F5-48D4-A67E-7D1DE88B2882}"/>
    <cellStyle name="Normal 10 11 5 3" xfId="43108" xr:uid="{27A31845-03B5-44E9-88D4-A86835A6B4F3}"/>
    <cellStyle name="Normal 10 11 6" xfId="17969" xr:uid="{3A5F680C-0E44-4D97-A36F-59A32FA37CE2}"/>
    <cellStyle name="Normal 10 11 7" xfId="34728" xr:uid="{9EA4B891-43F3-432B-90E1-229E1BDE6260}"/>
    <cellStyle name="Normal 10 12" xfId="1628" xr:uid="{47C45272-EA6E-4F46-8DC9-73CF88A3DFAF}"/>
    <cellStyle name="Normal 10 12 2" xfId="5017" xr:uid="{DDBFCF06-8D0A-450A-93A6-21DE335D58BA}"/>
    <cellStyle name="Normal 10 12 2 2" xfId="13397" xr:uid="{1C6FE801-7AE4-424B-8A0B-835F76525ED9}"/>
    <cellStyle name="Normal 10 12 2 2 2" xfId="30157" xr:uid="{0C46A0D8-268C-41FC-9704-6CA66CB9D28A}"/>
    <cellStyle name="Normal 10 12 2 2 3" xfId="46916" xr:uid="{BD309A12-5F5B-4201-846D-2DC8D9A038E7}"/>
    <cellStyle name="Normal 10 12 2 3" xfId="21777" xr:uid="{30CE9352-C490-4967-BE62-662EFA252F14}"/>
    <cellStyle name="Normal 10 12 2 4" xfId="38536" xr:uid="{B7E3B370-4FDC-420B-963C-F2047429248B}"/>
    <cellStyle name="Normal 10 12 3" xfId="6704" xr:uid="{224570C4-0900-48F9-BB74-4145F89BF48F}"/>
    <cellStyle name="Normal 10 12 3 2" xfId="15084" xr:uid="{9D922B7C-916D-42DD-BCBB-2CA3C6CB8092}"/>
    <cellStyle name="Normal 10 12 3 2 2" xfId="31844" xr:uid="{E51C04EC-2E25-43E4-B762-FD90587E342E}"/>
    <cellStyle name="Normal 10 12 3 2 3" xfId="48603" xr:uid="{5DE2788D-4B42-414D-8411-33BA1ABEC849}"/>
    <cellStyle name="Normal 10 12 3 3" xfId="23464" xr:uid="{E3C51593-FE5E-46F6-95E2-4A2045A1F825}"/>
    <cellStyle name="Normal 10 12 3 4" xfId="40223" xr:uid="{AAD56F1C-7BA8-4AB7-BCD7-25292EA8869E}"/>
    <cellStyle name="Normal 10 12 4" xfId="2150" xr:uid="{5C489017-3543-4FF2-A7A6-874C07A186AB}"/>
    <cellStyle name="Normal 10 12 4 2" xfId="10538" xr:uid="{B2BDAD19-188B-46C4-B05D-FF2F4AF7E115}"/>
    <cellStyle name="Normal 10 12 4 2 2" xfId="27298" xr:uid="{A0A547DE-FA27-4AC0-AAD3-E8BDF042FAF9}"/>
    <cellStyle name="Normal 10 12 4 2 3" xfId="44057" xr:uid="{527800B4-5FFC-4D02-949F-041A2CB9D3B0}"/>
    <cellStyle name="Normal 10 12 4 3" xfId="18918" xr:uid="{5A296607-C00D-417A-A03E-EF60338314B4}"/>
    <cellStyle name="Normal 10 12 4 4" xfId="35677" xr:uid="{C35DE0BC-5732-4568-8EE9-2659701A8964}"/>
    <cellStyle name="Normal 10 12 5" xfId="10017" xr:uid="{A67F242A-6565-405D-ACFE-C27342229BE8}"/>
    <cellStyle name="Normal 10 12 5 2" xfId="26777" xr:uid="{DC085D32-B0B8-4E3E-831B-E329E94D7887}"/>
    <cellStyle name="Normal 10 12 5 3" xfId="43536" xr:uid="{604F1574-6C17-4848-9829-507FCD1BC4DC}"/>
    <cellStyle name="Normal 10 12 6" xfId="18397" xr:uid="{B251D29A-CAFF-4FCB-93BD-BF9F73E5C5C5}"/>
    <cellStyle name="Normal 10 12 7" xfId="35156" xr:uid="{E61475D1-48DC-4A28-8E22-EE79D2D5836B}"/>
    <cellStyle name="Normal 10 13" xfId="3733" xr:uid="{7B820EB3-AE15-4AF3-832A-EF9B59638235}"/>
    <cellStyle name="Normal 10 13 2" xfId="12113" xr:uid="{80A1B6B6-B2D3-47A8-A702-C51D952C2CB6}"/>
    <cellStyle name="Normal 10 13 2 2" xfId="28873" xr:uid="{794BFE3C-DF76-4724-AE32-C3AE8969220E}"/>
    <cellStyle name="Normal 10 13 2 3" xfId="45632" xr:uid="{4A8F93B9-D418-499B-8081-9FC4AD6AA2C0}"/>
    <cellStyle name="Normal 10 13 3" xfId="20493" xr:uid="{4B43D0B6-999E-4270-A953-09F2A5249D66}"/>
    <cellStyle name="Normal 10 13 4" xfId="37252" xr:uid="{FD991DA2-311E-4D43-9DC3-5D34133E8D6B}"/>
    <cellStyle name="Normal 10 14" xfId="5422" xr:uid="{FFD934E1-3BEF-4E22-AF9B-50EF22E5D14F}"/>
    <cellStyle name="Normal 10 14 2" xfId="13802" xr:uid="{25D0543A-68A9-4E3F-BC62-CE3185FA15F7}"/>
    <cellStyle name="Normal 10 14 2 2" xfId="30562" xr:uid="{9431C738-89C9-4C31-AC3A-658BA27EEDE2}"/>
    <cellStyle name="Normal 10 14 2 3" xfId="47321" xr:uid="{3AB6773B-FC28-45C9-9650-67D021987F92}"/>
    <cellStyle name="Normal 10 14 3" xfId="22182" xr:uid="{35420F48-C33F-4929-B6DA-B3214FA85775}"/>
    <cellStyle name="Normal 10 14 4" xfId="38941" xr:uid="{B3159A8A-898E-4886-9FAC-F2B8D652F3D7}"/>
    <cellStyle name="Normal 10 15" xfId="7110" xr:uid="{5841E276-0536-4A35-8FE4-A42CE418EF54}"/>
    <cellStyle name="Normal 10 15 2" xfId="15490" xr:uid="{408B5413-3DF3-44A1-94F2-FB20AF2EAD8C}"/>
    <cellStyle name="Normal 10 15 2 2" xfId="32250" xr:uid="{236D8518-4337-4356-BC15-A61274DAB71A}"/>
    <cellStyle name="Normal 10 15 2 3" xfId="49009" xr:uid="{6BC2B88B-A3D0-4202-A106-0C845C20C6EC}"/>
    <cellStyle name="Normal 10 15 3" xfId="23870" xr:uid="{7DDED97A-1ADE-481D-89C7-20CC5AB050F0}"/>
    <cellStyle name="Normal 10 15 4" xfId="40629" xr:uid="{08EEC09F-2357-41D5-BB7A-522F10880339}"/>
    <cellStyle name="Normal 10 16" xfId="7516" xr:uid="{90D3F5F5-7FD2-4563-B94E-2E5E245AFF3F}"/>
    <cellStyle name="Normal 10 16 2" xfId="15896" xr:uid="{C5D5BCCB-21B4-47E7-984B-076D85B1B70E}"/>
    <cellStyle name="Normal 10 16 2 2" xfId="32656" xr:uid="{FCD33421-524A-4D77-A742-25FE9A30176A}"/>
    <cellStyle name="Normal 10 16 2 3" xfId="49415" xr:uid="{92AF9C98-618E-45AD-8D79-F86C6BEC977C}"/>
    <cellStyle name="Normal 10 16 3" xfId="24276" xr:uid="{0D1B210E-7A41-454A-95E8-BAC9C663206B}"/>
    <cellStyle name="Normal 10 16 4" xfId="41035" xr:uid="{A102F8B3-3C65-4256-A760-33420835E484}"/>
    <cellStyle name="Normal 10 17" xfId="7922" xr:uid="{B58ABD5B-C4CB-40B0-B1FD-5E97CF383F97}"/>
    <cellStyle name="Normal 10 17 2" xfId="16302" xr:uid="{ACABC2F1-48DA-4C5B-BC19-FCA0804DA78C}"/>
    <cellStyle name="Normal 10 17 2 2" xfId="33062" xr:uid="{3217EFC7-7750-4D2B-8E69-F911EDC8FA79}"/>
    <cellStyle name="Normal 10 17 2 3" xfId="49821" xr:uid="{38171BE5-6F7D-4D43-91B5-9CDB0D52828F}"/>
    <cellStyle name="Normal 10 17 3" xfId="24682" xr:uid="{55CF81DA-6A5F-4B73-8A08-7923255043EC}"/>
    <cellStyle name="Normal 10 17 4" xfId="41441" xr:uid="{5F46A4DB-E34F-4965-9622-6B09A8FD364D}"/>
    <cellStyle name="Normal 10 18" xfId="8328" xr:uid="{5F67A9B5-623B-4DD0-B0C5-B839D40C1991}"/>
    <cellStyle name="Normal 10 18 2" xfId="16708" xr:uid="{874CF363-E873-4B29-9417-02608D947E4D}"/>
    <cellStyle name="Normal 10 18 2 2" xfId="33468" xr:uid="{6D617CEF-8C6A-44D2-86B3-26308F6303A7}"/>
    <cellStyle name="Normal 10 18 2 3" xfId="50227" xr:uid="{DB6F8C59-8E6C-4F99-A1EF-16B7E42439CE}"/>
    <cellStyle name="Normal 10 18 3" xfId="25088" xr:uid="{E08F934E-2B5A-4BBA-B910-137FF85D1D34}"/>
    <cellStyle name="Normal 10 18 4" xfId="41847" xr:uid="{97A07E72-F1BD-41CB-AD2C-5E059E4BE8C1}"/>
    <cellStyle name="Normal 10 19" xfId="2033" xr:uid="{BEF4A6D3-72B2-45E5-9849-B88934FF02AB}"/>
    <cellStyle name="Normal 10 19 2" xfId="10421" xr:uid="{AA221C14-F5DA-413A-AC68-1EAF09443628}"/>
    <cellStyle name="Normal 10 19 2 2" xfId="27181" xr:uid="{47AF9134-6D97-4D7A-8CCB-935D82B515BF}"/>
    <cellStyle name="Normal 10 19 2 3" xfId="43940" xr:uid="{31079F78-2965-4F76-B62B-172D75209B66}"/>
    <cellStyle name="Normal 10 19 3" xfId="18801" xr:uid="{3EF6E954-6A8E-4F60-ACCB-85EECAAB3F55}"/>
    <cellStyle name="Normal 10 19 4" xfId="35560" xr:uid="{2577B516-72D4-47DB-96F8-73F66E1E6776}"/>
    <cellStyle name="Normal 10 2" xfId="221" xr:uid="{A1B0B386-377A-49D0-82E6-E76DC2C873C4}"/>
    <cellStyle name="Normal 10 2 10" xfId="1629" xr:uid="{4CEEFA8D-2C07-4493-A0D2-861D24BFD718}"/>
    <cellStyle name="Normal 10 2 10 2" xfId="5018" xr:uid="{2CA2BFD2-1032-424B-83B0-C58C05AA22C6}"/>
    <cellStyle name="Normal 10 2 10 2 2" xfId="13398" xr:uid="{941C3EB9-63F1-45EB-B923-1094A63BDDAF}"/>
    <cellStyle name="Normal 10 2 10 2 2 2" xfId="30158" xr:uid="{35CF9542-27DB-4C3A-8D1D-423FBC5908AE}"/>
    <cellStyle name="Normal 10 2 10 2 2 3" xfId="46917" xr:uid="{EDAF083C-A30F-4BE0-89C4-D3680DE09F8E}"/>
    <cellStyle name="Normal 10 2 10 2 3" xfId="21778" xr:uid="{2EABBC9B-223E-4A0D-B2A9-CB0D8B8D1B96}"/>
    <cellStyle name="Normal 10 2 10 2 4" xfId="38537" xr:uid="{7A0718D0-1F3C-44E5-A292-769AE324D79D}"/>
    <cellStyle name="Normal 10 2 10 3" xfId="6705" xr:uid="{2FE59549-85A5-45E3-A435-1B93E104690E}"/>
    <cellStyle name="Normal 10 2 10 3 2" xfId="15085" xr:uid="{10D2744B-9478-4ED8-818E-FC75782E1A61}"/>
    <cellStyle name="Normal 10 2 10 3 2 2" xfId="31845" xr:uid="{F4EC3E58-14B0-4069-9F9D-3857018B60AB}"/>
    <cellStyle name="Normal 10 2 10 3 2 3" xfId="48604" xr:uid="{A5767EBE-66CF-4643-9FA7-A5D93FFED864}"/>
    <cellStyle name="Normal 10 2 10 3 3" xfId="23465" xr:uid="{2B05745C-3BE5-41E3-80A3-04D6D414DA7E}"/>
    <cellStyle name="Normal 10 2 10 3 4" xfId="40224" xr:uid="{0071C465-ECB8-46CD-AB68-BD8378C4A483}"/>
    <cellStyle name="Normal 10 2 10 4" xfId="2157" xr:uid="{2E11BAB3-1B81-4579-9E03-A43C27502B26}"/>
    <cellStyle name="Normal 10 2 10 4 2" xfId="10545" xr:uid="{99BB7C25-EF4F-4270-B824-A5CEA2F605CF}"/>
    <cellStyle name="Normal 10 2 10 4 2 2" xfId="27305" xr:uid="{A71EECD1-87BD-4A05-B865-8DFBD151AF64}"/>
    <cellStyle name="Normal 10 2 10 4 2 3" xfId="44064" xr:uid="{448AE955-D9EA-47D9-A575-0590909F6EBC}"/>
    <cellStyle name="Normal 10 2 10 4 3" xfId="18925" xr:uid="{653E0679-F499-4AA9-801F-2D5BDB883943}"/>
    <cellStyle name="Normal 10 2 10 4 4" xfId="35684" xr:uid="{FDA95A15-8E4C-44DA-9585-0F06A478F824}"/>
    <cellStyle name="Normal 10 2 10 5" xfId="10018" xr:uid="{0177915B-B6EE-41B8-A3E6-D4978886A97B}"/>
    <cellStyle name="Normal 10 2 10 5 2" xfId="26778" xr:uid="{B31EA985-DDAC-48EB-8B09-9CC4159F68AC}"/>
    <cellStyle name="Normal 10 2 10 5 3" xfId="43537" xr:uid="{87A5904E-CB53-412E-9E22-471605CB3FC6}"/>
    <cellStyle name="Normal 10 2 10 6" xfId="18398" xr:uid="{7260B607-406F-4052-8BAF-6967595EC5A6}"/>
    <cellStyle name="Normal 10 2 10 7" xfId="35157" xr:uid="{139E66F4-E0F8-4F45-97FD-3FEC5B872A22}"/>
    <cellStyle name="Normal 10 2 11" xfId="3734" xr:uid="{E1DB4A88-76A1-4FB8-AB61-D1EC48F62750}"/>
    <cellStyle name="Normal 10 2 11 2" xfId="12114" xr:uid="{79C05EFC-9878-4FFF-9B35-86253EB4FF3B}"/>
    <cellStyle name="Normal 10 2 11 2 2" xfId="28874" xr:uid="{4B987E89-3AA0-4BB7-BEF9-A9AFA4B26BC0}"/>
    <cellStyle name="Normal 10 2 11 2 3" xfId="45633" xr:uid="{10B56649-0924-40F5-A139-FBA5750CACAD}"/>
    <cellStyle name="Normal 10 2 11 3" xfId="20494" xr:uid="{E93DAD3D-47C6-40A3-9D71-948A912F1F3A}"/>
    <cellStyle name="Normal 10 2 11 4" xfId="37253" xr:uid="{B53B3BF5-E5EC-493C-9D89-9B60DBF5224E}"/>
    <cellStyle name="Normal 10 2 12" xfId="5429" xr:uid="{F3DA6AD4-9EDA-428B-B690-1509CD6E58C3}"/>
    <cellStyle name="Normal 10 2 12 2" xfId="13809" xr:uid="{E7E93821-5052-4666-932A-28C59BA32C6F}"/>
    <cellStyle name="Normal 10 2 12 2 2" xfId="30569" xr:uid="{F1FF23D2-F32A-432F-BD80-0EC0A95777C8}"/>
    <cellStyle name="Normal 10 2 12 2 3" xfId="47328" xr:uid="{A0A7CB0D-A08A-45EF-BD42-C21BD3F26EFE}"/>
    <cellStyle name="Normal 10 2 12 3" xfId="22189" xr:uid="{871CB88A-80B8-4A20-9517-A3C413F1B8D7}"/>
    <cellStyle name="Normal 10 2 12 4" xfId="38948" xr:uid="{2D009C44-309C-4289-BBFD-6471001BDA3C}"/>
    <cellStyle name="Normal 10 2 13" xfId="7111" xr:uid="{CE99B063-A885-4FAD-9B4A-A7C21489606D}"/>
    <cellStyle name="Normal 10 2 13 2" xfId="15491" xr:uid="{744A1291-0EF4-4D49-8F76-7FD0EA517FFD}"/>
    <cellStyle name="Normal 10 2 13 2 2" xfId="32251" xr:uid="{7520F6E9-703F-460B-9578-ABEB36F70BC2}"/>
    <cellStyle name="Normal 10 2 13 2 3" xfId="49010" xr:uid="{6FC97A69-C286-4870-98EA-4FE7F780420A}"/>
    <cellStyle name="Normal 10 2 13 3" xfId="23871" xr:uid="{63D50624-DA25-4615-9E45-F8E5145D4A87}"/>
    <cellStyle name="Normal 10 2 13 4" xfId="40630" xr:uid="{C744264D-2328-4E3E-ABA1-A7F83D211F64}"/>
    <cellStyle name="Normal 10 2 14" xfId="7517" xr:uid="{2A7D12EE-1143-41C3-9736-CF0D7036058D}"/>
    <cellStyle name="Normal 10 2 14 2" xfId="15897" xr:uid="{1DC89C3D-1645-4FE6-84A9-4CADE8A0C16A}"/>
    <cellStyle name="Normal 10 2 14 2 2" xfId="32657" xr:uid="{5BD7FB6C-D141-4093-969B-6FBF614C4AEE}"/>
    <cellStyle name="Normal 10 2 14 2 3" xfId="49416" xr:uid="{53983D6F-5183-45B5-846B-4AD0FD686529}"/>
    <cellStyle name="Normal 10 2 14 3" xfId="24277" xr:uid="{290E71F7-D655-4769-B547-4A80EF0151EA}"/>
    <cellStyle name="Normal 10 2 14 4" xfId="41036" xr:uid="{8264AFE7-404C-4513-BE7F-5064BE301F13}"/>
    <cellStyle name="Normal 10 2 15" xfId="7923" xr:uid="{2122F904-F00A-4C02-9F33-ECABADBCDE67}"/>
    <cellStyle name="Normal 10 2 15 2" xfId="16303" xr:uid="{1F04B212-DFF9-4BB8-B89A-F1DE88EAACAE}"/>
    <cellStyle name="Normal 10 2 15 2 2" xfId="33063" xr:uid="{4565E011-044D-443C-8E4D-6C4FC7A90583}"/>
    <cellStyle name="Normal 10 2 15 2 3" xfId="49822" xr:uid="{34BE0DA6-13F5-4DA1-98E0-9BCA69898EFC}"/>
    <cellStyle name="Normal 10 2 15 3" xfId="24683" xr:uid="{AB920C3E-A5BA-40BC-8D37-830EE2B08AD7}"/>
    <cellStyle name="Normal 10 2 15 4" xfId="41442" xr:uid="{F1E6CE87-B302-4DB5-A52C-307B9C718501}"/>
    <cellStyle name="Normal 10 2 16" xfId="8329" xr:uid="{EBB27309-740D-416D-B26A-1CA092E514A1}"/>
    <cellStyle name="Normal 10 2 16 2" xfId="16709" xr:uid="{80A5AE7E-9E09-45B0-9725-DC89347A7BC0}"/>
    <cellStyle name="Normal 10 2 16 2 2" xfId="33469" xr:uid="{83DF61F8-B262-462F-9D7D-CE5797486CD8}"/>
    <cellStyle name="Normal 10 2 16 2 3" xfId="50228" xr:uid="{85F944BB-C045-4D0D-80EE-2954B5010C62}"/>
    <cellStyle name="Normal 10 2 16 3" xfId="25089" xr:uid="{26C60FEE-F881-4DA5-9096-66A95314422E}"/>
    <cellStyle name="Normal 10 2 16 4" xfId="41848" xr:uid="{EE10E977-3EB1-4C8E-BF1E-A815AC3A4C59}"/>
    <cellStyle name="Normal 10 2 17" xfId="2045" xr:uid="{843D5AA4-6272-47EF-B1A9-90FDCCD57EBB}"/>
    <cellStyle name="Normal 10 2 17 2" xfId="10433" xr:uid="{9E367C45-83D1-4EA0-81AC-68D6AAD45C36}"/>
    <cellStyle name="Normal 10 2 17 2 2" xfId="27193" xr:uid="{E0759278-C398-47EE-B451-8157D5408BD3}"/>
    <cellStyle name="Normal 10 2 17 2 3" xfId="43952" xr:uid="{8FF47AA0-B049-4B79-85EE-F0FDFBDA66EA}"/>
    <cellStyle name="Normal 10 2 17 3" xfId="18813" xr:uid="{966FD7ED-B4A2-4E41-9BA9-32E638AC14E1}"/>
    <cellStyle name="Normal 10 2 17 4" xfId="35572" xr:uid="{7D78DB7E-0FC6-4A98-9FCF-A8A0E0DB5D7E}"/>
    <cellStyle name="Normal 10 2 18" xfId="8742" xr:uid="{DDF11A90-0142-42E8-A416-646C4E003EA7}"/>
    <cellStyle name="Normal 10 2 18 2" xfId="25502" xr:uid="{F8674B12-056E-4B6B-89C6-319FD315F3CA}"/>
    <cellStyle name="Normal 10 2 18 3" xfId="42261" xr:uid="{472F5E6D-85BF-4DFF-8D25-79FEE2BD225E}"/>
    <cellStyle name="Normal 10 2 19" xfId="17122" xr:uid="{AD271896-3250-45D4-9574-789FB8FAF85F}"/>
    <cellStyle name="Normal 10 2 2" xfId="297" xr:uid="{3276B5C2-10C1-4C17-A049-26C19D43FC9D}"/>
    <cellStyle name="Normal 10 2 2 10" xfId="7133" xr:uid="{F2BF7F23-703E-4670-9C3E-9520CA146A86}"/>
    <cellStyle name="Normal 10 2 2 10 2" xfId="15513" xr:uid="{B042E27D-F49A-420C-A3F8-D5E286D895D7}"/>
    <cellStyle name="Normal 10 2 2 10 2 2" xfId="32273" xr:uid="{D788B362-B816-4878-8F92-CE8870794F2F}"/>
    <cellStyle name="Normal 10 2 2 10 2 3" xfId="49032" xr:uid="{74FDAC03-6FA8-4FB6-80E7-6363F52A0B53}"/>
    <cellStyle name="Normal 10 2 2 10 3" xfId="23893" xr:uid="{2481A6E3-6C55-4683-A53E-0CC0D62C04CF}"/>
    <cellStyle name="Normal 10 2 2 10 4" xfId="40652" xr:uid="{A67750FF-0A5D-439B-9CED-93784A9BFEDD}"/>
    <cellStyle name="Normal 10 2 2 11" xfId="7539" xr:uid="{D3405110-6C96-47FF-BAEE-6F231BBBC693}"/>
    <cellStyle name="Normal 10 2 2 11 2" xfId="15919" xr:uid="{8901FF17-5F59-436D-8235-AF3D546ACC42}"/>
    <cellStyle name="Normal 10 2 2 11 2 2" xfId="32679" xr:uid="{794F7903-D2A5-4FCC-B0A0-6F3D392A0BB3}"/>
    <cellStyle name="Normal 10 2 2 11 2 3" xfId="49438" xr:uid="{1B2D0907-6A94-4D9D-B538-B376EEDBAA67}"/>
    <cellStyle name="Normal 10 2 2 11 3" xfId="24299" xr:uid="{033BB110-985E-48FC-8092-8057D2E62C60}"/>
    <cellStyle name="Normal 10 2 2 11 4" xfId="41058" xr:uid="{769D62AA-E65C-4DA2-B343-EA810F424C76}"/>
    <cellStyle name="Normal 10 2 2 12" xfId="7945" xr:uid="{85F9A304-D6A0-40E1-819B-0C6689FFE479}"/>
    <cellStyle name="Normal 10 2 2 12 2" xfId="16325" xr:uid="{D5BCE641-B916-4B43-B062-03B7FA3296A9}"/>
    <cellStyle name="Normal 10 2 2 12 2 2" xfId="33085" xr:uid="{A3806488-0AC9-4120-80EE-5D0AEDA15E48}"/>
    <cellStyle name="Normal 10 2 2 12 2 3" xfId="49844" xr:uid="{4C32971C-6785-4E6B-A97B-38A388BD16A0}"/>
    <cellStyle name="Normal 10 2 2 12 3" xfId="24705" xr:uid="{56D1C23B-DE0F-4090-A342-34A121FF6863}"/>
    <cellStyle name="Normal 10 2 2 12 4" xfId="41464" xr:uid="{6EBDDE54-0864-4A16-9753-FC0D46BDF7FE}"/>
    <cellStyle name="Normal 10 2 2 13" xfId="8351" xr:uid="{A2C96252-6E74-4EE4-A361-4D69387BFB74}"/>
    <cellStyle name="Normal 10 2 2 13 2" xfId="16731" xr:uid="{275D91F4-F2EE-4451-A074-B2C835B0C855}"/>
    <cellStyle name="Normal 10 2 2 13 2 2" xfId="33491" xr:uid="{9AA1191D-A864-486E-92FC-9A02211DA4E7}"/>
    <cellStyle name="Normal 10 2 2 13 2 3" xfId="50250" xr:uid="{D65BE4FE-C260-4C3E-9559-0A4314229B60}"/>
    <cellStyle name="Normal 10 2 2 13 3" xfId="25111" xr:uid="{41632479-7F6E-4D32-B3B3-973A2A74F041}"/>
    <cellStyle name="Normal 10 2 2 13 4" xfId="41870" xr:uid="{9E6E4BD6-7101-4FFA-B3B0-3395191953A4}"/>
    <cellStyle name="Normal 10 2 2 14" xfId="2063" xr:uid="{9B87FBCD-F491-41BF-A7DE-B386A0210179}"/>
    <cellStyle name="Normal 10 2 2 14 2" xfId="10451" xr:uid="{DA7A86BA-9248-4A4D-8FF7-270E1BC69763}"/>
    <cellStyle name="Normal 10 2 2 14 2 2" xfId="27211" xr:uid="{92BB8441-A641-4163-9F15-1E9EA528269F}"/>
    <cellStyle name="Normal 10 2 2 14 2 3" xfId="43970" xr:uid="{0F0746EA-AEFF-49A7-8093-EDA436F17472}"/>
    <cellStyle name="Normal 10 2 2 14 3" xfId="18831" xr:uid="{58C07DD7-3005-4848-9BF7-8078355A5B00}"/>
    <cellStyle name="Normal 10 2 2 14 4" xfId="35590" xr:uid="{9F5EA704-E1BC-4BF5-80D2-5A20B895B69E}"/>
    <cellStyle name="Normal 10 2 2 15" xfId="8770" xr:uid="{0D9B9B46-4AE9-4988-A5AB-891D1E136AD1}"/>
    <cellStyle name="Normal 10 2 2 15 2" xfId="25530" xr:uid="{7895E35E-8867-441D-B934-B9CE0725C77B}"/>
    <cellStyle name="Normal 10 2 2 15 3" xfId="42289" xr:uid="{C86C037F-2C6A-4C9F-B352-DF5F930D546A}"/>
    <cellStyle name="Normal 10 2 2 16" xfId="17150" xr:uid="{057E8205-03B5-4418-A9BE-70439B945152}"/>
    <cellStyle name="Normal 10 2 2 17" xfId="33909" xr:uid="{CCF38158-4270-4C71-868D-3752E3CB062F}"/>
    <cellStyle name="Normal 10 2 2 2" xfId="380" xr:uid="{6DF1568E-39C4-4CFE-AC16-6DD74EA647ED}"/>
    <cellStyle name="Normal 10 2 2 2 10" xfId="7604" xr:uid="{0962398C-11C3-4E7B-A0A9-78F6F6ED6661}"/>
    <cellStyle name="Normal 10 2 2 2 10 2" xfId="15984" xr:uid="{65CF27AE-41EC-42FB-852A-B320472FA25E}"/>
    <cellStyle name="Normal 10 2 2 2 10 2 2" xfId="32744" xr:uid="{4AA0612B-231C-4888-A8DE-83F497EB276F}"/>
    <cellStyle name="Normal 10 2 2 2 10 2 3" xfId="49503" xr:uid="{8F12154E-080E-4262-B4A5-0782956F1500}"/>
    <cellStyle name="Normal 10 2 2 2 10 3" xfId="24364" xr:uid="{230BBDC5-FC9C-48D8-937F-93D3C1E96206}"/>
    <cellStyle name="Normal 10 2 2 2 10 4" xfId="41123" xr:uid="{8BB658AD-C656-40F3-9E1D-1B040BA40B50}"/>
    <cellStyle name="Normal 10 2 2 2 11" xfId="8010" xr:uid="{3FAD8351-FC7F-45D1-B82C-FDEC0FE83873}"/>
    <cellStyle name="Normal 10 2 2 2 11 2" xfId="16390" xr:uid="{2DA2D268-FEEB-4C55-AC4F-CEC3DE62D61D}"/>
    <cellStyle name="Normal 10 2 2 2 11 2 2" xfId="33150" xr:uid="{2282A522-7C9A-4A93-858C-F40C28D5D1AC}"/>
    <cellStyle name="Normal 10 2 2 2 11 2 3" xfId="49909" xr:uid="{051E4BFD-2C96-49C9-9AF6-740B91FF4866}"/>
    <cellStyle name="Normal 10 2 2 2 11 3" xfId="24770" xr:uid="{B4D9AAD6-1E2E-49E8-8B7D-6E3D4306A9BA}"/>
    <cellStyle name="Normal 10 2 2 2 11 4" xfId="41529" xr:uid="{0229E811-321A-4F0C-9C94-D73C6D8CCF64}"/>
    <cellStyle name="Normal 10 2 2 2 12" xfId="8416" xr:uid="{CEAE02FC-FF0B-4328-B00A-6BD3437B79A0}"/>
    <cellStyle name="Normal 10 2 2 2 12 2" xfId="16796" xr:uid="{F61329B6-9E05-4CD9-A450-EFC3733B537F}"/>
    <cellStyle name="Normal 10 2 2 2 12 2 2" xfId="33556" xr:uid="{4F443BAC-2B10-4025-A89D-61FBB5E7B5ED}"/>
    <cellStyle name="Normal 10 2 2 2 12 2 3" xfId="50315" xr:uid="{87FD2617-4110-4E92-A531-926E1785A71B}"/>
    <cellStyle name="Normal 10 2 2 2 12 3" xfId="25176" xr:uid="{AA409EED-E862-43CF-9CF6-6442E438004F}"/>
    <cellStyle name="Normal 10 2 2 2 12 4" xfId="41935" xr:uid="{D5CAEA1F-B1B5-4E2E-9E5A-BFD9ADE8AFF9}"/>
    <cellStyle name="Normal 10 2 2 2 13" xfId="2263" xr:uid="{83F0752D-49D2-45BE-9F3C-A30F81128282}"/>
    <cellStyle name="Normal 10 2 2 2 13 2" xfId="10647" xr:uid="{C2DB638B-8422-49A1-B506-44A14E582F67}"/>
    <cellStyle name="Normal 10 2 2 2 13 2 2" xfId="27407" xr:uid="{4F6BD79F-B7B5-47F3-9AB9-E87C8E382FDF}"/>
    <cellStyle name="Normal 10 2 2 2 13 2 3" xfId="44166" xr:uid="{77E41A58-6BE8-4A0C-A07D-D7A845D3DD2C}"/>
    <cellStyle name="Normal 10 2 2 2 13 3" xfId="19027" xr:uid="{EE1C39C5-7D5D-4303-A61C-988DBE2634AC}"/>
    <cellStyle name="Normal 10 2 2 2 13 4" xfId="35786" xr:uid="{C57504A0-EFB3-4B60-9723-C43CECA9531F}"/>
    <cellStyle name="Normal 10 2 2 2 14" xfId="8844" xr:uid="{082AA91C-35F8-44D2-8F02-D6AC9C4ABEE7}"/>
    <cellStyle name="Normal 10 2 2 2 14 2" xfId="25604" xr:uid="{E7C2C057-70F9-4E10-80C2-8F3344E545CA}"/>
    <cellStyle name="Normal 10 2 2 2 14 3" xfId="42363" xr:uid="{62E03E01-70DC-47A3-99BF-87018D22FC4A}"/>
    <cellStyle name="Normal 10 2 2 2 15" xfId="17224" xr:uid="{0B4FE590-A26D-48A4-8F04-904B82EF6E1A}"/>
    <cellStyle name="Normal 10 2 2 2 16" xfId="33983" xr:uid="{548843E3-0A47-4DF2-9841-1EE959E100C2}"/>
    <cellStyle name="Normal 10 2 2 2 2" xfId="466" xr:uid="{B09DB3B4-99DC-4371-874D-F47C75C5805D}"/>
    <cellStyle name="Normal 10 2 2 2 2 10" xfId="8469" xr:uid="{689E7795-ADE9-4058-BD31-7E2EDFE972D6}"/>
    <cellStyle name="Normal 10 2 2 2 2 10 2" xfId="16849" xr:uid="{43FA82FA-692F-4291-8E30-F5FA70975730}"/>
    <cellStyle name="Normal 10 2 2 2 2 10 2 2" xfId="33609" xr:uid="{929F89F4-1BDB-47A6-910F-F73F0859CFE7}"/>
    <cellStyle name="Normal 10 2 2 2 2 10 2 3" xfId="50368" xr:uid="{30D5E9EE-E715-4BD2-A01C-2F13166CB9FC}"/>
    <cellStyle name="Normal 10 2 2 2 2 10 3" xfId="25229" xr:uid="{10F64C7C-C737-4134-BE61-7A6DAF028558}"/>
    <cellStyle name="Normal 10 2 2 2 2 10 4" xfId="41988" xr:uid="{E218CB2C-71E9-4837-ABF6-62C48AB3E461}"/>
    <cellStyle name="Normal 10 2 2 2 2 11" xfId="2298" xr:uid="{21FFC35F-4FE1-476B-BD81-A01786172685}"/>
    <cellStyle name="Normal 10 2 2 2 2 11 2" xfId="10680" xr:uid="{26E02B1D-F884-4E6A-8E41-0564B64E9701}"/>
    <cellStyle name="Normal 10 2 2 2 2 11 2 2" xfId="27440" xr:uid="{A6C3519B-8A3C-4537-9942-FB5D87C4497C}"/>
    <cellStyle name="Normal 10 2 2 2 2 11 2 3" xfId="44199" xr:uid="{71E76C0A-45DA-47A8-8ABC-E2DE2BF61243}"/>
    <cellStyle name="Normal 10 2 2 2 2 11 3" xfId="19060" xr:uid="{AF4C27EB-9091-45D0-96D5-2682AC088F7B}"/>
    <cellStyle name="Normal 10 2 2 2 2 11 4" xfId="35819" xr:uid="{61FA8F90-772C-41D8-8818-7A4FAAE77DE0}"/>
    <cellStyle name="Normal 10 2 2 2 2 12" xfId="8877" xr:uid="{94C4CB25-BDF7-4768-BBDB-A6828E55035A}"/>
    <cellStyle name="Normal 10 2 2 2 2 12 2" xfId="25637" xr:uid="{2053D641-FA79-4BE2-A59F-90F44C2CD530}"/>
    <cellStyle name="Normal 10 2 2 2 2 12 3" xfId="42396" xr:uid="{4135A853-F9BC-4B31-A2CE-BD7E85254F93}"/>
    <cellStyle name="Normal 10 2 2 2 2 13" xfId="17257" xr:uid="{12485405-D1F9-4C5C-8D17-E419947DF406}"/>
    <cellStyle name="Normal 10 2 2 2 2 14" xfId="34016" xr:uid="{FE16EAE3-F3AF-4CAE-AEE6-44440D71555A}"/>
    <cellStyle name="Normal 10 2 2 2 2 2" xfId="908" xr:uid="{C847CA13-6A29-415C-BA58-75CC329F453A}"/>
    <cellStyle name="Normal 10 2 2 2 2 2 2" xfId="4303" xr:uid="{94F3C36A-CA25-43D8-BA19-16ECFC01F109}"/>
    <cellStyle name="Normal 10 2 2 2 2 2 2 2" xfId="12683" xr:uid="{77A12D31-F90C-47DB-940F-2F3BD9B7C3EC}"/>
    <cellStyle name="Normal 10 2 2 2 2 2 2 2 2" xfId="29443" xr:uid="{28943914-90A7-4C2D-B3E8-C9DA6B502D02}"/>
    <cellStyle name="Normal 10 2 2 2 2 2 2 2 3" xfId="46202" xr:uid="{680E5D2A-5243-4954-9B3A-0D34AFE04A44}"/>
    <cellStyle name="Normal 10 2 2 2 2 2 2 3" xfId="21063" xr:uid="{277D8822-6D64-4D8D-8C54-66716CF854CE}"/>
    <cellStyle name="Normal 10 2 2 2 2 2 2 4" xfId="37822" xr:uid="{4E534831-515A-4AAB-B0A5-31AAA0DC520A}"/>
    <cellStyle name="Normal 10 2 2 2 2 2 3" xfId="5990" xr:uid="{BBCA8D3B-EA4A-48BD-B48C-ABEE1CC3D839}"/>
    <cellStyle name="Normal 10 2 2 2 2 2 3 2" xfId="14370" xr:uid="{4A856BAB-DFF0-461E-907A-17A118C66C8A}"/>
    <cellStyle name="Normal 10 2 2 2 2 2 3 2 2" xfId="31130" xr:uid="{AE8E1E0A-A73A-43BC-83AE-57F66FE7687D}"/>
    <cellStyle name="Normal 10 2 2 2 2 2 3 2 3" xfId="47889" xr:uid="{5CAC0286-0168-4281-A565-08387B9754DF}"/>
    <cellStyle name="Normal 10 2 2 2 2 2 3 3" xfId="22750" xr:uid="{CF7CB492-7B7E-4AA6-874B-5474ED9C5C6A}"/>
    <cellStyle name="Normal 10 2 2 2 2 2 3 4" xfId="39509" xr:uid="{2AA66ACC-B795-4EBE-B78C-62A4632B1D41}"/>
    <cellStyle name="Normal 10 2 2 2 2 2 4" xfId="2726" xr:uid="{467F07F9-C71C-4F07-9F1C-EBAA47030AF3}"/>
    <cellStyle name="Normal 10 2 2 2 2 2 4 2" xfId="11106" xr:uid="{1FA64CCC-2175-470F-BD63-550B4BC860CE}"/>
    <cellStyle name="Normal 10 2 2 2 2 2 4 2 2" xfId="27866" xr:uid="{0CF61717-0BEB-4BEB-BCA9-C3C4CE0FBE97}"/>
    <cellStyle name="Normal 10 2 2 2 2 2 4 2 3" xfId="44625" xr:uid="{BE015DAD-5CB6-49F6-866E-DA4B9FC5DA3C}"/>
    <cellStyle name="Normal 10 2 2 2 2 2 4 3" xfId="19486" xr:uid="{C7769FF4-C11F-4110-AD88-C28D3E1E8D06}"/>
    <cellStyle name="Normal 10 2 2 2 2 2 4 4" xfId="36245" xr:uid="{C96D9FCA-97B1-4156-AEDC-105EE2F72391}"/>
    <cellStyle name="Normal 10 2 2 2 2 2 5" xfId="9303" xr:uid="{909F8D2A-0BC6-4941-BD60-D0029706E995}"/>
    <cellStyle name="Normal 10 2 2 2 2 2 5 2" xfId="26063" xr:uid="{353B63AD-8C5D-484F-9C71-777458F99BC3}"/>
    <cellStyle name="Normal 10 2 2 2 2 2 5 3" xfId="42822" xr:uid="{B1EDCF16-9CEB-43A6-9BB3-3A8FBE4398CA}"/>
    <cellStyle name="Normal 10 2 2 2 2 2 6" xfId="17683" xr:uid="{6BC37528-BA0B-4D4C-B5AF-262E0727D2D4}"/>
    <cellStyle name="Normal 10 2 2 2 2 2 7" xfId="34442" xr:uid="{25D4D486-011A-46C3-92F1-04DA74D7C945}"/>
    <cellStyle name="Normal 10 2 2 2 2 3" xfId="1342" xr:uid="{3D926AD0-82F4-4457-AD45-4E52DE659526}"/>
    <cellStyle name="Normal 10 2 2 2 2 3 2" xfId="4731" xr:uid="{05B860B5-C7F5-4776-99C7-AA2ADA48B055}"/>
    <cellStyle name="Normal 10 2 2 2 2 3 2 2" xfId="13111" xr:uid="{EE760FFF-5CED-43AD-A671-A33236B3D3A7}"/>
    <cellStyle name="Normal 10 2 2 2 2 3 2 2 2" xfId="29871" xr:uid="{7E0ECCE8-A808-477C-9184-74979DB71683}"/>
    <cellStyle name="Normal 10 2 2 2 2 3 2 2 3" xfId="46630" xr:uid="{4195E187-9C5E-4629-AE8A-A07B9053F4BA}"/>
    <cellStyle name="Normal 10 2 2 2 2 3 2 3" xfId="21491" xr:uid="{EABFD5B8-DA98-44A5-AE26-5C5B5EDACAD3}"/>
    <cellStyle name="Normal 10 2 2 2 2 3 2 4" xfId="38250" xr:uid="{A234ED20-7D8F-4F2C-94BB-1CF2D30EE79C}"/>
    <cellStyle name="Normal 10 2 2 2 2 3 3" xfId="6418" xr:uid="{67A947E1-4B9B-42D3-B45A-4CFB6370414B}"/>
    <cellStyle name="Normal 10 2 2 2 2 3 3 2" xfId="14798" xr:uid="{9EF11E6A-9ED9-492F-84A4-C6EDA3D33F7D}"/>
    <cellStyle name="Normal 10 2 2 2 2 3 3 2 2" xfId="31558" xr:uid="{B88B5B5E-FBEF-4917-B75C-B58A495F0EF5}"/>
    <cellStyle name="Normal 10 2 2 2 2 3 3 2 3" xfId="48317" xr:uid="{15EB040C-F21A-44D1-AEF6-B551043F4115}"/>
    <cellStyle name="Normal 10 2 2 2 2 3 3 3" xfId="23178" xr:uid="{D26D01A7-53DF-4B9F-B82E-49332BE01B93}"/>
    <cellStyle name="Normal 10 2 2 2 2 3 3 4" xfId="39937" xr:uid="{E83763BF-E933-4F17-9EA8-D16D5AD03AEC}"/>
    <cellStyle name="Normal 10 2 2 2 2 3 4" xfId="3154" xr:uid="{4FC8D664-0F6D-458E-8661-F512AC8C4F18}"/>
    <cellStyle name="Normal 10 2 2 2 2 3 4 2" xfId="11534" xr:uid="{F50B35A9-1474-481E-AECF-28CE7DFFCAE7}"/>
    <cellStyle name="Normal 10 2 2 2 2 3 4 2 2" xfId="28294" xr:uid="{C1810DC7-E956-4852-B2D6-EFDAC9A96AB0}"/>
    <cellStyle name="Normal 10 2 2 2 2 3 4 2 3" xfId="45053" xr:uid="{DD195AC9-EC54-48A0-A922-A760583C4012}"/>
    <cellStyle name="Normal 10 2 2 2 2 3 4 3" xfId="19914" xr:uid="{5DEA7555-C385-403B-9402-EB785DD9E300}"/>
    <cellStyle name="Normal 10 2 2 2 2 3 4 4" xfId="36673" xr:uid="{D050BCB8-F16F-4A94-A523-20918404E9C1}"/>
    <cellStyle name="Normal 10 2 2 2 2 3 5" xfId="9731" xr:uid="{5E195FB6-C1E1-4E48-9781-723AEAF8265A}"/>
    <cellStyle name="Normal 10 2 2 2 2 3 5 2" xfId="26491" xr:uid="{59C3A516-546E-4F4D-9BDD-0DA870353D4A}"/>
    <cellStyle name="Normal 10 2 2 2 2 3 5 3" xfId="43250" xr:uid="{7B3889F3-EF94-4747-A8DD-BA2B37E691CF}"/>
    <cellStyle name="Normal 10 2 2 2 2 3 6" xfId="18111" xr:uid="{B79500DE-A734-42F8-9357-FC9EF806C180}"/>
    <cellStyle name="Normal 10 2 2 2 2 3 7" xfId="34870" xr:uid="{0E8C038E-6D07-481D-96F4-8CD3956102C1}"/>
    <cellStyle name="Normal 10 2 2 2 2 4" xfId="1769" xr:uid="{A1264FB2-FFE3-493A-9342-A44C359343E2}"/>
    <cellStyle name="Normal 10 2 2 2 2 4 2" xfId="5158" xr:uid="{5CCABCE5-804F-4356-B365-8675E9DBE3E3}"/>
    <cellStyle name="Normal 10 2 2 2 2 4 2 2" xfId="13538" xr:uid="{48228449-BEA8-4304-9CBA-11723B6EEEEE}"/>
    <cellStyle name="Normal 10 2 2 2 2 4 2 2 2" xfId="30298" xr:uid="{C77F8978-CC68-413E-8EC5-123033EB2E9F}"/>
    <cellStyle name="Normal 10 2 2 2 2 4 2 2 3" xfId="47057" xr:uid="{74A8C7E7-1E85-4713-96C4-8CDAB501D022}"/>
    <cellStyle name="Normal 10 2 2 2 2 4 2 3" xfId="21918" xr:uid="{0BCA7575-DC20-40BB-B2D5-6209133F066F}"/>
    <cellStyle name="Normal 10 2 2 2 2 4 2 4" xfId="38677" xr:uid="{0118FD16-F2E7-4651-9CA0-CE886083F15E}"/>
    <cellStyle name="Normal 10 2 2 2 2 4 3" xfId="6845" xr:uid="{5955F801-D617-4292-B10A-AE90941F32DA}"/>
    <cellStyle name="Normal 10 2 2 2 2 4 3 2" xfId="15225" xr:uid="{FC442C24-46BE-4561-9086-598FF6F7BDCC}"/>
    <cellStyle name="Normal 10 2 2 2 2 4 3 2 2" xfId="31985" xr:uid="{BFEDAFF7-7C6C-4F23-BB26-4A6789436A1A}"/>
    <cellStyle name="Normal 10 2 2 2 2 4 3 2 3" xfId="48744" xr:uid="{6B2C56F3-35EE-4FB6-BA16-0F9CE1A905FB}"/>
    <cellStyle name="Normal 10 2 2 2 2 4 3 3" xfId="23605" xr:uid="{A192CCB3-071B-4E58-B1DF-F5E9638BB792}"/>
    <cellStyle name="Normal 10 2 2 2 2 4 3 4" xfId="40364" xr:uid="{2726B69F-C142-49ED-AF95-C18635F25A54}"/>
    <cellStyle name="Normal 10 2 2 2 2 4 4" xfId="3469" xr:uid="{4592EB02-1CA1-46FD-80B5-13D58AB2B7CF}"/>
    <cellStyle name="Normal 10 2 2 2 2 4 4 2" xfId="11849" xr:uid="{BBA8CB9C-44F4-4C73-B20C-647B2A329383}"/>
    <cellStyle name="Normal 10 2 2 2 2 4 4 2 2" xfId="28609" xr:uid="{F6EC4B04-93D9-4E94-B775-BF11FDCC3DD4}"/>
    <cellStyle name="Normal 10 2 2 2 2 4 4 2 3" xfId="45368" xr:uid="{5C598832-56F8-42B1-8862-8E4EEC2D4A7C}"/>
    <cellStyle name="Normal 10 2 2 2 2 4 4 3" xfId="20229" xr:uid="{187A2B4C-DD7B-4267-A767-4BEA64DA07A9}"/>
    <cellStyle name="Normal 10 2 2 2 2 4 4 4" xfId="36988" xr:uid="{187404B3-5CC9-4F9A-8FA9-FBCF19BE51B1}"/>
    <cellStyle name="Normal 10 2 2 2 2 4 5" xfId="10158" xr:uid="{02A2A386-B0F6-4563-981E-3780C08C74CC}"/>
    <cellStyle name="Normal 10 2 2 2 2 4 5 2" xfId="26918" xr:uid="{BAD72862-819F-44F1-9456-7AA58F9848F1}"/>
    <cellStyle name="Normal 10 2 2 2 2 4 5 3" xfId="43677" xr:uid="{9F9EFCE9-0A07-4D8C-8D20-4238B5601989}"/>
    <cellStyle name="Normal 10 2 2 2 2 4 6" xfId="18538" xr:uid="{216B188C-4614-4142-8F7B-BE6057F07B6F}"/>
    <cellStyle name="Normal 10 2 2 2 2 4 7" xfId="35297" xr:uid="{62F95EA9-0519-4D26-B43D-B251A5BF2D1E}"/>
    <cellStyle name="Normal 10 2 2 2 2 5" xfId="3888" xr:uid="{F4C92F65-5C45-431B-A070-BE1A4EC18911}"/>
    <cellStyle name="Normal 10 2 2 2 2 5 2" xfId="12268" xr:uid="{23B49C75-A4BB-4FCA-8B79-7CA247799D91}"/>
    <cellStyle name="Normal 10 2 2 2 2 5 2 2" xfId="29028" xr:uid="{93D9F692-0E45-46D0-B380-59BBA23D5702}"/>
    <cellStyle name="Normal 10 2 2 2 2 5 2 3" xfId="45787" xr:uid="{0727F406-19B6-4DA0-B486-F66C4C67E64D}"/>
    <cellStyle name="Normal 10 2 2 2 2 5 3" xfId="20648" xr:uid="{A873E76C-3E44-489A-A988-1F398C08360E}"/>
    <cellStyle name="Normal 10 2 2 2 2 5 4" xfId="37407" xr:uid="{14F4CF1E-B22F-46BB-A01C-E0CA10DE9136}"/>
    <cellStyle name="Normal 10 2 2 2 2 6" xfId="5564" xr:uid="{669CE34E-E108-47C7-9154-5FDA5A68A5F0}"/>
    <cellStyle name="Normal 10 2 2 2 2 6 2" xfId="13944" xr:uid="{35BFA0B7-34A1-4808-B72B-FDD179A0C9E0}"/>
    <cellStyle name="Normal 10 2 2 2 2 6 2 2" xfId="30704" xr:uid="{ED5949F0-70EE-4AE2-B0BD-4E237D9773E5}"/>
    <cellStyle name="Normal 10 2 2 2 2 6 2 3" xfId="47463" xr:uid="{3271D251-0FB1-4CF7-8806-7ECFB00EA05D}"/>
    <cellStyle name="Normal 10 2 2 2 2 6 3" xfId="22324" xr:uid="{50BC5D7E-3C77-4DA2-8FB8-6FE88652CC7F}"/>
    <cellStyle name="Normal 10 2 2 2 2 6 4" xfId="39083" xr:uid="{2A9C159D-02AC-4ACF-A91A-BF66D6C626B1}"/>
    <cellStyle name="Normal 10 2 2 2 2 7" xfId="7251" xr:uid="{B56B5E6E-CDF2-430B-8C81-DCCF1669ED1D}"/>
    <cellStyle name="Normal 10 2 2 2 2 7 2" xfId="15631" xr:uid="{B44161C2-CBE6-4B20-9388-7254F9A4D054}"/>
    <cellStyle name="Normal 10 2 2 2 2 7 2 2" xfId="32391" xr:uid="{02F90010-1340-40F6-A381-F866BE53398F}"/>
    <cellStyle name="Normal 10 2 2 2 2 7 2 3" xfId="49150" xr:uid="{92993B2A-7411-4AD5-B1EA-30FE51A8C311}"/>
    <cellStyle name="Normal 10 2 2 2 2 7 3" xfId="24011" xr:uid="{31ED3E98-E59D-4B9A-8315-5C09B0270BA4}"/>
    <cellStyle name="Normal 10 2 2 2 2 7 4" xfId="40770" xr:uid="{CFD29D8F-35B9-40B3-8223-910E38935326}"/>
    <cellStyle name="Normal 10 2 2 2 2 8" xfId="7657" xr:uid="{9A54CB89-1513-43CC-9186-E775B436A51F}"/>
    <cellStyle name="Normal 10 2 2 2 2 8 2" xfId="16037" xr:uid="{83D2B72F-4C7C-4411-9153-876A67293F9F}"/>
    <cellStyle name="Normal 10 2 2 2 2 8 2 2" xfId="32797" xr:uid="{714C2F6C-61F9-4435-A588-3371659526D4}"/>
    <cellStyle name="Normal 10 2 2 2 2 8 2 3" xfId="49556" xr:uid="{CA5A836A-E2B6-4537-B96F-A77C47B76147}"/>
    <cellStyle name="Normal 10 2 2 2 2 8 3" xfId="24417" xr:uid="{26F2C807-9BAB-4DA1-93A6-35ED9BFB8A76}"/>
    <cellStyle name="Normal 10 2 2 2 2 8 4" xfId="41176" xr:uid="{75416646-5DC0-497C-8CAC-C9347FC17B2C}"/>
    <cellStyle name="Normal 10 2 2 2 2 9" xfId="8063" xr:uid="{DFF73808-52D9-4C6F-A10A-F7EF02F9C428}"/>
    <cellStyle name="Normal 10 2 2 2 2 9 2" xfId="16443" xr:uid="{CEA62AC7-8B65-44C2-B9E7-FCAF87EF829F}"/>
    <cellStyle name="Normal 10 2 2 2 2 9 2 2" xfId="33203" xr:uid="{24483AC2-66F5-430C-8192-10A060179A0E}"/>
    <cellStyle name="Normal 10 2 2 2 2 9 2 3" xfId="49962" xr:uid="{24005254-2D89-4BA4-9ACA-752300B7AA76}"/>
    <cellStyle name="Normal 10 2 2 2 2 9 3" xfId="24823" xr:uid="{C8A6461D-8C19-4C49-8872-99C869FDAB9B}"/>
    <cellStyle name="Normal 10 2 2 2 2 9 4" xfId="41582" xr:uid="{539187DE-7297-41D0-9438-2A18CD202670}"/>
    <cellStyle name="Normal 10 2 2 2 3" xfId="467" xr:uid="{BAE726F1-9D33-4D81-9580-27BEFC9246CF}"/>
    <cellStyle name="Normal 10 2 2 2 3 10" xfId="8687" xr:uid="{A3DC6C07-27A8-49D2-8C78-761959C330DD}"/>
    <cellStyle name="Normal 10 2 2 2 3 10 2" xfId="17067" xr:uid="{D2878FB4-0E35-4905-A1CC-08D7799AE33A}"/>
    <cellStyle name="Normal 10 2 2 2 3 10 2 2" xfId="33827" xr:uid="{4A1E7132-064D-4EC4-90E5-C70CD217DC26}"/>
    <cellStyle name="Normal 10 2 2 2 3 10 2 3" xfId="50586" xr:uid="{9895F16D-DBB1-4505-A4D9-7AE73DC87F55}"/>
    <cellStyle name="Normal 10 2 2 2 3 10 3" xfId="25447" xr:uid="{EFA32331-3A81-4196-8A42-53CF5B62A9A2}"/>
    <cellStyle name="Normal 10 2 2 2 3 10 4" xfId="42206" xr:uid="{E7CA4F33-DBFF-412A-A7AE-8297FF794D61}"/>
    <cellStyle name="Normal 10 2 2 2 3 11" xfId="2299" xr:uid="{F2EE3180-1EFF-4E36-A0BF-68570D538722}"/>
    <cellStyle name="Normal 10 2 2 2 3 11 2" xfId="10681" xr:uid="{61E46DE9-325B-43C4-95FC-6AB1BF26D2D1}"/>
    <cellStyle name="Normal 10 2 2 2 3 11 2 2" xfId="27441" xr:uid="{F709BE99-18A5-469D-8D25-EA419E4C840D}"/>
    <cellStyle name="Normal 10 2 2 2 3 11 2 3" xfId="44200" xr:uid="{BEF9AB5B-8219-4273-9845-776D9E1C8CE9}"/>
    <cellStyle name="Normal 10 2 2 2 3 11 3" xfId="19061" xr:uid="{F11B7EAC-F748-4265-B0EF-D033082FE6DD}"/>
    <cellStyle name="Normal 10 2 2 2 3 11 4" xfId="35820" xr:uid="{AB068955-E5D5-4855-836F-4E692E889018}"/>
    <cellStyle name="Normal 10 2 2 2 3 12" xfId="8878" xr:uid="{D025E2FD-BF18-49E9-8964-EE8008C99ABC}"/>
    <cellStyle name="Normal 10 2 2 2 3 12 2" xfId="25638" xr:uid="{5C99CECD-6C83-410C-A5B1-3DC4EE219609}"/>
    <cellStyle name="Normal 10 2 2 2 3 12 3" xfId="42397" xr:uid="{22778AD0-26E1-4C4C-B072-B71078F843CE}"/>
    <cellStyle name="Normal 10 2 2 2 3 13" xfId="17258" xr:uid="{C941AE3F-1F8F-4572-8B26-D5C5E9B54D09}"/>
    <cellStyle name="Normal 10 2 2 2 3 14" xfId="34017" xr:uid="{21FB0F78-AD47-4FC3-A90C-808B7A33C0EF}"/>
    <cellStyle name="Normal 10 2 2 2 3 2" xfId="909" xr:uid="{27C5210D-92C3-4595-BC27-1A6399C781E6}"/>
    <cellStyle name="Normal 10 2 2 2 3 2 2" xfId="4304" xr:uid="{F9F84432-AAFC-4298-9C44-A8DB72046688}"/>
    <cellStyle name="Normal 10 2 2 2 3 2 2 2" xfId="12684" xr:uid="{809E7AD7-F64F-4360-9E09-3A5FE900538B}"/>
    <cellStyle name="Normal 10 2 2 2 3 2 2 2 2" xfId="29444" xr:uid="{CF6E2C33-96F2-4CEA-8662-187D860CB21F}"/>
    <cellStyle name="Normal 10 2 2 2 3 2 2 2 3" xfId="46203" xr:uid="{767F32BF-B63A-4967-9D0B-11951AB685A9}"/>
    <cellStyle name="Normal 10 2 2 2 3 2 2 3" xfId="21064" xr:uid="{F4101C05-0BF8-401E-9E4D-7D184BA05B75}"/>
    <cellStyle name="Normal 10 2 2 2 3 2 2 4" xfId="37823" xr:uid="{F739D4E4-6E97-46BF-95B8-3039EFB9A921}"/>
    <cellStyle name="Normal 10 2 2 2 3 2 3" xfId="5991" xr:uid="{7E2BDCE0-2E61-491D-8C76-42B866BAA38A}"/>
    <cellStyle name="Normal 10 2 2 2 3 2 3 2" xfId="14371" xr:uid="{4FE1CA43-A8E7-4193-940D-D5887B4E98F3}"/>
    <cellStyle name="Normal 10 2 2 2 3 2 3 2 2" xfId="31131" xr:uid="{0185F56B-3086-44C0-A0B1-7BD7AAE36BD5}"/>
    <cellStyle name="Normal 10 2 2 2 3 2 3 2 3" xfId="47890" xr:uid="{A1E94F6B-9DBB-437E-9EB8-64D42436C148}"/>
    <cellStyle name="Normal 10 2 2 2 3 2 3 3" xfId="22751" xr:uid="{27058D15-47EB-4210-A7B1-D7A93117DD84}"/>
    <cellStyle name="Normal 10 2 2 2 3 2 3 4" xfId="39510" xr:uid="{73EEED9E-C78D-4800-AA42-D5E0717D33DE}"/>
    <cellStyle name="Normal 10 2 2 2 3 2 4" xfId="2727" xr:uid="{76AF2D3C-6429-443E-A901-A9352DB7A06D}"/>
    <cellStyle name="Normal 10 2 2 2 3 2 4 2" xfId="11107" xr:uid="{BF72AB85-0DDA-4F37-AC77-10FAC013600D}"/>
    <cellStyle name="Normal 10 2 2 2 3 2 4 2 2" xfId="27867" xr:uid="{72FE5601-BE87-476F-81EE-86C1EB1BD57B}"/>
    <cellStyle name="Normal 10 2 2 2 3 2 4 2 3" xfId="44626" xr:uid="{E99C74EF-10EF-4976-AB8C-DC9BDF65F97F}"/>
    <cellStyle name="Normal 10 2 2 2 3 2 4 3" xfId="19487" xr:uid="{0E6522FE-DBD7-446D-8688-5C85ED5813ED}"/>
    <cellStyle name="Normal 10 2 2 2 3 2 4 4" xfId="36246" xr:uid="{FA8EE05A-DDAE-4F72-AD75-41842BC4F0A0}"/>
    <cellStyle name="Normal 10 2 2 2 3 2 5" xfId="9304" xr:uid="{D4137FF8-3BCD-43B5-9603-F9F38CD4F96C}"/>
    <cellStyle name="Normal 10 2 2 2 3 2 5 2" xfId="26064" xr:uid="{F1308877-1BBE-48F3-9086-5FF1DD07E9C0}"/>
    <cellStyle name="Normal 10 2 2 2 3 2 5 3" xfId="42823" xr:uid="{E3FDDD06-6579-4D2F-85C7-42AEB4F088B9}"/>
    <cellStyle name="Normal 10 2 2 2 3 2 6" xfId="17684" xr:uid="{26597639-8B6A-4DB8-8384-F559D0EB52E6}"/>
    <cellStyle name="Normal 10 2 2 2 3 2 7" xfId="34443" xr:uid="{561B6532-E047-45FC-BEE7-744EEFF01FA4}"/>
    <cellStyle name="Normal 10 2 2 2 3 3" xfId="1343" xr:uid="{29DFBBEF-32B1-46F1-B2E0-613AA2CBAC3F}"/>
    <cellStyle name="Normal 10 2 2 2 3 3 2" xfId="4732" xr:uid="{F4311018-A6F5-4DEC-974D-049F0F830F20}"/>
    <cellStyle name="Normal 10 2 2 2 3 3 2 2" xfId="13112" xr:uid="{BEAEDAFD-F505-453E-985A-6A57D3556081}"/>
    <cellStyle name="Normal 10 2 2 2 3 3 2 2 2" xfId="29872" xr:uid="{5AFDC843-336F-46D2-9395-A3A1D81D744B}"/>
    <cellStyle name="Normal 10 2 2 2 3 3 2 2 3" xfId="46631" xr:uid="{E8C89FCB-0CC3-4D0B-BAB4-AF19A91D95D7}"/>
    <cellStyle name="Normal 10 2 2 2 3 3 2 3" xfId="21492" xr:uid="{F9526826-1A19-4345-B077-E7BB4578E9A1}"/>
    <cellStyle name="Normal 10 2 2 2 3 3 2 4" xfId="38251" xr:uid="{EADD731F-DF2D-405C-B6A3-910CDD97D315}"/>
    <cellStyle name="Normal 10 2 2 2 3 3 3" xfId="6419" xr:uid="{23CD74ED-40C4-4BB9-BC39-4F261EF0BDE5}"/>
    <cellStyle name="Normal 10 2 2 2 3 3 3 2" xfId="14799" xr:uid="{42C80E3A-6125-4BAE-8C91-7E48E88E702B}"/>
    <cellStyle name="Normal 10 2 2 2 3 3 3 2 2" xfId="31559" xr:uid="{E1917B83-8D31-46AB-A81F-871851320AF6}"/>
    <cellStyle name="Normal 10 2 2 2 3 3 3 2 3" xfId="48318" xr:uid="{7E6E5A62-8F0B-46E1-A48A-215A8C902E64}"/>
    <cellStyle name="Normal 10 2 2 2 3 3 3 3" xfId="23179" xr:uid="{F0F076FA-4A0E-4713-A556-6E90579462DD}"/>
    <cellStyle name="Normal 10 2 2 2 3 3 3 4" xfId="39938" xr:uid="{26A880FA-8043-43BB-9BD2-C524AA5987AB}"/>
    <cellStyle name="Normal 10 2 2 2 3 3 4" xfId="3155" xr:uid="{C8B02434-FB0A-466E-92FB-A078437E8367}"/>
    <cellStyle name="Normal 10 2 2 2 3 3 4 2" xfId="11535" xr:uid="{6B67E3B5-276D-4A0A-8D32-F163212D65E2}"/>
    <cellStyle name="Normal 10 2 2 2 3 3 4 2 2" xfId="28295" xr:uid="{9594632E-5560-4CBA-84AA-0F4DA35545C9}"/>
    <cellStyle name="Normal 10 2 2 2 3 3 4 2 3" xfId="45054" xr:uid="{F58FDC8C-8843-4620-B33B-CAA6CF936295}"/>
    <cellStyle name="Normal 10 2 2 2 3 3 4 3" xfId="19915" xr:uid="{D59D1F33-C6CC-4A0B-87F7-D00ABB77852B}"/>
    <cellStyle name="Normal 10 2 2 2 3 3 4 4" xfId="36674" xr:uid="{64B2C684-7DF0-4A00-A4A3-07DE5704128B}"/>
    <cellStyle name="Normal 10 2 2 2 3 3 5" xfId="9732" xr:uid="{1F133E5E-7814-4A9C-B037-CCE585A1FD7F}"/>
    <cellStyle name="Normal 10 2 2 2 3 3 5 2" xfId="26492" xr:uid="{B2CB0252-9730-4123-89BD-A60C5C23EBA5}"/>
    <cellStyle name="Normal 10 2 2 2 3 3 5 3" xfId="43251" xr:uid="{998B61CB-31CE-4545-8D3E-CA36A1EE1DE7}"/>
    <cellStyle name="Normal 10 2 2 2 3 3 6" xfId="18112" xr:uid="{7923D47E-9867-403D-9ADC-C53C73CBD4E0}"/>
    <cellStyle name="Normal 10 2 2 2 3 3 7" xfId="34871" xr:uid="{6385AA95-CC2C-41D1-8A39-2E39BC1D99C7}"/>
    <cellStyle name="Normal 10 2 2 2 3 4" xfId="1987" xr:uid="{E33ECFCD-1A03-4FC7-8A84-6499ED193EC7}"/>
    <cellStyle name="Normal 10 2 2 2 3 4 2" xfId="5376" xr:uid="{0EB9BFC7-A247-4892-A522-E01441647EC7}"/>
    <cellStyle name="Normal 10 2 2 2 3 4 2 2" xfId="13756" xr:uid="{94272775-3DAF-4C89-89DC-C55B55625495}"/>
    <cellStyle name="Normal 10 2 2 2 3 4 2 2 2" xfId="30516" xr:uid="{F3F71CFB-96B3-4498-A33C-F9BC918AE321}"/>
    <cellStyle name="Normal 10 2 2 2 3 4 2 2 3" xfId="47275" xr:uid="{1C9BF1F1-7A54-4D2F-9341-9DC71C0DBEA2}"/>
    <cellStyle name="Normal 10 2 2 2 3 4 2 3" xfId="22136" xr:uid="{0E8F2CA1-747D-457B-B0E4-46E6FFF3B550}"/>
    <cellStyle name="Normal 10 2 2 2 3 4 2 4" xfId="38895" xr:uid="{46D5DA92-E3A3-4ABD-A4C4-AC3319A1773D}"/>
    <cellStyle name="Normal 10 2 2 2 3 4 3" xfId="7063" xr:uid="{4ED45EFF-0183-4ED7-9204-A9374A8EA7A8}"/>
    <cellStyle name="Normal 10 2 2 2 3 4 3 2" xfId="15443" xr:uid="{975D3C49-6E30-4E1E-92E9-E11924CD6498}"/>
    <cellStyle name="Normal 10 2 2 2 3 4 3 2 2" xfId="32203" xr:uid="{6E215585-2D40-4F88-9758-2D36F1D36B2B}"/>
    <cellStyle name="Normal 10 2 2 2 3 4 3 2 3" xfId="48962" xr:uid="{ECEEB78D-9BFF-4E80-A3D4-251290043510}"/>
    <cellStyle name="Normal 10 2 2 2 3 4 3 3" xfId="23823" xr:uid="{1FEC37A3-9C10-438D-B0FC-3C79A911331A}"/>
    <cellStyle name="Normal 10 2 2 2 3 4 3 4" xfId="40582" xr:uid="{AEDF6F97-0BD8-4818-86D3-A4EE3D8669F4}"/>
    <cellStyle name="Normal 10 2 2 2 3 4 4" xfId="3686" xr:uid="{9E01FD6D-B2CF-4305-B351-E4A2160B3786}"/>
    <cellStyle name="Normal 10 2 2 2 3 4 4 2" xfId="12066" xr:uid="{1FA7462D-EA15-450D-84E7-EBF268897DE4}"/>
    <cellStyle name="Normal 10 2 2 2 3 4 4 2 2" xfId="28826" xr:uid="{F7B090EA-2028-43D1-943F-293C64AAC960}"/>
    <cellStyle name="Normal 10 2 2 2 3 4 4 2 3" xfId="45585" xr:uid="{978577F6-5204-43AE-994B-8401ED467495}"/>
    <cellStyle name="Normal 10 2 2 2 3 4 4 3" xfId="20446" xr:uid="{71971742-F2F7-43E0-BDBD-1EAFF740EF86}"/>
    <cellStyle name="Normal 10 2 2 2 3 4 4 4" xfId="37205" xr:uid="{79FE1B26-6452-4785-99CF-4014A64DE253}"/>
    <cellStyle name="Normal 10 2 2 2 3 4 5" xfId="10376" xr:uid="{A76B06BF-C302-47F1-83BF-3DCBEC0A4D30}"/>
    <cellStyle name="Normal 10 2 2 2 3 4 5 2" xfId="27136" xr:uid="{FD873BEB-9568-44F2-A129-2D02428DED27}"/>
    <cellStyle name="Normal 10 2 2 2 3 4 5 3" xfId="43895" xr:uid="{A8E1B843-DCF0-4DD7-A934-09B34257DBFA}"/>
    <cellStyle name="Normal 10 2 2 2 3 4 6" xfId="18756" xr:uid="{06EF7158-A64C-4DD5-9E52-7FCC198831F7}"/>
    <cellStyle name="Normal 10 2 2 2 3 4 7" xfId="35515" xr:uid="{B8FA273C-37E4-43F4-8092-91129136654C}"/>
    <cellStyle name="Normal 10 2 2 2 3 5" xfId="4106" xr:uid="{444B7066-A112-4A45-883B-0AE6CDB71DAE}"/>
    <cellStyle name="Normal 10 2 2 2 3 5 2" xfId="12486" xr:uid="{E3B389CE-D2BE-43D2-BC8B-0A3566F7E60A}"/>
    <cellStyle name="Normal 10 2 2 2 3 5 2 2" xfId="29246" xr:uid="{B0A79E4C-8D9E-4C74-96C1-163A2C2B1243}"/>
    <cellStyle name="Normal 10 2 2 2 3 5 2 3" xfId="46005" xr:uid="{4ACE5538-FB03-454A-9E63-3BB66533AF5D}"/>
    <cellStyle name="Normal 10 2 2 2 3 5 3" xfId="20866" xr:uid="{7513511B-EFA9-4898-8A1E-7CCFD68B425D}"/>
    <cellStyle name="Normal 10 2 2 2 3 5 4" xfId="37625" xr:uid="{66B86E3E-79F0-4027-B2E3-6FC087C1EF44}"/>
    <cellStyle name="Normal 10 2 2 2 3 6" xfId="5565" xr:uid="{4BD21904-1657-40AA-AF9A-D42A3441FC37}"/>
    <cellStyle name="Normal 10 2 2 2 3 6 2" xfId="13945" xr:uid="{23674490-B459-4C0F-820D-5350649DA32A}"/>
    <cellStyle name="Normal 10 2 2 2 3 6 2 2" xfId="30705" xr:uid="{DAF14B29-C880-4C70-ADFA-EE3B5D428059}"/>
    <cellStyle name="Normal 10 2 2 2 3 6 2 3" xfId="47464" xr:uid="{6FAB6D34-2A76-4408-ABBA-61D5EE479C61}"/>
    <cellStyle name="Normal 10 2 2 2 3 6 3" xfId="22325" xr:uid="{E46B45DC-9D8C-46C5-8BCC-C9E1B69ABC59}"/>
    <cellStyle name="Normal 10 2 2 2 3 6 4" xfId="39084" xr:uid="{898079FC-6BFE-4EA9-AE69-F116A392DE93}"/>
    <cellStyle name="Normal 10 2 2 2 3 7" xfId="7469" xr:uid="{8CCE33D2-7AC6-4CCD-B8A6-69A58824ABCE}"/>
    <cellStyle name="Normal 10 2 2 2 3 7 2" xfId="15849" xr:uid="{BB981410-246D-4EDA-ACE6-24AD4CDB23CD}"/>
    <cellStyle name="Normal 10 2 2 2 3 7 2 2" xfId="32609" xr:uid="{A3D1184B-7043-48B2-B2C8-2EEED95723AA}"/>
    <cellStyle name="Normal 10 2 2 2 3 7 2 3" xfId="49368" xr:uid="{88E0BE7A-C561-462A-8770-01D6F2FC47EC}"/>
    <cellStyle name="Normal 10 2 2 2 3 7 3" xfId="24229" xr:uid="{247A5FC6-5378-499E-B7DD-8B9F62FBB409}"/>
    <cellStyle name="Normal 10 2 2 2 3 7 4" xfId="40988" xr:uid="{B92C40EA-90F0-45E6-9EF8-22AFBCF56EBE}"/>
    <cellStyle name="Normal 10 2 2 2 3 8" xfId="7875" xr:uid="{3FAB62A1-76A3-4171-B2D0-4405C1180D9A}"/>
    <cellStyle name="Normal 10 2 2 2 3 8 2" xfId="16255" xr:uid="{16B6D22F-065A-404B-92D7-F266C7672284}"/>
    <cellStyle name="Normal 10 2 2 2 3 8 2 2" xfId="33015" xr:uid="{6D7A81AB-4096-4EEB-9E16-5B214BE4038B}"/>
    <cellStyle name="Normal 10 2 2 2 3 8 2 3" xfId="49774" xr:uid="{04DD5182-3668-43F5-9213-3F83F0D9A606}"/>
    <cellStyle name="Normal 10 2 2 2 3 8 3" xfId="24635" xr:uid="{C35521D5-9D40-4B4C-9E6B-2A8217EF55CE}"/>
    <cellStyle name="Normal 10 2 2 2 3 8 4" xfId="41394" xr:uid="{FD3C6D32-C299-4E9A-8981-F3B762EE405A}"/>
    <cellStyle name="Normal 10 2 2 2 3 9" xfId="8281" xr:uid="{6507BA7A-54AF-491E-AE64-066E5416C11A}"/>
    <cellStyle name="Normal 10 2 2 2 3 9 2" xfId="16661" xr:uid="{0DDD0A4D-1B5E-41C4-BDD0-F2F0854AF42C}"/>
    <cellStyle name="Normal 10 2 2 2 3 9 2 2" xfId="33421" xr:uid="{CFF9C7D0-FF4E-4E52-B93D-1B5A03291215}"/>
    <cellStyle name="Normal 10 2 2 2 3 9 2 3" xfId="50180" xr:uid="{6115BA93-200C-47F0-94C6-1461773E8E88}"/>
    <cellStyle name="Normal 10 2 2 2 3 9 3" xfId="25041" xr:uid="{2F3EBAD1-BD6D-4BA2-8358-3DA010B1047D}"/>
    <cellStyle name="Normal 10 2 2 2 3 9 4" xfId="41800" xr:uid="{4A14B1FA-1C86-4C10-A741-03416DDDE662}"/>
    <cellStyle name="Normal 10 2 2 2 4" xfId="875" xr:uid="{F21DE90B-4FE6-4532-9037-F1C75A6E5359}"/>
    <cellStyle name="Normal 10 2 2 2 4 2" xfId="4270" xr:uid="{8F485540-D887-4DE9-BDE8-024E33532A51}"/>
    <cellStyle name="Normal 10 2 2 2 4 2 2" xfId="12650" xr:uid="{31060B03-B3E6-405F-8769-A9519B0DC8CE}"/>
    <cellStyle name="Normal 10 2 2 2 4 2 2 2" xfId="29410" xr:uid="{22403F03-642B-47B4-94FD-91B563208146}"/>
    <cellStyle name="Normal 10 2 2 2 4 2 2 3" xfId="46169" xr:uid="{DD462FB3-DA05-4438-B56D-E76287593853}"/>
    <cellStyle name="Normal 10 2 2 2 4 2 3" xfId="21030" xr:uid="{0CDC39A4-2770-4F0D-96E0-0E69E43C6F0B}"/>
    <cellStyle name="Normal 10 2 2 2 4 2 4" xfId="37789" xr:uid="{2181F6FF-A57A-45D2-80F0-9F91F89451FC}"/>
    <cellStyle name="Normal 10 2 2 2 4 3" xfId="5957" xr:uid="{95C8A28A-6C9E-4DC3-9E14-6E7588AE8167}"/>
    <cellStyle name="Normal 10 2 2 2 4 3 2" xfId="14337" xr:uid="{CC61FEE2-C14A-4F6F-98A5-A85944A4A7CB}"/>
    <cellStyle name="Normal 10 2 2 2 4 3 2 2" xfId="31097" xr:uid="{879FED70-CDC6-47E3-88A0-53E3C90996B2}"/>
    <cellStyle name="Normal 10 2 2 2 4 3 2 3" xfId="47856" xr:uid="{5797CC14-FABF-4358-A6B3-EEE412DF8563}"/>
    <cellStyle name="Normal 10 2 2 2 4 3 3" xfId="22717" xr:uid="{23385E19-E478-4AAB-9F04-9C5F1CD7D14E}"/>
    <cellStyle name="Normal 10 2 2 2 4 3 4" xfId="39476" xr:uid="{F05A15B8-0F2B-41CC-B0D2-D0ADBC5C8238}"/>
    <cellStyle name="Normal 10 2 2 2 4 4" xfId="2693" xr:uid="{2337A826-EA56-4D9B-8F2A-054977FE968F}"/>
    <cellStyle name="Normal 10 2 2 2 4 4 2" xfId="11073" xr:uid="{0EE72133-AC27-48AA-AD2A-FBADDE7EFAF1}"/>
    <cellStyle name="Normal 10 2 2 2 4 4 2 2" xfId="27833" xr:uid="{518E4BCF-BBD8-41DB-ABE8-79B1C1553E5C}"/>
    <cellStyle name="Normal 10 2 2 2 4 4 2 3" xfId="44592" xr:uid="{ED13C083-4F6A-4403-B436-BFFE57AF4737}"/>
    <cellStyle name="Normal 10 2 2 2 4 4 3" xfId="19453" xr:uid="{6B8755AB-E809-4283-AEBD-595B9882095D}"/>
    <cellStyle name="Normal 10 2 2 2 4 4 4" xfId="36212" xr:uid="{D575BE32-BEAB-458C-9C67-1CE85AF004FF}"/>
    <cellStyle name="Normal 10 2 2 2 4 5" xfId="9270" xr:uid="{9ACF4726-93A4-4478-826B-A4B23646FEF0}"/>
    <cellStyle name="Normal 10 2 2 2 4 5 2" xfId="26030" xr:uid="{394E4A8F-C5BD-4D2A-A911-A13FD389EDE3}"/>
    <cellStyle name="Normal 10 2 2 2 4 5 3" xfId="42789" xr:uid="{ACB4ECE9-D9B8-4AF9-A3B4-C36E609FF93B}"/>
    <cellStyle name="Normal 10 2 2 2 4 6" xfId="17650" xr:uid="{EF1BB8A0-34DA-4734-B173-1A6268182205}"/>
    <cellStyle name="Normal 10 2 2 2 4 7" xfId="34409" xr:uid="{40CBE1F4-33E9-4198-9C5C-73C23F263BAF}"/>
    <cellStyle name="Normal 10 2 2 2 5" xfId="1309" xr:uid="{288B9D22-744F-4A31-BCEA-800A9C94B5D1}"/>
    <cellStyle name="Normal 10 2 2 2 5 2" xfId="4698" xr:uid="{2B64301E-02B4-4BD6-8EC5-2F691D81FCE0}"/>
    <cellStyle name="Normal 10 2 2 2 5 2 2" xfId="13078" xr:uid="{BA3A27B8-2327-4D16-9243-3E222D21A894}"/>
    <cellStyle name="Normal 10 2 2 2 5 2 2 2" xfId="29838" xr:uid="{D2D6D2C2-14BF-4DF9-80CA-FB085D09FF06}"/>
    <cellStyle name="Normal 10 2 2 2 5 2 2 3" xfId="46597" xr:uid="{EB290710-B0B1-4872-9F72-3478109C3C50}"/>
    <cellStyle name="Normal 10 2 2 2 5 2 3" xfId="21458" xr:uid="{5BA525B7-D23D-42EE-BA2D-5F58190695B7}"/>
    <cellStyle name="Normal 10 2 2 2 5 2 4" xfId="38217" xr:uid="{70FFC583-BEA4-4792-8C42-E61F55132BAB}"/>
    <cellStyle name="Normal 10 2 2 2 5 3" xfId="6385" xr:uid="{AE93ECC3-D275-456D-AAAD-E227CEC8911B}"/>
    <cellStyle name="Normal 10 2 2 2 5 3 2" xfId="14765" xr:uid="{5AA76324-4069-4C5A-A44A-D07ED77A1444}"/>
    <cellStyle name="Normal 10 2 2 2 5 3 2 2" xfId="31525" xr:uid="{46587F9C-ABAB-44C0-885E-E75DBC35FE0D}"/>
    <cellStyle name="Normal 10 2 2 2 5 3 2 3" xfId="48284" xr:uid="{9301FD4A-E25E-4DA9-B3CB-7BB451B4B20D}"/>
    <cellStyle name="Normal 10 2 2 2 5 3 3" xfId="23145" xr:uid="{A6C3451B-2E32-4F1B-BB04-108AB140A341}"/>
    <cellStyle name="Normal 10 2 2 2 5 3 4" xfId="39904" xr:uid="{DDD59410-C5F6-4E2C-86A2-927B22252BFA}"/>
    <cellStyle name="Normal 10 2 2 2 5 4" xfId="3121" xr:uid="{9AC10B2D-7EF7-437D-9D12-E51C11E40EEE}"/>
    <cellStyle name="Normal 10 2 2 2 5 4 2" xfId="11501" xr:uid="{CF0325B0-7DF3-4710-B7C1-EC788A76A4E5}"/>
    <cellStyle name="Normal 10 2 2 2 5 4 2 2" xfId="28261" xr:uid="{CF568712-575E-420E-B3CB-F4D4A7692EB7}"/>
    <cellStyle name="Normal 10 2 2 2 5 4 2 3" xfId="45020" xr:uid="{CAF0A61E-D416-4F88-8722-207EC606C52F}"/>
    <cellStyle name="Normal 10 2 2 2 5 4 3" xfId="19881" xr:uid="{A5265616-2DBC-40A4-B4AB-935097C2A336}"/>
    <cellStyle name="Normal 10 2 2 2 5 4 4" xfId="36640" xr:uid="{5827CF7A-181D-4950-94FB-43FAA3331C84}"/>
    <cellStyle name="Normal 10 2 2 2 5 5" xfId="9698" xr:uid="{0324483F-D071-4AD6-92E9-2C1E34F52082}"/>
    <cellStyle name="Normal 10 2 2 2 5 5 2" xfId="26458" xr:uid="{0B02231F-338D-4F03-9510-5B9FC36451BF}"/>
    <cellStyle name="Normal 10 2 2 2 5 5 3" xfId="43217" xr:uid="{8001A61F-C96F-4EFF-B33A-62EAE79AD885}"/>
    <cellStyle name="Normal 10 2 2 2 5 6" xfId="18078" xr:uid="{AFD933C6-424C-4EE6-95D0-E66E2B3FC07F}"/>
    <cellStyle name="Normal 10 2 2 2 5 7" xfId="34837" xr:uid="{F26D8EFF-9BD1-4907-8BD8-88519E13FAF9}"/>
    <cellStyle name="Normal 10 2 2 2 6" xfId="1716" xr:uid="{F36CB7C6-9875-4331-9CA2-E4E3F39469AE}"/>
    <cellStyle name="Normal 10 2 2 2 6 2" xfId="5105" xr:uid="{28E18C81-DA2D-41EF-945F-CFC703CB53FF}"/>
    <cellStyle name="Normal 10 2 2 2 6 2 2" xfId="13485" xr:uid="{2D7DCB39-A341-4BF9-943D-1BC0448A6A8B}"/>
    <cellStyle name="Normal 10 2 2 2 6 2 2 2" xfId="30245" xr:uid="{018ADF6E-7A20-4AC1-BDF9-DD1B1C2D68B8}"/>
    <cellStyle name="Normal 10 2 2 2 6 2 2 3" xfId="47004" xr:uid="{D2F01E1D-51E4-42D9-B7B4-190F09EFF203}"/>
    <cellStyle name="Normal 10 2 2 2 6 2 3" xfId="21865" xr:uid="{AD7EEBC1-CB08-4174-912A-8F9D5F03875F}"/>
    <cellStyle name="Normal 10 2 2 2 6 2 4" xfId="38624" xr:uid="{49AA6607-1C81-4B06-8837-6805C0E43CF4}"/>
    <cellStyle name="Normal 10 2 2 2 6 3" xfId="6792" xr:uid="{6EED4D80-34F3-4C7F-97B9-1E5C03E7CAA0}"/>
    <cellStyle name="Normal 10 2 2 2 6 3 2" xfId="15172" xr:uid="{CC76AC61-D3FD-4E87-8BF0-B0CFA8B7C2DF}"/>
    <cellStyle name="Normal 10 2 2 2 6 3 2 2" xfId="31932" xr:uid="{497D1A84-9E35-4A57-8196-B8D5F9D4A084}"/>
    <cellStyle name="Normal 10 2 2 2 6 3 2 3" xfId="48691" xr:uid="{6DB4486E-0E96-4C0B-AD7C-7A4747A743BA}"/>
    <cellStyle name="Normal 10 2 2 2 6 3 3" xfId="23552" xr:uid="{A87D85D0-E3FA-4F55-94FA-5AF7BCE0C148}"/>
    <cellStyle name="Normal 10 2 2 2 6 3 4" xfId="40311" xr:uid="{D57C7158-8F86-4B4D-9FD2-462DFA43A0F9}"/>
    <cellStyle name="Normal 10 2 2 2 6 4" xfId="3439" xr:uid="{11DC4B88-C19D-46F6-9091-4CD951AFE1D8}"/>
    <cellStyle name="Normal 10 2 2 2 6 4 2" xfId="11819" xr:uid="{542554ED-E8B6-4855-8106-9598975686B7}"/>
    <cellStyle name="Normal 10 2 2 2 6 4 2 2" xfId="28579" xr:uid="{34B0C29F-A546-4192-B6E3-6FD014D998AB}"/>
    <cellStyle name="Normal 10 2 2 2 6 4 2 3" xfId="45338" xr:uid="{1BE0DE3E-1877-46C9-81BD-EA9C9FFA4D1B}"/>
    <cellStyle name="Normal 10 2 2 2 6 4 3" xfId="20199" xr:uid="{E4EC396A-9EFF-436B-8FBB-ABBEC76848BE}"/>
    <cellStyle name="Normal 10 2 2 2 6 4 4" xfId="36958" xr:uid="{2D9621CC-B02A-45D7-BFF8-D019F9C5FFF4}"/>
    <cellStyle name="Normal 10 2 2 2 6 5" xfId="10105" xr:uid="{2C6ED5E4-15D5-4EEC-B799-C383D16CF651}"/>
    <cellStyle name="Normal 10 2 2 2 6 5 2" xfId="26865" xr:uid="{B95423EB-4AF5-4D70-89D8-9DC5DA7ABB30}"/>
    <cellStyle name="Normal 10 2 2 2 6 5 3" xfId="43624" xr:uid="{034A6840-22AC-4218-8F9B-066302A49B44}"/>
    <cellStyle name="Normal 10 2 2 2 6 6" xfId="18485" xr:uid="{05CB7371-40FF-4421-A4B1-61B4ADA8CF73}"/>
    <cellStyle name="Normal 10 2 2 2 6 7" xfId="35244" xr:uid="{3E80DD2A-D51D-4B39-9D55-0C6C777BD7A5}"/>
    <cellStyle name="Normal 10 2 2 2 7" xfId="3835" xr:uid="{9C2DA4AE-A2EF-42B7-91F2-15406FC52DB3}"/>
    <cellStyle name="Normal 10 2 2 2 7 2" xfId="12215" xr:uid="{1FFF7250-B05C-41B8-976C-53AEF67E6A5F}"/>
    <cellStyle name="Normal 10 2 2 2 7 2 2" xfId="28975" xr:uid="{E72ED075-DEA6-4F20-8639-4F7478387C9A}"/>
    <cellStyle name="Normal 10 2 2 2 7 2 3" xfId="45734" xr:uid="{79AEA508-C84E-4DD9-9F6D-1AA73970CF5C}"/>
    <cellStyle name="Normal 10 2 2 2 7 3" xfId="20595" xr:uid="{6CBAE030-144E-4DDA-8742-3108D6EAA8CB}"/>
    <cellStyle name="Normal 10 2 2 2 7 4" xfId="37354" xr:uid="{297586BE-B9F3-429C-B5C7-966FECEEE65A}"/>
    <cellStyle name="Normal 10 2 2 2 8" xfId="5531" xr:uid="{2A6BA5FD-3798-46ED-8591-958162F0122E}"/>
    <cellStyle name="Normal 10 2 2 2 8 2" xfId="13911" xr:uid="{0A83D87E-1D13-4A67-99E7-296A43F51A85}"/>
    <cellStyle name="Normal 10 2 2 2 8 2 2" xfId="30671" xr:uid="{A92EF00F-303A-4C71-95F4-E27467883F04}"/>
    <cellStyle name="Normal 10 2 2 2 8 2 3" xfId="47430" xr:uid="{766F4176-9FA9-4078-8A77-A984FA3F71EE}"/>
    <cellStyle name="Normal 10 2 2 2 8 3" xfId="22291" xr:uid="{3D54123E-8E90-42C4-B16E-98AFB11462F3}"/>
    <cellStyle name="Normal 10 2 2 2 8 4" xfId="39050" xr:uid="{8A6A51F2-5716-42E1-B6B9-C23458F257DD}"/>
    <cellStyle name="Normal 10 2 2 2 9" xfId="7198" xr:uid="{5CDCDDEC-35EB-4948-B15D-7B511F3F073A}"/>
    <cellStyle name="Normal 10 2 2 2 9 2" xfId="15578" xr:uid="{FB3810D4-64E6-440C-AB32-554EC2E28C19}"/>
    <cellStyle name="Normal 10 2 2 2 9 2 2" xfId="32338" xr:uid="{24D114C8-874C-4F3A-BB9C-986CFE4FC7AB}"/>
    <cellStyle name="Normal 10 2 2 2 9 2 3" xfId="49097" xr:uid="{41E26B97-CC9D-4BCC-9C87-507AF12B9D4B}"/>
    <cellStyle name="Normal 10 2 2 2 9 3" xfId="23958" xr:uid="{10C49C2B-AF18-48B7-BE4D-0F89F0696A19}"/>
    <cellStyle name="Normal 10 2 2 2 9 4" xfId="40717" xr:uid="{A274C1F2-7308-4389-AF22-C6661757BC98}"/>
    <cellStyle name="Normal 10 2 2 22" xfId="50812" xr:uid="{21251184-7AE6-49F4-917F-677D5A78C07F}"/>
    <cellStyle name="Normal 10 2 2 3" xfId="468" xr:uid="{71F9FE40-3225-4EC3-AC5A-7CBCAE6D14EF}"/>
    <cellStyle name="Normal 10 2 2 3 10" xfId="8468" xr:uid="{89BBE6DB-B16D-49A1-831B-7E122FD88E7B}"/>
    <cellStyle name="Normal 10 2 2 3 10 2" xfId="16848" xr:uid="{ACCBDA29-9555-4B14-A630-6B490EEAB261}"/>
    <cellStyle name="Normal 10 2 2 3 10 2 2" xfId="33608" xr:uid="{807AF004-182F-4BD4-8EC9-0916C5818A4F}"/>
    <cellStyle name="Normal 10 2 2 3 10 2 3" xfId="50367" xr:uid="{ED42E105-0FD1-443C-9F1E-624789B87638}"/>
    <cellStyle name="Normal 10 2 2 3 10 3" xfId="25228" xr:uid="{574117C6-EB31-4E32-8234-3DD11271EF77}"/>
    <cellStyle name="Normal 10 2 2 3 10 4" xfId="41987" xr:uid="{73F42978-17AB-47D0-B5D0-D7AF55617BFE}"/>
    <cellStyle name="Normal 10 2 2 3 11" xfId="2300" xr:uid="{4AB2BC15-52BE-45F6-8533-966AD230717E}"/>
    <cellStyle name="Normal 10 2 2 3 11 2" xfId="10682" xr:uid="{594697F1-E9EC-4246-A2FB-AE12794462E4}"/>
    <cellStyle name="Normal 10 2 2 3 11 2 2" xfId="27442" xr:uid="{DB2343E7-64DF-46F2-A678-733780528D52}"/>
    <cellStyle name="Normal 10 2 2 3 11 2 3" xfId="44201" xr:uid="{A7C053D0-EF59-4FD5-9BCA-1A5433CF4264}"/>
    <cellStyle name="Normal 10 2 2 3 11 3" xfId="19062" xr:uid="{0A04CB10-04D2-4B20-9A9D-B37D79F5046D}"/>
    <cellStyle name="Normal 10 2 2 3 11 4" xfId="35821" xr:uid="{0A3F626B-8658-4481-915A-92A16DCACDF6}"/>
    <cellStyle name="Normal 10 2 2 3 12" xfId="8879" xr:uid="{9B156E3A-A9D8-45E3-8A0A-474DC7EC6635}"/>
    <cellStyle name="Normal 10 2 2 3 12 2" xfId="25639" xr:uid="{EBC898DD-C14B-4B60-A43F-115E67BA01F6}"/>
    <cellStyle name="Normal 10 2 2 3 12 3" xfId="42398" xr:uid="{236BDFFA-6672-4320-B647-90A46A51A10F}"/>
    <cellStyle name="Normal 10 2 2 3 13" xfId="17259" xr:uid="{93E75EB2-2803-4733-867E-5DB1FB2B582E}"/>
    <cellStyle name="Normal 10 2 2 3 14" xfId="34018" xr:uid="{B6A9AD25-5B7E-415F-9347-3F5D7CA89536}"/>
    <cellStyle name="Normal 10 2 2 3 2" xfId="910" xr:uid="{714007B5-5668-41A3-82E7-7AB43A669364}"/>
    <cellStyle name="Normal 10 2 2 3 2 2" xfId="4305" xr:uid="{37067E0D-F6B7-43EC-99B4-85986E3A2F0B}"/>
    <cellStyle name="Normal 10 2 2 3 2 2 2" xfId="12685" xr:uid="{98A732E0-700A-48E6-BBA3-01E9E195D5F3}"/>
    <cellStyle name="Normal 10 2 2 3 2 2 2 2" xfId="29445" xr:uid="{398BD5FF-1737-4871-921F-FFF2A76F6176}"/>
    <cellStyle name="Normal 10 2 2 3 2 2 2 3" xfId="46204" xr:uid="{6F66D319-C780-44FC-B48A-85B1510773CA}"/>
    <cellStyle name="Normal 10 2 2 3 2 2 3" xfId="21065" xr:uid="{6B7104FC-93F6-44D8-BCBD-B42DBDDA68DE}"/>
    <cellStyle name="Normal 10 2 2 3 2 2 4" xfId="37824" xr:uid="{9AEDFF72-B24B-4F67-98EC-8DB4120D1345}"/>
    <cellStyle name="Normal 10 2 2 3 2 3" xfId="5992" xr:uid="{2F4F5CDC-578F-4391-A9FE-392EEECE4E63}"/>
    <cellStyle name="Normal 10 2 2 3 2 3 2" xfId="14372" xr:uid="{8F55A122-3CA0-4147-A8A3-E9EB8D583C62}"/>
    <cellStyle name="Normal 10 2 2 3 2 3 2 2" xfId="31132" xr:uid="{16F7AA40-3453-46A1-95F7-BBEA7606F71A}"/>
    <cellStyle name="Normal 10 2 2 3 2 3 2 3" xfId="47891" xr:uid="{763283AA-B815-4FF0-9014-FAB07A54CBF4}"/>
    <cellStyle name="Normal 10 2 2 3 2 3 3" xfId="22752" xr:uid="{E27A00C2-CB37-461F-BC8A-F019FFA6D364}"/>
    <cellStyle name="Normal 10 2 2 3 2 3 4" xfId="39511" xr:uid="{62F26C04-14E7-4571-9D34-9774EC7BAE18}"/>
    <cellStyle name="Normal 10 2 2 3 2 4" xfId="2728" xr:uid="{2E8E807A-EBF8-46AF-9D99-AFF78128C453}"/>
    <cellStyle name="Normal 10 2 2 3 2 4 2" xfId="11108" xr:uid="{DC7EB4AB-0491-4FA6-98E3-2A100A571CE3}"/>
    <cellStyle name="Normal 10 2 2 3 2 4 2 2" xfId="27868" xr:uid="{722510D0-ACE0-4FE7-9D77-8502E45E461F}"/>
    <cellStyle name="Normal 10 2 2 3 2 4 2 3" xfId="44627" xr:uid="{1EDBCCA9-7EA4-4494-AF63-57576007F215}"/>
    <cellStyle name="Normal 10 2 2 3 2 4 3" xfId="19488" xr:uid="{3504B690-BAFF-4CBD-B884-6FA7D41CADFF}"/>
    <cellStyle name="Normal 10 2 2 3 2 4 4" xfId="36247" xr:uid="{A8319621-0FD1-4967-8131-44E19E39535D}"/>
    <cellStyle name="Normal 10 2 2 3 2 5" xfId="9305" xr:uid="{91A0024C-3314-4733-A371-7E44BC8CF449}"/>
    <cellStyle name="Normal 10 2 2 3 2 5 2" xfId="26065" xr:uid="{2A15EC24-4943-4B9A-B74E-D6213830FC6D}"/>
    <cellStyle name="Normal 10 2 2 3 2 5 3" xfId="42824" xr:uid="{B59D838C-3522-46A6-8567-973E8A237669}"/>
    <cellStyle name="Normal 10 2 2 3 2 6" xfId="17685" xr:uid="{A1229367-4B9D-40EC-A0D3-0A4A89D8924A}"/>
    <cellStyle name="Normal 10 2 2 3 2 7" xfId="34444" xr:uid="{DD1A22DF-C99C-400E-A81B-292F43DECBB1}"/>
    <cellStyle name="Normal 10 2 2 3 3" xfId="1344" xr:uid="{2D7C4E03-2CE3-4169-BCDA-307A25853D96}"/>
    <cellStyle name="Normal 10 2 2 3 3 2" xfId="4733" xr:uid="{B75ED115-B3EE-4145-A0D2-1656001BC655}"/>
    <cellStyle name="Normal 10 2 2 3 3 2 2" xfId="13113" xr:uid="{C2E84830-C923-41DD-A464-BEE81D0B0F91}"/>
    <cellStyle name="Normal 10 2 2 3 3 2 2 2" xfId="29873" xr:uid="{C244D6DC-D98A-458D-B98F-680CA11D0577}"/>
    <cellStyle name="Normal 10 2 2 3 3 2 2 3" xfId="46632" xr:uid="{52D1D88E-5A58-44D8-8869-D56207F2038C}"/>
    <cellStyle name="Normal 10 2 2 3 3 2 3" xfId="21493" xr:uid="{683B5D39-BE28-4C0D-BDB9-0F8963F2312D}"/>
    <cellStyle name="Normal 10 2 2 3 3 2 4" xfId="38252" xr:uid="{40E4359C-91D7-4AD2-B5C1-7FB0B48B6671}"/>
    <cellStyle name="Normal 10 2 2 3 3 3" xfId="6420" xr:uid="{D5CAD64B-26D0-41E0-BBC2-E0E1256901DF}"/>
    <cellStyle name="Normal 10 2 2 3 3 3 2" xfId="14800" xr:uid="{78C3E61D-27FA-45CF-AB98-AE5F7E6AFE4F}"/>
    <cellStyle name="Normal 10 2 2 3 3 3 2 2" xfId="31560" xr:uid="{F2BF29FE-FFD8-4D61-9BB5-78CA3D4285AE}"/>
    <cellStyle name="Normal 10 2 2 3 3 3 2 3" xfId="48319" xr:uid="{EC8D3336-E5D7-42EC-9875-0F88DBCD2DE6}"/>
    <cellStyle name="Normal 10 2 2 3 3 3 3" xfId="23180" xr:uid="{7529F399-8E3A-49F3-8845-272A6739F521}"/>
    <cellStyle name="Normal 10 2 2 3 3 3 4" xfId="39939" xr:uid="{FB5D1AD9-3644-4D01-A723-923A01344B84}"/>
    <cellStyle name="Normal 10 2 2 3 3 4" xfId="3156" xr:uid="{8ED6148D-C6F0-493E-80CC-80BE57124625}"/>
    <cellStyle name="Normal 10 2 2 3 3 4 2" xfId="11536" xr:uid="{2F34EA4D-E674-43CD-953B-37CB934989C9}"/>
    <cellStyle name="Normal 10 2 2 3 3 4 2 2" xfId="28296" xr:uid="{DA98B807-73ED-4769-A688-86E49040C32A}"/>
    <cellStyle name="Normal 10 2 2 3 3 4 2 3" xfId="45055" xr:uid="{B77DE389-5E65-4497-B76B-78AB9CEF2D0B}"/>
    <cellStyle name="Normal 10 2 2 3 3 4 3" xfId="19916" xr:uid="{36006F15-D2CC-446E-A43F-32200A0B44BB}"/>
    <cellStyle name="Normal 10 2 2 3 3 4 4" xfId="36675" xr:uid="{E7878913-73A2-4E8F-A0CA-427860C622EA}"/>
    <cellStyle name="Normal 10 2 2 3 3 5" xfId="9733" xr:uid="{015A8D40-D2E9-44D0-9A37-C2D7360FE2C6}"/>
    <cellStyle name="Normal 10 2 2 3 3 5 2" xfId="26493" xr:uid="{ADA361ED-C44A-4C09-8B21-876F45E8E724}"/>
    <cellStyle name="Normal 10 2 2 3 3 5 3" xfId="43252" xr:uid="{7BB160BA-4177-4779-9CE9-2E3336C4C32C}"/>
    <cellStyle name="Normal 10 2 2 3 3 6" xfId="18113" xr:uid="{D4633EC0-2444-4A0B-B63F-80E853179D30}"/>
    <cellStyle name="Normal 10 2 2 3 3 7" xfId="34872" xr:uid="{CFB2C170-9CE6-4099-97C4-A3A1E105C426}"/>
    <cellStyle name="Normal 10 2 2 3 4" xfId="1768" xr:uid="{5D246B09-A55A-4A54-B516-44966096B246}"/>
    <cellStyle name="Normal 10 2 2 3 4 2" xfId="5157" xr:uid="{EA2CA0DA-0B0C-4A02-8156-31F472C46650}"/>
    <cellStyle name="Normal 10 2 2 3 4 2 2" xfId="13537" xr:uid="{CFA69EA3-526E-4266-9F1B-0F7F1C6F7006}"/>
    <cellStyle name="Normal 10 2 2 3 4 2 2 2" xfId="30297" xr:uid="{D8B3B18E-E9C3-47CA-83D4-EA66704402BB}"/>
    <cellStyle name="Normal 10 2 2 3 4 2 2 3" xfId="47056" xr:uid="{84D4FF69-C0AD-440B-877B-B622413CAF8E}"/>
    <cellStyle name="Normal 10 2 2 3 4 2 3" xfId="21917" xr:uid="{81399A5A-5899-482C-B303-9EA3B1AC27A9}"/>
    <cellStyle name="Normal 10 2 2 3 4 2 4" xfId="38676" xr:uid="{AE73E1D3-3ABE-40CC-BA3B-C176C7828A69}"/>
    <cellStyle name="Normal 10 2 2 3 4 3" xfId="6844" xr:uid="{CD83C6FF-9567-44AF-BB6A-FDF7701DAECE}"/>
    <cellStyle name="Normal 10 2 2 3 4 3 2" xfId="15224" xr:uid="{C18A6A9A-155A-44A1-8B93-B407A32BA61C}"/>
    <cellStyle name="Normal 10 2 2 3 4 3 2 2" xfId="31984" xr:uid="{D9103236-CAFC-4654-BB83-58DBEAA3DD0B}"/>
    <cellStyle name="Normal 10 2 2 3 4 3 2 3" xfId="48743" xr:uid="{280F499E-A41B-4C8D-B4DA-B2D35F37B4A6}"/>
    <cellStyle name="Normal 10 2 2 3 4 3 3" xfId="23604" xr:uid="{55BC3A39-42D3-4177-B35C-592F6E48148D}"/>
    <cellStyle name="Normal 10 2 2 3 4 3 4" xfId="40363" xr:uid="{D4EC460F-7D0D-4D81-8F88-E0D98A6EE9E9}"/>
    <cellStyle name="Normal 10 2 2 3 4 4" xfId="3468" xr:uid="{DDC86179-777C-4063-ACB8-83E353700205}"/>
    <cellStyle name="Normal 10 2 2 3 4 4 2" xfId="11848" xr:uid="{F04EB4A7-489B-40DD-A8E8-404E9A3F46C9}"/>
    <cellStyle name="Normal 10 2 2 3 4 4 2 2" xfId="28608" xr:uid="{E7BBA6CA-C9ED-423D-A13E-67D9A732ACB5}"/>
    <cellStyle name="Normal 10 2 2 3 4 4 2 3" xfId="45367" xr:uid="{720A44AC-FB24-47F3-B4D6-253FF86EDD98}"/>
    <cellStyle name="Normal 10 2 2 3 4 4 3" xfId="20228" xr:uid="{B1E55F37-D689-49E4-9A6D-C5D060AAC729}"/>
    <cellStyle name="Normal 10 2 2 3 4 4 4" xfId="36987" xr:uid="{DAC3B562-6C04-4ECA-8FAB-0213C2EC039A}"/>
    <cellStyle name="Normal 10 2 2 3 4 5" xfId="10157" xr:uid="{9261918E-AB07-43D2-AA15-2A9B54E6C01A}"/>
    <cellStyle name="Normal 10 2 2 3 4 5 2" xfId="26917" xr:uid="{BB42B459-2062-4D7C-9BA7-33B05612E343}"/>
    <cellStyle name="Normal 10 2 2 3 4 5 3" xfId="43676" xr:uid="{BE2D8D2C-AB8D-473C-AE47-1D46C36409E3}"/>
    <cellStyle name="Normal 10 2 2 3 4 6" xfId="18537" xr:uid="{18A9EF60-598D-4207-BFE6-2B8A1EEFB119}"/>
    <cellStyle name="Normal 10 2 2 3 4 7" xfId="35296" xr:uid="{AE424EAC-A735-4693-82CC-BD711A5E20FC}"/>
    <cellStyle name="Normal 10 2 2 3 5" xfId="3887" xr:uid="{AAA7C2E6-63F9-4DA9-BB30-A06B014AD00D}"/>
    <cellStyle name="Normal 10 2 2 3 5 2" xfId="12267" xr:uid="{657666F5-52E8-43A8-9DED-3E89C8D4333B}"/>
    <cellStyle name="Normal 10 2 2 3 5 2 2" xfId="29027" xr:uid="{4E62C81D-68EE-413B-BB6D-0178EDBB8431}"/>
    <cellStyle name="Normal 10 2 2 3 5 2 3" xfId="45786" xr:uid="{C5E42EDB-45AC-4662-962D-CDAE4B722E6C}"/>
    <cellStyle name="Normal 10 2 2 3 5 3" xfId="20647" xr:uid="{C8B1CF17-B329-478D-B124-B9D416F9F845}"/>
    <cellStyle name="Normal 10 2 2 3 5 4" xfId="37406" xr:uid="{9108FF9D-2222-4BFC-B0ED-D4026BB450E7}"/>
    <cellStyle name="Normal 10 2 2 3 6" xfId="5566" xr:uid="{1BC24BA5-8E4C-48C3-8D63-AE562E338307}"/>
    <cellStyle name="Normal 10 2 2 3 6 2" xfId="13946" xr:uid="{28152EC2-B5A8-46F1-9DE7-CB2AD02FE23F}"/>
    <cellStyle name="Normal 10 2 2 3 6 2 2" xfId="30706" xr:uid="{4A7DD87A-3A37-4B80-87D3-9A6D60593BCB}"/>
    <cellStyle name="Normal 10 2 2 3 6 2 3" xfId="47465" xr:uid="{7B833854-6452-42C6-BE13-1C3F5E0430F0}"/>
    <cellStyle name="Normal 10 2 2 3 6 3" xfId="22326" xr:uid="{62306082-C431-4DE7-AC17-A65710E8B477}"/>
    <cellStyle name="Normal 10 2 2 3 6 4" xfId="39085" xr:uid="{19292C86-7C4E-4E6D-A7B9-43324866838B}"/>
    <cellStyle name="Normal 10 2 2 3 7" xfId="7250" xr:uid="{5CB6299C-6C3D-4F23-A70E-CE91DD7B67B1}"/>
    <cellStyle name="Normal 10 2 2 3 7 2" xfId="15630" xr:uid="{56E31546-138B-4B37-B639-E04FD21B2B6C}"/>
    <cellStyle name="Normal 10 2 2 3 7 2 2" xfId="32390" xr:uid="{67D91C05-286F-45BE-B1F9-C56AE37E8F65}"/>
    <cellStyle name="Normal 10 2 2 3 7 2 3" xfId="49149" xr:uid="{9A1479CE-B372-4CF6-BFA5-F2B73A22D56D}"/>
    <cellStyle name="Normal 10 2 2 3 7 3" xfId="24010" xr:uid="{E7D1D9ED-B2EB-41D8-A3A1-B7538D02E8EC}"/>
    <cellStyle name="Normal 10 2 2 3 7 4" xfId="40769" xr:uid="{6BAFDC37-300D-4A70-A2F1-8AE9C1FEE0AC}"/>
    <cellStyle name="Normal 10 2 2 3 8" xfId="7656" xr:uid="{192B2168-07AE-4CE6-8569-23FFBBA9CE50}"/>
    <cellStyle name="Normal 10 2 2 3 8 2" xfId="16036" xr:uid="{D307C6BA-518E-44F5-A4C9-3AC55A36471B}"/>
    <cellStyle name="Normal 10 2 2 3 8 2 2" xfId="32796" xr:uid="{B78943AA-FA6F-4FFF-A11D-59DF5213C662}"/>
    <cellStyle name="Normal 10 2 2 3 8 2 3" xfId="49555" xr:uid="{38456D6E-A47D-4F3A-99E3-765A20375B8C}"/>
    <cellStyle name="Normal 10 2 2 3 8 3" xfId="24416" xr:uid="{DB103966-7256-4A49-AAF9-D31322BFFB50}"/>
    <cellStyle name="Normal 10 2 2 3 8 4" xfId="41175" xr:uid="{380E743E-8E4B-414D-A4C0-F9F965A1BD50}"/>
    <cellStyle name="Normal 10 2 2 3 9" xfId="8062" xr:uid="{3BC0C1B1-FEC8-4858-A357-BF17738CB7D4}"/>
    <cellStyle name="Normal 10 2 2 3 9 2" xfId="16442" xr:uid="{7C642815-7A50-4C53-99E9-BB33CB1000DE}"/>
    <cellStyle name="Normal 10 2 2 3 9 2 2" xfId="33202" xr:uid="{EDC41816-558F-44FF-9D36-72568F36D37B}"/>
    <cellStyle name="Normal 10 2 2 3 9 2 3" xfId="49961" xr:uid="{74630571-B381-4AAE-BDC0-C3DF7EAED7F9}"/>
    <cellStyle name="Normal 10 2 2 3 9 3" xfId="24822" xr:uid="{309E0726-4AC6-4E36-AFB4-FC85365E3F1D}"/>
    <cellStyle name="Normal 10 2 2 3 9 4" xfId="41581" xr:uid="{B0E2A634-A70F-453F-8DDC-57B0AB544242}"/>
    <cellStyle name="Normal 10 2 2 4" xfId="469" xr:uid="{544D3E3C-934C-4525-B160-F646F3920A99}"/>
    <cellStyle name="Normal 10 2 2 4 10" xfId="8622" xr:uid="{7B31EE53-1D33-4A7D-A945-9545985E8C2D}"/>
    <cellStyle name="Normal 10 2 2 4 10 2" xfId="17002" xr:uid="{13850CE4-C46B-438D-BA51-59DE6B219CB1}"/>
    <cellStyle name="Normal 10 2 2 4 10 2 2" xfId="33762" xr:uid="{6FE8EAAA-8B87-4670-9635-4B49CCC56AEC}"/>
    <cellStyle name="Normal 10 2 2 4 10 2 3" xfId="50521" xr:uid="{92105567-4670-4D41-8D23-26D85AA0C692}"/>
    <cellStyle name="Normal 10 2 2 4 10 3" xfId="25382" xr:uid="{8AE01200-B035-47DE-BDFC-FEEC703A980E}"/>
    <cellStyle name="Normal 10 2 2 4 10 4" xfId="42141" xr:uid="{B57E6B92-35B3-4814-868E-4D61E42EDAD5}"/>
    <cellStyle name="Normal 10 2 2 4 11" xfId="2301" xr:uid="{40B89F21-A931-4F2A-B8BD-B05C2CF9226F}"/>
    <cellStyle name="Normal 10 2 2 4 11 2" xfId="10683" xr:uid="{3052F730-81A3-4E18-918D-C26481486BD6}"/>
    <cellStyle name="Normal 10 2 2 4 11 2 2" xfId="27443" xr:uid="{A46300D4-8195-4A24-9548-3ED5D401F8FC}"/>
    <cellStyle name="Normal 10 2 2 4 11 2 3" xfId="44202" xr:uid="{136A06F9-0892-4DDA-9C71-EC451BD07BEF}"/>
    <cellStyle name="Normal 10 2 2 4 11 3" xfId="19063" xr:uid="{0575B14A-1BF3-4A02-81E8-DA6D53731D15}"/>
    <cellStyle name="Normal 10 2 2 4 11 4" xfId="35822" xr:uid="{681B4106-1202-41FE-B9C9-2015F4856C81}"/>
    <cellStyle name="Normal 10 2 2 4 12" xfId="8880" xr:uid="{281A0B5C-FD07-4875-968A-205442E6CE95}"/>
    <cellStyle name="Normal 10 2 2 4 12 2" xfId="25640" xr:uid="{64183E91-A4E5-40FD-A309-40E4449A96ED}"/>
    <cellStyle name="Normal 10 2 2 4 12 3" xfId="42399" xr:uid="{0B7E46B7-DCB6-468D-A69C-C4AFBF1B4A74}"/>
    <cellStyle name="Normal 10 2 2 4 13" xfId="17260" xr:uid="{5E905DEC-59B2-4AD1-86F9-F3978E3782F5}"/>
    <cellStyle name="Normal 10 2 2 4 14" xfId="34019" xr:uid="{1E36702C-449E-45E4-B862-8BBE1F563CFF}"/>
    <cellStyle name="Normal 10 2 2 4 2" xfId="911" xr:uid="{90823325-E813-44A1-926B-371B5669275E}"/>
    <cellStyle name="Normal 10 2 2 4 2 2" xfId="4306" xr:uid="{15F3CFC7-10F8-4CDA-9FC6-4B998F757B9B}"/>
    <cellStyle name="Normal 10 2 2 4 2 2 2" xfId="12686" xr:uid="{FC2839DD-2C98-45F3-B8D5-4726726FAE1B}"/>
    <cellStyle name="Normal 10 2 2 4 2 2 2 2" xfId="29446" xr:uid="{21D5FE59-42F6-4E80-9F3B-14AC5F8E3C94}"/>
    <cellStyle name="Normal 10 2 2 4 2 2 2 3" xfId="46205" xr:uid="{9D88C8CE-69B1-4F27-8A7A-2CCFC02FAADA}"/>
    <cellStyle name="Normal 10 2 2 4 2 2 3" xfId="21066" xr:uid="{002316EA-CE48-4C8C-8CE7-0D0AE63D2944}"/>
    <cellStyle name="Normal 10 2 2 4 2 2 4" xfId="37825" xr:uid="{15E7F9C0-9634-4EA5-A287-A91F96604DD3}"/>
    <cellStyle name="Normal 10 2 2 4 2 3" xfId="5993" xr:uid="{AFBF597E-4C88-40CE-B218-1503FE3EBC39}"/>
    <cellStyle name="Normal 10 2 2 4 2 3 2" xfId="14373" xr:uid="{1A205F08-8B74-4C9D-9E86-7038527C63E2}"/>
    <cellStyle name="Normal 10 2 2 4 2 3 2 2" xfId="31133" xr:uid="{803EB3B0-9443-4CA0-BAA0-0ED1CF30499B}"/>
    <cellStyle name="Normal 10 2 2 4 2 3 2 3" xfId="47892" xr:uid="{BD1F4A19-2EB0-4999-BCA9-B27F89E02466}"/>
    <cellStyle name="Normal 10 2 2 4 2 3 3" xfId="22753" xr:uid="{1663DA56-9F8E-44E6-B6EE-C1FB08430FD6}"/>
    <cellStyle name="Normal 10 2 2 4 2 3 4" xfId="39512" xr:uid="{BC7F514B-D34D-481B-BF07-55B27C947454}"/>
    <cellStyle name="Normal 10 2 2 4 2 4" xfId="2729" xr:uid="{16BA6B23-D219-4BBB-A71C-265D8F91D74C}"/>
    <cellStyle name="Normal 10 2 2 4 2 4 2" xfId="11109" xr:uid="{BCA0A70C-2ACF-4F81-A257-F2DAC114DB32}"/>
    <cellStyle name="Normal 10 2 2 4 2 4 2 2" xfId="27869" xr:uid="{A6681C24-08E3-40F0-ADEF-5781E02FED6D}"/>
    <cellStyle name="Normal 10 2 2 4 2 4 2 3" xfId="44628" xr:uid="{8D14D4CC-97F8-42A1-84C5-7557975F1FF2}"/>
    <cellStyle name="Normal 10 2 2 4 2 4 3" xfId="19489" xr:uid="{98B3543B-1504-418C-8BCA-5684C55DDED1}"/>
    <cellStyle name="Normal 10 2 2 4 2 4 4" xfId="36248" xr:uid="{9C66B73F-BB98-4E79-B653-6069D3530663}"/>
    <cellStyle name="Normal 10 2 2 4 2 5" xfId="9306" xr:uid="{8D367A2E-818B-4EA0-A8FD-7483AF47D68E}"/>
    <cellStyle name="Normal 10 2 2 4 2 5 2" xfId="26066" xr:uid="{0D66A686-03AC-4980-94AF-11EAD69FDDA8}"/>
    <cellStyle name="Normal 10 2 2 4 2 5 3" xfId="42825" xr:uid="{2E2D19F5-9145-40AD-8918-AD481BFF2548}"/>
    <cellStyle name="Normal 10 2 2 4 2 6" xfId="17686" xr:uid="{DBD56875-F5CD-441F-BA4D-68579ED430E9}"/>
    <cellStyle name="Normal 10 2 2 4 2 7" xfId="34445" xr:uid="{0703C20E-06A2-46DE-AD06-E56313DF5F01}"/>
    <cellStyle name="Normal 10 2 2 4 3" xfId="1345" xr:uid="{F9053447-14C0-4D83-A636-B4BE2E142912}"/>
    <cellStyle name="Normal 10 2 2 4 3 2" xfId="4734" xr:uid="{7E551579-20FE-4D92-95B4-31DC8F065C60}"/>
    <cellStyle name="Normal 10 2 2 4 3 2 2" xfId="13114" xr:uid="{21E9B3E0-BE4F-417D-A2D6-D280F841F90E}"/>
    <cellStyle name="Normal 10 2 2 4 3 2 2 2" xfId="29874" xr:uid="{DDABE52C-A973-4493-8298-ADD8A8926EBD}"/>
    <cellStyle name="Normal 10 2 2 4 3 2 2 3" xfId="46633" xr:uid="{8FC271FA-7074-4D03-917E-E863438B25BC}"/>
    <cellStyle name="Normal 10 2 2 4 3 2 3" xfId="21494" xr:uid="{96EDDBC6-0D63-4871-B853-F02526A99BA5}"/>
    <cellStyle name="Normal 10 2 2 4 3 2 4" xfId="38253" xr:uid="{45D5898C-AADD-43C1-BC9D-833D34614737}"/>
    <cellStyle name="Normal 10 2 2 4 3 3" xfId="6421" xr:uid="{F7A33EE3-C81C-4688-A83A-0CD7430DF672}"/>
    <cellStyle name="Normal 10 2 2 4 3 3 2" xfId="14801" xr:uid="{4D6DCAE6-78D8-4274-B5D9-51D43E85307E}"/>
    <cellStyle name="Normal 10 2 2 4 3 3 2 2" xfId="31561" xr:uid="{E6ABC2BE-B637-4A29-92A5-2C8F8D51FE29}"/>
    <cellStyle name="Normal 10 2 2 4 3 3 2 3" xfId="48320" xr:uid="{AA324AB0-F9FB-4B10-A576-002207B5058E}"/>
    <cellStyle name="Normal 10 2 2 4 3 3 3" xfId="23181" xr:uid="{0A36C03C-B5BD-43D3-B8D5-6774275AFD21}"/>
    <cellStyle name="Normal 10 2 2 4 3 3 4" xfId="39940" xr:uid="{33C63C7B-AC0E-438E-B8FE-2E8EE9FCCDB3}"/>
    <cellStyle name="Normal 10 2 2 4 3 4" xfId="3157" xr:uid="{60B26121-0C52-4CCB-AD1B-A84E9275CD01}"/>
    <cellStyle name="Normal 10 2 2 4 3 4 2" xfId="11537" xr:uid="{B1EFE68D-63CC-4B08-8E86-761D3C13A653}"/>
    <cellStyle name="Normal 10 2 2 4 3 4 2 2" xfId="28297" xr:uid="{025A7225-5CBB-4052-8307-8E2C24F59F84}"/>
    <cellStyle name="Normal 10 2 2 4 3 4 2 3" xfId="45056" xr:uid="{B0F2DF14-612E-429C-A16E-88A3914DD277}"/>
    <cellStyle name="Normal 10 2 2 4 3 4 3" xfId="19917" xr:uid="{5FF2FBEB-8DB6-42D3-BB92-F626E82924EF}"/>
    <cellStyle name="Normal 10 2 2 4 3 4 4" xfId="36676" xr:uid="{9F7F9353-9667-4CE7-B85C-AB89E8EBDB98}"/>
    <cellStyle name="Normal 10 2 2 4 3 5" xfId="9734" xr:uid="{058E0EDB-20CF-4B59-9BC2-C105AA3E98E7}"/>
    <cellStyle name="Normal 10 2 2 4 3 5 2" xfId="26494" xr:uid="{4EC29452-9EF6-499F-B38A-4C12B16388BA}"/>
    <cellStyle name="Normal 10 2 2 4 3 5 3" xfId="43253" xr:uid="{8C553CC2-5D8E-493A-8525-EF6F23D9E704}"/>
    <cellStyle name="Normal 10 2 2 4 3 6" xfId="18114" xr:uid="{A8DCAF07-B467-4A36-AB5A-65F4ABEC6B9E}"/>
    <cellStyle name="Normal 10 2 2 4 3 7" xfId="34873" xr:uid="{067C4706-9E92-4433-8370-6DF979785B80}"/>
    <cellStyle name="Normal 10 2 2 4 4" xfId="1922" xr:uid="{02B55CBD-D559-4B64-AEA1-4333A906973D}"/>
    <cellStyle name="Normal 10 2 2 4 4 2" xfId="5311" xr:uid="{336E131A-84D5-4A9D-81B8-A9DFC8611EAD}"/>
    <cellStyle name="Normal 10 2 2 4 4 2 2" xfId="13691" xr:uid="{6C59A4B6-EA7C-4FA2-A4D6-BC893D22A180}"/>
    <cellStyle name="Normal 10 2 2 4 4 2 2 2" xfId="30451" xr:uid="{3A29BA6A-79A4-4AC4-8D12-9356B70A8871}"/>
    <cellStyle name="Normal 10 2 2 4 4 2 2 3" xfId="47210" xr:uid="{D9735DBE-6FA0-44BA-917F-EF49733CC966}"/>
    <cellStyle name="Normal 10 2 2 4 4 2 3" xfId="22071" xr:uid="{AAA174D2-6C18-4B1E-96D4-D2187FC11DE2}"/>
    <cellStyle name="Normal 10 2 2 4 4 2 4" xfId="38830" xr:uid="{EA075935-017D-4569-917B-A81F7EE2BD6C}"/>
    <cellStyle name="Normal 10 2 2 4 4 3" xfId="6998" xr:uid="{E0E925C9-2A22-45B5-9F48-CCE1D5D7CED3}"/>
    <cellStyle name="Normal 10 2 2 4 4 3 2" xfId="15378" xr:uid="{47AEF925-F4EC-4B3B-9534-956430796B97}"/>
    <cellStyle name="Normal 10 2 2 4 4 3 2 2" xfId="32138" xr:uid="{31AD0EBE-56B4-438D-837C-DC0A43803DC5}"/>
    <cellStyle name="Normal 10 2 2 4 4 3 2 3" xfId="48897" xr:uid="{66237B03-80D3-449B-AE75-FD884E25ACE2}"/>
    <cellStyle name="Normal 10 2 2 4 4 3 3" xfId="23758" xr:uid="{AD6AA101-85DE-404B-842D-CC39B4ED1DA5}"/>
    <cellStyle name="Normal 10 2 2 4 4 3 4" xfId="40517" xr:uid="{0F159E28-7205-41F9-821B-013AB7C022CA}"/>
    <cellStyle name="Normal 10 2 2 4 4 4" xfId="3621" xr:uid="{208A9103-7CB6-4D0A-A820-3FED0FB11B02}"/>
    <cellStyle name="Normal 10 2 2 4 4 4 2" xfId="12001" xr:uid="{D755EC85-8FBD-478C-9AE5-07848C7EB750}"/>
    <cellStyle name="Normal 10 2 2 4 4 4 2 2" xfId="28761" xr:uid="{AF8954F6-9DFF-42D0-80E3-A10322C645EE}"/>
    <cellStyle name="Normal 10 2 2 4 4 4 2 3" xfId="45520" xr:uid="{2051DA05-2F57-47EA-A981-FF27ECEAD117}"/>
    <cellStyle name="Normal 10 2 2 4 4 4 3" xfId="20381" xr:uid="{85FFDC4E-621A-434D-BEEA-02982B0D6526}"/>
    <cellStyle name="Normal 10 2 2 4 4 4 4" xfId="37140" xr:uid="{07221053-4F35-4123-9948-71397422F6EB}"/>
    <cellStyle name="Normal 10 2 2 4 4 5" xfId="10311" xr:uid="{8497C0BE-E517-43F9-8EAA-A66C86075304}"/>
    <cellStyle name="Normal 10 2 2 4 4 5 2" xfId="27071" xr:uid="{C7D8E4F7-A5B0-4712-8CE6-8F0411F0F4C5}"/>
    <cellStyle name="Normal 10 2 2 4 4 5 3" xfId="43830" xr:uid="{C5D838EE-A2F7-4A6C-A1B1-4EDAE3CC68E8}"/>
    <cellStyle name="Normal 10 2 2 4 4 6" xfId="18691" xr:uid="{99DE04E4-91D9-434F-A621-518E912DF521}"/>
    <cellStyle name="Normal 10 2 2 4 4 7" xfId="35450" xr:uid="{99585329-E5E9-4950-9F04-BEE29EA063A4}"/>
    <cellStyle name="Normal 10 2 2 4 5" xfId="4041" xr:uid="{2E171A3B-A7CE-4655-8042-893DA3C8CB96}"/>
    <cellStyle name="Normal 10 2 2 4 5 2" xfId="12421" xr:uid="{F91F24A5-B2F6-431F-8BD7-CCA74B2D1FE3}"/>
    <cellStyle name="Normal 10 2 2 4 5 2 2" xfId="29181" xr:uid="{1239CB90-0BFF-41DA-B913-8CA75E9924EC}"/>
    <cellStyle name="Normal 10 2 2 4 5 2 3" xfId="45940" xr:uid="{AA3C28D6-7DE6-4FE1-A734-EB9BA45C2A37}"/>
    <cellStyle name="Normal 10 2 2 4 5 3" xfId="20801" xr:uid="{E036625F-4B66-4B93-9F0F-94B95F76995A}"/>
    <cellStyle name="Normal 10 2 2 4 5 4" xfId="37560" xr:uid="{F1F3C687-EAAD-4762-8491-A56428EF7D20}"/>
    <cellStyle name="Normal 10 2 2 4 6" xfId="5567" xr:uid="{CF6766C8-2406-4DB5-99F0-3FC306A129D4}"/>
    <cellStyle name="Normal 10 2 2 4 6 2" xfId="13947" xr:uid="{6051A616-7B97-4F15-8E90-260F29F6E9D4}"/>
    <cellStyle name="Normal 10 2 2 4 6 2 2" xfId="30707" xr:uid="{2A103348-DF51-49D4-BCF7-49137DAE4D19}"/>
    <cellStyle name="Normal 10 2 2 4 6 2 3" xfId="47466" xr:uid="{69E1AB38-6592-429D-885B-12C5D3814977}"/>
    <cellStyle name="Normal 10 2 2 4 6 3" xfId="22327" xr:uid="{5B242D0D-7FC6-43E9-87CB-5E91CB053B83}"/>
    <cellStyle name="Normal 10 2 2 4 6 4" xfId="39086" xr:uid="{782F1582-EEFE-4AA5-B2C3-EA99DD071AC2}"/>
    <cellStyle name="Normal 10 2 2 4 7" xfId="7404" xr:uid="{88083918-1EC5-4C7C-9142-928B5BC34D9A}"/>
    <cellStyle name="Normal 10 2 2 4 7 2" xfId="15784" xr:uid="{6017E3D3-22A1-4B79-90F4-72445D4ED9A1}"/>
    <cellStyle name="Normal 10 2 2 4 7 2 2" xfId="32544" xr:uid="{8BB1F10D-5F3B-42E9-9ADF-3F5DE04F771C}"/>
    <cellStyle name="Normal 10 2 2 4 7 2 3" xfId="49303" xr:uid="{07CB497D-295E-4D98-B11A-D391671D2C27}"/>
    <cellStyle name="Normal 10 2 2 4 7 3" xfId="24164" xr:uid="{C7B5D6EE-EE4D-4543-AD48-5624BD4A5F86}"/>
    <cellStyle name="Normal 10 2 2 4 7 4" xfId="40923" xr:uid="{92A0475A-6D19-4F58-87F4-1F91D5C26AFF}"/>
    <cellStyle name="Normal 10 2 2 4 8" xfId="7810" xr:uid="{00F5DCF9-6135-4698-A94D-91A19D856C52}"/>
    <cellStyle name="Normal 10 2 2 4 8 2" xfId="16190" xr:uid="{7A3DA83C-BCF2-4495-906A-BD0720920428}"/>
    <cellStyle name="Normal 10 2 2 4 8 2 2" xfId="32950" xr:uid="{27D025AE-7A0E-4845-A7DF-678698578A15}"/>
    <cellStyle name="Normal 10 2 2 4 8 2 3" xfId="49709" xr:uid="{4FF43D73-B28C-4AE9-801C-CFA2F1952798}"/>
    <cellStyle name="Normal 10 2 2 4 8 3" xfId="24570" xr:uid="{90123270-5D4F-49E6-96D9-08A8BE3A42B6}"/>
    <cellStyle name="Normal 10 2 2 4 8 4" xfId="41329" xr:uid="{BD661869-FA6F-4859-9E6B-449D9311CD69}"/>
    <cellStyle name="Normal 10 2 2 4 9" xfId="8216" xr:uid="{F7D23E3A-997D-4BDC-B2C8-0AF1ABA01C86}"/>
    <cellStyle name="Normal 10 2 2 4 9 2" xfId="16596" xr:uid="{309347EB-B723-4662-B90F-6721382AEF29}"/>
    <cellStyle name="Normal 10 2 2 4 9 2 2" xfId="33356" xr:uid="{07EC0B5E-AD5E-40C2-9B4C-6BACA4367448}"/>
    <cellStyle name="Normal 10 2 2 4 9 2 3" xfId="50115" xr:uid="{0AF56448-C7D8-4F78-B678-6878CDA3A92B}"/>
    <cellStyle name="Normal 10 2 2 4 9 3" xfId="24976" xr:uid="{9CAA9D19-9C30-4E0E-85E5-A2D7F66DDBE7}"/>
    <cellStyle name="Normal 10 2 2 4 9 4" xfId="41735" xr:uid="{D99EF42E-4B8A-4A7C-9129-0084FD433F3C}"/>
    <cellStyle name="Normal 10 2 2 5" xfId="801" xr:uid="{807B7EF9-2669-42D1-8613-B10B453FC1F8}"/>
    <cellStyle name="Normal 10 2 2 5 2" xfId="4196" xr:uid="{D7BF0D78-00BE-4455-86DC-6A4318B0451A}"/>
    <cellStyle name="Normal 10 2 2 5 2 2" xfId="12576" xr:uid="{ECE1FB82-B668-4009-8978-0679C4414CED}"/>
    <cellStyle name="Normal 10 2 2 5 2 2 2" xfId="29336" xr:uid="{F2162014-30E5-43B3-A68D-E8C3CCF00890}"/>
    <cellStyle name="Normal 10 2 2 5 2 2 3" xfId="46095" xr:uid="{1FE64B29-3609-4905-8AEE-E5DA65A15FB0}"/>
    <cellStyle name="Normal 10 2 2 5 2 3" xfId="20956" xr:uid="{519004CD-CD5A-4FD2-8E73-2B660F86039C}"/>
    <cellStyle name="Normal 10 2 2 5 2 4" xfId="37715" xr:uid="{9A91687B-227E-43C7-B328-586D2F29B98E}"/>
    <cellStyle name="Normal 10 2 2 5 3" xfId="5883" xr:uid="{412EBEE4-0EFA-4099-B68A-DDABACB6F09D}"/>
    <cellStyle name="Normal 10 2 2 5 3 2" xfId="14263" xr:uid="{5D9CC01A-A595-42EF-81C5-2D7258E82E3B}"/>
    <cellStyle name="Normal 10 2 2 5 3 2 2" xfId="31023" xr:uid="{E5F03788-F67C-4A26-BEC3-F1DB729D11C9}"/>
    <cellStyle name="Normal 10 2 2 5 3 2 3" xfId="47782" xr:uid="{F8FA3A35-FEF4-4FB9-98DC-B8BB00ABED94}"/>
    <cellStyle name="Normal 10 2 2 5 3 3" xfId="22643" xr:uid="{34C718DD-6032-43A9-9047-E4AFC9D19DCD}"/>
    <cellStyle name="Normal 10 2 2 5 3 4" xfId="39402" xr:uid="{402F0627-D5DD-4FC0-B1B5-C0817B51E91A}"/>
    <cellStyle name="Normal 10 2 2 5 4" xfId="2619" xr:uid="{C2654925-DCC6-4130-B3F4-1C476759DDE6}"/>
    <cellStyle name="Normal 10 2 2 5 4 2" xfId="10999" xr:uid="{47D92E20-8DA4-4BF4-8F8E-8003F59CC1C6}"/>
    <cellStyle name="Normal 10 2 2 5 4 2 2" xfId="27759" xr:uid="{F69B2CDD-A93F-423D-8E82-44A9EC4E54E2}"/>
    <cellStyle name="Normal 10 2 2 5 4 2 3" xfId="44518" xr:uid="{1DA40C89-0AE3-40EB-85E4-CE95CB3B3F54}"/>
    <cellStyle name="Normal 10 2 2 5 4 3" xfId="19379" xr:uid="{0E8090F4-4405-4DFB-808E-8972515A4DFF}"/>
    <cellStyle name="Normal 10 2 2 5 4 4" xfId="36138" xr:uid="{6D759129-15B0-4440-B640-7C29EFE8ABBD}"/>
    <cellStyle name="Normal 10 2 2 5 5" xfId="9196" xr:uid="{21B82503-5A76-4D3F-BC52-AC502044D781}"/>
    <cellStyle name="Normal 10 2 2 5 5 2" xfId="25956" xr:uid="{197EFC1D-64D6-4F3F-AEC7-1AB9A41C321A}"/>
    <cellStyle name="Normal 10 2 2 5 5 3" xfId="42715" xr:uid="{3047026B-B42C-4060-B8FC-B193713209AC}"/>
    <cellStyle name="Normal 10 2 2 5 6" xfId="17576" xr:uid="{40FDD894-56F9-4CAA-9B86-28F7157D9248}"/>
    <cellStyle name="Normal 10 2 2 5 7" xfId="34335" xr:uid="{AE479DAE-C253-4931-9104-0CB760778E33}"/>
    <cellStyle name="Normal 10 2 2 6" xfId="1235" xr:uid="{3CDC4051-885E-4D6F-B37E-4AFE11C02483}"/>
    <cellStyle name="Normal 10 2 2 6 2" xfId="4624" xr:uid="{FECEDED2-49AC-4C06-8B01-2057B8A95234}"/>
    <cellStyle name="Normal 10 2 2 6 2 2" xfId="13004" xr:uid="{95F48E8C-D99A-44ED-B8FF-C17853417884}"/>
    <cellStyle name="Normal 10 2 2 6 2 2 2" xfId="29764" xr:uid="{2333F239-756C-46D7-B69D-0AC475726D53}"/>
    <cellStyle name="Normal 10 2 2 6 2 2 3" xfId="46523" xr:uid="{3507BAA3-03D4-4012-B920-72796CFCB406}"/>
    <cellStyle name="Normal 10 2 2 6 2 3" xfId="21384" xr:uid="{4C487251-CC77-4761-B428-2F1C0600E4D6}"/>
    <cellStyle name="Normal 10 2 2 6 2 4" xfId="38143" xr:uid="{2F8F159F-781C-4A7B-8442-49FA23BDCB6A}"/>
    <cellStyle name="Normal 10 2 2 6 3" xfId="6311" xr:uid="{16104D73-EADE-408F-AB47-415D0674B9FA}"/>
    <cellStyle name="Normal 10 2 2 6 3 2" xfId="14691" xr:uid="{E2DCC4C2-4791-4789-AD10-551B714E4335}"/>
    <cellStyle name="Normal 10 2 2 6 3 2 2" xfId="31451" xr:uid="{CCD4BFF2-49C8-45C5-B7D1-872FBDB1F1AE}"/>
    <cellStyle name="Normal 10 2 2 6 3 2 3" xfId="48210" xr:uid="{B8714983-9645-4822-852C-F1E763FB4634}"/>
    <cellStyle name="Normal 10 2 2 6 3 3" xfId="23071" xr:uid="{613944C3-DBBC-4FE1-AA99-E0FD1967DDB1}"/>
    <cellStyle name="Normal 10 2 2 6 3 4" xfId="39830" xr:uid="{0DF41D7D-D906-4EDA-A6F0-91DECA78E777}"/>
    <cellStyle name="Normal 10 2 2 6 4" xfId="3047" xr:uid="{23D03E7A-AEF4-47DD-935C-F178757B80E5}"/>
    <cellStyle name="Normal 10 2 2 6 4 2" xfId="11427" xr:uid="{3F421BC3-B73B-4005-872B-91F220D2C4B6}"/>
    <cellStyle name="Normal 10 2 2 6 4 2 2" xfId="28187" xr:uid="{F31930DB-B795-4CDE-94AB-C03CBD9ACF6F}"/>
    <cellStyle name="Normal 10 2 2 6 4 2 3" xfId="44946" xr:uid="{F113B130-410D-4139-A8BD-814B8B12BDD0}"/>
    <cellStyle name="Normal 10 2 2 6 4 3" xfId="19807" xr:uid="{E1CA2674-C006-4A92-B36B-DAFEACC864B3}"/>
    <cellStyle name="Normal 10 2 2 6 4 4" xfId="36566" xr:uid="{073AF01B-9E74-4375-A6C9-2BEDD568F138}"/>
    <cellStyle name="Normal 10 2 2 6 5" xfId="9624" xr:uid="{0D8FF284-FB11-4E75-BA20-F28A9088859E}"/>
    <cellStyle name="Normal 10 2 2 6 5 2" xfId="26384" xr:uid="{3FA8CF8C-AC01-4451-98AF-EBB0505CAC27}"/>
    <cellStyle name="Normal 10 2 2 6 5 3" xfId="43143" xr:uid="{7F6EA86A-CA57-4977-8804-B51CE289080E}"/>
    <cellStyle name="Normal 10 2 2 6 6" xfId="18004" xr:uid="{BF163EF0-B8EA-4362-ADA8-D10B5AAC8E40}"/>
    <cellStyle name="Normal 10 2 2 6 7" xfId="34763" xr:uid="{28CBF638-EA8E-4D73-8E82-F5FE58F0CC72}"/>
    <cellStyle name="Normal 10 2 2 7" xfId="1651" xr:uid="{118D39E3-FEE2-4563-A670-68E29D85C283}"/>
    <cellStyle name="Normal 10 2 2 7 2" xfId="5040" xr:uid="{D318F656-9A08-4250-9E5D-8642A62BBE25}"/>
    <cellStyle name="Normal 10 2 2 7 2 2" xfId="13420" xr:uid="{26725CA2-37B6-4F7B-BA7E-1344F86309FF}"/>
    <cellStyle name="Normal 10 2 2 7 2 2 2" xfId="30180" xr:uid="{9271821D-0B41-4888-8C7D-623F83FD0B7B}"/>
    <cellStyle name="Normal 10 2 2 7 2 2 3" xfId="46939" xr:uid="{836E5EE1-DD7D-4F29-B802-991179FE9F6F}"/>
    <cellStyle name="Normal 10 2 2 7 2 3" xfId="21800" xr:uid="{809F1A2A-9D5B-431C-B091-7F332B802216}"/>
    <cellStyle name="Normal 10 2 2 7 2 4" xfId="38559" xr:uid="{EAA13BC0-E719-4A1A-8DFE-1853398EF14D}"/>
    <cellStyle name="Normal 10 2 2 7 3" xfId="6727" xr:uid="{B9A1C014-AF27-4F7B-94F7-0182AEFF4A8C}"/>
    <cellStyle name="Normal 10 2 2 7 3 2" xfId="15107" xr:uid="{08984244-7BD6-44E3-9C7B-EAFFABA38021}"/>
    <cellStyle name="Normal 10 2 2 7 3 2 2" xfId="31867" xr:uid="{349F6EBE-4611-4037-A793-35EC45051DC2}"/>
    <cellStyle name="Normal 10 2 2 7 3 2 3" xfId="48626" xr:uid="{BA9C0C7F-ECE2-414B-B509-4A4DDAEEA468}"/>
    <cellStyle name="Normal 10 2 2 7 3 3" xfId="23487" xr:uid="{5DD123E3-EA5A-476B-8157-D124793D032D}"/>
    <cellStyle name="Normal 10 2 2 7 3 4" xfId="40246" xr:uid="{BF50878D-3432-46A5-81E8-34F3522A8253}"/>
    <cellStyle name="Normal 10 2 2 7 4" xfId="2186" xr:uid="{C0E93D63-DB66-486C-AB9D-9EE94DD29EA4}"/>
    <cellStyle name="Normal 10 2 2 7 4 2" xfId="10573" xr:uid="{3358805C-E024-40DD-B984-501C0FAA2C48}"/>
    <cellStyle name="Normal 10 2 2 7 4 2 2" xfId="27333" xr:uid="{D48A9703-1131-4A8F-A408-A0F0197B9244}"/>
    <cellStyle name="Normal 10 2 2 7 4 2 3" xfId="44092" xr:uid="{8FC78C10-D9CF-4148-8807-447DDEAB12AF}"/>
    <cellStyle name="Normal 10 2 2 7 4 3" xfId="18953" xr:uid="{8BA2B5D7-B59F-4257-8524-DDE23FB23BC1}"/>
    <cellStyle name="Normal 10 2 2 7 4 4" xfId="35712" xr:uid="{B80676CF-04A8-4627-897E-75DB4D0B165F}"/>
    <cellStyle name="Normal 10 2 2 7 5" xfId="10040" xr:uid="{C3EC143E-3D46-42BE-A854-75DC6DE0DD38}"/>
    <cellStyle name="Normal 10 2 2 7 5 2" xfId="26800" xr:uid="{C560254F-66C1-4515-9202-69C8C3FA7466}"/>
    <cellStyle name="Normal 10 2 2 7 5 3" xfId="43559" xr:uid="{FE833E9E-0C15-4C68-838E-C1DCB82F2FCD}"/>
    <cellStyle name="Normal 10 2 2 7 6" xfId="18420" xr:uid="{84FD3C07-BCC6-4119-9E81-2695EC6FD23C}"/>
    <cellStyle name="Normal 10 2 2 7 7" xfId="35179" xr:uid="{411F46D3-702C-4B29-B074-7F2F51D421E7}"/>
    <cellStyle name="Normal 10 2 2 8" xfId="3769" xr:uid="{E631563C-9780-4B26-BB86-93FBB75CCCE4}"/>
    <cellStyle name="Normal 10 2 2 8 2" xfId="12149" xr:uid="{87677DF5-F478-41DD-82B1-6258D0185A2E}"/>
    <cellStyle name="Normal 10 2 2 8 2 2" xfId="28909" xr:uid="{E5E64EBE-AA4E-4DF9-B1F9-BA1F1150B855}"/>
    <cellStyle name="Normal 10 2 2 8 2 3" xfId="45668" xr:uid="{162C3A08-F8DB-4219-B9D7-E1608BF44EBF}"/>
    <cellStyle name="Normal 10 2 2 8 3" xfId="20529" xr:uid="{6987533A-6948-4FEE-B56B-0AA6AC643BA2}"/>
    <cellStyle name="Normal 10 2 2 8 4" xfId="37288" xr:uid="{054AA444-D8B0-4EF6-B057-2421F13340C2}"/>
    <cellStyle name="Normal 10 2 2 9" xfId="5457" xr:uid="{90C7DE56-5A1F-48AE-9C89-C8BC230CB0E3}"/>
    <cellStyle name="Normal 10 2 2 9 2" xfId="13837" xr:uid="{9A0FCD11-3C6A-44BE-9977-3100D0CAC7F8}"/>
    <cellStyle name="Normal 10 2 2 9 2 2" xfId="30597" xr:uid="{5896CA8A-7D95-45D7-8A69-DB513CB7217D}"/>
    <cellStyle name="Normal 10 2 2 9 2 3" xfId="47356" xr:uid="{08F10BCB-2BB9-4C54-9804-AB586D80014A}"/>
    <cellStyle name="Normal 10 2 2 9 3" xfId="22217" xr:uid="{42D112B0-DC9E-4909-9BE2-2CE99889F1C9}"/>
    <cellStyle name="Normal 10 2 2 9 4" xfId="38976" xr:uid="{0157194A-F506-4FB5-9D88-6CA8FA4E673D}"/>
    <cellStyle name="Normal 10 2 20" xfId="33881" xr:uid="{6B97A025-2864-4D41-9FCD-F076FBED9002}"/>
    <cellStyle name="Normal 10 2 21" xfId="268" xr:uid="{185150EA-A58C-43C6-B054-33212C5F9115}"/>
    <cellStyle name="Normal 10 2 3" xfId="352" xr:uid="{767D8706-D6E2-47F6-804E-2565E551223F}"/>
    <cellStyle name="Normal 10 2 3 10" xfId="7540" xr:uid="{5E064366-D797-47FA-9126-B1765412E6EF}"/>
    <cellStyle name="Normal 10 2 3 10 2" xfId="15920" xr:uid="{9C444AF8-F08C-466F-A650-077D49D617C1}"/>
    <cellStyle name="Normal 10 2 3 10 2 2" xfId="32680" xr:uid="{A662CBF8-16D1-4C90-9742-986D6F9E722D}"/>
    <cellStyle name="Normal 10 2 3 10 2 3" xfId="49439" xr:uid="{91AB006A-584E-4DDB-B947-59EE45000F08}"/>
    <cellStyle name="Normal 10 2 3 10 3" xfId="24300" xr:uid="{D6150047-C64E-4B5D-9896-986755F899E1}"/>
    <cellStyle name="Normal 10 2 3 10 4" xfId="41059" xr:uid="{F0E8E4F0-93E9-4584-B33A-46DBF2243B7E}"/>
    <cellStyle name="Normal 10 2 3 11" xfId="7946" xr:uid="{0A1FF272-0B4F-42F5-B23E-3E4FCCCED184}"/>
    <cellStyle name="Normal 10 2 3 11 2" xfId="16326" xr:uid="{D89312AD-8EDF-49F1-956F-E7FE5064CC45}"/>
    <cellStyle name="Normal 10 2 3 11 2 2" xfId="33086" xr:uid="{93C4BF96-BE9C-40F4-A971-495DCAF26D31}"/>
    <cellStyle name="Normal 10 2 3 11 2 3" xfId="49845" xr:uid="{BD4441F2-6F35-46B9-95A0-4DFCBD22E69F}"/>
    <cellStyle name="Normal 10 2 3 11 3" xfId="24706" xr:uid="{EBA1D0DA-2DA8-4C82-A93D-5694CA438F50}"/>
    <cellStyle name="Normal 10 2 3 11 4" xfId="41465" xr:uid="{C73027DD-D711-4C52-B75D-600B4FC21764}"/>
    <cellStyle name="Normal 10 2 3 12" xfId="8352" xr:uid="{A75B556F-2514-4AA8-B31E-D2767819BDB8}"/>
    <cellStyle name="Normal 10 2 3 12 2" xfId="16732" xr:uid="{01D8B7DE-DBF7-4681-A8FB-01A1DE554863}"/>
    <cellStyle name="Normal 10 2 3 12 2 2" xfId="33492" xr:uid="{5CAFF82D-CA05-42ED-B548-BD0399995512}"/>
    <cellStyle name="Normal 10 2 3 12 2 3" xfId="50251" xr:uid="{CA0143D3-8C0E-476E-A353-E06BD35BE99C}"/>
    <cellStyle name="Normal 10 2 3 12 3" xfId="25112" xr:uid="{96FDBBAE-8B4F-42B5-A08C-CA5D31455D08}"/>
    <cellStyle name="Normal 10 2 3 12 4" xfId="41871" xr:uid="{CC3B8BA2-08A5-465B-8E86-416297686E31}"/>
    <cellStyle name="Normal 10 2 3 13" xfId="2082" xr:uid="{17DD1944-A8C0-471E-A51E-587AFA8F966A}"/>
    <cellStyle name="Normal 10 2 3 13 2" xfId="10470" xr:uid="{997CFA2C-D5DC-4F34-A9DF-96BC93BB21C1}"/>
    <cellStyle name="Normal 10 2 3 13 2 2" xfId="27230" xr:uid="{A39DFC3D-C946-4796-9021-997D89BC7622}"/>
    <cellStyle name="Normal 10 2 3 13 2 3" xfId="43989" xr:uid="{97C4D07B-19B6-4956-9173-0B2BBAFDC29F}"/>
    <cellStyle name="Normal 10 2 3 13 3" xfId="18850" xr:uid="{581FD827-87F4-4018-9377-4C1FFA81A977}"/>
    <cellStyle name="Normal 10 2 3 13 4" xfId="35609" xr:uid="{52DC9109-1BA2-4BD7-9BD1-315E16722535}"/>
    <cellStyle name="Normal 10 2 3 14" xfId="8816" xr:uid="{14CCDD6D-B277-456C-ABF1-6C3FCE57DA7F}"/>
    <cellStyle name="Normal 10 2 3 14 2" xfId="25576" xr:uid="{AF90E690-B283-4FDC-A39E-7B09C35E3B83}"/>
    <cellStyle name="Normal 10 2 3 14 3" xfId="42335" xr:uid="{9CDEB6D4-5305-4F9F-9CDF-F83550C9CC70}"/>
    <cellStyle name="Normal 10 2 3 15" xfId="17196" xr:uid="{2F5B6B6B-4896-479F-B50E-7F5C84DDA434}"/>
    <cellStyle name="Normal 10 2 3 16" xfId="33955" xr:uid="{C913C62C-0CFB-4E68-A12C-D679EE2DAC6E}"/>
    <cellStyle name="Normal 10 2 3 2" xfId="470" xr:uid="{5A97FF95-1393-478D-B349-388A1C567A87}"/>
    <cellStyle name="Normal 10 2 3 2 10" xfId="8470" xr:uid="{1B91CBBF-02D5-47A1-84C2-C8A8161D9367}"/>
    <cellStyle name="Normal 10 2 3 2 10 2" xfId="16850" xr:uid="{D8B2C2CD-8BE0-442B-A2AE-976AAD366E4E}"/>
    <cellStyle name="Normal 10 2 3 2 10 2 2" xfId="33610" xr:uid="{0D19CD4D-348A-43F8-885A-AA0039FCF345}"/>
    <cellStyle name="Normal 10 2 3 2 10 2 3" xfId="50369" xr:uid="{7FC69328-082A-4F0D-8825-36EE7D0FE493}"/>
    <cellStyle name="Normal 10 2 3 2 10 3" xfId="25230" xr:uid="{2FE46733-58AC-4D2D-96E9-DF4A5E16B15A}"/>
    <cellStyle name="Normal 10 2 3 2 10 4" xfId="41989" xr:uid="{8637E426-5D25-487C-B93B-E9FC4AFD9F9F}"/>
    <cellStyle name="Normal 10 2 3 2 11" xfId="2302" xr:uid="{6E9F9D4D-5957-41C6-92CA-4BDCAE6F463F}"/>
    <cellStyle name="Normal 10 2 3 2 11 2" xfId="10684" xr:uid="{F26B7859-D3E3-4BDC-AA4D-A309A52BF18D}"/>
    <cellStyle name="Normal 10 2 3 2 11 2 2" xfId="27444" xr:uid="{B7644244-9610-4756-979A-BF1F4BDDEE30}"/>
    <cellStyle name="Normal 10 2 3 2 11 2 3" xfId="44203" xr:uid="{6588A356-0914-4428-8E2F-16774E7DE50F}"/>
    <cellStyle name="Normal 10 2 3 2 11 3" xfId="19064" xr:uid="{D254A614-4C90-4C12-A1E1-4DE53432B4A7}"/>
    <cellStyle name="Normal 10 2 3 2 11 4" xfId="35823" xr:uid="{6F45B7D9-9255-4651-955A-BEFD4B90F506}"/>
    <cellStyle name="Normal 10 2 3 2 12" xfId="8881" xr:uid="{9C6EA66C-FD7A-46A7-83EF-2C1045885616}"/>
    <cellStyle name="Normal 10 2 3 2 12 2" xfId="25641" xr:uid="{8A6FBB0B-C4E4-4525-9794-5D2B0CDE6491}"/>
    <cellStyle name="Normal 10 2 3 2 12 3" xfId="42400" xr:uid="{EAAD83C2-9862-47EA-959F-C84720A855D2}"/>
    <cellStyle name="Normal 10 2 3 2 13" xfId="17261" xr:uid="{50D81AF6-9506-4956-B221-7A4E4642C11E}"/>
    <cellStyle name="Normal 10 2 3 2 14" xfId="34020" xr:uid="{5D58F741-6A78-45AD-9886-291259DC6CC1}"/>
    <cellStyle name="Normal 10 2 3 2 2" xfId="912" xr:uid="{394F50BA-81CE-4DC1-9F9B-6A7A57DDA627}"/>
    <cellStyle name="Normal 10 2 3 2 2 2" xfId="4307" xr:uid="{A311049F-5DD8-4756-8127-C16BAFAB478D}"/>
    <cellStyle name="Normal 10 2 3 2 2 2 2" xfId="12687" xr:uid="{EAC48C26-97DB-44D3-8748-93E08B9A8DA4}"/>
    <cellStyle name="Normal 10 2 3 2 2 2 2 2" xfId="29447" xr:uid="{F9A0D296-435A-4FED-9D2F-85501EF8BAEA}"/>
    <cellStyle name="Normal 10 2 3 2 2 2 2 3" xfId="46206" xr:uid="{E9ED64F5-F120-465D-A821-F46147117651}"/>
    <cellStyle name="Normal 10 2 3 2 2 2 3" xfId="21067" xr:uid="{3E2040CC-E32C-476F-B75C-583860EA8366}"/>
    <cellStyle name="Normal 10 2 3 2 2 2 4" xfId="37826" xr:uid="{824B8991-D747-4964-8DBC-6228138D44FD}"/>
    <cellStyle name="Normal 10 2 3 2 2 3" xfId="5994" xr:uid="{C1E2D229-FDB8-4B13-8570-C958A2F64FF3}"/>
    <cellStyle name="Normal 10 2 3 2 2 3 2" xfId="14374" xr:uid="{A246B33E-967F-48DA-875B-6987C7E21C66}"/>
    <cellStyle name="Normal 10 2 3 2 2 3 2 2" xfId="31134" xr:uid="{77F3CF71-944F-46CE-87E7-082EDCFDA243}"/>
    <cellStyle name="Normal 10 2 3 2 2 3 2 3" xfId="47893" xr:uid="{D6A5F8DB-B220-404C-8BF1-F5683E13DE9F}"/>
    <cellStyle name="Normal 10 2 3 2 2 3 3" xfId="22754" xr:uid="{FEE08E4A-7880-4160-A139-EB6E7816A276}"/>
    <cellStyle name="Normal 10 2 3 2 2 3 4" xfId="39513" xr:uid="{E66BF13D-4EFF-4EC4-BB6D-EADA1780A317}"/>
    <cellStyle name="Normal 10 2 3 2 2 4" xfId="2730" xr:uid="{6F5C4558-CCEE-485C-9985-7E5A1FC3EB03}"/>
    <cellStyle name="Normal 10 2 3 2 2 4 2" xfId="11110" xr:uid="{80A2FF88-593A-421F-8E18-2E03CA1BD807}"/>
    <cellStyle name="Normal 10 2 3 2 2 4 2 2" xfId="27870" xr:uid="{D10B00BA-E8C4-4757-AA5B-68FE7640F29F}"/>
    <cellStyle name="Normal 10 2 3 2 2 4 2 3" xfId="44629" xr:uid="{6B407F57-1130-4E66-8C7E-FA0AFD7F90C6}"/>
    <cellStyle name="Normal 10 2 3 2 2 4 3" xfId="19490" xr:uid="{94918837-B6ED-4526-8E7A-9462A69E16D9}"/>
    <cellStyle name="Normal 10 2 3 2 2 4 4" xfId="36249" xr:uid="{F0EA3E34-39DD-4EA2-BC6F-D7B93CFEB458}"/>
    <cellStyle name="Normal 10 2 3 2 2 5" xfId="9307" xr:uid="{D2CF3A5C-8DB3-4621-8775-75E292200D9D}"/>
    <cellStyle name="Normal 10 2 3 2 2 5 2" xfId="26067" xr:uid="{5C525458-7D94-411B-B937-834E38DEE343}"/>
    <cellStyle name="Normal 10 2 3 2 2 5 3" xfId="42826" xr:uid="{B4259DFC-917B-4EEF-AF80-9CB2CA159435}"/>
    <cellStyle name="Normal 10 2 3 2 2 6" xfId="17687" xr:uid="{741E32DD-DB6F-40B0-8018-9343AD9DC055}"/>
    <cellStyle name="Normal 10 2 3 2 2 7" xfId="34446" xr:uid="{4F62DE79-EC4E-456A-BD91-87A5348B1D35}"/>
    <cellStyle name="Normal 10 2 3 2 3" xfId="1346" xr:uid="{17951FBD-6007-421D-B69D-E4234FB62486}"/>
    <cellStyle name="Normal 10 2 3 2 3 2" xfId="4735" xr:uid="{74084DC1-4667-43E2-AD1E-D724D0A11217}"/>
    <cellStyle name="Normal 10 2 3 2 3 2 2" xfId="13115" xr:uid="{5E0CC7CB-8153-4D25-A5FA-7541F12255FE}"/>
    <cellStyle name="Normal 10 2 3 2 3 2 2 2" xfId="29875" xr:uid="{B12B076D-C9E1-4521-B2A0-25DD7B8EEB94}"/>
    <cellStyle name="Normal 10 2 3 2 3 2 2 3" xfId="46634" xr:uid="{B8768F3E-B848-4DE4-86AC-5CF38A5E1190}"/>
    <cellStyle name="Normal 10 2 3 2 3 2 3" xfId="21495" xr:uid="{AEF22171-090A-4EA4-A0A4-CE421F9956FE}"/>
    <cellStyle name="Normal 10 2 3 2 3 2 4" xfId="38254" xr:uid="{CC3637D8-EEA3-4C31-828F-13BB10276035}"/>
    <cellStyle name="Normal 10 2 3 2 3 3" xfId="6422" xr:uid="{98CFB956-FD66-414E-B693-A19BEC0F1CCF}"/>
    <cellStyle name="Normal 10 2 3 2 3 3 2" xfId="14802" xr:uid="{9D9B68D8-FA79-4ECE-BC98-2124CBBAAD4E}"/>
    <cellStyle name="Normal 10 2 3 2 3 3 2 2" xfId="31562" xr:uid="{E13BF369-110C-4996-A3A4-260337BE1C32}"/>
    <cellStyle name="Normal 10 2 3 2 3 3 2 3" xfId="48321" xr:uid="{F4FF7112-46C4-4506-BA27-09B130C65ACB}"/>
    <cellStyle name="Normal 10 2 3 2 3 3 3" xfId="23182" xr:uid="{5D1ABE2F-1C3A-4E42-BAD6-FC5FA6C0BA79}"/>
    <cellStyle name="Normal 10 2 3 2 3 3 4" xfId="39941" xr:uid="{5C9139BF-BAA4-4148-A110-03313A4AB8B2}"/>
    <cellStyle name="Normal 10 2 3 2 3 4" xfId="3158" xr:uid="{4EEC75F3-A72F-426A-8667-E7B16B46F8E4}"/>
    <cellStyle name="Normal 10 2 3 2 3 4 2" xfId="11538" xr:uid="{2A32E66C-DCE7-490B-A7F7-0AF9C3C145ED}"/>
    <cellStyle name="Normal 10 2 3 2 3 4 2 2" xfId="28298" xr:uid="{1257CF6E-4898-41F3-8A52-6C9B271F6EC5}"/>
    <cellStyle name="Normal 10 2 3 2 3 4 2 3" xfId="45057" xr:uid="{997BB373-C5CB-436A-B360-DA5A01173814}"/>
    <cellStyle name="Normal 10 2 3 2 3 4 3" xfId="19918" xr:uid="{64310866-5B96-4E08-A0E7-A830B931B76E}"/>
    <cellStyle name="Normal 10 2 3 2 3 4 4" xfId="36677" xr:uid="{67AF22FD-1EAA-449F-A13A-7060A3D513CC}"/>
    <cellStyle name="Normal 10 2 3 2 3 5" xfId="9735" xr:uid="{BDCCAC42-C83B-4910-9E40-26BEB190CE47}"/>
    <cellStyle name="Normal 10 2 3 2 3 5 2" xfId="26495" xr:uid="{FBBBBB9F-0325-4F9D-865E-9423E60438EF}"/>
    <cellStyle name="Normal 10 2 3 2 3 5 3" xfId="43254" xr:uid="{99498EEB-6B25-4647-B28F-D7CA13BEF793}"/>
    <cellStyle name="Normal 10 2 3 2 3 6" xfId="18115" xr:uid="{C6687ED0-7737-4CBC-B26C-85F102316AD5}"/>
    <cellStyle name="Normal 10 2 3 2 3 7" xfId="34874" xr:uid="{5E9A823C-0E40-45CD-8AC0-4BF29E8D3E8C}"/>
    <cellStyle name="Normal 10 2 3 2 4" xfId="1770" xr:uid="{FE2986B1-60AD-4AC6-A16B-04F03A405585}"/>
    <cellStyle name="Normal 10 2 3 2 4 2" xfId="5159" xr:uid="{08A39A36-35B6-4A88-81F7-2F6062B3D6EE}"/>
    <cellStyle name="Normal 10 2 3 2 4 2 2" xfId="13539" xr:uid="{120BE538-609C-4BA4-8725-83C41653403A}"/>
    <cellStyle name="Normal 10 2 3 2 4 2 2 2" xfId="30299" xr:uid="{367F26F8-589B-4A8D-A78A-236075DEE00A}"/>
    <cellStyle name="Normal 10 2 3 2 4 2 2 3" xfId="47058" xr:uid="{386B710C-6D07-406B-A6C7-F72067ADA154}"/>
    <cellStyle name="Normal 10 2 3 2 4 2 3" xfId="21919" xr:uid="{D94D0554-2F28-46B3-8F9E-37907E395130}"/>
    <cellStyle name="Normal 10 2 3 2 4 2 4" xfId="38678" xr:uid="{EDCFE8E5-A1AC-423F-813C-659C53E6E961}"/>
    <cellStyle name="Normal 10 2 3 2 4 3" xfId="6846" xr:uid="{C65C2839-56D8-43A7-93FA-9E9336144155}"/>
    <cellStyle name="Normal 10 2 3 2 4 3 2" xfId="15226" xr:uid="{D5869A31-E3C8-470A-9C4F-E3B1EC623A08}"/>
    <cellStyle name="Normal 10 2 3 2 4 3 2 2" xfId="31986" xr:uid="{B559B537-47FB-4ED5-92C0-078D95DF8484}"/>
    <cellStyle name="Normal 10 2 3 2 4 3 2 3" xfId="48745" xr:uid="{F2FFCBFB-89C5-4FC7-8BEF-4C837CA9981C}"/>
    <cellStyle name="Normal 10 2 3 2 4 3 3" xfId="23606" xr:uid="{4FEA0498-DF05-4211-A6BB-79ACD295E697}"/>
    <cellStyle name="Normal 10 2 3 2 4 3 4" xfId="40365" xr:uid="{D860E32F-02A1-49CB-A7BF-59E8C125EF7F}"/>
    <cellStyle name="Normal 10 2 3 2 4 4" xfId="3470" xr:uid="{950572A8-0012-4E4D-91E3-2D45A3BCC7C7}"/>
    <cellStyle name="Normal 10 2 3 2 4 4 2" xfId="11850" xr:uid="{94F08472-5D27-45CD-B0F4-20A6CF24970C}"/>
    <cellStyle name="Normal 10 2 3 2 4 4 2 2" xfId="28610" xr:uid="{84A2D357-E167-4696-B698-DEE49E459871}"/>
    <cellStyle name="Normal 10 2 3 2 4 4 2 3" xfId="45369" xr:uid="{7BB5F0FC-6825-49A0-8B85-4D6D35AC6556}"/>
    <cellStyle name="Normal 10 2 3 2 4 4 3" xfId="20230" xr:uid="{4B52B0E4-1AB3-403F-98C7-2253A6FB5E17}"/>
    <cellStyle name="Normal 10 2 3 2 4 4 4" xfId="36989" xr:uid="{5AAA30A8-4524-401D-8DB7-6CEE1F39B5A0}"/>
    <cellStyle name="Normal 10 2 3 2 4 5" xfId="10159" xr:uid="{62CD3AC0-EB9D-46E0-A044-C8984FB598FD}"/>
    <cellStyle name="Normal 10 2 3 2 4 5 2" xfId="26919" xr:uid="{08CDF602-618E-4AA3-A1AE-A4825430D2AE}"/>
    <cellStyle name="Normal 10 2 3 2 4 5 3" xfId="43678" xr:uid="{F759E789-5DF5-488F-A882-9D44A0AD79F3}"/>
    <cellStyle name="Normal 10 2 3 2 4 6" xfId="18539" xr:uid="{4316C2BF-AC12-408F-95FB-F3F090E3CF76}"/>
    <cellStyle name="Normal 10 2 3 2 4 7" xfId="35298" xr:uid="{7CD50FCA-2430-4D48-85B8-04F5644D00D8}"/>
    <cellStyle name="Normal 10 2 3 2 5" xfId="3889" xr:uid="{06A1AD70-276C-4D7C-9B73-7D975DBF0F55}"/>
    <cellStyle name="Normal 10 2 3 2 5 2" xfId="12269" xr:uid="{BC71BA88-8081-4B72-93E6-0A5E859F30A2}"/>
    <cellStyle name="Normal 10 2 3 2 5 2 2" xfId="29029" xr:uid="{E49FA4F4-2DF4-4DBF-98AB-FA68DCEED020}"/>
    <cellStyle name="Normal 10 2 3 2 5 2 3" xfId="45788" xr:uid="{7DAF832A-7F88-418E-94FA-6C4E130F6756}"/>
    <cellStyle name="Normal 10 2 3 2 5 3" xfId="20649" xr:uid="{E8498413-C296-414B-82A6-CF7E714E7FAF}"/>
    <cellStyle name="Normal 10 2 3 2 5 4" xfId="37408" xr:uid="{C5282809-28EF-4F80-8E19-20FB2F5D789B}"/>
    <cellStyle name="Normal 10 2 3 2 6" xfId="5568" xr:uid="{4429076C-8323-4E9D-A50F-9D60A3588742}"/>
    <cellStyle name="Normal 10 2 3 2 6 2" xfId="13948" xr:uid="{84A378F7-449D-403C-AD03-795FE8D431E5}"/>
    <cellStyle name="Normal 10 2 3 2 6 2 2" xfId="30708" xr:uid="{CCFD887A-B525-4A43-9DBB-8C6BF01C6D68}"/>
    <cellStyle name="Normal 10 2 3 2 6 2 3" xfId="47467" xr:uid="{C5CD4FF1-C30E-4F23-ADCE-2C94BC9BF63D}"/>
    <cellStyle name="Normal 10 2 3 2 6 3" xfId="22328" xr:uid="{9C247CC2-0E26-4399-8514-88737569F71D}"/>
    <cellStyle name="Normal 10 2 3 2 6 4" xfId="39087" xr:uid="{412AD532-A517-4656-BD65-BEE9D828C905}"/>
    <cellStyle name="Normal 10 2 3 2 7" xfId="7252" xr:uid="{0008705C-AD0D-481A-B803-07B37AE3EBAD}"/>
    <cellStyle name="Normal 10 2 3 2 7 2" xfId="15632" xr:uid="{A725121E-7611-43D9-A3A3-8E4EA5EE2F2C}"/>
    <cellStyle name="Normal 10 2 3 2 7 2 2" xfId="32392" xr:uid="{773EF3D2-E01C-47D8-85FB-42F74B3012D3}"/>
    <cellStyle name="Normal 10 2 3 2 7 2 3" xfId="49151" xr:uid="{ECC8704E-5065-4805-9863-88D0AA83CF67}"/>
    <cellStyle name="Normal 10 2 3 2 7 3" xfId="24012" xr:uid="{B0FC1AC2-4825-4361-8D44-111612FB5B5C}"/>
    <cellStyle name="Normal 10 2 3 2 7 4" xfId="40771" xr:uid="{5C64D678-FE7D-41C4-A9FD-201B6876C511}"/>
    <cellStyle name="Normal 10 2 3 2 8" xfId="7658" xr:uid="{0CED6BA8-17B4-4BD8-8E18-4897AAC0B62A}"/>
    <cellStyle name="Normal 10 2 3 2 8 2" xfId="16038" xr:uid="{47BB8C4E-04B9-4C97-9294-5A0C2E696204}"/>
    <cellStyle name="Normal 10 2 3 2 8 2 2" xfId="32798" xr:uid="{9BD6A911-810F-4CCF-BCC8-033EB9940C3A}"/>
    <cellStyle name="Normal 10 2 3 2 8 2 3" xfId="49557" xr:uid="{1A171193-4D3A-4853-A4A1-53BD3166E545}"/>
    <cellStyle name="Normal 10 2 3 2 8 3" xfId="24418" xr:uid="{608955BA-91C8-489E-A651-2099E31448DD}"/>
    <cellStyle name="Normal 10 2 3 2 8 4" xfId="41177" xr:uid="{E4272C87-805F-42BD-A15E-B98ED25FFE4B}"/>
    <cellStyle name="Normal 10 2 3 2 9" xfId="8064" xr:uid="{828D2F79-8A3D-4166-BB22-66817EDED7B2}"/>
    <cellStyle name="Normal 10 2 3 2 9 2" xfId="16444" xr:uid="{39C030D7-8B75-426F-85E8-3DCEACC1C0D0}"/>
    <cellStyle name="Normal 10 2 3 2 9 2 2" xfId="33204" xr:uid="{467768DA-41A8-48D4-8CA3-92FD32917E07}"/>
    <cellStyle name="Normal 10 2 3 2 9 2 3" xfId="49963" xr:uid="{5ABB6B2E-AC69-41C8-8B9F-9534EDE256EB}"/>
    <cellStyle name="Normal 10 2 3 2 9 3" xfId="24824" xr:uid="{AC485827-7845-413D-845F-04A003C86666}"/>
    <cellStyle name="Normal 10 2 3 2 9 4" xfId="41583" xr:uid="{BD7E8071-9643-4047-888E-9A1988E55AC7}"/>
    <cellStyle name="Normal 10 2 3 3" xfId="471" xr:uid="{2EA2FCF2-EDEE-4C2E-A030-CE36BE4E3ECB}"/>
    <cellStyle name="Normal 10 2 3 3 10" xfId="8623" xr:uid="{32D24720-7DBC-49DD-BAA9-C66AAC3BA7B1}"/>
    <cellStyle name="Normal 10 2 3 3 10 2" xfId="17003" xr:uid="{EE4F3B5E-46A6-4BF3-9804-3AE4DFF2DE9C}"/>
    <cellStyle name="Normal 10 2 3 3 10 2 2" xfId="33763" xr:uid="{911E7A7D-9F7D-4B7F-AA8D-51F1E3E066C4}"/>
    <cellStyle name="Normal 10 2 3 3 10 2 3" xfId="50522" xr:uid="{E1C22B1C-302A-4A45-9ECA-EC25E0199D20}"/>
    <cellStyle name="Normal 10 2 3 3 10 3" xfId="25383" xr:uid="{7AB628AC-C334-446F-A636-AE678716A312}"/>
    <cellStyle name="Normal 10 2 3 3 10 4" xfId="42142" xr:uid="{9A04F46E-4DE4-4881-800E-6A5E54849257}"/>
    <cellStyle name="Normal 10 2 3 3 11" xfId="2303" xr:uid="{8278F4E9-6E97-48D9-B610-80DA824C4FAE}"/>
    <cellStyle name="Normal 10 2 3 3 11 2" xfId="10685" xr:uid="{E1558AF0-48BD-4D33-9483-D2108F070F97}"/>
    <cellStyle name="Normal 10 2 3 3 11 2 2" xfId="27445" xr:uid="{5CFF4056-6AE5-4C32-884C-16545C262737}"/>
    <cellStyle name="Normal 10 2 3 3 11 2 3" xfId="44204" xr:uid="{8BFF5B92-BEC8-4199-8841-0B0DFFA96E51}"/>
    <cellStyle name="Normal 10 2 3 3 11 3" xfId="19065" xr:uid="{5B2873E0-BFBB-4CDE-A874-87310BE0E178}"/>
    <cellStyle name="Normal 10 2 3 3 11 4" xfId="35824" xr:uid="{947F5B37-2BC3-4BAA-9C82-5B174D8573EE}"/>
    <cellStyle name="Normal 10 2 3 3 12" xfId="8882" xr:uid="{B0A8B2E3-E716-4737-8C59-EA14A3966D5F}"/>
    <cellStyle name="Normal 10 2 3 3 12 2" xfId="25642" xr:uid="{DE4DA48B-8220-4684-9B07-FA8F30A6C4E6}"/>
    <cellStyle name="Normal 10 2 3 3 12 3" xfId="42401" xr:uid="{3633185B-5B78-4D80-B111-D78286809B99}"/>
    <cellStyle name="Normal 10 2 3 3 13" xfId="17262" xr:uid="{1128CDF2-7EAB-4277-8144-716745E76623}"/>
    <cellStyle name="Normal 10 2 3 3 14" xfId="34021" xr:uid="{2EA97ED9-8AC1-4685-8C43-B707EEAA350D}"/>
    <cellStyle name="Normal 10 2 3 3 2" xfId="913" xr:uid="{3F2CEC26-DBC1-46C9-BA77-7B26F3751EA0}"/>
    <cellStyle name="Normal 10 2 3 3 2 2" xfId="4308" xr:uid="{3FFF53B9-690C-476B-B512-103FD5DD5532}"/>
    <cellStyle name="Normal 10 2 3 3 2 2 2" xfId="12688" xr:uid="{9E3946D6-968C-4F7D-8619-D3B36338905F}"/>
    <cellStyle name="Normal 10 2 3 3 2 2 2 2" xfId="29448" xr:uid="{FB15FC47-F094-467F-982F-388662F10538}"/>
    <cellStyle name="Normal 10 2 3 3 2 2 2 3" xfId="46207" xr:uid="{0859ABE3-6496-4301-81D5-3C6382F902F0}"/>
    <cellStyle name="Normal 10 2 3 3 2 2 3" xfId="21068" xr:uid="{E1C7BEDF-A601-487A-A349-A80F7DF919DE}"/>
    <cellStyle name="Normal 10 2 3 3 2 2 4" xfId="37827" xr:uid="{4126F411-DD58-4FDB-9296-F8F9C3A414B1}"/>
    <cellStyle name="Normal 10 2 3 3 2 3" xfId="5995" xr:uid="{6EB9B11B-52C3-4710-BCA0-D9A1F2219B21}"/>
    <cellStyle name="Normal 10 2 3 3 2 3 2" xfId="14375" xr:uid="{50F274D5-193F-48BD-8921-5B615B7A6BF4}"/>
    <cellStyle name="Normal 10 2 3 3 2 3 2 2" xfId="31135" xr:uid="{8BA0DCDC-C450-4057-9E3F-25D9E6392655}"/>
    <cellStyle name="Normal 10 2 3 3 2 3 2 3" xfId="47894" xr:uid="{FA0BD918-693B-4A7F-958E-B38EFA1F7BA6}"/>
    <cellStyle name="Normal 10 2 3 3 2 3 3" xfId="22755" xr:uid="{2CE6D88A-C3DD-49C1-B29E-824E3135823A}"/>
    <cellStyle name="Normal 10 2 3 3 2 3 4" xfId="39514" xr:uid="{AEA39C5D-E473-4E3B-8F84-54D620EF6B76}"/>
    <cellStyle name="Normal 10 2 3 3 2 4" xfId="2731" xr:uid="{BB271108-5CE9-4D54-9173-00C0B604A104}"/>
    <cellStyle name="Normal 10 2 3 3 2 4 2" xfId="11111" xr:uid="{625DD69B-0003-4D85-8C02-EA0FB8BC3E9E}"/>
    <cellStyle name="Normal 10 2 3 3 2 4 2 2" xfId="27871" xr:uid="{E527436B-A0FB-4E76-9764-CDD2077933F7}"/>
    <cellStyle name="Normal 10 2 3 3 2 4 2 3" xfId="44630" xr:uid="{886EB726-00AE-4F68-8B2D-8B29519C0B2A}"/>
    <cellStyle name="Normal 10 2 3 3 2 4 3" xfId="19491" xr:uid="{B250FB41-268E-4D67-9450-941BDBC4F4A3}"/>
    <cellStyle name="Normal 10 2 3 3 2 4 4" xfId="36250" xr:uid="{CC78B334-F7A8-488D-BFF1-ACD81F2DF1D3}"/>
    <cellStyle name="Normal 10 2 3 3 2 5" xfId="9308" xr:uid="{C3B7DF23-65BD-4479-9572-291AC6556F29}"/>
    <cellStyle name="Normal 10 2 3 3 2 5 2" xfId="26068" xr:uid="{0FFF709E-843A-4311-BEFD-0BD5B41C217C}"/>
    <cellStyle name="Normal 10 2 3 3 2 5 3" xfId="42827" xr:uid="{3BD4DB89-D6BE-4DA3-8ACD-9042AA2BAE31}"/>
    <cellStyle name="Normal 10 2 3 3 2 6" xfId="17688" xr:uid="{50CDA3E8-96EE-44EF-BA6B-A5BE5324CB03}"/>
    <cellStyle name="Normal 10 2 3 3 2 7" xfId="34447" xr:uid="{E46B9658-1583-4938-A220-CDCD0B88CF00}"/>
    <cellStyle name="Normal 10 2 3 3 3" xfId="1347" xr:uid="{0D52194A-5905-4441-9F4E-299B4F4ED8A1}"/>
    <cellStyle name="Normal 10 2 3 3 3 2" xfId="4736" xr:uid="{D47BA1AE-36FC-488A-AA9D-9ECB28405601}"/>
    <cellStyle name="Normal 10 2 3 3 3 2 2" xfId="13116" xr:uid="{535A6187-175B-469F-97D5-04EE223EFE92}"/>
    <cellStyle name="Normal 10 2 3 3 3 2 2 2" xfId="29876" xr:uid="{E56E39CB-6A27-4410-A66E-6667E0CC9140}"/>
    <cellStyle name="Normal 10 2 3 3 3 2 2 3" xfId="46635" xr:uid="{7AA15C46-FBBE-489A-AC48-E13F5D83A67F}"/>
    <cellStyle name="Normal 10 2 3 3 3 2 3" xfId="21496" xr:uid="{3E0E1FA7-4520-4EB4-BFCD-7FD86BEDE465}"/>
    <cellStyle name="Normal 10 2 3 3 3 2 4" xfId="38255" xr:uid="{4C0AE9E5-CECE-407B-89FF-F6C5955E2D9A}"/>
    <cellStyle name="Normal 10 2 3 3 3 3" xfId="6423" xr:uid="{18740472-D58B-40A8-9FBF-34A359EADE6F}"/>
    <cellStyle name="Normal 10 2 3 3 3 3 2" xfId="14803" xr:uid="{A88587E8-47A8-4CA4-91D0-DF339B585078}"/>
    <cellStyle name="Normal 10 2 3 3 3 3 2 2" xfId="31563" xr:uid="{A31F353B-8E48-4078-93C7-D3B43597FB83}"/>
    <cellStyle name="Normal 10 2 3 3 3 3 2 3" xfId="48322" xr:uid="{51171E68-ED27-4EB3-9669-B2C0AB58AF86}"/>
    <cellStyle name="Normal 10 2 3 3 3 3 3" xfId="23183" xr:uid="{C67B826E-D83E-4FE8-9CC2-7847C3F415E1}"/>
    <cellStyle name="Normal 10 2 3 3 3 3 4" xfId="39942" xr:uid="{2E42C41E-C82D-4271-8D48-FE928E8F749F}"/>
    <cellStyle name="Normal 10 2 3 3 3 4" xfId="3159" xr:uid="{D49A4BA1-7F55-465C-81A6-3103ADD4B67B}"/>
    <cellStyle name="Normal 10 2 3 3 3 4 2" xfId="11539" xr:uid="{DB37E2FA-3EB6-4794-BB57-7C3F1A01DB43}"/>
    <cellStyle name="Normal 10 2 3 3 3 4 2 2" xfId="28299" xr:uid="{B04F01CE-C36D-4F07-B245-7D77A065D848}"/>
    <cellStyle name="Normal 10 2 3 3 3 4 2 3" xfId="45058" xr:uid="{48A4CF29-CFC1-4032-BB82-1CD4F5D577C5}"/>
    <cellStyle name="Normal 10 2 3 3 3 4 3" xfId="19919" xr:uid="{4A0BD92D-0511-45B8-AB8B-364AA35FAB68}"/>
    <cellStyle name="Normal 10 2 3 3 3 4 4" xfId="36678" xr:uid="{1DF84F9B-1981-45F2-B29B-3313805446D1}"/>
    <cellStyle name="Normal 10 2 3 3 3 5" xfId="9736" xr:uid="{208CDEED-B659-4E03-8AE7-E9BA92FA9664}"/>
    <cellStyle name="Normal 10 2 3 3 3 5 2" xfId="26496" xr:uid="{86AD7801-661D-4B66-8261-4F8F5116C066}"/>
    <cellStyle name="Normal 10 2 3 3 3 5 3" xfId="43255" xr:uid="{56462375-2CE9-4A5D-A170-B1BA25E8F873}"/>
    <cellStyle name="Normal 10 2 3 3 3 6" xfId="18116" xr:uid="{A665A88E-2912-40C0-B095-B2A753ABE95C}"/>
    <cellStyle name="Normal 10 2 3 3 3 7" xfId="34875" xr:uid="{390085A6-4E25-43CD-A4F9-1D35E0A005EB}"/>
    <cellStyle name="Normal 10 2 3 3 4" xfId="1923" xr:uid="{3329610B-7DFB-4A21-8B1B-4B139C0886BD}"/>
    <cellStyle name="Normal 10 2 3 3 4 2" xfId="5312" xr:uid="{579047F8-5881-409C-9943-588112979C31}"/>
    <cellStyle name="Normal 10 2 3 3 4 2 2" xfId="13692" xr:uid="{ED98B9D7-1D3F-4980-BFCE-F7C4F49468E3}"/>
    <cellStyle name="Normal 10 2 3 3 4 2 2 2" xfId="30452" xr:uid="{5E9068B3-7C55-4A20-BFE3-0E547B78494E}"/>
    <cellStyle name="Normal 10 2 3 3 4 2 2 3" xfId="47211" xr:uid="{D3BF3097-E324-4672-860F-2722F89E1505}"/>
    <cellStyle name="Normal 10 2 3 3 4 2 3" xfId="22072" xr:uid="{451D98A3-2C65-4B4E-AECD-E95D7A7B9BD9}"/>
    <cellStyle name="Normal 10 2 3 3 4 2 4" xfId="38831" xr:uid="{6F9C99C8-7C91-4FB5-A7CF-F85CDD6580D1}"/>
    <cellStyle name="Normal 10 2 3 3 4 3" xfId="6999" xr:uid="{847C2B70-F377-4D7D-A7A5-9E0440B4A981}"/>
    <cellStyle name="Normal 10 2 3 3 4 3 2" xfId="15379" xr:uid="{D804EC67-4CB2-4DBC-B97E-62458988675A}"/>
    <cellStyle name="Normal 10 2 3 3 4 3 2 2" xfId="32139" xr:uid="{B22E37E0-1D13-4024-86AB-28512FD49F51}"/>
    <cellStyle name="Normal 10 2 3 3 4 3 2 3" xfId="48898" xr:uid="{08790691-7F92-47F5-B2C3-55A18643FF55}"/>
    <cellStyle name="Normal 10 2 3 3 4 3 3" xfId="23759" xr:uid="{F0423068-4A64-4FC0-BFD4-C5B846F29632}"/>
    <cellStyle name="Normal 10 2 3 3 4 3 4" xfId="40518" xr:uid="{45DCB96D-7AA2-42A5-95B4-3C9B4897B932}"/>
    <cellStyle name="Normal 10 2 3 3 4 4" xfId="3622" xr:uid="{1557D832-9E10-4D46-B1B6-CA4CD3243E8E}"/>
    <cellStyle name="Normal 10 2 3 3 4 4 2" xfId="12002" xr:uid="{FEAE3F49-DAEB-40A5-BCD4-B945161DE6B0}"/>
    <cellStyle name="Normal 10 2 3 3 4 4 2 2" xfId="28762" xr:uid="{8FC7DCA8-BB49-4035-990B-118A3102D84A}"/>
    <cellStyle name="Normal 10 2 3 3 4 4 2 3" xfId="45521" xr:uid="{EBB1D65B-2CCA-44B5-B7CA-9736421F8481}"/>
    <cellStyle name="Normal 10 2 3 3 4 4 3" xfId="20382" xr:uid="{DB61A687-032C-4F7E-A955-DF2880C614BC}"/>
    <cellStyle name="Normal 10 2 3 3 4 4 4" xfId="37141" xr:uid="{5ECCC783-1575-4816-8086-496CF31F177B}"/>
    <cellStyle name="Normal 10 2 3 3 4 5" xfId="10312" xr:uid="{C4A22297-55ED-4AC3-9201-54DA5603BC9F}"/>
    <cellStyle name="Normal 10 2 3 3 4 5 2" xfId="27072" xr:uid="{6B0750D7-6355-4A2F-AE7C-E5C753178DD5}"/>
    <cellStyle name="Normal 10 2 3 3 4 5 3" xfId="43831" xr:uid="{DD25B5DE-CFD6-4BFD-B4F6-F17C409A1C0B}"/>
    <cellStyle name="Normal 10 2 3 3 4 6" xfId="18692" xr:uid="{FB9DC550-EA69-48E9-A274-1B1D00BBECFA}"/>
    <cellStyle name="Normal 10 2 3 3 4 7" xfId="35451" xr:uid="{F870A1E2-889E-47FE-8EEB-C59BBE975E48}"/>
    <cellStyle name="Normal 10 2 3 3 5" xfId="4042" xr:uid="{D99CAE5B-98B1-446F-9424-1EC53566A6C3}"/>
    <cellStyle name="Normal 10 2 3 3 5 2" xfId="12422" xr:uid="{77D1A857-8DEE-4968-B07B-822A20D7F033}"/>
    <cellStyle name="Normal 10 2 3 3 5 2 2" xfId="29182" xr:uid="{6A02B175-D3AB-4407-AE41-254A555D676B}"/>
    <cellStyle name="Normal 10 2 3 3 5 2 3" xfId="45941" xr:uid="{71A5CA8B-3998-43D8-830C-129874C1EBAC}"/>
    <cellStyle name="Normal 10 2 3 3 5 3" xfId="20802" xr:uid="{86E16B8E-50F5-46F2-9701-008CD6C7AFD4}"/>
    <cellStyle name="Normal 10 2 3 3 5 4" xfId="37561" xr:uid="{12472379-FBE5-4C20-A780-69C8E8471F34}"/>
    <cellStyle name="Normal 10 2 3 3 6" xfId="5569" xr:uid="{C8B1B825-BEC5-49C1-BA0B-A055DA5ACB51}"/>
    <cellStyle name="Normal 10 2 3 3 6 2" xfId="13949" xr:uid="{5684908A-C409-4B4C-BAED-68037720A2AE}"/>
    <cellStyle name="Normal 10 2 3 3 6 2 2" xfId="30709" xr:uid="{76E40857-250A-42E8-ABFF-7056BC65E48C}"/>
    <cellStyle name="Normal 10 2 3 3 6 2 3" xfId="47468" xr:uid="{5417D74B-F8C7-40B8-A570-3855297A64BF}"/>
    <cellStyle name="Normal 10 2 3 3 6 3" xfId="22329" xr:uid="{D0135192-3E55-44DD-B158-DF579173C9BC}"/>
    <cellStyle name="Normal 10 2 3 3 6 4" xfId="39088" xr:uid="{10F28B3B-8F26-415C-9B64-86BEECA1C373}"/>
    <cellStyle name="Normal 10 2 3 3 7" xfId="7405" xr:uid="{99EE38FD-7741-4194-84D3-67F7C2CE9466}"/>
    <cellStyle name="Normal 10 2 3 3 7 2" xfId="15785" xr:uid="{EEE0E48C-7A85-4C96-979E-1D48C1FD6CC2}"/>
    <cellStyle name="Normal 10 2 3 3 7 2 2" xfId="32545" xr:uid="{56C8BC1F-229D-41C5-95F4-0B2668E916FB}"/>
    <cellStyle name="Normal 10 2 3 3 7 2 3" xfId="49304" xr:uid="{6E6C0314-233D-4639-B95E-C6DB516F9524}"/>
    <cellStyle name="Normal 10 2 3 3 7 3" xfId="24165" xr:uid="{679386EC-6BC2-4A6F-B475-5F4D36DF8577}"/>
    <cellStyle name="Normal 10 2 3 3 7 4" xfId="40924" xr:uid="{E94E6AC6-3627-4769-8884-9AB66E285074}"/>
    <cellStyle name="Normal 10 2 3 3 8" xfId="7811" xr:uid="{D626D683-8F5A-41A8-A783-70A47C1E8DDF}"/>
    <cellStyle name="Normal 10 2 3 3 8 2" xfId="16191" xr:uid="{9B308968-CD3F-44D4-BACC-88855F7C6909}"/>
    <cellStyle name="Normal 10 2 3 3 8 2 2" xfId="32951" xr:uid="{C9E9CD03-FC8A-4C33-B058-58692A3366D6}"/>
    <cellStyle name="Normal 10 2 3 3 8 2 3" xfId="49710" xr:uid="{3465351C-195C-439A-B416-EC71D5DD0552}"/>
    <cellStyle name="Normal 10 2 3 3 8 3" xfId="24571" xr:uid="{356B36A8-F471-4F57-922E-CE07CE2A81EC}"/>
    <cellStyle name="Normal 10 2 3 3 8 4" xfId="41330" xr:uid="{D9EC65F5-590C-4C3B-B2B6-A0F5413EA997}"/>
    <cellStyle name="Normal 10 2 3 3 9" xfId="8217" xr:uid="{AEC0C010-FAAE-4276-92D4-276EBEB77BB9}"/>
    <cellStyle name="Normal 10 2 3 3 9 2" xfId="16597" xr:uid="{9A250CA7-236C-4333-B07E-B5A8FDFCA05B}"/>
    <cellStyle name="Normal 10 2 3 3 9 2 2" xfId="33357" xr:uid="{6078FC8E-2F0B-4194-8A20-A06BA52801C6}"/>
    <cellStyle name="Normal 10 2 3 3 9 2 3" xfId="50116" xr:uid="{041E61D1-F7B8-4533-B2F3-86B8E4147DB5}"/>
    <cellStyle name="Normal 10 2 3 3 9 3" xfId="24977" xr:uid="{5E89C374-5549-4606-8A79-FCAD1A29548B}"/>
    <cellStyle name="Normal 10 2 3 3 9 4" xfId="41736" xr:uid="{BC0E5C84-69ED-410B-9C13-AE70EFBCFAAE}"/>
    <cellStyle name="Normal 10 2 3 4" xfId="847" xr:uid="{30219D6D-B482-49B7-8960-CE48B1FB083B}"/>
    <cellStyle name="Normal 10 2 3 4 2" xfId="4242" xr:uid="{F5C74F42-020E-45C2-8CBF-EB6B0F6F569B}"/>
    <cellStyle name="Normal 10 2 3 4 2 2" xfId="12622" xr:uid="{D30FC8DA-2184-4182-829A-E7E2F641DB59}"/>
    <cellStyle name="Normal 10 2 3 4 2 2 2" xfId="29382" xr:uid="{E01179BC-2629-43A1-AFC0-A25454DDF6F3}"/>
    <cellStyle name="Normal 10 2 3 4 2 2 3" xfId="46141" xr:uid="{43E39BB4-7038-450C-8F67-C2CC672B9317}"/>
    <cellStyle name="Normal 10 2 3 4 2 3" xfId="21002" xr:uid="{A58B5064-4934-47CB-A3DA-B50F96AB1658}"/>
    <cellStyle name="Normal 10 2 3 4 2 4" xfId="37761" xr:uid="{AC081C74-BA0F-4194-A709-5CF536AFDBB7}"/>
    <cellStyle name="Normal 10 2 3 4 3" xfId="5929" xr:uid="{4ACFE372-392D-496F-B2CC-5D4CCD763409}"/>
    <cellStyle name="Normal 10 2 3 4 3 2" xfId="14309" xr:uid="{DBA5BCDC-8178-4711-8150-EAE486C4851A}"/>
    <cellStyle name="Normal 10 2 3 4 3 2 2" xfId="31069" xr:uid="{D7E0B2F4-DAC0-4B6A-A35F-6B7AEFA9CD1A}"/>
    <cellStyle name="Normal 10 2 3 4 3 2 3" xfId="47828" xr:uid="{8C7E4347-1D6B-4C34-BF53-89508EA03427}"/>
    <cellStyle name="Normal 10 2 3 4 3 3" xfId="22689" xr:uid="{7F34D737-1E40-439D-B0A6-338CAE38F917}"/>
    <cellStyle name="Normal 10 2 3 4 3 4" xfId="39448" xr:uid="{A07141C1-9E39-4E6A-8355-7B3D6BC53E30}"/>
    <cellStyle name="Normal 10 2 3 4 4" xfId="2665" xr:uid="{A3D2E6FE-76A9-4232-8766-D0F278A37C6B}"/>
    <cellStyle name="Normal 10 2 3 4 4 2" xfId="11045" xr:uid="{51E8D085-D7D1-4194-BE43-7BC6CBE1481A}"/>
    <cellStyle name="Normal 10 2 3 4 4 2 2" xfId="27805" xr:uid="{5EAF56C3-D6DA-44AB-9002-BB974856099A}"/>
    <cellStyle name="Normal 10 2 3 4 4 2 3" xfId="44564" xr:uid="{5C788351-CCB3-4697-B619-07CEB270D1A6}"/>
    <cellStyle name="Normal 10 2 3 4 4 3" xfId="19425" xr:uid="{D6DAF5AD-CAFA-44E4-952E-3EDD1CF93807}"/>
    <cellStyle name="Normal 10 2 3 4 4 4" xfId="36184" xr:uid="{167D8616-75F6-44B6-A5BB-2CEE5ADDF538}"/>
    <cellStyle name="Normal 10 2 3 4 5" xfId="9242" xr:uid="{87CE7F35-DE65-45BC-ACED-2C861DFB3D92}"/>
    <cellStyle name="Normal 10 2 3 4 5 2" xfId="26002" xr:uid="{43D873E0-261D-4650-90D7-6324068AF4E0}"/>
    <cellStyle name="Normal 10 2 3 4 5 3" xfId="42761" xr:uid="{7FFD6F56-FA74-48F2-B04D-E7B39B2B60F2}"/>
    <cellStyle name="Normal 10 2 3 4 6" xfId="17622" xr:uid="{EE5C3836-FB82-4833-AE19-93434D6F9A7F}"/>
    <cellStyle name="Normal 10 2 3 4 7" xfId="34381" xr:uid="{9EDB54F5-EEA2-4FAE-A4EA-285711D88E0B}"/>
    <cellStyle name="Normal 10 2 3 5" xfId="1281" xr:uid="{3F7AFCBE-2B4F-4D7B-A032-BF27865936B8}"/>
    <cellStyle name="Normal 10 2 3 5 2" xfId="4670" xr:uid="{B6504292-3A06-4A72-A4C7-5A323E403EC0}"/>
    <cellStyle name="Normal 10 2 3 5 2 2" xfId="13050" xr:uid="{DA97CF40-6C06-484E-B7D2-6E29DDA62931}"/>
    <cellStyle name="Normal 10 2 3 5 2 2 2" xfId="29810" xr:uid="{CDE31C85-1B73-46B0-9A04-1BAE2521D14B}"/>
    <cellStyle name="Normal 10 2 3 5 2 2 3" xfId="46569" xr:uid="{B9112E5D-2281-455C-9B92-59DB56B7C690}"/>
    <cellStyle name="Normal 10 2 3 5 2 3" xfId="21430" xr:uid="{FA5815F9-219D-494C-BC34-B2F43A1916C4}"/>
    <cellStyle name="Normal 10 2 3 5 2 4" xfId="38189" xr:uid="{17D95FBA-5F97-4351-94DB-EEA2D3878E08}"/>
    <cellStyle name="Normal 10 2 3 5 3" xfId="6357" xr:uid="{C7B21CB5-99FC-4CD6-AA1F-6F21C6FF0996}"/>
    <cellStyle name="Normal 10 2 3 5 3 2" xfId="14737" xr:uid="{DB44A383-E9DB-4969-B8EE-4D7B8EC5DDF6}"/>
    <cellStyle name="Normal 10 2 3 5 3 2 2" xfId="31497" xr:uid="{B85E82BB-0BD0-4715-8669-6717ACA27482}"/>
    <cellStyle name="Normal 10 2 3 5 3 2 3" xfId="48256" xr:uid="{4D18278F-4C42-4AAE-9DE4-20200A169C0E}"/>
    <cellStyle name="Normal 10 2 3 5 3 3" xfId="23117" xr:uid="{400D8663-7B80-472D-8179-5F94B8C621EA}"/>
    <cellStyle name="Normal 10 2 3 5 3 4" xfId="39876" xr:uid="{3CA45830-76A7-4A67-B887-02D65ACC45C2}"/>
    <cellStyle name="Normal 10 2 3 5 4" xfId="3093" xr:uid="{8F95C17F-F59E-4EE2-8A01-439853AD5F42}"/>
    <cellStyle name="Normal 10 2 3 5 4 2" xfId="11473" xr:uid="{021F461E-2692-4882-99A0-C0EB9C7ADDE0}"/>
    <cellStyle name="Normal 10 2 3 5 4 2 2" xfId="28233" xr:uid="{669244AC-3CCD-47A4-9327-02DBD34CE5D2}"/>
    <cellStyle name="Normal 10 2 3 5 4 2 3" xfId="44992" xr:uid="{F169A31C-D47C-4107-B6AC-32C3040573DB}"/>
    <cellStyle name="Normal 10 2 3 5 4 3" xfId="19853" xr:uid="{38EC8F7C-FE58-40C1-BC82-7760AD7E57DC}"/>
    <cellStyle name="Normal 10 2 3 5 4 4" xfId="36612" xr:uid="{4E7847D4-69DF-4F1A-9EE7-C4D0E499314A}"/>
    <cellStyle name="Normal 10 2 3 5 5" xfId="9670" xr:uid="{782D68C9-9A44-4909-A168-BC74BF0483E0}"/>
    <cellStyle name="Normal 10 2 3 5 5 2" xfId="26430" xr:uid="{56E524DF-5EA9-4D16-AAA5-C4FA39F641CF}"/>
    <cellStyle name="Normal 10 2 3 5 5 3" xfId="43189" xr:uid="{68363831-BCD6-4603-966A-C865F601E887}"/>
    <cellStyle name="Normal 10 2 3 5 6" xfId="18050" xr:uid="{C97A8797-0A2C-41E5-8026-827874449FFF}"/>
    <cellStyle name="Normal 10 2 3 5 7" xfId="34809" xr:uid="{4402BE24-4402-4C25-BAA8-EA791C472CE9}"/>
    <cellStyle name="Normal 10 2 3 6" xfId="1652" xr:uid="{BEDA6C36-CC10-453A-8009-8C781797785D}"/>
    <cellStyle name="Normal 10 2 3 6 2" xfId="5041" xr:uid="{F4AF9EAE-2694-4CE7-8F5D-E5738D161D0E}"/>
    <cellStyle name="Normal 10 2 3 6 2 2" xfId="13421" xr:uid="{98827CCF-E4B2-4267-9FF6-CC6A2581CFD2}"/>
    <cellStyle name="Normal 10 2 3 6 2 2 2" xfId="30181" xr:uid="{566E417D-5ED1-4611-922D-DB8D85432E22}"/>
    <cellStyle name="Normal 10 2 3 6 2 2 3" xfId="46940" xr:uid="{A42130DA-27B3-4593-A78E-830DB36FCAE5}"/>
    <cellStyle name="Normal 10 2 3 6 2 3" xfId="21801" xr:uid="{122B7843-CF18-4D50-A482-2BB20DAC220A}"/>
    <cellStyle name="Normal 10 2 3 6 2 4" xfId="38560" xr:uid="{81ADBE21-B3DB-4F86-9B80-0F90656ABE5B}"/>
    <cellStyle name="Normal 10 2 3 6 3" xfId="6728" xr:uid="{361616A5-1459-45D5-9BE4-FD2FDB7E5497}"/>
    <cellStyle name="Normal 10 2 3 6 3 2" xfId="15108" xr:uid="{907F06B6-4EAF-4DD9-92AF-303F6E9230C2}"/>
    <cellStyle name="Normal 10 2 3 6 3 2 2" xfId="31868" xr:uid="{6364A56D-2EB8-4994-B35E-C71DCB060D6F}"/>
    <cellStyle name="Normal 10 2 3 6 3 2 3" xfId="48627" xr:uid="{73CF7698-E51D-4715-88C9-C0BDA5D54674}"/>
    <cellStyle name="Normal 10 2 3 6 3 3" xfId="23488" xr:uid="{82339C02-3F29-44A6-B038-858BF2A27DBA}"/>
    <cellStyle name="Normal 10 2 3 6 3 4" xfId="40247" xr:uid="{D12B17C8-321D-4E8B-A665-53CCE2A45E45}"/>
    <cellStyle name="Normal 10 2 3 6 4" xfId="2235" xr:uid="{A255CE3A-CE37-41AD-A357-2F837C744556}"/>
    <cellStyle name="Normal 10 2 3 6 4 2" xfId="10619" xr:uid="{934F9399-6142-4772-A055-45DAA6F1D8D9}"/>
    <cellStyle name="Normal 10 2 3 6 4 2 2" xfId="27379" xr:uid="{71C1D551-D4CF-45FF-9671-AA4B2C65254A}"/>
    <cellStyle name="Normal 10 2 3 6 4 2 3" xfId="44138" xr:uid="{C0B22D0F-D851-4E58-9184-310CF189BB58}"/>
    <cellStyle name="Normal 10 2 3 6 4 3" xfId="18999" xr:uid="{DDB2AA92-6041-48C1-837D-670F14BF1D10}"/>
    <cellStyle name="Normal 10 2 3 6 4 4" xfId="35758" xr:uid="{5E77C356-629A-4FBA-82F3-522A209B906D}"/>
    <cellStyle name="Normal 10 2 3 6 5" xfId="10041" xr:uid="{DF511A2D-4F71-457D-A8DF-F8A75DFFC625}"/>
    <cellStyle name="Normal 10 2 3 6 5 2" xfId="26801" xr:uid="{09F29F4D-FF77-402F-A273-3E734B8E4D10}"/>
    <cellStyle name="Normal 10 2 3 6 5 3" xfId="43560" xr:uid="{1AC6A14D-E79B-4704-A263-8416548D8540}"/>
    <cellStyle name="Normal 10 2 3 6 6" xfId="18421" xr:uid="{6B02731F-F2F2-42EC-AA6B-821532C297E9}"/>
    <cellStyle name="Normal 10 2 3 6 7" xfId="35180" xr:uid="{36A32B8C-9399-460E-ACF6-F4A87D599D40}"/>
    <cellStyle name="Normal 10 2 3 7" xfId="3770" xr:uid="{F809857A-0728-47B1-AE6C-549C2521D302}"/>
    <cellStyle name="Normal 10 2 3 7 2" xfId="12150" xr:uid="{030E46AA-BC0F-4A0E-BE4B-BA7D1947FD17}"/>
    <cellStyle name="Normal 10 2 3 7 2 2" xfId="28910" xr:uid="{87DC6B18-81D0-4CDD-B9BA-7507506EE58D}"/>
    <cellStyle name="Normal 10 2 3 7 2 3" xfId="45669" xr:uid="{24CF81B6-9EF7-4AE6-9956-420F381A97CE}"/>
    <cellStyle name="Normal 10 2 3 7 3" xfId="20530" xr:uid="{04DCC689-3536-4C5B-BB0C-9F83D951012D}"/>
    <cellStyle name="Normal 10 2 3 7 4" xfId="37289" xr:uid="{39A257E8-75AD-4EE3-886E-8D47951A9B51}"/>
    <cellStyle name="Normal 10 2 3 8" xfId="5503" xr:uid="{25CE087B-902D-4BE9-AB60-9D91C58F161A}"/>
    <cellStyle name="Normal 10 2 3 8 2" xfId="13883" xr:uid="{586A93F3-3C08-48F4-A31A-65069F69E22F}"/>
    <cellStyle name="Normal 10 2 3 8 2 2" xfId="30643" xr:uid="{6E1CD1E3-B21F-48C4-86A2-4B6C6A5D7790}"/>
    <cellStyle name="Normal 10 2 3 8 2 3" xfId="47402" xr:uid="{A9BA7D8F-595E-4F20-95D6-CAAA37AB838B}"/>
    <cellStyle name="Normal 10 2 3 8 3" xfId="22263" xr:uid="{D76465FD-0AD3-4269-9955-2CEA58DDA1CB}"/>
    <cellStyle name="Normal 10 2 3 8 4" xfId="39022" xr:uid="{A0B8445C-2828-43D5-BBA2-FAEA6A7CFC22}"/>
    <cellStyle name="Normal 10 2 3 9" xfId="7134" xr:uid="{58FD8FB0-860B-4696-8995-51EADEFEB404}"/>
    <cellStyle name="Normal 10 2 3 9 2" xfId="15514" xr:uid="{79192E4D-4699-4AC8-B025-32B1F47F7987}"/>
    <cellStyle name="Normal 10 2 3 9 2 2" xfId="32274" xr:uid="{CD065F73-8F26-4295-B2D7-10F49CD73100}"/>
    <cellStyle name="Normal 10 2 3 9 2 3" xfId="49033" xr:uid="{57E88A29-78B0-476A-8BF6-8F0BD2BCED4D}"/>
    <cellStyle name="Normal 10 2 3 9 3" xfId="23894" xr:uid="{0A55AD93-1970-4559-AEA5-E3D14BCEDFEB}"/>
    <cellStyle name="Normal 10 2 3 9 4" xfId="40653" xr:uid="{8BCE5C84-6375-49F6-87EB-A656042D6002}"/>
    <cellStyle name="Normal 10 2 4" xfId="329" xr:uid="{31605C9D-A29C-461F-8A40-D569C04DC927}"/>
    <cellStyle name="Normal 10 2 4 10" xfId="7541" xr:uid="{81ECCEAE-871F-4C0D-8488-A7629C9A699A}"/>
    <cellStyle name="Normal 10 2 4 10 2" xfId="15921" xr:uid="{EC4AEBF7-1DDF-4BAC-B3F1-5BD9BB310831}"/>
    <cellStyle name="Normal 10 2 4 10 2 2" xfId="32681" xr:uid="{023B8116-3C22-430D-BA93-E48E6D668F4A}"/>
    <cellStyle name="Normal 10 2 4 10 2 3" xfId="49440" xr:uid="{65741BD0-AA45-43A4-B185-BB193EDEFBE1}"/>
    <cellStyle name="Normal 10 2 4 10 3" xfId="24301" xr:uid="{D125AF81-1ACE-4640-9558-FB0EF3F9376E}"/>
    <cellStyle name="Normal 10 2 4 10 4" xfId="41060" xr:uid="{6F490F74-B9ED-4791-B0FE-F9B2415818AE}"/>
    <cellStyle name="Normal 10 2 4 11" xfId="7947" xr:uid="{791AC47E-F359-47D3-95C5-14612779972A}"/>
    <cellStyle name="Normal 10 2 4 11 2" xfId="16327" xr:uid="{89C49DB5-9E8F-4EA7-98A5-B20FFB50D56A}"/>
    <cellStyle name="Normal 10 2 4 11 2 2" xfId="33087" xr:uid="{514CD38B-1343-44D9-9F21-6C63EC63DF49}"/>
    <cellStyle name="Normal 10 2 4 11 2 3" xfId="49846" xr:uid="{18457576-0D1E-4324-8553-0E95415ACFB4}"/>
    <cellStyle name="Normal 10 2 4 11 3" xfId="24707" xr:uid="{EC89D3E5-E587-41A9-8F73-B7824359E98D}"/>
    <cellStyle name="Normal 10 2 4 11 4" xfId="41466" xr:uid="{4B355455-3B7F-46B4-8CAD-E91CB313F5E7}"/>
    <cellStyle name="Normal 10 2 4 12" xfId="8353" xr:uid="{414E89F9-7843-4045-BF46-38ADDB4C8B02}"/>
    <cellStyle name="Normal 10 2 4 12 2" xfId="16733" xr:uid="{A2F062DE-878E-4253-87F5-D64FEDBF6714}"/>
    <cellStyle name="Normal 10 2 4 12 2 2" xfId="33493" xr:uid="{0868C847-3120-4EB2-9192-F691D9ED15AF}"/>
    <cellStyle name="Normal 10 2 4 12 2 3" xfId="50252" xr:uid="{3FBA2E4A-19B1-40E8-B8B1-533EDE0BB246}"/>
    <cellStyle name="Normal 10 2 4 12 3" xfId="25113" xr:uid="{1076C9AD-D8B6-4BB5-982D-9543AA64809D}"/>
    <cellStyle name="Normal 10 2 4 12 4" xfId="41872" xr:uid="{7B3C9481-CC28-43E1-9E87-6D2CCDAD9566}"/>
    <cellStyle name="Normal 10 2 4 13" xfId="2096" xr:uid="{7E87CA89-E38E-4BB3-904A-9A644430A021}"/>
    <cellStyle name="Normal 10 2 4 13 2" xfId="10484" xr:uid="{45FDC705-6114-4974-82F6-26F9A6F32DDC}"/>
    <cellStyle name="Normal 10 2 4 13 2 2" xfId="27244" xr:uid="{33D4148F-0C07-4C68-BCCA-94761B79BE32}"/>
    <cellStyle name="Normal 10 2 4 13 2 3" xfId="44003" xr:uid="{4196FBCA-B459-4688-959E-32A2701C6163}"/>
    <cellStyle name="Normal 10 2 4 13 3" xfId="18864" xr:uid="{01F627D4-2DE8-4C4F-AC17-1454A08209D0}"/>
    <cellStyle name="Normal 10 2 4 13 4" xfId="35623" xr:uid="{2034B400-9A6D-4FA4-9648-872295BC981C}"/>
    <cellStyle name="Normal 10 2 4 14" xfId="8798" xr:uid="{613ECD48-C0EC-47BC-801F-3C3563F756F8}"/>
    <cellStyle name="Normal 10 2 4 14 2" xfId="25558" xr:uid="{F208F257-1D60-405C-ADB3-7065014524A6}"/>
    <cellStyle name="Normal 10 2 4 14 3" xfId="42317" xr:uid="{47ABF6BA-6CC2-4897-98E9-2C8E41E28BFB}"/>
    <cellStyle name="Normal 10 2 4 15" xfId="17178" xr:uid="{9EDB6698-109B-40FC-8DDC-EF52BC8101A5}"/>
    <cellStyle name="Normal 10 2 4 16" xfId="33937" xr:uid="{D1D12B11-0D40-4E03-A73F-22499C65DE2B}"/>
    <cellStyle name="Normal 10 2 4 2" xfId="472" xr:uid="{2818039A-AA36-494F-840A-174113D00C56}"/>
    <cellStyle name="Normal 10 2 4 2 10" xfId="8471" xr:uid="{4C71FF2B-81B7-47C2-BED0-5CDFBDA13ED9}"/>
    <cellStyle name="Normal 10 2 4 2 10 2" xfId="16851" xr:uid="{29F2ABE2-2246-4C25-91CD-97929157D9F9}"/>
    <cellStyle name="Normal 10 2 4 2 10 2 2" xfId="33611" xr:uid="{D635D922-12F1-4606-B516-DD837325BE04}"/>
    <cellStyle name="Normal 10 2 4 2 10 2 3" xfId="50370" xr:uid="{587A6089-C33B-45A6-899D-E48EE5F2E4CD}"/>
    <cellStyle name="Normal 10 2 4 2 10 3" xfId="25231" xr:uid="{F74D9E8D-3E51-4EB5-88BB-F81322A4D4D4}"/>
    <cellStyle name="Normal 10 2 4 2 10 4" xfId="41990" xr:uid="{689D26E9-D5B4-4557-8926-ECF457D7B835}"/>
    <cellStyle name="Normal 10 2 4 2 11" xfId="2304" xr:uid="{1F1A3F3A-9688-49CA-A233-35DE9322577C}"/>
    <cellStyle name="Normal 10 2 4 2 11 2" xfId="10686" xr:uid="{8494E5E0-46C6-410A-8DF6-28F4AECB069F}"/>
    <cellStyle name="Normal 10 2 4 2 11 2 2" xfId="27446" xr:uid="{C7EEC1BB-76C4-46A4-9A45-1BF82329A555}"/>
    <cellStyle name="Normal 10 2 4 2 11 2 3" xfId="44205" xr:uid="{F3AD763B-E42D-4FCD-BE59-2986D3165AE8}"/>
    <cellStyle name="Normal 10 2 4 2 11 3" xfId="19066" xr:uid="{7CD7B709-5D01-4FFD-A43E-EE75A3BBF08F}"/>
    <cellStyle name="Normal 10 2 4 2 11 4" xfId="35825" xr:uid="{990C1C9F-E9BD-4B32-9406-2E59BA87DCD8}"/>
    <cellStyle name="Normal 10 2 4 2 12" xfId="8883" xr:uid="{E99A02A9-1D94-4953-82BB-7025448AE3C0}"/>
    <cellStyle name="Normal 10 2 4 2 12 2" xfId="25643" xr:uid="{78354630-7C25-44F3-9612-BF2A159FD35E}"/>
    <cellStyle name="Normal 10 2 4 2 12 3" xfId="42402" xr:uid="{CC91A61E-138D-48A1-99E1-D6037762C02B}"/>
    <cellStyle name="Normal 10 2 4 2 13" xfId="17263" xr:uid="{805E169A-2B20-446F-AD96-81E88717F53B}"/>
    <cellStyle name="Normal 10 2 4 2 14" xfId="34022" xr:uid="{B26AED93-A499-46A8-8405-9D3C9A1C6F09}"/>
    <cellStyle name="Normal 10 2 4 2 2" xfId="914" xr:uid="{9420A98E-A6E1-45DF-A761-79741E861E57}"/>
    <cellStyle name="Normal 10 2 4 2 2 2" xfId="4309" xr:uid="{970AE717-D5CB-4A74-BF5F-96AA2B4A8F0F}"/>
    <cellStyle name="Normal 10 2 4 2 2 2 2" xfId="12689" xr:uid="{63EACB1B-F296-43C4-9BAE-F315C6FF3261}"/>
    <cellStyle name="Normal 10 2 4 2 2 2 2 2" xfId="29449" xr:uid="{9766CBBD-4979-439E-9A11-173C25FE577A}"/>
    <cellStyle name="Normal 10 2 4 2 2 2 2 3" xfId="46208" xr:uid="{FD26861A-558F-4B69-A0A9-A26A5DA43856}"/>
    <cellStyle name="Normal 10 2 4 2 2 2 3" xfId="21069" xr:uid="{A388C34A-20E2-46DD-A18C-F7C5043EE410}"/>
    <cellStyle name="Normal 10 2 4 2 2 2 4" xfId="37828" xr:uid="{F28B772F-0977-42A3-8E82-F75976A99C24}"/>
    <cellStyle name="Normal 10 2 4 2 2 3" xfId="5996" xr:uid="{D213B558-B0E8-488C-8271-D12F29C0CFF0}"/>
    <cellStyle name="Normal 10 2 4 2 2 3 2" xfId="14376" xr:uid="{D4CAAF6E-3673-43A7-B729-3FF6B56B4726}"/>
    <cellStyle name="Normal 10 2 4 2 2 3 2 2" xfId="31136" xr:uid="{9FC316C1-2FAF-410B-BF77-3E34C34A3679}"/>
    <cellStyle name="Normal 10 2 4 2 2 3 2 3" xfId="47895" xr:uid="{DFBC6A53-0D0A-4E9C-9D29-55424834E0D2}"/>
    <cellStyle name="Normal 10 2 4 2 2 3 3" xfId="22756" xr:uid="{77F3AC16-6D7C-42EE-BB24-910096E043BF}"/>
    <cellStyle name="Normal 10 2 4 2 2 3 4" xfId="39515" xr:uid="{8829B721-AA69-44B2-A4D0-0579BBAEA501}"/>
    <cellStyle name="Normal 10 2 4 2 2 4" xfId="2732" xr:uid="{81233CB3-172D-4A76-A827-55634C0AEDAF}"/>
    <cellStyle name="Normal 10 2 4 2 2 4 2" xfId="11112" xr:uid="{6D67C114-269A-4657-809C-E2D6205CFF80}"/>
    <cellStyle name="Normal 10 2 4 2 2 4 2 2" xfId="27872" xr:uid="{90A612B0-64C6-4188-9484-75F2190D1500}"/>
    <cellStyle name="Normal 10 2 4 2 2 4 2 3" xfId="44631" xr:uid="{E36C360B-DE9B-4025-83F6-D393315F848B}"/>
    <cellStyle name="Normal 10 2 4 2 2 4 3" xfId="19492" xr:uid="{8D04E9B8-9AE9-454B-97C8-2E8424653E8D}"/>
    <cellStyle name="Normal 10 2 4 2 2 4 4" xfId="36251" xr:uid="{F403480D-DA54-4E33-97E1-C998003042FA}"/>
    <cellStyle name="Normal 10 2 4 2 2 5" xfId="9309" xr:uid="{FED4FBCD-F9D6-4385-90B7-55F992A1825E}"/>
    <cellStyle name="Normal 10 2 4 2 2 5 2" xfId="26069" xr:uid="{82CA6FFD-3964-4174-8A7E-BB92985A8512}"/>
    <cellStyle name="Normal 10 2 4 2 2 5 3" xfId="42828" xr:uid="{A7871E11-D2F7-42C3-97B0-DAF01776AAB8}"/>
    <cellStyle name="Normal 10 2 4 2 2 6" xfId="17689" xr:uid="{8ECF40F5-BC43-42E8-9EF1-8B29CF80AA2B}"/>
    <cellStyle name="Normal 10 2 4 2 2 7" xfId="34448" xr:uid="{5283A98F-43BB-4BE5-B3EF-E9DDED889AA4}"/>
    <cellStyle name="Normal 10 2 4 2 3" xfId="1348" xr:uid="{9604187B-E7EB-4200-85C3-E98B8C13694A}"/>
    <cellStyle name="Normal 10 2 4 2 3 2" xfId="4737" xr:uid="{F21036CB-1D91-491B-9B66-8F1E18607E2F}"/>
    <cellStyle name="Normal 10 2 4 2 3 2 2" xfId="13117" xr:uid="{998E525A-F272-4475-8314-F88D86BB2670}"/>
    <cellStyle name="Normal 10 2 4 2 3 2 2 2" xfId="29877" xr:uid="{2E70BDD9-48A6-4CBA-873A-5DFF2EC3813A}"/>
    <cellStyle name="Normal 10 2 4 2 3 2 2 3" xfId="46636" xr:uid="{14133C82-CC2A-4EB5-8BCC-90EFDF40F25D}"/>
    <cellStyle name="Normal 10 2 4 2 3 2 3" xfId="21497" xr:uid="{EB52BB6F-238A-4586-808B-874E741AAE29}"/>
    <cellStyle name="Normal 10 2 4 2 3 2 4" xfId="38256" xr:uid="{11508F6B-0288-43FB-9587-B0690BB12E04}"/>
    <cellStyle name="Normal 10 2 4 2 3 3" xfId="6424" xr:uid="{11F3B8E1-F716-4AD3-B3A9-BA63B9C7C5A2}"/>
    <cellStyle name="Normal 10 2 4 2 3 3 2" xfId="14804" xr:uid="{32A14EE7-705A-46CD-B578-68367758527C}"/>
    <cellStyle name="Normal 10 2 4 2 3 3 2 2" xfId="31564" xr:uid="{05DE38BE-EA33-4913-92DC-D8F9EEB16235}"/>
    <cellStyle name="Normal 10 2 4 2 3 3 2 3" xfId="48323" xr:uid="{D38DE090-80A8-45D3-9D35-C0CE5D50F8C5}"/>
    <cellStyle name="Normal 10 2 4 2 3 3 3" xfId="23184" xr:uid="{B8B72408-C766-4E72-8AB4-5E9D618E8C11}"/>
    <cellStyle name="Normal 10 2 4 2 3 3 4" xfId="39943" xr:uid="{9DF154B8-D845-44A7-A727-E0DBBFBE8154}"/>
    <cellStyle name="Normal 10 2 4 2 3 4" xfId="3160" xr:uid="{4DDC0A21-5530-4475-899D-948C911CAC67}"/>
    <cellStyle name="Normal 10 2 4 2 3 4 2" xfId="11540" xr:uid="{61D27B5D-160D-467C-B80D-18C4E8124E5B}"/>
    <cellStyle name="Normal 10 2 4 2 3 4 2 2" xfId="28300" xr:uid="{E9BCDFB4-A708-489A-8C97-6C33A2DDD39F}"/>
    <cellStyle name="Normal 10 2 4 2 3 4 2 3" xfId="45059" xr:uid="{53E11E4A-B59A-4FC4-AE91-BB2EA78256E5}"/>
    <cellStyle name="Normal 10 2 4 2 3 4 3" xfId="19920" xr:uid="{C965864D-F9C4-4A9E-893B-2AF2E1DB419D}"/>
    <cellStyle name="Normal 10 2 4 2 3 4 4" xfId="36679" xr:uid="{74F829FB-D78E-4C38-A60F-90CF1D616A6D}"/>
    <cellStyle name="Normal 10 2 4 2 3 5" xfId="9737" xr:uid="{D11114F0-F877-4E71-B212-2F13323F5191}"/>
    <cellStyle name="Normal 10 2 4 2 3 5 2" xfId="26497" xr:uid="{0E09CF32-83C3-4CCB-B056-9C7617AA762D}"/>
    <cellStyle name="Normal 10 2 4 2 3 5 3" xfId="43256" xr:uid="{A779DB94-4014-4149-B53E-01F5677D5203}"/>
    <cellStyle name="Normal 10 2 4 2 3 6" xfId="18117" xr:uid="{1292D4FE-3AC3-464A-8861-025EF4B8D7F9}"/>
    <cellStyle name="Normal 10 2 4 2 3 7" xfId="34876" xr:uid="{CE0F583E-DD26-4FA9-89D9-020413F97521}"/>
    <cellStyle name="Normal 10 2 4 2 4" xfId="1771" xr:uid="{582DDD3E-D962-4253-A71D-C81BFD1C5C1F}"/>
    <cellStyle name="Normal 10 2 4 2 4 2" xfId="5160" xr:uid="{AE4E8CC4-7FB7-4A95-BAA4-BDD63446740A}"/>
    <cellStyle name="Normal 10 2 4 2 4 2 2" xfId="13540" xr:uid="{D13B9D00-133C-4054-8654-6D33AC7F7882}"/>
    <cellStyle name="Normal 10 2 4 2 4 2 2 2" xfId="30300" xr:uid="{272A2B9E-4CA5-435E-B60D-D08B14155591}"/>
    <cellStyle name="Normal 10 2 4 2 4 2 2 3" xfId="47059" xr:uid="{7FC9AEE9-593A-4758-A410-76BE112CD736}"/>
    <cellStyle name="Normal 10 2 4 2 4 2 3" xfId="21920" xr:uid="{635ACA64-BE86-4A6F-B8F4-56D2395994E0}"/>
    <cellStyle name="Normal 10 2 4 2 4 2 4" xfId="38679" xr:uid="{73208925-558F-4DAC-874A-73D2B98685BD}"/>
    <cellStyle name="Normal 10 2 4 2 4 3" xfId="6847" xr:uid="{9C2310FC-FAB8-48B3-9D31-323DB604070D}"/>
    <cellStyle name="Normal 10 2 4 2 4 3 2" xfId="15227" xr:uid="{B3F97A4F-5E72-44F3-BAB1-0D5EB317AD90}"/>
    <cellStyle name="Normal 10 2 4 2 4 3 2 2" xfId="31987" xr:uid="{0DB7FF32-7CEC-4479-8337-E5619FAC76E8}"/>
    <cellStyle name="Normal 10 2 4 2 4 3 2 3" xfId="48746" xr:uid="{95CCF9A9-E795-4747-B752-1E4D25AF51DF}"/>
    <cellStyle name="Normal 10 2 4 2 4 3 3" xfId="23607" xr:uid="{79E90D2C-C420-40C4-96A9-D73B20C15D22}"/>
    <cellStyle name="Normal 10 2 4 2 4 3 4" xfId="40366" xr:uid="{25130374-D9C8-41C6-B78A-0D938D70EDE1}"/>
    <cellStyle name="Normal 10 2 4 2 4 4" xfId="3471" xr:uid="{31777292-FFA9-4E8B-801B-BDD5A57B9A0A}"/>
    <cellStyle name="Normal 10 2 4 2 4 4 2" xfId="11851" xr:uid="{9021FFD2-E15A-436F-BCD5-55C12B7D2D90}"/>
    <cellStyle name="Normal 10 2 4 2 4 4 2 2" xfId="28611" xr:uid="{CE436E44-F2C5-41B5-9471-E6894FCBE293}"/>
    <cellStyle name="Normal 10 2 4 2 4 4 2 3" xfId="45370" xr:uid="{A2C228D6-20C0-457F-AB71-FADA4B0A8464}"/>
    <cellStyle name="Normal 10 2 4 2 4 4 3" xfId="20231" xr:uid="{9E693ABA-F363-460C-9F0E-08E7DAD5E521}"/>
    <cellStyle name="Normal 10 2 4 2 4 4 4" xfId="36990" xr:uid="{1FC43940-6E47-4944-9A1E-FC701015CC1F}"/>
    <cellStyle name="Normal 10 2 4 2 4 5" xfId="10160" xr:uid="{593A2ACD-EF70-4D75-BEE1-E8FC6BFFC860}"/>
    <cellStyle name="Normal 10 2 4 2 4 5 2" xfId="26920" xr:uid="{21030AB3-B0B7-49E1-B4D8-B00D6D4F3DCC}"/>
    <cellStyle name="Normal 10 2 4 2 4 5 3" xfId="43679" xr:uid="{E5E72851-6E6C-4AC9-9AD1-9880204DE9DD}"/>
    <cellStyle name="Normal 10 2 4 2 4 6" xfId="18540" xr:uid="{B6BD3CA4-5CD2-42B9-8EB8-1E8CEC7B8B7A}"/>
    <cellStyle name="Normal 10 2 4 2 4 7" xfId="35299" xr:uid="{D91BD38B-5544-49DE-B23C-2DEA74301E2A}"/>
    <cellStyle name="Normal 10 2 4 2 5" xfId="3890" xr:uid="{A7EC4ACB-12FA-4A1D-80FC-2886DB7F67F7}"/>
    <cellStyle name="Normal 10 2 4 2 5 2" xfId="12270" xr:uid="{3F241922-8670-44C4-9860-1DBF9E50A8ED}"/>
    <cellStyle name="Normal 10 2 4 2 5 2 2" xfId="29030" xr:uid="{08F240FC-13EE-44FE-9373-9A64E3FC8D3A}"/>
    <cellStyle name="Normal 10 2 4 2 5 2 3" xfId="45789" xr:uid="{DF934477-AF30-40AB-9403-EC229BFB3175}"/>
    <cellStyle name="Normal 10 2 4 2 5 3" xfId="20650" xr:uid="{FEF62430-337A-48DC-9F7E-B569FEF8B6C3}"/>
    <cellStyle name="Normal 10 2 4 2 5 4" xfId="37409" xr:uid="{2088A581-C23F-4228-B6BA-6CC1514535F3}"/>
    <cellStyle name="Normal 10 2 4 2 6" xfId="5570" xr:uid="{F03FDD7D-A3D0-405E-B0F3-AE67E90D0163}"/>
    <cellStyle name="Normal 10 2 4 2 6 2" xfId="13950" xr:uid="{70A6AD45-726B-4E2A-B487-2298D5593B76}"/>
    <cellStyle name="Normal 10 2 4 2 6 2 2" xfId="30710" xr:uid="{7075ABB3-61DD-440C-8750-778C518C3B1B}"/>
    <cellStyle name="Normal 10 2 4 2 6 2 3" xfId="47469" xr:uid="{5A65E59D-B46D-41F5-839A-F81E20695BD2}"/>
    <cellStyle name="Normal 10 2 4 2 6 3" xfId="22330" xr:uid="{B1641ABA-E183-4790-BBE3-32CAD7F6CCF4}"/>
    <cellStyle name="Normal 10 2 4 2 6 4" xfId="39089" xr:uid="{A6AAEA2F-66E0-4D0E-9D3B-FA12AF98C072}"/>
    <cellStyle name="Normal 10 2 4 2 7" xfId="7253" xr:uid="{2BB9C93C-2CAF-4376-A6A5-EF8D5062E5CC}"/>
    <cellStyle name="Normal 10 2 4 2 7 2" xfId="15633" xr:uid="{D13DA4C3-BEBE-40A6-9830-C04344210812}"/>
    <cellStyle name="Normal 10 2 4 2 7 2 2" xfId="32393" xr:uid="{99C7FD69-33CC-4078-BE69-87AFFB5E7A2D}"/>
    <cellStyle name="Normal 10 2 4 2 7 2 3" xfId="49152" xr:uid="{31038FC1-CE56-4879-828B-2EB319A390A6}"/>
    <cellStyle name="Normal 10 2 4 2 7 3" xfId="24013" xr:uid="{9A5B94A2-0C88-4DAA-979E-2B867D62F27D}"/>
    <cellStyle name="Normal 10 2 4 2 7 4" xfId="40772" xr:uid="{4A3AEC05-B01C-4FA6-981A-96A47B00EA7A}"/>
    <cellStyle name="Normal 10 2 4 2 8" xfId="7659" xr:uid="{406E7503-286F-451F-9334-47BB5DC6D49A}"/>
    <cellStyle name="Normal 10 2 4 2 8 2" xfId="16039" xr:uid="{AE5CE39B-CFF5-4E16-AFC8-E76CED621520}"/>
    <cellStyle name="Normal 10 2 4 2 8 2 2" xfId="32799" xr:uid="{A0C79073-AAD4-4C27-B726-8B37B22C3EEB}"/>
    <cellStyle name="Normal 10 2 4 2 8 2 3" xfId="49558" xr:uid="{109B2257-2B66-4903-8794-4B60CDE25556}"/>
    <cellStyle name="Normal 10 2 4 2 8 3" xfId="24419" xr:uid="{6F7637C5-D7FE-4F37-BB41-8BD6E3B1E61A}"/>
    <cellStyle name="Normal 10 2 4 2 8 4" xfId="41178" xr:uid="{584E4C3B-8BEF-4DCD-8272-D0E4977C87EC}"/>
    <cellStyle name="Normal 10 2 4 2 9" xfId="8065" xr:uid="{D8590389-1C65-47CC-BBAC-5E14B0FC7EF9}"/>
    <cellStyle name="Normal 10 2 4 2 9 2" xfId="16445" xr:uid="{79FBE4CC-9044-4D3D-B366-998A73D21F43}"/>
    <cellStyle name="Normal 10 2 4 2 9 2 2" xfId="33205" xr:uid="{878E12A0-6847-4A0C-BB01-0F1E748AC5F7}"/>
    <cellStyle name="Normal 10 2 4 2 9 2 3" xfId="49964" xr:uid="{9A166F11-1790-4988-A46E-4106EC96A22F}"/>
    <cellStyle name="Normal 10 2 4 2 9 3" xfId="24825" xr:uid="{1E3C9DE6-39AC-411D-968F-00069429D7FF}"/>
    <cellStyle name="Normal 10 2 4 2 9 4" xfId="41584" xr:uid="{76E61D14-F4EA-4718-8AA9-4DC3B9C051F3}"/>
    <cellStyle name="Normal 10 2 4 3" xfId="473" xr:uid="{2B487193-1B45-4B15-83E1-BED0C605F46D}"/>
    <cellStyle name="Normal 10 2 4 3 10" xfId="8624" xr:uid="{9D227EC8-B8F9-4AE7-9521-FBF8DC7AE461}"/>
    <cellStyle name="Normal 10 2 4 3 10 2" xfId="17004" xr:uid="{551D9559-8DCE-4B90-9F86-5CB3D44890F3}"/>
    <cellStyle name="Normal 10 2 4 3 10 2 2" xfId="33764" xr:uid="{F8D7AFBC-1002-46CF-A642-57D9F850116F}"/>
    <cellStyle name="Normal 10 2 4 3 10 2 3" xfId="50523" xr:uid="{EFA4856A-032D-4DEE-9776-1D4131229FCC}"/>
    <cellStyle name="Normal 10 2 4 3 10 3" xfId="25384" xr:uid="{EE861BE8-3E16-471A-B702-76C4A061FCBB}"/>
    <cellStyle name="Normal 10 2 4 3 10 4" xfId="42143" xr:uid="{B1803D8E-2E81-4A51-A408-103F8B29E8ED}"/>
    <cellStyle name="Normal 10 2 4 3 11" xfId="2305" xr:uid="{BBE89907-4126-478A-A141-CD3614DFD80A}"/>
    <cellStyle name="Normal 10 2 4 3 11 2" xfId="10687" xr:uid="{3B6BA64C-1A0F-4090-A1D1-1C75FCF9128B}"/>
    <cellStyle name="Normal 10 2 4 3 11 2 2" xfId="27447" xr:uid="{2ADE0167-51F5-43B2-8435-23E317719148}"/>
    <cellStyle name="Normal 10 2 4 3 11 2 3" xfId="44206" xr:uid="{779B3484-319E-4108-BE3F-5772261FF6FA}"/>
    <cellStyle name="Normal 10 2 4 3 11 3" xfId="19067" xr:uid="{8ACFF08E-C387-4D01-A309-946797F9A039}"/>
    <cellStyle name="Normal 10 2 4 3 11 4" xfId="35826" xr:uid="{D552828D-C701-4BD0-BD04-43BB6F9C41A4}"/>
    <cellStyle name="Normal 10 2 4 3 12" xfId="8884" xr:uid="{F5537755-6DC1-4294-9952-4ED836A69AAC}"/>
    <cellStyle name="Normal 10 2 4 3 12 2" xfId="25644" xr:uid="{9B0CBBA5-B3FB-4F69-97F3-B7620587A5D4}"/>
    <cellStyle name="Normal 10 2 4 3 12 3" xfId="42403" xr:uid="{AD924402-0812-4561-9D69-C99B99641E8B}"/>
    <cellStyle name="Normal 10 2 4 3 13" xfId="17264" xr:uid="{13607FBD-37AE-4303-9DEF-0A1AA4E1057F}"/>
    <cellStyle name="Normal 10 2 4 3 14" xfId="34023" xr:uid="{B0081FE4-418D-4539-8E97-57AED88CD2E5}"/>
    <cellStyle name="Normal 10 2 4 3 2" xfId="915" xr:uid="{1C8CB9FF-05E4-4E48-AD0E-0F9758C91F75}"/>
    <cellStyle name="Normal 10 2 4 3 2 2" xfId="4310" xr:uid="{07EF834F-913C-460D-8B87-C79EA8EEA062}"/>
    <cellStyle name="Normal 10 2 4 3 2 2 2" xfId="12690" xr:uid="{1E8739BB-CDC5-45CA-9789-2C7BED2D1262}"/>
    <cellStyle name="Normal 10 2 4 3 2 2 2 2" xfId="29450" xr:uid="{34A9B089-C684-4639-8B10-6E6D164300F5}"/>
    <cellStyle name="Normal 10 2 4 3 2 2 2 3" xfId="46209" xr:uid="{6888E213-F984-4A9F-9DD0-E7764301B159}"/>
    <cellStyle name="Normal 10 2 4 3 2 2 3" xfId="21070" xr:uid="{86DEBAE0-109F-4194-85EF-834D13CE7985}"/>
    <cellStyle name="Normal 10 2 4 3 2 2 4" xfId="37829" xr:uid="{13D3BF61-3B04-4E30-8A5F-CB37F21C0DE5}"/>
    <cellStyle name="Normal 10 2 4 3 2 3" xfId="5997" xr:uid="{64E9243A-78E2-4FB1-A0E9-A39BEAAC64E7}"/>
    <cellStyle name="Normal 10 2 4 3 2 3 2" xfId="14377" xr:uid="{B1CF30BE-E619-4E4D-ADCA-7941C684BB1C}"/>
    <cellStyle name="Normal 10 2 4 3 2 3 2 2" xfId="31137" xr:uid="{24FECF3A-CA16-4E47-8CB0-5ACB3D04A487}"/>
    <cellStyle name="Normal 10 2 4 3 2 3 2 3" xfId="47896" xr:uid="{A1156C23-4339-40C8-A6FC-43BB27F35853}"/>
    <cellStyle name="Normal 10 2 4 3 2 3 3" xfId="22757" xr:uid="{DA0257FD-363E-45A4-BD31-9BC6046AAFEF}"/>
    <cellStyle name="Normal 10 2 4 3 2 3 4" xfId="39516" xr:uid="{82CF9208-DCF8-4A2E-9546-0165F928B182}"/>
    <cellStyle name="Normal 10 2 4 3 2 4" xfId="2733" xr:uid="{F14F8172-E47B-48AB-9D98-EFFB4D682128}"/>
    <cellStyle name="Normal 10 2 4 3 2 4 2" xfId="11113" xr:uid="{2406002B-F2B1-4708-8336-CD87A71E25E7}"/>
    <cellStyle name="Normal 10 2 4 3 2 4 2 2" xfId="27873" xr:uid="{19558E46-5156-44F2-9CAC-5C4EA7AB288B}"/>
    <cellStyle name="Normal 10 2 4 3 2 4 2 3" xfId="44632" xr:uid="{49364779-2CA6-4118-BC94-E522EC152A31}"/>
    <cellStyle name="Normal 10 2 4 3 2 4 3" xfId="19493" xr:uid="{C5680206-4B18-4DEB-9AF4-BB394CF31954}"/>
    <cellStyle name="Normal 10 2 4 3 2 4 4" xfId="36252" xr:uid="{787720D9-967E-419C-A4AB-41057D63C2D1}"/>
    <cellStyle name="Normal 10 2 4 3 2 5" xfId="9310" xr:uid="{1755B9BC-CD9D-4897-B871-9C1DC842A69F}"/>
    <cellStyle name="Normal 10 2 4 3 2 5 2" xfId="26070" xr:uid="{3640A4DC-BA1D-436D-83F6-1E085858F8D1}"/>
    <cellStyle name="Normal 10 2 4 3 2 5 3" xfId="42829" xr:uid="{B012B14D-1B4D-414F-A772-34AD4E5C39C2}"/>
    <cellStyle name="Normal 10 2 4 3 2 6" xfId="17690" xr:uid="{11B2A6E3-CD92-45C0-A63E-6DFF538BF480}"/>
    <cellStyle name="Normal 10 2 4 3 2 7" xfId="34449" xr:uid="{A9610BF5-0584-4112-8A8F-251B9FB12042}"/>
    <cellStyle name="Normal 10 2 4 3 3" xfId="1349" xr:uid="{1BAB2646-866E-475C-9827-F87866CC7BC3}"/>
    <cellStyle name="Normal 10 2 4 3 3 2" xfId="4738" xr:uid="{83249FA9-ECC1-4405-A422-1FCF232BA31C}"/>
    <cellStyle name="Normal 10 2 4 3 3 2 2" xfId="13118" xr:uid="{CF445478-9901-44F6-8443-6DDF3ADB0F24}"/>
    <cellStyle name="Normal 10 2 4 3 3 2 2 2" xfId="29878" xr:uid="{569D88DE-28D0-4E69-9A99-D559C38C77BC}"/>
    <cellStyle name="Normal 10 2 4 3 3 2 2 3" xfId="46637" xr:uid="{58E0A1DD-B615-44A4-B14A-25EFFE8FAA0E}"/>
    <cellStyle name="Normal 10 2 4 3 3 2 3" xfId="21498" xr:uid="{858BB6F7-7828-4B41-862B-AF23FE3BCF3F}"/>
    <cellStyle name="Normal 10 2 4 3 3 2 4" xfId="38257" xr:uid="{0FFCE747-25DF-4063-B96D-7E2D0C0832A1}"/>
    <cellStyle name="Normal 10 2 4 3 3 3" xfId="6425" xr:uid="{E88F1F38-0A3E-4EA4-988F-16BC7161CCAD}"/>
    <cellStyle name="Normal 10 2 4 3 3 3 2" xfId="14805" xr:uid="{735E372D-67F9-44B6-A5A4-438F0A6EEF2B}"/>
    <cellStyle name="Normal 10 2 4 3 3 3 2 2" xfId="31565" xr:uid="{822E2116-48BB-431E-B187-D3A2384A0247}"/>
    <cellStyle name="Normal 10 2 4 3 3 3 2 3" xfId="48324" xr:uid="{7E7ACCAF-4D8D-4DB6-8AC4-FE36F4137E58}"/>
    <cellStyle name="Normal 10 2 4 3 3 3 3" xfId="23185" xr:uid="{591E9C79-07F3-4BE3-851D-05D3D540524E}"/>
    <cellStyle name="Normal 10 2 4 3 3 3 4" xfId="39944" xr:uid="{10E7C530-B8AA-4A0B-A2F3-5D8A43DEC3B5}"/>
    <cellStyle name="Normal 10 2 4 3 3 4" xfId="3161" xr:uid="{919CD3C0-7F72-455A-B6B8-9655F4F8E37C}"/>
    <cellStyle name="Normal 10 2 4 3 3 4 2" xfId="11541" xr:uid="{1E4DD01C-5C1D-4155-9E0A-1EF09EB2437E}"/>
    <cellStyle name="Normal 10 2 4 3 3 4 2 2" xfId="28301" xr:uid="{33556CD5-7D0E-47FD-9EF4-24FD5C791A30}"/>
    <cellStyle name="Normal 10 2 4 3 3 4 2 3" xfId="45060" xr:uid="{BC55CFC3-F94B-4014-9140-E85655719D86}"/>
    <cellStyle name="Normal 10 2 4 3 3 4 3" xfId="19921" xr:uid="{17EF15E1-A9BD-4423-9DDE-637B7632A539}"/>
    <cellStyle name="Normal 10 2 4 3 3 4 4" xfId="36680" xr:uid="{6C348AA4-9203-49CE-8654-86D51DCDC7C3}"/>
    <cellStyle name="Normal 10 2 4 3 3 5" xfId="9738" xr:uid="{0DAF6157-905B-4260-9810-4F912D7BA133}"/>
    <cellStyle name="Normal 10 2 4 3 3 5 2" xfId="26498" xr:uid="{5FC3DDE6-7E0E-4B91-A4CC-19A70C691E5E}"/>
    <cellStyle name="Normal 10 2 4 3 3 5 3" xfId="43257" xr:uid="{EB01ECCA-BF29-42D6-B948-EB4616FE9049}"/>
    <cellStyle name="Normal 10 2 4 3 3 6" xfId="18118" xr:uid="{1E9D3FCA-7131-4B49-AA80-101C02B403B9}"/>
    <cellStyle name="Normal 10 2 4 3 3 7" xfId="34877" xr:uid="{CDB06BAD-2443-47AE-A2E3-D268C410F935}"/>
    <cellStyle name="Normal 10 2 4 3 4" xfId="1924" xr:uid="{9EEC6655-98BC-4BA4-B636-23FEEBE94102}"/>
    <cellStyle name="Normal 10 2 4 3 4 2" xfId="5313" xr:uid="{C7CA9D40-F5B9-42BE-B613-C1207EBA12D7}"/>
    <cellStyle name="Normal 10 2 4 3 4 2 2" xfId="13693" xr:uid="{335E1B91-5384-4F88-9212-E56A50E33BF3}"/>
    <cellStyle name="Normal 10 2 4 3 4 2 2 2" xfId="30453" xr:uid="{1AD66812-267E-447D-92C3-CF774F0B21D9}"/>
    <cellStyle name="Normal 10 2 4 3 4 2 2 3" xfId="47212" xr:uid="{1BF2FB17-3915-4918-9627-315FDB8411BF}"/>
    <cellStyle name="Normal 10 2 4 3 4 2 3" xfId="22073" xr:uid="{9B3918A3-B5CE-4857-AAE2-4770A1F97996}"/>
    <cellStyle name="Normal 10 2 4 3 4 2 4" xfId="38832" xr:uid="{F3CDA92E-AE42-4C78-B609-84D20E6083E6}"/>
    <cellStyle name="Normal 10 2 4 3 4 3" xfId="7000" xr:uid="{E266D749-595B-4963-B7DF-CA284BA97314}"/>
    <cellStyle name="Normal 10 2 4 3 4 3 2" xfId="15380" xr:uid="{02F82C68-C0A6-45FC-ADEA-607974E72A69}"/>
    <cellStyle name="Normal 10 2 4 3 4 3 2 2" xfId="32140" xr:uid="{EEA5D52D-2AC7-41C9-8EEC-742124AEEACE}"/>
    <cellStyle name="Normal 10 2 4 3 4 3 2 3" xfId="48899" xr:uid="{4DB43BA1-FBE2-4BC3-8063-A2CDA8C74AD1}"/>
    <cellStyle name="Normal 10 2 4 3 4 3 3" xfId="23760" xr:uid="{FD0148FA-070A-46F4-B44B-FC6D3DC1E734}"/>
    <cellStyle name="Normal 10 2 4 3 4 3 4" xfId="40519" xr:uid="{371B4B7C-036F-4F3B-8F48-B49B72F617FD}"/>
    <cellStyle name="Normal 10 2 4 3 4 4" xfId="3623" xr:uid="{B9CC663C-25D2-4D32-88D7-3BD75E1CC2A5}"/>
    <cellStyle name="Normal 10 2 4 3 4 4 2" xfId="12003" xr:uid="{789E5BEB-58E9-4E6D-A685-6EB9ADC851E1}"/>
    <cellStyle name="Normal 10 2 4 3 4 4 2 2" xfId="28763" xr:uid="{A1D54335-BC0E-45C7-B205-BD07EF18AB4E}"/>
    <cellStyle name="Normal 10 2 4 3 4 4 2 3" xfId="45522" xr:uid="{F834A034-42A4-49B2-965B-1F0577D04F32}"/>
    <cellStyle name="Normal 10 2 4 3 4 4 3" xfId="20383" xr:uid="{4C4E803A-DAC0-4D9C-BB4D-9AFDD27D38A0}"/>
    <cellStyle name="Normal 10 2 4 3 4 4 4" xfId="37142" xr:uid="{CC6E1983-81A2-4374-8E70-7ED653DB0309}"/>
    <cellStyle name="Normal 10 2 4 3 4 5" xfId="10313" xr:uid="{43EA3BC1-027D-42F0-9497-52A5D2913EAB}"/>
    <cellStyle name="Normal 10 2 4 3 4 5 2" xfId="27073" xr:uid="{316EF561-B611-4D31-AD39-E2832BCD0133}"/>
    <cellStyle name="Normal 10 2 4 3 4 5 3" xfId="43832" xr:uid="{D6930DC9-1D12-4E30-B8B7-97CE1386D879}"/>
    <cellStyle name="Normal 10 2 4 3 4 6" xfId="18693" xr:uid="{EBED85A3-021A-414C-9DB2-FC1E5FD4FD1F}"/>
    <cellStyle name="Normal 10 2 4 3 4 7" xfId="35452" xr:uid="{ACC21F69-19B2-4293-93D1-351850B5E6F1}"/>
    <cellStyle name="Normal 10 2 4 3 5" xfId="4043" xr:uid="{C504561C-4CD7-4BB5-BD52-2905AFB86BB2}"/>
    <cellStyle name="Normal 10 2 4 3 5 2" xfId="12423" xr:uid="{9AD44771-EB12-431D-ABC9-CA19EDC492B1}"/>
    <cellStyle name="Normal 10 2 4 3 5 2 2" xfId="29183" xr:uid="{3AEABA54-2194-4E6F-9E61-A9274E93379C}"/>
    <cellStyle name="Normal 10 2 4 3 5 2 3" xfId="45942" xr:uid="{9C638DD2-5411-4DD5-A8B8-4919C2A6A03A}"/>
    <cellStyle name="Normal 10 2 4 3 5 3" xfId="20803" xr:uid="{830E4370-665F-438D-BD52-95583AC7B1B9}"/>
    <cellStyle name="Normal 10 2 4 3 5 4" xfId="37562" xr:uid="{5692E575-DEA7-4BD8-BAF6-732DAB39D259}"/>
    <cellStyle name="Normal 10 2 4 3 6" xfId="5571" xr:uid="{3F313A2E-0B3E-4321-A1B0-C074E0E9DFDC}"/>
    <cellStyle name="Normal 10 2 4 3 6 2" xfId="13951" xr:uid="{901973D7-7114-448A-919E-0170D0A7C2E9}"/>
    <cellStyle name="Normal 10 2 4 3 6 2 2" xfId="30711" xr:uid="{0B116B8E-D671-4F8F-BE90-65D479085456}"/>
    <cellStyle name="Normal 10 2 4 3 6 2 3" xfId="47470" xr:uid="{348505DD-8855-46F9-90F3-F5F23214C754}"/>
    <cellStyle name="Normal 10 2 4 3 6 3" xfId="22331" xr:uid="{15ECE8EA-E95D-4325-8639-9A0A1285057A}"/>
    <cellStyle name="Normal 10 2 4 3 6 4" xfId="39090" xr:uid="{162D4246-BC3D-46F2-A307-DC41008616EC}"/>
    <cellStyle name="Normal 10 2 4 3 7" xfId="7406" xr:uid="{4DC0007C-93B1-41F4-871A-7FCA162A7E88}"/>
    <cellStyle name="Normal 10 2 4 3 7 2" xfId="15786" xr:uid="{9376D185-96C2-47AC-A413-D4AE58653101}"/>
    <cellStyle name="Normal 10 2 4 3 7 2 2" xfId="32546" xr:uid="{FAD8A413-668C-4424-BFDA-948A86F49E5D}"/>
    <cellStyle name="Normal 10 2 4 3 7 2 3" xfId="49305" xr:uid="{BE247D25-1159-4F8D-81BE-3C5BBA4410F3}"/>
    <cellStyle name="Normal 10 2 4 3 7 3" xfId="24166" xr:uid="{A085040B-419C-4329-AF6A-347DBB87B38C}"/>
    <cellStyle name="Normal 10 2 4 3 7 4" xfId="40925" xr:uid="{65C8F641-F935-4542-8C87-0462C18536A2}"/>
    <cellStyle name="Normal 10 2 4 3 8" xfId="7812" xr:uid="{55A110AE-3D16-4E22-AE31-E55223BAD526}"/>
    <cellStyle name="Normal 10 2 4 3 8 2" xfId="16192" xr:uid="{6BF55AD4-EB0A-4AA8-942B-11C9A53B7A42}"/>
    <cellStyle name="Normal 10 2 4 3 8 2 2" xfId="32952" xr:uid="{A09CEAC4-5B2D-4D16-AC1F-A20F4B147D7C}"/>
    <cellStyle name="Normal 10 2 4 3 8 2 3" xfId="49711" xr:uid="{976B59F4-6F58-4D61-87A2-E4A83AD0B4BE}"/>
    <cellStyle name="Normal 10 2 4 3 8 3" xfId="24572" xr:uid="{F1822BA7-5F33-4246-A8D8-051C2A7F848B}"/>
    <cellStyle name="Normal 10 2 4 3 8 4" xfId="41331" xr:uid="{98455CAD-2008-4998-AE10-D29CA920D499}"/>
    <cellStyle name="Normal 10 2 4 3 9" xfId="8218" xr:uid="{03189B51-5310-41E9-9896-D4C6B817F31D}"/>
    <cellStyle name="Normal 10 2 4 3 9 2" xfId="16598" xr:uid="{0AAEE54A-98B9-47CA-8E28-B1E994F68567}"/>
    <cellStyle name="Normal 10 2 4 3 9 2 2" xfId="33358" xr:uid="{B791DE49-A3A4-4239-9CC8-EC98E0BF26A8}"/>
    <cellStyle name="Normal 10 2 4 3 9 2 3" xfId="50117" xr:uid="{C5288331-9B2F-4C57-BD19-B6A6EEC32837}"/>
    <cellStyle name="Normal 10 2 4 3 9 3" xfId="24978" xr:uid="{A905A52C-E369-4E5E-A64E-20CB76A427F4}"/>
    <cellStyle name="Normal 10 2 4 3 9 4" xfId="41737" xr:uid="{46BCB500-73E6-4064-8994-252DBBE1E54A}"/>
    <cellStyle name="Normal 10 2 4 4" xfId="829" xr:uid="{B8969BC7-A5C7-4A72-89A3-5E13F605FF7D}"/>
    <cellStyle name="Normal 10 2 4 4 2" xfId="4224" xr:uid="{11289A23-54BA-4B47-823B-3800AAB7539D}"/>
    <cellStyle name="Normal 10 2 4 4 2 2" xfId="12604" xr:uid="{39AF3BB9-4877-44B1-BE17-5BBCB5C2F4C3}"/>
    <cellStyle name="Normal 10 2 4 4 2 2 2" xfId="29364" xr:uid="{7B49AD1C-2DD5-46C2-8604-BE047225B4CF}"/>
    <cellStyle name="Normal 10 2 4 4 2 2 3" xfId="46123" xr:uid="{6B767AD9-5C23-43A6-9346-DE8790DCE975}"/>
    <cellStyle name="Normal 10 2 4 4 2 3" xfId="20984" xr:uid="{A69DCDEC-C711-479C-8C7F-FEF1A0F47309}"/>
    <cellStyle name="Normal 10 2 4 4 2 4" xfId="37743" xr:uid="{2E088304-03AA-474F-AB5E-B04085F487CD}"/>
    <cellStyle name="Normal 10 2 4 4 3" xfId="5911" xr:uid="{6D223CF4-78E7-44AA-A983-1D0B664E2608}"/>
    <cellStyle name="Normal 10 2 4 4 3 2" xfId="14291" xr:uid="{F35B2609-9E5D-4A4C-96CD-01A3FC602591}"/>
    <cellStyle name="Normal 10 2 4 4 3 2 2" xfId="31051" xr:uid="{3EA9D723-C07A-43A3-B961-5CCA9BDE8EE4}"/>
    <cellStyle name="Normal 10 2 4 4 3 2 3" xfId="47810" xr:uid="{4B262AA7-0E27-41CE-BD7B-105C5E3D871A}"/>
    <cellStyle name="Normal 10 2 4 4 3 3" xfId="22671" xr:uid="{C7E02996-1039-4810-B330-C231F75B3258}"/>
    <cellStyle name="Normal 10 2 4 4 3 4" xfId="39430" xr:uid="{A8C5F506-D253-425A-B8F2-3AF86850ACFE}"/>
    <cellStyle name="Normal 10 2 4 4 4" xfId="2647" xr:uid="{EB12813E-2CB2-48A7-82D1-88B52A457230}"/>
    <cellStyle name="Normal 10 2 4 4 4 2" xfId="11027" xr:uid="{311253C2-FDAE-46ED-BD7E-92AB0F5E7B39}"/>
    <cellStyle name="Normal 10 2 4 4 4 2 2" xfId="27787" xr:uid="{699D55D0-D294-4FDD-BF3F-D3F915380A4C}"/>
    <cellStyle name="Normal 10 2 4 4 4 2 3" xfId="44546" xr:uid="{E0840EEE-9FE4-4C63-8684-C6AD333C3D08}"/>
    <cellStyle name="Normal 10 2 4 4 4 3" xfId="19407" xr:uid="{0448C892-3A01-42CC-84D5-3D4F25FE5A3C}"/>
    <cellStyle name="Normal 10 2 4 4 4 4" xfId="36166" xr:uid="{B1EE28A4-6558-4A0C-B599-83ED876780DF}"/>
    <cellStyle name="Normal 10 2 4 4 5" xfId="9224" xr:uid="{30C3112B-FEC1-4581-8018-FAC15110B07F}"/>
    <cellStyle name="Normal 10 2 4 4 5 2" xfId="25984" xr:uid="{CA15A19E-C48A-4061-8184-E41703063BDA}"/>
    <cellStyle name="Normal 10 2 4 4 5 3" xfId="42743" xr:uid="{C018205A-9FA0-4EFF-8639-CC337E3768F3}"/>
    <cellStyle name="Normal 10 2 4 4 6" xfId="17604" xr:uid="{D9C75FA9-BCE5-40B2-9042-8433410ACC0C}"/>
    <cellStyle name="Normal 10 2 4 4 7" xfId="34363" xr:uid="{85DFD5AC-5CB8-44D3-AADA-ADD834332E5B}"/>
    <cellStyle name="Normal 10 2 4 5" xfId="1263" xr:uid="{77064458-4F90-4F9A-AB37-9410CE054F19}"/>
    <cellStyle name="Normal 10 2 4 5 2" xfId="4652" xr:uid="{A2C29A0D-4A02-4035-B09E-BBAD184F1EBF}"/>
    <cellStyle name="Normal 10 2 4 5 2 2" xfId="13032" xr:uid="{8524E9A2-F70A-4713-8545-66C3378D444D}"/>
    <cellStyle name="Normal 10 2 4 5 2 2 2" xfId="29792" xr:uid="{22DD5E2C-4632-4EA4-BCC9-1BAA3EFBA5C0}"/>
    <cellStyle name="Normal 10 2 4 5 2 2 3" xfId="46551" xr:uid="{1D059653-64F3-40BD-BE06-4BB772F3449D}"/>
    <cellStyle name="Normal 10 2 4 5 2 3" xfId="21412" xr:uid="{7D67B57C-795A-4C41-AC0D-72E3DB83ECC5}"/>
    <cellStyle name="Normal 10 2 4 5 2 4" xfId="38171" xr:uid="{AADF622F-64B9-4560-B2AE-5AE07CDCDF94}"/>
    <cellStyle name="Normal 10 2 4 5 3" xfId="6339" xr:uid="{7D6504E9-38BE-4599-ABB7-9B31639362B9}"/>
    <cellStyle name="Normal 10 2 4 5 3 2" xfId="14719" xr:uid="{AB436683-612A-4773-8BB0-A083212AF1BF}"/>
    <cellStyle name="Normal 10 2 4 5 3 2 2" xfId="31479" xr:uid="{C347C617-1DBB-443C-A34B-898A9DBB1DBF}"/>
    <cellStyle name="Normal 10 2 4 5 3 2 3" xfId="48238" xr:uid="{E78A43B3-2C4A-4DC1-991B-DF6730F075E1}"/>
    <cellStyle name="Normal 10 2 4 5 3 3" xfId="23099" xr:uid="{6D486C08-7AE7-4E12-9432-EF9BA2F61872}"/>
    <cellStyle name="Normal 10 2 4 5 3 4" xfId="39858" xr:uid="{09C73967-0BE1-442F-90A8-C78E9E13536A}"/>
    <cellStyle name="Normal 10 2 4 5 4" xfId="3075" xr:uid="{AF5E94C2-2EBE-437E-8198-68F2C98EF05A}"/>
    <cellStyle name="Normal 10 2 4 5 4 2" xfId="11455" xr:uid="{314C0724-5F91-43C1-B7C5-4B381AE0C950}"/>
    <cellStyle name="Normal 10 2 4 5 4 2 2" xfId="28215" xr:uid="{E0D0174F-3B81-49B3-A152-3BF146627D9E}"/>
    <cellStyle name="Normal 10 2 4 5 4 2 3" xfId="44974" xr:uid="{F609D2E9-0BF2-4F6C-9804-36B0D343590E}"/>
    <cellStyle name="Normal 10 2 4 5 4 3" xfId="19835" xr:uid="{E67BE54E-B317-40B4-BBCE-9F6C5FA58894}"/>
    <cellStyle name="Normal 10 2 4 5 4 4" xfId="36594" xr:uid="{CBF05B60-8E22-4596-BAFE-F9B3B0B91CE9}"/>
    <cellStyle name="Normal 10 2 4 5 5" xfId="9652" xr:uid="{6748D8F4-83CF-40AB-B67B-7DC5E652074E}"/>
    <cellStyle name="Normal 10 2 4 5 5 2" xfId="26412" xr:uid="{6972E7C8-5889-43A3-A910-CF133062201A}"/>
    <cellStyle name="Normal 10 2 4 5 5 3" xfId="43171" xr:uid="{25071C05-5F08-4966-BC8D-98F06EDCC4B9}"/>
    <cellStyle name="Normal 10 2 4 5 6" xfId="18032" xr:uid="{F36E20A3-F438-4E6B-9ECB-3F08EF7FF3AA}"/>
    <cellStyle name="Normal 10 2 4 5 7" xfId="34791" xr:uid="{DD1D5A80-689F-4DAB-A542-AFA1D8D33E6D}"/>
    <cellStyle name="Normal 10 2 4 6" xfId="1653" xr:uid="{6B79E567-F00C-4208-A716-E6AED4075917}"/>
    <cellStyle name="Normal 10 2 4 6 2" xfId="5042" xr:uid="{EBE75C8E-6D6E-4A23-8C36-2535A0A621BB}"/>
    <cellStyle name="Normal 10 2 4 6 2 2" xfId="13422" xr:uid="{FED15060-0BA8-42AD-AE0D-8E6C8EC65B06}"/>
    <cellStyle name="Normal 10 2 4 6 2 2 2" xfId="30182" xr:uid="{16448068-779B-4D74-AB72-9ED57944A3D7}"/>
    <cellStyle name="Normal 10 2 4 6 2 2 3" xfId="46941" xr:uid="{5FB9DD66-EAE8-4100-B224-6E48259DAE15}"/>
    <cellStyle name="Normal 10 2 4 6 2 3" xfId="21802" xr:uid="{ECF92F32-1C56-49D3-9368-2D897BFED9A8}"/>
    <cellStyle name="Normal 10 2 4 6 2 4" xfId="38561" xr:uid="{2DB3E6C5-1D48-40EE-AFE9-51A2BBF7F41B}"/>
    <cellStyle name="Normal 10 2 4 6 3" xfId="6729" xr:uid="{39B79A48-1F31-4F87-A72A-998F5010D28D}"/>
    <cellStyle name="Normal 10 2 4 6 3 2" xfId="15109" xr:uid="{FFAE5B29-74CC-465B-A599-84F924F90938}"/>
    <cellStyle name="Normal 10 2 4 6 3 2 2" xfId="31869" xr:uid="{B2CAB4C6-EEC9-438F-93DC-6F77FE759926}"/>
    <cellStyle name="Normal 10 2 4 6 3 2 3" xfId="48628" xr:uid="{B4F83B53-8B63-4E51-B152-F1721A5CBBCD}"/>
    <cellStyle name="Normal 10 2 4 6 3 3" xfId="23489" xr:uid="{8E717A49-FE27-4828-AFFD-FB992CBA38AB}"/>
    <cellStyle name="Normal 10 2 4 6 3 4" xfId="40248" xr:uid="{6A578B7D-70D3-4D56-8AEA-7D1931561D41}"/>
    <cellStyle name="Normal 10 2 4 6 4" xfId="2217" xr:uid="{7513E595-D379-4CF3-AB6C-3DC7387903DB}"/>
    <cellStyle name="Normal 10 2 4 6 4 2" xfId="10601" xr:uid="{8B21DCF6-4BFD-4D70-92CA-3A1E2E40AAE8}"/>
    <cellStyle name="Normal 10 2 4 6 4 2 2" xfId="27361" xr:uid="{4761DE70-540C-41D2-8FF5-48CF289995EC}"/>
    <cellStyle name="Normal 10 2 4 6 4 2 3" xfId="44120" xr:uid="{7E7DE9D0-3722-44C1-B132-60B8C0B038A0}"/>
    <cellStyle name="Normal 10 2 4 6 4 3" xfId="18981" xr:uid="{D1D794FC-BFCF-4F65-9114-DEC6C2051805}"/>
    <cellStyle name="Normal 10 2 4 6 4 4" xfId="35740" xr:uid="{BF8BEFBE-D09D-40DC-8F75-3AD5EE02C37A}"/>
    <cellStyle name="Normal 10 2 4 6 5" xfId="10042" xr:uid="{D2038C33-145C-4D03-8EA6-4788D800A279}"/>
    <cellStyle name="Normal 10 2 4 6 5 2" xfId="26802" xr:uid="{7A32D70D-5AAD-4143-9558-EE39E80929F3}"/>
    <cellStyle name="Normal 10 2 4 6 5 3" xfId="43561" xr:uid="{DFB5B9B3-5707-4EDE-9790-09D25FE7BA69}"/>
    <cellStyle name="Normal 10 2 4 6 6" xfId="18422" xr:uid="{80AECEDA-370D-45DD-BA5F-E05D5094ADB7}"/>
    <cellStyle name="Normal 10 2 4 6 7" xfId="35181" xr:uid="{20D19886-41BE-478C-B3F8-5E05313E4852}"/>
    <cellStyle name="Normal 10 2 4 7" xfId="3771" xr:uid="{C2B92946-B9D1-4FCE-8312-C5E71BB38BD5}"/>
    <cellStyle name="Normal 10 2 4 7 2" xfId="12151" xr:uid="{310D0CBB-E929-4E51-B4B9-338FCF5067D7}"/>
    <cellStyle name="Normal 10 2 4 7 2 2" xfId="28911" xr:uid="{3B050968-64DE-48D8-B2C9-059C6BC0442D}"/>
    <cellStyle name="Normal 10 2 4 7 2 3" xfId="45670" xr:uid="{1E831794-2C83-4927-ADA4-446F5A948A5A}"/>
    <cellStyle name="Normal 10 2 4 7 3" xfId="20531" xr:uid="{F9006C7F-EED0-4B73-8324-6ED720A09014}"/>
    <cellStyle name="Normal 10 2 4 7 4" xfId="37290" xr:uid="{6BF1FEAA-9E7D-40F8-AE7C-EA6067DBBA15}"/>
    <cellStyle name="Normal 10 2 4 8" xfId="5485" xr:uid="{162B1147-0693-47C4-89A7-F0628EA27928}"/>
    <cellStyle name="Normal 10 2 4 8 2" xfId="13865" xr:uid="{D3B7A139-FD76-40BD-91A2-4FB9B92BA1CB}"/>
    <cellStyle name="Normal 10 2 4 8 2 2" xfId="30625" xr:uid="{03660F19-A3B3-4D42-B45E-36D9F53850C2}"/>
    <cellStyle name="Normal 10 2 4 8 2 3" xfId="47384" xr:uid="{E8F6CC07-C6F1-4874-B4F6-DD26005DCFB2}"/>
    <cellStyle name="Normal 10 2 4 8 3" xfId="22245" xr:uid="{6DBC9419-B56C-4557-A715-AEB453A481B6}"/>
    <cellStyle name="Normal 10 2 4 8 4" xfId="39004" xr:uid="{95F0A962-F117-413D-ACCA-8ACFA25D4560}"/>
    <cellStyle name="Normal 10 2 4 9" xfId="7135" xr:uid="{0DA5F009-72F4-4506-AF1B-F2A35B8BB84E}"/>
    <cellStyle name="Normal 10 2 4 9 2" xfId="15515" xr:uid="{C4368958-360D-44AE-A74D-928E4DC52D30}"/>
    <cellStyle name="Normal 10 2 4 9 2 2" xfId="32275" xr:uid="{10FCE787-8F2C-4B8C-B562-46A36FEE5CE2}"/>
    <cellStyle name="Normal 10 2 4 9 2 3" xfId="49034" xr:uid="{1831939A-4111-44A8-887F-7E2796864A68}"/>
    <cellStyle name="Normal 10 2 4 9 3" xfId="23895" xr:uid="{09C19801-82A4-4603-B67C-ECED2EFABF16}"/>
    <cellStyle name="Normal 10 2 4 9 4" xfId="40654" xr:uid="{30C5B424-88A0-4F7C-AEC7-445CF5BC55D0}"/>
    <cellStyle name="Normal 10 2 5" xfId="474" xr:uid="{A5B02CA1-4B76-4DAB-A25C-B758E67E5D19}"/>
    <cellStyle name="Normal 10 2 5 10" xfId="7633" xr:uid="{F7A4133F-2AD4-4DE6-9F8E-F74AEE4E755A}"/>
    <cellStyle name="Normal 10 2 5 10 2" xfId="16013" xr:uid="{8EA8C2CA-2009-4EBF-8A5A-C52B9D94B6D9}"/>
    <cellStyle name="Normal 10 2 5 10 2 2" xfId="32773" xr:uid="{3AD08159-D11E-4130-8903-39F8CFAE05DA}"/>
    <cellStyle name="Normal 10 2 5 10 2 3" xfId="49532" xr:uid="{28F017BC-1DC4-4D4C-B1E4-5B640CA00CC0}"/>
    <cellStyle name="Normal 10 2 5 10 3" xfId="24393" xr:uid="{A316BA7D-95A6-489E-AFD5-9834778A836A}"/>
    <cellStyle name="Normal 10 2 5 10 4" xfId="41152" xr:uid="{22E9EB90-177F-47D6-A3C5-7669C3B5BF62}"/>
    <cellStyle name="Normal 10 2 5 11" xfId="8039" xr:uid="{1AA564FA-D80B-4951-BFE0-155B9372258F}"/>
    <cellStyle name="Normal 10 2 5 11 2" xfId="16419" xr:uid="{59D33528-D057-4ECE-8419-69B6EED12E74}"/>
    <cellStyle name="Normal 10 2 5 11 2 2" xfId="33179" xr:uid="{21D9AC5E-80BC-4A36-A923-36759B606B15}"/>
    <cellStyle name="Normal 10 2 5 11 2 3" xfId="49938" xr:uid="{529BC859-C150-4FBC-B878-89A099D92D82}"/>
    <cellStyle name="Normal 10 2 5 11 3" xfId="24799" xr:uid="{359DFC1E-86E6-4603-A416-1F8A1AA0CBC5}"/>
    <cellStyle name="Normal 10 2 5 11 4" xfId="41558" xr:uid="{ED5B180B-EFA2-4584-8AC3-E3B3E42C4056}"/>
    <cellStyle name="Normal 10 2 5 12" xfId="8445" xr:uid="{06E6A713-E7AF-4590-A970-3C117D1A2BCA}"/>
    <cellStyle name="Normal 10 2 5 12 2" xfId="16825" xr:uid="{04276BD3-5FA0-49CC-A5C8-EBF44B474A73}"/>
    <cellStyle name="Normal 10 2 5 12 2 2" xfId="33585" xr:uid="{7D0BA4B4-CD22-4A63-92BF-223BDE971A5B}"/>
    <cellStyle name="Normal 10 2 5 12 2 3" xfId="50344" xr:uid="{FA9032A5-1E22-490D-A537-394B9B50908A}"/>
    <cellStyle name="Normal 10 2 5 12 3" xfId="25205" xr:uid="{5EDC5EF6-0105-4F19-81DD-AD807A61E6F4}"/>
    <cellStyle name="Normal 10 2 5 12 4" xfId="41964" xr:uid="{F7CBC63A-8880-4588-B78E-4DFB9FD6AA75}"/>
    <cellStyle name="Normal 10 2 5 13" xfId="2132" xr:uid="{E81BC5C6-46BF-437A-B09C-E7CB1E02E40E}"/>
    <cellStyle name="Normal 10 2 5 13 2" xfId="10520" xr:uid="{1CCD4D0B-9EB5-4E9C-83B7-2686A9B5FB0A}"/>
    <cellStyle name="Normal 10 2 5 13 2 2" xfId="27280" xr:uid="{20C568F9-0E9C-40ED-81D7-E9670F87F2E8}"/>
    <cellStyle name="Normal 10 2 5 13 2 3" xfId="44039" xr:uid="{454494E7-2606-4E0C-BCB6-91710FAECDE2}"/>
    <cellStyle name="Normal 10 2 5 13 3" xfId="18900" xr:uid="{351015DB-C3AA-4594-BD8B-9270F88B0DD9}"/>
    <cellStyle name="Normal 10 2 5 13 4" xfId="35659" xr:uid="{16DFC72E-4000-44AC-BD64-CA8044B05C1E}"/>
    <cellStyle name="Normal 10 2 5 14" xfId="8885" xr:uid="{555F6182-5061-4386-A759-F11EEA75C5C3}"/>
    <cellStyle name="Normal 10 2 5 14 2" xfId="25645" xr:uid="{156DD2EB-4382-4ED3-BC3E-996ACFFE6536}"/>
    <cellStyle name="Normal 10 2 5 14 3" xfId="42404" xr:uid="{5B0942FF-B1DD-42CD-806C-8459CF8A66E8}"/>
    <cellStyle name="Normal 10 2 5 15" xfId="17265" xr:uid="{95854823-3800-4E27-8BA4-84C98311638D}"/>
    <cellStyle name="Normal 10 2 5 16" xfId="34024" xr:uid="{0A27A132-9423-4ED8-A899-51E17AF53325}"/>
    <cellStyle name="Normal 10 2 5 2" xfId="475" xr:uid="{3BACB90B-AA76-4B66-AD0C-7CA236ADFF05}"/>
    <cellStyle name="Normal 10 2 5 2 10" xfId="8472" xr:uid="{8064330E-C24A-4967-A65D-8A3A2BA58CB0}"/>
    <cellStyle name="Normal 10 2 5 2 10 2" xfId="16852" xr:uid="{53368221-9352-4FA9-A314-1197FC5BC40C}"/>
    <cellStyle name="Normal 10 2 5 2 10 2 2" xfId="33612" xr:uid="{CF27F4F2-2AD9-4A60-94B1-A933D7C7244F}"/>
    <cellStyle name="Normal 10 2 5 2 10 2 3" xfId="50371" xr:uid="{D1CC2B8F-40A6-4C0B-980C-2852FD6792BC}"/>
    <cellStyle name="Normal 10 2 5 2 10 3" xfId="25232" xr:uid="{60B4E538-C645-4F31-99B7-0C9EEA2E9667}"/>
    <cellStyle name="Normal 10 2 5 2 10 4" xfId="41991" xr:uid="{7AC17FC8-7B30-4C44-A9E4-B81EC6A39952}"/>
    <cellStyle name="Normal 10 2 5 2 11" xfId="2307" xr:uid="{8C647ED3-B89E-4993-AC10-53BD0D7EA78E}"/>
    <cellStyle name="Normal 10 2 5 2 11 2" xfId="10689" xr:uid="{52D99FBD-03F6-4118-92FE-88744218963F}"/>
    <cellStyle name="Normal 10 2 5 2 11 2 2" xfId="27449" xr:uid="{9D818A9A-D95D-4634-B32C-531F449C3C13}"/>
    <cellStyle name="Normal 10 2 5 2 11 2 3" xfId="44208" xr:uid="{36061111-6EA0-4194-A8EF-80BC6E112E80}"/>
    <cellStyle name="Normal 10 2 5 2 11 3" xfId="19069" xr:uid="{FDBD86F0-1D2C-412A-8CD0-9603C628616E}"/>
    <cellStyle name="Normal 10 2 5 2 11 4" xfId="35828" xr:uid="{CCDAD430-58BB-4F8C-A160-5B0E439ACCD7}"/>
    <cellStyle name="Normal 10 2 5 2 12" xfId="8886" xr:uid="{C6F13F73-6265-4B06-A5AF-A8592470C06D}"/>
    <cellStyle name="Normal 10 2 5 2 12 2" xfId="25646" xr:uid="{E4A832D0-33F4-43B2-9376-0F23B5775FF5}"/>
    <cellStyle name="Normal 10 2 5 2 12 3" xfId="42405" xr:uid="{511B24CB-E957-480B-A153-7A972D63CCB3}"/>
    <cellStyle name="Normal 10 2 5 2 13" xfId="17266" xr:uid="{70AA4A7A-BF5C-4F85-8870-E30C8F8E9458}"/>
    <cellStyle name="Normal 10 2 5 2 14" xfId="34025" xr:uid="{076BEA4C-5F76-4C58-B8E9-B0683CAC1EDB}"/>
    <cellStyle name="Normal 10 2 5 2 2" xfId="917" xr:uid="{356605AE-652D-47C4-AB15-CFCC1F415D5B}"/>
    <cellStyle name="Normal 10 2 5 2 2 2" xfId="4312" xr:uid="{A2D7050C-C24E-49CF-93A9-D0260F673E5A}"/>
    <cellStyle name="Normal 10 2 5 2 2 2 2" xfId="12692" xr:uid="{3E6C128B-DA4F-454A-AD0A-3370213C5340}"/>
    <cellStyle name="Normal 10 2 5 2 2 2 2 2" xfId="29452" xr:uid="{8F9B2F6B-0669-47A3-831F-D1897B6B7256}"/>
    <cellStyle name="Normal 10 2 5 2 2 2 2 3" xfId="46211" xr:uid="{C144B41E-803F-4B82-A9C7-B1126860B2B0}"/>
    <cellStyle name="Normal 10 2 5 2 2 2 3" xfId="21072" xr:uid="{B1AA20B3-E079-4D78-8019-BDC1125C7117}"/>
    <cellStyle name="Normal 10 2 5 2 2 2 4" xfId="37831" xr:uid="{BC97B680-D0CA-400B-A226-7B5EA3CB8442}"/>
    <cellStyle name="Normal 10 2 5 2 2 3" xfId="5999" xr:uid="{02DC5B3B-5E43-4EE6-9373-0DA08DF36E06}"/>
    <cellStyle name="Normal 10 2 5 2 2 3 2" xfId="14379" xr:uid="{8D35CAD2-84FC-49A1-950C-C184F8B624DB}"/>
    <cellStyle name="Normal 10 2 5 2 2 3 2 2" xfId="31139" xr:uid="{895817E0-5850-4394-B112-9A849245F23A}"/>
    <cellStyle name="Normal 10 2 5 2 2 3 2 3" xfId="47898" xr:uid="{CF9F57C4-51DC-4AE3-8C3C-9FD9C32B9DB8}"/>
    <cellStyle name="Normal 10 2 5 2 2 3 3" xfId="22759" xr:uid="{80E48661-3287-421C-9175-D9C9E8D52A7A}"/>
    <cellStyle name="Normal 10 2 5 2 2 3 4" xfId="39518" xr:uid="{5495DAFF-92D7-4588-9861-49080F96D335}"/>
    <cellStyle name="Normal 10 2 5 2 2 4" xfId="2735" xr:uid="{BAD495B3-3680-4658-8D1D-5B693CFD9E61}"/>
    <cellStyle name="Normal 10 2 5 2 2 4 2" xfId="11115" xr:uid="{05DD8A8C-270C-4A88-9E05-9F53C93CE1C8}"/>
    <cellStyle name="Normal 10 2 5 2 2 4 2 2" xfId="27875" xr:uid="{7E4A03F9-965C-456C-988E-04780421432E}"/>
    <cellStyle name="Normal 10 2 5 2 2 4 2 3" xfId="44634" xr:uid="{8164625A-710D-4A5D-9BD4-E9A7A857EA89}"/>
    <cellStyle name="Normal 10 2 5 2 2 4 3" xfId="19495" xr:uid="{866B3DA9-98FF-4ACF-B60B-B6A3E1D4833D}"/>
    <cellStyle name="Normal 10 2 5 2 2 4 4" xfId="36254" xr:uid="{088577CF-4A34-47B8-AA85-85CDF4716744}"/>
    <cellStyle name="Normal 10 2 5 2 2 5" xfId="9312" xr:uid="{FFBC177E-EA96-4999-9D56-61246169EF96}"/>
    <cellStyle name="Normal 10 2 5 2 2 5 2" xfId="26072" xr:uid="{FC6FB210-93BB-492F-B4DD-A49D9D13981B}"/>
    <cellStyle name="Normal 10 2 5 2 2 5 3" xfId="42831" xr:uid="{FE1B38A8-B596-460B-A2CE-2BBCBF02CC86}"/>
    <cellStyle name="Normal 10 2 5 2 2 6" xfId="17692" xr:uid="{FEC29698-5418-4643-9D18-F6F962F15AC7}"/>
    <cellStyle name="Normal 10 2 5 2 2 7" xfId="34451" xr:uid="{58A2032B-A51D-457C-A8AA-00C9B9FE6381}"/>
    <cellStyle name="Normal 10 2 5 2 3" xfId="1351" xr:uid="{CEEA2163-832A-4B91-A650-EB39746A413F}"/>
    <cellStyle name="Normal 10 2 5 2 3 2" xfId="4740" xr:uid="{9DEE5AC7-8999-4E31-885C-28F9D2E760D9}"/>
    <cellStyle name="Normal 10 2 5 2 3 2 2" xfId="13120" xr:uid="{EB4982E7-5E3B-4D03-AC6D-F1AAF83A624B}"/>
    <cellStyle name="Normal 10 2 5 2 3 2 2 2" xfId="29880" xr:uid="{4A091FBE-30B0-4859-9557-A4C250A8183A}"/>
    <cellStyle name="Normal 10 2 5 2 3 2 2 3" xfId="46639" xr:uid="{ADF068FB-845C-4F65-86A5-979EDD1D1A48}"/>
    <cellStyle name="Normal 10 2 5 2 3 2 3" xfId="21500" xr:uid="{26D9D6BD-26CF-4ED5-8F31-5E0592F4BD5A}"/>
    <cellStyle name="Normal 10 2 5 2 3 2 4" xfId="38259" xr:uid="{00A7A74D-A324-4021-A0E4-69B635771249}"/>
    <cellStyle name="Normal 10 2 5 2 3 3" xfId="6427" xr:uid="{02D66C1F-4FC6-4848-9F74-5D102366FCFA}"/>
    <cellStyle name="Normal 10 2 5 2 3 3 2" xfId="14807" xr:uid="{B942F01B-D902-4461-8958-8809CDB8FB94}"/>
    <cellStyle name="Normal 10 2 5 2 3 3 2 2" xfId="31567" xr:uid="{4DBA55ED-D406-4C00-BB1A-A53D2E2AC3DE}"/>
    <cellStyle name="Normal 10 2 5 2 3 3 2 3" xfId="48326" xr:uid="{0C7CEC5A-26D8-44F6-A138-11EE116CBED8}"/>
    <cellStyle name="Normal 10 2 5 2 3 3 3" xfId="23187" xr:uid="{880B1ACC-6A9B-4776-8DE1-5E2D6FA82A2E}"/>
    <cellStyle name="Normal 10 2 5 2 3 3 4" xfId="39946" xr:uid="{9C48B71E-A480-40B2-8B09-EA3C670FE3A9}"/>
    <cellStyle name="Normal 10 2 5 2 3 4" xfId="3163" xr:uid="{2FDAC3C0-ADF4-437F-92AF-06A4D5E1CA01}"/>
    <cellStyle name="Normal 10 2 5 2 3 4 2" xfId="11543" xr:uid="{3CCFBB7A-E2FC-4328-B389-EB064A4B8E85}"/>
    <cellStyle name="Normal 10 2 5 2 3 4 2 2" xfId="28303" xr:uid="{5ACF75D2-07B2-4FD5-95CE-D2CF73D70F15}"/>
    <cellStyle name="Normal 10 2 5 2 3 4 2 3" xfId="45062" xr:uid="{956BA889-DA8C-4790-83BF-0E4B14B71F18}"/>
    <cellStyle name="Normal 10 2 5 2 3 4 3" xfId="19923" xr:uid="{6D9E9F83-A1E5-4B69-AECA-3ADD11252912}"/>
    <cellStyle name="Normal 10 2 5 2 3 4 4" xfId="36682" xr:uid="{F6A88C3D-0C4F-4573-B401-BF685FD31576}"/>
    <cellStyle name="Normal 10 2 5 2 3 5" xfId="9740" xr:uid="{30916917-A467-45E8-9A22-4C63300B4990}"/>
    <cellStyle name="Normal 10 2 5 2 3 5 2" xfId="26500" xr:uid="{F786821F-2AA9-4681-872F-CDC4967A4EF5}"/>
    <cellStyle name="Normal 10 2 5 2 3 5 3" xfId="43259" xr:uid="{0B530FDE-D932-4853-9142-BB3743CA2BCE}"/>
    <cellStyle name="Normal 10 2 5 2 3 6" xfId="18120" xr:uid="{6FD34100-E4C7-4427-A838-EB4E41F038B5}"/>
    <cellStyle name="Normal 10 2 5 2 3 7" xfId="34879" xr:uid="{71FF579F-49AD-4F22-9DF4-080CFBE33172}"/>
    <cellStyle name="Normal 10 2 5 2 4" xfId="1772" xr:uid="{52FB5A4A-13E9-4626-81DA-2F2116D3172C}"/>
    <cellStyle name="Normal 10 2 5 2 4 2" xfId="5161" xr:uid="{AC3A81E0-82CE-4130-812B-803C65EED981}"/>
    <cellStyle name="Normal 10 2 5 2 4 2 2" xfId="13541" xr:uid="{F5807410-A002-4374-8240-DB452E6D1DEA}"/>
    <cellStyle name="Normal 10 2 5 2 4 2 2 2" xfId="30301" xr:uid="{E0D36187-8F61-4071-A72E-CE42A6242757}"/>
    <cellStyle name="Normal 10 2 5 2 4 2 2 3" xfId="47060" xr:uid="{75CBD030-65C1-4B08-8CEB-809FA4FD6CD9}"/>
    <cellStyle name="Normal 10 2 5 2 4 2 3" xfId="21921" xr:uid="{00A9EF8F-17FA-43BD-8E9B-EB6DD17EED29}"/>
    <cellStyle name="Normal 10 2 5 2 4 2 4" xfId="38680" xr:uid="{36BB2698-B9D2-4837-B259-6B1A32438094}"/>
    <cellStyle name="Normal 10 2 5 2 4 3" xfId="6848" xr:uid="{19F192F8-CD5A-4D7B-88EA-78D5B41A9E8F}"/>
    <cellStyle name="Normal 10 2 5 2 4 3 2" xfId="15228" xr:uid="{7EC8F435-062A-4C46-A451-4DD558D2691D}"/>
    <cellStyle name="Normal 10 2 5 2 4 3 2 2" xfId="31988" xr:uid="{5FA5AF1E-58E7-4BEF-9034-50FB9FCDF95A}"/>
    <cellStyle name="Normal 10 2 5 2 4 3 2 3" xfId="48747" xr:uid="{C28F72F9-D4EC-4404-BDA3-C8785A773646}"/>
    <cellStyle name="Normal 10 2 5 2 4 3 3" xfId="23608" xr:uid="{EFB24867-2339-4733-B281-09489CDA6C68}"/>
    <cellStyle name="Normal 10 2 5 2 4 3 4" xfId="40367" xr:uid="{89E7A9F6-EB2A-48AE-9D3F-0CDF818EB9A5}"/>
    <cellStyle name="Normal 10 2 5 2 4 4" xfId="3472" xr:uid="{1CC9F549-7C60-4F7B-9C4E-DAA4EA7B5B2A}"/>
    <cellStyle name="Normal 10 2 5 2 4 4 2" xfId="11852" xr:uid="{CCE58D48-FF24-4D7F-B843-350785E2A530}"/>
    <cellStyle name="Normal 10 2 5 2 4 4 2 2" xfId="28612" xr:uid="{8CA589D3-EB0A-4536-B716-9A420D9B8BA9}"/>
    <cellStyle name="Normal 10 2 5 2 4 4 2 3" xfId="45371" xr:uid="{D670EBD7-DA59-4901-8372-E83E9F3CC8F4}"/>
    <cellStyle name="Normal 10 2 5 2 4 4 3" xfId="20232" xr:uid="{32E159A1-2B47-47C8-8940-180AE5517B36}"/>
    <cellStyle name="Normal 10 2 5 2 4 4 4" xfId="36991" xr:uid="{EC1C843D-4A4B-4B5A-8D88-FD1DB95BBA66}"/>
    <cellStyle name="Normal 10 2 5 2 4 5" xfId="10161" xr:uid="{1FFCDD2C-82E0-4C86-BFFF-23016B1C0CA1}"/>
    <cellStyle name="Normal 10 2 5 2 4 5 2" xfId="26921" xr:uid="{80275127-7EED-44A7-AF7B-09ADD606E974}"/>
    <cellStyle name="Normal 10 2 5 2 4 5 3" xfId="43680" xr:uid="{39E1AA62-8166-48A7-AAFF-FED61705CA33}"/>
    <cellStyle name="Normal 10 2 5 2 4 6" xfId="18541" xr:uid="{51A650F6-ACFC-4B68-AD44-0CB6FC1BB78E}"/>
    <cellStyle name="Normal 10 2 5 2 4 7" xfId="35300" xr:uid="{9C1846DA-EA0A-4016-84AF-0B08BE114FA6}"/>
    <cellStyle name="Normal 10 2 5 2 5" xfId="3891" xr:uid="{D5ED3958-E2A8-45AF-9069-335D19BCACCA}"/>
    <cellStyle name="Normal 10 2 5 2 5 2" xfId="12271" xr:uid="{E8890390-4AB8-4A15-BF43-62465F57A32D}"/>
    <cellStyle name="Normal 10 2 5 2 5 2 2" xfId="29031" xr:uid="{83FBE858-07A2-4D42-9CCE-C3EF3DC5152F}"/>
    <cellStyle name="Normal 10 2 5 2 5 2 3" xfId="45790" xr:uid="{D835309B-920B-4A0B-BF15-EC7E06F8D445}"/>
    <cellStyle name="Normal 10 2 5 2 5 3" xfId="20651" xr:uid="{BDCAB217-7D4E-4E40-8A08-319F7CE81783}"/>
    <cellStyle name="Normal 10 2 5 2 5 4" xfId="37410" xr:uid="{6D5EAE02-AE6A-4B8E-BCCD-5652DDDDF782}"/>
    <cellStyle name="Normal 10 2 5 2 6" xfId="5573" xr:uid="{12EA6585-AD0D-464A-9371-2B09357541C6}"/>
    <cellStyle name="Normal 10 2 5 2 6 2" xfId="13953" xr:uid="{5C665195-17B7-49CE-B5B6-827B23E1B753}"/>
    <cellStyle name="Normal 10 2 5 2 6 2 2" xfId="30713" xr:uid="{CC579D4C-5183-447B-9FAB-36C253CD11B2}"/>
    <cellStyle name="Normal 10 2 5 2 6 2 3" xfId="47472" xr:uid="{D0ADBD25-D49A-4664-A85E-6D89E6C01E73}"/>
    <cellStyle name="Normal 10 2 5 2 6 3" xfId="22333" xr:uid="{3E003D0E-9460-4A88-9FA3-04662A090FDF}"/>
    <cellStyle name="Normal 10 2 5 2 6 4" xfId="39092" xr:uid="{57D4D804-14DB-4689-A253-FD141472AA48}"/>
    <cellStyle name="Normal 10 2 5 2 7" xfId="7254" xr:uid="{130DC666-3249-4B29-A21C-16DFF6821FEC}"/>
    <cellStyle name="Normal 10 2 5 2 7 2" xfId="15634" xr:uid="{01EB8937-340C-4E1C-81B9-CA28968FA627}"/>
    <cellStyle name="Normal 10 2 5 2 7 2 2" xfId="32394" xr:uid="{B980B3EC-D447-466E-9BB8-08793EF11182}"/>
    <cellStyle name="Normal 10 2 5 2 7 2 3" xfId="49153" xr:uid="{12C28EB6-3770-4530-A82A-488DFC6A271C}"/>
    <cellStyle name="Normal 10 2 5 2 7 3" xfId="24014" xr:uid="{5E8104B8-3019-4C53-8452-F72230BD2AE6}"/>
    <cellStyle name="Normal 10 2 5 2 7 4" xfId="40773" xr:uid="{0A279064-B2F3-47CD-9269-7C6F46B89FFB}"/>
    <cellStyle name="Normal 10 2 5 2 8" xfId="7660" xr:uid="{727406CF-8B63-488E-A551-D76DA4FB6F15}"/>
    <cellStyle name="Normal 10 2 5 2 8 2" xfId="16040" xr:uid="{B7A586D4-1228-4733-94DE-6C820B3EFFDB}"/>
    <cellStyle name="Normal 10 2 5 2 8 2 2" xfId="32800" xr:uid="{686FF761-6F54-49D2-B84C-63DBAD156964}"/>
    <cellStyle name="Normal 10 2 5 2 8 2 3" xfId="49559" xr:uid="{E4D24144-99A4-4726-BBB1-1F3216DDADEB}"/>
    <cellStyle name="Normal 10 2 5 2 8 3" xfId="24420" xr:uid="{B85C18E6-8C43-4A3A-9B87-11BFDAF89339}"/>
    <cellStyle name="Normal 10 2 5 2 8 4" xfId="41179" xr:uid="{9D735BFC-F363-4BDE-9D10-128A198A9B3B}"/>
    <cellStyle name="Normal 10 2 5 2 9" xfId="8066" xr:uid="{28CD3C07-D435-4B3B-BC80-4B4BF58D97BA}"/>
    <cellStyle name="Normal 10 2 5 2 9 2" xfId="16446" xr:uid="{AC3F9EE4-9F01-4496-9B1E-FE312E0A4B3A}"/>
    <cellStyle name="Normal 10 2 5 2 9 2 2" xfId="33206" xr:uid="{489A7485-5C97-4E26-B780-55736469CA14}"/>
    <cellStyle name="Normal 10 2 5 2 9 2 3" xfId="49965" xr:uid="{AC485EC0-5227-4346-8226-2E63E20F2423}"/>
    <cellStyle name="Normal 10 2 5 2 9 3" xfId="24826" xr:uid="{15A9AFB8-14DC-4EC9-800A-7945C886DBDE}"/>
    <cellStyle name="Normal 10 2 5 2 9 4" xfId="41585" xr:uid="{E2CBD747-07E1-4F5E-9DE8-4DEA994D6570}"/>
    <cellStyle name="Normal 10 2 5 3" xfId="476" xr:uid="{27CEC8CA-AEB7-4CB5-BBF8-3EC2797FFC09}"/>
    <cellStyle name="Normal 10 2 5 3 10" xfId="8716" xr:uid="{DCFEDDBA-AAF2-4540-952B-E1A2AEA32CD7}"/>
    <cellStyle name="Normal 10 2 5 3 10 2" xfId="17096" xr:uid="{CA8175D4-99AA-4176-AAC5-41DA9A6949FC}"/>
    <cellStyle name="Normal 10 2 5 3 10 2 2" xfId="33856" xr:uid="{3564135A-06BB-43CA-A418-F874F5671014}"/>
    <cellStyle name="Normal 10 2 5 3 10 2 3" xfId="50615" xr:uid="{CC9829AD-F8D8-4F30-9DBD-BB4E34FD6447}"/>
    <cellStyle name="Normal 10 2 5 3 10 3" xfId="25476" xr:uid="{FFB11E48-9E0C-4EA0-9E65-949E290E15E0}"/>
    <cellStyle name="Normal 10 2 5 3 10 4" xfId="42235" xr:uid="{CAFE8D55-A227-4408-B52A-AB90843092BE}"/>
    <cellStyle name="Normal 10 2 5 3 11" xfId="2308" xr:uid="{4E7EDA9F-12CD-4AF2-8C48-E840EDD531D8}"/>
    <cellStyle name="Normal 10 2 5 3 11 2" xfId="10690" xr:uid="{2EBAC0FE-37A2-4BD0-B3E7-AAEEE602D5C6}"/>
    <cellStyle name="Normal 10 2 5 3 11 2 2" xfId="27450" xr:uid="{2EF93B4B-2D7A-49D5-8B6F-F2CA76457E4F}"/>
    <cellStyle name="Normal 10 2 5 3 11 2 3" xfId="44209" xr:uid="{61278890-20CA-494D-A60C-0761D49F71C8}"/>
    <cellStyle name="Normal 10 2 5 3 11 3" xfId="19070" xr:uid="{92A189AC-356F-493C-A863-8C797D7125A5}"/>
    <cellStyle name="Normal 10 2 5 3 11 4" xfId="35829" xr:uid="{20379D64-F345-4670-9A1E-58A3968F4D2E}"/>
    <cellStyle name="Normal 10 2 5 3 12" xfId="8887" xr:uid="{C03F3509-7812-4A25-9EEC-AF77F9E55164}"/>
    <cellStyle name="Normal 10 2 5 3 12 2" xfId="25647" xr:uid="{C1F6F997-D6FB-4DF1-A735-D9EA17AB9C0D}"/>
    <cellStyle name="Normal 10 2 5 3 12 3" xfId="42406" xr:uid="{056820F4-931D-4033-BF08-5AE2266BBEAB}"/>
    <cellStyle name="Normal 10 2 5 3 13" xfId="17267" xr:uid="{986DB1CA-D691-4431-8CE5-3A14EFDD4F87}"/>
    <cellStyle name="Normal 10 2 5 3 14" xfId="34026" xr:uid="{BA994EBC-5CCF-4D68-B84F-F8127190233F}"/>
    <cellStyle name="Normal 10 2 5 3 2" xfId="918" xr:uid="{B1420F78-27CC-4940-A51C-8DBB2FD8DDB2}"/>
    <cellStyle name="Normal 10 2 5 3 2 2" xfId="4313" xr:uid="{94488FF5-461A-4BBC-9D87-23E75C90A670}"/>
    <cellStyle name="Normal 10 2 5 3 2 2 2" xfId="12693" xr:uid="{5D588F35-3CC2-4997-8434-7D21C094979A}"/>
    <cellStyle name="Normal 10 2 5 3 2 2 2 2" xfId="29453" xr:uid="{44899DD6-F531-4C75-89EE-F6DDABD07BAA}"/>
    <cellStyle name="Normal 10 2 5 3 2 2 2 3" xfId="46212" xr:uid="{FCDA28D7-B602-4A15-8F49-59B93E21A32A}"/>
    <cellStyle name="Normal 10 2 5 3 2 2 3" xfId="21073" xr:uid="{0C134A57-7D23-485C-A2A8-6860B959B0FF}"/>
    <cellStyle name="Normal 10 2 5 3 2 2 4" xfId="37832" xr:uid="{52A98B9C-A63F-4064-8E06-6BDE71F47912}"/>
    <cellStyle name="Normal 10 2 5 3 2 3" xfId="6000" xr:uid="{715DA068-C5D2-47C8-BD1B-E3C326167505}"/>
    <cellStyle name="Normal 10 2 5 3 2 3 2" xfId="14380" xr:uid="{1198CF0C-1FC6-4133-BC85-B26A7494D4B1}"/>
    <cellStyle name="Normal 10 2 5 3 2 3 2 2" xfId="31140" xr:uid="{98759BA0-D65A-4AAF-8D37-EB09DD07A3A6}"/>
    <cellStyle name="Normal 10 2 5 3 2 3 2 3" xfId="47899" xr:uid="{36036736-B977-4AD0-A070-A6541030E454}"/>
    <cellStyle name="Normal 10 2 5 3 2 3 3" xfId="22760" xr:uid="{D2DF51C5-D6A5-4545-9763-F89DDB3AB35D}"/>
    <cellStyle name="Normal 10 2 5 3 2 3 4" xfId="39519" xr:uid="{3033B853-D65F-4FC3-8465-2B546FBF0BAA}"/>
    <cellStyle name="Normal 10 2 5 3 2 4" xfId="2736" xr:uid="{3162E757-8587-47C9-BF44-DBE5C2315227}"/>
    <cellStyle name="Normal 10 2 5 3 2 4 2" xfId="11116" xr:uid="{9CA2F3FA-BBF4-40B3-848D-39510B979CB2}"/>
    <cellStyle name="Normal 10 2 5 3 2 4 2 2" xfId="27876" xr:uid="{3921E84D-9DB4-41E3-9DA1-8E9CBBCE3A29}"/>
    <cellStyle name="Normal 10 2 5 3 2 4 2 3" xfId="44635" xr:uid="{23B7509D-7A0A-4049-8CFC-7782E8EF07D6}"/>
    <cellStyle name="Normal 10 2 5 3 2 4 3" xfId="19496" xr:uid="{E62435E0-3AD5-4F93-B9EE-5853C67E6E0E}"/>
    <cellStyle name="Normal 10 2 5 3 2 4 4" xfId="36255" xr:uid="{B58819BD-8CFF-49C2-92C4-1684C0324084}"/>
    <cellStyle name="Normal 10 2 5 3 2 5" xfId="9313" xr:uid="{9E2954DE-EAB1-4BCC-BCD3-424277F2DFA4}"/>
    <cellStyle name="Normal 10 2 5 3 2 5 2" xfId="26073" xr:uid="{54E5569B-1613-4CFD-88E0-C083ECD3952F}"/>
    <cellStyle name="Normal 10 2 5 3 2 5 3" xfId="42832" xr:uid="{2F2F166A-B286-4D90-8528-2F821CB99410}"/>
    <cellStyle name="Normal 10 2 5 3 2 6" xfId="17693" xr:uid="{3A3DB2CA-3574-4712-B495-947830CB9DE5}"/>
    <cellStyle name="Normal 10 2 5 3 2 7" xfId="34452" xr:uid="{04BEE607-D664-4BAC-A417-193EAB69632A}"/>
    <cellStyle name="Normal 10 2 5 3 3" xfId="1352" xr:uid="{24600DC7-6765-427F-A52F-B079EC2F21F7}"/>
    <cellStyle name="Normal 10 2 5 3 3 2" xfId="4741" xr:uid="{8D7E0CB7-94C1-4E84-9377-D60A052CA65D}"/>
    <cellStyle name="Normal 10 2 5 3 3 2 2" xfId="13121" xr:uid="{3EA0A79E-7673-433D-BF56-6E488BA264A6}"/>
    <cellStyle name="Normal 10 2 5 3 3 2 2 2" xfId="29881" xr:uid="{1972AA94-FBE4-48DA-B72F-B50ADD67703E}"/>
    <cellStyle name="Normal 10 2 5 3 3 2 2 3" xfId="46640" xr:uid="{E8DC1C85-C862-4F7A-8BDB-41271B8CF0B9}"/>
    <cellStyle name="Normal 10 2 5 3 3 2 3" xfId="21501" xr:uid="{AA196754-4BAC-4DA2-B454-3F645E77B7C7}"/>
    <cellStyle name="Normal 10 2 5 3 3 2 4" xfId="38260" xr:uid="{A8E7703F-B76D-4C4F-929E-FEECE3A7232E}"/>
    <cellStyle name="Normal 10 2 5 3 3 3" xfId="6428" xr:uid="{44EEFF06-1B34-47ED-90B6-C9B40251D815}"/>
    <cellStyle name="Normal 10 2 5 3 3 3 2" xfId="14808" xr:uid="{F18BBA9E-A924-4C3B-8D0B-1D611C984662}"/>
    <cellStyle name="Normal 10 2 5 3 3 3 2 2" xfId="31568" xr:uid="{6AD7B1FE-390F-40BD-913C-44C3EF03A39F}"/>
    <cellStyle name="Normal 10 2 5 3 3 3 2 3" xfId="48327" xr:uid="{4FB9B075-DBE0-4A5E-9E67-45332DDFFC17}"/>
    <cellStyle name="Normal 10 2 5 3 3 3 3" xfId="23188" xr:uid="{01D39338-5A34-4A24-BC7B-09422046F84F}"/>
    <cellStyle name="Normal 10 2 5 3 3 3 4" xfId="39947" xr:uid="{6145A849-ADE5-44EE-BC1E-40E88E23BD20}"/>
    <cellStyle name="Normal 10 2 5 3 3 4" xfId="3164" xr:uid="{F989B5B0-656C-4CD9-A6A2-E652831B00DD}"/>
    <cellStyle name="Normal 10 2 5 3 3 4 2" xfId="11544" xr:uid="{2ED26EF9-7C2B-45CF-A32E-72C315F56F43}"/>
    <cellStyle name="Normal 10 2 5 3 3 4 2 2" xfId="28304" xr:uid="{9442C238-116E-49FE-9D28-F05FCDC20624}"/>
    <cellStyle name="Normal 10 2 5 3 3 4 2 3" xfId="45063" xr:uid="{279FEA64-4914-4E61-A537-44F8FEF91212}"/>
    <cellStyle name="Normal 10 2 5 3 3 4 3" xfId="19924" xr:uid="{A70D9999-8284-4729-9DCA-B5A5C0645884}"/>
    <cellStyle name="Normal 10 2 5 3 3 4 4" xfId="36683" xr:uid="{1AC560A0-2508-4AA6-9922-939EA2AA5DAF}"/>
    <cellStyle name="Normal 10 2 5 3 3 5" xfId="9741" xr:uid="{1A078C53-36C2-4B26-B09F-D6E82F8A845E}"/>
    <cellStyle name="Normal 10 2 5 3 3 5 2" xfId="26501" xr:uid="{66850CA0-2C05-40BE-AACD-ED8170A5C0BC}"/>
    <cellStyle name="Normal 10 2 5 3 3 5 3" xfId="43260" xr:uid="{7D4726D8-91C9-4483-8EB5-E67161DEBE2C}"/>
    <cellStyle name="Normal 10 2 5 3 3 6" xfId="18121" xr:uid="{FC30E9CD-4895-443F-ABC3-BA5F14E3C148}"/>
    <cellStyle name="Normal 10 2 5 3 3 7" xfId="34880" xr:uid="{34FA4C5F-E99D-4765-AFA1-5D699372EDF3}"/>
    <cellStyle name="Normal 10 2 5 3 4" xfId="2016" xr:uid="{C68FB32C-DC0B-4E81-BA81-89DC11C33618}"/>
    <cellStyle name="Normal 10 2 5 3 4 2" xfId="5405" xr:uid="{C4C72348-CF60-4193-9BFA-BAF6C424561D}"/>
    <cellStyle name="Normal 10 2 5 3 4 2 2" xfId="13785" xr:uid="{65C99DD2-9663-496B-B494-676B92C0D512}"/>
    <cellStyle name="Normal 10 2 5 3 4 2 2 2" xfId="30545" xr:uid="{179FC499-064A-4B47-A083-6870967BC934}"/>
    <cellStyle name="Normal 10 2 5 3 4 2 2 3" xfId="47304" xr:uid="{DF8048E9-B504-4B44-A22C-44C21067193C}"/>
    <cellStyle name="Normal 10 2 5 3 4 2 3" xfId="22165" xr:uid="{52AE8D03-1563-4D4C-B249-C30854DE8726}"/>
    <cellStyle name="Normal 10 2 5 3 4 2 4" xfId="38924" xr:uid="{DD8BA8E2-13CA-4233-8A4C-7C6C9322300E}"/>
    <cellStyle name="Normal 10 2 5 3 4 3" xfId="7092" xr:uid="{C54C79D0-10A0-4D76-9509-9E3E447D5D53}"/>
    <cellStyle name="Normal 10 2 5 3 4 3 2" xfId="15472" xr:uid="{8B8C7750-13CE-404F-9E6C-D6C46B68064C}"/>
    <cellStyle name="Normal 10 2 5 3 4 3 2 2" xfId="32232" xr:uid="{A7E668CF-ED75-4904-B465-ECFFA69D4781}"/>
    <cellStyle name="Normal 10 2 5 3 4 3 2 3" xfId="48991" xr:uid="{1C62ED5B-E63E-4D0A-8CA8-EE0D74BAC54C}"/>
    <cellStyle name="Normal 10 2 5 3 4 3 3" xfId="23852" xr:uid="{26A2EB04-9863-4E47-81DE-75EF6729B918}"/>
    <cellStyle name="Normal 10 2 5 3 4 3 4" xfId="40611" xr:uid="{C02DE508-C251-4CA2-B917-4D0E44AF0E4D}"/>
    <cellStyle name="Normal 10 2 5 3 4 4" xfId="3715" xr:uid="{FF866DFB-3DBD-4F0E-8225-C5897A7A3B2C}"/>
    <cellStyle name="Normal 10 2 5 3 4 4 2" xfId="12095" xr:uid="{ED8D2F9D-F07E-4EBD-B04F-7D5D8836EABE}"/>
    <cellStyle name="Normal 10 2 5 3 4 4 2 2" xfId="28855" xr:uid="{8612F03F-E8D9-46EC-82D2-E179F489B775}"/>
    <cellStyle name="Normal 10 2 5 3 4 4 2 3" xfId="45614" xr:uid="{8A83D0E6-B126-464A-B716-4B0BEA0BA333}"/>
    <cellStyle name="Normal 10 2 5 3 4 4 3" xfId="20475" xr:uid="{D775B3B2-7C1C-4119-B56A-567B509C8307}"/>
    <cellStyle name="Normal 10 2 5 3 4 4 4" xfId="37234" xr:uid="{E24AFB3A-B567-4612-82D6-F0BA99776326}"/>
    <cellStyle name="Normal 10 2 5 3 4 5" xfId="10405" xr:uid="{94466DD4-8F60-438E-8E55-E3713BD500CB}"/>
    <cellStyle name="Normal 10 2 5 3 4 5 2" xfId="27165" xr:uid="{24F239D2-05DF-4FD4-8D32-2E0322482987}"/>
    <cellStyle name="Normal 10 2 5 3 4 5 3" xfId="43924" xr:uid="{925B5BDF-40C0-43EF-8E98-AE36F875C5EA}"/>
    <cellStyle name="Normal 10 2 5 3 4 6" xfId="18785" xr:uid="{229CE6AA-8E44-4F6D-918E-CB0802F7BD90}"/>
    <cellStyle name="Normal 10 2 5 3 4 7" xfId="35544" xr:uid="{85B2D7BD-F046-4DDA-96A5-F94642A634B7}"/>
    <cellStyle name="Normal 10 2 5 3 5" xfId="4135" xr:uid="{D5BF666B-8E30-4405-A8F5-32A759FA2016}"/>
    <cellStyle name="Normal 10 2 5 3 5 2" xfId="12515" xr:uid="{1CBBE054-7B6B-48A4-BA0F-E0D6052821BC}"/>
    <cellStyle name="Normal 10 2 5 3 5 2 2" xfId="29275" xr:uid="{CF891443-307A-4CCF-85FD-7A99D3E53D0D}"/>
    <cellStyle name="Normal 10 2 5 3 5 2 3" xfId="46034" xr:uid="{05615250-72AA-4115-A18F-670A6A6F8163}"/>
    <cellStyle name="Normal 10 2 5 3 5 3" xfId="20895" xr:uid="{468A6436-3EA2-4B1F-9A4E-433FDEAE99DB}"/>
    <cellStyle name="Normal 10 2 5 3 5 4" xfId="37654" xr:uid="{70274EA1-D96E-478A-9CA7-592F7D43C71D}"/>
    <cellStyle name="Normal 10 2 5 3 6" xfId="5574" xr:uid="{0FF0C247-B610-485D-9C8B-38A2BD091B0C}"/>
    <cellStyle name="Normal 10 2 5 3 6 2" xfId="13954" xr:uid="{008C8461-0E0E-4FAE-BFF2-45F05051BB2C}"/>
    <cellStyle name="Normal 10 2 5 3 6 2 2" xfId="30714" xr:uid="{8648D4AC-3850-4C36-A249-EEB6AD646639}"/>
    <cellStyle name="Normal 10 2 5 3 6 2 3" xfId="47473" xr:uid="{D36E946C-B8A3-4BC1-8898-F51F1A205BC6}"/>
    <cellStyle name="Normal 10 2 5 3 6 3" xfId="22334" xr:uid="{78D75C2B-1D87-42E4-977D-43E5F5C22B0B}"/>
    <cellStyle name="Normal 10 2 5 3 6 4" xfId="39093" xr:uid="{48F711F4-0B15-4AF6-AFBC-49DE726AA043}"/>
    <cellStyle name="Normal 10 2 5 3 7" xfId="7498" xr:uid="{DDFAE3DF-A309-4A1E-86F3-960FBABF94CA}"/>
    <cellStyle name="Normal 10 2 5 3 7 2" xfId="15878" xr:uid="{FCB343F0-F0AD-4240-A95C-68BE352F7C92}"/>
    <cellStyle name="Normal 10 2 5 3 7 2 2" xfId="32638" xr:uid="{E0269EBA-1D3E-45D4-AE23-469FA079F59A}"/>
    <cellStyle name="Normal 10 2 5 3 7 2 3" xfId="49397" xr:uid="{2A282D82-F69E-4C21-870D-FD5F69C74FCA}"/>
    <cellStyle name="Normal 10 2 5 3 7 3" xfId="24258" xr:uid="{D00E092D-DA44-4A92-95EA-526E32918F3C}"/>
    <cellStyle name="Normal 10 2 5 3 7 4" xfId="41017" xr:uid="{AC5589E1-D764-4268-9972-C795FF7D44B6}"/>
    <cellStyle name="Normal 10 2 5 3 8" xfId="7904" xr:uid="{06D5E585-6DB2-48A4-9CEA-DC77DA5280E4}"/>
    <cellStyle name="Normal 10 2 5 3 8 2" xfId="16284" xr:uid="{B5CB3B08-EB17-4CFE-9228-72DDF79B9EA1}"/>
    <cellStyle name="Normal 10 2 5 3 8 2 2" xfId="33044" xr:uid="{884BA44C-23DF-44F4-ADA7-435BCFD96582}"/>
    <cellStyle name="Normal 10 2 5 3 8 2 3" xfId="49803" xr:uid="{8C1F4C3B-6BA0-49A1-B0CB-E348FA427EE6}"/>
    <cellStyle name="Normal 10 2 5 3 8 3" xfId="24664" xr:uid="{3631991D-5548-4CB8-9693-A9F3DC7C0B48}"/>
    <cellStyle name="Normal 10 2 5 3 8 4" xfId="41423" xr:uid="{E5C44DBC-4C7C-487E-A3BB-CE069C21875D}"/>
    <cellStyle name="Normal 10 2 5 3 9" xfId="8310" xr:uid="{3A3FF07F-F5BB-4DAB-97C0-EB48840A8931}"/>
    <cellStyle name="Normal 10 2 5 3 9 2" xfId="16690" xr:uid="{ED59D572-4F01-4E6A-AB97-E0FA40A18672}"/>
    <cellStyle name="Normal 10 2 5 3 9 2 2" xfId="33450" xr:uid="{BC43F1F6-E333-41EC-A133-BF3AC96BC1B6}"/>
    <cellStyle name="Normal 10 2 5 3 9 2 3" xfId="50209" xr:uid="{620AD37D-31F7-4EDE-BE97-204104AAE66D}"/>
    <cellStyle name="Normal 10 2 5 3 9 3" xfId="25070" xr:uid="{0E348F98-FD8B-4B7F-B2EF-C9A8ABDB8B88}"/>
    <cellStyle name="Normal 10 2 5 3 9 4" xfId="41829" xr:uid="{0BEBC759-C67D-4670-A98F-DF86E073EB91}"/>
    <cellStyle name="Normal 10 2 5 4" xfId="916" xr:uid="{165D2E08-6A16-4BDC-A60E-74CCE781B752}"/>
    <cellStyle name="Normal 10 2 5 4 2" xfId="4311" xr:uid="{142044EF-4A3B-4AF2-99B1-5187C9F84199}"/>
    <cellStyle name="Normal 10 2 5 4 2 2" xfId="12691" xr:uid="{15D51CAE-2963-43BA-A914-1D764C176CEF}"/>
    <cellStyle name="Normal 10 2 5 4 2 2 2" xfId="29451" xr:uid="{BFE7E4EB-039A-4BEE-B615-CA7D84391EA3}"/>
    <cellStyle name="Normal 10 2 5 4 2 2 3" xfId="46210" xr:uid="{3F559A2B-04F6-4DF7-8DAF-C8F0A8641590}"/>
    <cellStyle name="Normal 10 2 5 4 2 3" xfId="21071" xr:uid="{92D2FD4C-583E-441B-8E1C-65A07656D606}"/>
    <cellStyle name="Normal 10 2 5 4 2 4" xfId="37830" xr:uid="{468BAA81-113F-4289-97EA-00B6EE9E126E}"/>
    <cellStyle name="Normal 10 2 5 4 3" xfId="5998" xr:uid="{D6105B61-B202-4DBB-A557-2CE0B7D2F54D}"/>
    <cellStyle name="Normal 10 2 5 4 3 2" xfId="14378" xr:uid="{7882FB18-2EE2-4BF5-A871-DAD014522082}"/>
    <cellStyle name="Normal 10 2 5 4 3 2 2" xfId="31138" xr:uid="{271E6DC8-9D0B-432C-8E67-5E903396183F}"/>
    <cellStyle name="Normal 10 2 5 4 3 2 3" xfId="47897" xr:uid="{1377E955-6D83-490A-B4CF-A89B98199376}"/>
    <cellStyle name="Normal 10 2 5 4 3 3" xfId="22758" xr:uid="{1A305EC6-9DEA-4248-AEF5-8BEDE68CEF7D}"/>
    <cellStyle name="Normal 10 2 5 4 3 4" xfId="39517" xr:uid="{0B7A7411-9293-4CC2-B1F8-8EEC929DB739}"/>
    <cellStyle name="Normal 10 2 5 4 4" xfId="2734" xr:uid="{AADC58CF-2A09-424E-8CDF-60096A7157AE}"/>
    <cellStyle name="Normal 10 2 5 4 4 2" xfId="11114" xr:uid="{35655DA5-656C-4B68-9192-11D59F50DD9A}"/>
    <cellStyle name="Normal 10 2 5 4 4 2 2" xfId="27874" xr:uid="{EB2AD6F5-E952-46B7-A0B4-750492D162B6}"/>
    <cellStyle name="Normal 10 2 5 4 4 2 3" xfId="44633" xr:uid="{D0620BEF-B0D1-46E2-85CE-4CE104ADC614}"/>
    <cellStyle name="Normal 10 2 5 4 4 3" xfId="19494" xr:uid="{C24BBF9F-5A1E-49D0-B6D4-F45BC64B3CC9}"/>
    <cellStyle name="Normal 10 2 5 4 4 4" xfId="36253" xr:uid="{3BED994E-634E-419F-8561-470EBA30ABFB}"/>
    <cellStyle name="Normal 10 2 5 4 5" xfId="9311" xr:uid="{DBEAA8A1-CEC5-42DD-B22A-1694D6C6ED43}"/>
    <cellStyle name="Normal 10 2 5 4 5 2" xfId="26071" xr:uid="{24230707-AF07-40E9-B91F-DA4E7F3AEB92}"/>
    <cellStyle name="Normal 10 2 5 4 5 3" xfId="42830" xr:uid="{DA606CB9-86B5-4892-BBE7-94C9B90A48E2}"/>
    <cellStyle name="Normal 10 2 5 4 6" xfId="17691" xr:uid="{051FB045-2AC7-406B-8C08-85028658060D}"/>
    <cellStyle name="Normal 10 2 5 4 7" xfId="34450" xr:uid="{0B206E01-A162-4254-82A4-F2E0A91604F6}"/>
    <cellStyle name="Normal 10 2 5 5" xfId="1350" xr:uid="{EE9E51CA-7E12-4CA5-A81D-0D7B05265E19}"/>
    <cellStyle name="Normal 10 2 5 5 2" xfId="4739" xr:uid="{0EA45822-6893-4AFC-BBAC-7FFC7A95CACE}"/>
    <cellStyle name="Normal 10 2 5 5 2 2" xfId="13119" xr:uid="{1502EB99-0A4D-4D63-826F-A766FE0C17CF}"/>
    <cellStyle name="Normal 10 2 5 5 2 2 2" xfId="29879" xr:uid="{A0136E3E-605A-4A22-8266-0D003D2A579F}"/>
    <cellStyle name="Normal 10 2 5 5 2 2 3" xfId="46638" xr:uid="{93FD9E18-AB48-4D06-B2BC-67691AAE7553}"/>
    <cellStyle name="Normal 10 2 5 5 2 3" xfId="21499" xr:uid="{2A1B6003-8270-499C-BDC7-D57B88DB2226}"/>
    <cellStyle name="Normal 10 2 5 5 2 4" xfId="38258" xr:uid="{D4995A03-9EDD-4DCD-B741-22B70A80A8FF}"/>
    <cellStyle name="Normal 10 2 5 5 3" xfId="6426" xr:uid="{4EFF4AAB-1BA1-4D5D-8162-31569B43AA7F}"/>
    <cellStyle name="Normal 10 2 5 5 3 2" xfId="14806" xr:uid="{5A7DAE6C-3E0D-4460-B052-B7F4983E3C68}"/>
    <cellStyle name="Normal 10 2 5 5 3 2 2" xfId="31566" xr:uid="{612C2C79-9207-455C-910F-709164E9C5AC}"/>
    <cellStyle name="Normal 10 2 5 5 3 2 3" xfId="48325" xr:uid="{0EFA9B34-42AA-4EA5-87CD-BC30C74C6FF7}"/>
    <cellStyle name="Normal 10 2 5 5 3 3" xfId="23186" xr:uid="{6C527F04-663A-4BEA-934C-B4DB2C547B55}"/>
    <cellStyle name="Normal 10 2 5 5 3 4" xfId="39945" xr:uid="{07B88CD8-3353-41D1-ACBA-3DE671F3FDC9}"/>
    <cellStyle name="Normal 10 2 5 5 4" xfId="3162" xr:uid="{D49AD84B-B213-4030-BB51-24729F93500F}"/>
    <cellStyle name="Normal 10 2 5 5 4 2" xfId="11542" xr:uid="{F82D34B1-5EF3-4259-B4DD-55CF1115DB8A}"/>
    <cellStyle name="Normal 10 2 5 5 4 2 2" xfId="28302" xr:uid="{6975B74C-3754-43F9-A714-3F4B4DF367FD}"/>
    <cellStyle name="Normal 10 2 5 5 4 2 3" xfId="45061" xr:uid="{B3E661DF-CF7C-4F67-804E-9100AEC00ECB}"/>
    <cellStyle name="Normal 10 2 5 5 4 3" xfId="19922" xr:uid="{66B42283-EC4F-493A-ABC1-6DE1AD682B50}"/>
    <cellStyle name="Normal 10 2 5 5 4 4" xfId="36681" xr:uid="{722CFEDC-474B-46B7-A9A4-ED08ADA496FD}"/>
    <cellStyle name="Normal 10 2 5 5 5" xfId="9739" xr:uid="{310A3ED9-FABA-437F-9F22-3EA43D216C45}"/>
    <cellStyle name="Normal 10 2 5 5 5 2" xfId="26499" xr:uid="{0E438E7F-848B-42D0-8EAE-FDD8E6A13703}"/>
    <cellStyle name="Normal 10 2 5 5 5 3" xfId="43258" xr:uid="{AAA22E92-D214-4EBA-A966-C8A52469E602}"/>
    <cellStyle name="Normal 10 2 5 5 6" xfId="18119" xr:uid="{6C43B7E2-4B92-4522-84BC-24A32A95A555}"/>
    <cellStyle name="Normal 10 2 5 5 7" xfId="34878" xr:uid="{416CB510-05FE-4426-9BDF-A74CD74637B8}"/>
    <cellStyle name="Normal 10 2 5 6" xfId="1745" xr:uid="{371B6823-DDDD-4C28-B00B-02D18D8AF592}"/>
    <cellStyle name="Normal 10 2 5 6 2" xfId="5134" xr:uid="{25C373AD-A4A3-4A3B-B97C-8F9259D4C6E4}"/>
    <cellStyle name="Normal 10 2 5 6 2 2" xfId="13514" xr:uid="{C409AABE-5B1C-4BC7-B4BA-938A9111A392}"/>
    <cellStyle name="Normal 10 2 5 6 2 2 2" xfId="30274" xr:uid="{B61F78B5-5CBF-4127-B693-D6CF68DCCC11}"/>
    <cellStyle name="Normal 10 2 5 6 2 2 3" xfId="47033" xr:uid="{AD6512BA-5AE0-4485-B008-5E02B0F71FF1}"/>
    <cellStyle name="Normal 10 2 5 6 2 3" xfId="21894" xr:uid="{4BFE5D03-1CB2-4C36-8948-DA1BB5F83D2B}"/>
    <cellStyle name="Normal 10 2 5 6 2 4" xfId="38653" xr:uid="{7C6FA380-2352-4ADF-90E0-9195B7AD0DF7}"/>
    <cellStyle name="Normal 10 2 5 6 3" xfId="6821" xr:uid="{BACA6794-8D98-4FFE-AEE4-7CAAF3443FA7}"/>
    <cellStyle name="Normal 10 2 5 6 3 2" xfId="15201" xr:uid="{E0E6D309-1B89-4425-A4FF-42E939F64F21}"/>
    <cellStyle name="Normal 10 2 5 6 3 2 2" xfId="31961" xr:uid="{6B4F5390-142C-42FB-AFA1-2B7D3D437B51}"/>
    <cellStyle name="Normal 10 2 5 6 3 2 3" xfId="48720" xr:uid="{F5D71321-0A12-4886-BF38-E000F800E440}"/>
    <cellStyle name="Normal 10 2 5 6 3 3" xfId="23581" xr:uid="{2643C19F-D529-4BF4-80A2-7C77AC4273B3}"/>
    <cellStyle name="Normal 10 2 5 6 3 4" xfId="40340" xr:uid="{94D3A669-6F76-4F90-9524-09A4163DB715}"/>
    <cellStyle name="Normal 10 2 5 6 4" xfId="2306" xr:uid="{1B6DAC38-22BE-488D-BB6A-F027A790C2A8}"/>
    <cellStyle name="Normal 10 2 5 6 4 2" xfId="10688" xr:uid="{B850D58E-2CEE-4093-B557-2E3681D7AA54}"/>
    <cellStyle name="Normal 10 2 5 6 4 2 2" xfId="27448" xr:uid="{FEB1BF46-4962-46DC-89CB-3FB57FEAD5CC}"/>
    <cellStyle name="Normal 10 2 5 6 4 2 3" xfId="44207" xr:uid="{7A769B22-226D-43A2-B9EE-2B0B60602708}"/>
    <cellStyle name="Normal 10 2 5 6 4 3" xfId="19068" xr:uid="{382C54FD-6D73-4685-96A5-15F9FE489A9F}"/>
    <cellStyle name="Normal 10 2 5 6 4 4" xfId="35827" xr:uid="{B1788946-01AC-480C-8F98-A380846FCCF4}"/>
    <cellStyle name="Normal 10 2 5 6 5" xfId="10134" xr:uid="{2F9D77CE-D7D7-49EB-8963-78E96B46C592}"/>
    <cellStyle name="Normal 10 2 5 6 5 2" xfId="26894" xr:uid="{7FF51070-E003-45E8-83CC-A558C13FBD7E}"/>
    <cellStyle name="Normal 10 2 5 6 5 3" xfId="43653" xr:uid="{FF4A1536-D200-46BE-B462-DC2F68D933AF}"/>
    <cellStyle name="Normal 10 2 5 6 6" xfId="18514" xr:uid="{3AB20A74-4845-4E08-BEF8-A72A11F0DFD8}"/>
    <cellStyle name="Normal 10 2 5 6 7" xfId="35273" xr:uid="{F15DE362-D1F6-4166-A8BE-4EBCDDEFF872}"/>
    <cellStyle name="Normal 10 2 5 7" xfId="3864" xr:uid="{465A06A2-BDAE-45FF-9E96-2EAAD6535391}"/>
    <cellStyle name="Normal 10 2 5 7 2" xfId="12244" xr:uid="{D2A5F4B9-C59F-4623-8E74-DA9C58533B25}"/>
    <cellStyle name="Normal 10 2 5 7 2 2" xfId="29004" xr:uid="{F3583E7F-01B3-418F-B98B-DD45B91D5C7A}"/>
    <cellStyle name="Normal 10 2 5 7 2 3" xfId="45763" xr:uid="{F2D5CD62-5A59-45F4-A23C-E0B033DC019D}"/>
    <cellStyle name="Normal 10 2 5 7 3" xfId="20624" xr:uid="{B8291DE2-0CEE-4840-8748-81C595AAC981}"/>
    <cellStyle name="Normal 10 2 5 7 4" xfId="37383" xr:uid="{461E28AF-3A2C-41D9-A93B-4746AE602BC0}"/>
    <cellStyle name="Normal 10 2 5 8" xfId="5572" xr:uid="{45BD31E0-A3E5-4E8C-A803-380C7003368B}"/>
    <cellStyle name="Normal 10 2 5 8 2" xfId="13952" xr:uid="{A537C6C9-90E9-407D-A5C2-E83584D2AC3D}"/>
    <cellStyle name="Normal 10 2 5 8 2 2" xfId="30712" xr:uid="{390164BB-44EC-4A6C-AE76-13772C770409}"/>
    <cellStyle name="Normal 10 2 5 8 2 3" xfId="47471" xr:uid="{CF18EC22-DDC6-4117-B141-EFFD88E59B8F}"/>
    <cellStyle name="Normal 10 2 5 8 3" xfId="22332" xr:uid="{FC968A04-2265-41A3-B7D0-FEB3332FBAC7}"/>
    <cellStyle name="Normal 10 2 5 8 4" xfId="39091" xr:uid="{23BFB50F-01FF-4DA7-8D32-A71938E1A064}"/>
    <cellStyle name="Normal 10 2 5 9" xfId="7227" xr:uid="{D09B6C8A-086C-4006-915B-80043712325E}"/>
    <cellStyle name="Normal 10 2 5 9 2" xfId="15607" xr:uid="{E4A991F0-1152-4132-B559-617085681CC3}"/>
    <cellStyle name="Normal 10 2 5 9 2 2" xfId="32367" xr:uid="{10936247-D6DB-49DF-A541-F8A44A45040F}"/>
    <cellStyle name="Normal 10 2 5 9 2 3" xfId="49126" xr:uid="{B3A104A7-9AFA-41D1-AD02-5DB851895ABA}"/>
    <cellStyle name="Normal 10 2 5 9 3" xfId="23987" xr:uid="{8D6BABED-B301-42D2-9701-CDDE81D88648}"/>
    <cellStyle name="Normal 10 2 5 9 4" xfId="40746" xr:uid="{4D2BA4E9-7ACC-43C6-82E4-BC277BDCE4B3}"/>
    <cellStyle name="Normal 10 2 6" xfId="477" xr:uid="{0F25F466-0ACE-4ACB-AA7B-473C10D69498}"/>
    <cellStyle name="Normal 10 2 6 10" xfId="8467" xr:uid="{727137B5-5C93-406D-8B99-5BA8D2E284A2}"/>
    <cellStyle name="Normal 10 2 6 10 2" xfId="16847" xr:uid="{1535DD3D-1D59-450C-ADD9-154FCA0760C1}"/>
    <cellStyle name="Normal 10 2 6 10 2 2" xfId="33607" xr:uid="{ABBB90E4-0B2D-4ED2-92D8-A53AE5DE0AB7}"/>
    <cellStyle name="Normal 10 2 6 10 2 3" xfId="50366" xr:uid="{CE94AA67-D164-4275-B8E3-E6F6B409ACDA}"/>
    <cellStyle name="Normal 10 2 6 10 3" xfId="25227" xr:uid="{FDFB99C3-107C-4AF8-B80E-A5D3F451FD23}"/>
    <cellStyle name="Normal 10 2 6 10 4" xfId="41986" xr:uid="{28DD7F3E-8C25-49DB-8239-B4024A068AE0}"/>
    <cellStyle name="Normal 10 2 6 11" xfId="2309" xr:uid="{5A0A6C7E-D0CC-4546-9548-4AB33359E2AA}"/>
    <cellStyle name="Normal 10 2 6 11 2" xfId="10691" xr:uid="{15C83FB7-0758-4CE5-96A0-2F58BC113F7D}"/>
    <cellStyle name="Normal 10 2 6 11 2 2" xfId="27451" xr:uid="{B9A51E64-4E96-4EB5-B308-E6880CC21623}"/>
    <cellStyle name="Normal 10 2 6 11 2 3" xfId="44210" xr:uid="{501B0340-499D-422B-AA10-9B8898BFA204}"/>
    <cellStyle name="Normal 10 2 6 11 3" xfId="19071" xr:uid="{21998798-6037-427F-B203-E5991048E890}"/>
    <cellStyle name="Normal 10 2 6 11 4" xfId="35830" xr:uid="{C6596C90-8A30-4AAC-86AC-DA33DBD1300A}"/>
    <cellStyle name="Normal 10 2 6 12" xfId="8888" xr:uid="{814FBBD0-8619-4E29-9D38-63B390F27989}"/>
    <cellStyle name="Normal 10 2 6 12 2" xfId="25648" xr:uid="{B5E08465-4010-4448-9A63-9E92915FE4E1}"/>
    <cellStyle name="Normal 10 2 6 12 3" xfId="42407" xr:uid="{FB593F23-6FD7-46DE-92B1-EBAB8F37D9B4}"/>
    <cellStyle name="Normal 10 2 6 13" xfId="17268" xr:uid="{8DBB8D7C-1FC2-4769-AE3C-6FCAD499B99D}"/>
    <cellStyle name="Normal 10 2 6 14" xfId="34027" xr:uid="{AF81EB1B-2969-45E5-83CF-D9CD9D8876EB}"/>
    <cellStyle name="Normal 10 2 6 2" xfId="919" xr:uid="{4D8F486D-A87C-49D5-AB88-5F0ECEECFCA5}"/>
    <cellStyle name="Normal 10 2 6 2 2" xfId="4314" xr:uid="{7175DE31-A2AC-4893-8101-174AB676E4D0}"/>
    <cellStyle name="Normal 10 2 6 2 2 2" xfId="12694" xr:uid="{D77F89AF-44A7-49C1-9DEB-6474F9F46E40}"/>
    <cellStyle name="Normal 10 2 6 2 2 2 2" xfId="29454" xr:uid="{2E6C22DB-9C76-426E-9A6E-A8CDC99AEF62}"/>
    <cellStyle name="Normal 10 2 6 2 2 2 3" xfId="46213" xr:uid="{EC6586E4-583B-44CD-8B9B-9AD3BED294D2}"/>
    <cellStyle name="Normal 10 2 6 2 2 3" xfId="21074" xr:uid="{AA5140A2-1716-4112-9E41-860E88D583AD}"/>
    <cellStyle name="Normal 10 2 6 2 2 4" xfId="37833" xr:uid="{DFA245E6-DE7B-4218-9FF2-53B93E163D02}"/>
    <cellStyle name="Normal 10 2 6 2 3" xfId="6001" xr:uid="{C1F09DD1-0774-4408-8D03-9B389907BC58}"/>
    <cellStyle name="Normal 10 2 6 2 3 2" xfId="14381" xr:uid="{436B06ED-6CD6-46F3-B29A-3C4AD8F64182}"/>
    <cellStyle name="Normal 10 2 6 2 3 2 2" xfId="31141" xr:uid="{AE86DF8B-2026-4F14-8874-F3207AAAA39C}"/>
    <cellStyle name="Normal 10 2 6 2 3 2 3" xfId="47900" xr:uid="{048E2B8D-9870-408D-9CF4-C73484C33C68}"/>
    <cellStyle name="Normal 10 2 6 2 3 3" xfId="22761" xr:uid="{15E1492B-35E1-414A-9F02-454544BA6E12}"/>
    <cellStyle name="Normal 10 2 6 2 3 4" xfId="39520" xr:uid="{DE9C145C-BD1B-412F-A72F-98B21B9AB686}"/>
    <cellStyle name="Normal 10 2 6 2 4" xfId="2737" xr:uid="{FF86C097-6961-409D-9C54-3F776C37E10E}"/>
    <cellStyle name="Normal 10 2 6 2 4 2" xfId="11117" xr:uid="{9C71AB40-CBD6-46DD-BB04-E5EBABA7BD9D}"/>
    <cellStyle name="Normal 10 2 6 2 4 2 2" xfId="27877" xr:uid="{16EC8B17-00AE-4330-A791-2A4A72D9BA64}"/>
    <cellStyle name="Normal 10 2 6 2 4 2 3" xfId="44636" xr:uid="{BB413827-A476-4E24-B6B0-2A280513B6E6}"/>
    <cellStyle name="Normal 10 2 6 2 4 3" xfId="19497" xr:uid="{B49F5C99-6425-4371-8FF8-AB47B460BC22}"/>
    <cellStyle name="Normal 10 2 6 2 4 4" xfId="36256" xr:uid="{78FDF53C-8804-4A53-8363-52BE7879A05B}"/>
    <cellStyle name="Normal 10 2 6 2 5" xfId="9314" xr:uid="{5D110592-FC78-4FE4-B62B-38F02B6C1011}"/>
    <cellStyle name="Normal 10 2 6 2 5 2" xfId="26074" xr:uid="{CED87399-04CB-4C31-A10A-DEE4E2BA8655}"/>
    <cellStyle name="Normal 10 2 6 2 5 3" xfId="42833" xr:uid="{32172D32-42E6-463A-AE1A-ADF806595B0A}"/>
    <cellStyle name="Normal 10 2 6 2 6" xfId="17694" xr:uid="{8EECCA1C-F895-492C-86B1-AA7D06EE08F4}"/>
    <cellStyle name="Normal 10 2 6 2 7" xfId="34453" xr:uid="{1C5855D3-3EDC-4E55-8080-8AD55B65A8E5}"/>
    <cellStyle name="Normal 10 2 6 3" xfId="1353" xr:uid="{B8B853E6-BCF6-4EED-86DC-C58FC5CA102C}"/>
    <cellStyle name="Normal 10 2 6 3 2" xfId="4742" xr:uid="{7E03C941-A483-4BAA-A1AC-031E1D01F367}"/>
    <cellStyle name="Normal 10 2 6 3 2 2" xfId="13122" xr:uid="{8A70A956-E035-4F83-ABBF-C3F904F1D20C}"/>
    <cellStyle name="Normal 10 2 6 3 2 2 2" xfId="29882" xr:uid="{4FC68857-7E4D-40BF-ABA3-4821616DC5CF}"/>
    <cellStyle name="Normal 10 2 6 3 2 2 3" xfId="46641" xr:uid="{3F32D1C8-93BA-43FC-8D53-35A5CCEDFE0A}"/>
    <cellStyle name="Normal 10 2 6 3 2 3" xfId="21502" xr:uid="{39A7426F-6E32-4AD5-A53E-D505EC580A49}"/>
    <cellStyle name="Normal 10 2 6 3 2 4" xfId="38261" xr:uid="{25E22905-7B6A-4220-9DC0-43473731A0CC}"/>
    <cellStyle name="Normal 10 2 6 3 3" xfId="6429" xr:uid="{C5CA5073-ACBC-4B21-B5C0-A9565E580C40}"/>
    <cellStyle name="Normal 10 2 6 3 3 2" xfId="14809" xr:uid="{7054E6A0-6C29-40D7-90DB-54B23C7EEB55}"/>
    <cellStyle name="Normal 10 2 6 3 3 2 2" xfId="31569" xr:uid="{13E89E54-4404-4F11-B9DD-A5D9A8027EAA}"/>
    <cellStyle name="Normal 10 2 6 3 3 2 3" xfId="48328" xr:uid="{8F0EE832-C0A6-458C-A8F1-2C051C906E34}"/>
    <cellStyle name="Normal 10 2 6 3 3 3" xfId="23189" xr:uid="{CA1FAF26-59BB-4C18-AFF4-B39CA3F6564D}"/>
    <cellStyle name="Normal 10 2 6 3 3 4" xfId="39948" xr:uid="{55A8232B-09A8-4CD2-B57C-2CD656DE40DD}"/>
    <cellStyle name="Normal 10 2 6 3 4" xfId="3165" xr:uid="{652F5D5C-289E-437B-AD6E-DA8B9D0B5AED}"/>
    <cellStyle name="Normal 10 2 6 3 4 2" xfId="11545" xr:uid="{7C233B91-E959-4682-9358-1C4465F13261}"/>
    <cellStyle name="Normal 10 2 6 3 4 2 2" xfId="28305" xr:uid="{A31ECC0C-682D-486F-8D4E-CD03553F994E}"/>
    <cellStyle name="Normal 10 2 6 3 4 2 3" xfId="45064" xr:uid="{A9CD0909-BA92-4BF7-A7F2-88F5BCE12C8F}"/>
    <cellStyle name="Normal 10 2 6 3 4 3" xfId="19925" xr:uid="{34C778B7-C1D0-4712-A8C4-6BEB71930E94}"/>
    <cellStyle name="Normal 10 2 6 3 4 4" xfId="36684" xr:uid="{733E25E4-F6EF-4C89-816A-22DE606DAF04}"/>
    <cellStyle name="Normal 10 2 6 3 5" xfId="9742" xr:uid="{25FD29E5-84E3-492E-9B41-B0833E06D731}"/>
    <cellStyle name="Normal 10 2 6 3 5 2" xfId="26502" xr:uid="{8BF7EA46-A530-4034-8BE6-A04C16E39555}"/>
    <cellStyle name="Normal 10 2 6 3 5 3" xfId="43261" xr:uid="{F9E89990-F2D3-4927-A98A-9876F62DC5EE}"/>
    <cellStyle name="Normal 10 2 6 3 6" xfId="18122" xr:uid="{DB296063-57EB-495A-8A46-7A8D10FAD614}"/>
    <cellStyle name="Normal 10 2 6 3 7" xfId="34881" xr:uid="{5CDBB590-1969-4BE9-B06E-8A7D6BEB9212}"/>
    <cellStyle name="Normal 10 2 6 4" xfId="1767" xr:uid="{F761B0AB-A739-49AD-BFFA-98236D495537}"/>
    <cellStyle name="Normal 10 2 6 4 2" xfId="5156" xr:uid="{9051B2AA-1CF1-4972-8CBA-7E4B7176C2B0}"/>
    <cellStyle name="Normal 10 2 6 4 2 2" xfId="13536" xr:uid="{A7DF57F4-FF99-4309-9441-1DF24A31A445}"/>
    <cellStyle name="Normal 10 2 6 4 2 2 2" xfId="30296" xr:uid="{57C79C32-7406-49A3-A735-E6BD9E11D64F}"/>
    <cellStyle name="Normal 10 2 6 4 2 2 3" xfId="47055" xr:uid="{C676D464-24F1-422C-95C5-5545A0AC70E1}"/>
    <cellStyle name="Normal 10 2 6 4 2 3" xfId="21916" xr:uid="{AF0B521B-44DE-4D8B-90B4-94BB7BD14707}"/>
    <cellStyle name="Normal 10 2 6 4 2 4" xfId="38675" xr:uid="{2D5CEC6B-1106-4760-90A7-C7CD07D3CDE6}"/>
    <cellStyle name="Normal 10 2 6 4 3" xfId="6843" xr:uid="{2160D33C-0106-4C71-8098-369998E1D1D4}"/>
    <cellStyle name="Normal 10 2 6 4 3 2" xfId="15223" xr:uid="{7B3D431B-3A0E-4F5F-B474-971536D981DC}"/>
    <cellStyle name="Normal 10 2 6 4 3 2 2" xfId="31983" xr:uid="{2928588D-94E9-413C-A6DA-3DEFCBAF9D5E}"/>
    <cellStyle name="Normal 10 2 6 4 3 2 3" xfId="48742" xr:uid="{5BAE63A2-1E0D-4F27-A253-24DE6524A488}"/>
    <cellStyle name="Normal 10 2 6 4 3 3" xfId="23603" xr:uid="{D368AA35-463B-4A9A-8748-3309D7254442}"/>
    <cellStyle name="Normal 10 2 6 4 3 4" xfId="40362" xr:uid="{E8761DC8-9B95-454F-8EC9-201497EB7B8A}"/>
    <cellStyle name="Normal 10 2 6 4 4" xfId="3467" xr:uid="{8B620434-C5D7-4B8A-BF59-6D3AA540F41D}"/>
    <cellStyle name="Normal 10 2 6 4 4 2" xfId="11847" xr:uid="{FE5FE85B-10DB-49C3-9434-4562AB888F27}"/>
    <cellStyle name="Normal 10 2 6 4 4 2 2" xfId="28607" xr:uid="{3C54FD50-7C19-47B6-BCD1-2A8522872CC4}"/>
    <cellStyle name="Normal 10 2 6 4 4 2 3" xfId="45366" xr:uid="{BF225405-9025-482F-A8F9-8EC93149C0B3}"/>
    <cellStyle name="Normal 10 2 6 4 4 3" xfId="20227" xr:uid="{A26505FD-172B-4982-BBA0-4A0D25B42924}"/>
    <cellStyle name="Normal 10 2 6 4 4 4" xfId="36986" xr:uid="{7E1E8884-FE5C-418F-B04D-E87C66BDA2E0}"/>
    <cellStyle name="Normal 10 2 6 4 5" xfId="10156" xr:uid="{97943888-FE80-4658-A325-289CBAB4026A}"/>
    <cellStyle name="Normal 10 2 6 4 5 2" xfId="26916" xr:uid="{60CD89D3-A4BD-48A4-8169-2232CE5C8A54}"/>
    <cellStyle name="Normal 10 2 6 4 5 3" xfId="43675" xr:uid="{B88385EB-8E10-47AB-ACC6-878CF9F9592E}"/>
    <cellStyle name="Normal 10 2 6 4 6" xfId="18536" xr:uid="{594697C9-7742-441F-8D74-54729143E4D6}"/>
    <cellStyle name="Normal 10 2 6 4 7" xfId="35295" xr:uid="{FA024469-09C0-4F07-9707-4C6F72BA0135}"/>
    <cellStyle name="Normal 10 2 6 5" xfId="3886" xr:uid="{50BF0556-5F13-40C3-9553-C3A932119CD1}"/>
    <cellStyle name="Normal 10 2 6 5 2" xfId="12266" xr:uid="{D9D7E826-2F8C-4C15-94C6-DFB102457D63}"/>
    <cellStyle name="Normal 10 2 6 5 2 2" xfId="29026" xr:uid="{8013AE97-1FA0-4D85-BE61-D81E3D2A094F}"/>
    <cellStyle name="Normal 10 2 6 5 2 3" xfId="45785" xr:uid="{97457B04-FC50-481D-A9FB-0BA960AF07C4}"/>
    <cellStyle name="Normal 10 2 6 5 3" xfId="20646" xr:uid="{6D1D35D1-8036-4C70-BA36-AB89102146A8}"/>
    <cellStyle name="Normal 10 2 6 5 4" xfId="37405" xr:uid="{0CA5EF77-C9A6-4667-98A0-C4DFFC40E801}"/>
    <cellStyle name="Normal 10 2 6 6" xfId="5575" xr:uid="{8E84CDA0-C9E8-4612-B6A5-606BD3C0D78A}"/>
    <cellStyle name="Normal 10 2 6 6 2" xfId="13955" xr:uid="{C94EB15D-1A0C-4B4C-B9C3-EF47F26D9440}"/>
    <cellStyle name="Normal 10 2 6 6 2 2" xfId="30715" xr:uid="{77809B27-0BA3-498A-A187-7A645FF986FF}"/>
    <cellStyle name="Normal 10 2 6 6 2 3" xfId="47474" xr:uid="{5CD54180-ED3C-4FD6-862A-4960A3646CAF}"/>
    <cellStyle name="Normal 10 2 6 6 3" xfId="22335" xr:uid="{9516FCE5-1C9E-4138-84E2-B23A534C9F7A}"/>
    <cellStyle name="Normal 10 2 6 6 4" xfId="39094" xr:uid="{DB1FD2AE-5C2A-4885-9CEB-9E1EF98B25E9}"/>
    <cellStyle name="Normal 10 2 6 7" xfId="7249" xr:uid="{B7008F78-DD70-4608-8C49-0429F4DEF51B}"/>
    <cellStyle name="Normal 10 2 6 7 2" xfId="15629" xr:uid="{79B4304D-53EE-4951-BF57-8F18142E2B43}"/>
    <cellStyle name="Normal 10 2 6 7 2 2" xfId="32389" xr:uid="{F22E3CF1-19C8-4013-A581-EBC8ED0CDFFA}"/>
    <cellStyle name="Normal 10 2 6 7 2 3" xfId="49148" xr:uid="{5483957F-DDE9-4631-8BDD-D1FA03434CA7}"/>
    <cellStyle name="Normal 10 2 6 7 3" xfId="24009" xr:uid="{8B8453A3-CFAC-45C2-B15E-D01C04D0932D}"/>
    <cellStyle name="Normal 10 2 6 7 4" xfId="40768" xr:uid="{7A4FF1BB-BBF4-4970-937E-779949E4ADC0}"/>
    <cellStyle name="Normal 10 2 6 8" xfId="7655" xr:uid="{55DCB611-CD9A-4E3F-8ADD-967ED6410456}"/>
    <cellStyle name="Normal 10 2 6 8 2" xfId="16035" xr:uid="{014920DE-6B3D-4C2A-835B-0B4FF3868A1A}"/>
    <cellStyle name="Normal 10 2 6 8 2 2" xfId="32795" xr:uid="{EFB191EA-8231-4AB1-9CB6-85FB64291164}"/>
    <cellStyle name="Normal 10 2 6 8 2 3" xfId="49554" xr:uid="{B658E177-6B1D-4E2A-A83B-25D553A36569}"/>
    <cellStyle name="Normal 10 2 6 8 3" xfId="24415" xr:uid="{27E475AA-05E9-41CF-AC77-9BF546D158DF}"/>
    <cellStyle name="Normal 10 2 6 8 4" xfId="41174" xr:uid="{360E3768-8060-4D33-A0AE-60F5A692FF56}"/>
    <cellStyle name="Normal 10 2 6 9" xfId="8061" xr:uid="{C9C57993-1CB1-4318-920D-24D95492FD68}"/>
    <cellStyle name="Normal 10 2 6 9 2" xfId="16441" xr:uid="{FC070A63-CD72-4B21-8895-C7B9D1DD474C}"/>
    <cellStyle name="Normal 10 2 6 9 2 2" xfId="33201" xr:uid="{B98C4534-3269-4B73-83F7-A808D65932EB}"/>
    <cellStyle name="Normal 10 2 6 9 2 3" xfId="49960" xr:uid="{E35D48B0-783E-422E-8325-6DCD7E8ABA03}"/>
    <cellStyle name="Normal 10 2 6 9 3" xfId="24821" xr:uid="{97915FD6-0060-4482-90F7-C3CAF0F7269B}"/>
    <cellStyle name="Normal 10 2 6 9 4" xfId="41580" xr:uid="{AF7D434C-02A2-4FF9-91B1-17953AB547A8}"/>
    <cellStyle name="Normal 10 2 7" xfId="478" xr:uid="{B7A9B304-644D-437D-B3E2-43E1FF30442C}"/>
    <cellStyle name="Normal 10 2 7 10" xfId="8600" xr:uid="{AA683349-0C0E-4AA3-884E-250A44B80E22}"/>
    <cellStyle name="Normal 10 2 7 10 2" xfId="16980" xr:uid="{5AE13DFA-691E-46ED-A84B-1162CEE7FD8A}"/>
    <cellStyle name="Normal 10 2 7 10 2 2" xfId="33740" xr:uid="{0F077984-BA32-43CE-877D-CF1BB37D2B23}"/>
    <cellStyle name="Normal 10 2 7 10 2 3" xfId="50499" xr:uid="{ED572362-A8C7-4103-9DE3-6FBDD476C0C5}"/>
    <cellStyle name="Normal 10 2 7 10 3" xfId="25360" xr:uid="{3AA0F046-C10C-41AA-887D-9F7287076F39}"/>
    <cellStyle name="Normal 10 2 7 10 4" xfId="42119" xr:uid="{02EF6793-4017-4F90-9874-A558D7A7D318}"/>
    <cellStyle name="Normal 10 2 7 11" xfId="2310" xr:uid="{1290E0F5-660A-4C9D-A59F-FAF1E20E408A}"/>
    <cellStyle name="Normal 10 2 7 11 2" xfId="10692" xr:uid="{B611486D-6A7A-4A43-8A69-02E1C449758E}"/>
    <cellStyle name="Normal 10 2 7 11 2 2" xfId="27452" xr:uid="{5CDB4207-4DAD-41BB-82E2-DBC1AC4ECF95}"/>
    <cellStyle name="Normal 10 2 7 11 2 3" xfId="44211" xr:uid="{AB531748-05D1-4936-8312-B9E3FDD4EEEE}"/>
    <cellStyle name="Normal 10 2 7 11 3" xfId="19072" xr:uid="{9A685753-1C9D-4402-BEB5-4E6C40C994D8}"/>
    <cellStyle name="Normal 10 2 7 11 4" xfId="35831" xr:uid="{820FDEA0-66F5-4470-BF78-7AB3C2BA6A79}"/>
    <cellStyle name="Normal 10 2 7 12" xfId="8889" xr:uid="{0949BF8A-D428-4ACC-9C43-7F6D702604C1}"/>
    <cellStyle name="Normal 10 2 7 12 2" xfId="25649" xr:uid="{80B9FECC-26C2-4CD7-BF42-C090C9AE6C4A}"/>
    <cellStyle name="Normal 10 2 7 12 3" xfId="42408" xr:uid="{48FE506A-30E7-4FBB-8428-6CEC994A68E8}"/>
    <cellStyle name="Normal 10 2 7 13" xfId="17269" xr:uid="{2B045CBE-CBEB-41E6-B35B-0E80F17974E0}"/>
    <cellStyle name="Normal 10 2 7 14" xfId="34028" xr:uid="{40BD3F7B-6B63-4086-A6A3-9D9FDC84F810}"/>
    <cellStyle name="Normal 10 2 7 2" xfId="920" xr:uid="{D449574F-79B2-4ADD-9528-3F3C24CF7616}"/>
    <cellStyle name="Normal 10 2 7 2 2" xfId="4315" xr:uid="{3BD3F908-2969-452A-B229-6DD437C9D236}"/>
    <cellStyle name="Normal 10 2 7 2 2 2" xfId="12695" xr:uid="{1FD7EEBD-1D1C-477B-9AB1-FB9D81E39EA0}"/>
    <cellStyle name="Normal 10 2 7 2 2 2 2" xfId="29455" xr:uid="{FAE4C57E-B5C6-4372-9BCC-2A829F82BCAB}"/>
    <cellStyle name="Normal 10 2 7 2 2 2 3" xfId="46214" xr:uid="{544A3AF5-A3F2-4CFC-B89D-DB66847317FF}"/>
    <cellStyle name="Normal 10 2 7 2 2 3" xfId="21075" xr:uid="{383C39A6-FDBF-456E-B3C2-A817BB920A9C}"/>
    <cellStyle name="Normal 10 2 7 2 2 4" xfId="37834" xr:uid="{1683431A-9C2E-4A74-902D-8FA830AD513B}"/>
    <cellStyle name="Normal 10 2 7 2 3" xfId="6002" xr:uid="{7606B8C2-47B7-4128-BC99-CFFD673F9C86}"/>
    <cellStyle name="Normal 10 2 7 2 3 2" xfId="14382" xr:uid="{E5BEE15C-0DA7-4191-B960-B72EE5622616}"/>
    <cellStyle name="Normal 10 2 7 2 3 2 2" xfId="31142" xr:uid="{26190131-5210-4B26-B94C-D7D5C86D417B}"/>
    <cellStyle name="Normal 10 2 7 2 3 2 3" xfId="47901" xr:uid="{A34FFFA4-3C4D-4F87-A841-2B145C9F13B5}"/>
    <cellStyle name="Normal 10 2 7 2 3 3" xfId="22762" xr:uid="{AEE23A60-8827-4A20-BA52-44E8F57D3302}"/>
    <cellStyle name="Normal 10 2 7 2 3 4" xfId="39521" xr:uid="{8CD3C4D3-6241-45CB-9294-66C8F369C4C1}"/>
    <cellStyle name="Normal 10 2 7 2 4" xfId="2738" xr:uid="{B9CA572F-5D6F-4CFB-A118-30EC0445AE20}"/>
    <cellStyle name="Normal 10 2 7 2 4 2" xfId="11118" xr:uid="{A6A316D7-3875-4E2B-9137-4711F4BB81D1}"/>
    <cellStyle name="Normal 10 2 7 2 4 2 2" xfId="27878" xr:uid="{D3A76C48-AAA5-47D0-A67D-26E7B257B76F}"/>
    <cellStyle name="Normal 10 2 7 2 4 2 3" xfId="44637" xr:uid="{3993B61E-B6AB-415E-93A4-4CAD208386F0}"/>
    <cellStyle name="Normal 10 2 7 2 4 3" xfId="19498" xr:uid="{C499D7BA-17EC-4007-B433-5EFF12F097F9}"/>
    <cellStyle name="Normal 10 2 7 2 4 4" xfId="36257" xr:uid="{DDC6AE21-1F84-43DE-9A8F-867C00E6C7BA}"/>
    <cellStyle name="Normal 10 2 7 2 5" xfId="9315" xr:uid="{F378AAF1-DF88-4BEA-9B23-2537BBC93886}"/>
    <cellStyle name="Normal 10 2 7 2 5 2" xfId="26075" xr:uid="{1BACD916-7B32-41D6-BCEE-7C1D3A860014}"/>
    <cellStyle name="Normal 10 2 7 2 5 3" xfId="42834" xr:uid="{20276241-FC99-4FA8-84BC-F15DDAA79335}"/>
    <cellStyle name="Normal 10 2 7 2 6" xfId="17695" xr:uid="{03950917-60BD-40CE-8672-27A36EF947B4}"/>
    <cellStyle name="Normal 10 2 7 2 7" xfId="34454" xr:uid="{5E378ADE-754B-4051-B38B-E6F53D0A3DA5}"/>
    <cellStyle name="Normal 10 2 7 3" xfId="1354" xr:uid="{810666D6-F6CE-4A91-AB00-906AFD526065}"/>
    <cellStyle name="Normal 10 2 7 3 2" xfId="4743" xr:uid="{792A0BC4-7437-4DDE-869C-F4F4B163ECF7}"/>
    <cellStyle name="Normal 10 2 7 3 2 2" xfId="13123" xr:uid="{B68A8958-C7E6-4629-9FBE-BBBD9C4FB4C7}"/>
    <cellStyle name="Normal 10 2 7 3 2 2 2" xfId="29883" xr:uid="{C2E009DA-89AC-44A0-8DE6-5FA495058803}"/>
    <cellStyle name="Normal 10 2 7 3 2 2 3" xfId="46642" xr:uid="{15462342-5BA7-4D56-8F34-66C315ECD8FA}"/>
    <cellStyle name="Normal 10 2 7 3 2 3" xfId="21503" xr:uid="{4B43C584-BDF5-4CB4-9D9E-632233FF77C2}"/>
    <cellStyle name="Normal 10 2 7 3 2 4" xfId="38262" xr:uid="{AE7ECEE9-2A8A-44BF-B2DF-AC1ACE3606FB}"/>
    <cellStyle name="Normal 10 2 7 3 3" xfId="6430" xr:uid="{6FDF2F14-06CE-4D2E-BA5C-2E17F00BB6FD}"/>
    <cellStyle name="Normal 10 2 7 3 3 2" xfId="14810" xr:uid="{1EE15258-E953-4F04-8CF4-446DC6FFD8EB}"/>
    <cellStyle name="Normal 10 2 7 3 3 2 2" xfId="31570" xr:uid="{0CF15982-1F7B-4839-85CC-98BF850354A4}"/>
    <cellStyle name="Normal 10 2 7 3 3 2 3" xfId="48329" xr:uid="{14B0A636-EDCD-4C5A-8D60-98BF5338595C}"/>
    <cellStyle name="Normal 10 2 7 3 3 3" xfId="23190" xr:uid="{B56E70AB-B450-483B-BD6B-C0B6275BDF39}"/>
    <cellStyle name="Normal 10 2 7 3 3 4" xfId="39949" xr:uid="{16858618-65F1-4437-BA40-466004F61B44}"/>
    <cellStyle name="Normal 10 2 7 3 4" xfId="3166" xr:uid="{23AED74C-228C-4F61-9DD8-DEC95B0FC772}"/>
    <cellStyle name="Normal 10 2 7 3 4 2" xfId="11546" xr:uid="{29F97465-C5C3-45F8-BD11-3A5823AC7627}"/>
    <cellStyle name="Normal 10 2 7 3 4 2 2" xfId="28306" xr:uid="{9BFFB0C1-26B5-4060-9A01-C22B731320BF}"/>
    <cellStyle name="Normal 10 2 7 3 4 2 3" xfId="45065" xr:uid="{38FF7A9B-9736-40D3-8A32-9510730130FF}"/>
    <cellStyle name="Normal 10 2 7 3 4 3" xfId="19926" xr:uid="{0F77432D-1E87-4074-9F1D-0F8E8834C55A}"/>
    <cellStyle name="Normal 10 2 7 3 4 4" xfId="36685" xr:uid="{90E919CC-451A-4790-80F7-941DD22AD2DD}"/>
    <cellStyle name="Normal 10 2 7 3 5" xfId="9743" xr:uid="{7360125E-C618-4DD4-9C85-8A57CDF493E1}"/>
    <cellStyle name="Normal 10 2 7 3 5 2" xfId="26503" xr:uid="{393ED145-E423-43D3-BFD2-4ADF7456C7D5}"/>
    <cellStyle name="Normal 10 2 7 3 5 3" xfId="43262" xr:uid="{339DB32E-22F4-409A-9731-B56C3C43E9A4}"/>
    <cellStyle name="Normal 10 2 7 3 6" xfId="18123" xr:uid="{37D5E2A1-2B49-4BAF-882C-82FC31C159CD}"/>
    <cellStyle name="Normal 10 2 7 3 7" xfId="34882" xr:uid="{4740F8D8-B1A9-48F1-9E86-BAD74F51E70F}"/>
    <cellStyle name="Normal 10 2 7 4" xfId="1900" xr:uid="{B202A37E-77AB-428F-A80A-98B6C2B2314A}"/>
    <cellStyle name="Normal 10 2 7 4 2" xfId="5289" xr:uid="{7CDFA267-45E4-47F7-9EA0-A3B8BF2E8BED}"/>
    <cellStyle name="Normal 10 2 7 4 2 2" xfId="13669" xr:uid="{258E54F3-C884-47A1-8039-967B543D973C}"/>
    <cellStyle name="Normal 10 2 7 4 2 2 2" xfId="30429" xr:uid="{A7FB6549-99FF-40B1-8843-7ABF442EC3FC}"/>
    <cellStyle name="Normal 10 2 7 4 2 2 3" xfId="47188" xr:uid="{A892BEAB-90B1-4A0C-A2C0-B8564B0E8BA7}"/>
    <cellStyle name="Normal 10 2 7 4 2 3" xfId="22049" xr:uid="{BC927625-CC3E-42EF-835F-F31F69D5E29F}"/>
    <cellStyle name="Normal 10 2 7 4 2 4" xfId="38808" xr:uid="{1AD6C316-7F6D-4F8F-A09D-7ABA03B63E1E}"/>
    <cellStyle name="Normal 10 2 7 4 3" xfId="6976" xr:uid="{2604F49E-2EAD-45DC-B690-CA73CECA3282}"/>
    <cellStyle name="Normal 10 2 7 4 3 2" xfId="15356" xr:uid="{62020FD2-B2FD-4271-B569-78282E097D70}"/>
    <cellStyle name="Normal 10 2 7 4 3 2 2" xfId="32116" xr:uid="{0A8720C8-42FE-4450-BC44-D28894C3D816}"/>
    <cellStyle name="Normal 10 2 7 4 3 2 3" xfId="48875" xr:uid="{9BFF9540-642D-4267-B9E5-145CC37DB13B}"/>
    <cellStyle name="Normal 10 2 7 4 3 3" xfId="23736" xr:uid="{60FE2DD8-2AAE-4399-88C5-97CDB6D91001}"/>
    <cellStyle name="Normal 10 2 7 4 3 4" xfId="40495" xr:uid="{76D80530-D586-4592-9643-BD637A0B1931}"/>
    <cellStyle name="Normal 10 2 7 4 4" xfId="3599" xr:uid="{3F955528-E385-4184-B3B5-D18D193D2AEF}"/>
    <cellStyle name="Normal 10 2 7 4 4 2" xfId="11979" xr:uid="{504D2160-258B-4369-888C-ACA62E30A2D3}"/>
    <cellStyle name="Normal 10 2 7 4 4 2 2" xfId="28739" xr:uid="{4DC6622B-1030-4909-8E4B-10797406CAED}"/>
    <cellStyle name="Normal 10 2 7 4 4 2 3" xfId="45498" xr:uid="{0F2A2CAD-723A-4CAE-9869-90C193EC144C}"/>
    <cellStyle name="Normal 10 2 7 4 4 3" xfId="20359" xr:uid="{B768CE60-C78B-43CB-B894-81661F00113C}"/>
    <cellStyle name="Normal 10 2 7 4 4 4" xfId="37118" xr:uid="{FB4281CE-932C-48A6-9164-8410C6030A89}"/>
    <cellStyle name="Normal 10 2 7 4 5" xfId="10289" xr:uid="{1188EBBB-4C6B-4C50-BB2D-1B4D5C949B4F}"/>
    <cellStyle name="Normal 10 2 7 4 5 2" xfId="27049" xr:uid="{11C96E06-E9FD-48BD-A1DC-1449D3F1A39B}"/>
    <cellStyle name="Normal 10 2 7 4 5 3" xfId="43808" xr:uid="{65C243E9-7AC8-4664-B657-FDBF8B9FD4DE}"/>
    <cellStyle name="Normal 10 2 7 4 6" xfId="18669" xr:uid="{B0C42E2F-670B-4ADF-8DF1-CA672ECE1A7A}"/>
    <cellStyle name="Normal 10 2 7 4 7" xfId="35428" xr:uid="{50578BA4-B8F3-467A-8E30-8F24BB2E984F}"/>
    <cellStyle name="Normal 10 2 7 5" xfId="4019" xr:uid="{B511BF8C-F163-4837-B724-99921B1A4CAA}"/>
    <cellStyle name="Normal 10 2 7 5 2" xfId="12399" xr:uid="{78D37C1D-9500-48E6-A1C9-F3C8E472F757}"/>
    <cellStyle name="Normal 10 2 7 5 2 2" xfId="29159" xr:uid="{E54E284A-962C-4753-B9DF-F82BC19CD3BB}"/>
    <cellStyle name="Normal 10 2 7 5 2 3" xfId="45918" xr:uid="{DF717186-9CF7-4A1B-B1CC-CBCFDE68EFD4}"/>
    <cellStyle name="Normal 10 2 7 5 3" xfId="20779" xr:uid="{3E4058F4-74EE-42A0-9726-BC1009ABF5D4}"/>
    <cellStyle name="Normal 10 2 7 5 4" xfId="37538" xr:uid="{8035C2C5-F3EC-4F8F-AB54-1081B6AC79DB}"/>
    <cellStyle name="Normal 10 2 7 6" xfId="5576" xr:uid="{41CC0766-1A87-413B-AC52-5581591E1DD1}"/>
    <cellStyle name="Normal 10 2 7 6 2" xfId="13956" xr:uid="{1F13865D-2FA7-4D34-A510-487004B5C06A}"/>
    <cellStyle name="Normal 10 2 7 6 2 2" xfId="30716" xr:uid="{04D5A252-6D87-4CFC-AF06-045683931841}"/>
    <cellStyle name="Normal 10 2 7 6 2 3" xfId="47475" xr:uid="{C18397BC-F6DF-4CC2-85C2-F822F4EBF042}"/>
    <cellStyle name="Normal 10 2 7 6 3" xfId="22336" xr:uid="{A27280FB-3C30-40AE-8D53-D5828E83F793}"/>
    <cellStyle name="Normal 10 2 7 6 4" xfId="39095" xr:uid="{CCA399D2-F3A0-4FBF-A170-7F8FFB93D3EB}"/>
    <cellStyle name="Normal 10 2 7 7" xfId="7382" xr:uid="{4884D2E1-8ED4-4876-8233-5B5AC4C221D6}"/>
    <cellStyle name="Normal 10 2 7 7 2" xfId="15762" xr:uid="{DE8614E4-AB77-4FA3-B175-6B4D48FD5243}"/>
    <cellStyle name="Normal 10 2 7 7 2 2" xfId="32522" xr:uid="{06D387E1-23B7-45FA-9BCB-B39EB9FFB717}"/>
    <cellStyle name="Normal 10 2 7 7 2 3" xfId="49281" xr:uid="{957E333B-28C8-4B98-BB47-168921A1CDAA}"/>
    <cellStyle name="Normal 10 2 7 7 3" xfId="24142" xr:uid="{98AA126F-2F46-44CB-B248-8367EA9833E1}"/>
    <cellStyle name="Normal 10 2 7 7 4" xfId="40901" xr:uid="{169876F9-757C-45F4-AAD2-066AA4071ECF}"/>
    <cellStyle name="Normal 10 2 7 8" xfId="7788" xr:uid="{607E909C-459B-482F-9696-5040994801DF}"/>
    <cellStyle name="Normal 10 2 7 8 2" xfId="16168" xr:uid="{5B8E8902-17A1-4138-A69C-DEF887604B4A}"/>
    <cellStyle name="Normal 10 2 7 8 2 2" xfId="32928" xr:uid="{51DB3631-A7B2-4203-89FA-1D38291BED6B}"/>
    <cellStyle name="Normal 10 2 7 8 2 3" xfId="49687" xr:uid="{12FF450E-4880-4EE8-8065-EAD01A578C9E}"/>
    <cellStyle name="Normal 10 2 7 8 3" xfId="24548" xr:uid="{6120D549-E159-42E8-B0F5-E3648D9F4E52}"/>
    <cellStyle name="Normal 10 2 7 8 4" xfId="41307" xr:uid="{781DBA86-11FC-43AF-AFEC-8D73EB422A0C}"/>
    <cellStyle name="Normal 10 2 7 9" xfId="8194" xr:uid="{B894C472-C30A-4904-ACC2-3DDB49C93781}"/>
    <cellStyle name="Normal 10 2 7 9 2" xfId="16574" xr:uid="{10973BDB-51B5-48EA-892B-F9A14B0A69FB}"/>
    <cellStyle name="Normal 10 2 7 9 2 2" xfId="33334" xr:uid="{0A93B8F3-10E3-41E6-BE72-34B421669BBF}"/>
    <cellStyle name="Normal 10 2 7 9 2 3" xfId="50093" xr:uid="{DD278635-80E0-40B2-A9F1-D11576451BB7}"/>
    <cellStyle name="Normal 10 2 7 9 3" xfId="24954" xr:uid="{326C77B3-53C6-48CB-9305-AE1AF3074E14}"/>
    <cellStyle name="Normal 10 2 7 9 4" xfId="41713" xr:uid="{89F12F81-A530-4880-86BD-05A552F90280}"/>
    <cellStyle name="Normal 10 2 8" xfId="773" xr:uid="{AF3478C0-ABB8-4D28-8243-C9806F12EE20}"/>
    <cellStyle name="Normal 10 2 8 2" xfId="4168" xr:uid="{4949E7FB-AE9F-4F0D-8D25-5FACCC75DA56}"/>
    <cellStyle name="Normal 10 2 8 2 2" xfId="12548" xr:uid="{12C80395-9683-4807-A74D-C0A441C392E4}"/>
    <cellStyle name="Normal 10 2 8 2 2 2" xfId="29308" xr:uid="{6D3F8961-3DF4-4F9B-9BF0-848AA6F6D70D}"/>
    <cellStyle name="Normal 10 2 8 2 2 3" xfId="46067" xr:uid="{0F541AB5-B200-4FFE-A5A1-41F1FD114088}"/>
    <cellStyle name="Normal 10 2 8 2 3" xfId="20928" xr:uid="{15F048C5-D173-465F-A7B2-D8EEAF857579}"/>
    <cellStyle name="Normal 10 2 8 2 4" xfId="37687" xr:uid="{11187923-493F-4001-B591-C056A33F2E61}"/>
    <cellStyle name="Normal 10 2 8 3" xfId="5855" xr:uid="{B4F13F80-3B4B-4BEC-8690-8AFF28924A72}"/>
    <cellStyle name="Normal 10 2 8 3 2" xfId="14235" xr:uid="{6245B0DC-92C0-4BD2-ADCF-3CBB21952F6F}"/>
    <cellStyle name="Normal 10 2 8 3 2 2" xfId="30995" xr:uid="{6258FFDA-751C-4798-815F-1BA0826DB123}"/>
    <cellStyle name="Normal 10 2 8 3 2 3" xfId="47754" xr:uid="{406F19D8-44EF-4599-8C27-5E3F9785C59D}"/>
    <cellStyle name="Normal 10 2 8 3 3" xfId="22615" xr:uid="{F5BC445F-7C54-4A17-9EAE-51794A014838}"/>
    <cellStyle name="Normal 10 2 8 3 4" xfId="39374" xr:uid="{9B9DF981-06F8-49BD-9F7E-5776EBB26730}"/>
    <cellStyle name="Normal 10 2 8 4" xfId="2591" xr:uid="{8C51C5C1-9CA0-470D-9862-1539FF2C0765}"/>
    <cellStyle name="Normal 10 2 8 4 2" xfId="10971" xr:uid="{5FAC75F6-D4AE-4590-AE08-70093A13674B}"/>
    <cellStyle name="Normal 10 2 8 4 2 2" xfId="27731" xr:uid="{61F829DA-0D4F-4E46-B217-BADE6A7A0132}"/>
    <cellStyle name="Normal 10 2 8 4 2 3" xfId="44490" xr:uid="{6A992329-C350-456B-9FBB-3B4B9814F86A}"/>
    <cellStyle name="Normal 10 2 8 4 3" xfId="19351" xr:uid="{26522BED-9B36-46F2-B635-9D9321999A38}"/>
    <cellStyle name="Normal 10 2 8 4 4" xfId="36110" xr:uid="{A8226FDA-871E-43A0-974B-E49F57EEABD0}"/>
    <cellStyle name="Normal 10 2 8 5" xfId="9168" xr:uid="{C3405330-87A3-4B77-9F82-08D50D4B0DD8}"/>
    <cellStyle name="Normal 10 2 8 5 2" xfId="25928" xr:uid="{E6C42C4C-0439-4961-89DB-F0B1D7CFE007}"/>
    <cellStyle name="Normal 10 2 8 5 3" xfId="42687" xr:uid="{1C33411E-610F-43A1-84BF-F51C09643049}"/>
    <cellStyle name="Normal 10 2 8 6" xfId="17548" xr:uid="{8845FB31-39A4-4F74-AFB5-3D14C22189BD}"/>
    <cellStyle name="Normal 10 2 8 7" xfId="34307" xr:uid="{7B7325DE-066E-4686-968B-B6F829DDC81E}"/>
    <cellStyle name="Normal 10 2 9" xfId="1207" xr:uid="{7FF4773C-3809-45E8-A51C-AC66AB39895A}"/>
    <cellStyle name="Normal 10 2 9 2" xfId="4596" xr:uid="{9801F1BD-D050-4638-86FB-F5903C731CF7}"/>
    <cellStyle name="Normal 10 2 9 2 2" xfId="12976" xr:uid="{B9E830BE-77F4-4A18-91DE-626A5A90B487}"/>
    <cellStyle name="Normal 10 2 9 2 2 2" xfId="29736" xr:uid="{328C7F1B-18D5-4240-B906-54DC4CB773CF}"/>
    <cellStyle name="Normal 10 2 9 2 2 3" xfId="46495" xr:uid="{88CB5F77-8F1E-46E8-A4B7-1328D5520836}"/>
    <cellStyle name="Normal 10 2 9 2 3" xfId="21356" xr:uid="{4BC021AA-0377-40FF-A359-DFA707257A98}"/>
    <cellStyle name="Normal 10 2 9 2 4" xfId="38115" xr:uid="{AF2EB9B4-C7E3-4F4F-B516-1761371C49E7}"/>
    <cellStyle name="Normal 10 2 9 3" xfId="6283" xr:uid="{88B4092A-9A26-4746-80B4-75307DABC928}"/>
    <cellStyle name="Normal 10 2 9 3 2" xfId="14663" xr:uid="{BC486147-CCB2-42DE-B471-A8E3AC013E5D}"/>
    <cellStyle name="Normal 10 2 9 3 2 2" xfId="31423" xr:uid="{07A9F85E-D52F-428B-9CDE-CD304AD6EB9A}"/>
    <cellStyle name="Normal 10 2 9 3 2 3" xfId="48182" xr:uid="{DA8396BE-0884-4B2E-B62A-553A1CFF9A25}"/>
    <cellStyle name="Normal 10 2 9 3 3" xfId="23043" xr:uid="{6FED8F1F-43B5-408B-A8E9-B478EDEFB3AF}"/>
    <cellStyle name="Normal 10 2 9 3 4" xfId="39802" xr:uid="{816E9206-B7D9-42E5-93B1-5AA958D8594F}"/>
    <cellStyle name="Normal 10 2 9 4" xfId="3019" xr:uid="{263F6499-D5DA-4BEA-8811-E590C0F2F114}"/>
    <cellStyle name="Normal 10 2 9 4 2" xfId="11399" xr:uid="{3CFF0A3A-5877-4902-8591-2F2E8034EA2F}"/>
    <cellStyle name="Normal 10 2 9 4 2 2" xfId="28159" xr:uid="{C34EA8EC-C215-4E28-B3EC-6D304739F05A}"/>
    <cellStyle name="Normal 10 2 9 4 2 3" xfId="44918" xr:uid="{2344DD9A-4E28-4DDC-95E8-2E544D4865FB}"/>
    <cellStyle name="Normal 10 2 9 4 3" xfId="19779" xr:uid="{D1D5299B-F501-4565-B49F-A09622A20311}"/>
    <cellStyle name="Normal 10 2 9 4 4" xfId="36538" xr:uid="{0D676EA1-41BA-4FA4-9826-D2D8FB57785A}"/>
    <cellStyle name="Normal 10 2 9 5" xfId="9596" xr:uid="{DE0030DC-C8C3-4DED-B512-8E8616037C19}"/>
    <cellStyle name="Normal 10 2 9 5 2" xfId="26356" xr:uid="{56D63C75-FCE5-44FB-A41E-70E345E76F3C}"/>
    <cellStyle name="Normal 10 2 9 5 3" xfId="43115" xr:uid="{9E781714-A8EE-47C6-97BA-00F389777939}"/>
    <cellStyle name="Normal 10 2 9 6" xfId="17976" xr:uid="{AF388393-3A56-4001-BF7A-034FDFC93EA0}"/>
    <cellStyle name="Normal 10 2 9 7" xfId="34735" xr:uid="{AAEE62B2-A1E1-4AAD-96A1-36AD45E14018}"/>
    <cellStyle name="Normal 10 20" xfId="8735" xr:uid="{1353FCBD-6275-437B-A8B8-45DEA11CC908}"/>
    <cellStyle name="Normal 10 20 2" xfId="25495" xr:uid="{BB1F9DDB-B06A-48FD-B571-6EA0825E4F5E}"/>
    <cellStyle name="Normal 10 20 3" xfId="42254" xr:uid="{4CC80A15-64B2-4A79-A5A7-48CBB1679753}"/>
    <cellStyle name="Normal 10 21" xfId="17115" xr:uid="{170BA0F0-8506-4F19-9920-1F34668ED5C2}"/>
    <cellStyle name="Normal 10 22" xfId="33874" xr:uid="{C99D428E-B73F-4BBC-9398-95CA8AE8B8AD}"/>
    <cellStyle name="Normal 10 23" xfId="50931" xr:uid="{09617A7F-0AE4-4676-9427-371A5C1BEC53}"/>
    <cellStyle name="Normal 10 24" xfId="52235" xr:uid="{4EC98E71-ABAD-445D-90E7-AD3A82831A70}"/>
    <cellStyle name="Normal 10 3" xfId="290" xr:uid="{4CCC82E0-933B-4869-978A-D7AC32ADDA16}"/>
    <cellStyle name="Normal 10 3 10" xfId="7136" xr:uid="{E5E77524-1507-4201-BDFD-5B4CC7D28270}"/>
    <cellStyle name="Normal 10 3 10 2" xfId="15516" xr:uid="{9C46BA1F-6B85-4970-8E36-52849B00A02F}"/>
    <cellStyle name="Normal 10 3 10 2 2" xfId="32276" xr:uid="{E949D4B9-458B-419F-9FEB-EB5978AD7EF5}"/>
    <cellStyle name="Normal 10 3 10 2 3" xfId="49035" xr:uid="{058E97F1-31AD-401E-B7E3-01BF31D93840}"/>
    <cellStyle name="Normal 10 3 10 3" xfId="23896" xr:uid="{5B340E25-3021-4C09-98EC-5D4FEAF2F5D6}"/>
    <cellStyle name="Normal 10 3 10 4" xfId="40655" xr:uid="{F7BFF33D-3DC3-4452-BFE3-A3B0B9909579}"/>
    <cellStyle name="Normal 10 3 11" xfId="7542" xr:uid="{7E9FE234-B33D-44D0-B5A1-198BADEF0A05}"/>
    <cellStyle name="Normal 10 3 11 2" xfId="15922" xr:uid="{79CD8E3B-08B6-4CE7-B3F4-53845DB38404}"/>
    <cellStyle name="Normal 10 3 11 2 2" xfId="32682" xr:uid="{33AB2C3C-6C02-4CA9-AAA8-2DB7AF3DEF49}"/>
    <cellStyle name="Normal 10 3 11 2 3" xfId="49441" xr:uid="{69212D57-2059-4F21-9C30-92D136235B7D}"/>
    <cellStyle name="Normal 10 3 11 3" xfId="24302" xr:uid="{FDFF5946-68B2-46CD-8467-7913C81D366D}"/>
    <cellStyle name="Normal 10 3 11 4" xfId="41061" xr:uid="{86DC3D9C-DEE0-410B-BDC4-7DC4AF53D987}"/>
    <cellStyle name="Normal 10 3 12" xfId="7948" xr:uid="{BE59A712-5CEF-460A-BEEA-1F58D0D1DF89}"/>
    <cellStyle name="Normal 10 3 12 2" xfId="16328" xr:uid="{24A89D3B-0A5B-417A-BE33-B624D24E4B3E}"/>
    <cellStyle name="Normal 10 3 12 2 2" xfId="33088" xr:uid="{5E6033AA-5EB8-402C-AF2B-C243FB3FFD05}"/>
    <cellStyle name="Normal 10 3 12 2 3" xfId="49847" xr:uid="{3C0EA6C6-B7E7-4D69-892C-652BE76A0DB0}"/>
    <cellStyle name="Normal 10 3 12 3" xfId="24708" xr:uid="{3EB90CDE-EB30-48FE-805D-2E94A952AD59}"/>
    <cellStyle name="Normal 10 3 12 4" xfId="41467" xr:uid="{5549834D-6025-41A3-AFF5-CB7F4A26DAEC}"/>
    <cellStyle name="Normal 10 3 13" xfId="8354" xr:uid="{FD5DF7F5-4BD2-4206-8C0E-A36A69107EBE}"/>
    <cellStyle name="Normal 10 3 13 2" xfId="16734" xr:uid="{794BB835-AFDE-4588-B354-46FB5C9B9887}"/>
    <cellStyle name="Normal 10 3 13 2 2" xfId="33494" xr:uid="{07F2DC24-AD53-4391-A8A8-E72BE2EC20B0}"/>
    <cellStyle name="Normal 10 3 13 2 3" xfId="50253" xr:uid="{62B7B561-A35D-4ABF-B780-4490861960E9}"/>
    <cellStyle name="Normal 10 3 13 3" xfId="25114" xr:uid="{856A6417-A28E-4F65-849F-223B91DEF63E}"/>
    <cellStyle name="Normal 10 3 13 4" xfId="41873" xr:uid="{EEE1036F-9304-4168-AC0B-B358D30146CD}"/>
    <cellStyle name="Normal 10 3 14" xfId="2038" xr:uid="{D281CB85-812D-47C7-B863-480A9394A2F6}"/>
    <cellStyle name="Normal 10 3 14 2" xfId="10426" xr:uid="{C3CB61D7-6CDA-4088-A3B7-F8CC863BF005}"/>
    <cellStyle name="Normal 10 3 14 2 2" xfId="27186" xr:uid="{26387BBB-F389-40D3-864D-1F7BDFEA843E}"/>
    <cellStyle name="Normal 10 3 14 2 3" xfId="43945" xr:uid="{0771315F-1F53-4999-A939-6AB25FF2EB1E}"/>
    <cellStyle name="Normal 10 3 14 3" xfId="18806" xr:uid="{B017CF44-EF4E-44AE-B342-D68722F7854D}"/>
    <cellStyle name="Normal 10 3 14 4" xfId="35565" xr:uid="{1631F8F9-8BB0-4AB1-BBD4-DECBCA70150A}"/>
    <cellStyle name="Normal 10 3 15" xfId="8763" xr:uid="{653DF06F-76F5-4B2D-A097-77C697D79EAA}"/>
    <cellStyle name="Normal 10 3 15 2" xfId="25523" xr:uid="{03D137CC-2FCF-48EE-A62E-E0C905A7A074}"/>
    <cellStyle name="Normal 10 3 15 3" xfId="42282" xr:uid="{207A1427-DBAE-4FD2-93AA-1F790A53874C}"/>
    <cellStyle name="Normal 10 3 16" xfId="17143" xr:uid="{30633B34-B15C-4360-8C31-5CCD7B4B4732}"/>
    <cellStyle name="Normal 10 3 17" xfId="33902" xr:uid="{E45E192D-4C2E-450A-A011-10EB93BC5DA6}"/>
    <cellStyle name="Normal 10 3 2" xfId="373" xr:uid="{B5FE1076-7393-418D-A886-6DC5EE3E19F2}"/>
    <cellStyle name="Normal 10 3 2 10" xfId="7605" xr:uid="{80CC9B6B-6CD9-47FF-9C07-1CDF8519A9DB}"/>
    <cellStyle name="Normal 10 3 2 10 2" xfId="15985" xr:uid="{5D80F973-9614-430A-B804-07222DB9FA33}"/>
    <cellStyle name="Normal 10 3 2 10 2 2" xfId="32745" xr:uid="{7EB58C87-D5E9-4B01-93E7-4C40376661F4}"/>
    <cellStyle name="Normal 10 3 2 10 2 3" xfId="49504" xr:uid="{228B3276-8D54-42D7-BF28-DBCB8B565C19}"/>
    <cellStyle name="Normal 10 3 2 10 3" xfId="24365" xr:uid="{9949EA7A-C933-43F5-A093-44DB4A757986}"/>
    <cellStyle name="Normal 10 3 2 10 4" xfId="41124" xr:uid="{5BA5C6D7-3537-4EAB-9436-C9C996E3B0B0}"/>
    <cellStyle name="Normal 10 3 2 11" xfId="8011" xr:uid="{266D5674-7F59-461E-95F3-5D335D7B497E}"/>
    <cellStyle name="Normal 10 3 2 11 2" xfId="16391" xr:uid="{080F0C39-5634-4AF0-A7F6-8791FECBFA48}"/>
    <cellStyle name="Normal 10 3 2 11 2 2" xfId="33151" xr:uid="{C7836DBD-0E7F-4E13-A622-0ACBAD1B3F90}"/>
    <cellStyle name="Normal 10 3 2 11 2 3" xfId="49910" xr:uid="{49514B16-654B-4C16-A09C-83CC6AC8B7C8}"/>
    <cellStyle name="Normal 10 3 2 11 3" xfId="24771" xr:uid="{FE5330F5-ECFF-4ABD-9201-34B263C6EF6D}"/>
    <cellStyle name="Normal 10 3 2 11 4" xfId="41530" xr:uid="{86CB3D5F-7AA2-42A7-B4B7-B1517FB9D348}"/>
    <cellStyle name="Normal 10 3 2 12" xfId="8417" xr:uid="{CC16DD6C-A63A-43B1-9243-380E09736364}"/>
    <cellStyle name="Normal 10 3 2 12 2" xfId="16797" xr:uid="{43D0BA5B-19EF-4CEC-BC9D-F6AF51EC78E2}"/>
    <cellStyle name="Normal 10 3 2 12 2 2" xfId="33557" xr:uid="{40A8D5E1-AF86-4686-97E8-A23971426A76}"/>
    <cellStyle name="Normal 10 3 2 12 2 3" xfId="50316" xr:uid="{254A4B3C-7898-4B2D-B5FE-967169D89E56}"/>
    <cellStyle name="Normal 10 3 2 12 3" xfId="25177" xr:uid="{A3322D86-DC5E-428C-91D7-B727D52EB6EF}"/>
    <cellStyle name="Normal 10 3 2 12 4" xfId="41936" xr:uid="{144DE487-D274-4D03-AC26-DB6DD2536C75}"/>
    <cellStyle name="Normal 10 3 2 13" xfId="2256" xr:uid="{165E4C67-1666-4C60-B430-52B4980813F4}"/>
    <cellStyle name="Normal 10 3 2 13 2" xfId="10640" xr:uid="{4069F978-6AEC-4B08-BAA0-D344A05B6C43}"/>
    <cellStyle name="Normal 10 3 2 13 2 2" xfId="27400" xr:uid="{745B7F47-22B4-4403-936D-2C57E5EDE912}"/>
    <cellStyle name="Normal 10 3 2 13 2 3" xfId="44159" xr:uid="{13EC668A-34A6-4C28-AB85-471A471A170B}"/>
    <cellStyle name="Normal 10 3 2 13 3" xfId="19020" xr:uid="{BBC62B43-D4D2-48ED-A74C-F4D6F02234BF}"/>
    <cellStyle name="Normal 10 3 2 13 4" xfId="35779" xr:uid="{291F4FD0-6ED2-40BA-8217-CFF7C5869817}"/>
    <cellStyle name="Normal 10 3 2 14" xfId="8837" xr:uid="{5D46BBC5-8191-428B-A803-87D863923AB1}"/>
    <cellStyle name="Normal 10 3 2 14 2" xfId="25597" xr:uid="{8DD56F36-ECB1-4003-BDB4-784E3014973E}"/>
    <cellStyle name="Normal 10 3 2 14 3" xfId="42356" xr:uid="{DD0686D1-EC27-4801-A218-D8117C75CFAB}"/>
    <cellStyle name="Normal 10 3 2 15" xfId="17217" xr:uid="{767EFB64-0F55-4E52-92F5-54034B6A8B7A}"/>
    <cellStyle name="Normal 10 3 2 16" xfId="33976" xr:uid="{62972537-95E3-4463-8E0E-ED1A4A3E9B7C}"/>
    <cellStyle name="Normal 10 3 2 2" xfId="479" xr:uid="{7271FA38-BD6E-4388-9651-9C7821897419}"/>
    <cellStyle name="Normal 10 3 2 2 10" xfId="8474" xr:uid="{716FA53C-1559-4FB4-ACDA-A2796087D571}"/>
    <cellStyle name="Normal 10 3 2 2 10 2" xfId="16854" xr:uid="{E20D6D21-03F5-4742-8331-2E90C7CE1F29}"/>
    <cellStyle name="Normal 10 3 2 2 10 2 2" xfId="33614" xr:uid="{5BF03E29-F44F-4E28-B228-D772055E5E50}"/>
    <cellStyle name="Normal 10 3 2 2 10 2 3" xfId="50373" xr:uid="{1CA763F4-E0CE-429A-ABAB-6C578F80E728}"/>
    <cellStyle name="Normal 10 3 2 2 10 3" xfId="25234" xr:uid="{8B494EF4-5DB9-4F8A-A018-EB6E445C8CC7}"/>
    <cellStyle name="Normal 10 3 2 2 10 4" xfId="41993" xr:uid="{9617022B-0DE5-4D81-B0A7-CDC80396CBC7}"/>
    <cellStyle name="Normal 10 3 2 2 11" xfId="2311" xr:uid="{51F69568-DC14-421F-831C-380410781E71}"/>
    <cellStyle name="Normal 10 3 2 2 11 2" xfId="10693" xr:uid="{979C5E1E-9860-4942-BB7B-AE3918195DAB}"/>
    <cellStyle name="Normal 10 3 2 2 11 2 2" xfId="27453" xr:uid="{6E7A9D90-978C-4758-9059-B6438500DF5A}"/>
    <cellStyle name="Normal 10 3 2 2 11 2 3" xfId="44212" xr:uid="{A5EDCD33-87A5-4A28-9067-CA6DDABB7861}"/>
    <cellStyle name="Normal 10 3 2 2 11 3" xfId="19073" xr:uid="{0681E639-7E7E-452E-BE38-AFF1B0E6C0ED}"/>
    <cellStyle name="Normal 10 3 2 2 11 4" xfId="35832" xr:uid="{E51C91DE-1C0B-469E-A92C-A1CA0D063A63}"/>
    <cellStyle name="Normal 10 3 2 2 12" xfId="8890" xr:uid="{4070F038-2B18-4DB2-A2C4-C350D9B40122}"/>
    <cellStyle name="Normal 10 3 2 2 12 2" xfId="25650" xr:uid="{3E70F0D7-52D9-4676-B661-494E55BCA49A}"/>
    <cellStyle name="Normal 10 3 2 2 12 3" xfId="42409" xr:uid="{E0EECF56-D3DF-4253-A89C-C644E69E7DB4}"/>
    <cellStyle name="Normal 10 3 2 2 13" xfId="17270" xr:uid="{39DEBEC7-E0EF-46D5-B761-04A3E5FD19C5}"/>
    <cellStyle name="Normal 10 3 2 2 14" xfId="34029" xr:uid="{56FB4ACB-AF1C-4810-9229-B8BAEBA7FF80}"/>
    <cellStyle name="Normal 10 3 2 2 2" xfId="921" xr:uid="{0CC78A38-2005-4014-AFEE-8DD7227DCB03}"/>
    <cellStyle name="Normal 10 3 2 2 2 2" xfId="4316" xr:uid="{287EAA1F-A1D4-460A-A1B5-A24B7CE0BBB6}"/>
    <cellStyle name="Normal 10 3 2 2 2 2 2" xfId="12696" xr:uid="{F50DAA29-DF71-4390-B90F-F9835F69C4AB}"/>
    <cellStyle name="Normal 10 3 2 2 2 2 2 2" xfId="29456" xr:uid="{1AB64042-7792-48FC-A8BB-E6C99F8988D5}"/>
    <cellStyle name="Normal 10 3 2 2 2 2 2 3" xfId="46215" xr:uid="{7D92A073-72C6-4536-9EE5-5C0A268B5F2B}"/>
    <cellStyle name="Normal 10 3 2 2 2 2 3" xfId="21076" xr:uid="{86A99A91-B999-4EAD-A6CA-ED8BEF5EF1D8}"/>
    <cellStyle name="Normal 10 3 2 2 2 2 4" xfId="37835" xr:uid="{A9413BFC-8CFC-47F6-88DE-2B0F96BBB45C}"/>
    <cellStyle name="Normal 10 3 2 2 2 3" xfId="6003" xr:uid="{899CF2E4-7630-4F44-AD9B-1560F6AB0F2F}"/>
    <cellStyle name="Normal 10 3 2 2 2 3 2" xfId="14383" xr:uid="{456896A3-8E67-49EB-B316-E39E1EC8644F}"/>
    <cellStyle name="Normal 10 3 2 2 2 3 2 2" xfId="31143" xr:uid="{BE3C18AA-61A7-4A1B-B626-6CFE328A80FD}"/>
    <cellStyle name="Normal 10 3 2 2 2 3 2 3" xfId="47902" xr:uid="{BC56EB3F-E5D4-4120-88F5-562CBBE9911B}"/>
    <cellStyle name="Normal 10 3 2 2 2 3 3" xfId="22763" xr:uid="{601D43B2-5A3A-4A46-BA43-64B024B220C0}"/>
    <cellStyle name="Normal 10 3 2 2 2 3 4" xfId="39522" xr:uid="{B76379C4-71ED-4B79-A734-2A8D10682990}"/>
    <cellStyle name="Normal 10 3 2 2 2 4" xfId="2739" xr:uid="{6D368D07-06D5-4A5E-8F26-A464F4E5A596}"/>
    <cellStyle name="Normal 10 3 2 2 2 4 2" xfId="11119" xr:uid="{03760D95-B7D6-4DB7-9F75-C93DD4C6BDAD}"/>
    <cellStyle name="Normal 10 3 2 2 2 4 2 2" xfId="27879" xr:uid="{A1DBA2AE-B051-44CF-8A4A-2123E27515E5}"/>
    <cellStyle name="Normal 10 3 2 2 2 4 2 3" xfId="44638" xr:uid="{B0FB81BA-1834-4327-AE42-C0B797FCDA98}"/>
    <cellStyle name="Normal 10 3 2 2 2 4 3" xfId="19499" xr:uid="{C621340A-9C5D-48A9-9571-FA4950D93E70}"/>
    <cellStyle name="Normal 10 3 2 2 2 4 4" xfId="36258" xr:uid="{BD4DA55E-EA6F-4D74-BCF1-36FE5C82F04D}"/>
    <cellStyle name="Normal 10 3 2 2 2 5" xfId="9316" xr:uid="{EBFF4E08-8241-4110-BF98-3E6AEA945B0E}"/>
    <cellStyle name="Normal 10 3 2 2 2 5 2" xfId="26076" xr:uid="{E3E0E6F9-F417-4B0D-8DFE-09FA7FC62446}"/>
    <cellStyle name="Normal 10 3 2 2 2 5 3" xfId="42835" xr:uid="{087911C7-3DEB-4500-B7CA-EABB23727436}"/>
    <cellStyle name="Normal 10 3 2 2 2 6" xfId="17696" xr:uid="{F9B5E9C6-D366-4717-B344-264B58CE1C88}"/>
    <cellStyle name="Normal 10 3 2 2 2 7" xfId="34455" xr:uid="{5B07EC51-4C31-4D42-8BB3-FCA7AC7D04C4}"/>
    <cellStyle name="Normal 10 3 2 2 3" xfId="1355" xr:uid="{50F0644C-E90E-4574-AC66-1E51D54F5C42}"/>
    <cellStyle name="Normal 10 3 2 2 3 2" xfId="4744" xr:uid="{0D3E0924-A373-48A6-9DAA-D071F2E81E3C}"/>
    <cellStyle name="Normal 10 3 2 2 3 2 2" xfId="13124" xr:uid="{FD86B180-882C-4BF2-A6A5-AD78361E5D77}"/>
    <cellStyle name="Normal 10 3 2 2 3 2 2 2" xfId="29884" xr:uid="{6B3B826F-1DB7-4EC0-A065-5D45FC3842D6}"/>
    <cellStyle name="Normal 10 3 2 2 3 2 2 3" xfId="46643" xr:uid="{03910107-CCEB-4965-A65B-C9A787A2D04B}"/>
    <cellStyle name="Normal 10 3 2 2 3 2 3" xfId="21504" xr:uid="{D9C0B971-BDDC-4499-BDF2-39789995349F}"/>
    <cellStyle name="Normal 10 3 2 2 3 2 4" xfId="38263" xr:uid="{CB20BDDD-0A65-4E78-ADFE-AD458E099B4C}"/>
    <cellStyle name="Normal 10 3 2 2 3 3" xfId="6431" xr:uid="{A7FFF91C-745D-459D-8734-F0B53BD69E6E}"/>
    <cellStyle name="Normal 10 3 2 2 3 3 2" xfId="14811" xr:uid="{9AC077A1-3014-420C-BB00-C97FEABC773A}"/>
    <cellStyle name="Normal 10 3 2 2 3 3 2 2" xfId="31571" xr:uid="{9532B2C6-538A-4D55-9239-7220E1437ECC}"/>
    <cellStyle name="Normal 10 3 2 2 3 3 2 3" xfId="48330" xr:uid="{D8A09EEC-8056-43CD-B716-5B80FF616C2A}"/>
    <cellStyle name="Normal 10 3 2 2 3 3 3" xfId="23191" xr:uid="{089EE349-788D-43C2-ABC1-6343AC1081CE}"/>
    <cellStyle name="Normal 10 3 2 2 3 3 4" xfId="39950" xr:uid="{A446872B-1B48-46C1-A582-685F746DF4D5}"/>
    <cellStyle name="Normal 10 3 2 2 3 4" xfId="3167" xr:uid="{48956E05-804D-4F30-B743-6007CB9FB194}"/>
    <cellStyle name="Normal 10 3 2 2 3 4 2" xfId="11547" xr:uid="{9D2D6ABA-227B-43FB-A6FF-8A226B03228B}"/>
    <cellStyle name="Normal 10 3 2 2 3 4 2 2" xfId="28307" xr:uid="{80382B2C-E096-4CCE-BFE6-285ED42B7DFF}"/>
    <cellStyle name="Normal 10 3 2 2 3 4 2 3" xfId="45066" xr:uid="{97F14E77-4E89-4545-8513-1DAC0C243830}"/>
    <cellStyle name="Normal 10 3 2 2 3 4 3" xfId="19927" xr:uid="{766D75A1-577A-41E3-8A94-1F6597B80D58}"/>
    <cellStyle name="Normal 10 3 2 2 3 4 4" xfId="36686" xr:uid="{4E7603B9-8AA9-4A6C-BE1C-63973CA72DFE}"/>
    <cellStyle name="Normal 10 3 2 2 3 5" xfId="9744" xr:uid="{9775FF31-A70D-4FD9-90B3-72A34DBF1094}"/>
    <cellStyle name="Normal 10 3 2 2 3 5 2" xfId="26504" xr:uid="{013A8AFE-943A-4D7E-819F-D1BDAB18BC9D}"/>
    <cellStyle name="Normal 10 3 2 2 3 5 3" xfId="43263" xr:uid="{C7333155-7BA6-4F26-8F3F-F807D8BF5EA5}"/>
    <cellStyle name="Normal 10 3 2 2 3 6" xfId="18124" xr:uid="{43B5DDC6-120D-4A52-BA16-7AA18268DD6B}"/>
    <cellStyle name="Normal 10 3 2 2 3 7" xfId="34883" xr:uid="{0D8943D1-B163-4A93-8D78-9140E449897F}"/>
    <cellStyle name="Normal 10 3 2 2 4" xfId="1774" xr:uid="{433A75FF-79FD-4FE5-909E-D2974F150246}"/>
    <cellStyle name="Normal 10 3 2 2 4 2" xfId="5163" xr:uid="{83AF0D5B-3885-49B7-9399-22A705362ED3}"/>
    <cellStyle name="Normal 10 3 2 2 4 2 2" xfId="13543" xr:uid="{EDC43C3A-30F3-4C69-8759-748A727C57C0}"/>
    <cellStyle name="Normal 10 3 2 2 4 2 2 2" xfId="30303" xr:uid="{7DABD6D5-261B-4053-BA26-C9D7E0CF9DFE}"/>
    <cellStyle name="Normal 10 3 2 2 4 2 2 3" xfId="47062" xr:uid="{426CD6D0-4469-4B06-BC7E-ABC96A890088}"/>
    <cellStyle name="Normal 10 3 2 2 4 2 3" xfId="21923" xr:uid="{A008A60C-46C7-45BA-8565-C00D40F97BEC}"/>
    <cellStyle name="Normal 10 3 2 2 4 2 4" xfId="38682" xr:uid="{76D13F09-0585-490D-9517-9D8C11D90648}"/>
    <cellStyle name="Normal 10 3 2 2 4 3" xfId="6850" xr:uid="{00FFF165-479F-4FEB-8277-B1D233FD4F1D}"/>
    <cellStyle name="Normal 10 3 2 2 4 3 2" xfId="15230" xr:uid="{E69A8312-18F7-4CFD-8676-74EACA37FFF5}"/>
    <cellStyle name="Normal 10 3 2 2 4 3 2 2" xfId="31990" xr:uid="{75B90B4A-F261-4A29-B00F-4F5A147E56CB}"/>
    <cellStyle name="Normal 10 3 2 2 4 3 2 3" xfId="48749" xr:uid="{D9E0D59C-211F-469B-8165-6A0E7C8AEC17}"/>
    <cellStyle name="Normal 10 3 2 2 4 3 3" xfId="23610" xr:uid="{3D97DFB8-A644-4F98-8D2B-9AF161988E4D}"/>
    <cellStyle name="Normal 10 3 2 2 4 3 4" xfId="40369" xr:uid="{708AEB30-518B-4A36-85D8-8C22D864ABCF}"/>
    <cellStyle name="Normal 10 3 2 2 4 4" xfId="3474" xr:uid="{02150EAE-E068-49E9-A422-17B211AC45C7}"/>
    <cellStyle name="Normal 10 3 2 2 4 4 2" xfId="11854" xr:uid="{68CABA24-5FC2-4DC2-A040-BD067528DDD9}"/>
    <cellStyle name="Normal 10 3 2 2 4 4 2 2" xfId="28614" xr:uid="{3C44D14F-5430-4D8F-A412-A7A41616B1E1}"/>
    <cellStyle name="Normal 10 3 2 2 4 4 2 3" xfId="45373" xr:uid="{76F5A609-AFA1-4D14-A9BE-EC7B6B61F58A}"/>
    <cellStyle name="Normal 10 3 2 2 4 4 3" xfId="20234" xr:uid="{D247B234-3ADC-4EDB-B0E7-8C6F9FEFDD1C}"/>
    <cellStyle name="Normal 10 3 2 2 4 4 4" xfId="36993" xr:uid="{A7EC27F5-382D-47D9-A1B2-80B56217121F}"/>
    <cellStyle name="Normal 10 3 2 2 4 5" xfId="10163" xr:uid="{4A5A5868-0D0E-4400-A7E5-9CE90A479FD6}"/>
    <cellStyle name="Normal 10 3 2 2 4 5 2" xfId="26923" xr:uid="{58237483-7196-4104-91B4-226AD4D9505E}"/>
    <cellStyle name="Normal 10 3 2 2 4 5 3" xfId="43682" xr:uid="{B9F2B018-8334-48F3-A636-635885475372}"/>
    <cellStyle name="Normal 10 3 2 2 4 6" xfId="18543" xr:uid="{A5EB788B-618A-4875-978D-5130C9E818D4}"/>
    <cellStyle name="Normal 10 3 2 2 4 7" xfId="35302" xr:uid="{5F403BD4-D67E-4147-B14E-2C41E850AF0E}"/>
    <cellStyle name="Normal 10 3 2 2 5" xfId="3893" xr:uid="{397BCD7E-037F-4DE5-AC79-011C04E3D427}"/>
    <cellStyle name="Normal 10 3 2 2 5 2" xfId="12273" xr:uid="{1D23517F-132D-4015-A0F2-A4324385226B}"/>
    <cellStyle name="Normal 10 3 2 2 5 2 2" xfId="29033" xr:uid="{B487FD31-3226-4771-848B-6BE4A72AE79F}"/>
    <cellStyle name="Normal 10 3 2 2 5 2 3" xfId="45792" xr:uid="{8BD4EF84-9A3C-4352-AA0A-D16BBDE1EA77}"/>
    <cellStyle name="Normal 10 3 2 2 5 3" xfId="20653" xr:uid="{B8ED10A5-AF31-4433-892B-0091319BAE61}"/>
    <cellStyle name="Normal 10 3 2 2 5 4" xfId="37412" xr:uid="{687EDBBD-4DBA-4866-A079-3583DC614F80}"/>
    <cellStyle name="Normal 10 3 2 2 6" xfId="5577" xr:uid="{65FCC172-DD22-4083-88C8-1E708D50CA57}"/>
    <cellStyle name="Normal 10 3 2 2 6 2" xfId="13957" xr:uid="{EA4CC845-8192-45C6-B6BF-EA97038AA1B7}"/>
    <cellStyle name="Normal 10 3 2 2 6 2 2" xfId="30717" xr:uid="{CB66ABA3-E1BE-4976-A8FC-9D10895EE9FB}"/>
    <cellStyle name="Normal 10 3 2 2 6 2 3" xfId="47476" xr:uid="{712FB6C2-2A08-4A61-9625-3D6BEBC3C055}"/>
    <cellStyle name="Normal 10 3 2 2 6 3" xfId="22337" xr:uid="{95004178-65CD-42F7-9565-966E6603B1C3}"/>
    <cellStyle name="Normal 10 3 2 2 6 4" xfId="39096" xr:uid="{0873D09E-D9E5-4F10-AEDA-DF87908E5098}"/>
    <cellStyle name="Normal 10 3 2 2 7" xfId="7256" xr:uid="{A68389D7-D01F-4E68-A9CE-AEA6B2327B23}"/>
    <cellStyle name="Normal 10 3 2 2 7 2" xfId="15636" xr:uid="{D43EB39C-AF7B-4C58-B902-AEB5824D394E}"/>
    <cellStyle name="Normal 10 3 2 2 7 2 2" xfId="32396" xr:uid="{45D6890D-5719-4E53-93B5-6575F7E6E9C9}"/>
    <cellStyle name="Normal 10 3 2 2 7 2 3" xfId="49155" xr:uid="{C625B471-E514-4545-B56F-A8811E38837D}"/>
    <cellStyle name="Normal 10 3 2 2 7 3" xfId="24016" xr:uid="{40D6ABE5-185D-4304-8211-D439AFAED155}"/>
    <cellStyle name="Normal 10 3 2 2 7 4" xfId="40775" xr:uid="{1CB21751-9654-4454-8E71-05525E6C1B43}"/>
    <cellStyle name="Normal 10 3 2 2 8" xfId="7662" xr:uid="{75F54639-3DA8-466E-8DB0-5DF9F86E999E}"/>
    <cellStyle name="Normal 10 3 2 2 8 2" xfId="16042" xr:uid="{A0CA82D0-2A2A-4551-AF19-8ACCF5874B81}"/>
    <cellStyle name="Normal 10 3 2 2 8 2 2" xfId="32802" xr:uid="{CF349F49-0F46-4EC8-9198-6FFE4CBFA994}"/>
    <cellStyle name="Normal 10 3 2 2 8 2 3" xfId="49561" xr:uid="{5A3DBA28-A45A-46FF-B841-AA9BE6B0E507}"/>
    <cellStyle name="Normal 10 3 2 2 8 3" xfId="24422" xr:uid="{4D5FD490-D509-4685-B65A-37C1D41DAC7D}"/>
    <cellStyle name="Normal 10 3 2 2 8 4" xfId="41181" xr:uid="{4FDCD44A-2E0D-4A9A-ADAA-47C50845CF49}"/>
    <cellStyle name="Normal 10 3 2 2 9" xfId="8068" xr:uid="{068160AB-4C72-406E-AEF5-1D76C50F6DC8}"/>
    <cellStyle name="Normal 10 3 2 2 9 2" xfId="16448" xr:uid="{FBDADF67-1804-4E1D-8C76-0D7F7B73EFE0}"/>
    <cellStyle name="Normal 10 3 2 2 9 2 2" xfId="33208" xr:uid="{0DC9A74F-47AB-4BF0-9E87-ED55460412C4}"/>
    <cellStyle name="Normal 10 3 2 2 9 2 3" xfId="49967" xr:uid="{CF257F10-79D3-4A03-8C55-90173BF23A6F}"/>
    <cellStyle name="Normal 10 3 2 2 9 3" xfId="24828" xr:uid="{01A9F376-0B9B-41D5-BAFC-7F299FFCE5C0}"/>
    <cellStyle name="Normal 10 3 2 2 9 4" xfId="41587" xr:uid="{D162BBF3-B0A9-4402-8D98-A00FC7C098DF}"/>
    <cellStyle name="Normal 10 3 2 3" xfId="480" xr:uid="{A2ABC59E-8F53-4009-872D-2F1DDEB0F6D9}"/>
    <cellStyle name="Normal 10 3 2 3 10" xfId="8688" xr:uid="{96C5960F-5E96-47B2-A62D-328E161AE5B3}"/>
    <cellStyle name="Normal 10 3 2 3 10 2" xfId="17068" xr:uid="{4D14E3DA-9D06-4941-B4EB-4BC787186CC9}"/>
    <cellStyle name="Normal 10 3 2 3 10 2 2" xfId="33828" xr:uid="{5C967AB8-DE05-40A8-9A37-91272EFF0365}"/>
    <cellStyle name="Normal 10 3 2 3 10 2 3" xfId="50587" xr:uid="{C3652A77-15DE-4D83-8702-0030A97FF8E0}"/>
    <cellStyle name="Normal 10 3 2 3 10 3" xfId="25448" xr:uid="{C12A699A-F46F-44A1-AB75-9179E15A36A3}"/>
    <cellStyle name="Normal 10 3 2 3 10 4" xfId="42207" xr:uid="{8C532DF2-4EED-485D-97DF-58559361B234}"/>
    <cellStyle name="Normal 10 3 2 3 11" xfId="2312" xr:uid="{2DE9AD65-0351-4372-BDCD-6EB596AFA4BF}"/>
    <cellStyle name="Normal 10 3 2 3 11 2" xfId="10694" xr:uid="{1A99216F-B5C2-4355-AFE1-BE029E25B0BD}"/>
    <cellStyle name="Normal 10 3 2 3 11 2 2" xfId="27454" xr:uid="{18319FE8-74E1-43EA-A761-5A0C167D4FCC}"/>
    <cellStyle name="Normal 10 3 2 3 11 2 3" xfId="44213" xr:uid="{F045E4C0-64D1-47B3-A85D-DA6509904DBE}"/>
    <cellStyle name="Normal 10 3 2 3 11 3" xfId="19074" xr:uid="{D1C3D99A-EF32-41F0-90E1-54FCCD483698}"/>
    <cellStyle name="Normal 10 3 2 3 11 4" xfId="35833" xr:uid="{D6F1DBDB-71B5-43ED-A352-5DD9FB1A6104}"/>
    <cellStyle name="Normal 10 3 2 3 12" xfId="8891" xr:uid="{11B2C339-4D95-40A3-B63A-BA8EA7EC1329}"/>
    <cellStyle name="Normal 10 3 2 3 12 2" xfId="25651" xr:uid="{A6DE1185-FC42-43E1-B818-A32040898526}"/>
    <cellStyle name="Normal 10 3 2 3 12 3" xfId="42410" xr:uid="{F2B167DD-DAC3-4C74-8A85-8BE878016FC8}"/>
    <cellStyle name="Normal 10 3 2 3 13" xfId="17271" xr:uid="{33C9E487-1777-44F5-96F7-CE7D61972DB4}"/>
    <cellStyle name="Normal 10 3 2 3 14" xfId="34030" xr:uid="{7FB0E1D9-E10B-4682-99C7-00F9066678C3}"/>
    <cellStyle name="Normal 10 3 2 3 2" xfId="922" xr:uid="{8F7412AB-8DB2-436F-934F-706638C4D55F}"/>
    <cellStyle name="Normal 10 3 2 3 2 2" xfId="4317" xr:uid="{837BF501-E242-4823-AB41-17730DBBD0D7}"/>
    <cellStyle name="Normal 10 3 2 3 2 2 2" xfId="12697" xr:uid="{0E4CF3A7-8435-436B-9031-429591D78D80}"/>
    <cellStyle name="Normal 10 3 2 3 2 2 2 2" xfId="29457" xr:uid="{D4E44433-97FC-4F51-836B-117B44FD095F}"/>
    <cellStyle name="Normal 10 3 2 3 2 2 2 3" xfId="46216" xr:uid="{01AC1A5C-C9EC-4B73-A37F-563BD0BF1111}"/>
    <cellStyle name="Normal 10 3 2 3 2 2 3" xfId="21077" xr:uid="{670805F5-CF95-4F6F-9142-E9BD1CFF08A0}"/>
    <cellStyle name="Normal 10 3 2 3 2 2 4" xfId="37836" xr:uid="{357F7D8B-3EC9-4CC3-B8CC-40B40B285EAC}"/>
    <cellStyle name="Normal 10 3 2 3 2 3" xfId="6004" xr:uid="{39D6BE39-6EB8-44F8-B2E7-D0E0BC3D8F07}"/>
    <cellStyle name="Normal 10 3 2 3 2 3 2" xfId="14384" xr:uid="{0CA3FF0E-3E34-4E0C-ACC5-06B2DA6A81DB}"/>
    <cellStyle name="Normal 10 3 2 3 2 3 2 2" xfId="31144" xr:uid="{828AA1BB-B399-4B41-9E7F-7D2C9B295CD4}"/>
    <cellStyle name="Normal 10 3 2 3 2 3 2 3" xfId="47903" xr:uid="{6BB61A90-AF41-4C04-95E9-FBFF7689B3E6}"/>
    <cellStyle name="Normal 10 3 2 3 2 3 3" xfId="22764" xr:uid="{81D41EB2-E84A-4FFD-B4CA-D672A539D528}"/>
    <cellStyle name="Normal 10 3 2 3 2 3 4" xfId="39523" xr:uid="{F4EFA477-47D1-4E51-8592-65C395636BCD}"/>
    <cellStyle name="Normal 10 3 2 3 2 4" xfId="2740" xr:uid="{22CD528E-4CA3-43C1-A3D6-96E1B48FFA59}"/>
    <cellStyle name="Normal 10 3 2 3 2 4 2" xfId="11120" xr:uid="{AB706DD7-87F7-4E46-B84A-5E52B60C603B}"/>
    <cellStyle name="Normal 10 3 2 3 2 4 2 2" xfId="27880" xr:uid="{86E9EA1E-851C-475E-B9A1-B585B0DB5C3E}"/>
    <cellStyle name="Normal 10 3 2 3 2 4 2 3" xfId="44639" xr:uid="{3C081644-1173-4BC9-AB15-381BE88EAFBE}"/>
    <cellStyle name="Normal 10 3 2 3 2 4 3" xfId="19500" xr:uid="{4DEF8683-EE1A-4CF2-9AD0-47E9069FAC99}"/>
    <cellStyle name="Normal 10 3 2 3 2 4 4" xfId="36259" xr:uid="{95B77F9B-521A-462C-882D-51891D24AABD}"/>
    <cellStyle name="Normal 10 3 2 3 2 5" xfId="9317" xr:uid="{06F6A10E-378B-4EEB-B940-52BA1BE7228A}"/>
    <cellStyle name="Normal 10 3 2 3 2 5 2" xfId="26077" xr:uid="{878540F3-19B8-4510-9914-CAD733AD7813}"/>
    <cellStyle name="Normal 10 3 2 3 2 5 3" xfId="42836" xr:uid="{57225423-BC37-4BEA-9C68-6D129BCF7A16}"/>
    <cellStyle name="Normal 10 3 2 3 2 6" xfId="17697" xr:uid="{D463ED49-DCF8-48BD-988B-C4FB3938B4DB}"/>
    <cellStyle name="Normal 10 3 2 3 2 7" xfId="34456" xr:uid="{8BCD4F1E-1DB6-4F1D-8208-74355B8B400A}"/>
    <cellStyle name="Normal 10 3 2 3 3" xfId="1356" xr:uid="{6690BDA6-F8EB-44F8-866C-CB824F8118A2}"/>
    <cellStyle name="Normal 10 3 2 3 3 2" xfId="4745" xr:uid="{701FA0F5-983A-4711-A6E8-E4682971082A}"/>
    <cellStyle name="Normal 10 3 2 3 3 2 2" xfId="13125" xr:uid="{58920862-83DB-4B71-A792-51081DC3FB9F}"/>
    <cellStyle name="Normal 10 3 2 3 3 2 2 2" xfId="29885" xr:uid="{FB3612EC-9EB0-4335-949E-EF8BFD929D59}"/>
    <cellStyle name="Normal 10 3 2 3 3 2 2 3" xfId="46644" xr:uid="{D71048AD-D7C0-4235-B37E-EE5473962184}"/>
    <cellStyle name="Normal 10 3 2 3 3 2 3" xfId="21505" xr:uid="{DBCFA446-5C17-47F6-9DAA-51B81D09F421}"/>
    <cellStyle name="Normal 10 3 2 3 3 2 4" xfId="38264" xr:uid="{52E00436-533A-43C4-A3A0-0996EE01D839}"/>
    <cellStyle name="Normal 10 3 2 3 3 3" xfId="6432" xr:uid="{763CF5F8-D322-4D48-B56A-CA444899DC01}"/>
    <cellStyle name="Normal 10 3 2 3 3 3 2" xfId="14812" xr:uid="{48C13931-D100-4C40-9079-ADF06E4F3A59}"/>
    <cellStyle name="Normal 10 3 2 3 3 3 2 2" xfId="31572" xr:uid="{4CB21B23-7218-4E64-91C2-C5D3E532DF45}"/>
    <cellStyle name="Normal 10 3 2 3 3 3 2 3" xfId="48331" xr:uid="{D5CA0CA9-4021-4B2F-9B96-812A00D6E6E8}"/>
    <cellStyle name="Normal 10 3 2 3 3 3 3" xfId="23192" xr:uid="{FAD9C995-3C7D-4149-8059-6531C3265B82}"/>
    <cellStyle name="Normal 10 3 2 3 3 3 4" xfId="39951" xr:uid="{9D9E90CB-9F90-4604-AAFA-6B9333B7EA75}"/>
    <cellStyle name="Normal 10 3 2 3 3 4" xfId="3168" xr:uid="{DC03CF7B-8450-4D32-98BF-AC31F38D0A8C}"/>
    <cellStyle name="Normal 10 3 2 3 3 4 2" xfId="11548" xr:uid="{D3C4723D-2716-47E4-A40A-503B5E14ED11}"/>
    <cellStyle name="Normal 10 3 2 3 3 4 2 2" xfId="28308" xr:uid="{9F5AAB9E-A26C-4B51-95EA-8B7BB2826AF6}"/>
    <cellStyle name="Normal 10 3 2 3 3 4 2 3" xfId="45067" xr:uid="{5F290961-F3DB-4C83-8F1F-6775A17FE7CE}"/>
    <cellStyle name="Normal 10 3 2 3 3 4 3" xfId="19928" xr:uid="{768C256B-1CEE-42C7-A73D-71F45EB99547}"/>
    <cellStyle name="Normal 10 3 2 3 3 4 4" xfId="36687" xr:uid="{A66F5421-E088-485A-A96D-75D8B5238E85}"/>
    <cellStyle name="Normal 10 3 2 3 3 5" xfId="9745" xr:uid="{6847B207-2D25-4B9F-BE13-BF68A6BAB492}"/>
    <cellStyle name="Normal 10 3 2 3 3 5 2" xfId="26505" xr:uid="{0E2708B1-7208-40FA-82AA-8A1FAF782EFE}"/>
    <cellStyle name="Normal 10 3 2 3 3 5 3" xfId="43264" xr:uid="{967F8FD8-1920-491E-98AE-FF812EAD7E6C}"/>
    <cellStyle name="Normal 10 3 2 3 3 6" xfId="18125" xr:uid="{8F815707-C1CD-4A34-80AC-7EC8AB306A78}"/>
    <cellStyle name="Normal 10 3 2 3 3 7" xfId="34884" xr:uid="{A57B3F89-D5B6-4E62-A41F-E15707ADAB24}"/>
    <cellStyle name="Normal 10 3 2 3 4" xfId="1988" xr:uid="{6CD390E3-B5A4-4189-8E79-0D8D0F68860F}"/>
    <cellStyle name="Normal 10 3 2 3 4 2" xfId="5377" xr:uid="{36BF5D4C-EC20-49BD-A423-DE70E874C9CA}"/>
    <cellStyle name="Normal 10 3 2 3 4 2 2" xfId="13757" xr:uid="{6FEA85F0-0B60-4123-BFA0-89572B1A860E}"/>
    <cellStyle name="Normal 10 3 2 3 4 2 2 2" xfId="30517" xr:uid="{CD434ED2-4494-45C8-BE61-2AB4C6D57E1B}"/>
    <cellStyle name="Normal 10 3 2 3 4 2 2 3" xfId="47276" xr:uid="{F30071ED-1AED-4D4C-9918-B2B6CDB9FE63}"/>
    <cellStyle name="Normal 10 3 2 3 4 2 3" xfId="22137" xr:uid="{AB90E5B6-3E23-4A3D-BDFA-4B49DF7040F3}"/>
    <cellStyle name="Normal 10 3 2 3 4 2 4" xfId="38896" xr:uid="{BC44BA90-2CE6-4748-9D51-58F3D851FD14}"/>
    <cellStyle name="Normal 10 3 2 3 4 3" xfId="7064" xr:uid="{DE2C41A5-3D07-4584-9534-C707D584C143}"/>
    <cellStyle name="Normal 10 3 2 3 4 3 2" xfId="15444" xr:uid="{BF9F3204-96C5-44DA-A6BA-5A9E40FB5976}"/>
    <cellStyle name="Normal 10 3 2 3 4 3 2 2" xfId="32204" xr:uid="{036E0E8C-BFF3-476F-A14A-6C4AF8785F8F}"/>
    <cellStyle name="Normal 10 3 2 3 4 3 2 3" xfId="48963" xr:uid="{C1B21AC3-2A11-4879-824F-39643754C4AA}"/>
    <cellStyle name="Normal 10 3 2 3 4 3 3" xfId="23824" xr:uid="{2DB5EC0A-63C0-4252-8845-965ABEFD4712}"/>
    <cellStyle name="Normal 10 3 2 3 4 3 4" xfId="40583" xr:uid="{4A481FC3-AF36-4BF9-BEB9-57B9906EDC09}"/>
    <cellStyle name="Normal 10 3 2 3 4 4" xfId="3687" xr:uid="{D9DC5B76-1399-4B6D-9876-B9EDF4047304}"/>
    <cellStyle name="Normal 10 3 2 3 4 4 2" xfId="12067" xr:uid="{7312F361-CE53-4FA3-AC49-411745681AD6}"/>
    <cellStyle name="Normal 10 3 2 3 4 4 2 2" xfId="28827" xr:uid="{F53BD939-6455-49EC-962E-59E2AFF30406}"/>
    <cellStyle name="Normal 10 3 2 3 4 4 2 3" xfId="45586" xr:uid="{F39D9856-0B14-4605-AA5A-F0DB93090EDE}"/>
    <cellStyle name="Normal 10 3 2 3 4 4 3" xfId="20447" xr:uid="{834913B2-ABC4-4B4F-B209-9B510A49C45A}"/>
    <cellStyle name="Normal 10 3 2 3 4 4 4" xfId="37206" xr:uid="{7BD6C1B2-0952-4195-A2E4-C5984583EFCB}"/>
    <cellStyle name="Normal 10 3 2 3 4 5" xfId="10377" xr:uid="{AFA731AE-432D-487F-B0BA-1DF1449F5588}"/>
    <cellStyle name="Normal 10 3 2 3 4 5 2" xfId="27137" xr:uid="{0339AEAB-65FA-42FA-99B9-BF5E7D86C421}"/>
    <cellStyle name="Normal 10 3 2 3 4 5 3" xfId="43896" xr:uid="{A45548E0-5D3F-4156-8BAB-F9B2B3FD61D0}"/>
    <cellStyle name="Normal 10 3 2 3 4 6" xfId="18757" xr:uid="{C58D70F4-35FF-4F9A-892F-B4206C26A182}"/>
    <cellStyle name="Normal 10 3 2 3 4 7" xfId="35516" xr:uid="{5C19C30D-8884-4C19-9D83-816EA70C40B1}"/>
    <cellStyle name="Normal 10 3 2 3 5" xfId="4107" xr:uid="{0BC5E14A-6F2F-4833-99A7-EB8B1BC7EEB2}"/>
    <cellStyle name="Normal 10 3 2 3 5 2" xfId="12487" xr:uid="{B745A17B-F2DA-4D8E-A7F9-C3B38C356335}"/>
    <cellStyle name="Normal 10 3 2 3 5 2 2" xfId="29247" xr:uid="{75453A2D-DAB8-46F4-87C8-78ECA9846DAC}"/>
    <cellStyle name="Normal 10 3 2 3 5 2 3" xfId="46006" xr:uid="{72F3C922-4E6E-4B08-B862-28F182E0E022}"/>
    <cellStyle name="Normal 10 3 2 3 5 3" xfId="20867" xr:uid="{A03844F1-F506-42CE-8090-DD8F9677634C}"/>
    <cellStyle name="Normal 10 3 2 3 5 4" xfId="37626" xr:uid="{6932DE65-6F8D-4049-B9CB-55B6A87D84F6}"/>
    <cellStyle name="Normal 10 3 2 3 6" xfId="5578" xr:uid="{F656340F-AC5C-4336-8B78-8F25EEE2E80A}"/>
    <cellStyle name="Normal 10 3 2 3 6 2" xfId="13958" xr:uid="{F4C274BE-F430-4DB5-AC92-6AF0D10CAD00}"/>
    <cellStyle name="Normal 10 3 2 3 6 2 2" xfId="30718" xr:uid="{E4C7AA0E-EDA2-4C57-AC3A-4B752E5BEEF1}"/>
    <cellStyle name="Normal 10 3 2 3 6 2 3" xfId="47477" xr:uid="{7BF4651D-3B40-4640-9EC6-005B2C8C7296}"/>
    <cellStyle name="Normal 10 3 2 3 6 3" xfId="22338" xr:uid="{E52EDBAF-04E7-4CD5-8C41-A81A49B05D4A}"/>
    <cellStyle name="Normal 10 3 2 3 6 4" xfId="39097" xr:uid="{19ED7215-7078-4163-BC58-45BD003C4C69}"/>
    <cellStyle name="Normal 10 3 2 3 7" xfId="7470" xr:uid="{DE82DC20-8C84-4000-9337-50D369906145}"/>
    <cellStyle name="Normal 10 3 2 3 7 2" xfId="15850" xr:uid="{3F4E0AB3-4E04-427F-963D-AB5FF52D21A5}"/>
    <cellStyle name="Normal 10 3 2 3 7 2 2" xfId="32610" xr:uid="{3F2016CE-2BC6-446E-8213-652F59FAA045}"/>
    <cellStyle name="Normal 10 3 2 3 7 2 3" xfId="49369" xr:uid="{71905233-0565-4C5E-853B-F7D9E5E5E096}"/>
    <cellStyle name="Normal 10 3 2 3 7 3" xfId="24230" xr:uid="{DE49B53C-8B35-44BC-A676-C5BE91FF7B32}"/>
    <cellStyle name="Normal 10 3 2 3 7 4" xfId="40989" xr:uid="{57FEC42C-DEAA-4E2C-9EAC-9BB34E6A2DE5}"/>
    <cellStyle name="Normal 10 3 2 3 8" xfId="7876" xr:uid="{6C04AC19-6A0C-46BB-8732-2E53C5379BD9}"/>
    <cellStyle name="Normal 10 3 2 3 8 2" xfId="16256" xr:uid="{3E6E22FA-4B66-4B0B-A977-7215F5031CF4}"/>
    <cellStyle name="Normal 10 3 2 3 8 2 2" xfId="33016" xr:uid="{EDC95EFC-063C-40C7-A731-0FD700275B91}"/>
    <cellStyle name="Normal 10 3 2 3 8 2 3" xfId="49775" xr:uid="{4E5DA09B-A490-4498-83C3-D294D7A9F589}"/>
    <cellStyle name="Normal 10 3 2 3 8 3" xfId="24636" xr:uid="{87D5613F-B7B4-4EB0-8664-0B0913E92F6B}"/>
    <cellStyle name="Normal 10 3 2 3 8 4" xfId="41395" xr:uid="{54FC57CA-512D-4BF7-AA4B-99119550AAB7}"/>
    <cellStyle name="Normal 10 3 2 3 9" xfId="8282" xr:uid="{BE7D50C2-9CE3-44C5-A7D7-6C76AC2F708B}"/>
    <cellStyle name="Normal 10 3 2 3 9 2" xfId="16662" xr:uid="{8D6FDB69-176E-477A-AB0A-E2980EDF95BD}"/>
    <cellStyle name="Normal 10 3 2 3 9 2 2" xfId="33422" xr:uid="{20577C91-26BE-4F10-A6F2-DE217EF599C2}"/>
    <cellStyle name="Normal 10 3 2 3 9 2 3" xfId="50181" xr:uid="{60605771-1F23-4887-8A27-FFD1EEA88F82}"/>
    <cellStyle name="Normal 10 3 2 3 9 3" xfId="25042" xr:uid="{F45AF11A-6C28-4497-95C1-8B06F0F506A8}"/>
    <cellStyle name="Normal 10 3 2 3 9 4" xfId="41801" xr:uid="{81752F13-B379-48B4-B095-B9452F0AD434}"/>
    <cellStyle name="Normal 10 3 2 4" xfId="868" xr:uid="{C2538CA4-EADA-459A-B5D2-ECCC7D8CCCB6}"/>
    <cellStyle name="Normal 10 3 2 4 2" xfId="4263" xr:uid="{DF0DA6CF-5607-4A1A-BC67-F2EA342AB479}"/>
    <cellStyle name="Normal 10 3 2 4 2 2" xfId="12643" xr:uid="{A5FCA507-B0F5-401A-9BEB-8B1BD90DE532}"/>
    <cellStyle name="Normal 10 3 2 4 2 2 2" xfId="29403" xr:uid="{E5BCC9D3-5E99-474C-9BD5-91246DC9FEBA}"/>
    <cellStyle name="Normal 10 3 2 4 2 2 3" xfId="46162" xr:uid="{D6BD7FC9-FC4D-4FE7-A8E2-BA8F31EA91C9}"/>
    <cellStyle name="Normal 10 3 2 4 2 3" xfId="21023" xr:uid="{89391D67-4FEB-49BB-9FC5-D1C683D649BD}"/>
    <cellStyle name="Normal 10 3 2 4 2 4" xfId="37782" xr:uid="{77CA3A81-BE9F-4ECD-A852-2644B5EF0143}"/>
    <cellStyle name="Normal 10 3 2 4 3" xfId="5950" xr:uid="{111214BA-85A9-483C-8938-BC76A83AB310}"/>
    <cellStyle name="Normal 10 3 2 4 3 2" xfId="14330" xr:uid="{D4AB4189-CAEB-4901-A126-6D038AB95002}"/>
    <cellStyle name="Normal 10 3 2 4 3 2 2" xfId="31090" xr:uid="{CE4D45BA-C074-4A6B-88AC-4DD58630F23D}"/>
    <cellStyle name="Normal 10 3 2 4 3 2 3" xfId="47849" xr:uid="{BEB15625-0BA9-40B0-8AA8-1312D87A000A}"/>
    <cellStyle name="Normal 10 3 2 4 3 3" xfId="22710" xr:uid="{4455B8F9-43DB-46BD-83CC-6875940D16C2}"/>
    <cellStyle name="Normal 10 3 2 4 3 4" xfId="39469" xr:uid="{B8C55DA9-1B98-4558-A6A8-28FD5A6C13E0}"/>
    <cellStyle name="Normal 10 3 2 4 4" xfId="2686" xr:uid="{06A63E67-1FF1-4F51-BD47-E12C25F15654}"/>
    <cellStyle name="Normal 10 3 2 4 4 2" xfId="11066" xr:uid="{7DB62963-B742-42DE-A1F7-B50A4A511BA0}"/>
    <cellStyle name="Normal 10 3 2 4 4 2 2" xfId="27826" xr:uid="{570BACD7-91D4-49D2-A9BD-FB0E1DE52B81}"/>
    <cellStyle name="Normal 10 3 2 4 4 2 3" xfId="44585" xr:uid="{78C16118-E2CF-488F-A055-8568BE1A4567}"/>
    <cellStyle name="Normal 10 3 2 4 4 3" xfId="19446" xr:uid="{039B8C62-D59E-4150-968E-4023CDB148C9}"/>
    <cellStyle name="Normal 10 3 2 4 4 4" xfId="36205" xr:uid="{90C1C419-3FB7-4B8A-A558-E96C77983C07}"/>
    <cellStyle name="Normal 10 3 2 4 5" xfId="9263" xr:uid="{5240D81D-3D2D-4EA8-A2CA-2288C5787BB3}"/>
    <cellStyle name="Normal 10 3 2 4 5 2" xfId="26023" xr:uid="{1C67E396-E95E-40D2-A8B1-50BDB7F0F8CF}"/>
    <cellStyle name="Normal 10 3 2 4 5 3" xfId="42782" xr:uid="{25267F76-8068-4267-BB5B-6E56B31DEADB}"/>
    <cellStyle name="Normal 10 3 2 4 6" xfId="17643" xr:uid="{22B0A1F9-86F9-4356-9962-25295F7CD525}"/>
    <cellStyle name="Normal 10 3 2 4 7" xfId="34402" xr:uid="{B5874AF3-A274-47D8-8B48-6C1177B1A66B}"/>
    <cellStyle name="Normal 10 3 2 5" xfId="1302" xr:uid="{B9E68267-1E99-432C-B707-7E40F95A738C}"/>
    <cellStyle name="Normal 10 3 2 5 2" xfId="4691" xr:uid="{3D97601C-BD00-4C81-A340-06649F1959DD}"/>
    <cellStyle name="Normal 10 3 2 5 2 2" xfId="13071" xr:uid="{26D72E63-860A-4C5D-B99B-60BBA98750FD}"/>
    <cellStyle name="Normal 10 3 2 5 2 2 2" xfId="29831" xr:uid="{831F318F-B22F-4BCC-84B6-E3C5CFCFD468}"/>
    <cellStyle name="Normal 10 3 2 5 2 2 3" xfId="46590" xr:uid="{8E18CE5C-07BD-4198-9AFD-B1F0E3660382}"/>
    <cellStyle name="Normal 10 3 2 5 2 3" xfId="21451" xr:uid="{362A6DEC-6BD4-41B7-B08C-25C2C3881B81}"/>
    <cellStyle name="Normal 10 3 2 5 2 4" xfId="38210" xr:uid="{982C03E4-BD5E-4003-9D2E-FA215C9A2142}"/>
    <cellStyle name="Normal 10 3 2 5 3" xfId="6378" xr:uid="{49D1CAF2-1FD2-4187-9963-209DB6E5F8FD}"/>
    <cellStyle name="Normal 10 3 2 5 3 2" xfId="14758" xr:uid="{0C46FE10-0098-42AA-95BB-A063FFADF411}"/>
    <cellStyle name="Normal 10 3 2 5 3 2 2" xfId="31518" xr:uid="{4D559815-C950-41AF-9932-2F7528C61145}"/>
    <cellStyle name="Normal 10 3 2 5 3 2 3" xfId="48277" xr:uid="{054CB4F9-00F6-41D0-B69A-4EDF4030A27B}"/>
    <cellStyle name="Normal 10 3 2 5 3 3" xfId="23138" xr:uid="{9563FB61-4E19-4203-B1A6-47DDE8674C9D}"/>
    <cellStyle name="Normal 10 3 2 5 3 4" xfId="39897" xr:uid="{6E66480E-0AEF-41D2-B67D-0AECA2C9EFD8}"/>
    <cellStyle name="Normal 10 3 2 5 4" xfId="3114" xr:uid="{21ED4A60-2387-4B4A-91DF-F7D85B98132A}"/>
    <cellStyle name="Normal 10 3 2 5 4 2" xfId="11494" xr:uid="{45B06540-A3FF-49F4-8256-B515CD04E43B}"/>
    <cellStyle name="Normal 10 3 2 5 4 2 2" xfId="28254" xr:uid="{30410483-F9B4-4A92-965C-7AF1E549E2BD}"/>
    <cellStyle name="Normal 10 3 2 5 4 2 3" xfId="45013" xr:uid="{54123EE3-1AC4-4F19-B4B9-A7D4E67F741B}"/>
    <cellStyle name="Normal 10 3 2 5 4 3" xfId="19874" xr:uid="{19B39924-2882-44F1-BFE9-50E64F58FC26}"/>
    <cellStyle name="Normal 10 3 2 5 4 4" xfId="36633" xr:uid="{5E3E70B4-3F3D-4F9F-97F5-B61F7DB6EBCE}"/>
    <cellStyle name="Normal 10 3 2 5 5" xfId="9691" xr:uid="{6A467545-66BE-4E12-BDA7-67EE47F2F7FA}"/>
    <cellStyle name="Normal 10 3 2 5 5 2" xfId="26451" xr:uid="{18F2C0C2-0D0F-4DFC-AB89-11C1133E1B62}"/>
    <cellStyle name="Normal 10 3 2 5 5 3" xfId="43210" xr:uid="{9B5D5290-1F26-47CC-B44D-B7BF97870FC1}"/>
    <cellStyle name="Normal 10 3 2 5 6" xfId="18071" xr:uid="{EB765C7D-252B-428A-A1B1-206FC60D15DA}"/>
    <cellStyle name="Normal 10 3 2 5 7" xfId="34830" xr:uid="{CC9BACB8-3E9D-44DC-A556-D3179436ED54}"/>
    <cellStyle name="Normal 10 3 2 6" xfId="1717" xr:uid="{CC32CA5E-A04A-4CD9-9C56-4875F2B5D694}"/>
    <cellStyle name="Normal 10 3 2 6 2" xfId="5106" xr:uid="{C5334C1A-770E-40A6-A57A-E8F28EAC2CD4}"/>
    <cellStyle name="Normal 10 3 2 6 2 2" xfId="13486" xr:uid="{4CD877CA-252A-46D8-A357-5DD2CBE81E3D}"/>
    <cellStyle name="Normal 10 3 2 6 2 2 2" xfId="30246" xr:uid="{F8C680A2-F8D0-43F0-84A9-B226C4326892}"/>
    <cellStyle name="Normal 10 3 2 6 2 2 3" xfId="47005" xr:uid="{4962DF02-DF45-450F-ACDF-DEB30BC10C93}"/>
    <cellStyle name="Normal 10 3 2 6 2 3" xfId="21866" xr:uid="{036951D7-018D-44FE-A8B2-275A177B39E8}"/>
    <cellStyle name="Normal 10 3 2 6 2 4" xfId="38625" xr:uid="{B884F508-6140-480A-A39C-BB8D2BAD02ED}"/>
    <cellStyle name="Normal 10 3 2 6 3" xfId="6793" xr:uid="{EA6EDB12-EDFC-424E-B7A9-C0338CF0682B}"/>
    <cellStyle name="Normal 10 3 2 6 3 2" xfId="15173" xr:uid="{6F3CFD48-3D4E-443D-B4FF-BA1288BFFC65}"/>
    <cellStyle name="Normal 10 3 2 6 3 2 2" xfId="31933" xr:uid="{9F29946F-3A01-4321-B504-036C13B401C3}"/>
    <cellStyle name="Normal 10 3 2 6 3 2 3" xfId="48692" xr:uid="{10072F23-CFE5-4E5A-9898-AD0F41CD7607}"/>
    <cellStyle name="Normal 10 3 2 6 3 3" xfId="23553" xr:uid="{404DF86C-10BF-4232-AF56-F77349E13170}"/>
    <cellStyle name="Normal 10 3 2 6 3 4" xfId="40312" xr:uid="{71F27454-59DC-4588-9EA3-033488C64247}"/>
    <cellStyle name="Normal 10 3 2 6 4" xfId="3440" xr:uid="{92F81963-95DF-4FF4-9CA6-15C165FC7254}"/>
    <cellStyle name="Normal 10 3 2 6 4 2" xfId="11820" xr:uid="{745E83A0-2D8C-46A4-946E-924F31DA8AB6}"/>
    <cellStyle name="Normal 10 3 2 6 4 2 2" xfId="28580" xr:uid="{2F8E69FC-8006-4114-B7D1-873DD1D01ADC}"/>
    <cellStyle name="Normal 10 3 2 6 4 2 3" xfId="45339" xr:uid="{F5985187-D0EF-4347-BC99-B40C4497367B}"/>
    <cellStyle name="Normal 10 3 2 6 4 3" xfId="20200" xr:uid="{EE6E920A-5FCD-42CD-BD6B-E0CACC188BA2}"/>
    <cellStyle name="Normal 10 3 2 6 4 4" xfId="36959" xr:uid="{8C0E02C3-3F65-43E7-87C9-116835908903}"/>
    <cellStyle name="Normal 10 3 2 6 5" xfId="10106" xr:uid="{DE41F595-A6BF-4B3F-9D14-8DDBDAB864CF}"/>
    <cellStyle name="Normal 10 3 2 6 5 2" xfId="26866" xr:uid="{9A689AF4-9D85-480A-A550-86E42C02204D}"/>
    <cellStyle name="Normal 10 3 2 6 5 3" xfId="43625" xr:uid="{026AE4B2-F89F-4B91-8392-01C9CEF67A14}"/>
    <cellStyle name="Normal 10 3 2 6 6" xfId="18486" xr:uid="{0102C104-AC0F-48D3-A5E6-FD9983C388B4}"/>
    <cellStyle name="Normal 10 3 2 6 7" xfId="35245" xr:uid="{E2441B6E-809B-4485-8784-AADC606DE194}"/>
    <cellStyle name="Normal 10 3 2 7" xfId="3836" xr:uid="{C5D5FF40-1F5C-4B74-9347-5DC742BA7C88}"/>
    <cellStyle name="Normal 10 3 2 7 2" xfId="12216" xr:uid="{A3486442-8621-42E6-B6CC-07FBA1A56653}"/>
    <cellStyle name="Normal 10 3 2 7 2 2" xfId="28976" xr:uid="{2EC74F61-2440-4DB0-BB25-73BF1BC56E7F}"/>
    <cellStyle name="Normal 10 3 2 7 2 3" xfId="45735" xr:uid="{53FCC317-70C3-488E-B004-8DFC737905F0}"/>
    <cellStyle name="Normal 10 3 2 7 3" xfId="20596" xr:uid="{A7A38A0B-488E-4F7E-82D3-7C0CEA60C5B5}"/>
    <cellStyle name="Normal 10 3 2 7 4" xfId="37355" xr:uid="{8E8D9226-96F3-4A09-AFB6-8CB91FD24830}"/>
    <cellStyle name="Normal 10 3 2 8" xfId="5524" xr:uid="{D5E6F597-8268-4B5F-B8B9-C2A38D4E4DBD}"/>
    <cellStyle name="Normal 10 3 2 8 2" xfId="13904" xr:uid="{3411B398-AA2E-480A-9926-5DE83A815212}"/>
    <cellStyle name="Normal 10 3 2 8 2 2" xfId="30664" xr:uid="{79AD94B7-2BD3-434E-BF99-6D93A810A2E0}"/>
    <cellStyle name="Normal 10 3 2 8 2 3" xfId="47423" xr:uid="{5630698C-4CC6-4627-8C82-F3E63B4BBAF3}"/>
    <cellStyle name="Normal 10 3 2 8 3" xfId="22284" xr:uid="{A74F063B-450F-4FF8-A396-FE5D8D7872B9}"/>
    <cellStyle name="Normal 10 3 2 8 4" xfId="39043" xr:uid="{8E8440D4-45DD-43F2-AB25-DD4530D5A7ED}"/>
    <cellStyle name="Normal 10 3 2 9" xfId="7199" xr:uid="{FE313B04-6E2B-4200-AA12-BD8588669F59}"/>
    <cellStyle name="Normal 10 3 2 9 2" xfId="15579" xr:uid="{532D48E6-0551-430C-A097-CDCF0BC5866C}"/>
    <cellStyle name="Normal 10 3 2 9 2 2" xfId="32339" xr:uid="{55A38054-DA40-4E4D-B1D6-8B3D68C6F3C3}"/>
    <cellStyle name="Normal 10 3 2 9 2 3" xfId="49098" xr:uid="{F35BE4A5-64B7-43C0-B053-E82FD265FF42}"/>
    <cellStyle name="Normal 10 3 2 9 3" xfId="23959" xr:uid="{763AF038-23DE-417C-9AE2-0FEAFA6C4B25}"/>
    <cellStyle name="Normal 10 3 2 9 4" xfId="40718" xr:uid="{0116DDD2-B683-4924-A3C2-B6423E4CFC0A}"/>
    <cellStyle name="Normal 10 3 3" xfId="481" xr:uid="{60E59D87-E8EF-4E54-BE5D-47888777C445}"/>
    <cellStyle name="Normal 10 3 3 10" xfId="8473" xr:uid="{FD617E1C-1B21-4F05-B673-69221198A518}"/>
    <cellStyle name="Normal 10 3 3 10 2" xfId="16853" xr:uid="{7868AB30-27C5-4982-AEF0-91F811B3DA87}"/>
    <cellStyle name="Normal 10 3 3 10 2 2" xfId="33613" xr:uid="{CCD1F0C6-C754-4E23-A4FD-30B1A9FC0CBD}"/>
    <cellStyle name="Normal 10 3 3 10 2 3" xfId="50372" xr:uid="{98AE2AFE-3D2F-4636-8B54-093551D311DE}"/>
    <cellStyle name="Normal 10 3 3 10 3" xfId="25233" xr:uid="{EE83350C-1F13-404A-936F-DB334709DC9C}"/>
    <cellStyle name="Normal 10 3 3 10 4" xfId="41992" xr:uid="{4854C659-83D4-4492-BCBD-C3EC3979CFFC}"/>
    <cellStyle name="Normal 10 3 3 11" xfId="2313" xr:uid="{806F662F-60AA-429E-8232-BE8D09F74C28}"/>
    <cellStyle name="Normal 10 3 3 11 2" xfId="10695" xr:uid="{017BEA77-4914-40F6-BAE1-7F4AC2CD6584}"/>
    <cellStyle name="Normal 10 3 3 11 2 2" xfId="27455" xr:uid="{2983EA92-582A-4C63-9BC2-77B26159A5EE}"/>
    <cellStyle name="Normal 10 3 3 11 2 3" xfId="44214" xr:uid="{964F731E-688F-4289-B587-9E22A9AE1390}"/>
    <cellStyle name="Normal 10 3 3 11 3" xfId="19075" xr:uid="{B00299FC-C91D-4A16-9555-8B946A81CFA6}"/>
    <cellStyle name="Normal 10 3 3 11 4" xfId="35834" xr:uid="{DAF013DC-B678-43E0-B36B-45C6C892CCE6}"/>
    <cellStyle name="Normal 10 3 3 12" xfId="8892" xr:uid="{EBCB231D-A12F-4877-AAA3-2EEDF885FBA3}"/>
    <cellStyle name="Normal 10 3 3 12 2" xfId="25652" xr:uid="{AB8A889D-F5B6-4F25-85A9-DCFC7A63BFEB}"/>
    <cellStyle name="Normal 10 3 3 12 3" xfId="42411" xr:uid="{2CAC76F8-8808-4F3D-8A6C-4F2764384391}"/>
    <cellStyle name="Normal 10 3 3 13" xfId="17272" xr:uid="{4ACB6275-2527-43B5-8E54-CCA14C711AFE}"/>
    <cellStyle name="Normal 10 3 3 14" xfId="34031" xr:uid="{CFCA185A-4FB0-49E4-A2F9-4361556E30A9}"/>
    <cellStyle name="Normal 10 3 3 2" xfId="923" xr:uid="{E3D1EB60-8A90-49BF-BD87-37ACE190BC7C}"/>
    <cellStyle name="Normal 10 3 3 2 2" xfId="4318" xr:uid="{0DE7471B-0934-47BF-8D4A-CB5734D09872}"/>
    <cellStyle name="Normal 10 3 3 2 2 2" xfId="12698" xr:uid="{DAF1F8A6-6D09-48E6-B148-6043771E9348}"/>
    <cellStyle name="Normal 10 3 3 2 2 2 2" xfId="29458" xr:uid="{B679FF4E-DDE9-457F-92B6-60892EB8EDF2}"/>
    <cellStyle name="Normal 10 3 3 2 2 2 3" xfId="46217" xr:uid="{043813DD-08B6-47C2-9B5B-2E3B5D22B50B}"/>
    <cellStyle name="Normal 10 3 3 2 2 3" xfId="21078" xr:uid="{D67CBE53-B90C-4A72-B72F-5DE14DC2BFA1}"/>
    <cellStyle name="Normal 10 3 3 2 2 4" xfId="37837" xr:uid="{86E97697-885F-40A2-ADAB-870A9B4D8521}"/>
    <cellStyle name="Normal 10 3 3 2 3" xfId="6005" xr:uid="{13A1D089-C8EC-48EA-80AB-33C37FBC7D72}"/>
    <cellStyle name="Normal 10 3 3 2 3 2" xfId="14385" xr:uid="{06729121-B929-459E-9601-67D8614D22CD}"/>
    <cellStyle name="Normal 10 3 3 2 3 2 2" xfId="31145" xr:uid="{87EFF450-BFCC-4B22-9394-E88CBFF7A86C}"/>
    <cellStyle name="Normal 10 3 3 2 3 2 3" xfId="47904" xr:uid="{50FE4344-EE32-4677-A926-5EACE24ED5E6}"/>
    <cellStyle name="Normal 10 3 3 2 3 3" xfId="22765" xr:uid="{07B89FBC-A59B-4EF6-AF6A-BC6B31B0379C}"/>
    <cellStyle name="Normal 10 3 3 2 3 4" xfId="39524" xr:uid="{BCBAB9A5-FB06-4F84-BB5E-C34C1179C936}"/>
    <cellStyle name="Normal 10 3 3 2 4" xfId="2741" xr:uid="{488A79FE-788B-4F92-AF74-053709801F04}"/>
    <cellStyle name="Normal 10 3 3 2 4 2" xfId="11121" xr:uid="{5F8FBC31-85E1-4974-B5BE-0C0EF83BBE06}"/>
    <cellStyle name="Normal 10 3 3 2 4 2 2" xfId="27881" xr:uid="{E9E5288B-365A-4B46-95EF-9185B925EB38}"/>
    <cellStyle name="Normal 10 3 3 2 4 2 3" xfId="44640" xr:uid="{6C1BD374-73E9-48D0-833F-DB7D1A25CFB0}"/>
    <cellStyle name="Normal 10 3 3 2 4 3" xfId="19501" xr:uid="{BF241CA4-726C-4208-836C-5B8AEE0711B1}"/>
    <cellStyle name="Normal 10 3 3 2 4 4" xfId="36260" xr:uid="{F5C8B302-D493-4CC3-9661-FCE7C7A6000C}"/>
    <cellStyle name="Normal 10 3 3 2 5" xfId="9318" xr:uid="{0A7AC6A9-8646-4DBE-AA45-56FF593C2189}"/>
    <cellStyle name="Normal 10 3 3 2 5 2" xfId="26078" xr:uid="{D970A483-D7BC-429D-883B-74BC0712126D}"/>
    <cellStyle name="Normal 10 3 3 2 5 3" xfId="42837" xr:uid="{7C746005-D9E3-4BF0-AF81-F2DF1F929842}"/>
    <cellStyle name="Normal 10 3 3 2 6" xfId="17698" xr:uid="{C95CADB1-5B7D-4E1C-9329-B96ED7C5C99A}"/>
    <cellStyle name="Normal 10 3 3 2 7" xfId="34457" xr:uid="{3686868F-CE08-4716-8AE0-0BAD7A77FBC8}"/>
    <cellStyle name="Normal 10 3 3 3" xfId="1357" xr:uid="{A0629125-2653-4F9D-86FE-FD472CA24332}"/>
    <cellStyle name="Normal 10 3 3 3 2" xfId="4746" xr:uid="{6C20FF32-0BC8-4FA1-B168-86F8B9F7B4C1}"/>
    <cellStyle name="Normal 10 3 3 3 2 2" xfId="13126" xr:uid="{E2838950-7FEF-4DFC-ADFC-FB4B75FF1C21}"/>
    <cellStyle name="Normal 10 3 3 3 2 2 2" xfId="29886" xr:uid="{DA813D38-2F8A-442A-B094-2331075C2188}"/>
    <cellStyle name="Normal 10 3 3 3 2 2 3" xfId="46645" xr:uid="{0575F2B0-F0F4-45A6-9AEF-02BCCACF65D2}"/>
    <cellStyle name="Normal 10 3 3 3 2 3" xfId="21506" xr:uid="{3AA3ACC1-ED54-4B6B-95B7-AA1918ECD1A1}"/>
    <cellStyle name="Normal 10 3 3 3 2 4" xfId="38265" xr:uid="{BBFF1110-4BF0-400A-AF2B-CCF44C867FCA}"/>
    <cellStyle name="Normal 10 3 3 3 3" xfId="6433" xr:uid="{BDD0488B-234B-4318-BE60-008AE4D23ABD}"/>
    <cellStyle name="Normal 10 3 3 3 3 2" xfId="14813" xr:uid="{7427F017-5AA2-4A10-921C-01007385943B}"/>
    <cellStyle name="Normal 10 3 3 3 3 2 2" xfId="31573" xr:uid="{DD848FE8-C049-4741-AF81-20548D5F9994}"/>
    <cellStyle name="Normal 10 3 3 3 3 2 3" xfId="48332" xr:uid="{4DD71A0F-BB9F-4715-A0A2-4EB8059F3E90}"/>
    <cellStyle name="Normal 10 3 3 3 3 3" xfId="23193" xr:uid="{604A21D5-A084-4A02-BF93-A6EC1322012C}"/>
    <cellStyle name="Normal 10 3 3 3 3 4" xfId="39952" xr:uid="{2AC09AC8-AD54-41D0-BA89-D4A3DA74481A}"/>
    <cellStyle name="Normal 10 3 3 3 4" xfId="3169" xr:uid="{C6EE277A-CBF1-4EBE-8C7D-F7B42D7CC38C}"/>
    <cellStyle name="Normal 10 3 3 3 4 2" xfId="11549" xr:uid="{CC77025E-BBFB-4FE3-B492-7D3D4B922853}"/>
    <cellStyle name="Normal 10 3 3 3 4 2 2" xfId="28309" xr:uid="{0613A36E-FDCE-46E4-BA2B-E8D7C4A0D4B2}"/>
    <cellStyle name="Normal 10 3 3 3 4 2 3" xfId="45068" xr:uid="{85487FC7-35D8-4009-AF40-491C97309EF5}"/>
    <cellStyle name="Normal 10 3 3 3 4 3" xfId="19929" xr:uid="{9B5A30AA-3BDA-4D46-867A-B835AE2E31DB}"/>
    <cellStyle name="Normal 10 3 3 3 4 4" xfId="36688" xr:uid="{3B117E0E-1D81-4C60-8400-841C08304D6F}"/>
    <cellStyle name="Normal 10 3 3 3 5" xfId="9746" xr:uid="{DE65C174-B11D-409B-AFF6-F7A22E90F492}"/>
    <cellStyle name="Normal 10 3 3 3 5 2" xfId="26506" xr:uid="{A35D625A-8CBE-46AF-B606-B271420F9EC2}"/>
    <cellStyle name="Normal 10 3 3 3 5 3" xfId="43265" xr:uid="{E299C1AC-E773-4EAD-82EC-6217041E3DC7}"/>
    <cellStyle name="Normal 10 3 3 3 6" xfId="18126" xr:uid="{DB307E9B-C468-45E5-A975-E43F03D426CC}"/>
    <cellStyle name="Normal 10 3 3 3 7" xfId="34885" xr:uid="{FC575BE7-8AFD-4C73-9A71-3E4E558EFD9E}"/>
    <cellStyle name="Normal 10 3 3 4" xfId="1773" xr:uid="{E20BF2A4-F438-4C14-A204-863C0AAAC150}"/>
    <cellStyle name="Normal 10 3 3 4 2" xfId="5162" xr:uid="{306E7419-7F70-40F0-923B-BD5215FF15E2}"/>
    <cellStyle name="Normal 10 3 3 4 2 2" xfId="13542" xr:uid="{561B73A0-AD03-4DB8-9742-C864352A56DD}"/>
    <cellStyle name="Normal 10 3 3 4 2 2 2" xfId="30302" xr:uid="{4B169D95-B600-44CB-A5B9-18797D1DD608}"/>
    <cellStyle name="Normal 10 3 3 4 2 2 3" xfId="47061" xr:uid="{4532C074-8F12-4E21-8C9A-6D6963C82464}"/>
    <cellStyle name="Normal 10 3 3 4 2 3" xfId="21922" xr:uid="{FBC626F5-D1B3-4999-8097-A24844C6628C}"/>
    <cellStyle name="Normal 10 3 3 4 2 4" xfId="38681" xr:uid="{00DCBD4A-6DD7-409A-9CD7-F8B7E1F4B7EA}"/>
    <cellStyle name="Normal 10 3 3 4 3" xfId="6849" xr:uid="{FCB8479B-C199-4A8A-AE35-6F10CE44789B}"/>
    <cellStyle name="Normal 10 3 3 4 3 2" xfId="15229" xr:uid="{14A22D94-6487-4827-9FAC-5FB0AD725D83}"/>
    <cellStyle name="Normal 10 3 3 4 3 2 2" xfId="31989" xr:uid="{B2F5A4E4-1F7C-4FB8-9E8A-41CD3DDF8B86}"/>
    <cellStyle name="Normal 10 3 3 4 3 2 3" xfId="48748" xr:uid="{A9D21274-C331-4300-B349-BC5448636771}"/>
    <cellStyle name="Normal 10 3 3 4 3 3" xfId="23609" xr:uid="{35200985-B165-4E5D-8F90-071466AAACE7}"/>
    <cellStyle name="Normal 10 3 3 4 3 4" xfId="40368" xr:uid="{0FEFF14C-1DA4-4ABE-AF3D-F7B66DC92647}"/>
    <cellStyle name="Normal 10 3 3 4 4" xfId="3473" xr:uid="{B4FDE83B-500A-4EE3-B036-C199FD0320E6}"/>
    <cellStyle name="Normal 10 3 3 4 4 2" xfId="11853" xr:uid="{2F7CCE61-6F27-4281-83F1-C8D9B52E1696}"/>
    <cellStyle name="Normal 10 3 3 4 4 2 2" xfId="28613" xr:uid="{3E6A1992-CA67-4275-A47E-5FC92C475733}"/>
    <cellStyle name="Normal 10 3 3 4 4 2 3" xfId="45372" xr:uid="{66BB0019-6F4A-4195-AF98-49AF9F674577}"/>
    <cellStyle name="Normal 10 3 3 4 4 3" xfId="20233" xr:uid="{02066A97-134A-4C67-8AE8-B3C5F5DA7D31}"/>
    <cellStyle name="Normal 10 3 3 4 4 4" xfId="36992" xr:uid="{A3B1C064-97CC-41CC-A393-F186727959DF}"/>
    <cellStyle name="Normal 10 3 3 4 5" xfId="10162" xr:uid="{AB54C025-630E-41FF-BA63-4A71229D9B00}"/>
    <cellStyle name="Normal 10 3 3 4 5 2" xfId="26922" xr:uid="{52DC3160-1F1E-4D25-A08A-A924DC41E32E}"/>
    <cellStyle name="Normal 10 3 3 4 5 3" xfId="43681" xr:uid="{2CF0A67A-9D56-4F31-B46D-6C0B8FA83DDD}"/>
    <cellStyle name="Normal 10 3 3 4 6" xfId="18542" xr:uid="{D339B2A4-3B5F-46D0-A665-7D9F09BA3BE5}"/>
    <cellStyle name="Normal 10 3 3 4 7" xfId="35301" xr:uid="{A313B504-A9E9-4DB9-B100-96A214D380B5}"/>
    <cellStyle name="Normal 10 3 3 5" xfId="3892" xr:uid="{7FA0F569-127C-4DBF-9432-D6E54A2E6297}"/>
    <cellStyle name="Normal 10 3 3 5 2" xfId="12272" xr:uid="{A66F13B2-B0D9-4701-B16F-262871C12AE3}"/>
    <cellStyle name="Normal 10 3 3 5 2 2" xfId="29032" xr:uid="{3BAC3746-432A-4FBD-8FEC-4DDD4F0C92DD}"/>
    <cellStyle name="Normal 10 3 3 5 2 3" xfId="45791" xr:uid="{72EC63F7-DAB8-426E-8312-A5DE4D610BDD}"/>
    <cellStyle name="Normal 10 3 3 5 3" xfId="20652" xr:uid="{A62B9187-22EF-40E7-8932-DDE9B8541D91}"/>
    <cellStyle name="Normal 10 3 3 5 4" xfId="37411" xr:uid="{21D42082-7047-44ED-AEFE-A706A008C1A5}"/>
    <cellStyle name="Normal 10 3 3 6" xfId="5579" xr:uid="{A92ADC96-62E7-49EC-937A-8DFF573E459F}"/>
    <cellStyle name="Normal 10 3 3 6 2" xfId="13959" xr:uid="{A235E8F3-2BFD-47CE-B252-9F2B4109F267}"/>
    <cellStyle name="Normal 10 3 3 6 2 2" xfId="30719" xr:uid="{6A8C049D-96BF-4AE3-ACA3-9F437FD802E1}"/>
    <cellStyle name="Normal 10 3 3 6 2 3" xfId="47478" xr:uid="{6B6E5B6B-BCC6-4DCA-B7A9-C9AAF0447A0D}"/>
    <cellStyle name="Normal 10 3 3 6 3" xfId="22339" xr:uid="{F39E8E3E-B254-45A5-968C-D918F92C6D10}"/>
    <cellStyle name="Normal 10 3 3 6 4" xfId="39098" xr:uid="{D7FAB01B-48A6-42CE-9793-55F44AA5A359}"/>
    <cellStyle name="Normal 10 3 3 7" xfId="7255" xr:uid="{78C6108D-F617-4D75-85C2-5DE724C30548}"/>
    <cellStyle name="Normal 10 3 3 7 2" xfId="15635" xr:uid="{FA241DDF-A341-4054-B8C7-055DF83142B2}"/>
    <cellStyle name="Normal 10 3 3 7 2 2" xfId="32395" xr:uid="{ABB24FB9-C7EA-44FC-986F-794A36420060}"/>
    <cellStyle name="Normal 10 3 3 7 2 3" xfId="49154" xr:uid="{BAB2BB38-E8F0-4C71-AC27-785BC9C61369}"/>
    <cellStyle name="Normal 10 3 3 7 3" xfId="24015" xr:uid="{998284D7-C019-4CB1-ACE0-9B5CCCB53BF9}"/>
    <cellStyle name="Normal 10 3 3 7 4" xfId="40774" xr:uid="{1CA3E74D-DF63-4EE3-B6AA-E8CC2F93E552}"/>
    <cellStyle name="Normal 10 3 3 8" xfId="7661" xr:uid="{1F3F573F-4DE7-4608-957E-A094FE7294A2}"/>
    <cellStyle name="Normal 10 3 3 8 2" xfId="16041" xr:uid="{7E928B5E-82B4-43BF-8F65-8FE51EEA6FEB}"/>
    <cellStyle name="Normal 10 3 3 8 2 2" xfId="32801" xr:uid="{2E6A3753-9889-4AD5-8FBF-CC196A2FD288}"/>
    <cellStyle name="Normal 10 3 3 8 2 3" xfId="49560" xr:uid="{7FA0E253-5936-433A-81C5-096676A237EE}"/>
    <cellStyle name="Normal 10 3 3 8 3" xfId="24421" xr:uid="{76E341B8-FC2C-4DD8-9F6D-51EEF7C05369}"/>
    <cellStyle name="Normal 10 3 3 8 4" xfId="41180" xr:uid="{E0FD87E0-A5F8-47A8-BCBB-108256E94C71}"/>
    <cellStyle name="Normal 10 3 3 9" xfId="8067" xr:uid="{B53E1DD6-BEEC-4655-A87A-70434939F082}"/>
    <cellStyle name="Normal 10 3 3 9 2" xfId="16447" xr:uid="{2EAA19D3-5E86-4EE3-BE01-B525C75426AC}"/>
    <cellStyle name="Normal 10 3 3 9 2 2" xfId="33207" xr:uid="{4DD01D85-8947-4E10-AACB-90A8CC582527}"/>
    <cellStyle name="Normal 10 3 3 9 2 3" xfId="49966" xr:uid="{D644DC1A-F3C3-4D78-9C5E-C3509A80E49F}"/>
    <cellStyle name="Normal 10 3 3 9 3" xfId="24827" xr:uid="{6137EDA8-6C52-4ED5-AC10-AEF8BDE83DED}"/>
    <cellStyle name="Normal 10 3 3 9 4" xfId="41586" xr:uid="{A5CE3630-B6DD-4BE7-93BB-585E453B5057}"/>
    <cellStyle name="Normal 10 3 4" xfId="482" xr:uid="{5F61DDD5-9E20-45E5-9B49-F0BBF5742CD5}"/>
    <cellStyle name="Normal 10 3 4 10" xfId="8625" xr:uid="{52D18B39-012A-4AE4-AEC5-C4DBDD8AF27C}"/>
    <cellStyle name="Normal 10 3 4 10 2" xfId="17005" xr:uid="{422F0482-A0ED-4306-9462-E8EFE9442BA0}"/>
    <cellStyle name="Normal 10 3 4 10 2 2" xfId="33765" xr:uid="{781DA0E8-A137-4DDC-A013-EBAE7EA3B1D6}"/>
    <cellStyle name="Normal 10 3 4 10 2 3" xfId="50524" xr:uid="{90E80546-68BE-4E7D-A8D8-B9EB9C838FF1}"/>
    <cellStyle name="Normal 10 3 4 10 3" xfId="25385" xr:uid="{E8A7CCA3-410C-49B4-933B-59EC91326413}"/>
    <cellStyle name="Normal 10 3 4 10 4" xfId="42144" xr:uid="{F0C65DB5-AB59-4A45-BAB7-60ED312BB52D}"/>
    <cellStyle name="Normal 10 3 4 11" xfId="2314" xr:uid="{49CDE6F7-0423-442C-8691-C404C1BAC24B}"/>
    <cellStyle name="Normal 10 3 4 11 2" xfId="10696" xr:uid="{7D3FA5BD-393C-47B0-97E6-456B8C6FA236}"/>
    <cellStyle name="Normal 10 3 4 11 2 2" xfId="27456" xr:uid="{B7A83B4B-CBAC-4524-848F-DF11012B672C}"/>
    <cellStyle name="Normal 10 3 4 11 2 3" xfId="44215" xr:uid="{246CB4B1-EE17-46CB-B5AD-F366F80E66D4}"/>
    <cellStyle name="Normal 10 3 4 11 3" xfId="19076" xr:uid="{20C82AF4-1F2E-48A4-8CDE-04B4216D6EA1}"/>
    <cellStyle name="Normal 10 3 4 11 4" xfId="35835" xr:uid="{DDEC94E4-813B-4466-931A-0F858C4C8A23}"/>
    <cellStyle name="Normal 10 3 4 12" xfId="8893" xr:uid="{4047159F-BF4A-444B-88BC-070FDF08E906}"/>
    <cellStyle name="Normal 10 3 4 12 2" xfId="25653" xr:uid="{7A03472C-749D-404D-AC4F-B503E4D05F30}"/>
    <cellStyle name="Normal 10 3 4 12 3" xfId="42412" xr:uid="{E5D66392-38DC-4DFF-AB0C-EE2BFEEBF648}"/>
    <cellStyle name="Normal 10 3 4 13" xfId="17273" xr:uid="{4C87DDE7-0DF5-4716-86AF-99E6282D966E}"/>
    <cellStyle name="Normal 10 3 4 14" xfId="34032" xr:uid="{ADFD0C64-E9BC-48FA-BB5F-4221648C4C78}"/>
    <cellStyle name="Normal 10 3 4 2" xfId="924" xr:uid="{8F3AFD3F-BCF7-4D6F-B0E1-987E5E025EB3}"/>
    <cellStyle name="Normal 10 3 4 2 2" xfId="4319" xr:uid="{19C02B9A-3C87-4739-9C8F-33CB1527EBBC}"/>
    <cellStyle name="Normal 10 3 4 2 2 2" xfId="12699" xr:uid="{DFB12813-A50F-45D5-A7B3-6455BFD4E030}"/>
    <cellStyle name="Normal 10 3 4 2 2 2 2" xfId="29459" xr:uid="{F1D87274-A4F0-4CF8-BB86-60343C10C2FE}"/>
    <cellStyle name="Normal 10 3 4 2 2 2 3" xfId="46218" xr:uid="{F1B524DB-D995-415E-A20A-E0CD34655355}"/>
    <cellStyle name="Normal 10 3 4 2 2 3" xfId="21079" xr:uid="{21DD24FA-098E-41A8-AD46-F07B0DF52B01}"/>
    <cellStyle name="Normal 10 3 4 2 2 4" xfId="37838" xr:uid="{5E30063B-0270-4DF7-9622-F190751826C6}"/>
    <cellStyle name="Normal 10 3 4 2 3" xfId="6006" xr:uid="{0C5899EA-A87F-4E1C-A8F8-9C11F4D031B0}"/>
    <cellStyle name="Normal 10 3 4 2 3 2" xfId="14386" xr:uid="{66E5935C-19B1-442F-A9EC-8E91E8F68D0A}"/>
    <cellStyle name="Normal 10 3 4 2 3 2 2" xfId="31146" xr:uid="{F3A09AB2-B3D8-4702-AB92-DEF622EBC4C0}"/>
    <cellStyle name="Normal 10 3 4 2 3 2 3" xfId="47905" xr:uid="{44C99A27-FC6B-4030-99E9-4DF5F774DCDC}"/>
    <cellStyle name="Normal 10 3 4 2 3 3" xfId="22766" xr:uid="{B104C705-16EB-498C-B363-CB469078E0B3}"/>
    <cellStyle name="Normal 10 3 4 2 3 4" xfId="39525" xr:uid="{DBE3453F-4056-4FC6-A1BE-7001E5CC2D70}"/>
    <cellStyle name="Normal 10 3 4 2 4" xfId="2742" xr:uid="{E8EDEF0C-23FA-4993-8FC2-E0E314C50418}"/>
    <cellStyle name="Normal 10 3 4 2 4 2" xfId="11122" xr:uid="{E4475086-8D0A-4A2B-9113-B8780F85729F}"/>
    <cellStyle name="Normal 10 3 4 2 4 2 2" xfId="27882" xr:uid="{CAAB20FF-0A92-4DC8-BAE4-865656D19A8B}"/>
    <cellStyle name="Normal 10 3 4 2 4 2 3" xfId="44641" xr:uid="{AC6F1CE4-7B8C-4482-9980-11F80988A9E8}"/>
    <cellStyle name="Normal 10 3 4 2 4 3" xfId="19502" xr:uid="{124E0B3A-512C-42CE-8BDA-88758403FAE6}"/>
    <cellStyle name="Normal 10 3 4 2 4 4" xfId="36261" xr:uid="{CB099F10-9985-4FDD-96D9-5C84BA53B3F3}"/>
    <cellStyle name="Normal 10 3 4 2 5" xfId="9319" xr:uid="{95FFC2BA-6A84-43B3-AD12-77FDC6ADA751}"/>
    <cellStyle name="Normal 10 3 4 2 5 2" xfId="26079" xr:uid="{7756AAE2-2544-48FE-9E72-A31A85FE6F3F}"/>
    <cellStyle name="Normal 10 3 4 2 5 3" xfId="42838" xr:uid="{74507D1E-7356-423C-AF32-51F248675E2A}"/>
    <cellStyle name="Normal 10 3 4 2 6" xfId="17699" xr:uid="{2CF5FCE9-85C5-4BFB-8EA2-8C358E27374B}"/>
    <cellStyle name="Normal 10 3 4 2 7" xfId="34458" xr:uid="{FD0371AA-9E4B-4F21-B8AF-56355483374B}"/>
    <cellStyle name="Normal 10 3 4 3" xfId="1358" xr:uid="{CF21173F-7E7D-41A4-9C04-B98BAC9A5687}"/>
    <cellStyle name="Normal 10 3 4 3 2" xfId="4747" xr:uid="{D3F1613B-E370-4BC7-B2FD-B00A757DE95A}"/>
    <cellStyle name="Normal 10 3 4 3 2 2" xfId="13127" xr:uid="{2BC8EB8F-2262-4B8A-B6DC-ED9995041677}"/>
    <cellStyle name="Normal 10 3 4 3 2 2 2" xfId="29887" xr:uid="{39A2E244-99BF-4850-9213-B87C39E14E56}"/>
    <cellStyle name="Normal 10 3 4 3 2 2 3" xfId="46646" xr:uid="{696A4B29-2FE1-4005-B359-DD99D3BAD3E4}"/>
    <cellStyle name="Normal 10 3 4 3 2 3" xfId="21507" xr:uid="{D9D7E3EB-2F79-4305-96FA-6AE2C69E284F}"/>
    <cellStyle name="Normal 10 3 4 3 2 4" xfId="38266" xr:uid="{B1188737-7F90-44A6-BA55-60BCF8112763}"/>
    <cellStyle name="Normal 10 3 4 3 3" xfId="6434" xr:uid="{E9E3A38D-280F-4676-90C8-97AF1A12079F}"/>
    <cellStyle name="Normal 10 3 4 3 3 2" xfId="14814" xr:uid="{CE663251-CD88-4F28-BDE8-7D625DFEC7FD}"/>
    <cellStyle name="Normal 10 3 4 3 3 2 2" xfId="31574" xr:uid="{91E53020-85BD-4587-8D9E-265798EC590C}"/>
    <cellStyle name="Normal 10 3 4 3 3 2 3" xfId="48333" xr:uid="{351AACD0-58D5-46DA-9DBB-6A544FDAB698}"/>
    <cellStyle name="Normal 10 3 4 3 3 3" xfId="23194" xr:uid="{1C4E4B77-FF5A-494B-BF48-B401266085FB}"/>
    <cellStyle name="Normal 10 3 4 3 3 4" xfId="39953" xr:uid="{90D5FF1F-4606-4FAA-AC4F-4388561973D8}"/>
    <cellStyle name="Normal 10 3 4 3 4" xfId="3170" xr:uid="{190B3220-2E20-469C-A1CC-41D10971B904}"/>
    <cellStyle name="Normal 10 3 4 3 4 2" xfId="11550" xr:uid="{52CF1D96-93AD-4F49-AA31-FE0B8709AC4B}"/>
    <cellStyle name="Normal 10 3 4 3 4 2 2" xfId="28310" xr:uid="{35253B1C-C4F6-42AA-A9C7-18969FE10E35}"/>
    <cellStyle name="Normal 10 3 4 3 4 2 3" xfId="45069" xr:uid="{CEFBDBE4-8D08-4C81-8175-B32A2B0C5446}"/>
    <cellStyle name="Normal 10 3 4 3 4 3" xfId="19930" xr:uid="{D0198477-4C6B-4984-B389-FFDF3D402601}"/>
    <cellStyle name="Normal 10 3 4 3 4 4" xfId="36689" xr:uid="{99F383DE-23A9-4890-A51F-EFBF583BDE18}"/>
    <cellStyle name="Normal 10 3 4 3 5" xfId="9747" xr:uid="{CDB7F73B-FCAE-4FCB-8AE1-AA8E6996BA70}"/>
    <cellStyle name="Normal 10 3 4 3 5 2" xfId="26507" xr:uid="{7CA768C1-2478-4D80-9CE9-030F881A0775}"/>
    <cellStyle name="Normal 10 3 4 3 5 3" xfId="43266" xr:uid="{0CA0160F-68C0-49FD-B2C9-04EB09483974}"/>
    <cellStyle name="Normal 10 3 4 3 6" xfId="18127" xr:uid="{407C00D5-228E-43D1-A118-0BA8A567666B}"/>
    <cellStyle name="Normal 10 3 4 3 7" xfId="34886" xr:uid="{44507D5C-E093-4B66-B685-7F393376E905}"/>
    <cellStyle name="Normal 10 3 4 4" xfId="1925" xr:uid="{7D38C05F-2604-4C07-9F42-81DE2340ABA4}"/>
    <cellStyle name="Normal 10 3 4 4 2" xfId="5314" xr:uid="{CD20A732-1199-46AD-A9E6-430B4D5EC8C3}"/>
    <cellStyle name="Normal 10 3 4 4 2 2" xfId="13694" xr:uid="{B07A7199-F786-4645-8C3D-51FAB6D7CAB2}"/>
    <cellStyle name="Normal 10 3 4 4 2 2 2" xfId="30454" xr:uid="{8A8A6AE5-BFB7-42F6-914C-0D964A07C5C5}"/>
    <cellStyle name="Normal 10 3 4 4 2 2 3" xfId="47213" xr:uid="{3295472B-5C2F-42F9-ABF5-0193B13BE6A3}"/>
    <cellStyle name="Normal 10 3 4 4 2 3" xfId="22074" xr:uid="{C7B3D5B3-5AAC-4F77-93DE-F40FA2E82D73}"/>
    <cellStyle name="Normal 10 3 4 4 2 4" xfId="38833" xr:uid="{F7230555-55C6-42C0-8DC8-B34C8815AE23}"/>
    <cellStyle name="Normal 10 3 4 4 3" xfId="7001" xr:uid="{C0695C08-0096-45C2-86A9-12C62B680DE6}"/>
    <cellStyle name="Normal 10 3 4 4 3 2" xfId="15381" xr:uid="{830EE4F0-6341-40A0-A274-ED2CA510E50D}"/>
    <cellStyle name="Normal 10 3 4 4 3 2 2" xfId="32141" xr:uid="{40A0C99B-55D2-461C-8A80-E89E275A6E21}"/>
    <cellStyle name="Normal 10 3 4 4 3 2 3" xfId="48900" xr:uid="{E62E8466-AEEE-459F-B159-630E93EB407A}"/>
    <cellStyle name="Normal 10 3 4 4 3 3" xfId="23761" xr:uid="{B18784B5-2319-475B-8AA5-535B9AC75884}"/>
    <cellStyle name="Normal 10 3 4 4 3 4" xfId="40520" xr:uid="{C5891DB4-DCAF-44B4-A270-DA64E68B5931}"/>
    <cellStyle name="Normal 10 3 4 4 4" xfId="3624" xr:uid="{7535275E-18C3-478B-A19A-126FB1BECE12}"/>
    <cellStyle name="Normal 10 3 4 4 4 2" xfId="12004" xr:uid="{33F21060-6A14-4B49-A993-1FE14D2168B4}"/>
    <cellStyle name="Normal 10 3 4 4 4 2 2" xfId="28764" xr:uid="{DE87E300-DBF3-4F4F-8AFC-6D92BD3930C9}"/>
    <cellStyle name="Normal 10 3 4 4 4 2 3" xfId="45523" xr:uid="{1ED8FCF2-8FF3-4BB2-8AB8-32B05E7D445C}"/>
    <cellStyle name="Normal 10 3 4 4 4 3" xfId="20384" xr:uid="{46DB77B7-1BB3-4601-9484-39B8506DE1DE}"/>
    <cellStyle name="Normal 10 3 4 4 4 4" xfId="37143" xr:uid="{3A4421BF-F985-4177-8309-74CF2CA9D57B}"/>
    <cellStyle name="Normal 10 3 4 4 5" xfId="10314" xr:uid="{9ABBF549-12E9-4817-82B1-5AB955DEFDBC}"/>
    <cellStyle name="Normal 10 3 4 4 5 2" xfId="27074" xr:uid="{1A79DDCE-70E4-4987-BAD9-CF752C13A3F9}"/>
    <cellStyle name="Normal 10 3 4 4 5 3" xfId="43833" xr:uid="{0B69C725-81C5-4980-918C-038139F2ED21}"/>
    <cellStyle name="Normal 10 3 4 4 6" xfId="18694" xr:uid="{09831DB8-E913-4C99-AA1D-E188424FC4AE}"/>
    <cellStyle name="Normal 10 3 4 4 7" xfId="35453" xr:uid="{81C89317-52BF-4316-A69A-8D8DD65BFB0D}"/>
    <cellStyle name="Normal 10 3 4 5" xfId="4044" xr:uid="{027C1A7A-B2EC-4170-B926-ACC20120887A}"/>
    <cellStyle name="Normal 10 3 4 5 2" xfId="12424" xr:uid="{70344B00-03D2-41DF-A3C6-EC009F71DBFA}"/>
    <cellStyle name="Normal 10 3 4 5 2 2" xfId="29184" xr:uid="{041D3B1B-7B74-4418-A37A-912B934D98A2}"/>
    <cellStyle name="Normal 10 3 4 5 2 3" xfId="45943" xr:uid="{1E5F42FA-C2D5-4FF9-9D11-9F9BF958B0E4}"/>
    <cellStyle name="Normal 10 3 4 5 3" xfId="20804" xr:uid="{9982B60F-03F7-4737-915A-148D9C990ACB}"/>
    <cellStyle name="Normal 10 3 4 5 4" xfId="37563" xr:uid="{B9F6C6BF-198B-4A52-B71F-20D16378404A}"/>
    <cellStyle name="Normal 10 3 4 6" xfId="5580" xr:uid="{27C56611-CF5A-4325-B02A-45BF0E9DC9D6}"/>
    <cellStyle name="Normal 10 3 4 6 2" xfId="13960" xr:uid="{07BA42F6-CB34-4ADA-A818-E6A827BD5626}"/>
    <cellStyle name="Normal 10 3 4 6 2 2" xfId="30720" xr:uid="{12E52871-0CC2-45F3-9F97-F0654A256C61}"/>
    <cellStyle name="Normal 10 3 4 6 2 3" xfId="47479" xr:uid="{30E2597D-4406-4320-AD3C-BF810240DF9C}"/>
    <cellStyle name="Normal 10 3 4 6 3" xfId="22340" xr:uid="{3A19B970-E85C-4508-B844-33900D5D6396}"/>
    <cellStyle name="Normal 10 3 4 6 4" xfId="39099" xr:uid="{F8B88CE5-1B0D-48C9-B272-014BEF620D59}"/>
    <cellStyle name="Normal 10 3 4 7" xfId="7407" xr:uid="{3E69B8D6-831D-44A3-8B59-72CA5A1B1A7B}"/>
    <cellStyle name="Normal 10 3 4 7 2" xfId="15787" xr:uid="{B4E352B9-DDAF-48EF-B1DA-668382917FAE}"/>
    <cellStyle name="Normal 10 3 4 7 2 2" xfId="32547" xr:uid="{57565AF6-676C-4795-B48E-EBA345228677}"/>
    <cellStyle name="Normal 10 3 4 7 2 3" xfId="49306" xr:uid="{C46EB8D5-A89E-46CA-8DBF-231EC6B85A86}"/>
    <cellStyle name="Normal 10 3 4 7 3" xfId="24167" xr:uid="{38F4ED83-4A25-4CE3-8D04-6B70C5FAA333}"/>
    <cellStyle name="Normal 10 3 4 7 4" xfId="40926" xr:uid="{73E6EA20-E58C-49BB-A95E-AD494DCB8DFF}"/>
    <cellStyle name="Normal 10 3 4 8" xfId="7813" xr:uid="{186587DD-B84D-416C-8995-2AD555A7B23D}"/>
    <cellStyle name="Normal 10 3 4 8 2" xfId="16193" xr:uid="{94A7AEF8-887B-43B6-A7C4-38CBDDD07AA6}"/>
    <cellStyle name="Normal 10 3 4 8 2 2" xfId="32953" xr:uid="{72294939-335E-4C78-A228-900ACC5EC892}"/>
    <cellStyle name="Normal 10 3 4 8 2 3" xfId="49712" xr:uid="{0BB5B5A2-0088-4507-8992-892ABD8F4107}"/>
    <cellStyle name="Normal 10 3 4 8 3" xfId="24573" xr:uid="{2EE42F5B-E993-4E57-B1E2-5B6961252A29}"/>
    <cellStyle name="Normal 10 3 4 8 4" xfId="41332" xr:uid="{9013C3DE-5F16-4BED-9351-E168EB7C4379}"/>
    <cellStyle name="Normal 10 3 4 9" xfId="8219" xr:uid="{671B2BD0-4072-4924-95A1-3349AF68FC76}"/>
    <cellStyle name="Normal 10 3 4 9 2" xfId="16599" xr:uid="{E3078A09-9FA6-413C-99D8-F19E20904B98}"/>
    <cellStyle name="Normal 10 3 4 9 2 2" xfId="33359" xr:uid="{766DEBCA-5AC0-44F9-8E41-4E202F54976E}"/>
    <cellStyle name="Normal 10 3 4 9 2 3" xfId="50118" xr:uid="{F04F8E1B-9168-4631-8446-28B5A4B2BF47}"/>
    <cellStyle name="Normal 10 3 4 9 3" xfId="24979" xr:uid="{8128318B-48C5-42B0-A484-CEDF8E94624A}"/>
    <cellStyle name="Normal 10 3 4 9 4" xfId="41738" xr:uid="{8B9D6407-C532-4DA0-892C-AAF8E3D92322}"/>
    <cellStyle name="Normal 10 3 5" xfId="54" xr:uid="{B08EDDD1-F9F2-47E0-BBAA-368430898F91}"/>
    <cellStyle name="Normal 10 3 5 2" xfId="4189" xr:uid="{975DDFA0-5796-4A9D-B46D-770ACD71404F}"/>
    <cellStyle name="Normal 10 3 5 2 2" xfId="12569" xr:uid="{1809CCCD-8224-438C-8CAE-A84DD1842C3D}"/>
    <cellStyle name="Normal 10 3 5 2 2 2" xfId="29329" xr:uid="{C05A450B-D486-4D04-90B1-E6988EB4555B}"/>
    <cellStyle name="Normal 10 3 5 2 2 3" xfId="46088" xr:uid="{05F99799-9A50-41F4-ABB0-7C76309FEE5F}"/>
    <cellStyle name="Normal 10 3 5 2 3" xfId="20949" xr:uid="{957CCC66-B803-4798-800E-8C12C9BE3236}"/>
    <cellStyle name="Normal 10 3 5 2 4" xfId="37708" xr:uid="{E7E162A9-FB42-41AD-BB18-1BC0B5502B91}"/>
    <cellStyle name="Normal 10 3 5 3" xfId="5876" xr:uid="{EB18CFEC-FB2E-4386-B4A3-048F49D5B4B3}"/>
    <cellStyle name="Normal 10 3 5 3 2" xfId="14256" xr:uid="{069BC0A7-0FEA-40A6-B3BC-B5DD40800014}"/>
    <cellStyle name="Normal 10 3 5 3 2 2" xfId="31016" xr:uid="{70174FF1-6D85-47A1-8C6C-40F0FAD7F9FE}"/>
    <cellStyle name="Normal 10 3 5 3 2 3" xfId="47775" xr:uid="{CF059104-7A54-4AD4-B964-741167D9D5D2}"/>
    <cellStyle name="Normal 10 3 5 3 3" xfId="22636" xr:uid="{FE41281E-0BA5-445C-8D25-7063E45B1AD7}"/>
    <cellStyle name="Normal 10 3 5 3 4" xfId="39395" xr:uid="{BA6619ED-3DF8-4574-BD17-69073C6FF588}"/>
    <cellStyle name="Normal 10 3 5 4" xfId="2612" xr:uid="{D6A0307C-4EE9-4586-9F50-7AE98BD6C844}"/>
    <cellStyle name="Normal 10 3 5 4 2" xfId="10992" xr:uid="{428C6C5E-2C95-4F59-B3F4-A667D40B0F90}"/>
    <cellStyle name="Normal 10 3 5 4 2 2" xfId="27752" xr:uid="{A47681E3-B5E0-4FA4-939F-6DF15F29EAE9}"/>
    <cellStyle name="Normal 10 3 5 4 2 3" xfId="44511" xr:uid="{5710EEF1-B86F-49A1-B4EA-8C26CC9A0851}"/>
    <cellStyle name="Normal 10 3 5 4 3" xfId="19372" xr:uid="{6991C0D8-C9F5-4F50-92DF-3230A5679377}"/>
    <cellStyle name="Normal 10 3 5 4 4" xfId="36131" xr:uid="{054626C0-5096-4189-8AB3-39BB698545E3}"/>
    <cellStyle name="Normal 10 3 5 5" xfId="9189" xr:uid="{250F7EDD-595F-4817-A9C3-521AF555C3A4}"/>
    <cellStyle name="Normal 10 3 5 5 2" xfId="25949" xr:uid="{C1CD9D7A-7D41-4131-9C29-320E1D240B36}"/>
    <cellStyle name="Normal 10 3 5 5 3" xfId="42708" xr:uid="{B002E6DC-B362-4F6A-A54D-C0803816C83F}"/>
    <cellStyle name="Normal 10 3 5 6" xfId="17569" xr:uid="{A78D2C83-1703-4908-A563-7D67DAA05AEC}"/>
    <cellStyle name="Normal 10 3 5 7" xfId="34328" xr:uid="{8996562A-ECEB-4FF6-883E-6692D7CF450C}"/>
    <cellStyle name="Normal 10 3 5 8" xfId="794" xr:uid="{D8568F88-70B7-4DE9-944B-7A9BAC358739}"/>
    <cellStyle name="Normal 10 3 6" xfId="1228" xr:uid="{FD99AA06-85A6-4BDC-A939-DAA4711EB1E5}"/>
    <cellStyle name="Normal 10 3 6 2" xfId="4617" xr:uid="{360D424F-9279-41DA-A0E7-943FD2A0F67F}"/>
    <cellStyle name="Normal 10 3 6 2 2" xfId="12997" xr:uid="{0DB904FE-A6FD-4AC7-B331-A29D44575A2E}"/>
    <cellStyle name="Normal 10 3 6 2 2 2" xfId="29757" xr:uid="{E6F3CD69-C4EB-4EE3-B289-142AB3CF8690}"/>
    <cellStyle name="Normal 10 3 6 2 2 3" xfId="46516" xr:uid="{628B9A36-9FD0-4A20-A43F-B71BFE6928B6}"/>
    <cellStyle name="Normal 10 3 6 2 3" xfId="21377" xr:uid="{5B51655F-5502-40F1-8D5A-746F85681B07}"/>
    <cellStyle name="Normal 10 3 6 2 4" xfId="38136" xr:uid="{C5A580D8-DF60-4F42-986C-5A6A43EB8C4F}"/>
    <cellStyle name="Normal 10 3 6 3" xfId="6304" xr:uid="{2A8E980B-D275-456A-B700-E8E3425AB8D6}"/>
    <cellStyle name="Normal 10 3 6 3 2" xfId="14684" xr:uid="{4AD98357-BB0B-4F7D-8B86-35DC63BFE4B7}"/>
    <cellStyle name="Normal 10 3 6 3 2 2" xfId="31444" xr:uid="{91CEA494-FBCB-4BD2-932F-539A28B98170}"/>
    <cellStyle name="Normal 10 3 6 3 2 3" xfId="48203" xr:uid="{54158787-A4E2-48D5-9A2F-CE65EDD8825D}"/>
    <cellStyle name="Normal 10 3 6 3 3" xfId="23064" xr:uid="{283C21BB-132B-44C3-92F7-EC3E72B9196B}"/>
    <cellStyle name="Normal 10 3 6 3 4" xfId="39823" xr:uid="{021C4D07-EB70-4746-A132-E5C7547A790A}"/>
    <cellStyle name="Normal 10 3 6 4" xfId="3040" xr:uid="{A6DE6E7E-553F-4F8A-BBB2-169241F9CFB9}"/>
    <cellStyle name="Normal 10 3 6 4 2" xfId="11420" xr:uid="{E4912853-DC3C-4FD9-8932-CADFFA495DCA}"/>
    <cellStyle name="Normal 10 3 6 4 2 2" xfId="28180" xr:uid="{AF6B9552-989A-4841-8BB3-24EA61B20282}"/>
    <cellStyle name="Normal 10 3 6 4 2 3" xfId="44939" xr:uid="{A6D0829D-764A-4AC0-BD20-0545FF0078A3}"/>
    <cellStyle name="Normal 10 3 6 4 3" xfId="19800" xr:uid="{B3F65BC2-6CE8-4C7B-B920-2539EFEA4526}"/>
    <cellStyle name="Normal 10 3 6 4 4" xfId="36559" xr:uid="{7D991E52-6ADC-424C-9DBB-DAE627E83CB4}"/>
    <cellStyle name="Normal 10 3 6 5" xfId="9617" xr:uid="{C8682ABA-581A-4702-A749-2D2C4B11B355}"/>
    <cellStyle name="Normal 10 3 6 5 2" xfId="26377" xr:uid="{F0DD3C96-9C90-44A8-B28B-06B5D03334F3}"/>
    <cellStyle name="Normal 10 3 6 5 3" xfId="43136" xr:uid="{09C0297A-9324-4CDF-8620-0C39B063284F}"/>
    <cellStyle name="Normal 10 3 6 6" xfId="17997" xr:uid="{A0D9BA2E-1259-41B2-AAEC-D4BD382BA63D}"/>
    <cellStyle name="Normal 10 3 6 7" xfId="34756" xr:uid="{B40202FF-523F-463E-BEB6-42EB668D7FC0}"/>
    <cellStyle name="Normal 10 3 7" xfId="1654" xr:uid="{6F87293B-D73D-4B17-8B57-01DEEDC7609A}"/>
    <cellStyle name="Normal 10 3 7 2" xfId="5043" xr:uid="{BD1B1BE2-77C9-4EE0-BDCF-00203D4F16BF}"/>
    <cellStyle name="Normal 10 3 7 2 2" xfId="13423" xr:uid="{CFFC4B44-B5D8-4A26-B99B-2CA2A1B28A34}"/>
    <cellStyle name="Normal 10 3 7 2 2 2" xfId="30183" xr:uid="{570CF98B-18D6-4DF5-83D8-AE9322AD9C39}"/>
    <cellStyle name="Normal 10 3 7 2 2 3" xfId="46942" xr:uid="{AA778BC8-6285-4A96-8379-08BB2FD7CCD0}"/>
    <cellStyle name="Normal 10 3 7 2 3" xfId="21803" xr:uid="{61D500E4-CAE0-4DDC-A729-B9F70D02FCF6}"/>
    <cellStyle name="Normal 10 3 7 2 4" xfId="38562" xr:uid="{72C9790E-88A1-41CF-85DD-708C05035CD4}"/>
    <cellStyle name="Normal 10 3 7 3" xfId="6730" xr:uid="{49527791-1F7E-498D-AEA0-6040C6D3C56D}"/>
    <cellStyle name="Normal 10 3 7 3 2" xfId="15110" xr:uid="{5E4868EB-E587-457D-BC1A-4F173B8FB1EF}"/>
    <cellStyle name="Normal 10 3 7 3 2 2" xfId="31870" xr:uid="{81CCA4BC-BF22-4BF8-B6F9-D5AC66640537}"/>
    <cellStyle name="Normal 10 3 7 3 2 3" xfId="48629" xr:uid="{86E6890E-35B2-4F10-999C-23F4066BE6F3}"/>
    <cellStyle name="Normal 10 3 7 3 3" xfId="23490" xr:uid="{8DE3398F-0BC7-4A98-A4E2-A6E1435F3E28}"/>
    <cellStyle name="Normal 10 3 7 3 4" xfId="40249" xr:uid="{0B7E45A1-13E8-48E3-ABB2-734C73A8BF04}"/>
    <cellStyle name="Normal 10 3 7 4" xfId="2179" xr:uid="{4CE231E2-B728-4A5D-9F7B-A3A55A785B0C}"/>
    <cellStyle name="Normal 10 3 7 4 2" xfId="10566" xr:uid="{A945342F-2FC6-4B80-B7BC-A5CD39F3880D}"/>
    <cellStyle name="Normal 10 3 7 4 2 2" xfId="27326" xr:uid="{11471186-EE3C-44A8-BBC8-BAAA8BBEEB03}"/>
    <cellStyle name="Normal 10 3 7 4 2 3" xfId="44085" xr:uid="{CB301868-E972-46D3-B98D-C47E0AFAAABE}"/>
    <cellStyle name="Normal 10 3 7 4 3" xfId="18946" xr:uid="{C8EEEC32-5EED-404B-819D-4DBF2434A25B}"/>
    <cellStyle name="Normal 10 3 7 4 4" xfId="35705" xr:uid="{F15613A8-44FE-44C7-9557-57F8707C7064}"/>
    <cellStyle name="Normal 10 3 7 5" xfId="10043" xr:uid="{BACC1912-C062-4354-B6D5-CE809259BBBD}"/>
    <cellStyle name="Normal 10 3 7 5 2" xfId="26803" xr:uid="{15346385-DBF8-4D1D-985E-98ED17110327}"/>
    <cellStyle name="Normal 10 3 7 5 3" xfId="43562" xr:uid="{5A2A910F-880B-4053-96C3-4F4A830B5902}"/>
    <cellStyle name="Normal 10 3 7 6" xfId="18423" xr:uid="{9E5DA807-7A74-4100-B2FE-514D1D534603}"/>
    <cellStyle name="Normal 10 3 7 7" xfId="35182" xr:uid="{7310FC4B-23BA-4DCC-AE88-4CA71022DE80}"/>
    <cellStyle name="Normal 10 3 8" xfId="3772" xr:uid="{113CFCFB-5812-489C-B1B4-B95ED18D658F}"/>
    <cellStyle name="Normal 10 3 8 2" xfId="12152" xr:uid="{E37A7817-F502-4FB5-8044-4DD142E28DA1}"/>
    <cellStyle name="Normal 10 3 8 2 2" xfId="28912" xr:uid="{565B64B3-FA73-4F6C-B2F6-BB35715CB268}"/>
    <cellStyle name="Normal 10 3 8 2 3" xfId="45671" xr:uid="{D7B2F974-6D58-4299-9044-0C80FC1F9FDF}"/>
    <cellStyle name="Normal 10 3 8 3" xfId="20532" xr:uid="{2A6FD671-C127-45C8-99CB-0D942FBC5570}"/>
    <cellStyle name="Normal 10 3 8 4" xfId="37291" xr:uid="{C15D5132-E91A-4697-B767-D537EFFFCE78}"/>
    <cellStyle name="Normal 10 3 9" xfId="5450" xr:uid="{E2AC17CC-8BA3-4119-BC62-EA62A7EE7A37}"/>
    <cellStyle name="Normal 10 3 9 2" xfId="13830" xr:uid="{4E2726C7-E08E-4FCD-85BA-64A6F004AB47}"/>
    <cellStyle name="Normal 10 3 9 2 2" xfId="30590" xr:uid="{8EC719E3-6C59-408C-B79A-D5EB285DD7CA}"/>
    <cellStyle name="Normal 10 3 9 2 3" xfId="47349" xr:uid="{08A90CE7-A2B1-4053-9AAD-0BAF10C20D92}"/>
    <cellStyle name="Normal 10 3 9 3" xfId="22210" xr:uid="{79D82D33-2159-45D7-AF9C-430F6262D852}"/>
    <cellStyle name="Normal 10 3 9 4" xfId="38969" xr:uid="{5C330B45-1D2C-49D5-8C33-0EAC7ECAAEFF}"/>
    <cellStyle name="Normal 10 4" xfId="345" xr:uid="{B40F25EC-25FC-4D09-89EF-5E064147D991}"/>
    <cellStyle name="Normal 10 4 10" xfId="7543" xr:uid="{6CF58311-D237-48EF-A31E-5D4977014373}"/>
    <cellStyle name="Normal 10 4 10 2" xfId="15923" xr:uid="{06041827-B154-4380-9310-18AD6A325D28}"/>
    <cellStyle name="Normal 10 4 10 2 2" xfId="32683" xr:uid="{C3DFE6FB-A81A-4485-84D6-2F202A0BFCB3}"/>
    <cellStyle name="Normal 10 4 10 2 3" xfId="49442" xr:uid="{BB0528E0-4062-4157-9794-C27148E0BAA9}"/>
    <cellStyle name="Normal 10 4 10 3" xfId="24303" xr:uid="{75527BB7-3B42-4C8E-92CC-352F29CE1061}"/>
    <cellStyle name="Normal 10 4 10 4" xfId="41062" xr:uid="{3C244E45-F7EA-4BAF-9BA3-CC3D5C43CA3C}"/>
    <cellStyle name="Normal 10 4 11" xfId="7949" xr:uid="{9E09D0C0-20E3-4C86-A339-110DE07B4F91}"/>
    <cellStyle name="Normal 10 4 11 2" xfId="16329" xr:uid="{D984B683-E3DD-4B99-8714-E4DF6F089178}"/>
    <cellStyle name="Normal 10 4 11 2 2" xfId="33089" xr:uid="{0424F960-D6CB-4514-9A8E-BC62911A945D}"/>
    <cellStyle name="Normal 10 4 11 2 3" xfId="49848" xr:uid="{4D462024-87BF-4B4B-BC8E-3CFB0A1D302B}"/>
    <cellStyle name="Normal 10 4 11 3" xfId="24709" xr:uid="{96FE9AB5-6DB1-4A70-BA6E-CF0A7FF614C5}"/>
    <cellStyle name="Normal 10 4 11 4" xfId="41468" xr:uid="{FF94E43F-FF9E-4F57-8B3B-41A0ED106B37}"/>
    <cellStyle name="Normal 10 4 12" xfId="8355" xr:uid="{B2C4C0EA-EA0F-4053-ACC0-C42F2F645597}"/>
    <cellStyle name="Normal 10 4 12 2" xfId="16735" xr:uid="{DA24CAEF-E750-4D1B-84E8-B4EF76A16571}"/>
    <cellStyle name="Normal 10 4 12 2 2" xfId="33495" xr:uid="{1913A803-F236-40DA-A03C-CA28B8311627}"/>
    <cellStyle name="Normal 10 4 12 2 3" xfId="50254" xr:uid="{996BDBCF-4CC7-46B2-B785-8C7C2154104B}"/>
    <cellStyle name="Normal 10 4 12 3" xfId="25115" xr:uid="{4DE338C8-13ED-4ABE-8356-2F194423FCAE}"/>
    <cellStyle name="Normal 10 4 12 4" xfId="41874" xr:uid="{ED613912-BDCC-4861-9ADA-EDBC6394CA35}"/>
    <cellStyle name="Normal 10 4 13" xfId="2056" xr:uid="{52F07D9A-2919-4AD6-9F79-3037C4379F31}"/>
    <cellStyle name="Normal 10 4 13 2" xfId="10444" xr:uid="{C9E6605C-2CA8-4655-9A68-383CEBD72E7C}"/>
    <cellStyle name="Normal 10 4 13 2 2" xfId="27204" xr:uid="{7ACEA147-C20A-4C49-9F0B-A3982FA1FC62}"/>
    <cellStyle name="Normal 10 4 13 2 3" xfId="43963" xr:uid="{FF030C44-EB48-47F8-9FC3-C034C10E9E8C}"/>
    <cellStyle name="Normal 10 4 13 3" xfId="18824" xr:uid="{C4AE0A14-2C42-499F-B73B-EB3FD5AADC5D}"/>
    <cellStyle name="Normal 10 4 13 4" xfId="35583" xr:uid="{0E2F0AEA-35A8-40A5-8E69-347F19F26541}"/>
    <cellStyle name="Normal 10 4 14" xfId="8809" xr:uid="{E7598904-8ECB-4D7F-9C81-15ABCC2B36CD}"/>
    <cellStyle name="Normal 10 4 14 2" xfId="25569" xr:uid="{DC2DBCA6-1681-4C88-A0C3-4D70768459D0}"/>
    <cellStyle name="Normal 10 4 14 3" xfId="42328" xr:uid="{5A96D406-528A-4A45-9D79-BE4E270BC5BC}"/>
    <cellStyle name="Normal 10 4 15" xfId="17189" xr:uid="{EA9E4C20-E324-48E2-A129-916E193BF9A2}"/>
    <cellStyle name="Normal 10 4 16" xfId="33948" xr:uid="{C0A54846-C67A-4FE0-AAB3-4959F8228543}"/>
    <cellStyle name="Normal 10 4 2" xfId="483" xr:uid="{97EAABD9-60B0-4CCB-B0EC-B0A99562FE41}"/>
    <cellStyle name="Normal 10 4 2 10" xfId="8475" xr:uid="{9CE057E4-0E08-4084-AAB7-1A282F781C48}"/>
    <cellStyle name="Normal 10 4 2 10 2" xfId="16855" xr:uid="{E368355B-F0F7-4CC7-80BA-5A135B8970C2}"/>
    <cellStyle name="Normal 10 4 2 10 2 2" xfId="33615" xr:uid="{A8EDC533-99B0-4253-84AE-EF1F9E82081C}"/>
    <cellStyle name="Normal 10 4 2 10 2 3" xfId="50374" xr:uid="{4DBB5C9E-BB42-49CB-A6E7-5CFA5C69F90D}"/>
    <cellStyle name="Normal 10 4 2 10 3" xfId="25235" xr:uid="{0D9FD589-18DE-4D4F-A50D-24D2CB8EA4B1}"/>
    <cellStyle name="Normal 10 4 2 10 4" xfId="41994" xr:uid="{4FF780C5-1B62-4859-9FDD-6ECC2B546564}"/>
    <cellStyle name="Normal 10 4 2 11" xfId="2315" xr:uid="{72380A27-0183-4895-8443-C862242FA603}"/>
    <cellStyle name="Normal 10 4 2 11 2" xfId="10697" xr:uid="{228E2675-EE0B-464B-855D-CB1C0838122E}"/>
    <cellStyle name="Normal 10 4 2 11 2 2" xfId="27457" xr:uid="{FC7CEA2E-C7D9-492F-9B22-15321008B4AA}"/>
    <cellStyle name="Normal 10 4 2 11 2 3" xfId="44216" xr:uid="{FE581660-6588-4DD9-ABCA-272C7572FC23}"/>
    <cellStyle name="Normal 10 4 2 11 3" xfId="19077" xr:uid="{AFB6C9E7-96F6-475B-A8A0-1250DADBB7B5}"/>
    <cellStyle name="Normal 10 4 2 11 4" xfId="35836" xr:uid="{6F1AFBCB-D2E4-41CC-806B-90BB006FD687}"/>
    <cellStyle name="Normal 10 4 2 12" xfId="8894" xr:uid="{2F10E612-FDB4-4F7F-A87A-0288DDF2CFB0}"/>
    <cellStyle name="Normal 10 4 2 12 2" xfId="25654" xr:uid="{CB68ADCD-6F6D-48E2-87A5-158223EFE70A}"/>
    <cellStyle name="Normal 10 4 2 12 3" xfId="42413" xr:uid="{5A6B135A-7024-43AE-BBF8-F2B337F12710}"/>
    <cellStyle name="Normal 10 4 2 13" xfId="17274" xr:uid="{73605ADE-938C-4656-B49A-DC3725192552}"/>
    <cellStyle name="Normal 10 4 2 14" xfId="34033" xr:uid="{FD3D1877-4232-41AA-B920-053029C67929}"/>
    <cellStyle name="Normal 10 4 2 2" xfId="925" xr:uid="{CE4D6D7E-CF87-42F2-96D4-B7A1FC9BF558}"/>
    <cellStyle name="Normal 10 4 2 2 2" xfId="4320" xr:uid="{EF22C211-C991-4D84-8D07-2A4AD8291946}"/>
    <cellStyle name="Normal 10 4 2 2 2 2" xfId="12700" xr:uid="{115729DD-3BFC-498A-85BF-46308EF6B888}"/>
    <cellStyle name="Normal 10 4 2 2 2 2 2" xfId="29460" xr:uid="{7829C0D9-9CBD-4B6F-89E6-8CF72824EAF2}"/>
    <cellStyle name="Normal 10 4 2 2 2 2 3" xfId="46219" xr:uid="{5E6FEC5E-F98B-4DEF-985A-1C54451425DA}"/>
    <cellStyle name="Normal 10 4 2 2 2 3" xfId="21080" xr:uid="{8244F932-40E4-4AE7-9B0F-E674BAC8CDAD}"/>
    <cellStyle name="Normal 10 4 2 2 2 4" xfId="37839" xr:uid="{7122C8E2-EB3D-47DB-BD71-B94BE23ADB0F}"/>
    <cellStyle name="Normal 10 4 2 2 3" xfId="6007" xr:uid="{A9672712-149D-41D8-9782-4B4D59B7886B}"/>
    <cellStyle name="Normal 10 4 2 2 3 2" xfId="14387" xr:uid="{E466B6A8-EAC2-4C01-A5F3-331FAD4BD5EB}"/>
    <cellStyle name="Normal 10 4 2 2 3 2 2" xfId="31147" xr:uid="{117E3B32-95FD-4505-88A5-175837D64247}"/>
    <cellStyle name="Normal 10 4 2 2 3 2 3" xfId="47906" xr:uid="{D749C2E5-6F7C-40DD-B091-ECF659D23E1C}"/>
    <cellStyle name="Normal 10 4 2 2 3 3" xfId="22767" xr:uid="{669057AA-D74C-4182-ACD4-CF706E727CBC}"/>
    <cellStyle name="Normal 10 4 2 2 3 4" xfId="39526" xr:uid="{2B9A6EBF-E5CF-4F72-A3DB-DC3DD41B9C97}"/>
    <cellStyle name="Normal 10 4 2 2 4" xfId="2743" xr:uid="{6521A0F6-1114-409F-ABD3-A706813732CF}"/>
    <cellStyle name="Normal 10 4 2 2 4 2" xfId="11123" xr:uid="{56D28EAC-30F6-48B1-89DB-F384F3D9DDB1}"/>
    <cellStyle name="Normal 10 4 2 2 4 2 2" xfId="27883" xr:uid="{B97CED2C-9DC5-4C4C-8C70-8FD5CEBA8F34}"/>
    <cellStyle name="Normal 10 4 2 2 4 2 3" xfId="44642" xr:uid="{131159EF-F363-4394-A0D6-9FB0FE607010}"/>
    <cellStyle name="Normal 10 4 2 2 4 3" xfId="19503" xr:uid="{50BA02C6-0DAC-4C35-ACDC-F496CDB035FA}"/>
    <cellStyle name="Normal 10 4 2 2 4 4" xfId="36262" xr:uid="{3A7FCB95-D427-4DBE-B8DD-B6CD67C91AFB}"/>
    <cellStyle name="Normal 10 4 2 2 5" xfId="9320" xr:uid="{664B294B-17BF-4907-A07F-CD0128DFFFA0}"/>
    <cellStyle name="Normal 10 4 2 2 5 2" xfId="26080" xr:uid="{92E58392-075E-47BC-A7B4-79751185CF6F}"/>
    <cellStyle name="Normal 10 4 2 2 5 3" xfId="42839" xr:uid="{B663879F-6720-48A9-9048-E7BE36E37811}"/>
    <cellStyle name="Normal 10 4 2 2 6" xfId="17700" xr:uid="{3D0627AB-26EF-4691-941A-E9A9E5946F2E}"/>
    <cellStyle name="Normal 10 4 2 2 7" xfId="34459" xr:uid="{F34A26C0-B2C9-4D44-864B-81359D4DDBEF}"/>
    <cellStyle name="Normal 10 4 2 3" xfId="1359" xr:uid="{CC3F01D5-CA16-4569-AC7F-38A8551EC22F}"/>
    <cellStyle name="Normal 10 4 2 3 2" xfId="4748" xr:uid="{8A0EFEB0-2BCE-4BA9-9C5C-1F3C0B889B75}"/>
    <cellStyle name="Normal 10 4 2 3 2 2" xfId="13128" xr:uid="{8A78F2A6-9C46-405B-95ED-759092154B35}"/>
    <cellStyle name="Normal 10 4 2 3 2 2 2" xfId="29888" xr:uid="{2CC00DB4-F49A-4748-A62C-0CE517ACBB36}"/>
    <cellStyle name="Normal 10 4 2 3 2 2 3" xfId="46647" xr:uid="{484857B4-FAD3-4C8E-A706-746A73821E39}"/>
    <cellStyle name="Normal 10 4 2 3 2 3" xfId="21508" xr:uid="{968C55A3-92B2-4B27-AD56-A6A8A1944888}"/>
    <cellStyle name="Normal 10 4 2 3 2 4" xfId="38267" xr:uid="{53B2A3FE-0CC7-4501-BE5D-D7CF4682E2EE}"/>
    <cellStyle name="Normal 10 4 2 3 3" xfId="6435" xr:uid="{F1ADC3F7-28B2-4B68-9842-2987FE80B369}"/>
    <cellStyle name="Normal 10 4 2 3 3 2" xfId="14815" xr:uid="{7E7E4548-282C-458D-80A7-F66FB59192A0}"/>
    <cellStyle name="Normal 10 4 2 3 3 2 2" xfId="31575" xr:uid="{9D5A9200-5900-4B21-A96D-99F7A23E69EF}"/>
    <cellStyle name="Normal 10 4 2 3 3 2 3" xfId="48334" xr:uid="{9BF6DCC7-4345-4E12-BEA9-BB640EC725C8}"/>
    <cellStyle name="Normal 10 4 2 3 3 3" xfId="23195" xr:uid="{D482422A-2041-4505-969D-324B20FA81B9}"/>
    <cellStyle name="Normal 10 4 2 3 3 4" xfId="39954" xr:uid="{A525D40D-245B-4EED-B012-8B45B9D01BC4}"/>
    <cellStyle name="Normal 10 4 2 3 4" xfId="3171" xr:uid="{8D1F4E96-C947-4AD5-9937-B01EFA1D6E86}"/>
    <cellStyle name="Normal 10 4 2 3 4 2" xfId="11551" xr:uid="{173BF596-EB23-4EC2-8270-3C8367A81CC1}"/>
    <cellStyle name="Normal 10 4 2 3 4 2 2" xfId="28311" xr:uid="{A446615A-2A3E-4F3F-A61D-DDF9EC7030B7}"/>
    <cellStyle name="Normal 10 4 2 3 4 2 3" xfId="45070" xr:uid="{F8B44E07-A538-4315-A483-AA2E4F410350}"/>
    <cellStyle name="Normal 10 4 2 3 4 3" xfId="19931" xr:uid="{11277C49-0C1A-4730-8532-835889AE7474}"/>
    <cellStyle name="Normal 10 4 2 3 4 4" xfId="36690" xr:uid="{50656AE0-DBE0-4B38-94A2-18D9D8AF29E7}"/>
    <cellStyle name="Normal 10 4 2 3 5" xfId="9748" xr:uid="{FFF3A83A-BD53-4F98-ADEF-DEE39892E689}"/>
    <cellStyle name="Normal 10 4 2 3 5 2" xfId="26508" xr:uid="{6E4752E9-2F8E-47E1-8DFB-3C17B4F43418}"/>
    <cellStyle name="Normal 10 4 2 3 5 3" xfId="43267" xr:uid="{A9F5C1A6-C530-476B-AE2F-5FC826EA9297}"/>
    <cellStyle name="Normal 10 4 2 3 6" xfId="18128" xr:uid="{9EE3A583-15D2-4EE1-B917-DAEB2088B718}"/>
    <cellStyle name="Normal 10 4 2 3 7" xfId="34887" xr:uid="{9AE78930-047E-46C5-BD53-F317A9AA376D}"/>
    <cellStyle name="Normal 10 4 2 4" xfId="1775" xr:uid="{22D3C2F6-1C4B-4DDF-A805-E639B9C86111}"/>
    <cellStyle name="Normal 10 4 2 4 2" xfId="5164" xr:uid="{220BA152-E612-4CD3-98E4-0FCE2CA4C1D3}"/>
    <cellStyle name="Normal 10 4 2 4 2 2" xfId="13544" xr:uid="{EFBFC501-6C78-4D67-8280-81F3D1680A5A}"/>
    <cellStyle name="Normal 10 4 2 4 2 2 2" xfId="30304" xr:uid="{6F343418-5CBA-483B-AEC0-30CD9CD4222C}"/>
    <cellStyle name="Normal 10 4 2 4 2 2 3" xfId="47063" xr:uid="{E1426DBB-B1D4-4CE2-8389-93A7367F37FE}"/>
    <cellStyle name="Normal 10 4 2 4 2 3" xfId="21924" xr:uid="{B700F663-FD10-4D1E-AA2C-AA342730F975}"/>
    <cellStyle name="Normal 10 4 2 4 2 4" xfId="38683" xr:uid="{54AF9127-0ECD-428A-B77A-EB1AE43C5978}"/>
    <cellStyle name="Normal 10 4 2 4 3" xfId="6851" xr:uid="{77717F94-7C23-4070-9BE4-6CEAE2865B43}"/>
    <cellStyle name="Normal 10 4 2 4 3 2" xfId="15231" xr:uid="{0D2751FF-BD33-4103-B1DC-12E0B6DA56C4}"/>
    <cellStyle name="Normal 10 4 2 4 3 2 2" xfId="31991" xr:uid="{60701EF3-007E-495A-87F7-F6413A10F454}"/>
    <cellStyle name="Normal 10 4 2 4 3 2 3" xfId="48750" xr:uid="{FC8D56F5-178B-413F-8F30-C1CC5BCBDBED}"/>
    <cellStyle name="Normal 10 4 2 4 3 3" xfId="23611" xr:uid="{95FC71AA-AD60-4CEA-88C8-56C2E93AD002}"/>
    <cellStyle name="Normal 10 4 2 4 3 4" xfId="40370" xr:uid="{FB89F4B2-3C94-47E0-A803-3AC31DA5D57B}"/>
    <cellStyle name="Normal 10 4 2 4 4" xfId="3475" xr:uid="{D29ECEBC-97B0-4633-BE8A-12F4273768F4}"/>
    <cellStyle name="Normal 10 4 2 4 4 2" xfId="11855" xr:uid="{B945D8BA-7726-442C-949A-21D55C28A33E}"/>
    <cellStyle name="Normal 10 4 2 4 4 2 2" xfId="28615" xr:uid="{249BDCEE-3D49-4C08-923F-20150075AC35}"/>
    <cellStyle name="Normal 10 4 2 4 4 2 3" xfId="45374" xr:uid="{9BB94233-3F17-40F9-AB13-E65B89126621}"/>
    <cellStyle name="Normal 10 4 2 4 4 3" xfId="20235" xr:uid="{694E40CA-DE01-4B2D-9A8D-97EEB801B0B3}"/>
    <cellStyle name="Normal 10 4 2 4 4 4" xfId="36994" xr:uid="{CFC3505A-16A7-4A59-BDBC-3C7BF7D9F76E}"/>
    <cellStyle name="Normal 10 4 2 4 5" xfId="10164" xr:uid="{0B052DB6-5634-4852-8296-79F7ABA0D715}"/>
    <cellStyle name="Normal 10 4 2 4 5 2" xfId="26924" xr:uid="{8501005C-5799-4130-95FA-F5E2B346B1E2}"/>
    <cellStyle name="Normal 10 4 2 4 5 3" xfId="43683" xr:uid="{162B2DB1-764B-4F2A-A6A2-A59B411E7BAE}"/>
    <cellStyle name="Normal 10 4 2 4 6" xfId="18544" xr:uid="{4FD08B19-5400-4805-AB9D-1F85FB7BF6BD}"/>
    <cellStyle name="Normal 10 4 2 4 7" xfId="35303" xr:uid="{43F987DE-8EFA-4395-9602-3FA51EEDED59}"/>
    <cellStyle name="Normal 10 4 2 5" xfId="3894" xr:uid="{1201C07D-008B-4767-B687-8E9E4C7CCD95}"/>
    <cellStyle name="Normal 10 4 2 5 2" xfId="12274" xr:uid="{0C9A9E42-7E15-40C9-8665-1A9FCDF5344F}"/>
    <cellStyle name="Normal 10 4 2 5 2 2" xfId="29034" xr:uid="{BE4B906A-DD05-4C0F-ABF2-F1D3F7790CF5}"/>
    <cellStyle name="Normal 10 4 2 5 2 3" xfId="45793" xr:uid="{FF96A489-9BD2-4063-9DD2-9B2199D7FCC1}"/>
    <cellStyle name="Normal 10 4 2 5 3" xfId="20654" xr:uid="{BDBE29BB-9C71-4FD1-ABFD-1E975702D1E6}"/>
    <cellStyle name="Normal 10 4 2 5 4" xfId="37413" xr:uid="{32F63FEA-EF01-498D-AF0F-2345EDFC7C30}"/>
    <cellStyle name="Normal 10 4 2 6" xfId="5581" xr:uid="{6E8A568D-3589-47C4-9804-2A8AF6CF1ACD}"/>
    <cellStyle name="Normal 10 4 2 6 2" xfId="13961" xr:uid="{D82E2224-4633-4DB7-A634-68C71D242DA3}"/>
    <cellStyle name="Normal 10 4 2 6 2 2" xfId="30721" xr:uid="{C9F62043-FA6A-494C-8669-C61B256EA33F}"/>
    <cellStyle name="Normal 10 4 2 6 2 3" xfId="47480" xr:uid="{991F701A-F9CA-40E7-A232-7210815E970C}"/>
    <cellStyle name="Normal 10 4 2 6 3" xfId="22341" xr:uid="{72645229-9655-4157-B40E-A374748BD766}"/>
    <cellStyle name="Normal 10 4 2 6 4" xfId="39100" xr:uid="{818159A2-22C0-41B8-9E0B-C93A5A5EE492}"/>
    <cellStyle name="Normal 10 4 2 7" xfId="7257" xr:uid="{8F1BDE41-537C-4AB9-B605-72A6773A696D}"/>
    <cellStyle name="Normal 10 4 2 7 2" xfId="15637" xr:uid="{64BA7744-544F-478B-A5A1-A8C0B9325F6E}"/>
    <cellStyle name="Normal 10 4 2 7 2 2" xfId="32397" xr:uid="{DA8E7A05-1286-4A5B-98E8-94FD71DE4A70}"/>
    <cellStyle name="Normal 10 4 2 7 2 3" xfId="49156" xr:uid="{28853457-691F-4954-8700-31177D04FA19}"/>
    <cellStyle name="Normal 10 4 2 7 3" xfId="24017" xr:uid="{17159F75-0AD9-4532-AB6C-8067D13896F2}"/>
    <cellStyle name="Normal 10 4 2 7 4" xfId="40776" xr:uid="{A0B83F21-EF9B-42F9-AB9E-6EEB7B9A0230}"/>
    <cellStyle name="Normal 10 4 2 8" xfId="7663" xr:uid="{FA84307B-6B6D-4A75-ACCA-3138CD71C1FD}"/>
    <cellStyle name="Normal 10 4 2 8 2" xfId="16043" xr:uid="{78542D13-FF02-4CA4-BFF1-22E4F6CEE3FF}"/>
    <cellStyle name="Normal 10 4 2 8 2 2" xfId="32803" xr:uid="{9EF5E8A1-A29D-4535-B84E-AEDD4C77825C}"/>
    <cellStyle name="Normal 10 4 2 8 2 3" xfId="49562" xr:uid="{2AE14BF1-BEB8-4426-962F-E65099F9D0A5}"/>
    <cellStyle name="Normal 10 4 2 8 3" xfId="24423" xr:uid="{2632846D-2E4A-46C2-823E-C9D11E75D51B}"/>
    <cellStyle name="Normal 10 4 2 8 4" xfId="41182" xr:uid="{3680F56C-BBD4-4299-BA77-DA3FC8FD7902}"/>
    <cellStyle name="Normal 10 4 2 9" xfId="8069" xr:uid="{B822DA53-9BD6-4CC8-ABC6-E8B43E0AB394}"/>
    <cellStyle name="Normal 10 4 2 9 2" xfId="16449" xr:uid="{7FD99DAE-97B0-4CD3-A5DA-E91F20DECA3D}"/>
    <cellStyle name="Normal 10 4 2 9 2 2" xfId="33209" xr:uid="{C05432A4-812D-467A-8BFD-3E1F388897F4}"/>
    <cellStyle name="Normal 10 4 2 9 2 3" xfId="49968" xr:uid="{A9EFF72B-613B-4FA9-8D8F-95F3F79FEE03}"/>
    <cellStyle name="Normal 10 4 2 9 3" xfId="24829" xr:uid="{2DEE6BED-91A0-462E-8469-29040A625A8B}"/>
    <cellStyle name="Normal 10 4 2 9 4" xfId="41588" xr:uid="{23CA4019-C422-4591-B23E-BB931C59FD34}"/>
    <cellStyle name="Normal 10 4 3" xfId="484" xr:uid="{8ECAAB0E-5E2E-4E9D-8F47-CF7C199A2FC9}"/>
    <cellStyle name="Normal 10 4 3 10" xfId="8626" xr:uid="{CC984563-21F9-441E-9B5F-454CE2D7BE8A}"/>
    <cellStyle name="Normal 10 4 3 10 2" xfId="17006" xr:uid="{670656CD-D2DD-4BCF-8AEC-EA4091D262E9}"/>
    <cellStyle name="Normal 10 4 3 10 2 2" xfId="33766" xr:uid="{957A2262-D280-4DD4-AA72-9C8741919826}"/>
    <cellStyle name="Normal 10 4 3 10 2 3" xfId="50525" xr:uid="{DD1829A0-01BB-4D03-888F-68D0A78B7811}"/>
    <cellStyle name="Normal 10 4 3 10 3" xfId="25386" xr:uid="{8F06D199-5FC6-4953-B918-99E5AB1B7FEB}"/>
    <cellStyle name="Normal 10 4 3 10 4" xfId="42145" xr:uid="{6FAFD169-15FD-4062-B584-BA6841A03204}"/>
    <cellStyle name="Normal 10 4 3 11" xfId="2316" xr:uid="{83E309E0-1343-4F02-AF3D-589F5F991ACA}"/>
    <cellStyle name="Normal 10 4 3 11 2" xfId="10698" xr:uid="{77604231-67D7-447A-A369-0B720BFBAD92}"/>
    <cellStyle name="Normal 10 4 3 11 2 2" xfId="27458" xr:uid="{A1AAA31C-AE00-48D3-9443-02C911D23E4D}"/>
    <cellStyle name="Normal 10 4 3 11 2 3" xfId="44217" xr:uid="{5D71AB39-8771-4413-A286-DCC399C267E5}"/>
    <cellStyle name="Normal 10 4 3 11 3" xfId="19078" xr:uid="{294ED71B-AFF3-4D3C-ABF4-BB9C95F23815}"/>
    <cellStyle name="Normal 10 4 3 11 4" xfId="35837" xr:uid="{9036CE8B-3634-4E76-BD2B-6E83FF1472A6}"/>
    <cellStyle name="Normal 10 4 3 12" xfId="8895" xr:uid="{50A37406-13EE-493A-BA0B-97CBD3859DE6}"/>
    <cellStyle name="Normal 10 4 3 12 2" xfId="25655" xr:uid="{E270575D-412E-4888-B841-C2221ABA5294}"/>
    <cellStyle name="Normal 10 4 3 12 3" xfId="42414" xr:uid="{4CB4A686-D4F3-4448-9D16-1A76EE68ABB4}"/>
    <cellStyle name="Normal 10 4 3 13" xfId="17275" xr:uid="{3C8C995E-AD04-4545-AEEF-AFDF909C76BB}"/>
    <cellStyle name="Normal 10 4 3 14" xfId="34034" xr:uid="{5183501B-EDCC-4A6F-B43D-7FAED37C814C}"/>
    <cellStyle name="Normal 10 4 3 2" xfId="926" xr:uid="{6C26D575-82E6-4C70-8F24-1442932D467F}"/>
    <cellStyle name="Normal 10 4 3 2 2" xfId="4321" xr:uid="{988631E5-70EA-4B33-835D-B4E77CB95E8C}"/>
    <cellStyle name="Normal 10 4 3 2 2 2" xfId="12701" xr:uid="{BD84FB72-3834-47FA-BD3E-5387652BF04D}"/>
    <cellStyle name="Normal 10 4 3 2 2 2 2" xfId="29461" xr:uid="{A8FBE47B-DC80-4234-B117-D5DD0B21D056}"/>
    <cellStyle name="Normal 10 4 3 2 2 2 3" xfId="46220" xr:uid="{D2EFF084-2CE5-4C89-BF78-D08FC53FAF23}"/>
    <cellStyle name="Normal 10 4 3 2 2 3" xfId="21081" xr:uid="{BC6F5072-BF03-4054-A218-1D88A3038AFC}"/>
    <cellStyle name="Normal 10 4 3 2 2 4" xfId="37840" xr:uid="{42F1277A-7FFD-4F6C-B539-326C1847DC1C}"/>
    <cellStyle name="Normal 10 4 3 2 3" xfId="6008" xr:uid="{C60AA37F-D285-4129-98A1-4555DE27B83D}"/>
    <cellStyle name="Normal 10 4 3 2 3 2" xfId="14388" xr:uid="{00489494-B329-4B6B-881F-772FE3107222}"/>
    <cellStyle name="Normal 10 4 3 2 3 2 2" xfId="31148" xr:uid="{816536A7-9FBA-431C-B620-E35EDA9C8DAC}"/>
    <cellStyle name="Normal 10 4 3 2 3 2 3" xfId="47907" xr:uid="{272348C3-E861-4C33-980B-30B92402EBA2}"/>
    <cellStyle name="Normal 10 4 3 2 3 3" xfId="22768" xr:uid="{D4CBC865-FCC9-4D7F-BA29-A2EA8635D634}"/>
    <cellStyle name="Normal 10 4 3 2 3 4" xfId="39527" xr:uid="{EFAE4043-1F34-42AB-97BD-60D216C36E05}"/>
    <cellStyle name="Normal 10 4 3 2 4" xfId="2744" xr:uid="{440A3AA9-ABCD-47CA-B083-F652BF414336}"/>
    <cellStyle name="Normal 10 4 3 2 4 2" xfId="11124" xr:uid="{BD9FA06D-706C-4191-B556-B6C54F3BE30E}"/>
    <cellStyle name="Normal 10 4 3 2 4 2 2" xfId="27884" xr:uid="{6032CA37-D14E-4A2B-A089-EABA26B83C96}"/>
    <cellStyle name="Normal 10 4 3 2 4 2 3" xfId="44643" xr:uid="{46B9753A-481D-45D4-8998-1D958F547E1B}"/>
    <cellStyle name="Normal 10 4 3 2 4 3" xfId="19504" xr:uid="{DF3B4069-85B2-48EE-8F53-23A08054EAEC}"/>
    <cellStyle name="Normal 10 4 3 2 4 4" xfId="36263" xr:uid="{E2967595-43C4-4ABA-BCD9-5BB204169182}"/>
    <cellStyle name="Normal 10 4 3 2 5" xfId="9321" xr:uid="{02C06D68-47F7-4B15-9282-FF9D37A5C8DA}"/>
    <cellStyle name="Normal 10 4 3 2 5 2" xfId="26081" xr:uid="{91D889B8-640C-4FB6-9B53-C0183827B259}"/>
    <cellStyle name="Normal 10 4 3 2 5 3" xfId="42840" xr:uid="{A7E87EE3-9B83-4DD0-9EE9-B9E582B78747}"/>
    <cellStyle name="Normal 10 4 3 2 6" xfId="17701" xr:uid="{5DB3436F-B4F0-4E56-9DE5-B432FE23A5FE}"/>
    <cellStyle name="Normal 10 4 3 2 7" xfId="34460" xr:uid="{2EDFBA37-B910-4666-9A34-ABBE7D595BCC}"/>
    <cellStyle name="Normal 10 4 3 3" xfId="1360" xr:uid="{54234FD8-7AC5-404E-AA41-E845EE6197BC}"/>
    <cellStyle name="Normal 10 4 3 3 2" xfId="4749" xr:uid="{8C2AF507-17C9-401E-AFE8-FC8496B84C2B}"/>
    <cellStyle name="Normal 10 4 3 3 2 2" xfId="13129" xr:uid="{5BD8D95B-1630-4AFF-AAE6-3F77CC031989}"/>
    <cellStyle name="Normal 10 4 3 3 2 2 2" xfId="29889" xr:uid="{0B13054A-7E90-409F-BCD0-84671CAC5A58}"/>
    <cellStyle name="Normal 10 4 3 3 2 2 3" xfId="46648" xr:uid="{876FB82D-C988-45F2-BD39-0122B992FA70}"/>
    <cellStyle name="Normal 10 4 3 3 2 3" xfId="21509" xr:uid="{EA8ADD20-653E-473D-8BFD-8F46A609F033}"/>
    <cellStyle name="Normal 10 4 3 3 2 4" xfId="38268" xr:uid="{AFAAD800-3B9D-4D56-8C11-CE673369368D}"/>
    <cellStyle name="Normal 10 4 3 3 3" xfId="6436" xr:uid="{A2D9874F-B794-43B6-AE0C-C71CB4765B96}"/>
    <cellStyle name="Normal 10 4 3 3 3 2" xfId="14816" xr:uid="{8E792E7C-FAEF-4EDE-BA97-CAC661F1B3E8}"/>
    <cellStyle name="Normal 10 4 3 3 3 2 2" xfId="31576" xr:uid="{417D6C22-5965-4340-A033-5736A8D69666}"/>
    <cellStyle name="Normal 10 4 3 3 3 2 3" xfId="48335" xr:uid="{B20D542B-C578-4D0E-B1B9-B1CBEBC439E7}"/>
    <cellStyle name="Normal 10 4 3 3 3 3" xfId="23196" xr:uid="{1DB38704-E47F-4959-83C5-B6CF4AE0A813}"/>
    <cellStyle name="Normal 10 4 3 3 3 4" xfId="39955" xr:uid="{5B9E9078-0CEA-45CC-9DB4-7863D94C5918}"/>
    <cellStyle name="Normal 10 4 3 3 4" xfId="3172" xr:uid="{6154D311-B7A1-4593-A59E-1B4A7AE54967}"/>
    <cellStyle name="Normal 10 4 3 3 4 2" xfId="11552" xr:uid="{EEF121F4-188E-4E42-A8FE-5020D979C9A7}"/>
    <cellStyle name="Normal 10 4 3 3 4 2 2" xfId="28312" xr:uid="{03BC8087-23B9-4523-A1D2-6C447A58922C}"/>
    <cellStyle name="Normal 10 4 3 3 4 2 3" xfId="45071" xr:uid="{96505FA4-3D1F-4975-811B-10DF7D61EDB2}"/>
    <cellStyle name="Normal 10 4 3 3 4 3" xfId="19932" xr:uid="{B3F91A0A-B607-4F3D-9A6A-6380085D4336}"/>
    <cellStyle name="Normal 10 4 3 3 4 4" xfId="36691" xr:uid="{180E19DA-93A4-4221-864A-C49F3B61FA4B}"/>
    <cellStyle name="Normal 10 4 3 3 5" xfId="9749" xr:uid="{551A1126-7CA1-49E3-A8DA-21B4A8534864}"/>
    <cellStyle name="Normal 10 4 3 3 5 2" xfId="26509" xr:uid="{AA986D82-0C0B-42B5-A62E-F11BC474F315}"/>
    <cellStyle name="Normal 10 4 3 3 5 3" xfId="43268" xr:uid="{1D6C03DC-2AAD-4C73-AC9F-8E4B62D1B06F}"/>
    <cellStyle name="Normal 10 4 3 3 6" xfId="18129" xr:uid="{E2538EDB-BBD0-4783-B36C-2A25FE694E8D}"/>
    <cellStyle name="Normal 10 4 3 3 7" xfId="34888" xr:uid="{7701C02A-0104-40F0-9E5D-2B1C1C40579C}"/>
    <cellStyle name="Normal 10 4 3 4" xfId="1926" xr:uid="{5ADF4F42-CF6F-4D70-A5F7-34B50D80C2F3}"/>
    <cellStyle name="Normal 10 4 3 4 2" xfId="5315" xr:uid="{6939B325-4105-4E51-850D-824CEEFFE04D}"/>
    <cellStyle name="Normal 10 4 3 4 2 2" xfId="13695" xr:uid="{ABDF23AA-DC2F-4C2D-88B8-D9BE92D2E962}"/>
    <cellStyle name="Normal 10 4 3 4 2 2 2" xfId="30455" xr:uid="{C8838A87-09A7-4EBC-AAA6-0D4D62EF8C9E}"/>
    <cellStyle name="Normal 10 4 3 4 2 2 3" xfId="47214" xr:uid="{BC388803-F2A0-456F-A857-691B8D5E5EE4}"/>
    <cellStyle name="Normal 10 4 3 4 2 3" xfId="22075" xr:uid="{B6917DBA-2ECD-4D1F-A3B2-5BF5704FB53A}"/>
    <cellStyle name="Normal 10 4 3 4 2 4" xfId="38834" xr:uid="{4CF45AE2-D39A-4D69-8D24-6832475C7E9F}"/>
    <cellStyle name="Normal 10 4 3 4 3" xfId="7002" xr:uid="{100FDF2F-0878-4E75-B1BA-708D6CC64F14}"/>
    <cellStyle name="Normal 10 4 3 4 3 2" xfId="15382" xr:uid="{A448D697-5CE2-4350-AA4D-160E8BAA2B21}"/>
    <cellStyle name="Normal 10 4 3 4 3 2 2" xfId="32142" xr:uid="{9416435B-AD6D-4EE4-80E6-45FF20371CF4}"/>
    <cellStyle name="Normal 10 4 3 4 3 2 3" xfId="48901" xr:uid="{02F3D12A-36C8-47DA-9A48-12208A2C869A}"/>
    <cellStyle name="Normal 10 4 3 4 3 3" xfId="23762" xr:uid="{AB5FD2F7-5AE5-4285-B43D-81A6E51F0224}"/>
    <cellStyle name="Normal 10 4 3 4 3 4" xfId="40521" xr:uid="{C2E9CEEB-CCA6-4BC0-BFF0-F0DC0B040ECA}"/>
    <cellStyle name="Normal 10 4 3 4 4" xfId="3625" xr:uid="{0A95A9B1-57D6-4D82-9A8E-F559BE45762A}"/>
    <cellStyle name="Normal 10 4 3 4 4 2" xfId="12005" xr:uid="{7FD4F0BB-6EAD-4486-A709-138752B0C24A}"/>
    <cellStyle name="Normal 10 4 3 4 4 2 2" xfId="28765" xr:uid="{E8D93858-04A3-4B25-894C-74E5605B01F8}"/>
    <cellStyle name="Normal 10 4 3 4 4 2 3" xfId="45524" xr:uid="{6022A4B9-A0F3-4385-8A0C-F3D195DEB64A}"/>
    <cellStyle name="Normal 10 4 3 4 4 3" xfId="20385" xr:uid="{51410E03-3C8B-4361-BCB8-EE8976565F9C}"/>
    <cellStyle name="Normal 10 4 3 4 4 4" xfId="37144" xr:uid="{6A23DB05-8FB0-4BCE-B7CA-E1512D28EBC0}"/>
    <cellStyle name="Normal 10 4 3 4 5" xfId="10315" xr:uid="{E4EF6B3B-B3AC-44D2-993F-CA367F0C60E1}"/>
    <cellStyle name="Normal 10 4 3 4 5 2" xfId="27075" xr:uid="{64382C26-3CF8-4E63-A143-E492C2F3C8F3}"/>
    <cellStyle name="Normal 10 4 3 4 5 3" xfId="43834" xr:uid="{5EC10793-11FB-42C5-895C-57FD3D5A69DD}"/>
    <cellStyle name="Normal 10 4 3 4 6" xfId="18695" xr:uid="{3FC1FC44-2ADC-4C72-BC9C-9C171925CDD8}"/>
    <cellStyle name="Normal 10 4 3 4 7" xfId="35454" xr:uid="{2BC0387B-66E3-4E33-A069-F3A44CC53D8D}"/>
    <cellStyle name="Normal 10 4 3 5" xfId="4045" xr:uid="{903733E3-78F1-440A-987C-97568F52ED50}"/>
    <cellStyle name="Normal 10 4 3 5 2" xfId="12425" xr:uid="{D2D66BDA-E851-4153-9369-625FB879231F}"/>
    <cellStyle name="Normal 10 4 3 5 2 2" xfId="29185" xr:uid="{21F79314-8F31-4821-9DC8-808C15B646A6}"/>
    <cellStyle name="Normal 10 4 3 5 2 3" xfId="45944" xr:uid="{9017FC22-AF61-47E8-82E2-9CEEC77D5F8C}"/>
    <cellStyle name="Normal 10 4 3 5 3" xfId="20805" xr:uid="{AC35E50C-3DC3-4FC9-BF1D-B82C7F1824A3}"/>
    <cellStyle name="Normal 10 4 3 5 4" xfId="37564" xr:uid="{72F317E6-9073-4607-8AC5-EC3ED3642694}"/>
    <cellStyle name="Normal 10 4 3 6" xfId="5582" xr:uid="{1F6A6EEE-33E4-4F01-A381-0CE0031BF148}"/>
    <cellStyle name="Normal 10 4 3 6 2" xfId="13962" xr:uid="{2651A561-BBFA-43D9-A54D-971279954BCC}"/>
    <cellStyle name="Normal 10 4 3 6 2 2" xfId="30722" xr:uid="{88D2A5C8-6E2A-4470-AAA8-F665E30C6F3D}"/>
    <cellStyle name="Normal 10 4 3 6 2 3" xfId="47481" xr:uid="{DF44423E-C9DD-4AB4-98B4-BE99348786D9}"/>
    <cellStyle name="Normal 10 4 3 6 3" xfId="22342" xr:uid="{2C9C7C4C-3FDA-4EC2-8C1A-F38D0E402E69}"/>
    <cellStyle name="Normal 10 4 3 6 4" xfId="39101" xr:uid="{D1C3AC47-6DF9-483F-9B27-30D85078591A}"/>
    <cellStyle name="Normal 10 4 3 7" xfId="7408" xr:uid="{2D35FCB5-49E9-46F4-8B99-10936E151ACE}"/>
    <cellStyle name="Normal 10 4 3 7 2" xfId="15788" xr:uid="{2DD309EB-B970-469C-9F61-F340B47BDC87}"/>
    <cellStyle name="Normal 10 4 3 7 2 2" xfId="32548" xr:uid="{88A76858-30CB-45BF-BE39-344C9FD5DE9E}"/>
    <cellStyle name="Normal 10 4 3 7 2 3" xfId="49307" xr:uid="{6ED3B09B-2ADB-493F-A2B5-864B4133891D}"/>
    <cellStyle name="Normal 10 4 3 7 3" xfId="24168" xr:uid="{9548F5B7-5F11-4E30-95D7-2847B5065847}"/>
    <cellStyle name="Normal 10 4 3 7 4" xfId="40927" xr:uid="{57D6862C-1E41-4167-92EA-BC678786EF46}"/>
    <cellStyle name="Normal 10 4 3 8" xfId="7814" xr:uid="{EB9716CF-AB33-48DE-A184-7964C62E65C1}"/>
    <cellStyle name="Normal 10 4 3 8 2" xfId="16194" xr:uid="{D0EFD36A-2AF6-493A-BB8B-3305F21C986D}"/>
    <cellStyle name="Normal 10 4 3 8 2 2" xfId="32954" xr:uid="{72AAD7D6-36F8-41EB-837E-45AE32B5E7DE}"/>
    <cellStyle name="Normal 10 4 3 8 2 3" xfId="49713" xr:uid="{F7F61D57-5B27-4F39-A00C-B76F8CE12D9E}"/>
    <cellStyle name="Normal 10 4 3 8 3" xfId="24574" xr:uid="{44FE6B76-392D-4C2E-B1A3-810E3C612AAA}"/>
    <cellStyle name="Normal 10 4 3 8 4" xfId="41333" xr:uid="{5C8C7995-3C3D-4C65-AFEE-1EB6374ACF41}"/>
    <cellStyle name="Normal 10 4 3 9" xfId="8220" xr:uid="{8639209B-5F8F-483B-A329-8EBE2425ECB2}"/>
    <cellStyle name="Normal 10 4 3 9 2" xfId="16600" xr:uid="{B5EC4CD8-2541-4180-B403-976EF6DFB685}"/>
    <cellStyle name="Normal 10 4 3 9 2 2" xfId="33360" xr:uid="{0D1E42D0-3DC9-4121-93E5-E270EB229980}"/>
    <cellStyle name="Normal 10 4 3 9 2 3" xfId="50119" xr:uid="{6D807B1C-4F65-4333-9C34-E203229CA882}"/>
    <cellStyle name="Normal 10 4 3 9 3" xfId="24980" xr:uid="{7DDC9A34-2EE5-4841-908A-3C7611455CDB}"/>
    <cellStyle name="Normal 10 4 3 9 4" xfId="41739" xr:uid="{B308026E-75EF-4CF7-A364-9BA28D1061B9}"/>
    <cellStyle name="Normal 10 4 4" xfId="840" xr:uid="{CD1AB210-77FD-4BAC-A056-F55D622E0967}"/>
    <cellStyle name="Normal 10 4 4 2" xfId="4235" xr:uid="{FC728EFB-20A5-4240-BC35-E1A2A0D3F225}"/>
    <cellStyle name="Normal 10 4 4 2 2" xfId="12615" xr:uid="{7CB4AA2D-F467-4495-B338-736385108989}"/>
    <cellStyle name="Normal 10 4 4 2 2 2" xfId="29375" xr:uid="{8F075A63-794F-421B-9FE4-530C3075CBEE}"/>
    <cellStyle name="Normal 10 4 4 2 2 3" xfId="46134" xr:uid="{1EDB870F-9202-440E-96EF-1E3E8E320FFD}"/>
    <cellStyle name="Normal 10 4 4 2 3" xfId="20995" xr:uid="{D555BE06-3668-486D-9611-D838FFDA170F}"/>
    <cellStyle name="Normal 10 4 4 2 4" xfId="37754" xr:uid="{45058F3F-2A3A-4FA9-9FA9-20C1B7AF0A2F}"/>
    <cellStyle name="Normal 10 4 4 3" xfId="5922" xr:uid="{2AB193AB-CB84-48E1-835D-6A1BF9928BE6}"/>
    <cellStyle name="Normal 10 4 4 3 2" xfId="14302" xr:uid="{552DF893-0224-428D-8A4B-382A15C97A5B}"/>
    <cellStyle name="Normal 10 4 4 3 2 2" xfId="31062" xr:uid="{969D2D97-85B7-47B7-A48D-11144F2BF70F}"/>
    <cellStyle name="Normal 10 4 4 3 2 3" xfId="47821" xr:uid="{A7579DE6-1A10-4568-B33C-64E5F36DB052}"/>
    <cellStyle name="Normal 10 4 4 3 3" xfId="22682" xr:uid="{E815D897-88A6-49CD-9D9B-5B2FE206A32C}"/>
    <cellStyle name="Normal 10 4 4 3 4" xfId="39441" xr:uid="{6DE80B82-0BA7-48E7-9897-DC8C773A00DF}"/>
    <cellStyle name="Normal 10 4 4 4" xfId="2658" xr:uid="{93DBBCEC-4C11-426F-9D6B-551D903E8DFB}"/>
    <cellStyle name="Normal 10 4 4 4 2" xfId="11038" xr:uid="{89DD156E-6947-4C6D-B1A0-39A6B7138672}"/>
    <cellStyle name="Normal 10 4 4 4 2 2" xfId="27798" xr:uid="{A901E85D-8CFB-4798-A974-3DB9BB8D3E5E}"/>
    <cellStyle name="Normal 10 4 4 4 2 3" xfId="44557" xr:uid="{E5571195-1AA2-4B58-8A42-5007F03D4AC3}"/>
    <cellStyle name="Normal 10 4 4 4 3" xfId="19418" xr:uid="{4553EEC3-64A8-4036-A8C1-95CB46B0EF0F}"/>
    <cellStyle name="Normal 10 4 4 4 4" xfId="36177" xr:uid="{397490C3-9F9D-4571-8A81-2E7C6A4076C1}"/>
    <cellStyle name="Normal 10 4 4 5" xfId="9235" xr:uid="{702D237D-7230-4561-823C-CABD37B308D2}"/>
    <cellStyle name="Normal 10 4 4 5 2" xfId="25995" xr:uid="{90E43550-D747-4307-8D46-253E1443D0D2}"/>
    <cellStyle name="Normal 10 4 4 5 3" xfId="42754" xr:uid="{0DAAFA92-BB16-4F1E-9FBC-ABA7E68E5C88}"/>
    <cellStyle name="Normal 10 4 4 6" xfId="17615" xr:uid="{F4B2CB2D-36D8-4A90-B915-FF4BB3569365}"/>
    <cellStyle name="Normal 10 4 4 7" xfId="34374" xr:uid="{5036048E-B8FE-40FB-BB80-E36D7E1EF304}"/>
    <cellStyle name="Normal 10 4 5" xfId="1274" xr:uid="{BA89EBDA-81D9-44A4-BDF0-2BD2B285BA89}"/>
    <cellStyle name="Normal 10 4 5 2" xfId="4663" xr:uid="{C0978184-3C39-458A-B1D9-C91BD5E82FFF}"/>
    <cellStyle name="Normal 10 4 5 2 2" xfId="13043" xr:uid="{3642D794-ABA4-4928-91EA-6AD00E332486}"/>
    <cellStyle name="Normal 10 4 5 2 2 2" xfId="29803" xr:uid="{24FB98E1-F67D-49FE-A452-CB641E59FFE8}"/>
    <cellStyle name="Normal 10 4 5 2 2 3" xfId="46562" xr:uid="{D5B38D74-003B-42B7-BA83-F47E7A75899A}"/>
    <cellStyle name="Normal 10 4 5 2 3" xfId="21423" xr:uid="{5E48E56C-1C06-45A4-B63D-A8F6021CDC17}"/>
    <cellStyle name="Normal 10 4 5 2 4" xfId="38182" xr:uid="{10758C8E-47FC-45FC-A28E-2C737FC74C66}"/>
    <cellStyle name="Normal 10 4 5 3" xfId="6350" xr:uid="{B5F78F9F-9AD7-4E4D-BF86-CFA62AD8894F}"/>
    <cellStyle name="Normal 10 4 5 3 2" xfId="14730" xr:uid="{0CE6CFAD-721C-425C-BADA-7959D94BF1F9}"/>
    <cellStyle name="Normal 10 4 5 3 2 2" xfId="31490" xr:uid="{33A6CE1A-6598-411C-940B-DB683F480520}"/>
    <cellStyle name="Normal 10 4 5 3 2 3" xfId="48249" xr:uid="{F84C713F-D72D-4D4F-8775-F1207F677A68}"/>
    <cellStyle name="Normal 10 4 5 3 3" xfId="23110" xr:uid="{E8E29E46-5C8E-4251-B99E-15583ED09E90}"/>
    <cellStyle name="Normal 10 4 5 3 4" xfId="39869" xr:uid="{3FA1A3EC-1146-4E81-A60C-012796D6EC5C}"/>
    <cellStyle name="Normal 10 4 5 4" xfId="3086" xr:uid="{741D5806-08B8-44A2-8D04-C1E1A2CDD34C}"/>
    <cellStyle name="Normal 10 4 5 4 2" xfId="11466" xr:uid="{4823A34E-073B-4EEC-B6E2-576377B87D14}"/>
    <cellStyle name="Normal 10 4 5 4 2 2" xfId="28226" xr:uid="{2249D670-A6FC-4F1A-BEBB-36D12726A2A6}"/>
    <cellStyle name="Normal 10 4 5 4 2 3" xfId="44985" xr:uid="{ACA51982-06AC-4F28-A296-D8CF1582FB3A}"/>
    <cellStyle name="Normal 10 4 5 4 3" xfId="19846" xr:uid="{EE06E75D-0783-4F00-80F4-C53B064C7056}"/>
    <cellStyle name="Normal 10 4 5 4 4" xfId="36605" xr:uid="{341DBD49-A159-4E36-9EB2-B0632F48EE9E}"/>
    <cellStyle name="Normal 10 4 5 5" xfId="9663" xr:uid="{C4D5949F-3D21-4A01-AB3D-DA572CC5D65C}"/>
    <cellStyle name="Normal 10 4 5 5 2" xfId="26423" xr:uid="{D3D5C1B2-DF71-4C1A-AA3E-7B12DFD20799}"/>
    <cellStyle name="Normal 10 4 5 5 3" xfId="43182" xr:uid="{48AD8F70-AA90-48B0-9E18-76FDE226CB90}"/>
    <cellStyle name="Normal 10 4 5 6" xfId="18043" xr:uid="{309ECED1-0182-4D2B-9535-C0855ACD275A}"/>
    <cellStyle name="Normal 10 4 5 7" xfId="34802" xr:uid="{53777329-5FC8-4722-96F4-3BF56397311C}"/>
    <cellStyle name="Normal 10 4 6" xfId="1655" xr:uid="{161806BE-6A92-44C5-ABEF-4B70BAA245D9}"/>
    <cellStyle name="Normal 10 4 6 2" xfId="5044" xr:uid="{AD9C807C-644F-4F79-BB9F-07EDDD1E80FD}"/>
    <cellStyle name="Normal 10 4 6 2 2" xfId="13424" xr:uid="{9834B8E7-E4B3-4AA9-AE75-A420C1068713}"/>
    <cellStyle name="Normal 10 4 6 2 2 2" xfId="30184" xr:uid="{2CCDE90C-17E9-4693-AF7C-7F53A2C53134}"/>
    <cellStyle name="Normal 10 4 6 2 2 3" xfId="46943" xr:uid="{F7E99011-077D-4F62-983E-4F2BBB252EE1}"/>
    <cellStyle name="Normal 10 4 6 2 3" xfId="21804" xr:uid="{CFF49694-C5D3-4B14-BF40-CEC0FFA70BB2}"/>
    <cellStyle name="Normal 10 4 6 2 4" xfId="38563" xr:uid="{21898CEB-85BB-4986-8B5E-DEF563BC972A}"/>
    <cellStyle name="Normal 10 4 6 3" xfId="6731" xr:uid="{C4911D98-208D-4F11-B99B-4EACB2E28E44}"/>
    <cellStyle name="Normal 10 4 6 3 2" xfId="15111" xr:uid="{9A77E598-3E17-40A6-876D-540F5A87FC4A}"/>
    <cellStyle name="Normal 10 4 6 3 2 2" xfId="31871" xr:uid="{BFF0D0CC-2DC0-421A-AC1F-87468EEFD9A3}"/>
    <cellStyle name="Normal 10 4 6 3 2 3" xfId="48630" xr:uid="{4ED31263-5CC1-4D69-9D74-ABCC5864706D}"/>
    <cellStyle name="Normal 10 4 6 3 3" xfId="23491" xr:uid="{A079D6A5-6A75-4890-B7A6-A6E72D0B0A53}"/>
    <cellStyle name="Normal 10 4 6 3 4" xfId="40250" xr:uid="{6A6B780F-7477-4025-BCC5-E67262229AC1}"/>
    <cellStyle name="Normal 10 4 6 4" xfId="2228" xr:uid="{EA527A3D-188A-43B0-8CC6-D8DDA3443892}"/>
    <cellStyle name="Normal 10 4 6 4 2" xfId="10612" xr:uid="{0D1FC08F-C6B9-4B3A-9396-3D4A2F60280E}"/>
    <cellStyle name="Normal 10 4 6 4 2 2" xfId="27372" xr:uid="{8DB3D0A0-C213-4709-9F0E-96E69549E49B}"/>
    <cellStyle name="Normal 10 4 6 4 2 3" xfId="44131" xr:uid="{1E046DCE-6D76-4347-B355-50E99AB2688F}"/>
    <cellStyle name="Normal 10 4 6 4 3" xfId="18992" xr:uid="{799FB7EC-6EC8-4DB1-9752-BBD89B0B707D}"/>
    <cellStyle name="Normal 10 4 6 4 4" xfId="35751" xr:uid="{C756DD8F-13FE-4C35-AD45-6BABE60B996C}"/>
    <cellStyle name="Normal 10 4 6 5" xfId="10044" xr:uid="{7F7C09FD-C4C0-446D-8A82-9ED79E71BD9D}"/>
    <cellStyle name="Normal 10 4 6 5 2" xfId="26804" xr:uid="{FC0DD128-668C-4C4D-8B7E-025EF238FF3D}"/>
    <cellStyle name="Normal 10 4 6 5 3" xfId="43563" xr:uid="{12C49FCA-F1D5-461E-A075-11EEBECCA8F5}"/>
    <cellStyle name="Normal 10 4 6 6" xfId="18424" xr:uid="{42CFDD3B-4FDB-4434-B4C4-0D9DA7EA1247}"/>
    <cellStyle name="Normal 10 4 6 7" xfId="35183" xr:uid="{F3CB8F5A-5BDF-4397-AC6C-53EC1D51F979}"/>
    <cellStyle name="Normal 10 4 7" xfId="3773" xr:uid="{51566E70-BF60-49B2-A4D8-9D9488D5D0E8}"/>
    <cellStyle name="Normal 10 4 7 2" xfId="12153" xr:uid="{DFD0B3AA-7BB4-4D8E-B01A-91C084BAD105}"/>
    <cellStyle name="Normal 10 4 7 2 2" xfId="28913" xr:uid="{F28EE671-E473-4CF2-A2D5-BD1ABBB488E7}"/>
    <cellStyle name="Normal 10 4 7 2 3" xfId="45672" xr:uid="{6B6AF8BD-6D3D-40FF-9F37-7F0D40256E80}"/>
    <cellStyle name="Normal 10 4 7 3" xfId="20533" xr:uid="{E6ED339F-A3E4-4932-BEDE-8D534AFC2939}"/>
    <cellStyle name="Normal 10 4 7 4" xfId="37292" xr:uid="{FB52374A-B97E-4BC8-BFB9-B88B65FCD4B1}"/>
    <cellStyle name="Normal 10 4 8" xfId="5496" xr:uid="{127EB15E-0520-425C-B5FA-5257F9CFBDB9}"/>
    <cellStyle name="Normal 10 4 8 2" xfId="13876" xr:uid="{EAC96304-4C7E-4864-909B-CB59CE22802F}"/>
    <cellStyle name="Normal 10 4 8 2 2" xfId="30636" xr:uid="{0B50582F-819B-4961-AD3A-6701D56D16FF}"/>
    <cellStyle name="Normal 10 4 8 2 3" xfId="47395" xr:uid="{64C6A0A4-71CC-4F1B-8E7A-9812191EBCC2}"/>
    <cellStyle name="Normal 10 4 8 3" xfId="22256" xr:uid="{EF37ED30-A057-4904-B5D6-53EFAD39C49F}"/>
    <cellStyle name="Normal 10 4 8 4" xfId="39015" xr:uid="{A5AC69F9-180C-4EB4-9803-436FEAC8BA67}"/>
    <cellStyle name="Normal 10 4 9" xfId="7137" xr:uid="{8F3C0EB3-2E6D-45C3-844E-5986D35882E7}"/>
    <cellStyle name="Normal 10 4 9 2" xfId="15517" xr:uid="{92089B9B-0914-4AE1-AAA8-AB22846F4F24}"/>
    <cellStyle name="Normal 10 4 9 2 2" xfId="32277" xr:uid="{3FDBD7A4-8757-4DE8-B234-67D468111381}"/>
    <cellStyle name="Normal 10 4 9 2 3" xfId="49036" xr:uid="{8D7E69DE-EEAA-4156-B252-C27A1BAD37FA}"/>
    <cellStyle name="Normal 10 4 9 3" xfId="23897" xr:uid="{F66E2B6C-A41B-4F75-B504-0D4C65A04FB0}"/>
    <cellStyle name="Normal 10 4 9 4" xfId="40656" xr:uid="{35D04F17-C12C-4965-9805-C79E6A70C28D}"/>
    <cellStyle name="Normal 10 5" xfId="322" xr:uid="{EB521620-D79B-41D6-88FC-8993D0146C05}"/>
    <cellStyle name="Normal 10 5 10" xfId="7544" xr:uid="{463732F1-D3F2-4A5B-8066-A52F8BE0E2F7}"/>
    <cellStyle name="Normal 10 5 10 2" xfId="15924" xr:uid="{D44AA71D-BEEA-42B2-A919-AF650BED3AA2}"/>
    <cellStyle name="Normal 10 5 10 2 2" xfId="32684" xr:uid="{CD7CBDD1-009C-4AC9-B05F-BE35A9F0B8F6}"/>
    <cellStyle name="Normal 10 5 10 2 3" xfId="49443" xr:uid="{A6270628-9FF2-435D-8B5D-51D338325B4C}"/>
    <cellStyle name="Normal 10 5 10 3" xfId="24304" xr:uid="{D628F90F-8D11-4523-91A1-7FAF90FA061C}"/>
    <cellStyle name="Normal 10 5 10 4" xfId="41063" xr:uid="{4BAD19E4-0C61-4010-8B63-AD8233A330F8}"/>
    <cellStyle name="Normal 10 5 11" xfId="7950" xr:uid="{66CCE56A-BA88-4A4E-9156-14D72F8FFEBF}"/>
    <cellStyle name="Normal 10 5 11 2" xfId="16330" xr:uid="{3B64CAD0-9FDF-4391-A7B3-3F664C281C62}"/>
    <cellStyle name="Normal 10 5 11 2 2" xfId="33090" xr:uid="{26440A78-C92D-4CF9-B638-DDD6D223BAC0}"/>
    <cellStyle name="Normal 10 5 11 2 3" xfId="49849" xr:uid="{CC02A0B5-E63E-4E9D-9011-E2DD9067DD6A}"/>
    <cellStyle name="Normal 10 5 11 3" xfId="24710" xr:uid="{C38F07B4-03AB-4830-A896-20B0DDCF662B}"/>
    <cellStyle name="Normal 10 5 11 4" xfId="41469" xr:uid="{28FC6141-14C7-4673-BC03-4FA9EC0A83E7}"/>
    <cellStyle name="Normal 10 5 12" xfId="8356" xr:uid="{E71E3444-47C4-45C3-AB3F-70503F79050F}"/>
    <cellStyle name="Normal 10 5 12 2" xfId="16736" xr:uid="{9B216D1D-5A7D-4497-9114-AB0D10FB4350}"/>
    <cellStyle name="Normal 10 5 12 2 2" xfId="33496" xr:uid="{DE189702-52F9-41FB-8B78-080D540616F4}"/>
    <cellStyle name="Normal 10 5 12 2 3" xfId="50255" xr:uid="{0C5AE490-B31C-4C3B-80ED-4DDC97A6A29C}"/>
    <cellStyle name="Normal 10 5 12 3" xfId="25116" xr:uid="{990ED757-8616-45C4-940C-09BBA5F3706C}"/>
    <cellStyle name="Normal 10 5 12 4" xfId="41875" xr:uid="{04CB3450-A3C3-4116-AFF0-953CA07A9AD1}"/>
    <cellStyle name="Normal 10 5 13" xfId="2075" xr:uid="{195F6CF5-96DC-4C3A-AD3D-0F3376FB5396}"/>
    <cellStyle name="Normal 10 5 13 2" xfId="10463" xr:uid="{56002AFA-FDE3-4808-80C4-47A06B1D3C1E}"/>
    <cellStyle name="Normal 10 5 13 2 2" xfId="27223" xr:uid="{1B16958D-3F71-41C6-84C3-CA0D5A712370}"/>
    <cellStyle name="Normal 10 5 13 2 3" xfId="43982" xr:uid="{F6435130-8330-49C6-B055-874C40D39D1B}"/>
    <cellStyle name="Normal 10 5 13 3" xfId="18843" xr:uid="{D6ECD0D8-CC53-47BD-82AB-9448E324E74F}"/>
    <cellStyle name="Normal 10 5 13 4" xfId="35602" xr:uid="{F4939426-C636-4105-A69C-962AC69A030E}"/>
    <cellStyle name="Normal 10 5 14" xfId="8792" xr:uid="{07AE65D5-036E-4041-8CEA-5F03094EE580}"/>
    <cellStyle name="Normal 10 5 14 2" xfId="25552" xr:uid="{0EA95B07-6DCE-462C-AEA4-C94FD31AEC39}"/>
    <cellStyle name="Normal 10 5 14 3" xfId="42311" xr:uid="{1AB68B8F-CA7A-47BF-A134-EAD5A75A4D5C}"/>
    <cellStyle name="Normal 10 5 15" xfId="17172" xr:uid="{FEFF0FDA-991A-4E94-8A91-BB785555D622}"/>
    <cellStyle name="Normal 10 5 16" xfId="33931" xr:uid="{FEE94487-D7EA-4C39-9A55-A3D9005C5266}"/>
    <cellStyle name="Normal 10 5 2" xfId="485" xr:uid="{7ABE7836-6AB4-4139-B457-835E15EFB72D}"/>
    <cellStyle name="Normal 10 5 2 10" xfId="8476" xr:uid="{0578B28A-247F-4AC7-A84A-3B19D6A2676E}"/>
    <cellStyle name="Normal 10 5 2 10 2" xfId="16856" xr:uid="{13C70089-9DFA-4F38-9264-2F96C56AF64D}"/>
    <cellStyle name="Normal 10 5 2 10 2 2" xfId="33616" xr:uid="{5ABD06B0-A5AA-4D77-B9D8-08940910A9A7}"/>
    <cellStyle name="Normal 10 5 2 10 2 3" xfId="50375" xr:uid="{B3381EB1-27E0-4B74-9E18-5F93331B151F}"/>
    <cellStyle name="Normal 10 5 2 10 3" xfId="25236" xr:uid="{95E636E4-E3C2-4C35-8085-133659524072}"/>
    <cellStyle name="Normal 10 5 2 10 4" xfId="41995" xr:uid="{A06103CF-5DE4-42F4-9F68-FAB74E2BFE7D}"/>
    <cellStyle name="Normal 10 5 2 11" xfId="2317" xr:uid="{62409B92-4FA2-434C-8DCB-68D24B720045}"/>
    <cellStyle name="Normal 10 5 2 11 2" xfId="10699" xr:uid="{D5F5858A-48EE-4E0A-8F88-F241BB0117EE}"/>
    <cellStyle name="Normal 10 5 2 11 2 2" xfId="27459" xr:uid="{1ACDAACF-65BE-4781-AEE0-E60DFDB350CE}"/>
    <cellStyle name="Normal 10 5 2 11 2 3" xfId="44218" xr:uid="{716EB2F2-83B2-48C1-9D9D-DE41558C61D8}"/>
    <cellStyle name="Normal 10 5 2 11 3" xfId="19079" xr:uid="{684FFD7B-7931-4388-8E39-B9088EB48636}"/>
    <cellStyle name="Normal 10 5 2 11 4" xfId="35838" xr:uid="{3EE6706F-3765-4AC0-891D-1FCC18A4E358}"/>
    <cellStyle name="Normal 10 5 2 12" xfId="8896" xr:uid="{A07F7263-DA6D-400C-ABDA-319A22792E18}"/>
    <cellStyle name="Normal 10 5 2 12 2" xfId="25656" xr:uid="{6EB9D2F1-A4DE-4FB8-B67C-D8615FB5604D}"/>
    <cellStyle name="Normal 10 5 2 12 3" xfId="42415" xr:uid="{FB5A9D68-333C-44E6-940D-0367BBA10510}"/>
    <cellStyle name="Normal 10 5 2 13" xfId="17276" xr:uid="{B656BB58-5283-4BB4-B269-443FF0E30C3D}"/>
    <cellStyle name="Normal 10 5 2 14" xfId="34035" xr:uid="{ED700013-CC5B-464F-9960-CAADBB831779}"/>
    <cellStyle name="Normal 10 5 2 2" xfId="927" xr:uid="{78272B5D-68A0-46C0-BFCB-A84345F7CBF1}"/>
    <cellStyle name="Normal 10 5 2 2 2" xfId="4322" xr:uid="{1B4FF131-7B27-4A79-85F6-A24D3CB62CC4}"/>
    <cellStyle name="Normal 10 5 2 2 2 2" xfId="12702" xr:uid="{A2D68AB4-48D9-40BE-B085-AC7207BE13A3}"/>
    <cellStyle name="Normal 10 5 2 2 2 2 2" xfId="29462" xr:uid="{583F844C-9DA8-4FE6-B7D9-A93C02B5F060}"/>
    <cellStyle name="Normal 10 5 2 2 2 2 3" xfId="46221" xr:uid="{BD86E36A-2F8E-4A22-B8B4-6A8C175CE3B4}"/>
    <cellStyle name="Normal 10 5 2 2 2 3" xfId="21082" xr:uid="{C7B40DFB-82A6-459A-8DE3-50E5A97A3C34}"/>
    <cellStyle name="Normal 10 5 2 2 2 4" xfId="37841" xr:uid="{9E125673-1CE4-4166-A716-0EAF9FC1D249}"/>
    <cellStyle name="Normal 10 5 2 2 3" xfId="6009" xr:uid="{F681A97F-ABC2-42E6-A437-D2236D58A8F9}"/>
    <cellStyle name="Normal 10 5 2 2 3 2" xfId="14389" xr:uid="{8772163F-9DB6-4702-A3E0-3FEDCDD39050}"/>
    <cellStyle name="Normal 10 5 2 2 3 2 2" xfId="31149" xr:uid="{BD5D6256-0D41-44F5-B97C-BCB48F4A2095}"/>
    <cellStyle name="Normal 10 5 2 2 3 2 3" xfId="47908" xr:uid="{074582E5-ED80-4F43-8476-91A6B639C248}"/>
    <cellStyle name="Normal 10 5 2 2 3 3" xfId="22769" xr:uid="{29795841-0DD1-40A9-AAEA-AF5525C5D046}"/>
    <cellStyle name="Normal 10 5 2 2 3 4" xfId="39528" xr:uid="{C27F8D82-703F-4CD0-A7D7-75F3EA6EB491}"/>
    <cellStyle name="Normal 10 5 2 2 4" xfId="2745" xr:uid="{7C9324BF-FC80-441B-9255-75D46836AFEC}"/>
    <cellStyle name="Normal 10 5 2 2 4 2" xfId="11125" xr:uid="{DC1E39BF-D592-442E-8F04-64EF13203666}"/>
    <cellStyle name="Normal 10 5 2 2 4 2 2" xfId="27885" xr:uid="{454140BB-E450-4305-95CF-EAA02E579CF3}"/>
    <cellStyle name="Normal 10 5 2 2 4 2 3" xfId="44644" xr:uid="{0D61E93B-AE20-4EE1-B907-954AFB15317E}"/>
    <cellStyle name="Normal 10 5 2 2 4 3" xfId="19505" xr:uid="{F207D3CE-D418-4B77-AA76-042550701146}"/>
    <cellStyle name="Normal 10 5 2 2 4 4" xfId="36264" xr:uid="{7706EB32-5D55-4A15-9414-77F26042EA6F}"/>
    <cellStyle name="Normal 10 5 2 2 5" xfId="9322" xr:uid="{35998FD2-2BB1-49D0-B135-00103B630E92}"/>
    <cellStyle name="Normal 10 5 2 2 5 2" xfId="26082" xr:uid="{7003A34B-506B-4AB6-9A61-D82C930319E6}"/>
    <cellStyle name="Normal 10 5 2 2 5 3" xfId="42841" xr:uid="{3EDFFC9F-F088-493D-8A54-A4F1914057D1}"/>
    <cellStyle name="Normal 10 5 2 2 6" xfId="17702" xr:uid="{43075073-8F8E-4D01-923F-4C0FDB1C4BE8}"/>
    <cellStyle name="Normal 10 5 2 2 7" xfId="34461" xr:uid="{47C23669-42BC-4E2B-A1BD-1E6573613F1F}"/>
    <cellStyle name="Normal 10 5 2 3" xfId="1361" xr:uid="{EDE82317-5306-4A25-A5BB-3163F890507B}"/>
    <cellStyle name="Normal 10 5 2 3 2" xfId="4750" xr:uid="{F049ED15-9541-4EF4-972D-9CA45BA03B32}"/>
    <cellStyle name="Normal 10 5 2 3 2 2" xfId="13130" xr:uid="{B3ED4B7D-8CF8-41B8-B084-89B7453773F3}"/>
    <cellStyle name="Normal 10 5 2 3 2 2 2" xfId="29890" xr:uid="{30E5FC43-B7C0-4B95-A48D-F65C3C68BC87}"/>
    <cellStyle name="Normal 10 5 2 3 2 2 3" xfId="46649" xr:uid="{6FE90A8E-BF38-4565-849E-F230B9A51D08}"/>
    <cellStyle name="Normal 10 5 2 3 2 3" xfId="21510" xr:uid="{1EF2A753-E3BE-4377-9AD1-BE7964A7FC99}"/>
    <cellStyle name="Normal 10 5 2 3 2 4" xfId="38269" xr:uid="{0F908E87-FCCE-43F4-B981-1FF0DDB325F1}"/>
    <cellStyle name="Normal 10 5 2 3 3" xfId="6437" xr:uid="{41A61842-FDD8-4BBA-9979-1FC2A23B2D41}"/>
    <cellStyle name="Normal 10 5 2 3 3 2" xfId="14817" xr:uid="{7F9EE6CE-DDEB-4D41-8583-C188D1DC267F}"/>
    <cellStyle name="Normal 10 5 2 3 3 2 2" xfId="31577" xr:uid="{F5AAE2FB-ED34-4BB9-B5FC-7020C99A174D}"/>
    <cellStyle name="Normal 10 5 2 3 3 2 3" xfId="48336" xr:uid="{10398D5D-7361-4349-8C79-355B7A6E7AE0}"/>
    <cellStyle name="Normal 10 5 2 3 3 3" xfId="23197" xr:uid="{A76F35E5-1BE5-4214-98CF-206CC302E029}"/>
    <cellStyle name="Normal 10 5 2 3 3 4" xfId="39956" xr:uid="{D5981023-6099-4C81-B43C-18148118A49B}"/>
    <cellStyle name="Normal 10 5 2 3 4" xfId="3173" xr:uid="{608594F9-2A5F-4A2D-8597-F27678537AAC}"/>
    <cellStyle name="Normal 10 5 2 3 4 2" xfId="11553" xr:uid="{67727561-25C1-4E31-8357-9461AC7E33D4}"/>
    <cellStyle name="Normal 10 5 2 3 4 2 2" xfId="28313" xr:uid="{6435F1FF-DE24-4D43-B2B8-83AB5E9D7EB1}"/>
    <cellStyle name="Normal 10 5 2 3 4 2 3" xfId="45072" xr:uid="{EEF58D5E-E48B-421C-8AFB-0FA08C497F3C}"/>
    <cellStyle name="Normal 10 5 2 3 4 3" xfId="19933" xr:uid="{33563372-1D74-4835-B051-BC20A48ADA54}"/>
    <cellStyle name="Normal 10 5 2 3 4 4" xfId="36692" xr:uid="{161125EE-835B-4F44-B045-AE8FB2A5CFEB}"/>
    <cellStyle name="Normal 10 5 2 3 5" xfId="9750" xr:uid="{91108AD2-7B68-410A-9967-7BAA8F71D6D3}"/>
    <cellStyle name="Normal 10 5 2 3 5 2" xfId="26510" xr:uid="{D7D0CE06-5F74-418E-B7AB-FE0530EC2FDD}"/>
    <cellStyle name="Normal 10 5 2 3 5 3" xfId="43269" xr:uid="{F61526CC-63BC-4CB0-9D5A-A0FD9A253806}"/>
    <cellStyle name="Normal 10 5 2 3 6" xfId="18130" xr:uid="{AAC51E6D-DCD4-4001-8F0E-8E8319316905}"/>
    <cellStyle name="Normal 10 5 2 3 7" xfId="34889" xr:uid="{475524C6-A612-4A9F-A2F9-8FF85DE3E290}"/>
    <cellStyle name="Normal 10 5 2 4" xfId="1776" xr:uid="{DD7155AE-A10D-4552-990C-E94D37D3BCDB}"/>
    <cellStyle name="Normal 10 5 2 4 2" xfId="5165" xr:uid="{6E477294-A21C-401F-A981-8EBBC68426BF}"/>
    <cellStyle name="Normal 10 5 2 4 2 2" xfId="13545" xr:uid="{43C93D19-D2C5-44B3-B845-A86AB0081FFC}"/>
    <cellStyle name="Normal 10 5 2 4 2 2 2" xfId="30305" xr:uid="{6C7DA0E8-3F8D-4532-8EE5-72364DDCEEA4}"/>
    <cellStyle name="Normal 10 5 2 4 2 2 3" xfId="47064" xr:uid="{5BE3B021-1366-4966-8E0C-08E2FF4DA690}"/>
    <cellStyle name="Normal 10 5 2 4 2 3" xfId="21925" xr:uid="{5E375B6A-11E0-431E-9AC5-755D88411BFF}"/>
    <cellStyle name="Normal 10 5 2 4 2 4" xfId="38684" xr:uid="{8A148200-3D9A-45BD-A762-0EDC3E131593}"/>
    <cellStyle name="Normal 10 5 2 4 3" xfId="6852" xr:uid="{2F3B7806-0605-419D-9ADC-D5FB43B778BE}"/>
    <cellStyle name="Normal 10 5 2 4 3 2" xfId="15232" xr:uid="{CE749D58-6D28-4557-81EB-05B94BF516FD}"/>
    <cellStyle name="Normal 10 5 2 4 3 2 2" xfId="31992" xr:uid="{B470A3E5-D2D1-41C2-8759-040CC56D2D60}"/>
    <cellStyle name="Normal 10 5 2 4 3 2 3" xfId="48751" xr:uid="{F513CE00-D8CD-4BEB-A234-FA569CE38C92}"/>
    <cellStyle name="Normal 10 5 2 4 3 3" xfId="23612" xr:uid="{61A223D0-03FE-4106-BEB3-EF942C1D72EA}"/>
    <cellStyle name="Normal 10 5 2 4 3 4" xfId="40371" xr:uid="{1EE9CD3E-8836-4D3A-BD80-262E8B5A6D6D}"/>
    <cellStyle name="Normal 10 5 2 4 4" xfId="3476" xr:uid="{9EFC29A1-7342-43AC-9098-E0AD3542B21D}"/>
    <cellStyle name="Normal 10 5 2 4 4 2" xfId="11856" xr:uid="{E7D5FDC2-C8A0-400C-B77F-C88A2E42E0F8}"/>
    <cellStyle name="Normal 10 5 2 4 4 2 2" xfId="28616" xr:uid="{CB31681C-3ED9-414C-9C9F-E20D6F7E15EF}"/>
    <cellStyle name="Normal 10 5 2 4 4 2 3" xfId="45375" xr:uid="{1960743E-A1F5-4C31-A12E-EE7614B835B0}"/>
    <cellStyle name="Normal 10 5 2 4 4 3" xfId="20236" xr:uid="{10F5323F-82AC-4162-B9E4-9AB894BFA45C}"/>
    <cellStyle name="Normal 10 5 2 4 4 4" xfId="36995" xr:uid="{20A9012A-7C3E-470D-BFC5-37F7B5A66698}"/>
    <cellStyle name="Normal 10 5 2 4 5" xfId="10165" xr:uid="{602F3C8D-B7F5-48D5-BC7B-37712442B74A}"/>
    <cellStyle name="Normal 10 5 2 4 5 2" xfId="26925" xr:uid="{9EF0A9AF-5DC8-4FD2-B286-9B79B5409EF1}"/>
    <cellStyle name="Normal 10 5 2 4 5 3" xfId="43684" xr:uid="{2E3719BE-ACF8-4006-AA32-753BB883D56C}"/>
    <cellStyle name="Normal 10 5 2 4 6" xfId="18545" xr:uid="{86F0F190-09B8-43D9-BD94-929832D3423A}"/>
    <cellStyle name="Normal 10 5 2 4 7" xfId="35304" xr:uid="{E5EBE5CE-0AA6-46EC-B383-77218631AF94}"/>
    <cellStyle name="Normal 10 5 2 5" xfId="3895" xr:uid="{B1F6085F-E62E-4F6D-A51D-E8F65123469E}"/>
    <cellStyle name="Normal 10 5 2 5 2" xfId="12275" xr:uid="{DFBD1AF5-29F1-4B92-8810-A380EFFEB9CF}"/>
    <cellStyle name="Normal 10 5 2 5 2 2" xfId="29035" xr:uid="{9EB4D808-8D2A-4776-AE0A-6E244E14B271}"/>
    <cellStyle name="Normal 10 5 2 5 2 3" xfId="45794" xr:uid="{712E8E61-1570-4896-A9E3-85CC15089F29}"/>
    <cellStyle name="Normal 10 5 2 5 3" xfId="20655" xr:uid="{8FAB8652-09C1-49DE-811A-639416238EFD}"/>
    <cellStyle name="Normal 10 5 2 5 4" xfId="37414" xr:uid="{891A6B11-2B47-4C3E-B65E-8DC9A422B387}"/>
    <cellStyle name="Normal 10 5 2 6" xfId="5583" xr:uid="{A8DC28A6-52E7-4E70-8608-1C8BAE9C3D1C}"/>
    <cellStyle name="Normal 10 5 2 6 2" xfId="13963" xr:uid="{13925DF4-477B-4F8B-BB93-630165457828}"/>
    <cellStyle name="Normal 10 5 2 6 2 2" xfId="30723" xr:uid="{EE651C47-DCB2-4358-93A0-176E30A11F80}"/>
    <cellStyle name="Normal 10 5 2 6 2 3" xfId="47482" xr:uid="{B016E211-6DE0-4342-B69E-73E4787AAB38}"/>
    <cellStyle name="Normal 10 5 2 6 3" xfId="22343" xr:uid="{1DCDA90E-2DDB-42AD-BE31-031B12B64FB0}"/>
    <cellStyle name="Normal 10 5 2 6 4" xfId="39102" xr:uid="{AAA1779D-4775-4F57-A2D6-D271A76D3BF0}"/>
    <cellStyle name="Normal 10 5 2 7" xfId="7258" xr:uid="{9C5CA68C-2C19-4792-A832-30D01653EB2B}"/>
    <cellStyle name="Normal 10 5 2 7 2" xfId="15638" xr:uid="{081831D6-AD99-4A15-9A8D-1814D97569C4}"/>
    <cellStyle name="Normal 10 5 2 7 2 2" xfId="32398" xr:uid="{96F756F1-B91E-4A2D-967F-030043EBBD4A}"/>
    <cellStyle name="Normal 10 5 2 7 2 3" xfId="49157" xr:uid="{ED13F8A5-E4F7-4C68-B3FF-B7BA6C1D2B42}"/>
    <cellStyle name="Normal 10 5 2 7 3" xfId="24018" xr:uid="{629B8439-6CAA-4309-8AFE-FD3EB4B36B88}"/>
    <cellStyle name="Normal 10 5 2 7 4" xfId="40777" xr:uid="{7E47B06F-E545-4C74-AD48-79C52D66076E}"/>
    <cellStyle name="Normal 10 5 2 8" xfId="7664" xr:uid="{BBA480CD-637C-443F-B1A5-D177BC374590}"/>
    <cellStyle name="Normal 10 5 2 8 2" xfId="16044" xr:uid="{6B86FCA9-5E3A-4DDD-B2A7-213AE41B3DDD}"/>
    <cellStyle name="Normal 10 5 2 8 2 2" xfId="32804" xr:uid="{134AABAC-43B8-46D0-80BE-A4E5B15555A0}"/>
    <cellStyle name="Normal 10 5 2 8 2 3" xfId="49563" xr:uid="{59A06515-7920-4AF8-9242-3B4584767F6A}"/>
    <cellStyle name="Normal 10 5 2 8 3" xfId="24424" xr:uid="{2765A710-5E34-49FB-8BD8-1A9B558EDF88}"/>
    <cellStyle name="Normal 10 5 2 8 4" xfId="41183" xr:uid="{C13FCE18-2885-4F05-89A6-7A5B02B97083}"/>
    <cellStyle name="Normal 10 5 2 9" xfId="8070" xr:uid="{5BECFCA9-DCAD-46A8-8D8D-093640B57EE3}"/>
    <cellStyle name="Normal 10 5 2 9 2" xfId="16450" xr:uid="{9B8CDFCE-BC1C-4310-B668-CDDAE55800E1}"/>
    <cellStyle name="Normal 10 5 2 9 2 2" xfId="33210" xr:uid="{43D2E9D0-2150-4601-86E5-1461E35199E4}"/>
    <cellStyle name="Normal 10 5 2 9 2 3" xfId="49969" xr:uid="{3225F444-D7F1-4C99-829E-AFC5B6BE2B24}"/>
    <cellStyle name="Normal 10 5 2 9 3" xfId="24830" xr:uid="{AF810620-D85A-4E63-A452-705B8A78BDFD}"/>
    <cellStyle name="Normal 10 5 2 9 4" xfId="41589" xr:uid="{C14B541C-227D-45BA-B47D-8E1EBF0E3F41}"/>
    <cellStyle name="Normal 10 5 3" xfId="486" xr:uid="{D65DCF78-7F91-493B-A0D5-5091E63A9BDB}"/>
    <cellStyle name="Normal 10 5 3 10" xfId="8627" xr:uid="{13710356-4E8E-441D-BBEA-510715229AA3}"/>
    <cellStyle name="Normal 10 5 3 10 2" xfId="17007" xr:uid="{5F018AA7-CDF2-49F6-BDE9-78524C569649}"/>
    <cellStyle name="Normal 10 5 3 10 2 2" xfId="33767" xr:uid="{CAF1E262-DA0E-401F-BD02-E6F72DAADDEC}"/>
    <cellStyle name="Normal 10 5 3 10 2 3" xfId="50526" xr:uid="{C94FE491-5982-408A-918F-DA895B8E9830}"/>
    <cellStyle name="Normal 10 5 3 10 3" xfId="25387" xr:uid="{B4964794-873D-4E82-A764-7186CC8A40F7}"/>
    <cellStyle name="Normal 10 5 3 10 4" xfId="42146" xr:uid="{7C6AE32D-0D45-438D-A843-5351A4792BC1}"/>
    <cellStyle name="Normal 10 5 3 11" xfId="2318" xr:uid="{3BB89506-7973-4BFA-A7E1-AA340ECC1A1C}"/>
    <cellStyle name="Normal 10 5 3 11 2" xfId="10700" xr:uid="{BD77C538-E36E-420D-AD18-AF419BB1B8DD}"/>
    <cellStyle name="Normal 10 5 3 11 2 2" xfId="27460" xr:uid="{86447E76-06F2-42A7-832A-4D4FFF6F18EC}"/>
    <cellStyle name="Normal 10 5 3 11 2 3" xfId="44219" xr:uid="{28828A64-3483-4058-9A82-6A337900518E}"/>
    <cellStyle name="Normal 10 5 3 11 3" xfId="19080" xr:uid="{D98F059E-B31E-45D8-BF06-9A00F0373BE7}"/>
    <cellStyle name="Normal 10 5 3 11 4" xfId="35839" xr:uid="{FAA80C07-460A-4CFD-93D0-15CAB0A96264}"/>
    <cellStyle name="Normal 10 5 3 12" xfId="8897" xr:uid="{0ABD51DA-8505-49CE-BE48-44D82753D2BD}"/>
    <cellStyle name="Normal 10 5 3 12 2" xfId="25657" xr:uid="{8F7BD383-6C7D-409C-8488-EA9F9BDA04AC}"/>
    <cellStyle name="Normal 10 5 3 12 3" xfId="42416" xr:uid="{A2E8A51E-AA0B-4D48-A09F-F5104A53071E}"/>
    <cellStyle name="Normal 10 5 3 13" xfId="17277" xr:uid="{DC3CDE67-1314-476A-82B1-3C0ACC6E50F3}"/>
    <cellStyle name="Normal 10 5 3 14" xfId="34036" xr:uid="{7A0AA1A2-DF4A-472D-8FB3-77247A00930D}"/>
    <cellStyle name="Normal 10 5 3 2" xfId="928" xr:uid="{EF454CA9-7241-4A37-8B39-DE29B0CD8B47}"/>
    <cellStyle name="Normal 10 5 3 2 2" xfId="4323" xr:uid="{141D2935-CC3F-4D12-89FF-A4579314BF62}"/>
    <cellStyle name="Normal 10 5 3 2 2 2" xfId="12703" xr:uid="{2C127AED-0DE1-4F46-A1F7-BB0E0853159D}"/>
    <cellStyle name="Normal 10 5 3 2 2 2 2" xfId="29463" xr:uid="{CFF4A858-8316-47E5-8777-8B6705624111}"/>
    <cellStyle name="Normal 10 5 3 2 2 2 3" xfId="46222" xr:uid="{471C6285-23F1-4DB6-8340-1EF6829410F5}"/>
    <cellStyle name="Normal 10 5 3 2 2 3" xfId="21083" xr:uid="{3849A4AF-2779-4CF4-ACAD-29F3A09B772F}"/>
    <cellStyle name="Normal 10 5 3 2 2 4" xfId="37842" xr:uid="{9B28AE68-3141-46E8-93F3-C5CD8DAA4B64}"/>
    <cellStyle name="Normal 10 5 3 2 3" xfId="6010" xr:uid="{C6C9F4B3-27E6-42FE-92E3-C5159D4F117A}"/>
    <cellStyle name="Normal 10 5 3 2 3 2" xfId="14390" xr:uid="{AC81E665-089B-42A7-928C-77D7074854E3}"/>
    <cellStyle name="Normal 10 5 3 2 3 2 2" xfId="31150" xr:uid="{CB55359A-412C-4AD2-949E-36E17864F74E}"/>
    <cellStyle name="Normal 10 5 3 2 3 2 3" xfId="47909" xr:uid="{F6FB9C15-973B-4BCA-9348-F36F31DAA4FD}"/>
    <cellStyle name="Normal 10 5 3 2 3 3" xfId="22770" xr:uid="{55CBF430-E6AC-4E96-B406-46DC51007771}"/>
    <cellStyle name="Normal 10 5 3 2 3 4" xfId="39529" xr:uid="{5B634746-3CDE-477B-9377-230C26D546DB}"/>
    <cellStyle name="Normal 10 5 3 2 4" xfId="2746" xr:uid="{E042CC39-9DE1-4F81-91D6-50E721F400E7}"/>
    <cellStyle name="Normal 10 5 3 2 4 2" xfId="11126" xr:uid="{3D057094-CDE8-4E5B-ACFB-B23A04D291E6}"/>
    <cellStyle name="Normal 10 5 3 2 4 2 2" xfId="27886" xr:uid="{F4C4AEB9-E3FB-4FEC-A4FD-A55D16E90CAE}"/>
    <cellStyle name="Normal 10 5 3 2 4 2 3" xfId="44645" xr:uid="{39A29BA9-4B3D-4251-96D6-B1F19108E927}"/>
    <cellStyle name="Normal 10 5 3 2 4 3" xfId="19506" xr:uid="{53EDCDF5-78D8-407A-A9B5-46AE077A9150}"/>
    <cellStyle name="Normal 10 5 3 2 4 4" xfId="36265" xr:uid="{5280BB16-4E5C-483A-91B0-0B94A0701371}"/>
    <cellStyle name="Normal 10 5 3 2 5" xfId="9323" xr:uid="{9C6D3AD8-853E-4043-B615-E1741DDA2175}"/>
    <cellStyle name="Normal 10 5 3 2 5 2" xfId="26083" xr:uid="{6E9367F5-9B94-402C-970C-C1AC98B8EA65}"/>
    <cellStyle name="Normal 10 5 3 2 5 3" xfId="42842" xr:uid="{896C7C73-C95A-4123-A1AF-EE7474774400}"/>
    <cellStyle name="Normal 10 5 3 2 6" xfId="17703" xr:uid="{6DEE14F3-B102-462D-898F-B8A2C8A25327}"/>
    <cellStyle name="Normal 10 5 3 2 7" xfId="34462" xr:uid="{C2CC3ACA-A5C4-40C1-932C-C978EE326573}"/>
    <cellStyle name="Normal 10 5 3 3" xfId="1362" xr:uid="{DB932E83-8921-44DD-AD7E-BD6332E518E3}"/>
    <cellStyle name="Normal 10 5 3 3 2" xfId="4751" xr:uid="{60645E93-3965-4DA0-9205-C5F8BA832896}"/>
    <cellStyle name="Normal 10 5 3 3 2 2" xfId="13131" xr:uid="{27EB6A53-5EA1-423B-84C4-27C48CF03D0A}"/>
    <cellStyle name="Normal 10 5 3 3 2 2 2" xfId="29891" xr:uid="{6A723958-87D4-47F9-9D4B-6575A7D0724A}"/>
    <cellStyle name="Normal 10 5 3 3 2 2 3" xfId="46650" xr:uid="{62A36D39-7B27-4563-AFF8-DAF8A80ED3B6}"/>
    <cellStyle name="Normal 10 5 3 3 2 3" xfId="21511" xr:uid="{3E96C627-8770-475C-91DE-580E36A15C58}"/>
    <cellStyle name="Normal 10 5 3 3 2 4" xfId="38270" xr:uid="{FFDC1FAD-7AEB-4375-85A5-6069583803E1}"/>
    <cellStyle name="Normal 10 5 3 3 3" xfId="6438" xr:uid="{5E5A0419-8337-4128-86C1-0DD2EDF4454E}"/>
    <cellStyle name="Normal 10 5 3 3 3 2" xfId="14818" xr:uid="{666740F2-C503-46C9-A077-7C199457361A}"/>
    <cellStyle name="Normal 10 5 3 3 3 2 2" xfId="31578" xr:uid="{90545DF1-BEEB-4220-B83C-FDB66CF7641B}"/>
    <cellStyle name="Normal 10 5 3 3 3 2 3" xfId="48337" xr:uid="{BE2C0841-5BAB-4112-AE23-E46F7B1B4E07}"/>
    <cellStyle name="Normal 10 5 3 3 3 3" xfId="23198" xr:uid="{23022E96-C9A8-400D-9106-B068C273DC01}"/>
    <cellStyle name="Normal 10 5 3 3 3 4" xfId="39957" xr:uid="{4C227537-B940-4C43-A4E5-05A3CD52F85C}"/>
    <cellStyle name="Normal 10 5 3 3 4" xfId="3174" xr:uid="{42EE4403-BB9C-4BF1-8D35-10A228768DA3}"/>
    <cellStyle name="Normal 10 5 3 3 4 2" xfId="11554" xr:uid="{D70E60E8-75D4-486A-9BB2-378BB828A16B}"/>
    <cellStyle name="Normal 10 5 3 3 4 2 2" xfId="28314" xr:uid="{53E0554A-C0AE-4184-A722-2E7F9A0441BB}"/>
    <cellStyle name="Normal 10 5 3 3 4 2 3" xfId="45073" xr:uid="{0C75460E-F37D-4A7B-BE03-DF2997004FFE}"/>
    <cellStyle name="Normal 10 5 3 3 4 3" xfId="19934" xr:uid="{ADE3D212-603C-49AF-8635-D42B9A6CBD87}"/>
    <cellStyle name="Normal 10 5 3 3 4 4" xfId="36693" xr:uid="{EDBDD955-3846-41CE-98DD-EAAB4195F744}"/>
    <cellStyle name="Normal 10 5 3 3 5" xfId="9751" xr:uid="{9DD229E0-6ED4-4D30-922C-BCD78DE09080}"/>
    <cellStyle name="Normal 10 5 3 3 5 2" xfId="26511" xr:uid="{86532919-6289-4A15-85F2-07A10904D5AE}"/>
    <cellStyle name="Normal 10 5 3 3 5 3" xfId="43270" xr:uid="{1FD95B20-B3AF-4E7E-8963-54540E4C7275}"/>
    <cellStyle name="Normal 10 5 3 3 6" xfId="18131" xr:uid="{5BD51C5F-D71B-42BC-A387-D14F42E75435}"/>
    <cellStyle name="Normal 10 5 3 3 7" xfId="34890" xr:uid="{E2B6ECAF-764F-4F6C-959A-A2FED981C81C}"/>
    <cellStyle name="Normal 10 5 3 4" xfId="1927" xr:uid="{05BD853D-C01C-4D02-9CDA-7B60E156F22E}"/>
    <cellStyle name="Normal 10 5 3 4 2" xfId="5316" xr:uid="{4EFBABC6-D572-4B94-9427-A44531F2DAD5}"/>
    <cellStyle name="Normal 10 5 3 4 2 2" xfId="13696" xr:uid="{ED923C02-E884-44D6-93A8-537DC12BB71F}"/>
    <cellStyle name="Normal 10 5 3 4 2 2 2" xfId="30456" xr:uid="{F3A3BFF9-32B7-40E7-B886-625DC150B95C}"/>
    <cellStyle name="Normal 10 5 3 4 2 2 3" xfId="47215" xr:uid="{F3FB628D-D19D-4FE1-B149-1F5946354FA3}"/>
    <cellStyle name="Normal 10 5 3 4 2 3" xfId="22076" xr:uid="{477E2EDB-EB2C-418E-8992-84C2972835C7}"/>
    <cellStyle name="Normal 10 5 3 4 2 4" xfId="38835" xr:uid="{2557ACB7-78CF-4DDD-BE95-091E8DC27BC0}"/>
    <cellStyle name="Normal 10 5 3 4 3" xfId="7003" xr:uid="{4CDEB861-C7C9-45A0-A979-42499F2A5E1D}"/>
    <cellStyle name="Normal 10 5 3 4 3 2" xfId="15383" xr:uid="{BBAE9176-298F-498F-AA3A-DF857B5F3A21}"/>
    <cellStyle name="Normal 10 5 3 4 3 2 2" xfId="32143" xr:uid="{54621E06-04F3-4B85-8561-6B1629B0906A}"/>
    <cellStyle name="Normal 10 5 3 4 3 2 3" xfId="48902" xr:uid="{4F2A4A37-102B-4036-BCD1-8551E0F88ADB}"/>
    <cellStyle name="Normal 10 5 3 4 3 3" xfId="23763" xr:uid="{0BA608BE-A0C7-4706-9742-589A6976AAB5}"/>
    <cellStyle name="Normal 10 5 3 4 3 4" xfId="40522" xr:uid="{125B3BDB-CABE-45FF-897A-F7F93C104CD1}"/>
    <cellStyle name="Normal 10 5 3 4 4" xfId="3626" xr:uid="{84B51408-6691-46A9-A9BA-D61492900EB4}"/>
    <cellStyle name="Normal 10 5 3 4 4 2" xfId="12006" xr:uid="{ED47A2FB-A662-4093-9BC4-C287D7CB7F53}"/>
    <cellStyle name="Normal 10 5 3 4 4 2 2" xfId="28766" xr:uid="{3B9FFFAC-40C2-45AF-9370-FEA1D291EE53}"/>
    <cellStyle name="Normal 10 5 3 4 4 2 3" xfId="45525" xr:uid="{CCFE0F65-D974-4CE4-8A22-938EBDFC1248}"/>
    <cellStyle name="Normal 10 5 3 4 4 3" xfId="20386" xr:uid="{74F673CA-28BC-4547-9668-F54673A47DD6}"/>
    <cellStyle name="Normal 10 5 3 4 4 4" xfId="37145" xr:uid="{CDCCC5C6-4982-4201-B7B8-A1A0F1377FDE}"/>
    <cellStyle name="Normal 10 5 3 4 5" xfId="10316" xr:uid="{06417A15-8D84-438A-A015-A9F26E05B2BC}"/>
    <cellStyle name="Normal 10 5 3 4 5 2" xfId="27076" xr:uid="{05F5D0EC-20FA-4C5C-9F2D-263F58FAC50D}"/>
    <cellStyle name="Normal 10 5 3 4 5 3" xfId="43835" xr:uid="{12CC3D71-2FF9-4CCA-B7DE-8A9C496DA2DB}"/>
    <cellStyle name="Normal 10 5 3 4 6" xfId="18696" xr:uid="{2EEEF975-11DC-4DB5-BD59-D9DF70D720F0}"/>
    <cellStyle name="Normal 10 5 3 4 7" xfId="35455" xr:uid="{CDAA4612-8677-442A-9958-13D4715DCA8B}"/>
    <cellStyle name="Normal 10 5 3 5" xfId="4046" xr:uid="{FD6B8F28-6AE0-42BF-BF1A-8883120DDDD0}"/>
    <cellStyle name="Normal 10 5 3 5 2" xfId="12426" xr:uid="{CE11C08F-B0E3-4405-B436-3FAA404D5426}"/>
    <cellStyle name="Normal 10 5 3 5 2 2" xfId="29186" xr:uid="{8DAB4806-ADFE-4E4E-8158-A21381E5F389}"/>
    <cellStyle name="Normal 10 5 3 5 2 3" xfId="45945" xr:uid="{A809E501-AAE0-4B31-80E1-D9E141A56DE7}"/>
    <cellStyle name="Normal 10 5 3 5 3" xfId="20806" xr:uid="{6F8B2783-258C-4F90-8740-1C9A1D5DAF4E}"/>
    <cellStyle name="Normal 10 5 3 5 4" xfId="37565" xr:uid="{18E0489F-4CCA-4407-A8A1-1F7A06582F71}"/>
    <cellStyle name="Normal 10 5 3 6" xfId="5584" xr:uid="{3BAEC7A7-14DE-4C5F-890E-C628CFF590B0}"/>
    <cellStyle name="Normal 10 5 3 6 2" xfId="13964" xr:uid="{AA3F97B4-FF7B-471D-AE97-D5551D75331B}"/>
    <cellStyle name="Normal 10 5 3 6 2 2" xfId="30724" xr:uid="{7A8D8A41-6E55-4A0D-8F18-640AE36302ED}"/>
    <cellStyle name="Normal 10 5 3 6 2 3" xfId="47483" xr:uid="{AFD38EBA-9D69-48E2-B304-E4E72CC5794D}"/>
    <cellStyle name="Normal 10 5 3 6 3" xfId="22344" xr:uid="{B215F629-0FC6-44CA-8F99-A0EFD1E8897A}"/>
    <cellStyle name="Normal 10 5 3 6 4" xfId="39103" xr:uid="{CDC47B72-1F73-4C2C-A714-A8EDB0E38ACE}"/>
    <cellStyle name="Normal 10 5 3 7" xfId="7409" xr:uid="{3A546D20-7C7D-4BF9-AF1E-41F2931CFC66}"/>
    <cellStyle name="Normal 10 5 3 7 2" xfId="15789" xr:uid="{AB20FE07-06D7-4CA2-843C-EFA1A8ECEE31}"/>
    <cellStyle name="Normal 10 5 3 7 2 2" xfId="32549" xr:uid="{F839ED94-54D3-42C3-B741-F0F6525845C2}"/>
    <cellStyle name="Normal 10 5 3 7 2 3" xfId="49308" xr:uid="{6408DD76-D28D-4AA5-A684-E50D125906B2}"/>
    <cellStyle name="Normal 10 5 3 7 3" xfId="24169" xr:uid="{A9028DE4-F35B-442A-9FD3-9D278861A26E}"/>
    <cellStyle name="Normal 10 5 3 7 4" xfId="40928" xr:uid="{53E792E5-528D-43FA-835E-C09FB1ABF97B}"/>
    <cellStyle name="Normal 10 5 3 8" xfId="7815" xr:uid="{B953C6A7-E92F-449A-B062-EA54F45FD208}"/>
    <cellStyle name="Normal 10 5 3 8 2" xfId="16195" xr:uid="{D051CDD2-474B-4F40-A0E4-5D7FBB579B2C}"/>
    <cellStyle name="Normal 10 5 3 8 2 2" xfId="32955" xr:uid="{BCC384C9-A6A4-46CC-81C3-45CD0FC18814}"/>
    <cellStyle name="Normal 10 5 3 8 2 3" xfId="49714" xr:uid="{3A7AEF90-23AB-425E-84EB-EF2989001CA4}"/>
    <cellStyle name="Normal 10 5 3 8 3" xfId="24575" xr:uid="{03B667C9-7114-4CFB-8E5A-DB56AED5E501}"/>
    <cellStyle name="Normal 10 5 3 8 4" xfId="41334" xr:uid="{5B1F4C2F-E840-4F98-97E3-447E03FAD8DE}"/>
    <cellStyle name="Normal 10 5 3 9" xfId="8221" xr:uid="{EBDB8CDC-2AF6-40D6-98A1-3187A3284336}"/>
    <cellStyle name="Normal 10 5 3 9 2" xfId="16601" xr:uid="{BFE36520-F655-4530-B83C-4480D5CA9A24}"/>
    <cellStyle name="Normal 10 5 3 9 2 2" xfId="33361" xr:uid="{407A9EB6-F868-4DB9-9A2F-524F3357A10B}"/>
    <cellStyle name="Normal 10 5 3 9 2 3" xfId="50120" xr:uid="{48471B28-2E73-4C8C-8712-39A4D7E1450A}"/>
    <cellStyle name="Normal 10 5 3 9 3" xfId="24981" xr:uid="{CC232322-0FF8-4D80-A53E-EFE4E9B105F1}"/>
    <cellStyle name="Normal 10 5 3 9 4" xfId="41740" xr:uid="{90060AC8-051D-4698-BA8D-F220BE889C83}"/>
    <cellStyle name="Normal 10 5 4" xfId="823" xr:uid="{24C8F299-A9BB-41A5-92AF-6C60BBDFFDAC}"/>
    <cellStyle name="Normal 10 5 4 2" xfId="4218" xr:uid="{AEBD32B4-FD1F-418A-860B-299A2FF06562}"/>
    <cellStyle name="Normal 10 5 4 2 2" xfId="12598" xr:uid="{A8936C8F-F8C9-4D27-B2F0-F0F47985ECBE}"/>
    <cellStyle name="Normal 10 5 4 2 2 2" xfId="29358" xr:uid="{6A1311AB-71AE-477D-9D1E-A1D5E289126C}"/>
    <cellStyle name="Normal 10 5 4 2 2 3" xfId="46117" xr:uid="{237634DF-A803-4353-A596-76D52D99975E}"/>
    <cellStyle name="Normal 10 5 4 2 3" xfId="20978" xr:uid="{2DE5DD29-4F43-4A5E-8BDA-6CA675AA7094}"/>
    <cellStyle name="Normal 10 5 4 2 4" xfId="37737" xr:uid="{DBE10BFE-9845-4E58-BA8B-7796496D70BE}"/>
    <cellStyle name="Normal 10 5 4 3" xfId="5905" xr:uid="{14A2B286-5BCC-4EB0-9B54-2F1463E9387F}"/>
    <cellStyle name="Normal 10 5 4 3 2" xfId="14285" xr:uid="{AFBE60D7-287B-4CC1-A938-69387A03AE88}"/>
    <cellStyle name="Normal 10 5 4 3 2 2" xfId="31045" xr:uid="{3DBE3290-D6FB-4424-9043-90E06A3AE5F6}"/>
    <cellStyle name="Normal 10 5 4 3 2 3" xfId="47804" xr:uid="{2DF67E69-753A-4B89-9E0E-D003D9B60608}"/>
    <cellStyle name="Normal 10 5 4 3 3" xfId="22665" xr:uid="{42A066DD-8332-4C65-8E86-8720070BAD29}"/>
    <cellStyle name="Normal 10 5 4 3 4" xfId="39424" xr:uid="{34A13D3B-F884-4BA4-B2EF-5903447B4299}"/>
    <cellStyle name="Normal 10 5 4 4" xfId="2641" xr:uid="{56EC34F0-2F54-4079-8449-97C5A449FA67}"/>
    <cellStyle name="Normal 10 5 4 4 2" xfId="11021" xr:uid="{B215F8DD-0DB1-4DEF-8AEF-3520C534C9C4}"/>
    <cellStyle name="Normal 10 5 4 4 2 2" xfId="27781" xr:uid="{B17BD0FD-4B18-48AF-B5C4-EE22C5EDECBA}"/>
    <cellStyle name="Normal 10 5 4 4 2 3" xfId="44540" xr:uid="{83348B7B-1E10-4A1D-8B1A-2B01DC861732}"/>
    <cellStyle name="Normal 10 5 4 4 3" xfId="19401" xr:uid="{DA8168BA-DF06-41D9-9FB6-2D798351B820}"/>
    <cellStyle name="Normal 10 5 4 4 4" xfId="36160" xr:uid="{23F0C77F-D6CA-472E-8A06-2D5B3A7E8803}"/>
    <cellStyle name="Normal 10 5 4 5" xfId="9218" xr:uid="{E9AD9390-1FDF-4FF0-923D-7116E906BBC1}"/>
    <cellStyle name="Normal 10 5 4 5 2" xfId="25978" xr:uid="{8B3A233D-A1C3-4FA5-90C3-B3832908E552}"/>
    <cellStyle name="Normal 10 5 4 5 3" xfId="42737" xr:uid="{41B8D75E-2D6F-4C77-A6EC-FCA68CD98482}"/>
    <cellStyle name="Normal 10 5 4 6" xfId="17598" xr:uid="{DBCFBD78-DB42-4F15-82E8-BF7DF1E92EC0}"/>
    <cellStyle name="Normal 10 5 4 7" xfId="34357" xr:uid="{3296D5F1-D8C9-41B0-BCFA-39B6C586D78E}"/>
    <cellStyle name="Normal 10 5 5" xfId="1257" xr:uid="{B84023CD-D47A-40BA-8C9E-4004C7976803}"/>
    <cellStyle name="Normal 10 5 5 2" xfId="4646" xr:uid="{02AFCDFF-61A5-4768-B165-498B3FDF6E0C}"/>
    <cellStyle name="Normal 10 5 5 2 2" xfId="13026" xr:uid="{C4297800-9421-4C11-BA4E-D5AACF1D9F21}"/>
    <cellStyle name="Normal 10 5 5 2 2 2" xfId="29786" xr:uid="{E92CC286-B62C-4467-B562-B139868ECE82}"/>
    <cellStyle name="Normal 10 5 5 2 2 3" xfId="46545" xr:uid="{04D78BEF-F7C9-4E70-9CC0-16ED107ECAA6}"/>
    <cellStyle name="Normal 10 5 5 2 3" xfId="21406" xr:uid="{BEAF4651-F806-4DDE-9F0A-263AC141078C}"/>
    <cellStyle name="Normal 10 5 5 2 4" xfId="38165" xr:uid="{FE492CE7-BFB6-4805-A818-4FE632D357B8}"/>
    <cellStyle name="Normal 10 5 5 3" xfId="6333" xr:uid="{F0D8A9DB-DAEF-4AAE-B3C8-4343368EE377}"/>
    <cellStyle name="Normal 10 5 5 3 2" xfId="14713" xr:uid="{72C7E8BA-656F-4C57-855C-205C9CA135B2}"/>
    <cellStyle name="Normal 10 5 5 3 2 2" xfId="31473" xr:uid="{A0CD1FE7-134A-45E9-A4A1-05A6D1A4F90F}"/>
    <cellStyle name="Normal 10 5 5 3 2 3" xfId="48232" xr:uid="{BCC3A6A4-5FE0-4DF6-8ABA-31E448B407E9}"/>
    <cellStyle name="Normal 10 5 5 3 3" xfId="23093" xr:uid="{1EAF85C8-B92F-4070-A327-27A6654C0510}"/>
    <cellStyle name="Normal 10 5 5 3 4" xfId="39852" xr:uid="{4F454CC9-F4A0-46DC-A7B1-1D385D1DD467}"/>
    <cellStyle name="Normal 10 5 5 4" xfId="3069" xr:uid="{3CAD42F9-0EA2-4865-8CEC-A30F42DA4481}"/>
    <cellStyle name="Normal 10 5 5 4 2" xfId="11449" xr:uid="{BA764FCE-982A-406D-81CB-80EEDF9FDAF4}"/>
    <cellStyle name="Normal 10 5 5 4 2 2" xfId="28209" xr:uid="{F8314F20-105F-469E-8630-2BF435C2CFF1}"/>
    <cellStyle name="Normal 10 5 5 4 2 3" xfId="44968" xr:uid="{4CC06627-4016-482F-95BB-A522D345E7B3}"/>
    <cellStyle name="Normal 10 5 5 4 3" xfId="19829" xr:uid="{CB21D632-3D5F-4C79-B1DB-ACBCC1A1BD0C}"/>
    <cellStyle name="Normal 10 5 5 4 4" xfId="36588" xr:uid="{3DF2B706-9EFB-42B2-81E8-7DF6885E0111}"/>
    <cellStyle name="Normal 10 5 5 5" xfId="9646" xr:uid="{B52CACD4-B50F-403D-BC6B-20DD27BC3486}"/>
    <cellStyle name="Normal 10 5 5 5 2" xfId="26406" xr:uid="{4E42B08A-1BC5-418E-A56C-27C419C3759B}"/>
    <cellStyle name="Normal 10 5 5 5 3" xfId="43165" xr:uid="{4AF0DA8D-A224-4847-A43E-5C56D5D12E6E}"/>
    <cellStyle name="Normal 10 5 5 6" xfId="18026" xr:uid="{60EB5B26-E1E8-4949-B65E-0E8193132B57}"/>
    <cellStyle name="Normal 10 5 5 7" xfId="34785" xr:uid="{11AB4C64-2984-4BB2-86AA-03B5C7801F93}"/>
    <cellStyle name="Normal 10 5 6" xfId="1656" xr:uid="{1568BF02-1212-4E9C-8227-E03B7FA6DF12}"/>
    <cellStyle name="Normal 10 5 6 2" xfId="5045" xr:uid="{F6B86C65-0DDD-4053-B822-48C69796CFB9}"/>
    <cellStyle name="Normal 10 5 6 2 2" xfId="13425" xr:uid="{3775FF19-56E4-45DD-8621-56E25BE13F17}"/>
    <cellStyle name="Normal 10 5 6 2 2 2" xfId="30185" xr:uid="{44CAEFEB-63EF-4BAA-9D34-71D062FED306}"/>
    <cellStyle name="Normal 10 5 6 2 2 3" xfId="46944" xr:uid="{11708287-CB88-4E81-8C3C-720A74C1DCC9}"/>
    <cellStyle name="Normal 10 5 6 2 3" xfId="21805" xr:uid="{F0C23C7B-E3B3-4621-A1DA-BC8F8318D2AE}"/>
    <cellStyle name="Normal 10 5 6 2 4" xfId="38564" xr:uid="{B3D8FDB3-B243-4909-B0F3-C9BA6C600CDC}"/>
    <cellStyle name="Normal 10 5 6 3" xfId="6732" xr:uid="{AE218AD0-C854-4E4C-B4E7-BDC3B79D5AFD}"/>
    <cellStyle name="Normal 10 5 6 3 2" xfId="15112" xr:uid="{AF6A69BA-0DD9-4EAA-8912-48099302FC09}"/>
    <cellStyle name="Normal 10 5 6 3 2 2" xfId="31872" xr:uid="{F79A0E8D-984E-4919-B7CA-9B9EA0AEE829}"/>
    <cellStyle name="Normal 10 5 6 3 2 3" xfId="48631" xr:uid="{4FDDD645-FF0F-4430-9801-E413473B91C4}"/>
    <cellStyle name="Normal 10 5 6 3 3" xfId="23492" xr:uid="{9C939D69-9CE0-449F-A16D-6FF027C8DD5F}"/>
    <cellStyle name="Normal 10 5 6 3 4" xfId="40251" xr:uid="{EE41812B-D2D3-40D9-ADAA-61F1E1EBAA10}"/>
    <cellStyle name="Normal 10 5 6 4" xfId="2211" xr:uid="{EC849D89-454B-46E2-88EC-40E3EDC441AB}"/>
    <cellStyle name="Normal 10 5 6 4 2" xfId="10595" xr:uid="{84866BE3-B02E-4E09-98F0-F60DD0CDE5AA}"/>
    <cellStyle name="Normal 10 5 6 4 2 2" xfId="27355" xr:uid="{1F713EE7-5878-4FE8-A983-98060BA4190D}"/>
    <cellStyle name="Normal 10 5 6 4 2 3" xfId="44114" xr:uid="{EBFA7197-319B-4E93-856E-E56A042151CB}"/>
    <cellStyle name="Normal 10 5 6 4 3" xfId="18975" xr:uid="{296D7B99-2399-4984-BA0D-8C1C3D65A5AB}"/>
    <cellStyle name="Normal 10 5 6 4 4" xfId="35734" xr:uid="{A0DC5A15-5455-4584-9C69-59EB0EDA4808}"/>
    <cellStyle name="Normal 10 5 6 5" xfId="10045" xr:uid="{F6490F55-3444-4C11-AF83-B24C97BAD894}"/>
    <cellStyle name="Normal 10 5 6 5 2" xfId="26805" xr:uid="{F81784A2-C3E2-4438-B7F9-D38A56814CDC}"/>
    <cellStyle name="Normal 10 5 6 5 3" xfId="43564" xr:uid="{01200FD6-9BD2-4F9D-98AF-64A7E172D2F4}"/>
    <cellStyle name="Normal 10 5 6 6" xfId="18425" xr:uid="{F780AA46-0840-4DA9-ABD0-F44837066F91}"/>
    <cellStyle name="Normal 10 5 6 7" xfId="35184" xr:uid="{2A1D0403-5FE1-424A-A937-0DB14E5840A8}"/>
    <cellStyle name="Normal 10 5 7" xfId="3774" xr:uid="{DF096170-2B18-4F36-9EA1-DCA3E7E12D2C}"/>
    <cellStyle name="Normal 10 5 7 2" xfId="12154" xr:uid="{27F84329-D169-4A95-BC9D-8F14040D22D4}"/>
    <cellStyle name="Normal 10 5 7 2 2" xfId="28914" xr:uid="{E107F559-0FD0-4DA3-A6EF-CFD9B960A040}"/>
    <cellStyle name="Normal 10 5 7 2 3" xfId="45673" xr:uid="{430ECDC7-BBC6-4E6E-99CD-F196FB02683D}"/>
    <cellStyle name="Normal 10 5 7 3" xfId="20534" xr:uid="{CDD05B3E-5EE1-4080-BABA-008161747163}"/>
    <cellStyle name="Normal 10 5 7 4" xfId="37293" xr:uid="{18FE5E60-1C2D-4DC3-9DE7-87420A05C573}"/>
    <cellStyle name="Normal 10 5 8" xfId="5479" xr:uid="{F876BDB0-D809-4407-A2C2-ADBEFA52F6B4}"/>
    <cellStyle name="Normal 10 5 8 2" xfId="13859" xr:uid="{BDA3143A-23F7-4A43-B015-9EEE16B52CE7}"/>
    <cellStyle name="Normal 10 5 8 2 2" xfId="30619" xr:uid="{56EE102A-96F8-44C9-B836-033F2009D8F5}"/>
    <cellStyle name="Normal 10 5 8 2 3" xfId="47378" xr:uid="{62680DFD-81FA-4291-B3D7-DF7E45BF882F}"/>
    <cellStyle name="Normal 10 5 8 3" xfId="22239" xr:uid="{A80CE5BF-8C1A-4D28-A93C-B3BC3DC96704}"/>
    <cellStyle name="Normal 10 5 8 4" xfId="38998" xr:uid="{11EB8F30-34D1-401A-B0EB-E320E8090943}"/>
    <cellStyle name="Normal 10 5 9" xfId="7138" xr:uid="{60DC7A2F-3586-40E1-8D71-9CADD67185A1}"/>
    <cellStyle name="Normal 10 5 9 2" xfId="15518" xr:uid="{63D0CE40-3FB2-42D4-8F3D-9F4B04BCA8E6}"/>
    <cellStyle name="Normal 10 5 9 2 2" xfId="32278" xr:uid="{9222E16E-562C-4685-B8C6-3DBA7D7D11AA}"/>
    <cellStyle name="Normal 10 5 9 2 3" xfId="49037" xr:uid="{C5A93513-32D2-4BF7-8314-9337C60746B8}"/>
    <cellStyle name="Normal 10 5 9 3" xfId="23898" xr:uid="{E2511D7A-97CB-4075-B65F-9161270A73DE}"/>
    <cellStyle name="Normal 10 5 9 4" xfId="40657" xr:uid="{8E1F7F5F-2A1B-4147-BE0C-71690FC8A84F}"/>
    <cellStyle name="Normal 10 6" xfId="487" xr:uid="{9CBFC183-B3DB-4024-A136-FECCCC75DC1A}"/>
    <cellStyle name="Normal 10 6 10" xfId="7545" xr:uid="{DB202791-D957-4BD2-8E51-DDC958F9F7DD}"/>
    <cellStyle name="Normal 10 6 10 2" xfId="15925" xr:uid="{23DAB9B6-7266-4B5F-8292-EC10276620A1}"/>
    <cellStyle name="Normal 10 6 10 2 2" xfId="32685" xr:uid="{A123C2F9-22EA-41C0-8A80-352671EBA6C2}"/>
    <cellStyle name="Normal 10 6 10 2 3" xfId="49444" xr:uid="{9578DA5D-33E5-4FD0-ABDA-D9807296ED8F}"/>
    <cellStyle name="Normal 10 6 10 3" xfId="24305" xr:uid="{215F240F-36D9-41EC-812E-A7A571735BD0}"/>
    <cellStyle name="Normal 10 6 10 4" xfId="41064" xr:uid="{EC7BE440-7320-4235-8713-CCE67D284AE0}"/>
    <cellStyle name="Normal 10 6 11" xfId="7951" xr:uid="{290A467A-B284-41F8-BCB5-5806332D8D7C}"/>
    <cellStyle name="Normal 10 6 11 2" xfId="16331" xr:uid="{AC4C5FE4-A2F8-4A4B-B9FD-0A030A237A14}"/>
    <cellStyle name="Normal 10 6 11 2 2" xfId="33091" xr:uid="{1CF9BA63-AD8E-443A-A900-DE56C1BE1655}"/>
    <cellStyle name="Normal 10 6 11 2 3" xfId="49850" xr:uid="{041670E7-7DCC-410F-8086-3044D0D672FF}"/>
    <cellStyle name="Normal 10 6 11 3" xfId="24711" xr:uid="{7BDD353D-5E04-4473-A33B-069AAE6E29D4}"/>
    <cellStyle name="Normal 10 6 11 4" xfId="41470" xr:uid="{6309B0C2-D210-4472-A462-1DC4B44E8936}"/>
    <cellStyle name="Normal 10 6 12" xfId="8357" xr:uid="{2C45E699-8731-403D-898B-67F6034F280C}"/>
    <cellStyle name="Normal 10 6 12 2" xfId="16737" xr:uid="{46FFEC0C-B2F7-4413-838A-1E755974B3DA}"/>
    <cellStyle name="Normal 10 6 12 2 2" xfId="33497" xr:uid="{F7EA84E4-8F17-49D0-9D81-A474D81CCD54}"/>
    <cellStyle name="Normal 10 6 12 2 3" xfId="50256" xr:uid="{AE9CEC31-93E0-4D3B-A3B0-39ED6F34B080}"/>
    <cellStyle name="Normal 10 6 12 3" xfId="25117" xr:uid="{732C716D-0940-40EA-9E9E-6C6050EE62BD}"/>
    <cellStyle name="Normal 10 6 12 4" xfId="41876" xr:uid="{17E05F57-C281-474F-A9AB-0667C424FD86}"/>
    <cellStyle name="Normal 10 6 13" xfId="2103" xr:uid="{C9446992-B8D6-4CDB-A2F7-294E059368BC}"/>
    <cellStyle name="Normal 10 6 13 2" xfId="10491" xr:uid="{9CAE4CE8-447B-4CD9-8E36-932DF07CF7A7}"/>
    <cellStyle name="Normal 10 6 13 2 2" xfId="27251" xr:uid="{B839B321-EED6-49A4-8B9A-D042B25BF03C}"/>
    <cellStyle name="Normal 10 6 13 2 3" xfId="44010" xr:uid="{FDDD3F03-1632-4F07-B70B-091BCBC08DF4}"/>
    <cellStyle name="Normal 10 6 13 3" xfId="18871" xr:uid="{D2FAE3C1-F3CD-4F1D-AA2A-D44B058B8901}"/>
    <cellStyle name="Normal 10 6 13 4" xfId="35630" xr:uid="{EE7A82E4-9A46-46DB-8CE2-05E8441DF36C}"/>
    <cellStyle name="Normal 10 6 14" xfId="8898" xr:uid="{DADE1120-DAA0-44B5-ABA3-D984F870269F}"/>
    <cellStyle name="Normal 10 6 14 2" xfId="25658" xr:uid="{824615AB-0EB2-4343-BE6F-5E4B56602AEE}"/>
    <cellStyle name="Normal 10 6 14 3" xfId="42417" xr:uid="{895FB693-1C14-4CD8-8897-4DC7759E2314}"/>
    <cellStyle name="Normal 10 6 15" xfId="17278" xr:uid="{FC68F583-F0CF-42C6-97C4-A2F299F6D026}"/>
    <cellStyle name="Normal 10 6 16" xfId="34037" xr:uid="{F85FA69C-5A95-4BB6-92CA-306763A28396}"/>
    <cellStyle name="Normal 10 6 2" xfId="488" xr:uid="{F1C03F4A-F9D8-4FA4-AE95-DFD66519BAE8}"/>
    <cellStyle name="Normal 10 6 2 10" xfId="8477" xr:uid="{0E3C5F1E-BCA8-471C-BC7E-AC50ADF93CF2}"/>
    <cellStyle name="Normal 10 6 2 10 2" xfId="16857" xr:uid="{2DA89550-30C6-4D51-B3FF-B6D80EC12A65}"/>
    <cellStyle name="Normal 10 6 2 10 2 2" xfId="33617" xr:uid="{E90B7DF5-30D2-4B93-94A9-99213FA50769}"/>
    <cellStyle name="Normal 10 6 2 10 2 3" xfId="50376" xr:uid="{18C721C5-7249-4AB4-9401-9223FA2933CC}"/>
    <cellStyle name="Normal 10 6 2 10 3" xfId="25237" xr:uid="{52B703D5-030E-41CF-9D53-1377BB34B170}"/>
    <cellStyle name="Normal 10 6 2 10 4" xfId="41996" xr:uid="{07464EFD-8736-4D3A-AEB7-0E64476ACAB6}"/>
    <cellStyle name="Normal 10 6 2 11" xfId="2320" xr:uid="{1BE37A4B-D6C3-40FE-A26E-737D60B19634}"/>
    <cellStyle name="Normal 10 6 2 11 2" xfId="10702" xr:uid="{AF416FCF-403B-466C-9BFB-01EBC8B44068}"/>
    <cellStyle name="Normal 10 6 2 11 2 2" xfId="27462" xr:uid="{B19950C1-7FC6-4DE5-857D-15F17DECAC34}"/>
    <cellStyle name="Normal 10 6 2 11 2 3" xfId="44221" xr:uid="{1A639860-4683-4B18-8234-027ACC706BE3}"/>
    <cellStyle name="Normal 10 6 2 11 3" xfId="19082" xr:uid="{162E8A30-5D10-4D75-8E87-2A90EC6CF875}"/>
    <cellStyle name="Normal 10 6 2 11 4" xfId="35841" xr:uid="{80383047-C86E-469E-8B21-2A7BF4A49D3B}"/>
    <cellStyle name="Normal 10 6 2 12" xfId="8899" xr:uid="{62EC521F-E5AF-4E0E-83F7-3AADDAF26405}"/>
    <cellStyle name="Normal 10 6 2 12 2" xfId="25659" xr:uid="{D8D027E1-5BF8-4202-AF74-726A6E86F761}"/>
    <cellStyle name="Normal 10 6 2 12 3" xfId="42418" xr:uid="{69D4C1E5-A430-491C-BCBB-A53EA2EAE2D3}"/>
    <cellStyle name="Normal 10 6 2 13" xfId="17279" xr:uid="{4F154CED-7E98-4436-924A-37D7F8FDCC88}"/>
    <cellStyle name="Normal 10 6 2 14" xfId="34038" xr:uid="{EA1B2A9D-E4CA-4BA1-BAFB-81C6233D7CEE}"/>
    <cellStyle name="Normal 10 6 2 2" xfId="930" xr:uid="{A7054394-B7E3-42B9-BC55-E67890A1D0A7}"/>
    <cellStyle name="Normal 10 6 2 2 2" xfId="4325" xr:uid="{6C3A32D7-4792-4F13-A288-AD364303FD6A}"/>
    <cellStyle name="Normal 10 6 2 2 2 2" xfId="12705" xr:uid="{44F71898-ED49-4E9E-93A2-626D9A183FC9}"/>
    <cellStyle name="Normal 10 6 2 2 2 2 2" xfId="29465" xr:uid="{2633BAA3-8A3E-4BE7-BB02-849320D59AC1}"/>
    <cellStyle name="Normal 10 6 2 2 2 2 3" xfId="46224" xr:uid="{59079673-CF90-47DC-A5E0-C998E4B434B0}"/>
    <cellStyle name="Normal 10 6 2 2 2 3" xfId="21085" xr:uid="{B76A1D36-F1C4-4279-BBC2-9A5E76F7CFCB}"/>
    <cellStyle name="Normal 10 6 2 2 2 4" xfId="37844" xr:uid="{6CCF8EE3-90AC-477F-90F1-B65902CED250}"/>
    <cellStyle name="Normal 10 6 2 2 3" xfId="6012" xr:uid="{6AEC1CC5-285F-480C-BF17-E83E2E3B008D}"/>
    <cellStyle name="Normal 10 6 2 2 3 2" xfId="14392" xr:uid="{38BBBF3D-2B3A-4F26-9783-E3F81073974A}"/>
    <cellStyle name="Normal 10 6 2 2 3 2 2" xfId="31152" xr:uid="{20A13303-ECE0-4E8F-8C99-85212281754D}"/>
    <cellStyle name="Normal 10 6 2 2 3 2 3" xfId="47911" xr:uid="{CFA3D1FD-1169-4D6F-81B0-6B6F82CF7C0A}"/>
    <cellStyle name="Normal 10 6 2 2 3 3" xfId="22772" xr:uid="{248226BF-2D6D-4CFD-80F0-D1A555FE9435}"/>
    <cellStyle name="Normal 10 6 2 2 3 4" xfId="39531" xr:uid="{B001038E-231E-452A-8C11-6C2CD8E555FF}"/>
    <cellStyle name="Normal 10 6 2 2 4" xfId="2748" xr:uid="{1AEBBA7C-295C-40A3-A7FE-DDB21FFE71E7}"/>
    <cellStyle name="Normal 10 6 2 2 4 2" xfId="11128" xr:uid="{F0C36495-6A78-45E8-A1C6-F1049B19F998}"/>
    <cellStyle name="Normal 10 6 2 2 4 2 2" xfId="27888" xr:uid="{EB08A469-7FFA-4582-B7AD-DAF70E5107BD}"/>
    <cellStyle name="Normal 10 6 2 2 4 2 3" xfId="44647" xr:uid="{06AB8F54-F022-49CD-A299-E837B174B33A}"/>
    <cellStyle name="Normal 10 6 2 2 4 3" xfId="19508" xr:uid="{030D5276-5D57-44AD-8DF3-FED5118D16B5}"/>
    <cellStyle name="Normal 10 6 2 2 4 4" xfId="36267" xr:uid="{5332B6C1-3F19-443C-9B31-185ADFB8F1BD}"/>
    <cellStyle name="Normal 10 6 2 2 5" xfId="9325" xr:uid="{56A1BC4D-6BE8-4E84-8491-99F33D6BC8BB}"/>
    <cellStyle name="Normal 10 6 2 2 5 2" xfId="26085" xr:uid="{65827CB5-C03E-4976-9E44-14727E34144E}"/>
    <cellStyle name="Normal 10 6 2 2 5 3" xfId="42844" xr:uid="{A0FE2EBF-A50F-495B-ADF2-DE34600B3E29}"/>
    <cellStyle name="Normal 10 6 2 2 6" xfId="17705" xr:uid="{0BF223EC-BDAF-4000-AE0B-49EBBDCF36D9}"/>
    <cellStyle name="Normal 10 6 2 2 7" xfId="34464" xr:uid="{AAA5B28F-6C89-4CC0-BC5F-E166A301C37C}"/>
    <cellStyle name="Normal 10 6 2 3" xfId="1364" xr:uid="{8BFD8861-A70A-4070-B281-B203E963DC7C}"/>
    <cellStyle name="Normal 10 6 2 3 2" xfId="4753" xr:uid="{079A7983-08DB-4D85-84F6-C49A0D17D008}"/>
    <cellStyle name="Normal 10 6 2 3 2 2" xfId="13133" xr:uid="{7570B016-B06D-44BE-B420-87051842A8F8}"/>
    <cellStyle name="Normal 10 6 2 3 2 2 2" xfId="29893" xr:uid="{5A991502-8B24-4EF9-B2B2-CAA36A78DD81}"/>
    <cellStyle name="Normal 10 6 2 3 2 2 3" xfId="46652" xr:uid="{17C4F698-7EC1-4A6F-B78C-898E5353E41C}"/>
    <cellStyle name="Normal 10 6 2 3 2 3" xfId="21513" xr:uid="{80B33AAC-3C8A-4DFA-9EFC-2A89EDD691CA}"/>
    <cellStyle name="Normal 10 6 2 3 2 4" xfId="38272" xr:uid="{31680E59-C70C-421F-B113-03C4D9BF6252}"/>
    <cellStyle name="Normal 10 6 2 3 3" xfId="6440" xr:uid="{BE81707F-6256-456C-A2C9-B2168BA5FD33}"/>
    <cellStyle name="Normal 10 6 2 3 3 2" xfId="14820" xr:uid="{9666BB0B-259E-4E7C-87F3-2CEB4B9C748C}"/>
    <cellStyle name="Normal 10 6 2 3 3 2 2" xfId="31580" xr:uid="{A20F7CB6-CF18-4EB3-BEF7-4B735565A20E}"/>
    <cellStyle name="Normal 10 6 2 3 3 2 3" xfId="48339" xr:uid="{000CC02F-95FC-4E28-9836-05BCB32907B5}"/>
    <cellStyle name="Normal 10 6 2 3 3 3" xfId="23200" xr:uid="{9600DEE2-956E-4E24-A609-9576EBB638FD}"/>
    <cellStyle name="Normal 10 6 2 3 3 4" xfId="39959" xr:uid="{0E21692F-A19E-4418-9CF9-9FD2EE70B555}"/>
    <cellStyle name="Normal 10 6 2 3 4" xfId="3176" xr:uid="{B2350703-998E-4CD6-80AA-EE66BCE121CA}"/>
    <cellStyle name="Normal 10 6 2 3 4 2" xfId="11556" xr:uid="{06A76198-F4C4-4419-9034-FC331E5BB65D}"/>
    <cellStyle name="Normal 10 6 2 3 4 2 2" xfId="28316" xr:uid="{3161D55A-B853-483A-935D-D8AA8CE43E99}"/>
    <cellStyle name="Normal 10 6 2 3 4 2 3" xfId="45075" xr:uid="{9BF22FF7-C19F-4CBF-944D-19495EE7B430}"/>
    <cellStyle name="Normal 10 6 2 3 4 3" xfId="19936" xr:uid="{C9D2E803-228A-41EB-85AB-086727C45280}"/>
    <cellStyle name="Normal 10 6 2 3 4 4" xfId="36695" xr:uid="{8981173F-840D-49FA-BC80-560E2E0F8C59}"/>
    <cellStyle name="Normal 10 6 2 3 5" xfId="9753" xr:uid="{AD6EFBF1-9292-4D7D-8CF1-CC4C20851679}"/>
    <cellStyle name="Normal 10 6 2 3 5 2" xfId="26513" xr:uid="{0F576C10-45FC-4734-9A5F-4EDFB8E1F23F}"/>
    <cellStyle name="Normal 10 6 2 3 5 3" xfId="43272" xr:uid="{1CB602CD-6D09-43C1-AB15-11A836559B21}"/>
    <cellStyle name="Normal 10 6 2 3 6" xfId="18133" xr:uid="{47F14BD5-F8BA-462E-B9D6-02DE8608687A}"/>
    <cellStyle name="Normal 10 6 2 3 7" xfId="34892" xr:uid="{052AC60B-4D32-44D9-B477-1E3FCF03B7A5}"/>
    <cellStyle name="Normal 10 6 2 4" xfId="1777" xr:uid="{F2FC7F72-16A0-45F1-8AEB-E34C3C13E013}"/>
    <cellStyle name="Normal 10 6 2 4 2" xfId="5166" xr:uid="{CF03E8D1-A4A8-4EEC-B3FD-12664B8BA8C2}"/>
    <cellStyle name="Normal 10 6 2 4 2 2" xfId="13546" xr:uid="{656545E5-70BB-405A-90A1-B00B2F6D62D3}"/>
    <cellStyle name="Normal 10 6 2 4 2 2 2" xfId="30306" xr:uid="{4B5592A0-0541-4BB2-8DFC-F12450066215}"/>
    <cellStyle name="Normal 10 6 2 4 2 2 3" xfId="47065" xr:uid="{25E0C549-258D-42A6-B4BF-F54901E99667}"/>
    <cellStyle name="Normal 10 6 2 4 2 3" xfId="21926" xr:uid="{51D95EC5-A25C-4811-8DB2-B04CCA984BDE}"/>
    <cellStyle name="Normal 10 6 2 4 2 4" xfId="38685" xr:uid="{4074C73E-FD2F-494D-95E1-2D205448DF31}"/>
    <cellStyle name="Normal 10 6 2 4 3" xfId="6853" xr:uid="{DFECD354-B046-4E5B-BCB6-E614F578B779}"/>
    <cellStyle name="Normal 10 6 2 4 3 2" xfId="15233" xr:uid="{CE1ADC3D-44FA-4C13-ABA3-3E4A46607D88}"/>
    <cellStyle name="Normal 10 6 2 4 3 2 2" xfId="31993" xr:uid="{E6A2B7A5-5C7A-4AFE-BBB2-D53E645E45D7}"/>
    <cellStyle name="Normal 10 6 2 4 3 2 3" xfId="48752" xr:uid="{E8A2104C-05BC-4D86-B20D-8266DE03F2AC}"/>
    <cellStyle name="Normal 10 6 2 4 3 3" xfId="23613" xr:uid="{B2FA158E-2A49-436E-8BD2-6B6C71316722}"/>
    <cellStyle name="Normal 10 6 2 4 3 4" xfId="40372" xr:uid="{CA7C2A6F-33B2-405D-B610-95BB7F2FCB79}"/>
    <cellStyle name="Normal 10 6 2 4 4" xfId="3477" xr:uid="{0D52F0F3-F130-44E3-9352-9CD91A1FECD5}"/>
    <cellStyle name="Normal 10 6 2 4 4 2" xfId="11857" xr:uid="{1AF36EB5-5BE5-464D-8106-E1C51B2FA1B0}"/>
    <cellStyle name="Normal 10 6 2 4 4 2 2" xfId="28617" xr:uid="{9E51BF51-46B2-4AEB-92C7-E088567033C8}"/>
    <cellStyle name="Normal 10 6 2 4 4 2 3" xfId="45376" xr:uid="{1A6C4465-E117-4E3A-9F45-996D9D9C8353}"/>
    <cellStyle name="Normal 10 6 2 4 4 3" xfId="20237" xr:uid="{2693A0E8-368B-4B7C-9B1F-BAE6B026CADC}"/>
    <cellStyle name="Normal 10 6 2 4 4 4" xfId="36996" xr:uid="{B9128CA1-B2EB-4B23-AD9C-B2EBC0391676}"/>
    <cellStyle name="Normal 10 6 2 4 5" xfId="10166" xr:uid="{590D0556-CE6B-49B6-B133-7A2204534F25}"/>
    <cellStyle name="Normal 10 6 2 4 5 2" xfId="26926" xr:uid="{0BA7FDF3-B051-4C29-A689-D54EECCED409}"/>
    <cellStyle name="Normal 10 6 2 4 5 3" xfId="43685" xr:uid="{EFEBB597-CE0C-4975-ADEE-C34FFA378A4E}"/>
    <cellStyle name="Normal 10 6 2 4 6" xfId="18546" xr:uid="{74193502-FD46-4D7D-AE0D-849FD1ADCAD9}"/>
    <cellStyle name="Normal 10 6 2 4 7" xfId="35305" xr:uid="{DE0054BF-AE5D-4334-8137-DEE3AC795AD5}"/>
    <cellStyle name="Normal 10 6 2 5" xfId="3896" xr:uid="{56637224-AEFF-441D-8A27-4B3AB5DEB2C2}"/>
    <cellStyle name="Normal 10 6 2 5 2" xfId="12276" xr:uid="{87C07816-35E5-4E18-ADEC-855D4104E442}"/>
    <cellStyle name="Normal 10 6 2 5 2 2" xfId="29036" xr:uid="{C8BC1DC8-373D-47C7-B184-8B50657848C9}"/>
    <cellStyle name="Normal 10 6 2 5 2 3" xfId="45795" xr:uid="{1909EEC9-DC1C-4BCB-B857-D44DE1DA186E}"/>
    <cellStyle name="Normal 10 6 2 5 3" xfId="20656" xr:uid="{8B1D837D-EF4D-4F83-BFCE-96382B998A35}"/>
    <cellStyle name="Normal 10 6 2 5 4" xfId="37415" xr:uid="{9E295EDC-AA6F-4E84-898E-53CA4A41B513}"/>
    <cellStyle name="Normal 10 6 2 6" xfId="5586" xr:uid="{DCC62543-E5DE-45A4-88BF-32E8074164CF}"/>
    <cellStyle name="Normal 10 6 2 6 2" xfId="13966" xr:uid="{560DB904-48CC-40C1-92BB-2B583AB746D3}"/>
    <cellStyle name="Normal 10 6 2 6 2 2" xfId="30726" xr:uid="{633635E7-BEA7-44EE-A867-F08A2642045C}"/>
    <cellStyle name="Normal 10 6 2 6 2 3" xfId="47485" xr:uid="{3E3F8325-8AC0-4475-933B-669F346F3918}"/>
    <cellStyle name="Normal 10 6 2 6 3" xfId="22346" xr:uid="{4FD46D1E-B7A5-489F-8919-641B03B3279F}"/>
    <cellStyle name="Normal 10 6 2 6 4" xfId="39105" xr:uid="{3028BDF4-4B80-449A-BA26-A241267A079C}"/>
    <cellStyle name="Normal 10 6 2 7" xfId="7259" xr:uid="{CA79E1CE-808A-49B0-920A-1772007E9F77}"/>
    <cellStyle name="Normal 10 6 2 7 2" xfId="15639" xr:uid="{C69CE8E9-DC76-4372-A1AF-357BA81563EA}"/>
    <cellStyle name="Normal 10 6 2 7 2 2" xfId="32399" xr:uid="{0775247A-6422-48AB-8537-53FFD51483F6}"/>
    <cellStyle name="Normal 10 6 2 7 2 3" xfId="49158" xr:uid="{E80B8331-4B6F-4C8B-B608-3CA2D0CE040F}"/>
    <cellStyle name="Normal 10 6 2 7 3" xfId="24019" xr:uid="{0291F47F-9F60-47EE-98B1-E447029E9EB0}"/>
    <cellStyle name="Normal 10 6 2 7 4" xfId="40778" xr:uid="{D3C3B381-6736-43ED-9EB5-C79B310E2BC6}"/>
    <cellStyle name="Normal 10 6 2 8" xfId="7665" xr:uid="{04E07BE3-3683-4A05-B9C5-DF398D658922}"/>
    <cellStyle name="Normal 10 6 2 8 2" xfId="16045" xr:uid="{3C539D72-6272-4DAB-AF60-46D0629B5FAC}"/>
    <cellStyle name="Normal 10 6 2 8 2 2" xfId="32805" xr:uid="{69661B4D-AEA7-4C15-8B95-9BF6D0EB92FF}"/>
    <cellStyle name="Normal 10 6 2 8 2 3" xfId="49564" xr:uid="{301E9F85-F6C3-48E7-BA64-EB81FBE4EFA7}"/>
    <cellStyle name="Normal 10 6 2 8 3" xfId="24425" xr:uid="{9D99DE74-54DB-482C-9523-3EA928D8C6DD}"/>
    <cellStyle name="Normal 10 6 2 8 4" xfId="41184" xr:uid="{188139F8-D521-4A53-9680-844BA90ABCDD}"/>
    <cellStyle name="Normal 10 6 2 9" xfId="8071" xr:uid="{20FB5442-A052-40EB-8B61-F99F1260D938}"/>
    <cellStyle name="Normal 10 6 2 9 2" xfId="16451" xr:uid="{02103E27-4D3F-467C-9B9F-A4AF7E63EF3A}"/>
    <cellStyle name="Normal 10 6 2 9 2 2" xfId="33211" xr:uid="{14FE107E-CB4D-48C6-833E-311CC967ABC3}"/>
    <cellStyle name="Normal 10 6 2 9 2 3" xfId="49970" xr:uid="{4B796D3A-2616-4FA2-A324-6E9AA908FA4F}"/>
    <cellStyle name="Normal 10 6 2 9 3" xfId="24831" xr:uid="{838592C6-675D-493B-8C8F-22159CC17D48}"/>
    <cellStyle name="Normal 10 6 2 9 4" xfId="41590" xr:uid="{C0E60028-A3DB-4312-B116-4C4132ABE9DC}"/>
    <cellStyle name="Normal 10 6 3" xfId="489" xr:uid="{84A59B4F-449C-44DE-9592-D2D15C3EC4C7}"/>
    <cellStyle name="Normal 10 6 3 10" xfId="8628" xr:uid="{9EEFEC1C-4AFC-43EC-9F32-467BFD596591}"/>
    <cellStyle name="Normal 10 6 3 10 2" xfId="17008" xr:uid="{0AF6D449-2FBC-4A41-ACF3-7B4332E503C6}"/>
    <cellStyle name="Normal 10 6 3 10 2 2" xfId="33768" xr:uid="{8EBF172A-EB2E-49B2-AC2B-CA12B05C504A}"/>
    <cellStyle name="Normal 10 6 3 10 2 3" xfId="50527" xr:uid="{C10EC7A7-2324-4022-9BEA-84CA98CAF38A}"/>
    <cellStyle name="Normal 10 6 3 10 3" xfId="25388" xr:uid="{74BF1645-9E00-4F19-86AD-BC45E3627798}"/>
    <cellStyle name="Normal 10 6 3 10 4" xfId="42147" xr:uid="{90AED87F-5654-44F9-9664-7D4E524ECD25}"/>
    <cellStyle name="Normal 10 6 3 11" xfId="2321" xr:uid="{BE2B08BA-D157-4233-8DEE-559B0416CD7D}"/>
    <cellStyle name="Normal 10 6 3 11 2" xfId="10703" xr:uid="{133EF290-F479-4539-962E-546E3C8272F1}"/>
    <cellStyle name="Normal 10 6 3 11 2 2" xfId="27463" xr:uid="{2E3F9C7F-03FF-4A88-8867-750C028F24E7}"/>
    <cellStyle name="Normal 10 6 3 11 2 3" xfId="44222" xr:uid="{8AE7A8F7-F9BB-4229-98B5-9202786C2D64}"/>
    <cellStyle name="Normal 10 6 3 11 3" xfId="19083" xr:uid="{35307B4B-67D1-4F4A-A81C-B2A942F5358D}"/>
    <cellStyle name="Normal 10 6 3 11 4" xfId="35842" xr:uid="{6939E4E5-0611-473A-9D2A-6B4DB114DA91}"/>
    <cellStyle name="Normal 10 6 3 12" xfId="8900" xr:uid="{453E3FB0-EFE2-4576-A6A9-99CFDA442E1B}"/>
    <cellStyle name="Normal 10 6 3 12 2" xfId="25660" xr:uid="{6A88782F-CB98-410B-BE75-AEDD80691311}"/>
    <cellStyle name="Normal 10 6 3 12 3" xfId="42419" xr:uid="{6E25B5D9-B527-4DD1-9F39-40A0C62232FE}"/>
    <cellStyle name="Normal 10 6 3 13" xfId="17280" xr:uid="{A2F5081C-6F21-4E7A-BA08-B9101B081BEF}"/>
    <cellStyle name="Normal 10 6 3 14" xfId="34039" xr:uid="{CD40E8CE-F272-40E7-8580-E1D7D5D73CCF}"/>
    <cellStyle name="Normal 10 6 3 2" xfId="931" xr:uid="{62E91075-57E8-45C7-AE6F-C6D1662AD8B4}"/>
    <cellStyle name="Normal 10 6 3 2 2" xfId="4326" xr:uid="{B097718E-716F-4640-BD76-63897AE2685A}"/>
    <cellStyle name="Normal 10 6 3 2 2 2" xfId="12706" xr:uid="{AEDBE0E6-48BA-4C8A-902F-1BF50AEA7B96}"/>
    <cellStyle name="Normal 10 6 3 2 2 2 2" xfId="29466" xr:uid="{8ADD1C7D-F216-42AA-BA68-4B9069A8A87C}"/>
    <cellStyle name="Normal 10 6 3 2 2 2 3" xfId="46225" xr:uid="{2B495FD7-C922-4F57-B482-8CDF2571AFCD}"/>
    <cellStyle name="Normal 10 6 3 2 2 3" xfId="21086" xr:uid="{C3276E14-9B47-42C1-99EB-9C232A2105E5}"/>
    <cellStyle name="Normal 10 6 3 2 2 4" xfId="37845" xr:uid="{57401205-412E-43BF-818E-A9DB349DEBF2}"/>
    <cellStyle name="Normal 10 6 3 2 3" xfId="6013" xr:uid="{20568428-B8A0-48DD-B8F8-85AE6170965F}"/>
    <cellStyle name="Normal 10 6 3 2 3 2" xfId="14393" xr:uid="{2B74ABE7-9B70-4466-82BF-C365582AB3BA}"/>
    <cellStyle name="Normal 10 6 3 2 3 2 2" xfId="31153" xr:uid="{C2A4E8A8-81AE-4A4C-894D-E83984D68816}"/>
    <cellStyle name="Normal 10 6 3 2 3 2 3" xfId="47912" xr:uid="{50AADE9E-9A80-43EC-9D1C-4C36CD9FFBDD}"/>
    <cellStyle name="Normal 10 6 3 2 3 3" xfId="22773" xr:uid="{C76CEB28-EBD0-42B5-9E80-28361B1B75D8}"/>
    <cellStyle name="Normal 10 6 3 2 3 4" xfId="39532" xr:uid="{87A544B5-0995-4BB7-8C14-360365AB18DC}"/>
    <cellStyle name="Normal 10 6 3 2 4" xfId="2749" xr:uid="{D0692B2A-9CAF-4D3C-AB22-521A50599533}"/>
    <cellStyle name="Normal 10 6 3 2 4 2" xfId="11129" xr:uid="{50CE593A-C66D-4D37-BC37-E06C1592C640}"/>
    <cellStyle name="Normal 10 6 3 2 4 2 2" xfId="27889" xr:uid="{BD017B91-5E08-492E-BA81-83BDB08ED17C}"/>
    <cellStyle name="Normal 10 6 3 2 4 2 3" xfId="44648" xr:uid="{4805655C-F805-4C3F-885D-8FC7A9D6D55C}"/>
    <cellStyle name="Normal 10 6 3 2 4 3" xfId="19509" xr:uid="{BBFDD906-EB7E-4C6B-948D-5D4AAF49EF6E}"/>
    <cellStyle name="Normal 10 6 3 2 4 4" xfId="36268" xr:uid="{0A196FBF-A006-4641-962E-304793ED8EDE}"/>
    <cellStyle name="Normal 10 6 3 2 5" xfId="9326" xr:uid="{C810820E-AA75-43F3-AA36-B23449376F3B}"/>
    <cellStyle name="Normal 10 6 3 2 5 2" xfId="26086" xr:uid="{E61D449A-0B2F-46DD-9F93-32EE2764738E}"/>
    <cellStyle name="Normal 10 6 3 2 5 3" xfId="42845" xr:uid="{BC1C35CA-5BA0-4967-86F9-11BB9D958606}"/>
    <cellStyle name="Normal 10 6 3 2 6" xfId="17706" xr:uid="{4E59BEEF-7917-46AD-B088-B2657091A8B6}"/>
    <cellStyle name="Normal 10 6 3 2 7" xfId="34465" xr:uid="{5161ECD9-C29D-4027-B7B6-C97E5ED5A5D3}"/>
    <cellStyle name="Normal 10 6 3 3" xfId="1365" xr:uid="{FCE0F417-CA90-410C-B808-CA51ED1DBF10}"/>
    <cellStyle name="Normal 10 6 3 3 2" xfId="4754" xr:uid="{153CDCFB-4B6E-498A-9CF0-953E98F2BFA7}"/>
    <cellStyle name="Normal 10 6 3 3 2 2" xfId="13134" xr:uid="{B8965933-3F2F-4D12-B254-E2041C572285}"/>
    <cellStyle name="Normal 10 6 3 3 2 2 2" xfId="29894" xr:uid="{EA47B2B1-AB93-4217-B182-F35735AA808C}"/>
    <cellStyle name="Normal 10 6 3 3 2 2 3" xfId="46653" xr:uid="{7D68C5C4-D253-4F9F-8878-161C16A135AE}"/>
    <cellStyle name="Normal 10 6 3 3 2 3" xfId="21514" xr:uid="{F5498987-3364-441E-B81B-035A21EB85D5}"/>
    <cellStyle name="Normal 10 6 3 3 2 4" xfId="38273" xr:uid="{C6476FAF-0779-4A34-AD30-47DB8E66F73B}"/>
    <cellStyle name="Normal 10 6 3 3 3" xfId="6441" xr:uid="{94C6865F-9B06-407D-9DC2-12A52F001D11}"/>
    <cellStyle name="Normal 10 6 3 3 3 2" xfId="14821" xr:uid="{D8367505-016C-4B0F-AA02-1CCCF47DB77D}"/>
    <cellStyle name="Normal 10 6 3 3 3 2 2" xfId="31581" xr:uid="{DBA2C4CB-E474-41A1-B68C-A2AF476D75E6}"/>
    <cellStyle name="Normal 10 6 3 3 3 2 3" xfId="48340" xr:uid="{FF715B7E-72C5-495E-90E6-203681CA1FF2}"/>
    <cellStyle name="Normal 10 6 3 3 3 3" xfId="23201" xr:uid="{33483476-2607-45A6-B7A1-AACD9DBDC97C}"/>
    <cellStyle name="Normal 10 6 3 3 3 4" xfId="39960" xr:uid="{1A54F8E0-3EE8-4A6B-AAA4-ADE346E88577}"/>
    <cellStyle name="Normal 10 6 3 3 4" xfId="3177" xr:uid="{5D9D94B1-E3DA-483F-B8B5-BBE160046CD9}"/>
    <cellStyle name="Normal 10 6 3 3 4 2" xfId="11557" xr:uid="{8C25BEC2-A304-4561-9F3F-A2D0573E4A8B}"/>
    <cellStyle name="Normal 10 6 3 3 4 2 2" xfId="28317" xr:uid="{6CF0096B-F057-4A3C-8E65-2174C629189B}"/>
    <cellStyle name="Normal 10 6 3 3 4 2 3" xfId="45076" xr:uid="{E53BD71B-D492-4EF4-82B6-DF88A6021744}"/>
    <cellStyle name="Normal 10 6 3 3 4 3" xfId="19937" xr:uid="{7D0B2A69-B522-4F45-83B2-759A0722004A}"/>
    <cellStyle name="Normal 10 6 3 3 4 4" xfId="36696" xr:uid="{62E3B901-D125-4D02-921F-CF627A9B5751}"/>
    <cellStyle name="Normal 10 6 3 3 5" xfId="9754" xr:uid="{5BD8C345-0676-41E8-896B-B9308AB1FD0F}"/>
    <cellStyle name="Normal 10 6 3 3 5 2" xfId="26514" xr:uid="{E969977E-DE37-43BC-94FE-AD98F399F79C}"/>
    <cellStyle name="Normal 10 6 3 3 5 3" xfId="43273" xr:uid="{8A64C527-05CC-4393-A2CB-21AC6A740595}"/>
    <cellStyle name="Normal 10 6 3 3 6" xfId="18134" xr:uid="{8C1B708B-FF07-4A2E-9770-A82AFA88BB42}"/>
    <cellStyle name="Normal 10 6 3 3 7" xfId="34893" xr:uid="{4DAD52B4-C9E1-4299-96A8-10412DE116C4}"/>
    <cellStyle name="Normal 10 6 3 4" xfId="1928" xr:uid="{30A9C0DB-6F7B-4EC2-BCA3-92A89468F3C7}"/>
    <cellStyle name="Normal 10 6 3 4 2" xfId="5317" xr:uid="{3E180112-1F8B-490E-B073-FD234B497BAC}"/>
    <cellStyle name="Normal 10 6 3 4 2 2" xfId="13697" xr:uid="{BA71B626-7E34-4F05-926A-41C1A44FC0E6}"/>
    <cellStyle name="Normal 10 6 3 4 2 2 2" xfId="30457" xr:uid="{A7D019EA-9A31-4C24-9C33-341908B3185B}"/>
    <cellStyle name="Normal 10 6 3 4 2 2 3" xfId="47216" xr:uid="{8C1E7394-FA77-4043-8DB5-E01EFF63FFE8}"/>
    <cellStyle name="Normal 10 6 3 4 2 3" xfId="22077" xr:uid="{471760E0-8216-4100-B4D2-4909281570FC}"/>
    <cellStyle name="Normal 10 6 3 4 2 4" xfId="38836" xr:uid="{6EEB8BBB-22B2-46B0-BCCD-F29575123B72}"/>
    <cellStyle name="Normal 10 6 3 4 3" xfId="7004" xr:uid="{6244C5CF-27D9-4F13-84DA-1F3172D3E7D9}"/>
    <cellStyle name="Normal 10 6 3 4 3 2" xfId="15384" xr:uid="{1D684D37-AE27-4F36-93C9-32452846E21A}"/>
    <cellStyle name="Normal 10 6 3 4 3 2 2" xfId="32144" xr:uid="{34A193DA-DEAC-4C89-9143-7E63E7201D5B}"/>
    <cellStyle name="Normal 10 6 3 4 3 2 3" xfId="48903" xr:uid="{E4616326-27DB-40B8-BAEF-E661B87CCEAD}"/>
    <cellStyle name="Normal 10 6 3 4 3 3" xfId="23764" xr:uid="{0AE877F6-96F4-4EB6-8842-0890EDEB6F42}"/>
    <cellStyle name="Normal 10 6 3 4 3 4" xfId="40523" xr:uid="{3DB4953A-59A6-4FE5-B74B-E81567E5C18D}"/>
    <cellStyle name="Normal 10 6 3 4 4" xfId="3627" xr:uid="{6B4624F4-413B-4765-A8FC-B2D0EBDFAE15}"/>
    <cellStyle name="Normal 10 6 3 4 4 2" xfId="12007" xr:uid="{9B328173-C9DB-4549-9FEC-5587A26857A5}"/>
    <cellStyle name="Normal 10 6 3 4 4 2 2" xfId="28767" xr:uid="{99DC0CF4-9AB6-401F-B675-704B3BEE37FD}"/>
    <cellStyle name="Normal 10 6 3 4 4 2 3" xfId="45526" xr:uid="{21482D1D-BF89-4ADE-9E5A-68BC091953E2}"/>
    <cellStyle name="Normal 10 6 3 4 4 3" xfId="20387" xr:uid="{F9A664B2-6DCA-4154-856B-E54F493CB314}"/>
    <cellStyle name="Normal 10 6 3 4 4 4" xfId="37146" xr:uid="{A7420A84-2DCA-4E0F-AAAB-3DA79B98C262}"/>
    <cellStyle name="Normal 10 6 3 4 5" xfId="10317" xr:uid="{7E6E3412-5D70-4AE5-856D-88EF74F45425}"/>
    <cellStyle name="Normal 10 6 3 4 5 2" xfId="27077" xr:uid="{852E371C-751C-4C07-B143-B966616D7DD5}"/>
    <cellStyle name="Normal 10 6 3 4 5 3" xfId="43836" xr:uid="{2FD32E7F-2778-47AF-BE14-28533605AF20}"/>
    <cellStyle name="Normal 10 6 3 4 6" xfId="18697" xr:uid="{3E9C4831-A8E8-446F-B074-4F08EC2A2869}"/>
    <cellStyle name="Normal 10 6 3 4 7" xfId="35456" xr:uid="{A02E0F91-9F2D-46F1-8AED-C0BC82344EF4}"/>
    <cellStyle name="Normal 10 6 3 5" xfId="4047" xr:uid="{0EF77E1F-69CF-4E78-8C69-FF09BB325F3E}"/>
    <cellStyle name="Normal 10 6 3 5 2" xfId="12427" xr:uid="{B9397DC8-F6BB-461A-BFFE-3BFC6C1A2117}"/>
    <cellStyle name="Normal 10 6 3 5 2 2" xfId="29187" xr:uid="{F5B85E69-9F2E-4E19-B47B-CAF0FAEF754E}"/>
    <cellStyle name="Normal 10 6 3 5 2 3" xfId="45946" xr:uid="{B7E02840-E189-4C1E-9757-6DD8D7507239}"/>
    <cellStyle name="Normal 10 6 3 5 3" xfId="20807" xr:uid="{6C018A22-CBE3-485B-A1F4-A0442F6DD6B9}"/>
    <cellStyle name="Normal 10 6 3 5 4" xfId="37566" xr:uid="{46083A75-8E15-46CD-B4D7-2D77DFE0DB9B}"/>
    <cellStyle name="Normal 10 6 3 6" xfId="5587" xr:uid="{EF5D1C94-7F21-468E-A06A-0B635176D697}"/>
    <cellStyle name="Normal 10 6 3 6 2" xfId="13967" xr:uid="{B53744A9-396A-4BE7-AEE5-08BF02D76FA2}"/>
    <cellStyle name="Normal 10 6 3 6 2 2" xfId="30727" xr:uid="{0A158437-A78C-4928-94C8-75D082843FE6}"/>
    <cellStyle name="Normal 10 6 3 6 2 3" xfId="47486" xr:uid="{DC4039A8-D9BA-42BD-B293-C93E4B90E247}"/>
    <cellStyle name="Normal 10 6 3 6 3" xfId="22347" xr:uid="{C5536BED-8334-4D1E-AD7E-8E06090066AA}"/>
    <cellStyle name="Normal 10 6 3 6 4" xfId="39106" xr:uid="{ED025E48-BF1F-46A9-928D-B7D562DE043A}"/>
    <cellStyle name="Normal 10 6 3 7" xfId="7410" xr:uid="{E5D226A1-FD64-4B46-8085-CC27C1F15F46}"/>
    <cellStyle name="Normal 10 6 3 7 2" xfId="15790" xr:uid="{2D6C5C17-3566-4009-9992-D4094CA8D8DB}"/>
    <cellStyle name="Normal 10 6 3 7 2 2" xfId="32550" xr:uid="{0217988E-3335-4772-A50A-83352FBB255D}"/>
    <cellStyle name="Normal 10 6 3 7 2 3" xfId="49309" xr:uid="{0FEAEDC2-3F0A-4894-8A61-40E52D27BC88}"/>
    <cellStyle name="Normal 10 6 3 7 3" xfId="24170" xr:uid="{F328F3D6-50A9-4084-8938-9CBB22860B12}"/>
    <cellStyle name="Normal 10 6 3 7 4" xfId="40929" xr:uid="{CF3B4C07-B19E-446F-A451-FD357A577802}"/>
    <cellStyle name="Normal 10 6 3 8" xfId="7816" xr:uid="{9F1D18C2-DCA3-4D26-8AC1-BAF124E17EE5}"/>
    <cellStyle name="Normal 10 6 3 8 2" xfId="16196" xr:uid="{F2B69966-104B-4D56-866F-33C1299EA3E7}"/>
    <cellStyle name="Normal 10 6 3 8 2 2" xfId="32956" xr:uid="{0B9609DE-9B46-4955-AF22-3D6CCBA9C9FA}"/>
    <cellStyle name="Normal 10 6 3 8 2 3" xfId="49715" xr:uid="{F7B976CD-27E5-40DF-8405-D2E69513287D}"/>
    <cellStyle name="Normal 10 6 3 8 3" xfId="24576" xr:uid="{05C2644B-BBE6-4486-9442-2775E4EDC3E1}"/>
    <cellStyle name="Normal 10 6 3 8 4" xfId="41335" xr:uid="{1BE4EAD3-6893-4798-9E88-4518D9DD78C9}"/>
    <cellStyle name="Normal 10 6 3 9" xfId="8222" xr:uid="{AD1311FF-06CA-42E8-B93B-EF601B92CBBB}"/>
    <cellStyle name="Normal 10 6 3 9 2" xfId="16602" xr:uid="{D7AA775A-666B-45B4-8F9E-3C94A37EE82A}"/>
    <cellStyle name="Normal 10 6 3 9 2 2" xfId="33362" xr:uid="{AD8B89E4-811F-4AF8-A123-37E843981BDB}"/>
    <cellStyle name="Normal 10 6 3 9 2 3" xfId="50121" xr:uid="{F8D0F350-890C-4DC7-9A1A-CF262C8FB3C9}"/>
    <cellStyle name="Normal 10 6 3 9 3" xfId="24982" xr:uid="{C23419E8-488B-4AEB-B1D2-0DD41200BD48}"/>
    <cellStyle name="Normal 10 6 3 9 4" xfId="41741" xr:uid="{7719C328-C9A0-49F0-9BAA-5BB127E29AB5}"/>
    <cellStyle name="Normal 10 6 4" xfId="929" xr:uid="{900B8F29-1C5F-49A4-A2E2-8F5235AAF099}"/>
    <cellStyle name="Normal 10 6 4 2" xfId="4324" xr:uid="{B9EF08F9-119A-471D-92DF-622A29048084}"/>
    <cellStyle name="Normal 10 6 4 2 2" xfId="12704" xr:uid="{3300CA1B-0C6D-439A-9D61-4922DB1D05B2}"/>
    <cellStyle name="Normal 10 6 4 2 2 2" xfId="29464" xr:uid="{A250D052-4C3E-4A9D-B008-9E19E378D535}"/>
    <cellStyle name="Normal 10 6 4 2 2 3" xfId="46223" xr:uid="{821DC8F3-8373-4236-A49F-DAB5C84CFA1D}"/>
    <cellStyle name="Normal 10 6 4 2 3" xfId="21084" xr:uid="{4A64209F-B564-4F2A-AE83-B39FA177A821}"/>
    <cellStyle name="Normal 10 6 4 2 4" xfId="37843" xr:uid="{3D5DDF22-A059-4953-BA4F-C131C257DE16}"/>
    <cellStyle name="Normal 10 6 4 3" xfId="6011" xr:uid="{ABA5F253-65D7-4A1B-BCC4-D4919533670A}"/>
    <cellStyle name="Normal 10 6 4 3 2" xfId="14391" xr:uid="{3879EBB2-A5E1-492A-B291-9FC607784E00}"/>
    <cellStyle name="Normal 10 6 4 3 2 2" xfId="31151" xr:uid="{893E1C71-A40A-4005-BA03-44353C030EA1}"/>
    <cellStyle name="Normal 10 6 4 3 2 3" xfId="47910" xr:uid="{318EB1F0-FD66-4B0A-83EE-2E09FAF90861}"/>
    <cellStyle name="Normal 10 6 4 3 3" xfId="22771" xr:uid="{9C934971-4FFA-4F18-8325-A8E306DE5148}"/>
    <cellStyle name="Normal 10 6 4 3 4" xfId="39530" xr:uid="{ADFFC844-47FB-4187-8815-20B4E350C108}"/>
    <cellStyle name="Normal 10 6 4 4" xfId="2747" xr:uid="{4EC535E0-3C5A-4599-AAD6-05CD321D3586}"/>
    <cellStyle name="Normal 10 6 4 4 2" xfId="11127" xr:uid="{6E807D17-2B5D-4832-8AE6-7DDEC5709E39}"/>
    <cellStyle name="Normal 10 6 4 4 2 2" xfId="27887" xr:uid="{C424F5EC-298A-4555-86BF-1C7348AA06E0}"/>
    <cellStyle name="Normal 10 6 4 4 2 3" xfId="44646" xr:uid="{D19B1222-294C-43DF-8A53-31FB52265A95}"/>
    <cellStyle name="Normal 10 6 4 4 3" xfId="19507" xr:uid="{ACDB19F7-43F8-48B8-9816-F93B859C9C6F}"/>
    <cellStyle name="Normal 10 6 4 4 4" xfId="36266" xr:uid="{5F1A1D31-7180-4C8F-9435-0EB424DA2596}"/>
    <cellStyle name="Normal 10 6 4 5" xfId="9324" xr:uid="{E9FE22BB-0ADD-419C-9554-51DC56B2C489}"/>
    <cellStyle name="Normal 10 6 4 5 2" xfId="26084" xr:uid="{BB1F5E4A-3A56-42F4-8853-F369D5CC7F45}"/>
    <cellStyle name="Normal 10 6 4 5 3" xfId="42843" xr:uid="{EA33F201-3558-46C5-B824-73A5AA7DFABF}"/>
    <cellStyle name="Normal 10 6 4 6" xfId="17704" xr:uid="{DA74D909-C8F1-41E0-BDAC-A614CE81EECF}"/>
    <cellStyle name="Normal 10 6 4 7" xfId="34463" xr:uid="{2D50CC14-E7B6-418A-B221-8EB66B7AB329}"/>
    <cellStyle name="Normal 10 6 5" xfId="1363" xr:uid="{E66B5E45-625F-4011-BBFF-875B450743BD}"/>
    <cellStyle name="Normal 10 6 5 2" xfId="4752" xr:uid="{95F676B2-C276-4D2C-8B52-EA6F66705813}"/>
    <cellStyle name="Normal 10 6 5 2 2" xfId="13132" xr:uid="{490C0367-9D90-4BA7-A198-E5944CDF7266}"/>
    <cellStyle name="Normal 10 6 5 2 2 2" xfId="29892" xr:uid="{F442790F-BCA3-4E56-B022-9913676654B7}"/>
    <cellStyle name="Normal 10 6 5 2 2 3" xfId="46651" xr:uid="{B8059C05-FD23-46A6-A9E8-7AF8D07F1FC3}"/>
    <cellStyle name="Normal 10 6 5 2 3" xfId="21512" xr:uid="{1BEE6718-86B4-47BB-B0AF-586F5F765203}"/>
    <cellStyle name="Normal 10 6 5 2 4" xfId="38271" xr:uid="{4E46F27D-F387-4CC4-904A-5A0ED4607A9B}"/>
    <cellStyle name="Normal 10 6 5 3" xfId="6439" xr:uid="{86E8EF63-8387-4EE9-BD66-18D4D33003CE}"/>
    <cellStyle name="Normal 10 6 5 3 2" xfId="14819" xr:uid="{940586C7-4365-42C9-A1E6-60EDF2FE3378}"/>
    <cellStyle name="Normal 10 6 5 3 2 2" xfId="31579" xr:uid="{BE3F221C-85A5-4927-B86E-89101D3D51B7}"/>
    <cellStyle name="Normal 10 6 5 3 2 3" xfId="48338" xr:uid="{E623A4F3-27C3-4BFB-9D80-3380BDCB0E61}"/>
    <cellStyle name="Normal 10 6 5 3 3" xfId="23199" xr:uid="{AA465D84-5FEF-4E08-8C57-85D4368D0804}"/>
    <cellStyle name="Normal 10 6 5 3 4" xfId="39958" xr:uid="{B3F398FC-B2EB-49EF-A567-7B5928D71370}"/>
    <cellStyle name="Normal 10 6 5 4" xfId="3175" xr:uid="{D04277D2-7D28-4792-8948-C897F01E844D}"/>
    <cellStyle name="Normal 10 6 5 4 2" xfId="11555" xr:uid="{21513891-B992-413E-9FF6-B26B66143F7D}"/>
    <cellStyle name="Normal 10 6 5 4 2 2" xfId="28315" xr:uid="{339E3316-33D7-42F6-9A12-B352E9E3E80D}"/>
    <cellStyle name="Normal 10 6 5 4 2 3" xfId="45074" xr:uid="{BC3A606A-D33A-48FE-8013-291195C40F9D}"/>
    <cellStyle name="Normal 10 6 5 4 3" xfId="19935" xr:uid="{25A2DDD4-94F6-4E23-8CEB-2222A7F3B56C}"/>
    <cellStyle name="Normal 10 6 5 4 4" xfId="36694" xr:uid="{34B6772E-45B8-4698-B5D0-FF3C30837883}"/>
    <cellStyle name="Normal 10 6 5 5" xfId="9752" xr:uid="{517B1069-0405-4235-8D10-0D64E21C4F7D}"/>
    <cellStyle name="Normal 10 6 5 5 2" xfId="26512" xr:uid="{FF6B927B-5F85-4504-83CB-9622C1CDD124}"/>
    <cellStyle name="Normal 10 6 5 5 3" xfId="43271" xr:uid="{2D388AF8-8A65-4C24-B094-183A0C905295}"/>
    <cellStyle name="Normal 10 6 5 6" xfId="18132" xr:uid="{CAFD5A49-83EE-4A6A-9FC7-AA570C51EED5}"/>
    <cellStyle name="Normal 10 6 5 7" xfId="34891" xr:uid="{1F12AC53-BCCC-46CD-9ECD-0BD18C51D820}"/>
    <cellStyle name="Normal 10 6 6" xfId="1657" xr:uid="{9CDA22D7-8C8C-47A0-8A70-5F397E2935CA}"/>
    <cellStyle name="Normal 10 6 6 2" xfId="5046" xr:uid="{BE1230B5-F961-463A-9B9F-9D0BB3846C8C}"/>
    <cellStyle name="Normal 10 6 6 2 2" xfId="13426" xr:uid="{D79259B5-0E85-4044-9762-274B3BEF0628}"/>
    <cellStyle name="Normal 10 6 6 2 2 2" xfId="30186" xr:uid="{5BAF52F5-B191-4455-8B15-04E4FE655251}"/>
    <cellStyle name="Normal 10 6 6 2 2 3" xfId="46945" xr:uid="{6105979F-C0E7-4558-B252-D5F0A9141EE6}"/>
    <cellStyle name="Normal 10 6 6 2 3" xfId="21806" xr:uid="{D2119B9C-9871-48E1-AC37-045DA31DF550}"/>
    <cellStyle name="Normal 10 6 6 2 4" xfId="38565" xr:uid="{A55B5785-F9A4-4CB7-8FE8-8A3CABA79871}"/>
    <cellStyle name="Normal 10 6 6 3" xfId="6733" xr:uid="{2BBF9DD2-C788-4448-9EA7-43E5BB8CEC4B}"/>
    <cellStyle name="Normal 10 6 6 3 2" xfId="15113" xr:uid="{84E79975-BC75-46AF-89F1-E88168F59DF5}"/>
    <cellStyle name="Normal 10 6 6 3 2 2" xfId="31873" xr:uid="{116428DD-2EDE-4550-B0E4-B2A79D611C13}"/>
    <cellStyle name="Normal 10 6 6 3 2 3" xfId="48632" xr:uid="{6DDF5BC7-D53B-4DFD-946E-2605DA154EC5}"/>
    <cellStyle name="Normal 10 6 6 3 3" xfId="23493" xr:uid="{886F5035-5D57-4CE5-A885-A4CC17278878}"/>
    <cellStyle name="Normal 10 6 6 3 4" xfId="40252" xr:uid="{9AEDC9D9-6781-41A1-B8D2-74ACD18D51D4}"/>
    <cellStyle name="Normal 10 6 6 4" xfId="2319" xr:uid="{CA606906-0318-4DFC-B8AA-A3AB2EF6724C}"/>
    <cellStyle name="Normal 10 6 6 4 2" xfId="10701" xr:uid="{C11196DC-0CB9-41DB-B532-D25496E45962}"/>
    <cellStyle name="Normal 10 6 6 4 2 2" xfId="27461" xr:uid="{896C01DE-0B65-4BA9-A98D-5CE162F7B17F}"/>
    <cellStyle name="Normal 10 6 6 4 2 3" xfId="44220" xr:uid="{0CAB7283-8F90-4506-A270-B57526331F17}"/>
    <cellStyle name="Normal 10 6 6 4 3" xfId="19081" xr:uid="{C6DE48F1-43E2-4239-8C50-9239CDD8BFA3}"/>
    <cellStyle name="Normal 10 6 6 4 4" xfId="35840" xr:uid="{F64FC607-FF08-4C3D-BD3A-95DF60EA52BD}"/>
    <cellStyle name="Normal 10 6 6 5" xfId="10046" xr:uid="{C1B4D0E2-FDDE-40D6-98F6-08DE440DC4B3}"/>
    <cellStyle name="Normal 10 6 6 5 2" xfId="26806" xr:uid="{AB681734-74D7-4148-9D75-26170DADA917}"/>
    <cellStyle name="Normal 10 6 6 5 3" xfId="43565" xr:uid="{B6ABDB8C-69E3-4FC2-873F-8089DF523055}"/>
    <cellStyle name="Normal 10 6 6 6" xfId="18426" xr:uid="{CCB6D0B9-077D-44B8-A199-D63EDC69654D}"/>
    <cellStyle name="Normal 10 6 6 7" xfId="35185" xr:uid="{CDC9989F-C164-4D8A-AB56-B85317B5A422}"/>
    <cellStyle name="Normal 10 6 7" xfId="3775" xr:uid="{E8C3EC9F-119A-4593-8175-419450F940EE}"/>
    <cellStyle name="Normal 10 6 7 2" xfId="12155" xr:uid="{664ACCB4-6BC2-4DFB-A050-B112111C2AEA}"/>
    <cellStyle name="Normal 10 6 7 2 2" xfId="28915" xr:uid="{336CB558-8979-4136-B463-96D12AB105C7}"/>
    <cellStyle name="Normal 10 6 7 2 3" xfId="45674" xr:uid="{6BC6FA17-5370-4998-B2F3-5B59D237B12D}"/>
    <cellStyle name="Normal 10 6 7 3" xfId="20535" xr:uid="{434F95A2-554A-4375-A463-0611AC61029E}"/>
    <cellStyle name="Normal 10 6 7 4" xfId="37294" xr:uid="{A6C2E951-1CF2-4479-BA75-46F751420609}"/>
    <cellStyle name="Normal 10 6 8" xfId="5585" xr:uid="{CEB58A61-96EE-4B1D-BF4D-8BA9BCA400B9}"/>
    <cellStyle name="Normal 10 6 8 2" xfId="13965" xr:uid="{A83B7B74-41AE-4CA8-86BF-CA02F3690E7C}"/>
    <cellStyle name="Normal 10 6 8 2 2" xfId="30725" xr:uid="{02E58922-9062-40D9-B0B2-02628CE669AC}"/>
    <cellStyle name="Normal 10 6 8 2 3" xfId="47484" xr:uid="{25BDECB8-6ECB-4E2A-90A9-316F45FB1E5A}"/>
    <cellStyle name="Normal 10 6 8 3" xfId="22345" xr:uid="{FF00BBD1-B597-43E2-BD04-4D1A9094A602}"/>
    <cellStyle name="Normal 10 6 8 4" xfId="39104" xr:uid="{48D6F1F4-A11E-4B73-A30D-00CE5BA91A33}"/>
    <cellStyle name="Normal 10 6 9" xfId="7139" xr:uid="{61664947-63C4-4268-AEE8-A7F11EB93C5B}"/>
    <cellStyle name="Normal 10 6 9 2" xfId="15519" xr:uid="{85B2C18F-0A9E-4853-98F6-CC1F74928BA4}"/>
    <cellStyle name="Normal 10 6 9 2 2" xfId="32279" xr:uid="{AA2B6105-C8C4-494A-B2D0-4A8DD1B9BD4D}"/>
    <cellStyle name="Normal 10 6 9 2 3" xfId="49038" xr:uid="{DA2498CB-A2A2-4623-80F6-4278AEF7B1DF}"/>
    <cellStyle name="Normal 10 6 9 3" xfId="23899" xr:uid="{D58EA915-EFD9-4D24-A166-65D471C4AC21}"/>
    <cellStyle name="Normal 10 6 9 4" xfId="40658" xr:uid="{DC4292D1-821C-413B-B972-EE24B6E405E3}"/>
    <cellStyle name="Normal 10 7" xfId="490" xr:uid="{50F2D49D-63AD-44AE-B356-E278AC12B6D4}"/>
    <cellStyle name="Normal 10 7 10" xfId="7626" xr:uid="{3784A231-E30B-418B-964F-0DE3A2E570C3}"/>
    <cellStyle name="Normal 10 7 10 2" xfId="16006" xr:uid="{50AFE647-44FE-45AE-978A-AFB7ACDAC1F3}"/>
    <cellStyle name="Normal 10 7 10 2 2" xfId="32766" xr:uid="{311A4E44-4262-46DF-8C44-EC859885E981}"/>
    <cellStyle name="Normal 10 7 10 2 3" xfId="49525" xr:uid="{5939BCCE-C802-416B-BE1F-84939A3B906C}"/>
    <cellStyle name="Normal 10 7 10 3" xfId="24386" xr:uid="{BBEB2313-3465-4DF6-8456-94102695A82F}"/>
    <cellStyle name="Normal 10 7 10 4" xfId="41145" xr:uid="{46FBCFBE-702F-4E85-A68F-F680C40E0BFA}"/>
    <cellStyle name="Normal 10 7 11" xfId="8032" xr:uid="{DC9C21BD-D42B-4A9C-8619-BF698C987593}"/>
    <cellStyle name="Normal 10 7 11 2" xfId="16412" xr:uid="{0D1A5A15-0D23-4C09-9060-9777F5951184}"/>
    <cellStyle name="Normal 10 7 11 2 2" xfId="33172" xr:uid="{B1432A53-8135-404C-A49C-FE66B52954BA}"/>
    <cellStyle name="Normal 10 7 11 2 3" xfId="49931" xr:uid="{EB91BCD6-F427-4DD5-AC04-96EA86B0831F}"/>
    <cellStyle name="Normal 10 7 11 3" xfId="24792" xr:uid="{2E1B7AA6-01B9-4373-A6E2-72FA47950EDD}"/>
    <cellStyle name="Normal 10 7 11 4" xfId="41551" xr:uid="{9D0A4C28-8B0E-4D3C-B86C-B4DAA92697D8}"/>
    <cellStyle name="Normal 10 7 12" xfId="8438" xr:uid="{CB66C408-6181-443E-A538-F2B77A43FC4D}"/>
    <cellStyle name="Normal 10 7 12 2" xfId="16818" xr:uid="{0744974A-22F6-4598-8EA6-4AFF50867EBD}"/>
    <cellStyle name="Normal 10 7 12 2 2" xfId="33578" xr:uid="{6BAE7B6A-9E0B-490C-B0CF-994161D57927}"/>
    <cellStyle name="Normal 10 7 12 2 3" xfId="50337" xr:uid="{BC57D728-7372-4FFF-BC7C-3EB89EDBBA8F}"/>
    <cellStyle name="Normal 10 7 12 3" xfId="25198" xr:uid="{555EE4A8-06E2-4B57-9203-60FB314A1CE0}"/>
    <cellStyle name="Normal 10 7 12 4" xfId="41957" xr:uid="{920D67FD-C615-4437-8A91-B72B0900CAAE}"/>
    <cellStyle name="Normal 10 7 13" xfId="2125" xr:uid="{076F8136-1284-44DA-BFD9-BD68C18A43BA}"/>
    <cellStyle name="Normal 10 7 13 2" xfId="10513" xr:uid="{CD385DE2-046B-42E8-955B-87F7B9804EE1}"/>
    <cellStyle name="Normal 10 7 13 2 2" xfId="27273" xr:uid="{27C69483-9DB3-4B4F-9A90-33DC197258CD}"/>
    <cellStyle name="Normal 10 7 13 2 3" xfId="44032" xr:uid="{1EFDA09C-11BC-4EEB-8544-DB56CE144D93}"/>
    <cellStyle name="Normal 10 7 13 3" xfId="18893" xr:uid="{0A820E73-8FB7-4A20-B931-3CF3CA28AE78}"/>
    <cellStyle name="Normal 10 7 13 4" xfId="35652" xr:uid="{B1BDCE3D-D83A-40EF-AAD3-2719185DFB34}"/>
    <cellStyle name="Normal 10 7 14" xfId="8901" xr:uid="{32F436FF-8C25-4105-86C5-59BFD81D1A8E}"/>
    <cellStyle name="Normal 10 7 14 2" xfId="25661" xr:uid="{04EDC7B2-1CF6-460A-A823-922F47C89320}"/>
    <cellStyle name="Normal 10 7 14 3" xfId="42420" xr:uid="{57617EFC-8C7B-4B03-AAF5-57C5B77B80D7}"/>
    <cellStyle name="Normal 10 7 15" xfId="17281" xr:uid="{198B2498-8CEE-447C-83C9-3AFCC07AD03B}"/>
    <cellStyle name="Normal 10 7 16" xfId="34040" xr:uid="{35B05BF9-075B-4490-A477-7E55F195EF26}"/>
    <cellStyle name="Normal 10 7 2" xfId="491" xr:uid="{4FC1FEC6-4950-490B-87F1-8E17E67BB06A}"/>
    <cellStyle name="Normal 10 7 2 10" xfId="8478" xr:uid="{604BD246-66E4-4EE1-B1C0-1CE8C31FE527}"/>
    <cellStyle name="Normal 10 7 2 10 2" xfId="16858" xr:uid="{F32ECDDD-5E5A-48CC-9915-76C3A5171D69}"/>
    <cellStyle name="Normal 10 7 2 10 2 2" xfId="33618" xr:uid="{D9D3CEEE-0032-44CE-8B71-350E8B972747}"/>
    <cellStyle name="Normal 10 7 2 10 2 3" xfId="50377" xr:uid="{C2819B1E-FA37-4DF3-A209-027C8270EA2F}"/>
    <cellStyle name="Normal 10 7 2 10 3" xfId="25238" xr:uid="{4D150F16-510D-453C-9EA1-75EAE4CCF54C}"/>
    <cellStyle name="Normal 10 7 2 10 4" xfId="41997" xr:uid="{C2B5D476-B7E5-40C4-843E-30803FD6DAA5}"/>
    <cellStyle name="Normal 10 7 2 11" xfId="2323" xr:uid="{3ACE66F1-7193-4E0F-8BE2-2189469377A7}"/>
    <cellStyle name="Normal 10 7 2 11 2" xfId="10705" xr:uid="{ACBAFC05-B395-4744-B471-DEF34B3AE80A}"/>
    <cellStyle name="Normal 10 7 2 11 2 2" xfId="27465" xr:uid="{1F7260BF-5E98-407D-AC7D-97BEAD0C5038}"/>
    <cellStyle name="Normal 10 7 2 11 2 3" xfId="44224" xr:uid="{6C2525A1-1FD2-4187-9922-320B8C66C5D5}"/>
    <cellStyle name="Normal 10 7 2 11 3" xfId="19085" xr:uid="{7BB62BA9-F4DF-4A25-B318-131F89E86C8B}"/>
    <cellStyle name="Normal 10 7 2 11 4" xfId="35844" xr:uid="{C0268A7D-71DF-40F7-9903-7863A7C8F80D}"/>
    <cellStyle name="Normal 10 7 2 12" xfId="8902" xr:uid="{2C99D3B7-28D2-47F8-AFB9-06B831D625C6}"/>
    <cellStyle name="Normal 10 7 2 12 2" xfId="25662" xr:uid="{3A9A87ED-F315-4886-81EB-8E1934310F9B}"/>
    <cellStyle name="Normal 10 7 2 12 3" xfId="42421" xr:uid="{C58142ED-6F44-4DE7-B2C1-21474F8B41E5}"/>
    <cellStyle name="Normal 10 7 2 13" xfId="17282" xr:uid="{B1832DE6-1879-4C1B-8FC8-9E1402DECF81}"/>
    <cellStyle name="Normal 10 7 2 14" xfId="34041" xr:uid="{D806AF5A-940B-4DAA-9C95-54ECE2DB918E}"/>
    <cellStyle name="Normal 10 7 2 2" xfId="933" xr:uid="{9502FD0A-22D4-42FA-A91C-3EF724BBF431}"/>
    <cellStyle name="Normal 10 7 2 2 2" xfId="4328" xr:uid="{52D9E221-17B0-4E9A-9B9A-BC782905919C}"/>
    <cellStyle name="Normal 10 7 2 2 2 2" xfId="12708" xr:uid="{6AB081AC-C298-45CB-8E82-F464B11D0945}"/>
    <cellStyle name="Normal 10 7 2 2 2 2 2" xfId="29468" xr:uid="{8C7D2DB6-5E86-45CC-840A-5BD80D72B8C9}"/>
    <cellStyle name="Normal 10 7 2 2 2 2 3" xfId="46227" xr:uid="{924A5185-9D1D-42C9-8D11-4AE1916A544F}"/>
    <cellStyle name="Normal 10 7 2 2 2 3" xfId="21088" xr:uid="{AECDA27B-5BAA-4527-A2E9-73D037253E10}"/>
    <cellStyle name="Normal 10 7 2 2 2 4" xfId="37847" xr:uid="{51AE7644-8A87-411A-8ECA-BBED40E12E29}"/>
    <cellStyle name="Normal 10 7 2 2 3" xfId="6015" xr:uid="{DE19BDC0-29CA-45AE-8316-7D625B282B67}"/>
    <cellStyle name="Normal 10 7 2 2 3 2" xfId="14395" xr:uid="{227FD72D-32D9-42C7-81F5-2ED992090DB1}"/>
    <cellStyle name="Normal 10 7 2 2 3 2 2" xfId="31155" xr:uid="{F18706F0-73E5-44EA-A580-ADE9D39BA160}"/>
    <cellStyle name="Normal 10 7 2 2 3 2 3" xfId="47914" xr:uid="{8C019C95-4D9F-4177-97C4-B1B823FAB33E}"/>
    <cellStyle name="Normal 10 7 2 2 3 3" xfId="22775" xr:uid="{6ECF2FCD-0262-409A-933C-475DFAD68793}"/>
    <cellStyle name="Normal 10 7 2 2 3 4" xfId="39534" xr:uid="{2CEDCEDE-6AFA-4C44-B8C8-714C02AD07BC}"/>
    <cellStyle name="Normal 10 7 2 2 4" xfId="2751" xr:uid="{42868064-8259-490C-A777-5B164F6246C0}"/>
    <cellStyle name="Normal 10 7 2 2 4 2" xfId="11131" xr:uid="{24EFE8E8-9CFA-4265-9B18-E32B9734C0F0}"/>
    <cellStyle name="Normal 10 7 2 2 4 2 2" xfId="27891" xr:uid="{82C0160C-F94B-4DC3-B666-3A2DDC0E4A0A}"/>
    <cellStyle name="Normal 10 7 2 2 4 2 3" xfId="44650" xr:uid="{5AC4E015-5DEC-4A61-B250-86C8678E7483}"/>
    <cellStyle name="Normal 10 7 2 2 4 3" xfId="19511" xr:uid="{AA584AD2-1EFF-4487-AD69-59D39EF2ED0E}"/>
    <cellStyle name="Normal 10 7 2 2 4 4" xfId="36270" xr:uid="{4F44DAB0-49B0-48DD-A66C-29E7D07B84BD}"/>
    <cellStyle name="Normal 10 7 2 2 5" xfId="9328" xr:uid="{0FE6D4B6-A631-44AE-AF34-C647D629DE6E}"/>
    <cellStyle name="Normal 10 7 2 2 5 2" xfId="26088" xr:uid="{83C52CBF-1A73-4699-98CA-473359514469}"/>
    <cellStyle name="Normal 10 7 2 2 5 3" xfId="42847" xr:uid="{ADBA0FBD-D8BD-44DD-A7D4-8F41CE240E56}"/>
    <cellStyle name="Normal 10 7 2 2 6" xfId="17708" xr:uid="{101CC3D2-04B4-42C9-97AA-1828D86B54DE}"/>
    <cellStyle name="Normal 10 7 2 2 7" xfId="34467" xr:uid="{1AF9C09F-4CDC-4F98-98CC-D3A13EC1BC5F}"/>
    <cellStyle name="Normal 10 7 2 3" xfId="1367" xr:uid="{B1DFDB82-4022-489F-8CEA-ECB3E0ECA0C0}"/>
    <cellStyle name="Normal 10 7 2 3 2" xfId="4756" xr:uid="{A518BEE4-1C36-4208-BBAD-89493645C8C7}"/>
    <cellStyle name="Normal 10 7 2 3 2 2" xfId="13136" xr:uid="{11558A23-79B8-4A1C-BA10-B93360E34D8A}"/>
    <cellStyle name="Normal 10 7 2 3 2 2 2" xfId="29896" xr:uid="{2289A11C-CA3F-46B1-A9C9-F4D2F12C5522}"/>
    <cellStyle name="Normal 10 7 2 3 2 2 3" xfId="46655" xr:uid="{025925FA-6FBB-487E-8EDA-121C6C3D81BA}"/>
    <cellStyle name="Normal 10 7 2 3 2 3" xfId="21516" xr:uid="{DB2902AD-0A20-4B3C-B997-DB167151013C}"/>
    <cellStyle name="Normal 10 7 2 3 2 4" xfId="38275" xr:uid="{C230812E-447E-4B0B-AA6F-82FA10E3A758}"/>
    <cellStyle name="Normal 10 7 2 3 3" xfId="6443" xr:uid="{AEFDDFC6-115E-4A25-BD73-B0580A11DC39}"/>
    <cellStyle name="Normal 10 7 2 3 3 2" xfId="14823" xr:uid="{299E8958-D611-4AB1-8F76-CFFCBB7BA7FB}"/>
    <cellStyle name="Normal 10 7 2 3 3 2 2" xfId="31583" xr:uid="{6D85D239-166A-415F-BE7E-B029D84D4916}"/>
    <cellStyle name="Normal 10 7 2 3 3 2 3" xfId="48342" xr:uid="{5C3BA951-CCD1-4C5A-BAF9-E009D8052E84}"/>
    <cellStyle name="Normal 10 7 2 3 3 3" xfId="23203" xr:uid="{37C69EE0-DF1F-4DEF-94A4-78A47A22F3DB}"/>
    <cellStyle name="Normal 10 7 2 3 3 4" xfId="39962" xr:uid="{3F7B68ED-D317-464E-A17B-E2C741C57C26}"/>
    <cellStyle name="Normal 10 7 2 3 4" xfId="3179" xr:uid="{4427FF49-7D74-4379-96DC-454246DBDF1E}"/>
    <cellStyle name="Normal 10 7 2 3 4 2" xfId="11559" xr:uid="{6214A2F6-C46E-4472-AAFA-E10D1CE682D8}"/>
    <cellStyle name="Normal 10 7 2 3 4 2 2" xfId="28319" xr:uid="{9AD29209-E53C-4AA9-A210-F9C71F2134D1}"/>
    <cellStyle name="Normal 10 7 2 3 4 2 3" xfId="45078" xr:uid="{5538591D-F5D0-4A01-AAD4-616E3DB430C7}"/>
    <cellStyle name="Normal 10 7 2 3 4 3" xfId="19939" xr:uid="{4BDAE5E3-E886-4D77-9F89-A7A6B03ED87F}"/>
    <cellStyle name="Normal 10 7 2 3 4 4" xfId="36698" xr:uid="{61DE9203-3159-459D-B3AE-50A161E85E2C}"/>
    <cellStyle name="Normal 10 7 2 3 5" xfId="9756" xr:uid="{C94B1C2B-FA24-4963-AC9C-D8FC31075F9C}"/>
    <cellStyle name="Normal 10 7 2 3 5 2" xfId="26516" xr:uid="{5CEAA9A0-7116-4F27-83FF-A9406B76BBD5}"/>
    <cellStyle name="Normal 10 7 2 3 5 3" xfId="43275" xr:uid="{874E5A44-8B5A-4234-85D7-12AFB0E982E2}"/>
    <cellStyle name="Normal 10 7 2 3 6" xfId="18136" xr:uid="{A3A9883A-42DE-40FF-9494-60F25A43520E}"/>
    <cellStyle name="Normal 10 7 2 3 7" xfId="34895" xr:uid="{D0B0B5F5-2BB0-4B22-BC31-A50D66E9217D}"/>
    <cellStyle name="Normal 10 7 2 4" xfId="1778" xr:uid="{E100AE37-6163-4AC1-8DF7-C0BD35E0F23C}"/>
    <cellStyle name="Normal 10 7 2 4 2" xfId="5167" xr:uid="{797B6A68-B1AB-4053-A673-B0E036719E84}"/>
    <cellStyle name="Normal 10 7 2 4 2 2" xfId="13547" xr:uid="{7AE4B6FE-E7FA-4E61-A9AA-BEA61E0FED22}"/>
    <cellStyle name="Normal 10 7 2 4 2 2 2" xfId="30307" xr:uid="{7E8F261C-4B48-4CEC-8322-5E1A735B995D}"/>
    <cellStyle name="Normal 10 7 2 4 2 2 3" xfId="47066" xr:uid="{7B7CDF5F-1B01-4AEE-B4CD-1F4D0213A2F3}"/>
    <cellStyle name="Normal 10 7 2 4 2 3" xfId="21927" xr:uid="{69BCE0FE-8B24-4F76-B9FC-B2B893248965}"/>
    <cellStyle name="Normal 10 7 2 4 2 4" xfId="38686" xr:uid="{00857D9D-9B05-493E-BE8E-FCB9878DB4F9}"/>
    <cellStyle name="Normal 10 7 2 4 3" xfId="6854" xr:uid="{310F64BD-62A1-4B3D-9FCB-6BA1825E9667}"/>
    <cellStyle name="Normal 10 7 2 4 3 2" xfId="15234" xr:uid="{5356B28F-8291-40C5-9159-229C68E75F3B}"/>
    <cellStyle name="Normal 10 7 2 4 3 2 2" xfId="31994" xr:uid="{734B33AB-117E-4C43-BF38-E81938AB8CCA}"/>
    <cellStyle name="Normal 10 7 2 4 3 2 3" xfId="48753" xr:uid="{0A562559-CA65-4872-9F93-9A5207756DB8}"/>
    <cellStyle name="Normal 10 7 2 4 3 3" xfId="23614" xr:uid="{8DB19911-D96C-419E-86E2-59CE829E0559}"/>
    <cellStyle name="Normal 10 7 2 4 3 4" xfId="40373" xr:uid="{ED4560C2-C87B-4107-8121-E2D5FD397F6D}"/>
    <cellStyle name="Normal 10 7 2 4 4" xfId="3478" xr:uid="{4CBF5EB8-F3DD-4283-A56D-7BB8F2F67C39}"/>
    <cellStyle name="Normal 10 7 2 4 4 2" xfId="11858" xr:uid="{B2A105B8-7CDE-4AB6-BEA1-87CF93B33BD6}"/>
    <cellStyle name="Normal 10 7 2 4 4 2 2" xfId="28618" xr:uid="{A4605F03-117A-47D3-9C59-598CC104F3CE}"/>
    <cellStyle name="Normal 10 7 2 4 4 2 3" xfId="45377" xr:uid="{21B7C953-D132-4727-81ED-34E0C842A9B1}"/>
    <cellStyle name="Normal 10 7 2 4 4 3" xfId="20238" xr:uid="{28460E1B-C337-4C89-9A4B-132734849B02}"/>
    <cellStyle name="Normal 10 7 2 4 4 4" xfId="36997" xr:uid="{32FC04C9-1CB2-4B29-88C4-D58CC147E20E}"/>
    <cellStyle name="Normal 10 7 2 4 5" xfId="10167" xr:uid="{BBD7B1DD-3FA9-4B8C-BFAB-3946606A3813}"/>
    <cellStyle name="Normal 10 7 2 4 5 2" xfId="26927" xr:uid="{A6113D81-41C2-43C8-BED4-E26CEA0F39BA}"/>
    <cellStyle name="Normal 10 7 2 4 5 3" xfId="43686" xr:uid="{323E5710-4421-4963-B8A6-855D1474D569}"/>
    <cellStyle name="Normal 10 7 2 4 6" xfId="18547" xr:uid="{EC56BB57-D386-4A2A-B15D-035D5F39B5CC}"/>
    <cellStyle name="Normal 10 7 2 4 7" xfId="35306" xr:uid="{BE48ECBF-FD16-4A3D-AFCA-1E8CA7EBDB60}"/>
    <cellStyle name="Normal 10 7 2 5" xfId="3897" xr:uid="{23D1B01E-EEF6-4955-B015-978068F49F13}"/>
    <cellStyle name="Normal 10 7 2 5 2" xfId="12277" xr:uid="{0D1D5190-839C-4C51-BF5C-D2E98614CF77}"/>
    <cellStyle name="Normal 10 7 2 5 2 2" xfId="29037" xr:uid="{4BE7A534-2DC0-4009-96C3-B5B4F799A67B}"/>
    <cellStyle name="Normal 10 7 2 5 2 3" xfId="45796" xr:uid="{813FCF60-6AA7-4B63-BABC-460986C16418}"/>
    <cellStyle name="Normal 10 7 2 5 3" xfId="20657" xr:uid="{E25E19C9-84A4-4082-B564-0A7082F5C1F3}"/>
    <cellStyle name="Normal 10 7 2 5 4" xfId="37416" xr:uid="{23399612-E5E3-418D-9069-59D2082D9E41}"/>
    <cellStyle name="Normal 10 7 2 6" xfId="5589" xr:uid="{203F07BC-2706-4EB7-9455-FCE0B9821120}"/>
    <cellStyle name="Normal 10 7 2 6 2" xfId="13969" xr:uid="{6DF27C44-72E1-4E37-864B-75A5B216021F}"/>
    <cellStyle name="Normal 10 7 2 6 2 2" xfId="30729" xr:uid="{36865B95-25DC-4D57-8F31-FE93EBD56F9D}"/>
    <cellStyle name="Normal 10 7 2 6 2 3" xfId="47488" xr:uid="{B5061FBD-4B22-4E83-BA77-AA2D4ED62A4E}"/>
    <cellStyle name="Normal 10 7 2 6 3" xfId="22349" xr:uid="{E756594F-C02F-4ECE-8502-CBAD3E958317}"/>
    <cellStyle name="Normal 10 7 2 6 4" xfId="39108" xr:uid="{25E5947A-6499-4630-B4C7-3AC13C2E0541}"/>
    <cellStyle name="Normal 10 7 2 7" xfId="7260" xr:uid="{9BE868EA-A7B1-4FE5-9E89-4D76C3E14F85}"/>
    <cellStyle name="Normal 10 7 2 7 2" xfId="15640" xr:uid="{09E316F6-2F95-4DF3-9FC4-D0136A149515}"/>
    <cellStyle name="Normal 10 7 2 7 2 2" xfId="32400" xr:uid="{F2E162F4-8B99-42FE-AFEB-6D55737763E5}"/>
    <cellStyle name="Normal 10 7 2 7 2 3" xfId="49159" xr:uid="{28C6B446-D0C8-4317-BBAB-6B40BCF3DBB8}"/>
    <cellStyle name="Normal 10 7 2 7 3" xfId="24020" xr:uid="{F1B69F41-E7D6-4C69-9DED-C36541CB6C32}"/>
    <cellStyle name="Normal 10 7 2 7 4" xfId="40779" xr:uid="{8D59E696-EA15-43F7-A80D-DD7EAB607EF4}"/>
    <cellStyle name="Normal 10 7 2 8" xfId="7666" xr:uid="{EF2452F9-EAA6-417C-88DF-150C03A0307E}"/>
    <cellStyle name="Normal 10 7 2 8 2" xfId="16046" xr:uid="{7EB39B4D-21E5-4706-9298-1F1F9848EB49}"/>
    <cellStyle name="Normal 10 7 2 8 2 2" xfId="32806" xr:uid="{4013A535-2351-4839-B5A7-8855537A923C}"/>
    <cellStyle name="Normal 10 7 2 8 2 3" xfId="49565" xr:uid="{8531250B-1A7B-4CCB-852B-12196EE82CC0}"/>
    <cellStyle name="Normal 10 7 2 8 3" xfId="24426" xr:uid="{9755251C-1FE4-4797-87F0-780B6E4DE758}"/>
    <cellStyle name="Normal 10 7 2 8 4" xfId="41185" xr:uid="{6076A18B-AFC2-4069-8E07-097F1F5C7B5D}"/>
    <cellStyle name="Normal 10 7 2 9" xfId="8072" xr:uid="{5F826FF0-C25D-4EF6-9C21-0A7B15D5CF0C}"/>
    <cellStyle name="Normal 10 7 2 9 2" xfId="16452" xr:uid="{13BABE89-1F47-4786-8136-B7E0F1DD60FD}"/>
    <cellStyle name="Normal 10 7 2 9 2 2" xfId="33212" xr:uid="{DF4409C4-4D5A-4C5A-B592-ECCF2895DF4A}"/>
    <cellStyle name="Normal 10 7 2 9 2 3" xfId="49971" xr:uid="{069A8A08-1929-4BD7-B2C7-6DE8E22832D0}"/>
    <cellStyle name="Normal 10 7 2 9 3" xfId="24832" xr:uid="{EB837937-C7CC-40AB-B85A-BF7661BF5795}"/>
    <cellStyle name="Normal 10 7 2 9 4" xfId="41591" xr:uid="{0FA264CB-E50F-43AE-906C-4943F2A36848}"/>
    <cellStyle name="Normal 10 7 3" xfId="492" xr:uid="{18C62AFC-E7B0-4056-9D72-2928C92FA956}"/>
    <cellStyle name="Normal 10 7 3 10" xfId="8709" xr:uid="{D7C04B04-4926-464C-9DC5-1E879E269336}"/>
    <cellStyle name="Normal 10 7 3 10 2" xfId="17089" xr:uid="{D642639D-9798-495D-9BAE-9CA286C1EAC1}"/>
    <cellStyle name="Normal 10 7 3 10 2 2" xfId="33849" xr:uid="{FB2DF87D-78FC-495D-A1A6-5086D6C46BE1}"/>
    <cellStyle name="Normal 10 7 3 10 2 3" xfId="50608" xr:uid="{4EFCD337-1D05-4C47-9FDB-8C8E1160C31E}"/>
    <cellStyle name="Normal 10 7 3 10 3" xfId="25469" xr:uid="{1E20CCFF-6DEB-4F38-879E-4F46FB73E12F}"/>
    <cellStyle name="Normal 10 7 3 10 4" xfId="42228" xr:uid="{D16EFDD7-8BCA-48B7-8EFA-D57DCFAC174C}"/>
    <cellStyle name="Normal 10 7 3 11" xfId="2324" xr:uid="{9AB3FF63-BECF-41DE-803B-1CD6569A0DD8}"/>
    <cellStyle name="Normal 10 7 3 11 2" xfId="10706" xr:uid="{00108DAC-44FD-47F9-8654-0B1C00DE9F63}"/>
    <cellStyle name="Normal 10 7 3 11 2 2" xfId="27466" xr:uid="{61399AA7-C273-45DC-B7BD-AC74AF067708}"/>
    <cellStyle name="Normal 10 7 3 11 2 3" xfId="44225" xr:uid="{5E0BE05D-BDB9-4BA6-92B9-F409EF56BB9A}"/>
    <cellStyle name="Normal 10 7 3 11 3" xfId="19086" xr:uid="{49C1D307-E165-41DF-9161-DC765EA92B9D}"/>
    <cellStyle name="Normal 10 7 3 11 4" xfId="35845" xr:uid="{54F46E7D-CF15-48D5-86F7-5046A998632D}"/>
    <cellStyle name="Normal 10 7 3 12" xfId="8903" xr:uid="{1221D4D4-BCB9-4993-AFB6-65A35776E677}"/>
    <cellStyle name="Normal 10 7 3 12 2" xfId="25663" xr:uid="{97659BD8-A1A4-4CD7-856F-CF3440A3EC32}"/>
    <cellStyle name="Normal 10 7 3 12 3" xfId="42422" xr:uid="{7708BA88-0DE6-4D0D-A99D-9EE6E234A946}"/>
    <cellStyle name="Normal 10 7 3 13" xfId="17283" xr:uid="{86588C68-0B0E-491E-BF95-3B6161907BC9}"/>
    <cellStyle name="Normal 10 7 3 14" xfId="34042" xr:uid="{3D6B61E3-FE63-4271-A8F0-5812DBC88F0F}"/>
    <cellStyle name="Normal 10 7 3 2" xfId="934" xr:uid="{89A0E138-48E7-4515-BB63-C92CA9A633A6}"/>
    <cellStyle name="Normal 10 7 3 2 2" xfId="4329" xr:uid="{7EF6CEC5-70FD-431A-A7A2-CC4C5F93FFA5}"/>
    <cellStyle name="Normal 10 7 3 2 2 2" xfId="12709" xr:uid="{6F63C056-4ED6-4DA0-B2F8-9B095185374A}"/>
    <cellStyle name="Normal 10 7 3 2 2 2 2" xfId="29469" xr:uid="{A5A36556-6D83-43B7-8C68-2144BB09810B}"/>
    <cellStyle name="Normal 10 7 3 2 2 2 3" xfId="46228" xr:uid="{3CB806AC-55AB-4ED3-9B9A-2AC30F4FD13C}"/>
    <cellStyle name="Normal 10 7 3 2 2 3" xfId="21089" xr:uid="{E0E934C6-6D96-4B47-8733-8FD829402AEB}"/>
    <cellStyle name="Normal 10 7 3 2 2 4" xfId="37848" xr:uid="{D95777D4-EE79-413E-B4EF-F105C36495D7}"/>
    <cellStyle name="Normal 10 7 3 2 3" xfId="6016" xr:uid="{3B5E4700-F19F-4376-A2AB-6BAAB319CD4E}"/>
    <cellStyle name="Normal 10 7 3 2 3 2" xfId="14396" xr:uid="{BCE1DC1B-12DE-4FD5-802E-4984801EEBB7}"/>
    <cellStyle name="Normal 10 7 3 2 3 2 2" xfId="31156" xr:uid="{2AB52892-E3A0-4C3F-B9F3-076F2FB22526}"/>
    <cellStyle name="Normal 10 7 3 2 3 2 3" xfId="47915" xr:uid="{D76FB460-07AC-435E-8986-E37FB48AF1A9}"/>
    <cellStyle name="Normal 10 7 3 2 3 3" xfId="22776" xr:uid="{D3B1EAC9-515C-4199-9550-F81B4F64A744}"/>
    <cellStyle name="Normal 10 7 3 2 3 4" xfId="39535" xr:uid="{F5AE5A28-54E8-44B3-A19F-8A97548B486E}"/>
    <cellStyle name="Normal 10 7 3 2 4" xfId="2752" xr:uid="{A87C4D68-33EE-4F54-A2F9-17B76FA2E324}"/>
    <cellStyle name="Normal 10 7 3 2 4 2" xfId="11132" xr:uid="{70AA27D5-79F6-412A-B2B7-84A328067D87}"/>
    <cellStyle name="Normal 10 7 3 2 4 2 2" xfId="27892" xr:uid="{9C036E31-64BC-4F29-8ACA-6F7A746FE778}"/>
    <cellStyle name="Normal 10 7 3 2 4 2 3" xfId="44651" xr:uid="{DA420B14-E4E0-49F7-9B40-D7602472A02A}"/>
    <cellStyle name="Normal 10 7 3 2 4 3" xfId="19512" xr:uid="{6BA1BD62-44A1-4A76-B5D3-5C67C7AF136E}"/>
    <cellStyle name="Normal 10 7 3 2 4 4" xfId="36271" xr:uid="{88F60C57-9FBE-4580-92AD-4F4128D0F12F}"/>
    <cellStyle name="Normal 10 7 3 2 5" xfId="9329" xr:uid="{358FFDF0-FB49-4633-B57B-C8070A85133C}"/>
    <cellStyle name="Normal 10 7 3 2 5 2" xfId="26089" xr:uid="{BCCBEADB-A5D2-473C-90C8-296742383011}"/>
    <cellStyle name="Normal 10 7 3 2 5 3" xfId="42848" xr:uid="{A819A58B-F3AA-4D43-A460-13BEACC8C088}"/>
    <cellStyle name="Normal 10 7 3 2 6" xfId="17709" xr:uid="{7A0D3E05-E96E-47A5-B168-FE2884D0AC8D}"/>
    <cellStyle name="Normal 10 7 3 2 7" xfId="34468" xr:uid="{0518AAB1-8F8E-443A-91D5-47A541BC915F}"/>
    <cellStyle name="Normal 10 7 3 3" xfId="1368" xr:uid="{7F37F7AD-1189-46B2-A0B1-5A4AA2A8DEB6}"/>
    <cellStyle name="Normal 10 7 3 3 2" xfId="4757" xr:uid="{2F3D36BF-7BBC-4753-8633-AF73103902FB}"/>
    <cellStyle name="Normal 10 7 3 3 2 2" xfId="13137" xr:uid="{2C727E11-06F5-45B3-BB59-E84252ACBD4A}"/>
    <cellStyle name="Normal 10 7 3 3 2 2 2" xfId="29897" xr:uid="{414FAB11-16F0-4DC3-9335-3D90ED9AB4A3}"/>
    <cellStyle name="Normal 10 7 3 3 2 2 3" xfId="46656" xr:uid="{784785CC-DBED-4186-BA7A-4FE60A24C7E5}"/>
    <cellStyle name="Normal 10 7 3 3 2 3" xfId="21517" xr:uid="{675E98CA-51F6-4874-AA9F-F57A7B77803B}"/>
    <cellStyle name="Normal 10 7 3 3 2 4" xfId="38276" xr:uid="{5A581E59-BB68-45A3-AFAD-C6D8CB11FBE5}"/>
    <cellStyle name="Normal 10 7 3 3 3" xfId="6444" xr:uid="{8F3E5527-D913-4886-BEA3-558BEF3E70FE}"/>
    <cellStyle name="Normal 10 7 3 3 3 2" xfId="14824" xr:uid="{34AFEAB8-731D-4321-B92F-35894A7F4004}"/>
    <cellStyle name="Normal 10 7 3 3 3 2 2" xfId="31584" xr:uid="{F5272995-FA99-4A93-A560-749358E48CE3}"/>
    <cellStyle name="Normal 10 7 3 3 3 2 3" xfId="48343" xr:uid="{E5D6CE13-8172-499B-85A1-F58CC56A03B6}"/>
    <cellStyle name="Normal 10 7 3 3 3 3" xfId="23204" xr:uid="{6B28C1FA-E9CF-4C18-A7C8-6EA861AA8DD7}"/>
    <cellStyle name="Normal 10 7 3 3 3 4" xfId="39963" xr:uid="{FD0B3C05-06FE-48B8-A1BF-6D8677A7AA85}"/>
    <cellStyle name="Normal 10 7 3 3 4" xfId="3180" xr:uid="{A120ADAD-75AE-42C2-A9FD-3647088A0CFE}"/>
    <cellStyle name="Normal 10 7 3 3 4 2" xfId="11560" xr:uid="{8B5A7C0B-9B8F-41D8-892C-059C81CA5E4A}"/>
    <cellStyle name="Normal 10 7 3 3 4 2 2" xfId="28320" xr:uid="{D3318C74-851B-4F94-A38F-8AD8295D13EC}"/>
    <cellStyle name="Normal 10 7 3 3 4 2 3" xfId="45079" xr:uid="{5B8C7A34-2AC1-470D-B4B4-20F126171165}"/>
    <cellStyle name="Normal 10 7 3 3 4 3" xfId="19940" xr:uid="{FD6D3A98-32A2-4BE9-9BF8-A0F034AFCC42}"/>
    <cellStyle name="Normal 10 7 3 3 4 4" xfId="36699" xr:uid="{889B4D97-492A-45FB-9FD0-4EA7597FE31B}"/>
    <cellStyle name="Normal 10 7 3 3 5" xfId="9757" xr:uid="{830F0806-34D0-4398-AB05-8DC8E78DA77E}"/>
    <cellStyle name="Normal 10 7 3 3 5 2" xfId="26517" xr:uid="{FB5770FC-7CD2-4E96-93FF-5D2695EECC16}"/>
    <cellStyle name="Normal 10 7 3 3 5 3" xfId="43276" xr:uid="{6C3C4752-1BFB-4833-9C67-07B9127428F8}"/>
    <cellStyle name="Normal 10 7 3 3 6" xfId="18137" xr:uid="{62753872-A1FC-4097-ADE2-8D1EA4F3D7D5}"/>
    <cellStyle name="Normal 10 7 3 3 7" xfId="34896" xr:uid="{8F09C3CC-3937-443D-818A-4A00071BF34D}"/>
    <cellStyle name="Normal 10 7 3 4" xfId="2009" xr:uid="{E99BDA6B-7587-4C35-9AE9-FBBBC9F4898E}"/>
    <cellStyle name="Normal 10 7 3 4 2" xfId="5398" xr:uid="{238A3C91-DF43-4BF9-9E62-2D4ECB6B11E3}"/>
    <cellStyle name="Normal 10 7 3 4 2 2" xfId="13778" xr:uid="{F19691CA-EB4F-4F89-A025-6D794C542DFE}"/>
    <cellStyle name="Normal 10 7 3 4 2 2 2" xfId="30538" xr:uid="{7F722EC2-3A30-4746-BBE7-533BCDC4F62F}"/>
    <cellStyle name="Normal 10 7 3 4 2 2 3" xfId="47297" xr:uid="{8E983474-CC4F-42D6-A235-A867836A9028}"/>
    <cellStyle name="Normal 10 7 3 4 2 3" xfId="22158" xr:uid="{0BDD2ADF-0616-4A6F-87B6-11D61FA99846}"/>
    <cellStyle name="Normal 10 7 3 4 2 4" xfId="38917" xr:uid="{322590FA-6D73-4B32-A9E6-8ACCD15EE051}"/>
    <cellStyle name="Normal 10 7 3 4 3" xfId="7085" xr:uid="{7EC2DE94-A1A7-4580-B925-9AD4145F2E4A}"/>
    <cellStyle name="Normal 10 7 3 4 3 2" xfId="15465" xr:uid="{1421C8ED-8534-4DBB-B408-76541ED81297}"/>
    <cellStyle name="Normal 10 7 3 4 3 2 2" xfId="32225" xr:uid="{3B946701-4A49-4725-B915-E0789FFB2D3D}"/>
    <cellStyle name="Normal 10 7 3 4 3 2 3" xfId="48984" xr:uid="{C45B1139-A89C-4BF7-8925-E982E47372ED}"/>
    <cellStyle name="Normal 10 7 3 4 3 3" xfId="23845" xr:uid="{5C2D338D-E0B9-4305-A550-77309C93D754}"/>
    <cellStyle name="Normal 10 7 3 4 3 4" xfId="40604" xr:uid="{CA3B8185-9FFE-4FED-B8FE-3AB3C6F0EB4C}"/>
    <cellStyle name="Normal 10 7 3 4 4" xfId="3708" xr:uid="{06390A91-B2DD-4117-B086-56A40B8E3C6F}"/>
    <cellStyle name="Normal 10 7 3 4 4 2" xfId="12088" xr:uid="{0DCB502B-8D39-437F-8471-B86CA5A56421}"/>
    <cellStyle name="Normal 10 7 3 4 4 2 2" xfId="28848" xr:uid="{445B4150-1CA6-44A2-A5C4-C760F403B617}"/>
    <cellStyle name="Normal 10 7 3 4 4 2 3" xfId="45607" xr:uid="{FC2439C9-9227-43D9-95FF-B4C3A59C8DCA}"/>
    <cellStyle name="Normal 10 7 3 4 4 3" xfId="20468" xr:uid="{51084833-B3EE-41A9-818D-BC8039CAAF68}"/>
    <cellStyle name="Normal 10 7 3 4 4 4" xfId="37227" xr:uid="{96FF676F-9BF9-4610-9AB3-0D1795844891}"/>
    <cellStyle name="Normal 10 7 3 4 5" xfId="10398" xr:uid="{9EE762CF-2A4F-408D-8FEC-905CA58BBB07}"/>
    <cellStyle name="Normal 10 7 3 4 5 2" xfId="27158" xr:uid="{EFD858A8-B562-42F8-B0FE-33B2B61EC41C}"/>
    <cellStyle name="Normal 10 7 3 4 5 3" xfId="43917" xr:uid="{9E581889-BF4F-4C27-B44A-E8FD7CDD48E3}"/>
    <cellStyle name="Normal 10 7 3 4 6" xfId="18778" xr:uid="{F8D0C1B1-8142-4C9B-B962-6DA360160074}"/>
    <cellStyle name="Normal 10 7 3 4 7" xfId="35537" xr:uid="{D73F1E65-AE9D-4AB6-B78D-4D851B5216FD}"/>
    <cellStyle name="Normal 10 7 3 5" xfId="4128" xr:uid="{60E9AF22-CED5-447D-B297-C72171A784C8}"/>
    <cellStyle name="Normal 10 7 3 5 2" xfId="12508" xr:uid="{642A18FA-6D37-4182-9DB7-CB5EC08833D9}"/>
    <cellStyle name="Normal 10 7 3 5 2 2" xfId="29268" xr:uid="{D6A23FD3-A8CB-48ED-87E9-238805EDBDCA}"/>
    <cellStyle name="Normal 10 7 3 5 2 3" xfId="46027" xr:uid="{4C7A3B7C-8009-49C5-86D2-951CD583CF37}"/>
    <cellStyle name="Normal 10 7 3 5 3" xfId="20888" xr:uid="{76A98B13-5D86-45BB-86A9-04CF46B0FC1F}"/>
    <cellStyle name="Normal 10 7 3 5 4" xfId="37647" xr:uid="{EEE906C4-0F6F-4B2F-AE1E-085CA7A60EAB}"/>
    <cellStyle name="Normal 10 7 3 6" xfId="5590" xr:uid="{6AB0F4AB-B20D-444E-9E6E-8C08F7F0B4D5}"/>
    <cellStyle name="Normal 10 7 3 6 2" xfId="13970" xr:uid="{85182409-0787-4A30-8EB2-7E1678C2BC7E}"/>
    <cellStyle name="Normal 10 7 3 6 2 2" xfId="30730" xr:uid="{B8C67E08-086F-4E47-B2AB-4FA46B88ADE6}"/>
    <cellStyle name="Normal 10 7 3 6 2 3" xfId="47489" xr:uid="{72E4EF39-D129-4F21-B076-8F46464811D8}"/>
    <cellStyle name="Normal 10 7 3 6 3" xfId="22350" xr:uid="{428072F9-4A81-47C4-9B7D-A4F1E523E077}"/>
    <cellStyle name="Normal 10 7 3 6 4" xfId="39109" xr:uid="{E55D39D0-F04F-4C52-BB7C-C945C5676014}"/>
    <cellStyle name="Normal 10 7 3 7" xfId="7491" xr:uid="{F3CAB2DC-C98F-42DB-A0EA-272F02B9A86A}"/>
    <cellStyle name="Normal 10 7 3 7 2" xfId="15871" xr:uid="{93138031-7FDE-48A5-A802-ABC71BDE6430}"/>
    <cellStyle name="Normal 10 7 3 7 2 2" xfId="32631" xr:uid="{83A97A43-920E-42E5-9C21-D19826CD1874}"/>
    <cellStyle name="Normal 10 7 3 7 2 3" xfId="49390" xr:uid="{19EFC1E2-8840-4019-B35D-2B3F8B962F7E}"/>
    <cellStyle name="Normal 10 7 3 7 3" xfId="24251" xr:uid="{CBED38FE-9B23-4D5B-9488-D43D47DFE51A}"/>
    <cellStyle name="Normal 10 7 3 7 4" xfId="41010" xr:uid="{EBF18315-6373-4103-8792-FA3826A5211E}"/>
    <cellStyle name="Normal 10 7 3 8" xfId="7897" xr:uid="{03DCCBA1-D0A7-4AAA-9174-50379284CABA}"/>
    <cellStyle name="Normal 10 7 3 8 2" xfId="16277" xr:uid="{952FD659-B4E5-433C-9A62-9586EEF27F0C}"/>
    <cellStyle name="Normal 10 7 3 8 2 2" xfId="33037" xr:uid="{0D8A3046-C45A-46DF-A3D3-49F46927EBF7}"/>
    <cellStyle name="Normal 10 7 3 8 2 3" xfId="49796" xr:uid="{B6ECC942-25DF-4364-B60D-49BC17493E55}"/>
    <cellStyle name="Normal 10 7 3 8 3" xfId="24657" xr:uid="{7000AFE0-B0F1-457B-8327-082DCD610933}"/>
    <cellStyle name="Normal 10 7 3 8 4" xfId="41416" xr:uid="{FF165BED-F4D4-42E1-BE52-BD8CE3BF274E}"/>
    <cellStyle name="Normal 10 7 3 9" xfId="8303" xr:uid="{09403360-877C-4D8B-9648-665D31A3AF71}"/>
    <cellStyle name="Normal 10 7 3 9 2" xfId="16683" xr:uid="{5AEA28AC-38A6-4C08-9179-8810DF2C2114}"/>
    <cellStyle name="Normal 10 7 3 9 2 2" xfId="33443" xr:uid="{6DBCB32A-0F98-46A2-99A8-A7E004392F9A}"/>
    <cellStyle name="Normal 10 7 3 9 2 3" xfId="50202" xr:uid="{11D000D5-2B2D-4F9C-9AD1-25BCB0B8DDB8}"/>
    <cellStyle name="Normal 10 7 3 9 3" xfId="25063" xr:uid="{021CA0AD-C609-4614-9375-D1AAF56D5E7C}"/>
    <cellStyle name="Normal 10 7 3 9 4" xfId="41822" xr:uid="{B6D4809C-EA5C-4195-8A7F-0876AB904DCA}"/>
    <cellStyle name="Normal 10 7 4" xfId="932" xr:uid="{30946260-CD0F-450D-B56C-B06DE56CFD2E}"/>
    <cellStyle name="Normal 10 7 4 2" xfId="4327" xr:uid="{581EBE4B-D633-4649-BE50-4CCBF77F7911}"/>
    <cellStyle name="Normal 10 7 4 2 2" xfId="12707" xr:uid="{93093523-2D13-463D-9BE8-314A8967A628}"/>
    <cellStyle name="Normal 10 7 4 2 2 2" xfId="29467" xr:uid="{A9AEECC6-F1D8-4C21-8DA1-E762BDAABA95}"/>
    <cellStyle name="Normal 10 7 4 2 2 3" xfId="46226" xr:uid="{29FAC910-FDBC-4E08-B20F-DF4525B010FD}"/>
    <cellStyle name="Normal 10 7 4 2 3" xfId="21087" xr:uid="{49A13FCE-C8E4-4D0B-A551-E05ACE2CFB43}"/>
    <cellStyle name="Normal 10 7 4 2 4" xfId="37846" xr:uid="{877B1AF6-9C72-41D2-B11F-E79764B00B29}"/>
    <cellStyle name="Normal 10 7 4 3" xfId="6014" xr:uid="{42268423-E03D-4205-BE0D-8CEDE0B70DB5}"/>
    <cellStyle name="Normal 10 7 4 3 2" xfId="14394" xr:uid="{A84D0176-7017-4C32-AC91-55B55ABEA401}"/>
    <cellStyle name="Normal 10 7 4 3 2 2" xfId="31154" xr:uid="{66F1C928-8534-4A9B-AC5E-B17EFC7DC5D1}"/>
    <cellStyle name="Normal 10 7 4 3 2 3" xfId="47913" xr:uid="{40692934-146C-40FB-8E89-FC794AC9F5F2}"/>
    <cellStyle name="Normal 10 7 4 3 3" xfId="22774" xr:uid="{C31F632E-178C-46BB-B193-A6B6F012B60E}"/>
    <cellStyle name="Normal 10 7 4 3 4" xfId="39533" xr:uid="{C1E3B209-44FE-44D3-9904-3CB8F8D79EF1}"/>
    <cellStyle name="Normal 10 7 4 4" xfId="2750" xr:uid="{B3CE5676-7630-46F0-834C-DADE7A9C6471}"/>
    <cellStyle name="Normal 10 7 4 4 2" xfId="11130" xr:uid="{8245587A-C93E-48C6-AF04-EB1F34A352F3}"/>
    <cellStyle name="Normal 10 7 4 4 2 2" xfId="27890" xr:uid="{A265DCC7-2228-4B7C-82BB-FBD500040BB1}"/>
    <cellStyle name="Normal 10 7 4 4 2 3" xfId="44649" xr:uid="{DF0ACF3C-0791-4D45-B05F-0C6755B1ABDC}"/>
    <cellStyle name="Normal 10 7 4 4 3" xfId="19510" xr:uid="{899849E0-32D4-4018-9A55-ED4A220692B8}"/>
    <cellStyle name="Normal 10 7 4 4 4" xfId="36269" xr:uid="{DAB4ABD5-27DE-41F0-9281-2D3AA33056EE}"/>
    <cellStyle name="Normal 10 7 4 5" xfId="9327" xr:uid="{23908E10-9BD8-4E97-8DAB-CD2C9744D211}"/>
    <cellStyle name="Normal 10 7 4 5 2" xfId="26087" xr:uid="{D7FECF3B-F68E-4290-95A6-9E269760783A}"/>
    <cellStyle name="Normal 10 7 4 5 3" xfId="42846" xr:uid="{919390E3-824C-4BF2-BAB6-E266573531E8}"/>
    <cellStyle name="Normal 10 7 4 6" xfId="17707" xr:uid="{ABD2281D-32B6-4D92-938C-4F25F24079B0}"/>
    <cellStyle name="Normal 10 7 4 7" xfId="34466" xr:uid="{B15CA35E-FF58-4FCA-9C9F-ECE119E88F82}"/>
    <cellStyle name="Normal 10 7 5" xfId="1366" xr:uid="{01BCAD7D-9196-493B-809D-51C5B23671B8}"/>
    <cellStyle name="Normal 10 7 5 2" xfId="4755" xr:uid="{D532508F-0429-47C9-8901-7FF99DBFE777}"/>
    <cellStyle name="Normal 10 7 5 2 2" xfId="13135" xr:uid="{ED29434B-F7CA-42CF-9839-DE4F0517881E}"/>
    <cellStyle name="Normal 10 7 5 2 2 2" xfId="29895" xr:uid="{F236F5EF-A48B-4F7C-ACD6-56FE06F0CB26}"/>
    <cellStyle name="Normal 10 7 5 2 2 3" xfId="46654" xr:uid="{174819AE-2966-4AA7-A890-B1A9EB895725}"/>
    <cellStyle name="Normal 10 7 5 2 3" xfId="21515" xr:uid="{00E4FCF8-6AE1-4806-98CB-594EA833C3F2}"/>
    <cellStyle name="Normal 10 7 5 2 4" xfId="38274" xr:uid="{B4E7F35C-4B76-4F4C-87B0-C12183279347}"/>
    <cellStyle name="Normal 10 7 5 3" xfId="6442" xr:uid="{79DC78EA-5918-44D6-BAFA-EB807D3AE885}"/>
    <cellStyle name="Normal 10 7 5 3 2" xfId="14822" xr:uid="{B35E4FA4-746E-462A-937B-C13DABA0A69E}"/>
    <cellStyle name="Normal 10 7 5 3 2 2" xfId="31582" xr:uid="{FA220B19-DF30-408F-B17E-9C4BA5EE65FD}"/>
    <cellStyle name="Normal 10 7 5 3 2 3" xfId="48341" xr:uid="{9AA0062C-3EAE-4D62-9531-37452575293B}"/>
    <cellStyle name="Normal 10 7 5 3 3" xfId="23202" xr:uid="{565EDDF4-FAF6-4BC7-A2D6-5EC5EB8348EC}"/>
    <cellStyle name="Normal 10 7 5 3 4" xfId="39961" xr:uid="{04955FB3-7E90-4FA6-AFEF-AB06AE99263F}"/>
    <cellStyle name="Normal 10 7 5 4" xfId="3178" xr:uid="{09FC79B2-6AE2-415A-9A1C-C011C85885B8}"/>
    <cellStyle name="Normal 10 7 5 4 2" xfId="11558" xr:uid="{4BFD96F3-067D-4604-BAB4-CCD7792EB216}"/>
    <cellStyle name="Normal 10 7 5 4 2 2" xfId="28318" xr:uid="{CBF30891-F0FA-44B4-B7F1-B6B96BBBA86A}"/>
    <cellStyle name="Normal 10 7 5 4 2 3" xfId="45077" xr:uid="{64C43402-5128-4ABF-8B6F-4963D541D26A}"/>
    <cellStyle name="Normal 10 7 5 4 3" xfId="19938" xr:uid="{0B8DBFFD-4FFB-4B06-9973-2A314C5EFD64}"/>
    <cellStyle name="Normal 10 7 5 4 4" xfId="36697" xr:uid="{955203D4-F95B-458B-B8C6-3853D7141B57}"/>
    <cellStyle name="Normal 10 7 5 5" xfId="9755" xr:uid="{7B296E44-A197-4417-BFDD-3A962B76FB81}"/>
    <cellStyle name="Normal 10 7 5 5 2" xfId="26515" xr:uid="{5E4C8AAC-9CCE-4E82-A1AD-BFEF8F69FC9C}"/>
    <cellStyle name="Normal 10 7 5 5 3" xfId="43274" xr:uid="{E72E7C2E-D9B7-40C2-A026-00B5014E738E}"/>
    <cellStyle name="Normal 10 7 5 6" xfId="18135" xr:uid="{BBE7335D-2414-44A6-8E27-416A968CE844}"/>
    <cellStyle name="Normal 10 7 5 7" xfId="34894" xr:uid="{3C47E6C4-6C1F-455E-81F4-6609F5AC87EF}"/>
    <cellStyle name="Normal 10 7 6" xfId="1738" xr:uid="{ADB29A76-040B-44DE-BA9C-33B0635BAEA7}"/>
    <cellStyle name="Normal 10 7 6 2" xfId="5127" xr:uid="{A1E749E1-4CEC-46DC-A0BD-F53C377B9E3E}"/>
    <cellStyle name="Normal 10 7 6 2 2" xfId="13507" xr:uid="{0EE581A6-4F55-41AD-9660-5D7A5040DD51}"/>
    <cellStyle name="Normal 10 7 6 2 2 2" xfId="30267" xr:uid="{523C50B1-A78E-4A8D-8EA4-31AB6C844B84}"/>
    <cellStyle name="Normal 10 7 6 2 2 3" xfId="47026" xr:uid="{D49930BF-F780-4939-B375-2B29EA253503}"/>
    <cellStyle name="Normal 10 7 6 2 3" xfId="21887" xr:uid="{3A09D20C-810B-4CAF-8B30-DCDCACE1F863}"/>
    <cellStyle name="Normal 10 7 6 2 4" xfId="38646" xr:uid="{D3AB6536-D130-488E-B73D-8AAB8577FCCA}"/>
    <cellStyle name="Normal 10 7 6 3" xfId="6814" xr:uid="{E49FE2BF-8C06-4176-8C5C-F525CCF98228}"/>
    <cellStyle name="Normal 10 7 6 3 2" xfId="15194" xr:uid="{35F6E281-C143-488D-AFD8-DA12D52627C8}"/>
    <cellStyle name="Normal 10 7 6 3 2 2" xfId="31954" xr:uid="{B5BE048C-67DA-4DEB-8689-725C5516C5D6}"/>
    <cellStyle name="Normal 10 7 6 3 2 3" xfId="48713" xr:uid="{7FDD1FC4-43AC-487F-9AF3-E185A7CDE37F}"/>
    <cellStyle name="Normal 10 7 6 3 3" xfId="23574" xr:uid="{65BB5D27-4ECC-46EC-9A5B-570E2B258F65}"/>
    <cellStyle name="Normal 10 7 6 3 4" xfId="40333" xr:uid="{A799B8F5-764E-42D3-BD8C-F43E733AD8D3}"/>
    <cellStyle name="Normal 10 7 6 4" xfId="2322" xr:uid="{35040CE7-51F4-4F1B-B310-E544D8A580A5}"/>
    <cellStyle name="Normal 10 7 6 4 2" xfId="10704" xr:uid="{8B73E736-59E2-4B5C-A544-8029931FF54F}"/>
    <cellStyle name="Normal 10 7 6 4 2 2" xfId="27464" xr:uid="{9E93770E-FC0B-457C-A562-848FA688A7F0}"/>
    <cellStyle name="Normal 10 7 6 4 2 3" xfId="44223" xr:uid="{D959413B-DC4E-4CDD-81D7-319AE3BAFCFC}"/>
    <cellStyle name="Normal 10 7 6 4 3" xfId="19084" xr:uid="{5A8FF6FD-BD55-4A66-A055-D1D865C4D22A}"/>
    <cellStyle name="Normal 10 7 6 4 4" xfId="35843" xr:uid="{98E444E4-0511-41E1-AB88-01CD61CCADF0}"/>
    <cellStyle name="Normal 10 7 6 5" xfId="10127" xr:uid="{8BEA2DE7-4DEC-4C0A-B6D3-91CB28115A43}"/>
    <cellStyle name="Normal 10 7 6 5 2" xfId="26887" xr:uid="{9BB1035E-CC39-42B4-93F4-0CB28C8D174A}"/>
    <cellStyle name="Normal 10 7 6 5 3" xfId="43646" xr:uid="{D96B59E4-EEE7-4697-A350-E5E13C51E0D2}"/>
    <cellStyle name="Normal 10 7 6 6" xfId="18507" xr:uid="{17FD2B23-92D2-4ECE-9BD5-D1C319911057}"/>
    <cellStyle name="Normal 10 7 6 7" xfId="35266" xr:uid="{5A037720-D63A-413D-98AC-8812F7EB53EA}"/>
    <cellStyle name="Normal 10 7 7" xfId="3857" xr:uid="{DAE1C1EA-029F-4735-9329-19F19CADA4B1}"/>
    <cellStyle name="Normal 10 7 7 2" xfId="12237" xr:uid="{CD11F906-99DF-4224-A1E7-4D097C8DC844}"/>
    <cellStyle name="Normal 10 7 7 2 2" xfId="28997" xr:uid="{A0714711-A096-49A0-BD75-F889C4B153D2}"/>
    <cellStyle name="Normal 10 7 7 2 3" xfId="45756" xr:uid="{F9943C29-88B0-445C-A0A3-DCAB1330E9E2}"/>
    <cellStyle name="Normal 10 7 7 3" xfId="20617" xr:uid="{024E3D2F-6A9F-494C-82ED-E3B4FAA22524}"/>
    <cellStyle name="Normal 10 7 7 4" xfId="37376" xr:uid="{194E41E5-F8D9-4D02-9B75-511E4275AA99}"/>
    <cellStyle name="Normal 10 7 8" xfId="5588" xr:uid="{5B03E588-D791-4901-8B37-393B05006F1C}"/>
    <cellStyle name="Normal 10 7 8 2" xfId="13968" xr:uid="{9BDD0AA3-1B44-4564-8684-A830F46EADA8}"/>
    <cellStyle name="Normal 10 7 8 2 2" xfId="30728" xr:uid="{EA01BB05-F609-46D2-989E-9823ECACBEAA}"/>
    <cellStyle name="Normal 10 7 8 2 3" xfId="47487" xr:uid="{CC0E13E4-8250-4E11-A2E5-F013CD676AEB}"/>
    <cellStyle name="Normal 10 7 8 3" xfId="22348" xr:uid="{C349E9D2-20DC-4C78-8FC9-BCAEA7BC763D}"/>
    <cellStyle name="Normal 10 7 8 4" xfId="39107" xr:uid="{A66C64D2-A842-48E3-BFE2-66824B4AF1D8}"/>
    <cellStyle name="Normal 10 7 9" xfId="7220" xr:uid="{743CAC56-C8C1-40E9-A974-3F4532A3BB65}"/>
    <cellStyle name="Normal 10 7 9 2" xfId="15600" xr:uid="{605C799B-BDDC-4D0D-A16B-7683E9644236}"/>
    <cellStyle name="Normal 10 7 9 2 2" xfId="32360" xr:uid="{15F7A39E-5689-4987-BFC1-D3E9DB360A1C}"/>
    <cellStyle name="Normal 10 7 9 2 3" xfId="49119" xr:uid="{6BE47DC5-3362-4CA6-9774-A66EB6194492}"/>
    <cellStyle name="Normal 10 7 9 3" xfId="23980" xr:uid="{8157E4DF-0468-47F0-A055-47346CFBB156}"/>
    <cellStyle name="Normal 10 7 9 4" xfId="40739" xr:uid="{0E71C89F-09B5-4211-9601-6B78B314F238}"/>
    <cellStyle name="Normal 10 8" xfId="493" xr:uid="{29830D8B-726B-4309-8E55-1915EEB37396}"/>
    <cellStyle name="Normal 10 8 10" xfId="8466" xr:uid="{438902A1-DA82-4AF3-9F92-E75C5B61000D}"/>
    <cellStyle name="Normal 10 8 10 2" xfId="16846" xr:uid="{AB0AD47F-7DBD-4521-AB14-5DF1FDE941E7}"/>
    <cellStyle name="Normal 10 8 10 2 2" xfId="33606" xr:uid="{F38F77EE-4AC8-47D1-A5B2-6C3A86604BD2}"/>
    <cellStyle name="Normal 10 8 10 2 3" xfId="50365" xr:uid="{D6136D9B-3DFF-4CA9-9CD2-DE588AA268CB}"/>
    <cellStyle name="Normal 10 8 10 3" xfId="25226" xr:uid="{C3591B9F-6594-4005-A78D-AFE3C76E7F3F}"/>
    <cellStyle name="Normal 10 8 10 4" xfId="41985" xr:uid="{52B402B5-ECF0-4089-A21D-DD143576433B}"/>
    <cellStyle name="Normal 10 8 11" xfId="2325" xr:uid="{193E73A6-A64D-4A6D-A9CE-59CDFADDFC24}"/>
    <cellStyle name="Normal 10 8 11 2" xfId="10707" xr:uid="{96872388-EF52-4685-B00B-286A36E335BC}"/>
    <cellStyle name="Normal 10 8 11 2 2" xfId="27467" xr:uid="{497066AE-C583-4AA2-B497-E7F38BA7A988}"/>
    <cellStyle name="Normal 10 8 11 2 3" xfId="44226" xr:uid="{FB4C7D8F-0138-47A8-893F-6363C8757F42}"/>
    <cellStyle name="Normal 10 8 11 3" xfId="19087" xr:uid="{B25DFF64-5976-4BE5-890A-628372573F13}"/>
    <cellStyle name="Normal 10 8 11 4" xfId="35846" xr:uid="{9B141532-6000-479B-B293-2F7B9E206DA3}"/>
    <cellStyle name="Normal 10 8 12" xfId="8904" xr:uid="{A1D3F452-067A-44C0-BB98-7ADC79BD23F3}"/>
    <cellStyle name="Normal 10 8 12 2" xfId="25664" xr:uid="{16F9E98B-B740-4B04-83CB-4056EBF8A4BA}"/>
    <cellStyle name="Normal 10 8 12 3" xfId="42423" xr:uid="{172ACCBF-E713-4C88-A323-641EE0CA0C79}"/>
    <cellStyle name="Normal 10 8 13" xfId="17284" xr:uid="{C5D17374-1BD5-4F75-963A-D7DBBB7B1947}"/>
    <cellStyle name="Normal 10 8 14" xfId="34043" xr:uid="{4376CF20-B918-4E4D-BF8B-43EACAA5305F}"/>
    <cellStyle name="Normal 10 8 2" xfId="935" xr:uid="{6946D720-D512-48F3-8947-6438F0BE20EB}"/>
    <cellStyle name="Normal 10 8 2 2" xfId="4330" xr:uid="{27004C17-E0DA-4712-8601-94C54B4C91A1}"/>
    <cellStyle name="Normal 10 8 2 2 2" xfId="12710" xr:uid="{219A0E7E-372D-4EC5-9BB4-1D0F4AAB347A}"/>
    <cellStyle name="Normal 10 8 2 2 2 2" xfId="29470" xr:uid="{CBFB759A-73EE-490B-B5D0-BB2475E75D12}"/>
    <cellStyle name="Normal 10 8 2 2 2 3" xfId="46229" xr:uid="{9CEC3B66-6706-4FA1-81E6-7AD4380535EB}"/>
    <cellStyle name="Normal 10 8 2 2 3" xfId="21090" xr:uid="{857320A8-FBFB-48DD-AD9E-6C369B9D537B}"/>
    <cellStyle name="Normal 10 8 2 2 4" xfId="37849" xr:uid="{17D481E9-B4F9-4844-BCEF-2D6F86154DB5}"/>
    <cellStyle name="Normal 10 8 2 3" xfId="6017" xr:uid="{366BEDDF-2970-442E-8EF0-2C7E0CFD68DD}"/>
    <cellStyle name="Normal 10 8 2 3 2" xfId="14397" xr:uid="{FFDF8625-A833-4A9A-8D1F-1D1AD165A85B}"/>
    <cellStyle name="Normal 10 8 2 3 2 2" xfId="31157" xr:uid="{6F6FA065-0C18-480B-A229-7E4B0501FD1D}"/>
    <cellStyle name="Normal 10 8 2 3 2 3" xfId="47916" xr:uid="{E2795598-B526-4CBD-A88A-17344ACCC404}"/>
    <cellStyle name="Normal 10 8 2 3 3" xfId="22777" xr:uid="{EC131C34-53C2-4C41-A28E-A69D68D9C446}"/>
    <cellStyle name="Normal 10 8 2 3 4" xfId="39536" xr:uid="{B1DFB2F1-6C58-4A6C-B7BE-5EAB04243A2A}"/>
    <cellStyle name="Normal 10 8 2 4" xfId="2753" xr:uid="{AC30EE15-43C5-41A7-8063-4B42DAE50566}"/>
    <cellStyle name="Normal 10 8 2 4 2" xfId="11133" xr:uid="{FBD539A2-13D5-4A21-A012-9506BBC22C2B}"/>
    <cellStyle name="Normal 10 8 2 4 2 2" xfId="27893" xr:uid="{F3D86CCF-A978-4E88-8F63-DB8D2E91A30C}"/>
    <cellStyle name="Normal 10 8 2 4 2 3" xfId="44652" xr:uid="{14CC6F49-4D06-483A-B331-090920CF58C6}"/>
    <cellStyle name="Normal 10 8 2 4 3" xfId="19513" xr:uid="{559D5876-50B7-4C23-9894-5DD801D4C3AE}"/>
    <cellStyle name="Normal 10 8 2 4 4" xfId="36272" xr:uid="{C712CF1F-B2FA-4B12-B0AA-2545F9A656FE}"/>
    <cellStyle name="Normal 10 8 2 5" xfId="9330" xr:uid="{7314A866-41BC-44E0-8FB7-1AF214E335AE}"/>
    <cellStyle name="Normal 10 8 2 5 2" xfId="26090" xr:uid="{EC3B1435-7A72-4D8C-956D-032B5DD9FB87}"/>
    <cellStyle name="Normal 10 8 2 5 3" xfId="42849" xr:uid="{BBF83C93-83AC-4D0B-B769-486F883910A8}"/>
    <cellStyle name="Normal 10 8 2 6" xfId="17710" xr:uid="{E669F1B9-66AE-4B66-9927-D586D7C05C0C}"/>
    <cellStyle name="Normal 10 8 2 7" xfId="34469" xr:uid="{9CCDA6D7-6C6A-47C7-9505-C225E838CCCD}"/>
    <cellStyle name="Normal 10 8 3" xfId="1369" xr:uid="{34ECAD8F-7B17-47AE-96D8-EB57487F22A3}"/>
    <cellStyle name="Normal 10 8 3 2" xfId="4758" xr:uid="{33005857-FAD7-4820-8BF4-BC4FE901E339}"/>
    <cellStyle name="Normal 10 8 3 2 2" xfId="13138" xr:uid="{CD064304-2E15-4658-BF6A-1198902E80A3}"/>
    <cellStyle name="Normal 10 8 3 2 2 2" xfId="29898" xr:uid="{6B28C085-4E9B-4887-9717-5D1CF48AFE7F}"/>
    <cellStyle name="Normal 10 8 3 2 2 3" xfId="46657" xr:uid="{62A97587-9A1D-4E8B-B577-62F5A3531502}"/>
    <cellStyle name="Normal 10 8 3 2 3" xfId="21518" xr:uid="{EAFAFDF0-7CC2-4CD2-80B3-DADDCC2CD91C}"/>
    <cellStyle name="Normal 10 8 3 2 4" xfId="38277" xr:uid="{A7C09A14-933A-49D5-B5C6-A7C42F248ED3}"/>
    <cellStyle name="Normal 10 8 3 3" xfId="6445" xr:uid="{FFE5D8B2-B343-48C1-9A82-B41961D9A534}"/>
    <cellStyle name="Normal 10 8 3 3 2" xfId="14825" xr:uid="{4E9095B1-4E83-46D6-B8B5-DDB3718E6CCF}"/>
    <cellStyle name="Normal 10 8 3 3 2 2" xfId="31585" xr:uid="{A6742B23-2880-4EDF-A85F-AE468743B90B}"/>
    <cellStyle name="Normal 10 8 3 3 2 3" xfId="48344" xr:uid="{F01419E5-9BE7-41A6-A5A2-186F4D0E9B9A}"/>
    <cellStyle name="Normal 10 8 3 3 3" xfId="23205" xr:uid="{04EDE55F-D8AF-4479-967B-393BAD6F3D88}"/>
    <cellStyle name="Normal 10 8 3 3 4" xfId="39964" xr:uid="{B472A31D-953A-4103-9F9D-7DE5F2164C84}"/>
    <cellStyle name="Normal 10 8 3 4" xfId="3181" xr:uid="{32E73C59-E3B4-42C8-852C-D8D56757285A}"/>
    <cellStyle name="Normal 10 8 3 4 2" xfId="11561" xr:uid="{C9740A57-B2CC-4FFE-93DF-98C3C9FBC556}"/>
    <cellStyle name="Normal 10 8 3 4 2 2" xfId="28321" xr:uid="{64681A96-C575-499E-B84D-B5DB5273EAF6}"/>
    <cellStyle name="Normal 10 8 3 4 2 3" xfId="45080" xr:uid="{760E6A3E-CCE4-4F9E-8A4F-CF4F9F5E241F}"/>
    <cellStyle name="Normal 10 8 3 4 3" xfId="19941" xr:uid="{5FF02951-EEA6-47F3-BC17-823CED8F7F5B}"/>
    <cellStyle name="Normal 10 8 3 4 4" xfId="36700" xr:uid="{45505B8A-4CED-48EF-B8A8-5AEC23FECA80}"/>
    <cellStyle name="Normal 10 8 3 5" xfId="9758" xr:uid="{A7C2657C-2800-4B4C-BAE4-1A0A0BBD8242}"/>
    <cellStyle name="Normal 10 8 3 5 2" xfId="26518" xr:uid="{22C696B7-30CC-47AD-996D-22BF76AAD593}"/>
    <cellStyle name="Normal 10 8 3 5 3" xfId="43277" xr:uid="{B610E376-F84D-472A-B927-A0F0579A4E0C}"/>
    <cellStyle name="Normal 10 8 3 6" xfId="18138" xr:uid="{7C62965C-88D4-4F56-BE82-A93EBC69AE52}"/>
    <cellStyle name="Normal 10 8 3 7" xfId="34897" xr:uid="{B131ACE3-8144-44D4-84BB-A9547BA648C6}"/>
    <cellStyle name="Normal 10 8 4" xfId="1766" xr:uid="{40CDBD07-3AB9-4078-9C8B-DB47134AD6AF}"/>
    <cellStyle name="Normal 10 8 4 2" xfId="5155" xr:uid="{71E9BE6F-051A-4EBE-8B87-BA7685AF9323}"/>
    <cellStyle name="Normal 10 8 4 2 2" xfId="13535" xr:uid="{38E5C3CA-281C-49C1-A253-56CEE679578B}"/>
    <cellStyle name="Normal 10 8 4 2 2 2" xfId="30295" xr:uid="{EFD1417A-A18A-4E8C-9470-B1DF63858400}"/>
    <cellStyle name="Normal 10 8 4 2 2 3" xfId="47054" xr:uid="{61632D47-8564-4C76-A074-3BFCC22BE4A0}"/>
    <cellStyle name="Normal 10 8 4 2 3" xfId="21915" xr:uid="{468388C2-FB01-4E35-9A79-D85B25D7779F}"/>
    <cellStyle name="Normal 10 8 4 2 4" xfId="38674" xr:uid="{D7AD65AD-4BB5-45B5-A4F4-5BD0E0341C12}"/>
    <cellStyle name="Normal 10 8 4 3" xfId="6842" xr:uid="{9112CCD5-E77F-4794-81DD-2B72C0C30A0A}"/>
    <cellStyle name="Normal 10 8 4 3 2" xfId="15222" xr:uid="{C58B0DB0-18F0-487B-9590-ECA7B907F342}"/>
    <cellStyle name="Normal 10 8 4 3 2 2" xfId="31982" xr:uid="{D4C2753F-5355-4933-8637-86BB3E5C7585}"/>
    <cellStyle name="Normal 10 8 4 3 2 3" xfId="48741" xr:uid="{48F92036-5477-4931-802E-F06EAA9EC80F}"/>
    <cellStyle name="Normal 10 8 4 3 3" xfId="23602" xr:uid="{5CC1F78B-18C4-4B52-9AD9-0FADDC30C524}"/>
    <cellStyle name="Normal 10 8 4 3 4" xfId="40361" xr:uid="{2FF105DC-6238-46D8-A296-A248A58155D1}"/>
    <cellStyle name="Normal 10 8 4 4" xfId="3466" xr:uid="{6F0244C7-4DD1-4C53-AFE1-0D9BBA65379A}"/>
    <cellStyle name="Normal 10 8 4 4 2" xfId="11846" xr:uid="{1ADF5E2B-133A-4790-9011-E6861C5B73FA}"/>
    <cellStyle name="Normal 10 8 4 4 2 2" xfId="28606" xr:uid="{A91F8273-1DEB-499F-AB04-D520AF8D4B2E}"/>
    <cellStyle name="Normal 10 8 4 4 2 3" xfId="45365" xr:uid="{EA8B08A2-ED7B-4691-A440-69D40D32AD6F}"/>
    <cellStyle name="Normal 10 8 4 4 3" xfId="20226" xr:uid="{A6DF5ECD-D475-453F-BBF3-A344A168B40B}"/>
    <cellStyle name="Normal 10 8 4 4 4" xfId="36985" xr:uid="{F0863BBA-9E3C-45C9-ABF0-E305B9C92903}"/>
    <cellStyle name="Normal 10 8 4 5" xfId="10155" xr:uid="{8982A23E-C4DF-4079-94E5-7ABBE4604435}"/>
    <cellStyle name="Normal 10 8 4 5 2" xfId="26915" xr:uid="{4A70959B-8C78-45E4-ABB5-61F66E1FF556}"/>
    <cellStyle name="Normal 10 8 4 5 3" xfId="43674" xr:uid="{0BE2E9E2-63E1-477D-A1E0-1D1006D93851}"/>
    <cellStyle name="Normal 10 8 4 6" xfId="18535" xr:uid="{E7550180-05C8-4AEE-943B-FE813E4328C7}"/>
    <cellStyle name="Normal 10 8 4 7" xfId="35294" xr:uid="{8CFC8B9E-173C-4054-855B-5A0868C824AA}"/>
    <cellStyle name="Normal 10 8 5" xfId="3885" xr:uid="{01D86499-0774-4256-B2E2-99EF4F1E9111}"/>
    <cellStyle name="Normal 10 8 5 2" xfId="12265" xr:uid="{F797CB42-6BB2-4B1B-977C-CAB5EE59BEF6}"/>
    <cellStyle name="Normal 10 8 5 2 2" xfId="29025" xr:uid="{F1E17185-666F-4F54-8548-B036F847D9DE}"/>
    <cellStyle name="Normal 10 8 5 2 3" xfId="45784" xr:uid="{B8F5284C-1BE9-4EB9-B43D-AA103A73087B}"/>
    <cellStyle name="Normal 10 8 5 3" xfId="20645" xr:uid="{478B5F9C-470F-4F39-91EB-31E2199CBA2C}"/>
    <cellStyle name="Normal 10 8 5 4" xfId="37404" xr:uid="{5D9A60E9-864D-4090-A785-B9CAC4A531C4}"/>
    <cellStyle name="Normal 10 8 6" xfId="5591" xr:uid="{2522EC55-0FA7-49AB-91C3-9C9456F03884}"/>
    <cellStyle name="Normal 10 8 6 2" xfId="13971" xr:uid="{F48E0558-8EF5-46BE-B70A-F45BE8DD79F1}"/>
    <cellStyle name="Normal 10 8 6 2 2" xfId="30731" xr:uid="{23815978-0BD4-438E-A0DB-264DA6C36F4E}"/>
    <cellStyle name="Normal 10 8 6 2 3" xfId="47490" xr:uid="{3498A7B4-7CD5-4D71-8B26-60FCBA4A85DF}"/>
    <cellStyle name="Normal 10 8 6 3" xfId="22351" xr:uid="{4FAB35BE-9027-4509-BF1F-69F6CC251C9E}"/>
    <cellStyle name="Normal 10 8 6 4" xfId="39110" xr:uid="{C6DD0A35-83E4-4F97-ADC5-7C43F192C87B}"/>
    <cellStyle name="Normal 10 8 7" xfId="7248" xr:uid="{97F42903-AA2C-449C-AD1A-2549BD814526}"/>
    <cellStyle name="Normal 10 8 7 2" xfId="15628" xr:uid="{D9CBE8D7-2163-4115-B9A1-E393F991289E}"/>
    <cellStyle name="Normal 10 8 7 2 2" xfId="32388" xr:uid="{558CD122-2C24-468B-9481-88DCD25E35A1}"/>
    <cellStyle name="Normal 10 8 7 2 3" xfId="49147" xr:uid="{1572AD97-DF1D-4CDF-847A-B73E24C18A42}"/>
    <cellStyle name="Normal 10 8 7 3" xfId="24008" xr:uid="{93288361-CBE7-45D5-91F6-DCE40E73327E}"/>
    <cellStyle name="Normal 10 8 7 4" xfId="40767" xr:uid="{92101D74-3EAE-4F67-9902-D76130E9ECB3}"/>
    <cellStyle name="Normal 10 8 8" xfId="7654" xr:uid="{B7E96680-519B-4A64-92CD-B3E4ED623E5F}"/>
    <cellStyle name="Normal 10 8 8 2" xfId="16034" xr:uid="{6CB37769-82B3-4FC5-ABC7-B9A4E11329E0}"/>
    <cellStyle name="Normal 10 8 8 2 2" xfId="32794" xr:uid="{E2FCD45B-2808-4EA4-ADDA-2D3A776C6294}"/>
    <cellStyle name="Normal 10 8 8 2 3" xfId="49553" xr:uid="{9EFF7AB1-439A-41E9-A55D-1722A079EE9A}"/>
    <cellStyle name="Normal 10 8 8 3" xfId="24414" xr:uid="{61250FE0-37D8-463C-B060-BF7558C96A1C}"/>
    <cellStyle name="Normal 10 8 8 4" xfId="41173" xr:uid="{FABF5B71-8B26-4E60-80AA-36A6FD78016D}"/>
    <cellStyle name="Normal 10 8 9" xfId="8060" xr:uid="{3570FA53-3042-48CE-86BE-E7F230EB1D26}"/>
    <cellStyle name="Normal 10 8 9 2" xfId="16440" xr:uid="{BA924631-35F2-4AA0-81CD-E803E56B74CB}"/>
    <cellStyle name="Normal 10 8 9 2 2" xfId="33200" xr:uid="{415E7FB9-3CB0-4DBB-A21B-6A6775996B0A}"/>
    <cellStyle name="Normal 10 8 9 2 3" xfId="49959" xr:uid="{EBBF60D1-E320-491A-8E38-214006A2F883}"/>
    <cellStyle name="Normal 10 8 9 3" xfId="24820" xr:uid="{0649719A-31A8-4EE3-A868-AE68666F9C63}"/>
    <cellStyle name="Normal 10 8 9 4" xfId="41579" xr:uid="{B34DB728-7254-4D50-AA88-9D543C0E9376}"/>
    <cellStyle name="Normal 10 9" xfId="494" xr:uid="{F7B50FB8-FFF0-4D54-BDE3-BA4238AC2093}"/>
    <cellStyle name="Normal 10 9 10" xfId="8599" xr:uid="{4191744D-C22E-475B-ABA6-2A0F02D6CEFE}"/>
    <cellStyle name="Normal 10 9 10 2" xfId="16979" xr:uid="{3863BFFD-F401-44CA-A4E3-C7951C790BAB}"/>
    <cellStyle name="Normal 10 9 10 2 2" xfId="33739" xr:uid="{5B495C8E-9F92-44D2-AA30-42ED101918D4}"/>
    <cellStyle name="Normal 10 9 10 2 3" xfId="50498" xr:uid="{75D43418-8F73-4B81-AB32-A354B3FF4838}"/>
    <cellStyle name="Normal 10 9 10 3" xfId="25359" xr:uid="{AB4BAB4A-70F0-4DF5-A3E7-B465ED429C85}"/>
    <cellStyle name="Normal 10 9 10 4" xfId="42118" xr:uid="{34C23268-C1BD-4BF4-B5E2-B1DBD9228781}"/>
    <cellStyle name="Normal 10 9 11" xfId="2326" xr:uid="{0F66A8FA-18E8-43D2-8E90-9B400E3BED8A}"/>
    <cellStyle name="Normal 10 9 11 2" xfId="10708" xr:uid="{B8655910-8681-4D19-8B3B-B472649AF732}"/>
    <cellStyle name="Normal 10 9 11 2 2" xfId="27468" xr:uid="{037136A6-2058-4D3F-8DB4-09AF5131FB50}"/>
    <cellStyle name="Normal 10 9 11 2 3" xfId="44227" xr:uid="{CD10A273-A2A4-4B16-B221-DAE495D4CD17}"/>
    <cellStyle name="Normal 10 9 11 3" xfId="19088" xr:uid="{C4B67BE6-7F99-49AB-969C-4A5EC6AFCF6C}"/>
    <cellStyle name="Normal 10 9 11 4" xfId="35847" xr:uid="{85B41C7A-0647-4694-8E47-01D11E53E493}"/>
    <cellStyle name="Normal 10 9 12" xfId="8905" xr:uid="{74764CB8-3604-4B67-BB78-C47675D02122}"/>
    <cellStyle name="Normal 10 9 12 2" xfId="25665" xr:uid="{42D4E6E2-2237-49F4-82BA-D0523F3F6378}"/>
    <cellStyle name="Normal 10 9 12 3" xfId="42424" xr:uid="{79ADD52C-937B-49FC-A9BB-C130D32638F8}"/>
    <cellStyle name="Normal 10 9 13" xfId="17285" xr:uid="{82EAA267-965C-4432-8570-282A60655951}"/>
    <cellStyle name="Normal 10 9 14" xfId="34044" xr:uid="{E5AA22A9-179A-4590-91E5-580338403E52}"/>
    <cellStyle name="Normal 10 9 2" xfId="936" xr:uid="{511F258B-CFCB-4488-8D0B-4A9DCD4606D2}"/>
    <cellStyle name="Normal 10 9 2 2" xfId="4331" xr:uid="{6356B091-5E9A-459A-956F-DEBA5D87BDD8}"/>
    <cellStyle name="Normal 10 9 2 2 2" xfId="12711" xr:uid="{DE0961B8-8715-40BB-A7DF-EE443A8F4252}"/>
    <cellStyle name="Normal 10 9 2 2 2 2" xfId="29471" xr:uid="{800B4A69-F74B-4189-845E-6B3EA8DC28D0}"/>
    <cellStyle name="Normal 10 9 2 2 2 3" xfId="46230" xr:uid="{7D9713EE-E39A-4A5A-931D-F066921DF919}"/>
    <cellStyle name="Normal 10 9 2 2 3" xfId="21091" xr:uid="{82053640-115C-4FB7-B8AC-D26F4618192F}"/>
    <cellStyle name="Normal 10 9 2 2 4" xfId="37850" xr:uid="{F482C992-7D0C-4440-B633-75E646C1CA84}"/>
    <cellStyle name="Normal 10 9 2 3" xfId="6018" xr:uid="{22B8C4A4-1DA0-4D7A-A023-F89D218845C0}"/>
    <cellStyle name="Normal 10 9 2 3 2" xfId="14398" xr:uid="{CCAD452A-9552-4FCD-8205-BF37B44A3C36}"/>
    <cellStyle name="Normal 10 9 2 3 2 2" xfId="31158" xr:uid="{CC961A84-F6C7-483A-ADB4-B8B253FD121A}"/>
    <cellStyle name="Normal 10 9 2 3 2 3" xfId="47917" xr:uid="{00F87815-76DD-4D7E-8A45-870A28A0C8CB}"/>
    <cellStyle name="Normal 10 9 2 3 3" xfId="22778" xr:uid="{AEFECE28-4843-4850-BDC6-C3855B30704A}"/>
    <cellStyle name="Normal 10 9 2 3 4" xfId="39537" xr:uid="{6631DF05-678B-491D-B02E-995BEC9140AF}"/>
    <cellStyle name="Normal 10 9 2 4" xfId="2754" xr:uid="{EAE25BF4-0D07-4730-A759-7AFE26DE6800}"/>
    <cellStyle name="Normal 10 9 2 4 2" xfId="11134" xr:uid="{9DB75874-43DE-4E42-B323-FAB009763F44}"/>
    <cellStyle name="Normal 10 9 2 4 2 2" xfId="27894" xr:uid="{7BE6CB1D-AA09-478D-9859-DF31E5929789}"/>
    <cellStyle name="Normal 10 9 2 4 2 3" xfId="44653" xr:uid="{2EED2CBB-7701-48E5-A872-1BBC65AFEEDC}"/>
    <cellStyle name="Normal 10 9 2 4 3" xfId="19514" xr:uid="{A0F62568-0AFE-47BB-AC63-58BC938E8285}"/>
    <cellStyle name="Normal 10 9 2 4 4" xfId="36273" xr:uid="{6E6C89AC-B843-4A47-824F-491DFEFDF4E6}"/>
    <cellStyle name="Normal 10 9 2 5" xfId="9331" xr:uid="{3FC5D6AB-59EB-43BB-B593-8900BA7F4936}"/>
    <cellStyle name="Normal 10 9 2 5 2" xfId="26091" xr:uid="{D939D8FB-8EAC-4543-BF2C-38812BDD167D}"/>
    <cellStyle name="Normal 10 9 2 5 3" xfId="42850" xr:uid="{7F11B18F-21F0-4557-8AA2-52859729D629}"/>
    <cellStyle name="Normal 10 9 2 6" xfId="17711" xr:uid="{460BE976-67FD-4FB0-A710-AC19C18E4C32}"/>
    <cellStyle name="Normal 10 9 2 7" xfId="34470" xr:uid="{D8773D8C-3FB6-4413-AE85-CE84408D52EA}"/>
    <cellStyle name="Normal 10 9 3" xfId="1370" xr:uid="{6379CAB7-11E4-47B2-8FE4-ACCD9B4A873E}"/>
    <cellStyle name="Normal 10 9 3 2" xfId="4759" xr:uid="{B9CF1588-C40B-4A24-B714-8ADB67D7813E}"/>
    <cellStyle name="Normal 10 9 3 2 2" xfId="13139" xr:uid="{69BE06DB-07F1-484E-9B67-24EC6029C67C}"/>
    <cellStyle name="Normal 10 9 3 2 2 2" xfId="29899" xr:uid="{F1E8D7BB-D7A3-4106-B6C1-87A59A22C292}"/>
    <cellStyle name="Normal 10 9 3 2 2 3" xfId="46658" xr:uid="{A8A1637F-1F19-4FB6-9B8C-3980835F1212}"/>
    <cellStyle name="Normal 10 9 3 2 3" xfId="21519" xr:uid="{F9BD6C13-63F5-421F-93B5-A99FDB6FA165}"/>
    <cellStyle name="Normal 10 9 3 2 4" xfId="38278" xr:uid="{6B80E428-3C7F-49C9-9FFE-9CACA0724D39}"/>
    <cellStyle name="Normal 10 9 3 3" xfId="6446" xr:uid="{0CB4392A-1317-4255-BD58-1DAF0BA4B692}"/>
    <cellStyle name="Normal 10 9 3 3 2" xfId="14826" xr:uid="{071D97AC-F60B-4738-A59D-9C7B7DE84334}"/>
    <cellStyle name="Normal 10 9 3 3 2 2" xfId="31586" xr:uid="{59C3CEB7-C890-4036-AD2C-749CBC71514C}"/>
    <cellStyle name="Normal 10 9 3 3 2 3" xfId="48345" xr:uid="{76623EA6-1262-4FB8-B083-C92ACC87CBE0}"/>
    <cellStyle name="Normal 10 9 3 3 3" xfId="23206" xr:uid="{C5E15C73-475A-40E7-8562-3B5D398D58F6}"/>
    <cellStyle name="Normal 10 9 3 3 4" xfId="39965" xr:uid="{D1DD567C-F3A8-476A-B43B-64DA8D55E08C}"/>
    <cellStyle name="Normal 10 9 3 4" xfId="3182" xr:uid="{25692434-C9FB-4165-87C9-3283FB99FB09}"/>
    <cellStyle name="Normal 10 9 3 4 2" xfId="11562" xr:uid="{631CE5EC-9BE0-4916-99C8-525D94E02965}"/>
    <cellStyle name="Normal 10 9 3 4 2 2" xfId="28322" xr:uid="{0CEA2A30-CAB5-4D7D-882D-A291BD6745E7}"/>
    <cellStyle name="Normal 10 9 3 4 2 3" xfId="45081" xr:uid="{AFF9491E-2633-4C94-8213-BECBE6D07980}"/>
    <cellStyle name="Normal 10 9 3 4 3" xfId="19942" xr:uid="{51F98FA5-26C2-4269-8B3D-B939698044CA}"/>
    <cellStyle name="Normal 10 9 3 4 4" xfId="36701" xr:uid="{DCE49ABF-4456-43E6-AA32-97625A6DF5B0}"/>
    <cellStyle name="Normal 10 9 3 5" xfId="9759" xr:uid="{7B8C0A12-474C-4448-991D-3283B1193AF1}"/>
    <cellStyle name="Normal 10 9 3 5 2" xfId="26519" xr:uid="{E37E28E7-5725-44D5-9AA1-930FABB7AE3D}"/>
    <cellStyle name="Normal 10 9 3 5 3" xfId="43278" xr:uid="{D764AE24-E70B-4C28-B4A1-A24114A06F82}"/>
    <cellStyle name="Normal 10 9 3 6" xfId="18139" xr:uid="{888E2F38-895C-4A5B-A5CE-0EC41F87983A}"/>
    <cellStyle name="Normal 10 9 3 7" xfId="34898" xr:uid="{B619A1B2-B930-4658-8001-A6E2E14180B9}"/>
    <cellStyle name="Normal 10 9 4" xfId="1899" xr:uid="{6C3E9F61-5B9B-4659-A9F4-178A93172428}"/>
    <cellStyle name="Normal 10 9 4 2" xfId="5288" xr:uid="{D6191C67-DAA4-4578-9D8B-4DACD3484C52}"/>
    <cellStyle name="Normal 10 9 4 2 2" xfId="13668" xr:uid="{4F58CCDA-78B8-490F-974D-B41996FB3730}"/>
    <cellStyle name="Normal 10 9 4 2 2 2" xfId="30428" xr:uid="{ECA936EE-C0AA-4A21-B803-B7FF714BBE7B}"/>
    <cellStyle name="Normal 10 9 4 2 2 3" xfId="47187" xr:uid="{C15AE3F8-57B1-46C8-B2C7-054BCB412311}"/>
    <cellStyle name="Normal 10 9 4 2 3" xfId="22048" xr:uid="{F4A43A31-B260-43A4-94A1-010853BA34EE}"/>
    <cellStyle name="Normal 10 9 4 2 4" xfId="38807" xr:uid="{D0AAC957-384D-487A-98A4-C9DAC5D2B075}"/>
    <cellStyle name="Normal 10 9 4 3" xfId="6975" xr:uid="{A0EE42DF-8A3C-4D9E-8E49-C36CBC4D3284}"/>
    <cellStyle name="Normal 10 9 4 3 2" xfId="15355" xr:uid="{3FD09323-5737-4063-9CE2-9544525B64EE}"/>
    <cellStyle name="Normal 10 9 4 3 2 2" xfId="32115" xr:uid="{38C60CC2-7BE5-4950-B43A-6D87E5A927D3}"/>
    <cellStyle name="Normal 10 9 4 3 2 3" xfId="48874" xr:uid="{120BF7BF-9826-49EF-ACEA-28385FCA438A}"/>
    <cellStyle name="Normal 10 9 4 3 3" xfId="23735" xr:uid="{AFB1AC4B-B1C6-4ED0-8D62-698D3AE68D77}"/>
    <cellStyle name="Normal 10 9 4 3 4" xfId="40494" xr:uid="{4932DAD0-03BF-4B6B-A8CA-BF53DEFEBC8C}"/>
    <cellStyle name="Normal 10 9 4 4" xfId="3598" xr:uid="{EB48120D-6766-40DF-883A-37C3B4486F0C}"/>
    <cellStyle name="Normal 10 9 4 4 2" xfId="11978" xr:uid="{46B89258-F9E9-481C-BBA0-A76682C24F39}"/>
    <cellStyle name="Normal 10 9 4 4 2 2" xfId="28738" xr:uid="{5C5A0E2E-1C31-4612-BE7D-4C403B181545}"/>
    <cellStyle name="Normal 10 9 4 4 2 3" xfId="45497" xr:uid="{6CAF70FA-99A3-4F53-8C47-FC708C991325}"/>
    <cellStyle name="Normal 10 9 4 4 3" xfId="20358" xr:uid="{5DAD885B-3D3F-41FB-9CB4-1ED122D2E890}"/>
    <cellStyle name="Normal 10 9 4 4 4" xfId="37117" xr:uid="{5F6C0F83-FC9A-4FEC-953A-7B2944AC7183}"/>
    <cellStyle name="Normal 10 9 4 5" xfId="10288" xr:uid="{AAADBE1A-7230-4039-915C-C266C1D8B2B2}"/>
    <cellStyle name="Normal 10 9 4 5 2" xfId="27048" xr:uid="{798A1088-CEA1-4498-AA8E-3121E4ECE05E}"/>
    <cellStyle name="Normal 10 9 4 5 3" xfId="43807" xr:uid="{97D1AEFA-06FC-4034-B78B-A32016BBF706}"/>
    <cellStyle name="Normal 10 9 4 6" xfId="18668" xr:uid="{152E5EEF-8497-47A8-A9B4-BDF21371CA42}"/>
    <cellStyle name="Normal 10 9 4 7" xfId="35427" xr:uid="{2578E0E3-D7BC-4F46-B684-A11AD3EBA567}"/>
    <cellStyle name="Normal 10 9 5" xfId="4018" xr:uid="{82945BEB-84F6-499F-A228-1570D9A523E1}"/>
    <cellStyle name="Normal 10 9 5 2" xfId="12398" xr:uid="{8C351952-5058-4A2B-9597-2308D2ECF21E}"/>
    <cellStyle name="Normal 10 9 5 2 2" xfId="29158" xr:uid="{3C9F8780-3F2A-47B3-966A-54172B41E933}"/>
    <cellStyle name="Normal 10 9 5 2 3" xfId="45917" xr:uid="{CF71FAE1-70CE-48D9-8EE4-A826C6DFBB45}"/>
    <cellStyle name="Normal 10 9 5 3" xfId="20778" xr:uid="{1985D1F1-065B-4B41-B68D-A62405408A95}"/>
    <cellStyle name="Normal 10 9 5 4" xfId="37537" xr:uid="{A1BF9FC0-4082-41F0-AA39-BD06829EDEAE}"/>
    <cellStyle name="Normal 10 9 6" xfId="5592" xr:uid="{EF40713D-FC9B-4571-B9DB-AD07DE9AEB8B}"/>
    <cellStyle name="Normal 10 9 6 2" xfId="13972" xr:uid="{FA4D752C-3AB2-4A19-A5C7-C7AC5687B08F}"/>
    <cellStyle name="Normal 10 9 6 2 2" xfId="30732" xr:uid="{F7A41583-997C-4898-9DF1-84D22D7ABB46}"/>
    <cellStyle name="Normal 10 9 6 2 3" xfId="47491" xr:uid="{1258B2D5-7B04-4E56-9255-C36F4219D283}"/>
    <cellStyle name="Normal 10 9 6 3" xfId="22352" xr:uid="{42C49226-4C1B-4A59-939D-0592F922BE9B}"/>
    <cellStyle name="Normal 10 9 6 4" xfId="39111" xr:uid="{5043ED8A-8944-46AA-A81A-8D72C7D27A1A}"/>
    <cellStyle name="Normal 10 9 7" xfId="7381" xr:uid="{BF726024-3DB1-4D4C-8576-D22C903962FD}"/>
    <cellStyle name="Normal 10 9 7 2" xfId="15761" xr:uid="{E7D0CC54-0228-4645-92CB-B6E4666BFB5C}"/>
    <cellStyle name="Normal 10 9 7 2 2" xfId="32521" xr:uid="{285ED344-B786-4A8E-B702-859E768819D7}"/>
    <cellStyle name="Normal 10 9 7 2 3" xfId="49280" xr:uid="{E445F5F7-8473-4BB1-90DA-2035F7B5D566}"/>
    <cellStyle name="Normal 10 9 7 3" xfId="24141" xr:uid="{9D0446D5-FB64-401E-B961-A2E6795D1F62}"/>
    <cellStyle name="Normal 10 9 7 4" xfId="40900" xr:uid="{D8A88CE1-FA40-495B-8431-81F9F860626A}"/>
    <cellStyle name="Normal 10 9 8" xfId="7787" xr:uid="{EFE5138C-FFB4-4881-9835-121E2005DDE6}"/>
    <cellStyle name="Normal 10 9 8 2" xfId="16167" xr:uid="{F2F86BC0-E3D6-4639-BC72-7F354C4C1F1F}"/>
    <cellStyle name="Normal 10 9 8 2 2" xfId="32927" xr:uid="{599033BE-4F83-49F3-9A91-4953E7B82C4A}"/>
    <cellStyle name="Normal 10 9 8 2 3" xfId="49686" xr:uid="{D435C539-3ECA-4B87-9642-6CFEF04C4CEC}"/>
    <cellStyle name="Normal 10 9 8 3" xfId="24547" xr:uid="{3771C5D5-78D8-4F23-A066-0D6F6941F865}"/>
    <cellStyle name="Normal 10 9 8 4" xfId="41306" xr:uid="{EE25AFD2-060F-41A1-A3A7-4BC18A395F47}"/>
    <cellStyle name="Normal 10 9 9" xfId="8193" xr:uid="{09153085-2C20-4A70-84C7-8FA7D49FCCAB}"/>
    <cellStyle name="Normal 10 9 9 2" xfId="16573" xr:uid="{EE870D68-7189-4C99-A510-A39CD77ED126}"/>
    <cellStyle name="Normal 10 9 9 2 2" xfId="33333" xr:uid="{A13E4648-6054-494D-BF0C-17D73ECCCDFB}"/>
    <cellStyle name="Normal 10 9 9 2 3" xfId="50092" xr:uid="{80A2D82C-5E91-42C7-9927-34243D8FED48}"/>
    <cellStyle name="Normal 10 9 9 3" xfId="24953" xr:uid="{4BF22231-0B7B-4269-89A9-849D64C5B75D}"/>
    <cellStyle name="Normal 10 9 9 4" xfId="41712" xr:uid="{E1C6D9DA-CA97-491B-8535-35E81D7D0D37}"/>
    <cellStyle name="Normal 11" xfId="148" xr:uid="{BD79456C-E47D-4BF8-8047-BCE2683341BE}"/>
    <cellStyle name="Normal 11 10" xfId="1199" xr:uid="{4B201F5D-B283-4098-86B8-453D2B4B7D7B}"/>
    <cellStyle name="Normal 11 10 2" xfId="4588" xr:uid="{D79C5E8F-A8EE-460E-BDB4-6BD8B70C5D4B}"/>
    <cellStyle name="Normal 11 10 2 2" xfId="12968" xr:uid="{19579BDF-C354-4DB7-A72C-4FEDCF7635EC}"/>
    <cellStyle name="Normal 11 10 2 2 2" xfId="29728" xr:uid="{BD0F5476-D592-41B4-B752-C9D0D9BDDC66}"/>
    <cellStyle name="Normal 11 10 2 2 3" xfId="46487" xr:uid="{F485E4C1-94B9-4F61-B077-F40BB042740C}"/>
    <cellStyle name="Normal 11 10 2 3" xfId="21348" xr:uid="{32102708-4166-4907-9A03-ECDF2246EA35}"/>
    <cellStyle name="Normal 11 10 2 4" xfId="38107" xr:uid="{B01EDEA7-5145-4745-8A3A-C5FF9903985F}"/>
    <cellStyle name="Normal 11 10 3" xfId="6275" xr:uid="{308026BE-8BF7-4770-8083-548776F718B6}"/>
    <cellStyle name="Normal 11 10 3 2" xfId="14655" xr:uid="{4E0807CF-7B02-49D5-9D96-7924F9DCA361}"/>
    <cellStyle name="Normal 11 10 3 2 2" xfId="31415" xr:uid="{FAB923EF-4C12-4AFF-B2BF-287B0D971796}"/>
    <cellStyle name="Normal 11 10 3 2 3" xfId="48174" xr:uid="{3C57BCB0-2DB3-4CB9-B29C-53A49E11798A}"/>
    <cellStyle name="Normal 11 10 3 3" xfId="23035" xr:uid="{39903340-BA5A-4E45-B135-4F177A586AF1}"/>
    <cellStyle name="Normal 11 10 3 4" xfId="39794" xr:uid="{639321E5-5A1B-4547-8AB9-5401B3B3CC40}"/>
    <cellStyle name="Normal 11 10 4" xfId="3011" xr:uid="{71BC0504-75E0-44F4-9C59-9F4378D2FC85}"/>
    <cellStyle name="Normal 11 10 4 2" xfId="11391" xr:uid="{E2C19B68-9A10-405F-9FEE-51027D038059}"/>
    <cellStyle name="Normal 11 10 4 2 2" xfId="28151" xr:uid="{524DF3A8-97BD-4258-B8A0-C71A41223650}"/>
    <cellStyle name="Normal 11 10 4 2 3" xfId="44910" xr:uid="{CA855993-275A-4F83-A768-40A5B1540C07}"/>
    <cellStyle name="Normal 11 10 4 3" xfId="19771" xr:uid="{3A03A262-0855-4709-AFA8-9D353490E34B}"/>
    <cellStyle name="Normal 11 10 4 4" xfId="36530" xr:uid="{71AED9C6-73DB-42F8-BD18-1C1C9A643659}"/>
    <cellStyle name="Normal 11 10 5" xfId="9588" xr:uid="{4848DDA0-EE83-4467-84BD-65B25794C063}"/>
    <cellStyle name="Normal 11 10 5 2" xfId="26348" xr:uid="{07804A40-AF25-4177-B75D-2351A73A3041}"/>
    <cellStyle name="Normal 11 10 5 3" xfId="43107" xr:uid="{85ABEACA-3447-4FC0-A235-83A2E4F69412}"/>
    <cellStyle name="Normal 11 10 6" xfId="17968" xr:uid="{57DD3B52-55F7-4B7C-AAB6-13920016B5CF}"/>
    <cellStyle name="Normal 11 10 7" xfId="34727" xr:uid="{3BDA7D0A-AF6E-42AE-906D-A25B66178139}"/>
    <cellStyle name="Normal 11 11" xfId="1630" xr:uid="{261220A8-A96D-4B20-913B-2BF127C6C80A}"/>
    <cellStyle name="Normal 11 11 2" xfId="5019" xr:uid="{09CFE9A7-68CF-4093-A11A-5B84C04439BA}"/>
    <cellStyle name="Normal 11 11 2 2" xfId="13399" xr:uid="{84EBB9FE-F6B9-45DA-942A-3BB4FBBDABC8}"/>
    <cellStyle name="Normal 11 11 2 2 2" xfId="30159" xr:uid="{29B4316A-C5B3-4DFB-84B5-54372EDAE7E2}"/>
    <cellStyle name="Normal 11 11 2 2 3" xfId="46918" xr:uid="{42C75CB3-69CB-4BD0-ABB6-0F1B454303D0}"/>
    <cellStyle name="Normal 11 11 2 3" xfId="21779" xr:uid="{065887FF-A5B4-42ED-8A26-AB18A8A67A95}"/>
    <cellStyle name="Normal 11 11 2 4" xfId="38538" xr:uid="{F5E3770E-7811-4F18-A233-FFBA7E8182BD}"/>
    <cellStyle name="Normal 11 11 3" xfId="6706" xr:uid="{3D983987-2FE4-4566-8AD9-33228DECEC04}"/>
    <cellStyle name="Normal 11 11 3 2" xfId="15086" xr:uid="{CECC6926-7484-4334-9969-08D45C2BEF6F}"/>
    <cellStyle name="Normal 11 11 3 2 2" xfId="31846" xr:uid="{C85C2DBD-666D-40D4-9AA3-958626B86411}"/>
    <cellStyle name="Normal 11 11 3 2 3" xfId="48605" xr:uid="{F9106BB9-E71E-43A2-8574-6374E786C3F5}"/>
    <cellStyle name="Normal 11 11 3 3" xfId="23466" xr:uid="{7DD79CE3-EC40-425D-9A84-11122D93F9B6}"/>
    <cellStyle name="Normal 11 11 3 4" xfId="40225" xr:uid="{BC0B0FBE-226B-48BF-8862-2EDB4153F784}"/>
    <cellStyle name="Normal 11 11 4" xfId="2149" xr:uid="{30F95264-67B3-487E-9EA6-B9B2404A2522}"/>
    <cellStyle name="Normal 11 11 4 2" xfId="10537" xr:uid="{E3D28020-0AAE-4422-8D22-9C76C8EE96D7}"/>
    <cellStyle name="Normal 11 11 4 2 2" xfId="27297" xr:uid="{4EC40349-DCEA-4E00-8BC9-50CEE9557E30}"/>
    <cellStyle name="Normal 11 11 4 2 3" xfId="44056" xr:uid="{9BFA96A4-D019-4880-A121-22A14B3B79F8}"/>
    <cellStyle name="Normal 11 11 4 3" xfId="18917" xr:uid="{B7A446F9-372A-4E60-AA27-0002B2C9F720}"/>
    <cellStyle name="Normal 11 11 4 4" xfId="35676" xr:uid="{518DF464-03B4-483C-97E5-649FD5741A3F}"/>
    <cellStyle name="Normal 11 11 5" xfId="10019" xr:uid="{60E603A6-4282-4145-B9B2-73500F431902}"/>
    <cellStyle name="Normal 11 11 5 2" xfId="26779" xr:uid="{0B7B5349-2FDF-4E2B-825D-7198B601477F}"/>
    <cellStyle name="Normal 11 11 5 3" xfId="43538" xr:uid="{EFB8C803-1FD0-4865-A308-4DF549821848}"/>
    <cellStyle name="Normal 11 11 6" xfId="18399" xr:uid="{9F4D8918-2A43-4B9E-A6A5-B251C49075A7}"/>
    <cellStyle name="Normal 11 11 7" xfId="35158" xr:uid="{AD7E8177-3934-418A-B320-A67AB7169E47}"/>
    <cellStyle name="Normal 11 12" xfId="3735" xr:uid="{D36360C7-D47D-4358-9082-E69D58A4D2C3}"/>
    <cellStyle name="Normal 11 12 2" xfId="12115" xr:uid="{323EAD20-6789-48C6-81B1-317F981EB6E0}"/>
    <cellStyle name="Normal 11 12 2 2" xfId="28875" xr:uid="{D13A0EA4-F8B4-4877-895A-83588FE11180}"/>
    <cellStyle name="Normal 11 12 2 3" xfId="45634" xr:uid="{A9DD4737-7C35-467A-9F9C-2628B5AA6A52}"/>
    <cellStyle name="Normal 11 12 3" xfId="20495" xr:uid="{18A1C167-4AE8-4BDC-9AB9-0642266113D3}"/>
    <cellStyle name="Normal 11 12 4" xfId="37254" xr:uid="{6A008AC6-E5A5-4663-A38D-051C35E137A2}"/>
    <cellStyle name="Normal 11 13" xfId="5421" xr:uid="{242BF33E-FC03-4815-987E-53D639E4EF38}"/>
    <cellStyle name="Normal 11 13 2" xfId="13801" xr:uid="{BB95A534-3127-4DCF-8658-E4477BC2A391}"/>
    <cellStyle name="Normal 11 13 2 2" xfId="30561" xr:uid="{FE794BBD-7C6E-4C7D-B645-58CD3263B2FA}"/>
    <cellStyle name="Normal 11 13 2 3" xfId="47320" xr:uid="{117201EA-F9C4-4E4A-B428-E51D5890FEF4}"/>
    <cellStyle name="Normal 11 13 3" xfId="22181" xr:uid="{FA868BF2-4184-4EDE-9A24-D2B8C4E6289A}"/>
    <cellStyle name="Normal 11 13 4" xfId="38940" xr:uid="{1D948BFF-9AEB-4185-AD38-99D63FCBDF1E}"/>
    <cellStyle name="Normal 11 14" xfId="7112" xr:uid="{582DBB9F-77F6-446F-A591-F4D6F6D39FFA}"/>
    <cellStyle name="Normal 11 14 2" xfId="15492" xr:uid="{7A937113-93B6-45DF-8956-A0B8D5C48288}"/>
    <cellStyle name="Normal 11 14 2 2" xfId="32252" xr:uid="{5A276C4A-D2B0-4758-B34E-38F5EB26C31F}"/>
    <cellStyle name="Normal 11 14 2 3" xfId="49011" xr:uid="{B0CB10F5-5434-4D35-A7B4-99EAC0FAB1C4}"/>
    <cellStyle name="Normal 11 14 3" xfId="23872" xr:uid="{7E4C83F0-DD45-45D5-8066-BC11EF6B38BC}"/>
    <cellStyle name="Normal 11 14 4" xfId="40631" xr:uid="{E8CA0AA5-0085-4F95-881B-378E752C244B}"/>
    <cellStyle name="Normal 11 15" xfId="7518" xr:uid="{92AD224B-C5E8-46FC-B177-2FC11AEC6E16}"/>
    <cellStyle name="Normal 11 15 2" xfId="15898" xr:uid="{BF18D309-3287-4588-9260-CF93757CCE64}"/>
    <cellStyle name="Normal 11 15 2 2" xfId="32658" xr:uid="{0417B545-59C6-4572-8976-B63E6D53C130}"/>
    <cellStyle name="Normal 11 15 2 3" xfId="49417" xr:uid="{CE10E8D0-0D7B-4477-A3B1-B44D82AD8BF7}"/>
    <cellStyle name="Normal 11 15 3" xfId="24278" xr:uid="{6DF4F921-719D-4568-867E-105280E39161}"/>
    <cellStyle name="Normal 11 15 4" xfId="41037" xr:uid="{2332E517-30F2-4454-ABF0-A8E84B5D5653}"/>
    <cellStyle name="Normal 11 16" xfId="7924" xr:uid="{8BDD6A81-8A27-4B13-A9F5-5346E8265C36}"/>
    <cellStyle name="Normal 11 16 2" xfId="16304" xr:uid="{25E4CDBE-08AB-4022-B65C-9FF79979AA1B}"/>
    <cellStyle name="Normal 11 16 2 2" xfId="33064" xr:uid="{58EB1497-7D37-45A2-8DB0-E1F364D470ED}"/>
    <cellStyle name="Normal 11 16 2 3" xfId="49823" xr:uid="{25655F5A-1D6B-4949-826C-59604273DF1C}"/>
    <cellStyle name="Normal 11 16 3" xfId="24684" xr:uid="{CB341F69-91B8-4EF6-B76E-C1A74F894B55}"/>
    <cellStyle name="Normal 11 16 4" xfId="41443" xr:uid="{6A937954-3689-4BEC-937E-569DA90AEB7F}"/>
    <cellStyle name="Normal 11 17" xfId="8330" xr:uid="{372C44D4-F950-4589-9F67-0209F494F483}"/>
    <cellStyle name="Normal 11 17 2" xfId="16710" xr:uid="{C07F4C86-0D54-4487-A7F8-F69B341ABDB8}"/>
    <cellStyle name="Normal 11 17 2 2" xfId="33470" xr:uid="{70B93B49-D983-41E9-AAC7-3C80A7EACB75}"/>
    <cellStyle name="Normal 11 17 2 3" xfId="50229" xr:uid="{13096C5B-E9C8-44F4-A0FF-5BC6E118FC2E}"/>
    <cellStyle name="Normal 11 17 3" xfId="25090" xr:uid="{BFCA3855-F406-49FE-89BD-8B4631E160B9}"/>
    <cellStyle name="Normal 11 17 4" xfId="41849" xr:uid="{2AAB934F-8AE1-4EF0-9B37-E51D951F39FA}"/>
    <cellStyle name="Normal 11 18" xfId="2037" xr:uid="{CF9F70D1-65F1-45AF-9586-146740B0FE4E}"/>
    <cellStyle name="Normal 11 18 2" xfId="10425" xr:uid="{BA53CFF5-61DF-4688-9914-14854E5D8ABC}"/>
    <cellStyle name="Normal 11 18 2 2" xfId="27185" xr:uid="{9D776222-6E45-43B7-BF9C-F846D051EC70}"/>
    <cellStyle name="Normal 11 18 2 3" xfId="43944" xr:uid="{D04A9207-F283-4093-9F91-D59BBCD2EA5E}"/>
    <cellStyle name="Normal 11 18 3" xfId="18805" xr:uid="{EFE4D5A0-DEBB-4F4F-A181-EBC0B9A45147}"/>
    <cellStyle name="Normal 11 18 4" xfId="35564" xr:uid="{60F4C730-F8F0-4D84-8A92-9CCB86B54CBA}"/>
    <cellStyle name="Normal 11 19" xfId="8734" xr:uid="{C3B99455-95D9-4051-9315-745537F00019}"/>
    <cellStyle name="Normal 11 19 2" xfId="25494" xr:uid="{D5240DB6-B20C-4BDB-A535-F4FD61C1C5AA}"/>
    <cellStyle name="Normal 11 19 3" xfId="42253" xr:uid="{E8D38237-64AC-408C-B684-2E9E7D36438D}"/>
    <cellStyle name="Normal 11 2" xfId="74" xr:uid="{CCEB5B16-6EDE-4588-9F1F-47F5DF9DE3BD}"/>
    <cellStyle name="Normal 11 2 10" xfId="1631" xr:uid="{ECFCAF63-4D19-4C6F-88BE-42014B6A1DD1}"/>
    <cellStyle name="Normal 11 2 10 2" xfId="5020" xr:uid="{69072DD0-E2CB-45BC-8BAC-8BBF82E4111F}"/>
    <cellStyle name="Normal 11 2 10 2 2" xfId="13400" xr:uid="{FD853E20-F5FB-43CF-ABB1-13266F19839E}"/>
    <cellStyle name="Normal 11 2 10 2 2 2" xfId="30160" xr:uid="{30890191-945B-42DC-9EBF-09B283CD4DD7}"/>
    <cellStyle name="Normal 11 2 10 2 2 3" xfId="46919" xr:uid="{AEC71B20-4111-4DD0-AD95-8D562FE4A9B6}"/>
    <cellStyle name="Normal 11 2 10 2 3" xfId="21780" xr:uid="{E21CD8B1-8209-4064-8705-CECF03F02D48}"/>
    <cellStyle name="Normal 11 2 10 2 4" xfId="38539" xr:uid="{74B49B39-FAA7-4C93-BA98-031318191DCA}"/>
    <cellStyle name="Normal 11 2 10 3" xfId="6707" xr:uid="{586CD104-F4F5-41D2-85CD-92C471D5FE33}"/>
    <cellStyle name="Normal 11 2 10 3 2" xfId="15087" xr:uid="{0D9303A1-D301-4193-B034-72ECA6A4B2AA}"/>
    <cellStyle name="Normal 11 2 10 3 2 2" xfId="31847" xr:uid="{39059420-CBC1-48BA-9086-B0D2CA8A5323}"/>
    <cellStyle name="Normal 11 2 10 3 2 3" xfId="48606" xr:uid="{6097F4D6-C25A-43F0-BB25-6FCD9ED1FE5C}"/>
    <cellStyle name="Normal 11 2 10 3 3" xfId="23467" xr:uid="{147B6E8D-2B35-4D20-91A2-CB5768FC5C07}"/>
    <cellStyle name="Normal 11 2 10 3 4" xfId="40226" xr:uid="{05912055-7A66-4FED-BC4C-5F8D40D5C4CA}"/>
    <cellStyle name="Normal 11 2 10 4" xfId="2156" xr:uid="{C1898DDE-2D97-4F6F-8285-B685286EFF99}"/>
    <cellStyle name="Normal 11 2 10 4 2" xfId="10544" xr:uid="{B43B8B4E-6C49-4CFC-9556-C5E0A15F20F1}"/>
    <cellStyle name="Normal 11 2 10 4 2 2" xfId="27304" xr:uid="{EDB2223A-FD0B-4D7B-8FEB-7E62CF951F57}"/>
    <cellStyle name="Normal 11 2 10 4 2 3" xfId="44063" xr:uid="{85CE7D10-CD8B-4313-998C-9E4CC2A2EA20}"/>
    <cellStyle name="Normal 11 2 10 4 3" xfId="18924" xr:uid="{FEFFEC85-9D52-4EE2-8B3A-CC36C30791D8}"/>
    <cellStyle name="Normal 11 2 10 4 4" xfId="35683" xr:uid="{FF096399-12C6-422E-9A46-F05A8416990C}"/>
    <cellStyle name="Normal 11 2 10 5" xfId="10020" xr:uid="{AC192629-BFA1-4FD6-9B01-8D64B0ACABA0}"/>
    <cellStyle name="Normal 11 2 10 5 2" xfId="26780" xr:uid="{238E8F14-2839-478E-88A3-EE5768681FD8}"/>
    <cellStyle name="Normal 11 2 10 5 3" xfId="43539" xr:uid="{68635154-A2F1-4605-8C49-DAE2FE60388E}"/>
    <cellStyle name="Normal 11 2 10 6" xfId="18400" xr:uid="{FD56EF0D-9322-403D-A8B7-A9CE203F3B9E}"/>
    <cellStyle name="Normal 11 2 10 7" xfId="35159" xr:uid="{7FFB4B36-2C8F-4EEA-AD94-D6DB6DC20B0B}"/>
    <cellStyle name="Normal 11 2 11" xfId="3736" xr:uid="{DA1F2013-4B72-429E-8ED0-39A0D12D6944}"/>
    <cellStyle name="Normal 11 2 11 2" xfId="12116" xr:uid="{FC4D6119-7F0D-411C-9EE4-8DD1685DD018}"/>
    <cellStyle name="Normal 11 2 11 2 2" xfId="28876" xr:uid="{F9560F0C-7077-4E60-BCFD-53E3C74487B0}"/>
    <cellStyle name="Normal 11 2 11 2 3" xfId="45635" xr:uid="{A0D91456-CA93-4833-8F27-D7240BF29F82}"/>
    <cellStyle name="Normal 11 2 11 3" xfId="20496" xr:uid="{D41D7BE1-2DA1-408A-9C04-1667D6E4A9F5}"/>
    <cellStyle name="Normal 11 2 11 4" xfId="37255" xr:uid="{0C4E9975-7226-4C3D-9ABD-7DC642842F4E}"/>
    <cellStyle name="Normal 11 2 12" xfId="5428" xr:uid="{8034F4B7-18EA-4BF4-B837-E09291B95D17}"/>
    <cellStyle name="Normal 11 2 12 2" xfId="13808" xr:uid="{CBB4C268-969C-45ED-B5EA-76A803E49A2D}"/>
    <cellStyle name="Normal 11 2 12 2 2" xfId="30568" xr:uid="{1EA1F1EF-8E2C-4EC8-91B2-D86C9340CCD8}"/>
    <cellStyle name="Normal 11 2 12 2 3" xfId="47327" xr:uid="{7F84E91F-7195-460A-8DA7-C20E55652260}"/>
    <cellStyle name="Normal 11 2 12 3" xfId="22188" xr:uid="{26122031-FD60-4B84-9A7B-E8677F22E8FD}"/>
    <cellStyle name="Normal 11 2 12 4" xfId="38947" xr:uid="{6F58B063-E3AA-499D-A4C9-FDDE65CEF1B7}"/>
    <cellStyle name="Normal 11 2 13" xfId="7113" xr:uid="{43FF1954-4CD0-438A-86EF-8F218462DA1F}"/>
    <cellStyle name="Normal 11 2 13 2" xfId="15493" xr:uid="{0059241C-865F-4288-BB21-68C24D5BD09D}"/>
    <cellStyle name="Normal 11 2 13 2 2" xfId="32253" xr:uid="{260BF65B-F8E0-4558-AE8C-2D7582FE8D7A}"/>
    <cellStyle name="Normal 11 2 13 2 3" xfId="49012" xr:uid="{F64D576B-4A09-4E8E-A92C-BC220368C479}"/>
    <cellStyle name="Normal 11 2 13 3" xfId="23873" xr:uid="{518E4B1A-618A-407A-AF00-348ED9CE434C}"/>
    <cellStyle name="Normal 11 2 13 4" xfId="40632" xr:uid="{ECBDABD0-C3C7-454E-B8AA-BC8B64BB052F}"/>
    <cellStyle name="Normal 11 2 14" xfId="7519" xr:uid="{2773BDBC-0BC6-44DF-BBD5-DD541B8D94FA}"/>
    <cellStyle name="Normal 11 2 14 2" xfId="15899" xr:uid="{C498ACE4-98DC-4DBA-B090-B152C6593969}"/>
    <cellStyle name="Normal 11 2 14 2 2" xfId="32659" xr:uid="{8DCE902E-5B45-4248-B52B-85F1F378527B}"/>
    <cellStyle name="Normal 11 2 14 2 3" xfId="49418" xr:uid="{5B560A35-38F3-4205-91B0-EF6C07117F29}"/>
    <cellStyle name="Normal 11 2 14 3" xfId="24279" xr:uid="{2CA61727-5EDE-4DFA-B9CB-3F2A73830132}"/>
    <cellStyle name="Normal 11 2 14 4" xfId="41038" xr:uid="{211C1494-5E76-4CAE-A4AA-B530834E26A7}"/>
    <cellStyle name="Normal 11 2 15" xfId="7925" xr:uid="{DA25BCBF-18BA-4E81-BDEC-0BD9AA0850E8}"/>
    <cellStyle name="Normal 11 2 15 2" xfId="16305" xr:uid="{2A9F85F3-5E48-4E44-B965-720EE34A4DB0}"/>
    <cellStyle name="Normal 11 2 15 2 2" xfId="33065" xr:uid="{56BA2511-9DFB-407C-9A8E-0C64D25E0C42}"/>
    <cellStyle name="Normal 11 2 15 2 3" xfId="49824" xr:uid="{A093E1EF-9971-4ADA-AC9E-3CBAC26A1D75}"/>
    <cellStyle name="Normal 11 2 15 3" xfId="24685" xr:uid="{01F9F076-12B4-4AE1-A78D-4620D94C6885}"/>
    <cellStyle name="Normal 11 2 15 4" xfId="41444" xr:uid="{E18E43D8-020D-4562-B077-F0EEDCB60AD9}"/>
    <cellStyle name="Normal 11 2 16" xfId="8331" xr:uid="{759A3AFD-209C-49F8-B0C6-FEC94042508C}"/>
    <cellStyle name="Normal 11 2 16 2" xfId="16711" xr:uid="{D974E23F-11C7-4E80-8752-2678C9969CB2}"/>
    <cellStyle name="Normal 11 2 16 2 2" xfId="33471" xr:uid="{715761F9-3A48-4481-A391-367048681DB7}"/>
    <cellStyle name="Normal 11 2 16 2 3" xfId="50230" xr:uid="{433AB13E-3764-4D19-8AD5-59F855376E59}"/>
    <cellStyle name="Normal 11 2 16 3" xfId="25091" xr:uid="{4147303E-A400-4C6A-AF90-47712266673F}"/>
    <cellStyle name="Normal 11 2 16 4" xfId="41850" xr:uid="{87C1FF17-598A-4C79-BCB4-4E85BD5AAAAB}"/>
    <cellStyle name="Normal 11 2 17" xfId="2044" xr:uid="{996912B2-8B6A-4404-A15A-023656221F8C}"/>
    <cellStyle name="Normal 11 2 17 2" xfId="10432" xr:uid="{3198DA18-7BEF-4E74-AE3D-886006E526B5}"/>
    <cellStyle name="Normal 11 2 17 2 2" xfId="27192" xr:uid="{34020E72-AA45-433E-BFCE-E50444CD56DD}"/>
    <cellStyle name="Normal 11 2 17 2 3" xfId="43951" xr:uid="{A51C1915-AD1D-45C6-86AC-3494F7E89776}"/>
    <cellStyle name="Normal 11 2 17 3" xfId="18812" xr:uid="{138A241D-B3FD-4A9E-BBF4-BF595B125443}"/>
    <cellStyle name="Normal 11 2 17 4" xfId="35571" xr:uid="{E182BB04-DC48-400C-9F3D-99233F4C6ADC}"/>
    <cellStyle name="Normal 11 2 18" xfId="8741" xr:uid="{25CABBC3-FAB4-4BC4-9387-25861D325397}"/>
    <cellStyle name="Normal 11 2 18 2" xfId="25501" xr:uid="{50AC0952-4950-41F7-9277-E629AAEE3D11}"/>
    <cellStyle name="Normal 11 2 18 3" xfId="42260" xr:uid="{5C3DF7BB-C6A5-4440-888D-51C608B2D491}"/>
    <cellStyle name="Normal 11 2 19" xfId="17121" xr:uid="{E7CC06A1-B09E-4B71-9362-7C85A61FC576}"/>
    <cellStyle name="Normal 11 2 2" xfId="222" xr:uid="{6C3610E9-AA1F-4148-B7AC-9577F0CCE26D}"/>
    <cellStyle name="Normal 11 2 2 10" xfId="7140" xr:uid="{0CF4D879-CBD5-4E0A-AC8C-A9336DB7EC02}"/>
    <cellStyle name="Normal 11 2 2 10 2" xfId="15520" xr:uid="{BCBFB168-E5AD-4DC2-BF39-5B4ECE44C0B1}"/>
    <cellStyle name="Normal 11 2 2 10 2 2" xfId="32280" xr:uid="{41BB747A-226B-40DF-B783-B130BB5FC408}"/>
    <cellStyle name="Normal 11 2 2 10 2 3" xfId="49039" xr:uid="{3885E701-695D-4FDE-9077-AE6914D63BE3}"/>
    <cellStyle name="Normal 11 2 2 10 3" xfId="23900" xr:uid="{5923FFD3-A4F1-4053-A450-BC908123A9B8}"/>
    <cellStyle name="Normal 11 2 2 10 4" xfId="40659" xr:uid="{F9CAC4C7-F4DF-4A78-A3AB-C9CD520C05BE}"/>
    <cellStyle name="Normal 11 2 2 11" xfId="7546" xr:uid="{BD72B41F-7F38-4566-A25D-5AFCD5B9F392}"/>
    <cellStyle name="Normal 11 2 2 11 2" xfId="15926" xr:uid="{0152B757-C35F-4B71-ABE0-D5B2AF23A9DF}"/>
    <cellStyle name="Normal 11 2 2 11 2 2" xfId="32686" xr:uid="{12C4E0BB-095F-4C8D-B8B0-4EE1B859F816}"/>
    <cellStyle name="Normal 11 2 2 11 2 3" xfId="49445" xr:uid="{4A0D102A-FFC4-4342-BCE4-7C95EBD43EAA}"/>
    <cellStyle name="Normal 11 2 2 11 3" xfId="24306" xr:uid="{D821F91D-C471-4486-9112-982CF2E3AEE7}"/>
    <cellStyle name="Normal 11 2 2 11 4" xfId="41065" xr:uid="{FB1E8275-6307-466B-9199-CF4B7CEFE0F4}"/>
    <cellStyle name="Normal 11 2 2 12" xfId="7952" xr:uid="{073F7FD7-EF51-47DA-98B9-74E94D1F4589}"/>
    <cellStyle name="Normal 11 2 2 12 2" xfId="16332" xr:uid="{F5F413D3-FC2C-4F4E-8C28-B93F6FBFA373}"/>
    <cellStyle name="Normal 11 2 2 12 2 2" xfId="33092" xr:uid="{40B4D49E-93F9-447C-A780-B790D1D12304}"/>
    <cellStyle name="Normal 11 2 2 12 2 3" xfId="49851" xr:uid="{473509C5-60DB-4086-BF2A-44775599BE40}"/>
    <cellStyle name="Normal 11 2 2 12 3" xfId="24712" xr:uid="{2E8190CF-2FC9-4336-B8A7-1972B36A8A11}"/>
    <cellStyle name="Normal 11 2 2 12 4" xfId="41471" xr:uid="{B35AF22D-7251-4525-A8A2-2ABF0AEDCE99}"/>
    <cellStyle name="Normal 11 2 2 13" xfId="8358" xr:uid="{33CC0451-8F21-4C58-9742-E134D1B41A57}"/>
    <cellStyle name="Normal 11 2 2 13 2" xfId="16738" xr:uid="{AEC686F3-E099-47D5-B971-E07DD8642172}"/>
    <cellStyle name="Normal 11 2 2 13 2 2" xfId="33498" xr:uid="{450A65A0-154F-4475-A4E8-6998356DEF68}"/>
    <cellStyle name="Normal 11 2 2 13 2 3" xfId="50257" xr:uid="{BC56D9B9-192C-40B5-9A8E-AB72FE9742D0}"/>
    <cellStyle name="Normal 11 2 2 13 3" xfId="25118" xr:uid="{73448056-07F0-46F6-AE70-CCE5C97CEC93}"/>
    <cellStyle name="Normal 11 2 2 13 4" xfId="41877" xr:uid="{96EC7DB1-3604-45DD-8257-7783FCBD0596}"/>
    <cellStyle name="Normal 11 2 2 14" xfId="2062" xr:uid="{E0D30C75-29D4-483E-8AB0-3BE77578D606}"/>
    <cellStyle name="Normal 11 2 2 14 2" xfId="10450" xr:uid="{6CB5432A-660C-4716-9C43-E7A468B7F4F0}"/>
    <cellStyle name="Normal 11 2 2 14 2 2" xfId="27210" xr:uid="{D5CE6BFD-E7F8-47B4-9A21-5EF734B66A08}"/>
    <cellStyle name="Normal 11 2 2 14 2 3" xfId="43969" xr:uid="{120B929A-D7CC-4DC5-B8BB-36D721892379}"/>
    <cellStyle name="Normal 11 2 2 14 3" xfId="18830" xr:uid="{6C6A343A-CF2A-49BD-8461-B738829B8AC3}"/>
    <cellStyle name="Normal 11 2 2 14 4" xfId="35589" xr:uid="{C183AB4D-900C-4629-A1C4-03B550680BE6}"/>
    <cellStyle name="Normal 11 2 2 15" xfId="8769" xr:uid="{868FFA03-8F9D-4A20-927C-29D919422DF3}"/>
    <cellStyle name="Normal 11 2 2 15 2" xfId="25529" xr:uid="{0A0DBA5D-C2EB-4BDE-8939-7F312A1824AF}"/>
    <cellStyle name="Normal 11 2 2 15 3" xfId="42288" xr:uid="{5FEC49CF-B2DF-4475-A95C-A66F09C75EB5}"/>
    <cellStyle name="Normal 11 2 2 16" xfId="17149" xr:uid="{77A3484D-5FD6-4F92-9A77-D774EB8B6332}"/>
    <cellStyle name="Normal 11 2 2 17" xfId="33908" xr:uid="{D2D664B2-A221-4D95-8BFD-8B5B1860202E}"/>
    <cellStyle name="Normal 11 2 2 18" xfId="296" xr:uid="{0D630D63-9EB0-4DF6-9C0A-F0E54475C864}"/>
    <cellStyle name="Normal 11 2 2 2" xfId="379" xr:uid="{A1039BE4-2D6A-4CBB-94AE-8AC0E3C9DFCD}"/>
    <cellStyle name="Normal 11 2 2 2 10" xfId="7606" xr:uid="{0124AF49-B5E9-413F-B059-41E152EA5127}"/>
    <cellStyle name="Normal 11 2 2 2 10 2" xfId="15986" xr:uid="{C2292D42-1B24-4230-A0D4-0853BDD8E091}"/>
    <cellStyle name="Normal 11 2 2 2 10 2 2" xfId="32746" xr:uid="{D6F90F26-DD84-4421-9EE6-F6744E95D857}"/>
    <cellStyle name="Normal 11 2 2 2 10 2 3" xfId="49505" xr:uid="{2EC50924-4A61-475E-8A6F-01293C1B09C9}"/>
    <cellStyle name="Normal 11 2 2 2 10 3" xfId="24366" xr:uid="{36134BD6-2911-4287-BB44-3578BB45F9F4}"/>
    <cellStyle name="Normal 11 2 2 2 10 4" xfId="41125" xr:uid="{9C33BBF8-9B0B-45D3-9BEB-AFE132C2E3D6}"/>
    <cellStyle name="Normal 11 2 2 2 11" xfId="8012" xr:uid="{EB6C05B1-7711-4FE2-8CA9-412B7AEAB364}"/>
    <cellStyle name="Normal 11 2 2 2 11 2" xfId="16392" xr:uid="{8F1FB488-DB1E-4F6B-8684-C2FC18318245}"/>
    <cellStyle name="Normal 11 2 2 2 11 2 2" xfId="33152" xr:uid="{9AE7E430-DD7A-411E-9A46-31BB027527C9}"/>
    <cellStyle name="Normal 11 2 2 2 11 2 3" xfId="49911" xr:uid="{F1482F59-DF2C-4A3E-895F-6466F45944F7}"/>
    <cellStyle name="Normal 11 2 2 2 11 3" xfId="24772" xr:uid="{586AFF9A-3804-426C-B946-9D64EB56F168}"/>
    <cellStyle name="Normal 11 2 2 2 11 4" xfId="41531" xr:uid="{F349D72C-B3DA-4C1F-A39D-466B5F4B6076}"/>
    <cellStyle name="Normal 11 2 2 2 12" xfId="8418" xr:uid="{E374379B-E2F4-4EB4-B02D-32989E72D46A}"/>
    <cellStyle name="Normal 11 2 2 2 12 2" xfId="16798" xr:uid="{39A9367E-DC53-43F8-8644-8B560F038586}"/>
    <cellStyle name="Normal 11 2 2 2 12 2 2" xfId="33558" xr:uid="{11F6EA1A-681A-4A62-8B9C-757CC209B2A2}"/>
    <cellStyle name="Normal 11 2 2 2 12 2 3" xfId="50317" xr:uid="{4F478CE7-3D27-458F-A1AB-DDFCE7680B0A}"/>
    <cellStyle name="Normal 11 2 2 2 12 3" xfId="25178" xr:uid="{66CE9F72-1BAD-4667-B00D-C316478E1169}"/>
    <cellStyle name="Normal 11 2 2 2 12 4" xfId="41937" xr:uid="{C86567E4-6AD9-4BB6-8B4B-B940696BD49A}"/>
    <cellStyle name="Normal 11 2 2 2 13" xfId="2262" xr:uid="{58D5729B-2805-4C2D-91E0-5A4955CAFFEB}"/>
    <cellStyle name="Normal 11 2 2 2 13 2" xfId="10646" xr:uid="{C2026B2D-6E9F-4E72-BA73-D823747F921E}"/>
    <cellStyle name="Normal 11 2 2 2 13 2 2" xfId="27406" xr:uid="{A4E6E507-9E30-425F-A23F-1E260B359DE6}"/>
    <cellStyle name="Normal 11 2 2 2 13 2 3" xfId="44165" xr:uid="{54950566-AF76-4269-A74C-A0FFDC809B4F}"/>
    <cellStyle name="Normal 11 2 2 2 13 3" xfId="19026" xr:uid="{4BF03530-1A28-412C-897B-7DB1F5149C80}"/>
    <cellStyle name="Normal 11 2 2 2 13 4" xfId="35785" xr:uid="{35699A78-744F-4AE7-8C04-14F31A92073C}"/>
    <cellStyle name="Normal 11 2 2 2 14" xfId="8843" xr:uid="{7CBE02CB-6E96-414B-AC70-46CD7E8C7E5C}"/>
    <cellStyle name="Normal 11 2 2 2 14 2" xfId="25603" xr:uid="{E86C0ED3-3B36-493A-8CA7-190B4A716009}"/>
    <cellStyle name="Normal 11 2 2 2 14 3" xfId="42362" xr:uid="{1AA0ACA0-3DC7-40FF-A83C-71947744B380}"/>
    <cellStyle name="Normal 11 2 2 2 15" xfId="17223" xr:uid="{0578E304-9B18-41F2-BFC2-2F544AED44C8}"/>
    <cellStyle name="Normal 11 2 2 2 16" xfId="33982" xr:uid="{20C316A4-227F-4E61-8F27-2BC241A66D11}"/>
    <cellStyle name="Normal 11 2 2 2 2" xfId="495" xr:uid="{61690E9E-B181-4AE2-981E-72508B8686F7}"/>
    <cellStyle name="Normal 11 2 2 2 2 10" xfId="8482" xr:uid="{0ABB1507-7EE6-4292-BA25-38ED5E5C93ED}"/>
    <cellStyle name="Normal 11 2 2 2 2 10 2" xfId="16862" xr:uid="{42FDF148-50D2-4E0A-8D1F-20A2C3601E17}"/>
    <cellStyle name="Normal 11 2 2 2 2 10 2 2" xfId="33622" xr:uid="{54F7E818-8E2A-40F8-861B-8B15C04DD864}"/>
    <cellStyle name="Normal 11 2 2 2 2 10 2 3" xfId="50381" xr:uid="{3465362A-EA2E-4DB7-A2EB-8FE0C478B9A3}"/>
    <cellStyle name="Normal 11 2 2 2 2 10 3" xfId="25242" xr:uid="{52636127-A3C6-40CC-9DDE-5D07934182E0}"/>
    <cellStyle name="Normal 11 2 2 2 2 10 4" xfId="42001" xr:uid="{73E1DB8E-A979-4BDA-AF09-E5EB51493892}"/>
    <cellStyle name="Normal 11 2 2 2 2 11" xfId="2327" xr:uid="{A3C4EAD1-4534-4DFF-B98C-191CF5FA2C99}"/>
    <cellStyle name="Normal 11 2 2 2 2 11 2" xfId="10709" xr:uid="{11E4038B-C387-46BD-9F8E-C8C31025F25C}"/>
    <cellStyle name="Normal 11 2 2 2 2 11 2 2" xfId="27469" xr:uid="{9C626A50-0979-43E0-8FB0-44289EE10EE1}"/>
    <cellStyle name="Normal 11 2 2 2 2 11 2 3" xfId="44228" xr:uid="{6FCE3AE6-881B-4D36-94DC-B70089A654BC}"/>
    <cellStyle name="Normal 11 2 2 2 2 11 3" xfId="19089" xr:uid="{CE8C95FC-968B-4356-A4BC-6BA86D690754}"/>
    <cellStyle name="Normal 11 2 2 2 2 11 4" xfId="35848" xr:uid="{69A3C5D2-636E-4A54-AA60-22FFBD501CA3}"/>
    <cellStyle name="Normal 11 2 2 2 2 12" xfId="8906" xr:uid="{FC2B6F6E-B2FA-4E1C-9C85-DBDFABB66494}"/>
    <cellStyle name="Normal 11 2 2 2 2 12 2" xfId="25666" xr:uid="{D9814056-AEB1-4248-B688-B4E0F1DA3FF0}"/>
    <cellStyle name="Normal 11 2 2 2 2 12 3" xfId="42425" xr:uid="{B2680B66-F521-440C-B436-85AB5672CE23}"/>
    <cellStyle name="Normal 11 2 2 2 2 13" xfId="17286" xr:uid="{8E2C46B7-5330-4646-8405-67406DA2B880}"/>
    <cellStyle name="Normal 11 2 2 2 2 14" xfId="34045" xr:uid="{558B63EC-36BC-4DC4-8954-3393D2AB05F2}"/>
    <cellStyle name="Normal 11 2 2 2 2 2" xfId="937" xr:uid="{8522C2D6-8290-41F1-8EA9-B72D04B26EF9}"/>
    <cellStyle name="Normal 11 2 2 2 2 2 2" xfId="4332" xr:uid="{41320EE9-9034-46C6-AD25-7B7786A7F967}"/>
    <cellStyle name="Normal 11 2 2 2 2 2 2 2" xfId="12712" xr:uid="{0675B16E-D811-4CF2-A624-16A5273811F7}"/>
    <cellStyle name="Normal 11 2 2 2 2 2 2 2 2" xfId="29472" xr:uid="{C02DAC0E-2EEA-406A-8C9E-4B0EF3446177}"/>
    <cellStyle name="Normal 11 2 2 2 2 2 2 2 3" xfId="46231" xr:uid="{CE41EDB9-DAB4-4538-8ED6-74C82BE4D0D1}"/>
    <cellStyle name="Normal 11 2 2 2 2 2 2 3" xfId="21092" xr:uid="{7B641CA2-4830-4280-A331-DF6006F5E0B7}"/>
    <cellStyle name="Normal 11 2 2 2 2 2 2 4" xfId="37851" xr:uid="{20DFF51B-9791-4886-A30B-C2A0E21D5990}"/>
    <cellStyle name="Normal 11 2 2 2 2 2 3" xfId="6019" xr:uid="{AC8677B7-C23D-4556-8F73-C75D711D2C6D}"/>
    <cellStyle name="Normal 11 2 2 2 2 2 3 2" xfId="14399" xr:uid="{A3BDFC35-B013-493C-B7A5-954F8E5F0125}"/>
    <cellStyle name="Normal 11 2 2 2 2 2 3 2 2" xfId="31159" xr:uid="{6DDB628D-EC33-42A9-A30E-BEC5CDA57E85}"/>
    <cellStyle name="Normal 11 2 2 2 2 2 3 2 3" xfId="47918" xr:uid="{B203A924-7D7B-484A-AFD4-A7F152F8A556}"/>
    <cellStyle name="Normal 11 2 2 2 2 2 3 3" xfId="22779" xr:uid="{18AD1EC8-3E80-4749-BCE4-EEA917CC8966}"/>
    <cellStyle name="Normal 11 2 2 2 2 2 3 4" xfId="39538" xr:uid="{142DFCFA-46EB-4719-B5AE-3FF982F74543}"/>
    <cellStyle name="Normal 11 2 2 2 2 2 4" xfId="2755" xr:uid="{C2DD733F-8496-4109-890C-E64FF8E3B03B}"/>
    <cellStyle name="Normal 11 2 2 2 2 2 4 2" xfId="11135" xr:uid="{88F01028-3AEA-4641-BC43-398BDFD17802}"/>
    <cellStyle name="Normal 11 2 2 2 2 2 4 2 2" xfId="27895" xr:uid="{C1EA5C34-96C1-478F-846F-696850E28C0D}"/>
    <cellStyle name="Normal 11 2 2 2 2 2 4 2 3" xfId="44654" xr:uid="{160F3063-2850-4F33-BA67-0AA54ADADF7D}"/>
    <cellStyle name="Normal 11 2 2 2 2 2 4 3" xfId="19515" xr:uid="{9BF4FAE2-3EFD-40FF-8835-282CFDB90A9E}"/>
    <cellStyle name="Normal 11 2 2 2 2 2 4 4" xfId="36274" xr:uid="{62042323-9335-42B4-8752-3CE7301C2B5A}"/>
    <cellStyle name="Normal 11 2 2 2 2 2 5" xfId="9332" xr:uid="{A190106E-79D7-4110-AC98-8E97FEF356F6}"/>
    <cellStyle name="Normal 11 2 2 2 2 2 5 2" xfId="26092" xr:uid="{BFF52245-8B35-4D09-BFD9-87F2BE8870F1}"/>
    <cellStyle name="Normal 11 2 2 2 2 2 5 3" xfId="42851" xr:uid="{11A8EB6F-C8A2-4150-9E91-5A0B6048E63B}"/>
    <cellStyle name="Normal 11 2 2 2 2 2 6" xfId="17712" xr:uid="{2147FCAC-8B05-476E-812E-5185106F5AC4}"/>
    <cellStyle name="Normal 11 2 2 2 2 2 7" xfId="34471" xr:uid="{78FCE447-40CA-4AC8-A159-5CE555CD3550}"/>
    <cellStyle name="Normal 11 2 2 2 2 3" xfId="1371" xr:uid="{2C84EF38-AB15-4FB5-A786-D0B50513CE82}"/>
    <cellStyle name="Normal 11 2 2 2 2 3 2" xfId="4760" xr:uid="{F319E7BE-F172-4A61-AA21-A9140F936E5A}"/>
    <cellStyle name="Normal 11 2 2 2 2 3 2 2" xfId="13140" xr:uid="{5BA80E60-C36A-43EF-BE13-24AF93B7F5F9}"/>
    <cellStyle name="Normal 11 2 2 2 2 3 2 2 2" xfId="29900" xr:uid="{19D1D193-99E4-4549-BDE2-0CC4E830C757}"/>
    <cellStyle name="Normal 11 2 2 2 2 3 2 2 3" xfId="46659" xr:uid="{670BF13A-8449-4E64-B87E-2AC08C367420}"/>
    <cellStyle name="Normal 11 2 2 2 2 3 2 3" xfId="21520" xr:uid="{B9F5B5F4-C67F-47F3-9B36-F1524F13EED5}"/>
    <cellStyle name="Normal 11 2 2 2 2 3 2 4" xfId="38279" xr:uid="{A3FF6A76-A99F-4473-959A-829DD3041C95}"/>
    <cellStyle name="Normal 11 2 2 2 2 3 3" xfId="6447" xr:uid="{D89ABA12-9E14-45DA-96BD-C2DF004AC475}"/>
    <cellStyle name="Normal 11 2 2 2 2 3 3 2" xfId="14827" xr:uid="{67E28021-29D7-4EB5-A49A-F48C2582982A}"/>
    <cellStyle name="Normal 11 2 2 2 2 3 3 2 2" xfId="31587" xr:uid="{1CF745F6-B9F3-4C9B-A1FF-E26FB8E5901C}"/>
    <cellStyle name="Normal 11 2 2 2 2 3 3 2 3" xfId="48346" xr:uid="{568C85F5-E60C-45C6-BF5D-75B303078680}"/>
    <cellStyle name="Normal 11 2 2 2 2 3 3 3" xfId="23207" xr:uid="{FD207671-FF82-4D37-AAD7-4047252B03B7}"/>
    <cellStyle name="Normal 11 2 2 2 2 3 3 4" xfId="39966" xr:uid="{6B2B1AE2-3034-46CB-BBF6-AAD17CC1B34C}"/>
    <cellStyle name="Normal 11 2 2 2 2 3 4" xfId="3183" xr:uid="{54440047-B951-4A3A-8992-C7ED5A1F63B7}"/>
    <cellStyle name="Normal 11 2 2 2 2 3 4 2" xfId="11563" xr:uid="{539B97BE-1158-492D-B5B0-61E68D44B121}"/>
    <cellStyle name="Normal 11 2 2 2 2 3 4 2 2" xfId="28323" xr:uid="{75603608-D96E-4F0A-A0D9-85B59905AA52}"/>
    <cellStyle name="Normal 11 2 2 2 2 3 4 2 3" xfId="45082" xr:uid="{B456D581-CD4C-4F57-85F6-9E15B14092FB}"/>
    <cellStyle name="Normal 11 2 2 2 2 3 4 3" xfId="19943" xr:uid="{5C4FB9CC-71E6-4D0B-A7D8-C9CF8CCAD993}"/>
    <cellStyle name="Normal 11 2 2 2 2 3 4 4" xfId="36702" xr:uid="{DACDAD13-90CF-4F6C-89AF-F0E8E1A55749}"/>
    <cellStyle name="Normal 11 2 2 2 2 3 5" xfId="9760" xr:uid="{7E73D6B9-347C-4883-8D5F-7AB3AE1C1EC0}"/>
    <cellStyle name="Normal 11 2 2 2 2 3 5 2" xfId="26520" xr:uid="{A48520A1-F511-4A75-9B7B-F2F56AA8961E}"/>
    <cellStyle name="Normal 11 2 2 2 2 3 5 3" xfId="43279" xr:uid="{09B2D697-6773-4A9C-A0B3-FCB7DF89C537}"/>
    <cellStyle name="Normal 11 2 2 2 2 3 6" xfId="18140" xr:uid="{481B66B1-082A-445A-B9A1-E7E39AC827EF}"/>
    <cellStyle name="Normal 11 2 2 2 2 3 7" xfId="34899" xr:uid="{3C82A979-D74D-4AF9-9044-D42975512C5C}"/>
    <cellStyle name="Normal 11 2 2 2 2 4" xfId="1782" xr:uid="{C5472CAD-384F-42E1-BE9C-EAAC29896BAF}"/>
    <cellStyle name="Normal 11 2 2 2 2 4 2" xfId="5171" xr:uid="{4F4FD8E8-7636-43D5-9B2E-8A4FA1BE37AE}"/>
    <cellStyle name="Normal 11 2 2 2 2 4 2 2" xfId="13551" xr:uid="{96FB8F47-9C20-498F-AC3A-05AFA46D93E7}"/>
    <cellStyle name="Normal 11 2 2 2 2 4 2 2 2" xfId="30311" xr:uid="{F0FF69B5-E651-4D53-8E8B-FCF2BCDFC40B}"/>
    <cellStyle name="Normal 11 2 2 2 2 4 2 2 3" xfId="47070" xr:uid="{CE6E91D8-989F-4251-AA22-02E7D4FCDE19}"/>
    <cellStyle name="Normal 11 2 2 2 2 4 2 3" xfId="21931" xr:uid="{CCF20B4D-7EB9-4693-8147-BC27E08A3C7D}"/>
    <cellStyle name="Normal 11 2 2 2 2 4 2 4" xfId="38690" xr:uid="{D1659D87-CEC0-47E6-89FE-95765970ABD1}"/>
    <cellStyle name="Normal 11 2 2 2 2 4 3" xfId="6858" xr:uid="{47E4E0A0-8872-4602-9DA4-A3F21155CD86}"/>
    <cellStyle name="Normal 11 2 2 2 2 4 3 2" xfId="15238" xr:uid="{30AFB506-ED5B-4D56-B190-4E21C3AB7701}"/>
    <cellStyle name="Normal 11 2 2 2 2 4 3 2 2" xfId="31998" xr:uid="{AE38FFDE-CDF7-4D70-9B17-F4ECACACAC3D}"/>
    <cellStyle name="Normal 11 2 2 2 2 4 3 2 3" xfId="48757" xr:uid="{D763A225-5A8C-4EEE-820B-F0ED1889C023}"/>
    <cellStyle name="Normal 11 2 2 2 2 4 3 3" xfId="23618" xr:uid="{E53C2496-EDD8-43A3-9861-8BE11930B808}"/>
    <cellStyle name="Normal 11 2 2 2 2 4 3 4" xfId="40377" xr:uid="{35BF1924-39EB-493E-B6B8-026546FF43B2}"/>
    <cellStyle name="Normal 11 2 2 2 2 4 4" xfId="3482" xr:uid="{DF5DDB36-A342-4196-B4D0-E5A6834B0FBD}"/>
    <cellStyle name="Normal 11 2 2 2 2 4 4 2" xfId="11862" xr:uid="{B5F8C3E1-7524-4E35-A3E0-7CD4F3283AE5}"/>
    <cellStyle name="Normal 11 2 2 2 2 4 4 2 2" xfId="28622" xr:uid="{09EBFEDE-F930-4CEE-9C7A-7593CD0CCA80}"/>
    <cellStyle name="Normal 11 2 2 2 2 4 4 2 3" xfId="45381" xr:uid="{2A4A1A7A-2C30-4A7C-B05A-9CC8BF5AB268}"/>
    <cellStyle name="Normal 11 2 2 2 2 4 4 3" xfId="20242" xr:uid="{CA0353CC-901C-4B13-97C8-345164DE0C88}"/>
    <cellStyle name="Normal 11 2 2 2 2 4 4 4" xfId="37001" xr:uid="{FDCBBF2F-169A-4FAF-AA45-CF89BBF18D2F}"/>
    <cellStyle name="Normal 11 2 2 2 2 4 5" xfId="10171" xr:uid="{B4123854-4EFA-4AE8-881C-FB792EF96CCB}"/>
    <cellStyle name="Normal 11 2 2 2 2 4 5 2" xfId="26931" xr:uid="{DF3423BF-BFBD-4AA1-85D5-C85876AABAB8}"/>
    <cellStyle name="Normal 11 2 2 2 2 4 5 3" xfId="43690" xr:uid="{2BCC7813-8CB4-40E7-A841-4EC0F3752176}"/>
    <cellStyle name="Normal 11 2 2 2 2 4 6" xfId="18551" xr:uid="{D348FCEB-4917-4050-864E-654C73C40F7D}"/>
    <cellStyle name="Normal 11 2 2 2 2 4 7" xfId="35310" xr:uid="{96DBB404-6786-4A71-A377-528AFA017827}"/>
    <cellStyle name="Normal 11 2 2 2 2 5" xfId="3901" xr:uid="{982F409E-C87F-421B-98B5-B84377306CAD}"/>
    <cellStyle name="Normal 11 2 2 2 2 5 2" xfId="12281" xr:uid="{F42A43FA-CE7D-4438-A69D-7A7BA5D78E66}"/>
    <cellStyle name="Normal 11 2 2 2 2 5 2 2" xfId="29041" xr:uid="{45F4C0CD-DDF2-49FA-8FC5-302086E458A0}"/>
    <cellStyle name="Normal 11 2 2 2 2 5 2 3" xfId="45800" xr:uid="{1A97F913-D883-4C9C-A008-959F1EABC029}"/>
    <cellStyle name="Normal 11 2 2 2 2 5 3" xfId="20661" xr:uid="{15C982C2-78DE-4F1D-AC1B-82D2FE675271}"/>
    <cellStyle name="Normal 11 2 2 2 2 5 4" xfId="37420" xr:uid="{858E8871-133E-4E7D-BAF9-7B86428CAEA0}"/>
    <cellStyle name="Normal 11 2 2 2 2 6" xfId="5593" xr:uid="{174841F6-CBE7-4F07-9D76-507E15D15E1A}"/>
    <cellStyle name="Normal 11 2 2 2 2 6 2" xfId="13973" xr:uid="{C15BF572-4BBB-4FC7-BD39-3AD57C9AF588}"/>
    <cellStyle name="Normal 11 2 2 2 2 6 2 2" xfId="30733" xr:uid="{D07D477C-27AD-4F71-B922-9D72EE6E7C1C}"/>
    <cellStyle name="Normal 11 2 2 2 2 6 2 3" xfId="47492" xr:uid="{336ADD98-C77F-421E-9F53-59BF0399C782}"/>
    <cellStyle name="Normal 11 2 2 2 2 6 3" xfId="22353" xr:uid="{C5D9F3C5-AD4A-4E18-B71C-36BA60323320}"/>
    <cellStyle name="Normal 11 2 2 2 2 6 4" xfId="39112" xr:uid="{DBE60923-18BE-45AA-A758-6B0E802BD114}"/>
    <cellStyle name="Normal 11 2 2 2 2 7" xfId="7264" xr:uid="{8E04EA14-0FF9-4D78-B6EF-7C365B5C911A}"/>
    <cellStyle name="Normal 11 2 2 2 2 7 2" xfId="15644" xr:uid="{E99F8EFC-AE8B-4E54-9548-66C7A53955BD}"/>
    <cellStyle name="Normal 11 2 2 2 2 7 2 2" xfId="32404" xr:uid="{5343FE66-5A6C-42AF-90C9-CE11438F2168}"/>
    <cellStyle name="Normal 11 2 2 2 2 7 2 3" xfId="49163" xr:uid="{4A8953CB-0B53-470F-9B33-FD797AC034FC}"/>
    <cellStyle name="Normal 11 2 2 2 2 7 3" xfId="24024" xr:uid="{C765F428-FBD2-4341-A166-3335FC89AB9B}"/>
    <cellStyle name="Normal 11 2 2 2 2 7 4" xfId="40783" xr:uid="{A345A1C9-1146-4F3B-A407-1D7F19C88C1E}"/>
    <cellStyle name="Normal 11 2 2 2 2 8" xfId="7670" xr:uid="{BBB12EA6-6E77-4505-A6BD-7A1213C9E162}"/>
    <cellStyle name="Normal 11 2 2 2 2 8 2" xfId="16050" xr:uid="{8E3FD60D-5C47-48B6-936D-27321EAE60FB}"/>
    <cellStyle name="Normal 11 2 2 2 2 8 2 2" xfId="32810" xr:uid="{74F752E8-FA7F-4F54-A1C3-EF8996965BC4}"/>
    <cellStyle name="Normal 11 2 2 2 2 8 2 3" xfId="49569" xr:uid="{D775C9F5-6536-4E38-8A78-CFA382E700EC}"/>
    <cellStyle name="Normal 11 2 2 2 2 8 3" xfId="24430" xr:uid="{1965E0DE-628F-4321-B516-1E8E2433FDEB}"/>
    <cellStyle name="Normal 11 2 2 2 2 8 4" xfId="41189" xr:uid="{43E544D2-839F-4187-98B7-AA604C7C1266}"/>
    <cellStyle name="Normal 11 2 2 2 2 9" xfId="8076" xr:uid="{B1D8384E-6470-4E57-96C8-AA3838A8DBD7}"/>
    <cellStyle name="Normal 11 2 2 2 2 9 2" xfId="16456" xr:uid="{BB6E8E8A-B2A4-44D8-BD1A-8C8112FFC269}"/>
    <cellStyle name="Normal 11 2 2 2 2 9 2 2" xfId="33216" xr:uid="{5CBDF83F-E55C-44E8-8F64-15575FA6AFEC}"/>
    <cellStyle name="Normal 11 2 2 2 2 9 2 3" xfId="49975" xr:uid="{CE8BB93A-F904-4EB9-855A-CAAE8DB75438}"/>
    <cellStyle name="Normal 11 2 2 2 2 9 3" xfId="24836" xr:uid="{CE815536-909C-4243-B0CC-083A3E77C4E5}"/>
    <cellStyle name="Normal 11 2 2 2 2 9 4" xfId="41595" xr:uid="{BE956695-D42F-438A-B78A-3C9C00BB51F9}"/>
    <cellStyle name="Normal 11 2 2 2 3" xfId="496" xr:uid="{5F74C855-46B6-4796-B07C-9179496916D1}"/>
    <cellStyle name="Normal 11 2 2 2 3 10" xfId="8689" xr:uid="{819A4227-EA4C-4F41-9567-3BE5D8CFA33F}"/>
    <cellStyle name="Normal 11 2 2 2 3 10 2" xfId="17069" xr:uid="{AB772895-24FC-438C-A4E1-29B6226AD6BC}"/>
    <cellStyle name="Normal 11 2 2 2 3 10 2 2" xfId="33829" xr:uid="{DA54191B-8DE8-4EF1-8B91-DFB734F86A87}"/>
    <cellStyle name="Normal 11 2 2 2 3 10 2 3" xfId="50588" xr:uid="{EEA9CE8A-6F58-4E16-9C3A-610F42E1866C}"/>
    <cellStyle name="Normal 11 2 2 2 3 10 3" xfId="25449" xr:uid="{108E3EA6-FE89-43C3-B0DB-D9C7B1D867BF}"/>
    <cellStyle name="Normal 11 2 2 2 3 10 4" xfId="42208" xr:uid="{2873C9F7-D6D0-4BAF-8B2C-243D010FBA6D}"/>
    <cellStyle name="Normal 11 2 2 2 3 11" xfId="2328" xr:uid="{6A8C8187-E3E5-47F3-9C1D-5D7DFF011751}"/>
    <cellStyle name="Normal 11 2 2 2 3 11 2" xfId="10710" xr:uid="{37B074FD-0313-45F8-B1D3-43064C29FBD5}"/>
    <cellStyle name="Normal 11 2 2 2 3 11 2 2" xfId="27470" xr:uid="{2CACB596-E8F2-4951-B282-BF950FD1BCDA}"/>
    <cellStyle name="Normal 11 2 2 2 3 11 2 3" xfId="44229" xr:uid="{620CB377-1379-40CB-BB79-D39430E83443}"/>
    <cellStyle name="Normal 11 2 2 2 3 11 3" xfId="19090" xr:uid="{64170F50-CCF2-430D-A4A1-A462736EED17}"/>
    <cellStyle name="Normal 11 2 2 2 3 11 4" xfId="35849" xr:uid="{C0BB7E7D-2F08-4B60-A59B-AB351EBC7B51}"/>
    <cellStyle name="Normal 11 2 2 2 3 12" xfId="8907" xr:uid="{913FE13C-3EEC-481D-A433-83D30B0824FC}"/>
    <cellStyle name="Normal 11 2 2 2 3 12 2" xfId="25667" xr:uid="{B171391F-790A-48D7-95B4-D38D52A17CA5}"/>
    <cellStyle name="Normal 11 2 2 2 3 12 3" xfId="42426" xr:uid="{B017D733-B57B-4874-A06F-1E997C23C83A}"/>
    <cellStyle name="Normal 11 2 2 2 3 13" xfId="17287" xr:uid="{D1A57DA8-C8F7-45FA-9787-7B7588787182}"/>
    <cellStyle name="Normal 11 2 2 2 3 14" xfId="34046" xr:uid="{344939CC-B590-4EE6-92B3-CB08D0856CCC}"/>
    <cellStyle name="Normal 11 2 2 2 3 2" xfId="938" xr:uid="{60F46A1F-1DCA-4036-B8AC-81FA819EDA9F}"/>
    <cellStyle name="Normal 11 2 2 2 3 2 2" xfId="4333" xr:uid="{833FEF94-F59E-4130-AD15-56CA95D1B7A9}"/>
    <cellStyle name="Normal 11 2 2 2 3 2 2 2" xfId="12713" xr:uid="{AC7CB5B4-E013-4362-8810-316ADFB674EA}"/>
    <cellStyle name="Normal 11 2 2 2 3 2 2 2 2" xfId="29473" xr:uid="{D011A089-E85A-47DC-B4C7-E4559799822A}"/>
    <cellStyle name="Normal 11 2 2 2 3 2 2 2 3" xfId="46232" xr:uid="{5C6BD10A-7C8D-4DB2-B140-99CEF5224AE4}"/>
    <cellStyle name="Normal 11 2 2 2 3 2 2 3" xfId="21093" xr:uid="{A84CF800-1DE7-46C5-9793-87BFD59D667A}"/>
    <cellStyle name="Normal 11 2 2 2 3 2 2 4" xfId="37852" xr:uid="{CD51DD0F-A0A2-4300-BD44-6684D1379F02}"/>
    <cellStyle name="Normal 11 2 2 2 3 2 3" xfId="6020" xr:uid="{78B0419A-A269-42E9-B9F0-4774A77DBC9A}"/>
    <cellStyle name="Normal 11 2 2 2 3 2 3 2" xfId="14400" xr:uid="{68F4D917-62BB-4DE4-9582-119CF5821C4C}"/>
    <cellStyle name="Normal 11 2 2 2 3 2 3 2 2" xfId="31160" xr:uid="{92222301-8756-4A4E-9881-A2D87EE8AC1B}"/>
    <cellStyle name="Normal 11 2 2 2 3 2 3 2 3" xfId="47919" xr:uid="{99627003-CB84-4F8C-9A6E-B13C28DF2041}"/>
    <cellStyle name="Normal 11 2 2 2 3 2 3 3" xfId="22780" xr:uid="{16F86FB3-59B8-4117-AFA8-F6E8EECD6E9B}"/>
    <cellStyle name="Normal 11 2 2 2 3 2 3 4" xfId="39539" xr:uid="{EA1AB51D-0D37-4D5D-AF78-DD6711900D10}"/>
    <cellStyle name="Normal 11 2 2 2 3 2 4" xfId="2756" xr:uid="{4A60AE1E-A895-4D76-887F-5DB0A2FB0946}"/>
    <cellStyle name="Normal 11 2 2 2 3 2 4 2" xfId="11136" xr:uid="{26404050-D554-42B1-9B87-396E648D1E0D}"/>
    <cellStyle name="Normal 11 2 2 2 3 2 4 2 2" xfId="27896" xr:uid="{4CA17132-7150-4768-8617-AA3DBF111DD0}"/>
    <cellStyle name="Normal 11 2 2 2 3 2 4 2 3" xfId="44655" xr:uid="{A83077E1-4CEE-4068-8CFC-9449F6D3A156}"/>
    <cellStyle name="Normal 11 2 2 2 3 2 4 3" xfId="19516" xr:uid="{C524177C-846C-46D9-A5D1-E0558CBE052E}"/>
    <cellStyle name="Normal 11 2 2 2 3 2 4 4" xfId="36275" xr:uid="{A6E93B21-23F5-4F94-BF1D-2B1198070981}"/>
    <cellStyle name="Normal 11 2 2 2 3 2 5" xfId="9333" xr:uid="{56A512EA-973E-4714-B7D9-B2F1B6D806F0}"/>
    <cellStyle name="Normal 11 2 2 2 3 2 5 2" xfId="26093" xr:uid="{8D930E5B-9A14-4D40-8B12-CD67AD005A40}"/>
    <cellStyle name="Normal 11 2 2 2 3 2 5 3" xfId="42852" xr:uid="{5D26C27D-E41E-4C9F-A8CD-33BA117ABB1E}"/>
    <cellStyle name="Normal 11 2 2 2 3 2 6" xfId="17713" xr:uid="{D45CEFEB-EF83-49DE-8D45-75C17356A95D}"/>
    <cellStyle name="Normal 11 2 2 2 3 2 7" xfId="34472" xr:uid="{34365B24-348B-4C91-BCB5-3B7E5464282A}"/>
    <cellStyle name="Normal 11 2 2 2 3 3" xfId="1372" xr:uid="{60B02A94-3F1F-474A-88FF-A92A13320A37}"/>
    <cellStyle name="Normal 11 2 2 2 3 3 2" xfId="4761" xr:uid="{F1FEAAC3-5EE6-4B39-9971-634B84992DB2}"/>
    <cellStyle name="Normal 11 2 2 2 3 3 2 2" xfId="13141" xr:uid="{885E3A3E-2678-4C70-9825-A9EB007E2FE9}"/>
    <cellStyle name="Normal 11 2 2 2 3 3 2 2 2" xfId="29901" xr:uid="{5D34333F-F986-4430-83A3-2C441225F093}"/>
    <cellStyle name="Normal 11 2 2 2 3 3 2 2 3" xfId="46660" xr:uid="{17A26F18-8CF3-4364-87B4-F29D0B4D303D}"/>
    <cellStyle name="Normal 11 2 2 2 3 3 2 3" xfId="21521" xr:uid="{806E38CC-24C6-4D2D-BF58-9B46947EE163}"/>
    <cellStyle name="Normal 11 2 2 2 3 3 2 4" xfId="38280" xr:uid="{6A1ADF4E-7E04-47DB-BDD7-DB78A32B7CE5}"/>
    <cellStyle name="Normal 11 2 2 2 3 3 3" xfId="6448" xr:uid="{B976E3CE-56C5-48AC-A2D0-2C98B8FD70F4}"/>
    <cellStyle name="Normal 11 2 2 2 3 3 3 2" xfId="14828" xr:uid="{74CC2141-321A-4947-B09A-2C5E892516AF}"/>
    <cellStyle name="Normal 11 2 2 2 3 3 3 2 2" xfId="31588" xr:uid="{F64BAA29-A562-4113-B4AE-77EA7890F7FC}"/>
    <cellStyle name="Normal 11 2 2 2 3 3 3 2 3" xfId="48347" xr:uid="{B7A89202-C4C4-4400-91C1-239BB9689704}"/>
    <cellStyle name="Normal 11 2 2 2 3 3 3 3" xfId="23208" xr:uid="{140085E7-1E43-4A9E-A025-A834D359805D}"/>
    <cellStyle name="Normal 11 2 2 2 3 3 3 4" xfId="39967" xr:uid="{1005DDF2-F762-4F09-96CF-D9794BA28EE6}"/>
    <cellStyle name="Normal 11 2 2 2 3 3 4" xfId="3184" xr:uid="{9121D697-4B65-4DE1-BBA7-00B09B98AA50}"/>
    <cellStyle name="Normal 11 2 2 2 3 3 4 2" xfId="11564" xr:uid="{9BC53FEC-B190-4FDE-A75B-7A0DE3645C3E}"/>
    <cellStyle name="Normal 11 2 2 2 3 3 4 2 2" xfId="28324" xr:uid="{9D31FAE6-51C4-41B9-BB5A-15E7DBFC85F1}"/>
    <cellStyle name="Normal 11 2 2 2 3 3 4 2 3" xfId="45083" xr:uid="{79439776-CED9-4E72-8E31-002F4346C4DB}"/>
    <cellStyle name="Normal 11 2 2 2 3 3 4 3" xfId="19944" xr:uid="{72B0C678-A693-4F95-AEE7-8645D6EB15CA}"/>
    <cellStyle name="Normal 11 2 2 2 3 3 4 4" xfId="36703" xr:uid="{AE43A2D8-0A12-489A-B48F-D0B90D01D1D9}"/>
    <cellStyle name="Normal 11 2 2 2 3 3 5" xfId="9761" xr:uid="{D74872C5-7047-4179-8B56-1DB430B4BFB0}"/>
    <cellStyle name="Normal 11 2 2 2 3 3 5 2" xfId="26521" xr:uid="{03F77265-A5C5-47B0-9E4D-D14F18354A6E}"/>
    <cellStyle name="Normal 11 2 2 2 3 3 5 3" xfId="43280" xr:uid="{4ABCBBA2-9630-41BB-8B38-11C8C596D73C}"/>
    <cellStyle name="Normal 11 2 2 2 3 3 6" xfId="18141" xr:uid="{EE966347-0025-4293-B936-7C804FDC8025}"/>
    <cellStyle name="Normal 11 2 2 2 3 3 7" xfId="34900" xr:uid="{6EC59CFB-D5DC-4515-A7EA-29FE977C7E94}"/>
    <cellStyle name="Normal 11 2 2 2 3 4" xfId="1989" xr:uid="{4EE6C4B1-A829-4ECC-A98F-F109F8B0D432}"/>
    <cellStyle name="Normal 11 2 2 2 3 4 2" xfId="5378" xr:uid="{A96EED7E-E237-41CA-BB21-AECD5FEF4338}"/>
    <cellStyle name="Normal 11 2 2 2 3 4 2 2" xfId="13758" xr:uid="{4981EB6B-DF33-43F2-A4CC-1884D6B4E518}"/>
    <cellStyle name="Normal 11 2 2 2 3 4 2 2 2" xfId="30518" xr:uid="{FD2E5E20-7A9D-4B82-B1DD-AF887F9385CD}"/>
    <cellStyle name="Normal 11 2 2 2 3 4 2 2 3" xfId="47277" xr:uid="{9580E031-D099-495B-A7EA-BBD5AA884157}"/>
    <cellStyle name="Normal 11 2 2 2 3 4 2 3" xfId="22138" xr:uid="{A6D798EB-D1C1-4C04-BB1C-5D4C8D64BDF5}"/>
    <cellStyle name="Normal 11 2 2 2 3 4 2 4" xfId="38897" xr:uid="{6D3F6589-86BB-48C7-B394-8EC972940F6F}"/>
    <cellStyle name="Normal 11 2 2 2 3 4 3" xfId="7065" xr:uid="{46225BFE-2FCF-4268-A20A-D7A36F2863FC}"/>
    <cellStyle name="Normal 11 2 2 2 3 4 3 2" xfId="15445" xr:uid="{A7A233D3-6B23-497B-8991-5EAE7EAAB00E}"/>
    <cellStyle name="Normal 11 2 2 2 3 4 3 2 2" xfId="32205" xr:uid="{BDA7C2C1-0C4F-49FB-B32F-5F197C2FE087}"/>
    <cellStyle name="Normal 11 2 2 2 3 4 3 2 3" xfId="48964" xr:uid="{9C8822A8-8303-4280-BDDF-40734E69FFF3}"/>
    <cellStyle name="Normal 11 2 2 2 3 4 3 3" xfId="23825" xr:uid="{BEF9F63D-CD20-435A-8D08-4D799CFB2314}"/>
    <cellStyle name="Normal 11 2 2 2 3 4 3 4" xfId="40584" xr:uid="{022E7B32-3170-4C92-A300-0EF8102EC1E0}"/>
    <cellStyle name="Normal 11 2 2 2 3 4 4" xfId="3688" xr:uid="{603BE11A-D711-4CE3-8033-D46CB1650BB9}"/>
    <cellStyle name="Normal 11 2 2 2 3 4 4 2" xfId="12068" xr:uid="{73B0D08D-7CD7-4ACF-83EC-FEE3BEAF10C0}"/>
    <cellStyle name="Normal 11 2 2 2 3 4 4 2 2" xfId="28828" xr:uid="{81C3E3FA-86BE-45F2-A4BC-42F86C45482D}"/>
    <cellStyle name="Normal 11 2 2 2 3 4 4 2 3" xfId="45587" xr:uid="{05C24A4B-B0D3-4DAD-B3DE-C53F001EBB5A}"/>
    <cellStyle name="Normal 11 2 2 2 3 4 4 3" xfId="20448" xr:uid="{D3B8226E-2ACC-4F92-B63A-732B4770ABDB}"/>
    <cellStyle name="Normal 11 2 2 2 3 4 4 4" xfId="37207" xr:uid="{50619676-899F-4C27-B86D-5C8278924A7B}"/>
    <cellStyle name="Normal 11 2 2 2 3 4 5" xfId="10378" xr:uid="{30271D05-34A7-47C8-88E5-880C76C042CE}"/>
    <cellStyle name="Normal 11 2 2 2 3 4 5 2" xfId="27138" xr:uid="{DAB58F7D-8E39-44C6-B40B-04ECA74098CC}"/>
    <cellStyle name="Normal 11 2 2 2 3 4 5 3" xfId="43897" xr:uid="{E4D273B5-DDB1-42DC-9ECE-6D8F574657A6}"/>
    <cellStyle name="Normal 11 2 2 2 3 4 6" xfId="18758" xr:uid="{FAF7349F-8A78-4622-BEB2-6113660ECB2C}"/>
    <cellStyle name="Normal 11 2 2 2 3 4 7" xfId="35517" xr:uid="{C7237C41-6CFB-4753-8F8C-5A46AC96EDEE}"/>
    <cellStyle name="Normal 11 2 2 2 3 5" xfId="4108" xr:uid="{FAB50ADF-C25F-414F-A270-16DAE260C58F}"/>
    <cellStyle name="Normal 11 2 2 2 3 5 2" xfId="12488" xr:uid="{644710DD-45CB-4CBB-B5EF-2654AFE8A7F7}"/>
    <cellStyle name="Normal 11 2 2 2 3 5 2 2" xfId="29248" xr:uid="{CC1ACAED-F8A5-4767-B6D1-49CC22D65B33}"/>
    <cellStyle name="Normal 11 2 2 2 3 5 2 3" xfId="46007" xr:uid="{6DB646E7-818C-4EA2-8202-ADAC74110C82}"/>
    <cellStyle name="Normal 11 2 2 2 3 5 3" xfId="20868" xr:uid="{F81F79CF-B3CE-443B-8A69-E26E802C6BF7}"/>
    <cellStyle name="Normal 11 2 2 2 3 5 4" xfId="37627" xr:uid="{2ED49B2C-FB66-484B-8C99-A4196CE8CE54}"/>
    <cellStyle name="Normal 11 2 2 2 3 6" xfId="5594" xr:uid="{B595C787-DE73-407A-8918-938DEFC5BBA8}"/>
    <cellStyle name="Normal 11 2 2 2 3 6 2" xfId="13974" xr:uid="{958A8DD9-CA6E-439A-9D34-8374A6710AA8}"/>
    <cellStyle name="Normal 11 2 2 2 3 6 2 2" xfId="30734" xr:uid="{E9E32932-1583-46BB-BC64-45B769A0D3BE}"/>
    <cellStyle name="Normal 11 2 2 2 3 6 2 3" xfId="47493" xr:uid="{5501149A-F879-4A95-A413-C970B974E105}"/>
    <cellStyle name="Normal 11 2 2 2 3 6 3" xfId="22354" xr:uid="{AFA3079D-0DD1-4AB4-A4B5-85BB39B7BC27}"/>
    <cellStyle name="Normal 11 2 2 2 3 6 4" xfId="39113" xr:uid="{D56893FD-44A4-4B13-A332-C7195EECC77A}"/>
    <cellStyle name="Normal 11 2 2 2 3 7" xfId="7471" xr:uid="{FBB4847B-4AB0-48BA-8094-039821772598}"/>
    <cellStyle name="Normal 11 2 2 2 3 7 2" xfId="15851" xr:uid="{FB26330F-2F30-4B88-8203-B65268C5C2A5}"/>
    <cellStyle name="Normal 11 2 2 2 3 7 2 2" xfId="32611" xr:uid="{14AA1CAF-11DB-4BC9-AAE8-DABD8225E66E}"/>
    <cellStyle name="Normal 11 2 2 2 3 7 2 3" xfId="49370" xr:uid="{8441D5FE-7546-4E80-84CB-7E99499F69B9}"/>
    <cellStyle name="Normal 11 2 2 2 3 7 3" xfId="24231" xr:uid="{E68E09B0-AADE-4813-A267-1A3286CD3AAB}"/>
    <cellStyle name="Normal 11 2 2 2 3 7 4" xfId="40990" xr:uid="{EEF3D33D-191A-42B7-86F3-53E30CB67D88}"/>
    <cellStyle name="Normal 11 2 2 2 3 8" xfId="7877" xr:uid="{8EF005F2-889C-43C6-AE6C-0D3F990B640F}"/>
    <cellStyle name="Normal 11 2 2 2 3 8 2" xfId="16257" xr:uid="{AF237EF0-A20D-4A9C-BF84-7004AAF90279}"/>
    <cellStyle name="Normal 11 2 2 2 3 8 2 2" xfId="33017" xr:uid="{869B4A23-D5B4-499C-8D54-4130BD3593E8}"/>
    <cellStyle name="Normal 11 2 2 2 3 8 2 3" xfId="49776" xr:uid="{8266553E-E5D5-47E9-92C6-60777DF89D35}"/>
    <cellStyle name="Normal 11 2 2 2 3 8 3" xfId="24637" xr:uid="{F04CADD1-BD94-418F-B658-DD61E2F5211E}"/>
    <cellStyle name="Normal 11 2 2 2 3 8 4" xfId="41396" xr:uid="{6E8F3D08-2F77-4767-A27D-81BDF8278EE1}"/>
    <cellStyle name="Normal 11 2 2 2 3 9" xfId="8283" xr:uid="{27CFCC3F-E79B-48F9-BD82-C6BAF868769C}"/>
    <cellStyle name="Normal 11 2 2 2 3 9 2" xfId="16663" xr:uid="{D050D29C-7414-4BED-9A94-205162E5E67C}"/>
    <cellStyle name="Normal 11 2 2 2 3 9 2 2" xfId="33423" xr:uid="{DA8AD51E-3C9B-47CE-AD4D-C1BE7F04C3DC}"/>
    <cellStyle name="Normal 11 2 2 2 3 9 2 3" xfId="50182" xr:uid="{8C20587C-5283-4985-80C3-12865CD56DE6}"/>
    <cellStyle name="Normal 11 2 2 2 3 9 3" xfId="25043" xr:uid="{48D94F6C-C443-49A0-BAA3-1B4BBD09CE21}"/>
    <cellStyle name="Normal 11 2 2 2 3 9 4" xfId="41802" xr:uid="{F7BC0F7F-9A49-4E96-98F3-4196AD0F95EB}"/>
    <cellStyle name="Normal 11 2 2 2 4" xfId="874" xr:uid="{CB26D757-8069-4FD3-842C-2422B23EB8C9}"/>
    <cellStyle name="Normal 11 2 2 2 4 2" xfId="4269" xr:uid="{2902D185-8821-4CEE-840D-8854FE3C3020}"/>
    <cellStyle name="Normal 11 2 2 2 4 2 2" xfId="12649" xr:uid="{1905AB82-BBBE-40E9-9648-67D9F454C59F}"/>
    <cellStyle name="Normal 11 2 2 2 4 2 2 2" xfId="29409" xr:uid="{D1959E7D-E0FD-4556-B067-9623A946765D}"/>
    <cellStyle name="Normal 11 2 2 2 4 2 2 3" xfId="46168" xr:uid="{371863EE-E766-4914-AAC1-D500C2A37FC0}"/>
    <cellStyle name="Normal 11 2 2 2 4 2 3" xfId="21029" xr:uid="{7DD9B9AD-EF67-4563-BF8D-DAB43CCCD085}"/>
    <cellStyle name="Normal 11 2 2 2 4 2 4" xfId="37788" xr:uid="{C4E8D473-EFC7-426C-A90E-4AFA1C98D3C7}"/>
    <cellStyle name="Normal 11 2 2 2 4 3" xfId="5956" xr:uid="{652AF4EB-A3D9-4ADB-B5C6-29310E51EC35}"/>
    <cellStyle name="Normal 11 2 2 2 4 3 2" xfId="14336" xr:uid="{B02C02EA-0D9A-4AAB-877F-C21A8B6D51AB}"/>
    <cellStyle name="Normal 11 2 2 2 4 3 2 2" xfId="31096" xr:uid="{7769B7CC-B9D4-4CBD-9C78-AC43D7B66954}"/>
    <cellStyle name="Normal 11 2 2 2 4 3 2 3" xfId="47855" xr:uid="{9AF72EF1-F692-4357-A476-5D6D7EA9572A}"/>
    <cellStyle name="Normal 11 2 2 2 4 3 3" xfId="22716" xr:uid="{B9F6CB43-98E4-469F-9D6A-172FE480DEEA}"/>
    <cellStyle name="Normal 11 2 2 2 4 3 4" xfId="39475" xr:uid="{EF8F3739-CFC6-40E0-A2C9-5B4231191C5B}"/>
    <cellStyle name="Normal 11 2 2 2 4 4" xfId="2692" xr:uid="{15B00548-AEA4-4477-9A78-4D97E188FBF1}"/>
    <cellStyle name="Normal 11 2 2 2 4 4 2" xfId="11072" xr:uid="{553EA29B-07D9-4F28-B139-807ACFE49724}"/>
    <cellStyle name="Normal 11 2 2 2 4 4 2 2" xfId="27832" xr:uid="{40CCEDA9-A909-4DB6-B3D7-03C6B1D333F0}"/>
    <cellStyle name="Normal 11 2 2 2 4 4 2 3" xfId="44591" xr:uid="{53E28DA2-B4D1-4181-99E2-1D1E488ABE3C}"/>
    <cellStyle name="Normal 11 2 2 2 4 4 3" xfId="19452" xr:uid="{FEA0974E-0DF2-4C88-8986-45FFE6251D70}"/>
    <cellStyle name="Normal 11 2 2 2 4 4 4" xfId="36211" xr:uid="{FED69976-5384-4379-8E50-70062E975725}"/>
    <cellStyle name="Normal 11 2 2 2 4 5" xfId="9269" xr:uid="{99DE16C6-CC67-4445-9F21-D7C9610FFB26}"/>
    <cellStyle name="Normal 11 2 2 2 4 5 2" xfId="26029" xr:uid="{E5987107-5154-457C-B7EB-E4F70B5508D2}"/>
    <cellStyle name="Normal 11 2 2 2 4 5 3" xfId="42788" xr:uid="{5D42AB9D-7216-4047-8262-2DBBF26A14DB}"/>
    <cellStyle name="Normal 11 2 2 2 4 6" xfId="17649" xr:uid="{48E93359-9E69-4B5E-AAF1-037A1E4EDBAA}"/>
    <cellStyle name="Normal 11 2 2 2 4 7" xfId="34408" xr:uid="{68F77D68-3DF2-4DFA-8917-5B81C35DA56C}"/>
    <cellStyle name="Normal 11 2 2 2 5" xfId="1308" xr:uid="{6CE9D927-9522-4594-AF22-8193909EE7F2}"/>
    <cellStyle name="Normal 11 2 2 2 5 2" xfId="4697" xr:uid="{693F12CC-B395-4DB8-883D-9B7F87CA79E5}"/>
    <cellStyle name="Normal 11 2 2 2 5 2 2" xfId="13077" xr:uid="{48727DD7-1B6A-472E-84DB-7DC759392488}"/>
    <cellStyle name="Normal 11 2 2 2 5 2 2 2" xfId="29837" xr:uid="{51CD9CB2-88DA-4872-BFF2-08DBCDD6806E}"/>
    <cellStyle name="Normal 11 2 2 2 5 2 2 3" xfId="46596" xr:uid="{ECAA234B-786C-454A-90D6-60F79126025E}"/>
    <cellStyle name="Normal 11 2 2 2 5 2 3" xfId="21457" xr:uid="{6E02E819-6A04-46A7-B0BA-D3E51B5F6116}"/>
    <cellStyle name="Normal 11 2 2 2 5 2 4" xfId="38216" xr:uid="{25EFEA91-8B88-458D-A9E8-65DE7134ABE0}"/>
    <cellStyle name="Normal 11 2 2 2 5 3" xfId="6384" xr:uid="{69410940-3826-4BB8-B53D-1121925A61AB}"/>
    <cellStyle name="Normal 11 2 2 2 5 3 2" xfId="14764" xr:uid="{0C44A54D-0830-4729-B570-696CBA4F8C4A}"/>
    <cellStyle name="Normal 11 2 2 2 5 3 2 2" xfId="31524" xr:uid="{85B86AB8-4408-4056-A70A-E5957E924484}"/>
    <cellStyle name="Normal 11 2 2 2 5 3 2 3" xfId="48283" xr:uid="{80EBEF01-28C6-4C1E-AEE4-29DD129F7A6D}"/>
    <cellStyle name="Normal 11 2 2 2 5 3 3" xfId="23144" xr:uid="{C55AE259-83A6-4B92-A5A7-73E0EB2F0F2D}"/>
    <cellStyle name="Normal 11 2 2 2 5 3 4" xfId="39903" xr:uid="{64DB5F74-93C0-490B-8084-2B7B21CCE2BE}"/>
    <cellStyle name="Normal 11 2 2 2 5 4" xfId="3120" xr:uid="{8ACFC378-1D9A-4E74-844F-B0F89C856F7A}"/>
    <cellStyle name="Normal 11 2 2 2 5 4 2" xfId="11500" xr:uid="{EB327891-6AA7-45CC-A62C-9B7C38546D82}"/>
    <cellStyle name="Normal 11 2 2 2 5 4 2 2" xfId="28260" xr:uid="{0354CA86-A789-4B3C-A37B-6092F80ECDD6}"/>
    <cellStyle name="Normal 11 2 2 2 5 4 2 3" xfId="45019" xr:uid="{891E59AD-5A2E-4D5D-9D00-B9787AB24EA1}"/>
    <cellStyle name="Normal 11 2 2 2 5 4 3" xfId="19880" xr:uid="{FE3F053B-8F7D-4FA5-8133-C4731E42501D}"/>
    <cellStyle name="Normal 11 2 2 2 5 4 4" xfId="36639" xr:uid="{564FB013-C423-4983-B8D1-31B844B3FD81}"/>
    <cellStyle name="Normal 11 2 2 2 5 5" xfId="9697" xr:uid="{725AC42A-2EC6-4B33-93A4-C406CE2A9D7E}"/>
    <cellStyle name="Normal 11 2 2 2 5 5 2" xfId="26457" xr:uid="{062C39F4-B01F-48BC-8ABA-C714240F6B63}"/>
    <cellStyle name="Normal 11 2 2 2 5 5 3" xfId="43216" xr:uid="{7DD9C262-F692-43F7-942C-C8BE4C03F654}"/>
    <cellStyle name="Normal 11 2 2 2 5 6" xfId="18077" xr:uid="{9DE8AACD-400D-4BFD-9F6F-AEC23AC279A4}"/>
    <cellStyle name="Normal 11 2 2 2 5 7" xfId="34836" xr:uid="{685556E6-8D93-46F8-A3FA-239810AE9E0C}"/>
    <cellStyle name="Normal 11 2 2 2 6" xfId="1718" xr:uid="{7C35D51C-BD0E-4B9A-857E-E41F3A1D2D14}"/>
    <cellStyle name="Normal 11 2 2 2 6 2" xfId="5107" xr:uid="{1644C994-3E39-4216-AB27-7ECDF1007030}"/>
    <cellStyle name="Normal 11 2 2 2 6 2 2" xfId="13487" xr:uid="{D5F26142-9F92-4166-A76B-07375552207D}"/>
    <cellStyle name="Normal 11 2 2 2 6 2 2 2" xfId="30247" xr:uid="{FA052BA8-972B-44EB-B61E-DCAB6271CE59}"/>
    <cellStyle name="Normal 11 2 2 2 6 2 2 3" xfId="47006" xr:uid="{33A75D11-D872-4A53-A8B0-E4A8D9E443AC}"/>
    <cellStyle name="Normal 11 2 2 2 6 2 3" xfId="21867" xr:uid="{016D5E38-D54E-4151-9DC3-A068D0523BBD}"/>
    <cellStyle name="Normal 11 2 2 2 6 2 4" xfId="38626" xr:uid="{3631D4C7-076A-4D06-9679-E4EEEC0F4D98}"/>
    <cellStyle name="Normal 11 2 2 2 6 3" xfId="6794" xr:uid="{3CDF1C5F-50E2-46E1-B892-5A212CAA4952}"/>
    <cellStyle name="Normal 11 2 2 2 6 3 2" xfId="15174" xr:uid="{D118FBC6-816B-4126-AF5C-8AF8DFA1EE88}"/>
    <cellStyle name="Normal 11 2 2 2 6 3 2 2" xfId="31934" xr:uid="{45BF2337-08D5-4F24-B5D4-4AF58CB8A38D}"/>
    <cellStyle name="Normal 11 2 2 2 6 3 2 3" xfId="48693" xr:uid="{D03BB30A-5CD1-4BED-A830-B951847D47B2}"/>
    <cellStyle name="Normal 11 2 2 2 6 3 3" xfId="23554" xr:uid="{470BA909-AB82-43F1-9B24-88C764479EF0}"/>
    <cellStyle name="Normal 11 2 2 2 6 3 4" xfId="40313" xr:uid="{03B15B1A-1DEE-40E4-9801-843278662F51}"/>
    <cellStyle name="Normal 11 2 2 2 6 4" xfId="3441" xr:uid="{EBE46247-E0BB-4090-860B-EC854FF1C580}"/>
    <cellStyle name="Normal 11 2 2 2 6 4 2" xfId="11821" xr:uid="{7E15CCF1-6BCC-4A99-B903-BF597B689AE3}"/>
    <cellStyle name="Normal 11 2 2 2 6 4 2 2" xfId="28581" xr:uid="{C6AA5BFE-FF2F-4E85-9025-450DFB6B7486}"/>
    <cellStyle name="Normal 11 2 2 2 6 4 2 3" xfId="45340" xr:uid="{2172AAEC-E5D4-4361-9116-71BB969BAED8}"/>
    <cellStyle name="Normal 11 2 2 2 6 4 3" xfId="20201" xr:uid="{6ECABC08-EC40-4989-A92E-937DD160FF25}"/>
    <cellStyle name="Normal 11 2 2 2 6 4 4" xfId="36960" xr:uid="{C74DD179-E27E-4344-BEFC-8B13CB1B606D}"/>
    <cellStyle name="Normal 11 2 2 2 6 5" xfId="10107" xr:uid="{7C5BD668-DBA9-4767-B634-919BCD21F831}"/>
    <cellStyle name="Normal 11 2 2 2 6 5 2" xfId="26867" xr:uid="{AC0C22AF-42FB-4311-96E9-D653B5C53E23}"/>
    <cellStyle name="Normal 11 2 2 2 6 5 3" xfId="43626" xr:uid="{5C3E9CEC-20D2-4299-BEBA-ED23FA6BD934}"/>
    <cellStyle name="Normal 11 2 2 2 6 6" xfId="18487" xr:uid="{1D7A68BE-77A6-42E7-8FFE-C52EBED0B973}"/>
    <cellStyle name="Normal 11 2 2 2 6 7" xfId="35246" xr:uid="{CFBD3A13-3849-47D4-9787-8B0D0D2422A4}"/>
    <cellStyle name="Normal 11 2 2 2 7" xfId="3837" xr:uid="{99B0ACE8-614E-4544-B0FE-75C16D9A4B8C}"/>
    <cellStyle name="Normal 11 2 2 2 7 2" xfId="12217" xr:uid="{4E5E9BE2-5F10-43C6-85F7-D19D9870D262}"/>
    <cellStyle name="Normal 11 2 2 2 7 2 2" xfId="28977" xr:uid="{8656BB6C-99A6-4A65-A901-01A95440670B}"/>
    <cellStyle name="Normal 11 2 2 2 7 2 3" xfId="45736" xr:uid="{B82DF013-9CF4-4050-95DB-0748B5FBA268}"/>
    <cellStyle name="Normal 11 2 2 2 7 3" xfId="20597" xr:uid="{643A1988-31CF-4CBA-A45B-323824E83FF7}"/>
    <cellStyle name="Normal 11 2 2 2 7 4" xfId="37356" xr:uid="{1A57317D-F8A1-4ED4-BE93-F85A4D40580B}"/>
    <cellStyle name="Normal 11 2 2 2 8" xfId="5530" xr:uid="{19F82C59-B5A1-4682-BB43-7B8ED373B59C}"/>
    <cellStyle name="Normal 11 2 2 2 8 2" xfId="13910" xr:uid="{C408FF20-E367-4A45-9ABF-F91CA5D3C46C}"/>
    <cellStyle name="Normal 11 2 2 2 8 2 2" xfId="30670" xr:uid="{04EC82DF-F804-4C2F-8488-12EB0FB50AEA}"/>
    <cellStyle name="Normal 11 2 2 2 8 2 3" xfId="47429" xr:uid="{92BA5E72-7FBA-453B-BADD-217FB5C79152}"/>
    <cellStyle name="Normal 11 2 2 2 8 3" xfId="22290" xr:uid="{4FE9337B-AAEB-45B2-B9BF-18F416148EDD}"/>
    <cellStyle name="Normal 11 2 2 2 8 4" xfId="39049" xr:uid="{1CACA098-148D-45AD-853F-CF1ECA4E4AB0}"/>
    <cellStyle name="Normal 11 2 2 2 9" xfId="7200" xr:uid="{413B319B-1FE6-476E-9D9E-4AA85E4569A0}"/>
    <cellStyle name="Normal 11 2 2 2 9 2" xfId="15580" xr:uid="{205F9739-6E95-4857-A2A2-70120040F66F}"/>
    <cellStyle name="Normal 11 2 2 2 9 2 2" xfId="32340" xr:uid="{06813270-77F2-49BA-B4E8-B654053F57B3}"/>
    <cellStyle name="Normal 11 2 2 2 9 2 3" xfId="49099" xr:uid="{77D9EE2C-0772-48AD-AE61-0FF506047131}"/>
    <cellStyle name="Normal 11 2 2 2 9 3" xfId="23960" xr:uid="{69AE1759-C6CE-45AA-B3F0-3D219CD1DB66}"/>
    <cellStyle name="Normal 11 2 2 2 9 4" xfId="40719" xr:uid="{210FC2B3-53A6-46D0-A5F8-52506EC91AF2}"/>
    <cellStyle name="Normal 11 2 2 3" xfId="497" xr:uid="{183A9DCD-D53A-45EE-B78A-210398992D4D}"/>
    <cellStyle name="Normal 11 2 2 3 10" xfId="8481" xr:uid="{ECFEA467-C33B-49DF-8523-937E99DF0BC6}"/>
    <cellStyle name="Normal 11 2 2 3 10 2" xfId="16861" xr:uid="{CCCAC595-D534-42A0-888D-D127F3710723}"/>
    <cellStyle name="Normal 11 2 2 3 10 2 2" xfId="33621" xr:uid="{BFFBFDF2-C9F4-44DD-A13F-555F25BA29C6}"/>
    <cellStyle name="Normal 11 2 2 3 10 2 3" xfId="50380" xr:uid="{1CB25CD9-9FE1-4776-9AD5-648C76073E3A}"/>
    <cellStyle name="Normal 11 2 2 3 10 3" xfId="25241" xr:uid="{A32CE15C-485A-42A8-9532-9102174739E7}"/>
    <cellStyle name="Normal 11 2 2 3 10 4" xfId="42000" xr:uid="{CBE969A4-1251-4C7D-91E0-B3CC4D2A734A}"/>
    <cellStyle name="Normal 11 2 2 3 11" xfId="2329" xr:uid="{750F8110-E340-42CB-8E6C-BB70A105F17D}"/>
    <cellStyle name="Normal 11 2 2 3 11 2" xfId="10711" xr:uid="{20501D06-1026-4531-B567-E8962E588BD8}"/>
    <cellStyle name="Normal 11 2 2 3 11 2 2" xfId="27471" xr:uid="{B8F7F6F2-0535-4FD6-AD02-33D496F7557F}"/>
    <cellStyle name="Normal 11 2 2 3 11 2 3" xfId="44230" xr:uid="{A086A54E-6C1B-4014-80E8-5AD77BB2CCF3}"/>
    <cellStyle name="Normal 11 2 2 3 11 3" xfId="19091" xr:uid="{EB26535D-0B71-47B5-81C0-3E91217835E9}"/>
    <cellStyle name="Normal 11 2 2 3 11 4" xfId="35850" xr:uid="{0C8622AC-30E0-45C4-8C13-5882F40BCFE7}"/>
    <cellStyle name="Normal 11 2 2 3 12" xfId="8908" xr:uid="{D6F34BE8-2546-4EFE-86AF-837D4359DADA}"/>
    <cellStyle name="Normal 11 2 2 3 12 2" xfId="25668" xr:uid="{25AEADC5-E320-4EDD-A10B-F232F4828777}"/>
    <cellStyle name="Normal 11 2 2 3 12 3" xfId="42427" xr:uid="{3D246435-DCE4-4080-9F68-0C41E5B71ED4}"/>
    <cellStyle name="Normal 11 2 2 3 13" xfId="17288" xr:uid="{0F6ABC09-A5B2-46E6-B342-3F42234CD62E}"/>
    <cellStyle name="Normal 11 2 2 3 14" xfId="34047" xr:uid="{D1455F92-94EB-47C8-B3B4-D5C03B5F5E94}"/>
    <cellStyle name="Normal 11 2 2 3 2" xfId="939" xr:uid="{FDFFED6A-92D5-4818-B072-4DEDA8D5E066}"/>
    <cellStyle name="Normal 11 2 2 3 2 2" xfId="4334" xr:uid="{D720A41F-779F-4C5A-802D-2049BA6FB034}"/>
    <cellStyle name="Normal 11 2 2 3 2 2 2" xfId="12714" xr:uid="{34725CAE-7CF5-4721-A499-F5BAA9834944}"/>
    <cellStyle name="Normal 11 2 2 3 2 2 2 2" xfId="29474" xr:uid="{CBC50593-5020-498E-A182-1A27AC607CF5}"/>
    <cellStyle name="Normal 11 2 2 3 2 2 2 3" xfId="46233" xr:uid="{FEBDDE6E-C989-49BB-B38B-B302B17F56DD}"/>
    <cellStyle name="Normal 11 2 2 3 2 2 3" xfId="21094" xr:uid="{7B268D64-9F98-4422-8F70-EC954805041F}"/>
    <cellStyle name="Normal 11 2 2 3 2 2 4" xfId="37853" xr:uid="{B6A80EF7-911A-4914-BF92-550D6FD795D6}"/>
    <cellStyle name="Normal 11 2 2 3 2 3" xfId="6021" xr:uid="{6D3BE4E3-CB0F-49F7-96B3-F0CBCC2C9821}"/>
    <cellStyle name="Normal 11 2 2 3 2 3 2" xfId="14401" xr:uid="{75B7F317-50EF-4730-8F95-DDC2645971CC}"/>
    <cellStyle name="Normal 11 2 2 3 2 3 2 2" xfId="31161" xr:uid="{ABD021DB-CBBF-4024-9BB0-2B04A88C38F3}"/>
    <cellStyle name="Normal 11 2 2 3 2 3 2 3" xfId="47920" xr:uid="{C813FBBE-6326-44B9-93B9-4BC139328631}"/>
    <cellStyle name="Normal 11 2 2 3 2 3 3" xfId="22781" xr:uid="{E4061B05-0218-4972-AD6A-9EE1255B4644}"/>
    <cellStyle name="Normal 11 2 2 3 2 3 4" xfId="39540" xr:uid="{2F009349-56E8-4D6F-B88F-03602A87E137}"/>
    <cellStyle name="Normal 11 2 2 3 2 4" xfId="2757" xr:uid="{C498E9BC-48FF-417A-9887-7347B55BDD74}"/>
    <cellStyle name="Normal 11 2 2 3 2 4 2" xfId="11137" xr:uid="{85E39EF0-036C-4993-8C16-4E6EF21B7BD8}"/>
    <cellStyle name="Normal 11 2 2 3 2 4 2 2" xfId="27897" xr:uid="{4975953B-4BBC-4FC8-BC27-DB7C281E9BE1}"/>
    <cellStyle name="Normal 11 2 2 3 2 4 2 3" xfId="44656" xr:uid="{3FCE8625-FA71-42CE-9F1E-9D8CF7BB8542}"/>
    <cellStyle name="Normal 11 2 2 3 2 4 3" xfId="19517" xr:uid="{239E063D-3C52-4461-9EFE-FBCB66254187}"/>
    <cellStyle name="Normal 11 2 2 3 2 4 4" xfId="36276" xr:uid="{AD5C94AF-1850-42F9-89CF-451B0DD4863E}"/>
    <cellStyle name="Normal 11 2 2 3 2 5" xfId="9334" xr:uid="{DA53CB16-9BC0-4B6C-8276-91FB9E612D96}"/>
    <cellStyle name="Normal 11 2 2 3 2 5 2" xfId="26094" xr:uid="{9E4B92AD-C832-4387-AA6E-562D9C2F236A}"/>
    <cellStyle name="Normal 11 2 2 3 2 5 3" xfId="42853" xr:uid="{0B8A6CEB-8FD8-4667-B6C1-DA87A7605C64}"/>
    <cellStyle name="Normal 11 2 2 3 2 6" xfId="17714" xr:uid="{E9C98C3C-0D40-49B5-BD7C-E26AE4520C3A}"/>
    <cellStyle name="Normal 11 2 2 3 2 7" xfId="34473" xr:uid="{AE4CCCCC-6118-47A8-8629-31AE7EA7757F}"/>
    <cellStyle name="Normal 11 2 2 3 3" xfId="1373" xr:uid="{F2CB6C5E-8834-4651-9EFD-7B8A35E4347B}"/>
    <cellStyle name="Normal 11 2 2 3 3 2" xfId="4762" xr:uid="{C81AAF81-5167-4694-A099-2BB14A7A5F27}"/>
    <cellStyle name="Normal 11 2 2 3 3 2 2" xfId="13142" xr:uid="{44854ECE-1D7B-4B13-8B6A-4ED1C1CA1FB3}"/>
    <cellStyle name="Normal 11 2 2 3 3 2 2 2" xfId="29902" xr:uid="{26D4255B-5583-4644-8AAB-FC6A48880DC9}"/>
    <cellStyle name="Normal 11 2 2 3 3 2 2 3" xfId="46661" xr:uid="{A7A2272C-7FC1-4DC1-BE68-D1C84337579B}"/>
    <cellStyle name="Normal 11 2 2 3 3 2 3" xfId="21522" xr:uid="{E48B53B7-0070-46F3-B29E-A572D88F64FA}"/>
    <cellStyle name="Normal 11 2 2 3 3 2 4" xfId="38281" xr:uid="{D62614EC-7CAC-4769-8AA6-0CD144C71998}"/>
    <cellStyle name="Normal 11 2 2 3 3 3" xfId="6449" xr:uid="{3F8BAD9A-166D-4412-BE97-04FCB52EF533}"/>
    <cellStyle name="Normal 11 2 2 3 3 3 2" xfId="14829" xr:uid="{FDAE60EB-B628-41E7-B1B3-E78581058A71}"/>
    <cellStyle name="Normal 11 2 2 3 3 3 2 2" xfId="31589" xr:uid="{1271061A-102F-4416-B3DB-5E640EC07299}"/>
    <cellStyle name="Normal 11 2 2 3 3 3 2 3" xfId="48348" xr:uid="{519B4A77-128E-4073-948C-AC81F8CAB1B7}"/>
    <cellStyle name="Normal 11 2 2 3 3 3 3" xfId="23209" xr:uid="{B0ED62EB-FE53-42B0-95E4-3B8784493F89}"/>
    <cellStyle name="Normal 11 2 2 3 3 3 4" xfId="39968" xr:uid="{6E96D16B-EEF3-420E-835C-9144777AE0E0}"/>
    <cellStyle name="Normal 11 2 2 3 3 4" xfId="3185" xr:uid="{C8280B4D-7785-4F7D-8A20-AADF0276C56C}"/>
    <cellStyle name="Normal 11 2 2 3 3 4 2" xfId="11565" xr:uid="{359BEEFC-059F-4E88-A5D4-F4C90D592012}"/>
    <cellStyle name="Normal 11 2 2 3 3 4 2 2" xfId="28325" xr:uid="{B5EC247C-A26E-418A-85C1-D4C8E853603D}"/>
    <cellStyle name="Normal 11 2 2 3 3 4 2 3" xfId="45084" xr:uid="{36465CD1-AEF7-4E96-A92F-366E99B21F3A}"/>
    <cellStyle name="Normal 11 2 2 3 3 4 3" xfId="19945" xr:uid="{CCC5814C-DF0A-4B87-983A-886CDBDF8320}"/>
    <cellStyle name="Normal 11 2 2 3 3 4 4" xfId="36704" xr:uid="{0899A184-A5B5-46A4-9487-0D157AC16474}"/>
    <cellStyle name="Normal 11 2 2 3 3 5" xfId="9762" xr:uid="{D86C1A68-5A8C-44DA-BC38-618DD8617007}"/>
    <cellStyle name="Normal 11 2 2 3 3 5 2" xfId="26522" xr:uid="{EA4F23D6-000F-4025-A5D6-D8904A6DFD61}"/>
    <cellStyle name="Normal 11 2 2 3 3 5 3" xfId="43281" xr:uid="{3E35A3BF-6D1C-4D3C-9B0C-88898769CC98}"/>
    <cellStyle name="Normal 11 2 2 3 3 6" xfId="18142" xr:uid="{AC80D868-D7CA-4443-BC67-F2EDC4243EF1}"/>
    <cellStyle name="Normal 11 2 2 3 3 7" xfId="34901" xr:uid="{C290EEE1-C3F6-4DB4-AA5A-C6F1C61599B3}"/>
    <cellStyle name="Normal 11 2 2 3 4" xfId="1781" xr:uid="{7B88CDC0-3717-42FA-9709-2E4545B7C114}"/>
    <cellStyle name="Normal 11 2 2 3 4 2" xfId="5170" xr:uid="{8BF57B8F-66CC-4A44-93DB-E55DACEEAFFE}"/>
    <cellStyle name="Normal 11 2 2 3 4 2 2" xfId="13550" xr:uid="{F34D35CB-4A4D-43C8-AB3A-888A0CC6F756}"/>
    <cellStyle name="Normal 11 2 2 3 4 2 2 2" xfId="30310" xr:uid="{32ADE964-BC17-4FDC-977E-582D21DF933F}"/>
    <cellStyle name="Normal 11 2 2 3 4 2 2 3" xfId="47069" xr:uid="{BC9BCC06-9C9B-4A06-86E3-C2B7E1499A63}"/>
    <cellStyle name="Normal 11 2 2 3 4 2 3" xfId="21930" xr:uid="{84B7C268-6754-4734-82FE-FCE6965AA86B}"/>
    <cellStyle name="Normal 11 2 2 3 4 2 4" xfId="38689" xr:uid="{BB843719-9A65-4C69-A3C7-3921EF04FC9B}"/>
    <cellStyle name="Normal 11 2 2 3 4 3" xfId="6857" xr:uid="{BF780ABB-3E1A-48AC-8788-2A15657FC5B4}"/>
    <cellStyle name="Normal 11 2 2 3 4 3 2" xfId="15237" xr:uid="{1BFF4560-0BE2-4932-8123-3A5F64677D1E}"/>
    <cellStyle name="Normal 11 2 2 3 4 3 2 2" xfId="31997" xr:uid="{E55090F6-BA19-4136-B1C9-69A79802DB32}"/>
    <cellStyle name="Normal 11 2 2 3 4 3 2 3" xfId="48756" xr:uid="{AB926FEC-5E6F-431C-B48B-C779F1D893B6}"/>
    <cellStyle name="Normal 11 2 2 3 4 3 3" xfId="23617" xr:uid="{D22551AE-D215-493C-AF62-19EEFA7DFB44}"/>
    <cellStyle name="Normal 11 2 2 3 4 3 4" xfId="40376" xr:uid="{8EC62845-2556-4BD0-9C14-3F2E16622BC5}"/>
    <cellStyle name="Normal 11 2 2 3 4 4" xfId="3481" xr:uid="{2E07340A-648A-4884-9DBA-5E2460D4E3EB}"/>
    <cellStyle name="Normal 11 2 2 3 4 4 2" xfId="11861" xr:uid="{076CE9F3-791E-4FCC-9F99-BFB8B040CD93}"/>
    <cellStyle name="Normal 11 2 2 3 4 4 2 2" xfId="28621" xr:uid="{E6A75E44-8211-44F5-891D-BF18C655430A}"/>
    <cellStyle name="Normal 11 2 2 3 4 4 2 3" xfId="45380" xr:uid="{04FF7A6D-A4D5-4247-94F5-DB8B7C177D92}"/>
    <cellStyle name="Normal 11 2 2 3 4 4 3" xfId="20241" xr:uid="{4FFE51E2-0735-4C82-BBCC-42F246CF5451}"/>
    <cellStyle name="Normal 11 2 2 3 4 4 4" xfId="37000" xr:uid="{497C1679-5CDF-42C7-BBCE-92C164DF0361}"/>
    <cellStyle name="Normal 11 2 2 3 4 5" xfId="10170" xr:uid="{F18A586D-EF90-462B-AF53-B06303AB917D}"/>
    <cellStyle name="Normal 11 2 2 3 4 5 2" xfId="26930" xr:uid="{61B0D799-E66E-4B12-9001-EFABE8512F26}"/>
    <cellStyle name="Normal 11 2 2 3 4 5 3" xfId="43689" xr:uid="{5A72B998-1134-4042-B779-4207338B75CB}"/>
    <cellStyle name="Normal 11 2 2 3 4 6" xfId="18550" xr:uid="{FEE0DB14-7E09-461F-9C0B-935E6426FE84}"/>
    <cellStyle name="Normal 11 2 2 3 4 7" xfId="35309" xr:uid="{CA0E1066-0921-451D-A622-1F881F90CEB0}"/>
    <cellStyle name="Normal 11 2 2 3 5" xfId="3900" xr:uid="{9B92D03D-49D8-491C-8389-AC8DEB68AB52}"/>
    <cellStyle name="Normal 11 2 2 3 5 2" xfId="12280" xr:uid="{A86A45FF-8753-4EC7-AE69-A3E9474122CB}"/>
    <cellStyle name="Normal 11 2 2 3 5 2 2" xfId="29040" xr:uid="{3392BFF0-C94F-4A59-A7F7-77B116AE86E5}"/>
    <cellStyle name="Normal 11 2 2 3 5 2 3" xfId="45799" xr:uid="{1F2E9FEB-1D36-458B-92E1-5BBE92262C8F}"/>
    <cellStyle name="Normal 11 2 2 3 5 3" xfId="20660" xr:uid="{F7959523-13E9-4163-A7A6-3B2C367B994A}"/>
    <cellStyle name="Normal 11 2 2 3 5 4" xfId="37419" xr:uid="{D8D38625-00E1-4E50-86F7-9EE06CF6D41A}"/>
    <cellStyle name="Normal 11 2 2 3 6" xfId="5595" xr:uid="{A1B58CEB-DB08-4F3C-88DE-5D7A02ABE467}"/>
    <cellStyle name="Normal 11 2 2 3 6 2" xfId="13975" xr:uid="{4A152A9B-3172-490C-88ED-25EEAB31415A}"/>
    <cellStyle name="Normal 11 2 2 3 6 2 2" xfId="30735" xr:uid="{2DEFDDC7-4627-4E15-A227-4B8FF4DDB139}"/>
    <cellStyle name="Normal 11 2 2 3 6 2 3" xfId="47494" xr:uid="{38F87CE7-3602-44E5-8A55-4E37C06550BA}"/>
    <cellStyle name="Normal 11 2 2 3 6 3" xfId="22355" xr:uid="{50040E18-954F-4BD9-B906-C5D9C3F40BA6}"/>
    <cellStyle name="Normal 11 2 2 3 6 4" xfId="39114" xr:uid="{051056DD-0603-4D1C-B400-C04DAC921FE6}"/>
    <cellStyle name="Normal 11 2 2 3 7" xfId="7263" xr:uid="{5C6D255F-FAF4-4E99-BA45-22A7281A654B}"/>
    <cellStyle name="Normal 11 2 2 3 7 2" xfId="15643" xr:uid="{36A28FB3-2483-4017-9FF4-246C09287F15}"/>
    <cellStyle name="Normal 11 2 2 3 7 2 2" xfId="32403" xr:uid="{755170A0-7734-4E98-B6B5-B0B4395DEFEC}"/>
    <cellStyle name="Normal 11 2 2 3 7 2 3" xfId="49162" xr:uid="{C2CE3DE0-FF9E-46AE-B704-2EB735935EAF}"/>
    <cellStyle name="Normal 11 2 2 3 7 3" xfId="24023" xr:uid="{2433285A-435E-42C6-B7A2-F232CE9F1772}"/>
    <cellStyle name="Normal 11 2 2 3 7 4" xfId="40782" xr:uid="{712E74FA-41ED-449F-925D-58A279CADBF4}"/>
    <cellStyle name="Normal 11 2 2 3 8" xfId="7669" xr:uid="{3C3E8EB2-E924-447D-94A2-63657C803370}"/>
    <cellStyle name="Normal 11 2 2 3 8 2" xfId="16049" xr:uid="{0C05A46A-6326-4B16-B0D9-720F00AB20F6}"/>
    <cellStyle name="Normal 11 2 2 3 8 2 2" xfId="32809" xr:uid="{F579AB58-BF99-4160-82A1-E727E9425C28}"/>
    <cellStyle name="Normal 11 2 2 3 8 2 3" xfId="49568" xr:uid="{B5503A3C-30CC-4F02-BFAD-777935B52033}"/>
    <cellStyle name="Normal 11 2 2 3 8 3" xfId="24429" xr:uid="{18367C28-9D1B-45CF-98BC-3EAEC19F2455}"/>
    <cellStyle name="Normal 11 2 2 3 8 4" xfId="41188" xr:uid="{BB8BE3B7-CC60-445E-A4C3-A8A58154F4C0}"/>
    <cellStyle name="Normal 11 2 2 3 9" xfId="8075" xr:uid="{5B545995-9A55-4F4E-8FAC-45AA9C5C2F99}"/>
    <cellStyle name="Normal 11 2 2 3 9 2" xfId="16455" xr:uid="{0F95004D-E54E-410A-95EE-A6184866C3DD}"/>
    <cellStyle name="Normal 11 2 2 3 9 2 2" xfId="33215" xr:uid="{82F92601-AAF0-4B5E-865F-D070237F6C69}"/>
    <cellStyle name="Normal 11 2 2 3 9 2 3" xfId="49974" xr:uid="{4AD7C5AF-AE98-4BB1-80CB-7FAFFD8644B3}"/>
    <cellStyle name="Normal 11 2 2 3 9 3" xfId="24835" xr:uid="{99A1EA05-C8A9-4F3A-A1D4-C4AAB1688E25}"/>
    <cellStyle name="Normal 11 2 2 3 9 4" xfId="41594" xr:uid="{0B25EC17-1F94-477E-9B60-4BFF51A19817}"/>
    <cellStyle name="Normal 11 2 2 4" xfId="498" xr:uid="{F7038372-28AE-4237-8504-0CE745DC9825}"/>
    <cellStyle name="Normal 11 2 2 4 10" xfId="8629" xr:uid="{9D55A372-E67A-4A53-BEDF-972584A0533B}"/>
    <cellStyle name="Normal 11 2 2 4 10 2" xfId="17009" xr:uid="{3F6569C8-C583-4720-9296-4E4A6DE489CC}"/>
    <cellStyle name="Normal 11 2 2 4 10 2 2" xfId="33769" xr:uid="{85304122-44F8-448B-94EB-146C8AFD6138}"/>
    <cellStyle name="Normal 11 2 2 4 10 2 3" xfId="50528" xr:uid="{89B0AB34-9243-4DAD-A6A9-B33D52449A55}"/>
    <cellStyle name="Normal 11 2 2 4 10 3" xfId="25389" xr:uid="{14B5C122-5F78-4231-B6D0-86AFC36CC8B2}"/>
    <cellStyle name="Normal 11 2 2 4 10 4" xfId="42148" xr:uid="{9AFE3C13-ECD2-40EF-9E0E-1D36CD2A142C}"/>
    <cellStyle name="Normal 11 2 2 4 11" xfId="2330" xr:uid="{E9008824-B4AC-4732-A446-035373871DA6}"/>
    <cellStyle name="Normal 11 2 2 4 11 2" xfId="10712" xr:uid="{39A7FEC6-0ABC-433F-9C7D-22F0D12E386B}"/>
    <cellStyle name="Normal 11 2 2 4 11 2 2" xfId="27472" xr:uid="{4FCD3E90-10CC-4A4A-994E-726362F87AFC}"/>
    <cellStyle name="Normal 11 2 2 4 11 2 3" xfId="44231" xr:uid="{BFD45F43-4278-4682-9847-636069121374}"/>
    <cellStyle name="Normal 11 2 2 4 11 3" xfId="19092" xr:uid="{D0CCB54E-2707-47BF-94EA-567B8CE5A43C}"/>
    <cellStyle name="Normal 11 2 2 4 11 4" xfId="35851" xr:uid="{D9594920-EA13-4E0F-9988-E5924B71CE23}"/>
    <cellStyle name="Normal 11 2 2 4 12" xfId="8909" xr:uid="{0AA936F8-F4FF-4848-8023-5D5F0E60E2C8}"/>
    <cellStyle name="Normal 11 2 2 4 12 2" xfId="25669" xr:uid="{7DF28AFA-002D-44C3-B5F7-AA4F899186E8}"/>
    <cellStyle name="Normal 11 2 2 4 12 3" xfId="42428" xr:uid="{F7660232-BDB0-450F-88E6-3FED7BAF3531}"/>
    <cellStyle name="Normal 11 2 2 4 13" xfId="17289" xr:uid="{54F27DA3-5443-4C2C-9F42-16682AC2D225}"/>
    <cellStyle name="Normal 11 2 2 4 14" xfId="34048" xr:uid="{FD4603EE-20A6-4B84-A7C9-89DAC2D0E681}"/>
    <cellStyle name="Normal 11 2 2 4 2" xfId="940" xr:uid="{451A4DC4-73E3-4A12-8AB9-78FFF756AC78}"/>
    <cellStyle name="Normal 11 2 2 4 2 2" xfId="4335" xr:uid="{B4708189-550C-4767-909E-1450298BAEDE}"/>
    <cellStyle name="Normal 11 2 2 4 2 2 2" xfId="12715" xr:uid="{16FE2B52-336D-467D-AC22-B75ED52C89FC}"/>
    <cellStyle name="Normal 11 2 2 4 2 2 2 2" xfId="29475" xr:uid="{2A0228D2-E9DF-44E7-B3BF-804980D3EBFE}"/>
    <cellStyle name="Normal 11 2 2 4 2 2 2 3" xfId="46234" xr:uid="{91AC3F16-2AB6-4643-817E-E80E69DBF38E}"/>
    <cellStyle name="Normal 11 2 2 4 2 2 3" xfId="21095" xr:uid="{E8A99163-ACB9-4C72-BDCD-DE71FBB6D7CF}"/>
    <cellStyle name="Normal 11 2 2 4 2 2 4" xfId="37854" xr:uid="{B18C136C-D818-467A-BD05-DBD0F317741D}"/>
    <cellStyle name="Normal 11 2 2 4 2 3" xfId="6022" xr:uid="{B56FC760-58C3-490E-B891-8BDC48ADAE6E}"/>
    <cellStyle name="Normal 11 2 2 4 2 3 2" xfId="14402" xr:uid="{47F0689A-1719-4EE6-A26F-7AACF818D1C6}"/>
    <cellStyle name="Normal 11 2 2 4 2 3 2 2" xfId="31162" xr:uid="{3BCC1C1A-A7EE-4C99-B83D-6734EFEB6D78}"/>
    <cellStyle name="Normal 11 2 2 4 2 3 2 3" xfId="47921" xr:uid="{7A8E7540-E5F7-4863-BAEC-9842FC1F4B56}"/>
    <cellStyle name="Normal 11 2 2 4 2 3 3" xfId="22782" xr:uid="{B5613BF5-A8C5-4FA9-942F-672F7FA93BF3}"/>
    <cellStyle name="Normal 11 2 2 4 2 3 4" xfId="39541" xr:uid="{E2D78D83-826B-4A22-9966-F96A1CFD8871}"/>
    <cellStyle name="Normal 11 2 2 4 2 4" xfId="2758" xr:uid="{F2B43109-AB0C-4F4E-A2A6-C6DA5A7DEE83}"/>
    <cellStyle name="Normal 11 2 2 4 2 4 2" xfId="11138" xr:uid="{339CDC03-7898-45FA-A68D-EB4328EF461B}"/>
    <cellStyle name="Normal 11 2 2 4 2 4 2 2" xfId="27898" xr:uid="{2E5E0CC2-D696-434F-845E-607E1ECC7E26}"/>
    <cellStyle name="Normal 11 2 2 4 2 4 2 3" xfId="44657" xr:uid="{118547BE-4FDC-4AFA-B0C5-2C1477E8C321}"/>
    <cellStyle name="Normal 11 2 2 4 2 4 3" xfId="19518" xr:uid="{12CC4C79-AB04-4220-AB26-FCDBF6AA7EFD}"/>
    <cellStyle name="Normal 11 2 2 4 2 4 4" xfId="36277" xr:uid="{B1BC08A5-8736-4A59-A8AD-A08B456D132F}"/>
    <cellStyle name="Normal 11 2 2 4 2 5" xfId="9335" xr:uid="{9E08F6E3-5C62-4B41-BB96-08CD66A9559F}"/>
    <cellStyle name="Normal 11 2 2 4 2 5 2" xfId="26095" xr:uid="{5E520B0D-1F5C-44ED-A507-FBFCA2E313E0}"/>
    <cellStyle name="Normal 11 2 2 4 2 5 3" xfId="42854" xr:uid="{20002EB2-3E38-4298-9FB7-5826BA2F5DF5}"/>
    <cellStyle name="Normal 11 2 2 4 2 6" xfId="17715" xr:uid="{AB2B3560-BC4C-4C18-B8E4-80EA73D9F723}"/>
    <cellStyle name="Normal 11 2 2 4 2 7" xfId="34474" xr:uid="{3EEA3FC6-5C6F-40F9-AF35-059EA09F0113}"/>
    <cellStyle name="Normal 11 2 2 4 3" xfId="1374" xr:uid="{4A19A284-5F5B-4AE4-8E44-15CA69DD671F}"/>
    <cellStyle name="Normal 11 2 2 4 3 2" xfId="4763" xr:uid="{937BFB3D-82FD-4F7B-B0B2-5D5DC54867DA}"/>
    <cellStyle name="Normal 11 2 2 4 3 2 2" xfId="13143" xr:uid="{4FD006EB-DFAB-41CA-9067-3260D8AF7C03}"/>
    <cellStyle name="Normal 11 2 2 4 3 2 2 2" xfId="29903" xr:uid="{DC5F6711-D068-4252-8EFB-ED94A07EF275}"/>
    <cellStyle name="Normal 11 2 2 4 3 2 2 3" xfId="46662" xr:uid="{A8E7C99C-DDF7-4F17-B8A4-C34B2A0F51FC}"/>
    <cellStyle name="Normal 11 2 2 4 3 2 3" xfId="21523" xr:uid="{840870B5-5423-4A62-A53D-58A9E4698DFC}"/>
    <cellStyle name="Normal 11 2 2 4 3 2 4" xfId="38282" xr:uid="{694CED3C-0D89-460D-85DA-08DE31B4777D}"/>
    <cellStyle name="Normal 11 2 2 4 3 3" xfId="6450" xr:uid="{9CFB4DDC-874B-4C42-B29B-BFE71EE85E2B}"/>
    <cellStyle name="Normal 11 2 2 4 3 3 2" xfId="14830" xr:uid="{F0EE2F38-70D8-4CDA-8C34-3C0A13F5EB6E}"/>
    <cellStyle name="Normal 11 2 2 4 3 3 2 2" xfId="31590" xr:uid="{056F8F39-B515-47D3-9FA6-CDE7B2B4F782}"/>
    <cellStyle name="Normal 11 2 2 4 3 3 2 3" xfId="48349" xr:uid="{4FF34ED0-9EC5-49F3-9EEE-039FC5340B3D}"/>
    <cellStyle name="Normal 11 2 2 4 3 3 3" xfId="23210" xr:uid="{10702F2C-81BB-4AB0-A139-18AFCC365346}"/>
    <cellStyle name="Normal 11 2 2 4 3 3 4" xfId="39969" xr:uid="{E05B7379-842A-449E-A587-92906E2EC832}"/>
    <cellStyle name="Normal 11 2 2 4 3 4" xfId="3186" xr:uid="{1063C8C8-5FDB-4396-84AC-02CDD473833A}"/>
    <cellStyle name="Normal 11 2 2 4 3 4 2" xfId="11566" xr:uid="{E685115F-38DD-4151-B889-6B176221F53F}"/>
    <cellStyle name="Normal 11 2 2 4 3 4 2 2" xfId="28326" xr:uid="{3DBA39C7-54F3-4535-8457-15B3316020F2}"/>
    <cellStyle name="Normal 11 2 2 4 3 4 2 3" xfId="45085" xr:uid="{F4D3F9C0-9858-4187-BC0C-EF7EAFC09E9A}"/>
    <cellStyle name="Normal 11 2 2 4 3 4 3" xfId="19946" xr:uid="{B4061D97-6F1F-458D-8984-4F8DFAADFC01}"/>
    <cellStyle name="Normal 11 2 2 4 3 4 4" xfId="36705" xr:uid="{7C343B29-5B77-49B8-A329-4D1CFD7D20E7}"/>
    <cellStyle name="Normal 11 2 2 4 3 5" xfId="9763" xr:uid="{C4C68915-963B-4C21-AC06-D242D1AE3193}"/>
    <cellStyle name="Normal 11 2 2 4 3 5 2" xfId="26523" xr:uid="{D4ADA29D-1F1E-4122-8B81-CFEA2DC4733D}"/>
    <cellStyle name="Normal 11 2 2 4 3 5 3" xfId="43282" xr:uid="{9C56E56B-696F-4F74-9C76-D810FD75CDE3}"/>
    <cellStyle name="Normal 11 2 2 4 3 6" xfId="18143" xr:uid="{27EC2294-232D-42CC-94CD-2D3C93D2017F}"/>
    <cellStyle name="Normal 11 2 2 4 3 7" xfId="34902" xr:uid="{259F9D7B-4D85-4953-B126-DB2EE72D3551}"/>
    <cellStyle name="Normal 11 2 2 4 4" xfId="1929" xr:uid="{12FF81E2-34F8-4967-A74E-6ACD54AC2165}"/>
    <cellStyle name="Normal 11 2 2 4 4 2" xfId="5318" xr:uid="{8C61B85B-923B-44EF-99F8-D800D8A5558A}"/>
    <cellStyle name="Normal 11 2 2 4 4 2 2" xfId="13698" xr:uid="{92FDAAFC-F47D-4672-A590-D664BCB269B1}"/>
    <cellStyle name="Normal 11 2 2 4 4 2 2 2" xfId="30458" xr:uid="{28F99586-E235-4CEC-B300-F2384EBBF821}"/>
    <cellStyle name="Normal 11 2 2 4 4 2 2 3" xfId="47217" xr:uid="{23345F59-060F-4389-BDC7-D7E003FC8D7D}"/>
    <cellStyle name="Normal 11 2 2 4 4 2 3" xfId="22078" xr:uid="{7813279B-324B-4EA7-B16F-DD9014BEF7BB}"/>
    <cellStyle name="Normal 11 2 2 4 4 2 4" xfId="38837" xr:uid="{BD31A280-2D7A-4590-B92F-12961ADB8B01}"/>
    <cellStyle name="Normal 11 2 2 4 4 3" xfId="7005" xr:uid="{070C4EE2-696D-4D36-AF24-043FF16C7605}"/>
    <cellStyle name="Normal 11 2 2 4 4 3 2" xfId="15385" xr:uid="{FFA5A7EB-E8B4-4E84-8AB9-059EB2D09617}"/>
    <cellStyle name="Normal 11 2 2 4 4 3 2 2" xfId="32145" xr:uid="{59D72635-DF89-4D72-BDA8-4C75334CC076}"/>
    <cellStyle name="Normal 11 2 2 4 4 3 2 3" xfId="48904" xr:uid="{257BA6BE-657B-4DD1-9865-2B201B36EAD7}"/>
    <cellStyle name="Normal 11 2 2 4 4 3 3" xfId="23765" xr:uid="{D3DD62A0-E400-4D45-9BF3-64B156CAF28D}"/>
    <cellStyle name="Normal 11 2 2 4 4 3 4" xfId="40524" xr:uid="{AA1FBC15-68FD-46EF-85EB-A3E78F51F35D}"/>
    <cellStyle name="Normal 11 2 2 4 4 4" xfId="3628" xr:uid="{0677C65B-F2A8-4EA0-A33C-FAB4D37B6C82}"/>
    <cellStyle name="Normal 11 2 2 4 4 4 2" xfId="12008" xr:uid="{5CE3BFB9-24DA-4EFE-A208-6785857786F3}"/>
    <cellStyle name="Normal 11 2 2 4 4 4 2 2" xfId="28768" xr:uid="{F0E5A6A1-8099-48AF-A1A1-391C312FD392}"/>
    <cellStyle name="Normal 11 2 2 4 4 4 2 3" xfId="45527" xr:uid="{4008868A-E2C4-4380-BA61-8D57D4796ED8}"/>
    <cellStyle name="Normal 11 2 2 4 4 4 3" xfId="20388" xr:uid="{439C08D4-517C-4C53-8CF1-891509BCFC25}"/>
    <cellStyle name="Normal 11 2 2 4 4 4 4" xfId="37147" xr:uid="{C1BD4019-DEFC-42BE-8D83-B960FFB1C75A}"/>
    <cellStyle name="Normal 11 2 2 4 4 5" xfId="10318" xr:uid="{DB44822D-6864-4F7D-9AB3-AB2EE222A916}"/>
    <cellStyle name="Normal 11 2 2 4 4 5 2" xfId="27078" xr:uid="{8D696527-5DB6-4718-A723-FD4826A9C0BF}"/>
    <cellStyle name="Normal 11 2 2 4 4 5 3" xfId="43837" xr:uid="{53FC845B-3CED-47EE-816B-6EBDFBAB6C4F}"/>
    <cellStyle name="Normal 11 2 2 4 4 6" xfId="18698" xr:uid="{5CAF7F1F-6EA1-4F07-B397-DF1BACD96864}"/>
    <cellStyle name="Normal 11 2 2 4 4 7" xfId="35457" xr:uid="{B08F1174-7675-445D-A110-BBBCAB339189}"/>
    <cellStyle name="Normal 11 2 2 4 5" xfId="4048" xr:uid="{644F6E38-93EE-4F36-A64A-697B83735CDB}"/>
    <cellStyle name="Normal 11 2 2 4 5 2" xfId="12428" xr:uid="{70A0866A-311A-4058-9F53-D6072CF68295}"/>
    <cellStyle name="Normal 11 2 2 4 5 2 2" xfId="29188" xr:uid="{287BBF82-8660-47F1-8C4D-CE50D999FE9D}"/>
    <cellStyle name="Normal 11 2 2 4 5 2 3" xfId="45947" xr:uid="{F971F054-60AE-40EF-912D-35686BB74DAE}"/>
    <cellStyle name="Normal 11 2 2 4 5 3" xfId="20808" xr:uid="{0563AD07-878C-477B-96F9-F2BB9324584E}"/>
    <cellStyle name="Normal 11 2 2 4 5 4" xfId="37567" xr:uid="{096C62BD-CA20-4BD9-A05E-533DA7304FBA}"/>
    <cellStyle name="Normal 11 2 2 4 6" xfId="5596" xr:uid="{3E944BF3-1C49-4CA1-95B3-23878349FCEF}"/>
    <cellStyle name="Normal 11 2 2 4 6 2" xfId="13976" xr:uid="{EAE33E04-0668-4FE5-8C70-3FF40DFE1FF8}"/>
    <cellStyle name="Normal 11 2 2 4 6 2 2" xfId="30736" xr:uid="{A58FBF9F-7F31-4B4E-9452-79BF37E2A551}"/>
    <cellStyle name="Normal 11 2 2 4 6 2 3" xfId="47495" xr:uid="{D92E33AC-D5C3-43B0-853C-76F5F46CF94B}"/>
    <cellStyle name="Normal 11 2 2 4 6 3" xfId="22356" xr:uid="{898BCA15-7B69-44A0-9FFF-3E5D9E8F6FBE}"/>
    <cellStyle name="Normal 11 2 2 4 6 4" xfId="39115" xr:uid="{E710BD19-5BDE-45B4-A02D-132304D68C03}"/>
    <cellStyle name="Normal 11 2 2 4 7" xfId="7411" xr:uid="{36D4383E-2D50-4005-AE3B-9A664C812157}"/>
    <cellStyle name="Normal 11 2 2 4 7 2" xfId="15791" xr:uid="{2B8A3FAB-9481-46F5-B003-0F1D9E47F851}"/>
    <cellStyle name="Normal 11 2 2 4 7 2 2" xfId="32551" xr:uid="{E3D558DB-B87C-4E50-A710-54F3E33B7FA0}"/>
    <cellStyle name="Normal 11 2 2 4 7 2 3" xfId="49310" xr:uid="{AF6C2DCE-6603-4403-9474-A5879C37DB14}"/>
    <cellStyle name="Normal 11 2 2 4 7 3" xfId="24171" xr:uid="{982F6C5A-E350-417D-880C-CD5FFDF7C607}"/>
    <cellStyle name="Normal 11 2 2 4 7 4" xfId="40930" xr:uid="{2FB7C8AD-D6DE-4335-834A-CBE24B1533F7}"/>
    <cellStyle name="Normal 11 2 2 4 8" xfId="7817" xr:uid="{30E3B384-B0C2-4743-B7C5-5B6A9EA3FE00}"/>
    <cellStyle name="Normal 11 2 2 4 8 2" xfId="16197" xr:uid="{DCE43830-6480-4CF2-B12A-57635D97E0DE}"/>
    <cellStyle name="Normal 11 2 2 4 8 2 2" xfId="32957" xr:uid="{BAA34AAF-6E00-4C7C-845B-533EA7554013}"/>
    <cellStyle name="Normal 11 2 2 4 8 2 3" xfId="49716" xr:uid="{F4371791-1EB7-4BEF-84F6-A77563378F85}"/>
    <cellStyle name="Normal 11 2 2 4 8 3" xfId="24577" xr:uid="{A003101D-7D65-4B9B-A7E3-BCB9771C0E65}"/>
    <cellStyle name="Normal 11 2 2 4 8 4" xfId="41336" xr:uid="{0513897E-6C5C-441D-9BFD-A08D2E42FA67}"/>
    <cellStyle name="Normal 11 2 2 4 9" xfId="8223" xr:uid="{4298DD2C-7AFA-4C83-A02F-4A86A2F7E4D9}"/>
    <cellStyle name="Normal 11 2 2 4 9 2" xfId="16603" xr:uid="{63420018-221D-45A3-981C-62AE8400D9D4}"/>
    <cellStyle name="Normal 11 2 2 4 9 2 2" xfId="33363" xr:uid="{F3BA7C5D-3C80-4A04-9AB9-30E7F516206B}"/>
    <cellStyle name="Normal 11 2 2 4 9 2 3" xfId="50122" xr:uid="{445873BE-55DD-445F-A416-B7F1066AF3F4}"/>
    <cellStyle name="Normal 11 2 2 4 9 3" xfId="24983" xr:uid="{A05EC909-C4ED-44FC-90C5-283EE9CE70CF}"/>
    <cellStyle name="Normal 11 2 2 4 9 4" xfId="41742" xr:uid="{3AA79F4D-D3B8-45E0-80D6-CB1CBAA3E832}"/>
    <cellStyle name="Normal 11 2 2 5" xfId="800" xr:uid="{47EFDD60-3A6D-4897-A377-A09FF9B1EF45}"/>
    <cellStyle name="Normal 11 2 2 5 2" xfId="4195" xr:uid="{F436AE18-58B9-42C2-9957-56CEE7554315}"/>
    <cellStyle name="Normal 11 2 2 5 2 2" xfId="12575" xr:uid="{2F65E047-FAFE-4DAA-81F8-106B5BC5FBE9}"/>
    <cellStyle name="Normal 11 2 2 5 2 2 2" xfId="29335" xr:uid="{99BB75CB-A706-45D8-A5A6-EF8EDCD011F9}"/>
    <cellStyle name="Normal 11 2 2 5 2 2 3" xfId="46094" xr:uid="{E50B7A5D-9DA1-4976-9D1E-648077C1394B}"/>
    <cellStyle name="Normal 11 2 2 5 2 3" xfId="20955" xr:uid="{FCC70AEA-C3F3-417D-B7E8-93CEE4265C09}"/>
    <cellStyle name="Normal 11 2 2 5 2 4" xfId="37714" xr:uid="{A521F045-56BE-4284-B099-31B86B9DB9CD}"/>
    <cellStyle name="Normal 11 2 2 5 3" xfId="5882" xr:uid="{47A1268E-64AC-4B44-A49A-80331F0E6B22}"/>
    <cellStyle name="Normal 11 2 2 5 3 2" xfId="14262" xr:uid="{AD7D5D42-9E78-497B-B3A9-15BED7872DF1}"/>
    <cellStyle name="Normal 11 2 2 5 3 2 2" xfId="31022" xr:uid="{D0B76B21-659A-441E-BC38-3A30A07836B8}"/>
    <cellStyle name="Normal 11 2 2 5 3 2 3" xfId="47781" xr:uid="{C92C9ECD-9C4F-442C-A511-5F690E0E9737}"/>
    <cellStyle name="Normal 11 2 2 5 3 3" xfId="22642" xr:uid="{DAE59EF0-BA3C-4E23-BA86-B147D6F75BA6}"/>
    <cellStyle name="Normal 11 2 2 5 3 4" xfId="39401" xr:uid="{996EE74B-A55F-49E3-A893-4965BAEB9DBA}"/>
    <cellStyle name="Normal 11 2 2 5 4" xfId="2618" xr:uid="{2C22FFA5-C86D-4F2F-ACAE-4670D98B8447}"/>
    <cellStyle name="Normal 11 2 2 5 4 2" xfId="10998" xr:uid="{B0A9CAD6-2DA8-4299-B7FA-EE281B9BB607}"/>
    <cellStyle name="Normal 11 2 2 5 4 2 2" xfId="27758" xr:uid="{90A8D8A5-89E5-42DC-954D-ECF204242690}"/>
    <cellStyle name="Normal 11 2 2 5 4 2 3" xfId="44517" xr:uid="{CFBD49B0-F6BA-46DC-AE25-0337220479A8}"/>
    <cellStyle name="Normal 11 2 2 5 4 3" xfId="19378" xr:uid="{9CD166F9-168C-432F-97BF-9177733AAB8D}"/>
    <cellStyle name="Normal 11 2 2 5 4 4" xfId="36137" xr:uid="{4197543E-F1A1-4175-987A-EBF8874BD65C}"/>
    <cellStyle name="Normal 11 2 2 5 5" xfId="9195" xr:uid="{33C9230E-76B9-4F21-82EA-37425CB82735}"/>
    <cellStyle name="Normal 11 2 2 5 5 2" xfId="25955" xr:uid="{B61954E0-97BE-46F6-A2F9-3AE646FB05C7}"/>
    <cellStyle name="Normal 11 2 2 5 5 3" xfId="42714" xr:uid="{42A54A9B-B2A7-47B4-AC20-2E697E1BDCEC}"/>
    <cellStyle name="Normal 11 2 2 5 6" xfId="17575" xr:uid="{15BF0CB2-7BD1-47E4-B563-C36DD9826928}"/>
    <cellStyle name="Normal 11 2 2 5 7" xfId="34334" xr:uid="{5DEF93A8-EACA-44B7-BEE7-929F2F039377}"/>
    <cellStyle name="Normal 11 2 2 6" xfId="1234" xr:uid="{6D157C5A-CFCD-4036-86EE-9A5183FECC93}"/>
    <cellStyle name="Normal 11 2 2 6 2" xfId="4623" xr:uid="{01EC2C07-02F9-4EB1-A9F6-9AE5EC16538E}"/>
    <cellStyle name="Normal 11 2 2 6 2 2" xfId="13003" xr:uid="{195BDEFD-7BD6-4DA0-B4E4-FAAEA3E49173}"/>
    <cellStyle name="Normal 11 2 2 6 2 2 2" xfId="29763" xr:uid="{EBB698BB-6EC5-442A-9121-B09A085E6A02}"/>
    <cellStyle name="Normal 11 2 2 6 2 2 3" xfId="46522" xr:uid="{0BADACC0-350C-48B4-AFAE-213F31BF68E4}"/>
    <cellStyle name="Normal 11 2 2 6 2 3" xfId="21383" xr:uid="{03A43340-18CA-460D-A7F9-11CBCE25B979}"/>
    <cellStyle name="Normal 11 2 2 6 2 4" xfId="38142" xr:uid="{AAB82C53-873E-44D8-8BC8-5C8B255A3756}"/>
    <cellStyle name="Normal 11 2 2 6 3" xfId="6310" xr:uid="{4C1192D1-D71C-4BC4-9673-A5BBB7525F35}"/>
    <cellStyle name="Normal 11 2 2 6 3 2" xfId="14690" xr:uid="{0633EFB0-C1DF-4545-9EBF-EC05292A3BE3}"/>
    <cellStyle name="Normal 11 2 2 6 3 2 2" xfId="31450" xr:uid="{6D4137C8-D656-476C-8A97-DFB3D378E15D}"/>
    <cellStyle name="Normal 11 2 2 6 3 2 3" xfId="48209" xr:uid="{2BAD1D3C-C5F2-441D-9D40-6E0656183E0B}"/>
    <cellStyle name="Normal 11 2 2 6 3 3" xfId="23070" xr:uid="{64A0AAB0-CBAD-4950-9FF2-CA52A0544DB2}"/>
    <cellStyle name="Normal 11 2 2 6 3 4" xfId="39829" xr:uid="{BB601472-AEFA-417F-A098-D035F0AF0D4F}"/>
    <cellStyle name="Normal 11 2 2 6 4" xfId="3046" xr:uid="{E01AA012-06A6-44AF-B053-A4CA8D4290CF}"/>
    <cellStyle name="Normal 11 2 2 6 4 2" xfId="11426" xr:uid="{8FEEF677-E036-41E1-B37E-3BC08EEB4B3A}"/>
    <cellStyle name="Normal 11 2 2 6 4 2 2" xfId="28186" xr:uid="{444C0610-F8C8-4EF5-AE75-E6513934BEE3}"/>
    <cellStyle name="Normal 11 2 2 6 4 2 3" xfId="44945" xr:uid="{2DBA0851-EBB6-4D65-807C-BA463BB89240}"/>
    <cellStyle name="Normal 11 2 2 6 4 3" xfId="19806" xr:uid="{6FA86950-A76F-4D14-9049-A51C003D8174}"/>
    <cellStyle name="Normal 11 2 2 6 4 4" xfId="36565" xr:uid="{CABF9032-80F2-451D-B4EA-1018BCC31E71}"/>
    <cellStyle name="Normal 11 2 2 6 5" xfId="9623" xr:uid="{512E3BB9-07DC-4126-93CF-E178CDCAB941}"/>
    <cellStyle name="Normal 11 2 2 6 5 2" xfId="26383" xr:uid="{78237F63-3F81-45D6-9704-B949971EA9B6}"/>
    <cellStyle name="Normal 11 2 2 6 5 3" xfId="43142" xr:uid="{5CA8F1F7-4B80-42A3-87CD-9F7707597A54}"/>
    <cellStyle name="Normal 11 2 2 6 6" xfId="18003" xr:uid="{643C2569-6EBD-4033-9E60-705B515BDD02}"/>
    <cellStyle name="Normal 11 2 2 6 7" xfId="34762" xr:uid="{E1F4F0E2-1AAB-4C66-A195-5809C5FB4758}"/>
    <cellStyle name="Normal 11 2 2 7" xfId="1658" xr:uid="{3EAC3230-4AB6-46D0-B312-A845DBBE17B5}"/>
    <cellStyle name="Normal 11 2 2 7 2" xfId="5047" xr:uid="{E86E18B7-7C1C-4ECC-84B4-1814C048F75D}"/>
    <cellStyle name="Normal 11 2 2 7 2 2" xfId="13427" xr:uid="{D8F9F33F-14B8-4F4A-8486-568331343B3F}"/>
    <cellStyle name="Normal 11 2 2 7 2 2 2" xfId="30187" xr:uid="{D6157358-914B-4527-B526-AFEB571A0A20}"/>
    <cellStyle name="Normal 11 2 2 7 2 2 3" xfId="46946" xr:uid="{F3D8A3EC-6BE1-4704-AF2B-E815948A9497}"/>
    <cellStyle name="Normal 11 2 2 7 2 3" xfId="21807" xr:uid="{DD9344C6-37EC-4364-87BD-E127395C0FDA}"/>
    <cellStyle name="Normal 11 2 2 7 2 4" xfId="38566" xr:uid="{D7D43261-700F-4AFC-A36F-FF9E68C62032}"/>
    <cellStyle name="Normal 11 2 2 7 3" xfId="6734" xr:uid="{648F6B3F-A8FD-4972-BB82-B731F233342D}"/>
    <cellStyle name="Normal 11 2 2 7 3 2" xfId="15114" xr:uid="{8823C453-DF91-4C0B-8E1E-313C2B0295B2}"/>
    <cellStyle name="Normal 11 2 2 7 3 2 2" xfId="31874" xr:uid="{6535F0B6-A1DA-481F-AD1B-D1D5C5E91459}"/>
    <cellStyle name="Normal 11 2 2 7 3 2 3" xfId="48633" xr:uid="{CE54377A-587B-4776-8A1C-04387919D8C2}"/>
    <cellStyle name="Normal 11 2 2 7 3 3" xfId="23494" xr:uid="{7BB53712-E9B6-4F7F-BF67-FC949F8A3ADA}"/>
    <cellStyle name="Normal 11 2 2 7 3 4" xfId="40253" xr:uid="{BC54D390-ADD9-4556-A3FF-D25B26BE75CC}"/>
    <cellStyle name="Normal 11 2 2 7 4" xfId="2185" xr:uid="{F8D8F684-8D9D-4B22-BD47-135FCFB8CD79}"/>
    <cellStyle name="Normal 11 2 2 7 4 2" xfId="10572" xr:uid="{684CC88C-EDE3-4B68-B0C2-AB09434AF6A7}"/>
    <cellStyle name="Normal 11 2 2 7 4 2 2" xfId="27332" xr:uid="{CC1DFD95-337C-4DD7-81A8-90ADEB333EB3}"/>
    <cellStyle name="Normal 11 2 2 7 4 2 3" xfId="44091" xr:uid="{5AC64752-E307-4ECE-BCB8-166D022ED4E8}"/>
    <cellStyle name="Normal 11 2 2 7 4 3" xfId="18952" xr:uid="{4A61B5A6-588F-42C8-87C6-66FB63783EFD}"/>
    <cellStyle name="Normal 11 2 2 7 4 4" xfId="35711" xr:uid="{DE12B481-2827-4715-BB26-66C6F89C1BBC}"/>
    <cellStyle name="Normal 11 2 2 7 5" xfId="10047" xr:uid="{0FDE2759-341B-48F4-8D64-DBC0FFC30132}"/>
    <cellStyle name="Normal 11 2 2 7 5 2" xfId="26807" xr:uid="{80EFBC08-9811-4930-971C-C371CAB6DC44}"/>
    <cellStyle name="Normal 11 2 2 7 5 3" xfId="43566" xr:uid="{83DDFE87-6306-4DBF-8254-3BA9FD87AD68}"/>
    <cellStyle name="Normal 11 2 2 7 6" xfId="18427" xr:uid="{642154F0-9405-40C8-9F47-D48D22BB5C9D}"/>
    <cellStyle name="Normal 11 2 2 7 7" xfId="35186" xr:uid="{A66250FB-E3FE-45A2-8675-9DD1DD7C5A2E}"/>
    <cellStyle name="Normal 11 2 2 8" xfId="3776" xr:uid="{E69949A3-0407-4323-882A-942C3677A53A}"/>
    <cellStyle name="Normal 11 2 2 8 2" xfId="12156" xr:uid="{414A8E70-7877-4528-918F-CC5DE5DC2DF0}"/>
    <cellStyle name="Normal 11 2 2 8 2 2" xfId="28916" xr:uid="{AF7D08E2-9A8D-4B0C-8F4C-FA571C42517D}"/>
    <cellStyle name="Normal 11 2 2 8 2 3" xfId="45675" xr:uid="{A7F2BFBD-181C-4A25-9454-10D09418AC03}"/>
    <cellStyle name="Normal 11 2 2 8 3" xfId="20536" xr:uid="{5815C34E-F07B-4D9F-87B3-4042AF63AE5D}"/>
    <cellStyle name="Normal 11 2 2 8 4" xfId="37295" xr:uid="{2336711E-4594-4B0A-A816-BC072EFFA638}"/>
    <cellStyle name="Normal 11 2 2 9" xfId="5456" xr:uid="{1728C92A-7721-4A30-BE9F-9A44716246D3}"/>
    <cellStyle name="Normal 11 2 2 9 2" xfId="13836" xr:uid="{BEDC6A43-790A-4C30-BBF6-3DB9DE711E19}"/>
    <cellStyle name="Normal 11 2 2 9 2 2" xfId="30596" xr:uid="{5BBF4491-0C10-4740-88C6-47550C3499E0}"/>
    <cellStyle name="Normal 11 2 2 9 2 3" xfId="47355" xr:uid="{C13ED831-31DC-4502-BAAF-D2C3F09C8A3F}"/>
    <cellStyle name="Normal 11 2 2 9 3" xfId="22216" xr:uid="{BDAE6895-CDA3-44E5-9411-11008C0FF704}"/>
    <cellStyle name="Normal 11 2 2 9 4" xfId="38975" xr:uid="{8C4C1855-4570-48D3-A3BB-4E4E717A2624}"/>
    <cellStyle name="Normal 11 2 20" xfId="33880" xr:uid="{D74CCD42-48B7-48E9-9DDA-FE46D79FF73F}"/>
    <cellStyle name="Normal 11 2 21" xfId="267" xr:uid="{4393C42D-B08F-44B0-887C-93CA6DBE17D2}"/>
    <cellStyle name="Normal 11 2 3" xfId="351" xr:uid="{DAE05668-7357-4F9F-96E3-B8469F336F46}"/>
    <cellStyle name="Normal 11 2 3 10" xfId="7547" xr:uid="{77336B38-D07E-4FAF-8B42-8B30D4EAAF67}"/>
    <cellStyle name="Normal 11 2 3 10 2" xfId="15927" xr:uid="{FD4EF2D3-840E-4D55-98B2-C6DF36DAA74B}"/>
    <cellStyle name="Normal 11 2 3 10 2 2" xfId="32687" xr:uid="{09E1ADFD-6172-416C-B01F-0A40414265F0}"/>
    <cellStyle name="Normal 11 2 3 10 2 3" xfId="49446" xr:uid="{CE912FF0-1423-48FE-97B5-B658B01B9DD1}"/>
    <cellStyle name="Normal 11 2 3 10 3" xfId="24307" xr:uid="{4426F882-6668-42FC-ABCB-492256A56A75}"/>
    <cellStyle name="Normal 11 2 3 10 4" xfId="41066" xr:uid="{E780FA0B-8253-48BE-BBAC-24D7ACDB11A1}"/>
    <cellStyle name="Normal 11 2 3 11" xfId="7953" xr:uid="{15E22124-B6AC-4F01-A6AE-88BC6CD8A63C}"/>
    <cellStyle name="Normal 11 2 3 11 2" xfId="16333" xr:uid="{F3722337-F2DB-4476-9B97-67303EABB802}"/>
    <cellStyle name="Normal 11 2 3 11 2 2" xfId="33093" xr:uid="{00D90E0A-18E7-4A7E-9E1C-324F58AB8B84}"/>
    <cellStyle name="Normal 11 2 3 11 2 3" xfId="49852" xr:uid="{88BFEF69-A0D5-42A3-BE9E-D6BC95FC02C8}"/>
    <cellStyle name="Normal 11 2 3 11 3" xfId="24713" xr:uid="{77983021-88AC-43C2-AFFF-688E5F84990F}"/>
    <cellStyle name="Normal 11 2 3 11 4" xfId="41472" xr:uid="{148E5DF8-6E44-4FA1-BC4D-2859D5EDC429}"/>
    <cellStyle name="Normal 11 2 3 12" xfId="8359" xr:uid="{8B0F821A-075A-4D53-8F47-551E0479CEAC}"/>
    <cellStyle name="Normal 11 2 3 12 2" xfId="16739" xr:uid="{979F2742-2EE4-45D5-BBB9-0EC4DD5FBDCF}"/>
    <cellStyle name="Normal 11 2 3 12 2 2" xfId="33499" xr:uid="{8AB65B76-7120-4645-9BBE-FABA560933A5}"/>
    <cellStyle name="Normal 11 2 3 12 2 3" xfId="50258" xr:uid="{AF7A4EA2-8E6D-4828-865B-BE8829ED4AEA}"/>
    <cellStyle name="Normal 11 2 3 12 3" xfId="25119" xr:uid="{5978BA69-446A-46F9-84C6-F3311EBE9723}"/>
    <cellStyle name="Normal 11 2 3 12 4" xfId="41878" xr:uid="{52BFF548-A465-4239-80F7-7AC28B81D3A0}"/>
    <cellStyle name="Normal 11 2 3 13" xfId="2081" xr:uid="{5683CCE4-5D29-4CED-985E-AAE38DAE31DC}"/>
    <cellStyle name="Normal 11 2 3 13 2" xfId="10469" xr:uid="{D709B7F6-EFB7-44A8-A6C5-4D29C2B8322A}"/>
    <cellStyle name="Normal 11 2 3 13 2 2" xfId="27229" xr:uid="{0EC1A181-CCD1-436C-B92D-CAEED72B73CE}"/>
    <cellStyle name="Normal 11 2 3 13 2 3" xfId="43988" xr:uid="{33FBB71F-3F8C-4092-B246-B29DEE94BB94}"/>
    <cellStyle name="Normal 11 2 3 13 3" xfId="18849" xr:uid="{E70F561F-8817-4967-911A-6E9D21FB2C11}"/>
    <cellStyle name="Normal 11 2 3 13 4" xfId="35608" xr:uid="{026ED366-0D05-4E6A-9F26-65D2CF9CDBDA}"/>
    <cellStyle name="Normal 11 2 3 14" xfId="8815" xr:uid="{A223E123-7991-43C5-8453-21AB28F185DA}"/>
    <cellStyle name="Normal 11 2 3 14 2" xfId="25575" xr:uid="{A7459D6B-B217-459E-8EC3-37F4935EA213}"/>
    <cellStyle name="Normal 11 2 3 14 3" xfId="42334" xr:uid="{B7ECEABB-1ED0-4046-BCA8-0376DB6D2851}"/>
    <cellStyle name="Normal 11 2 3 15" xfId="17195" xr:uid="{5D458079-3B01-45D0-9EBF-941B23727A50}"/>
    <cellStyle name="Normal 11 2 3 16" xfId="33954" xr:uid="{23D2E6EB-AD8E-4ED9-9FF9-DC041D9C6ED4}"/>
    <cellStyle name="Normal 11 2 3 2" xfId="499" xr:uid="{99C51851-DA46-4C06-8F65-A6D9A9E9FE64}"/>
    <cellStyle name="Normal 11 2 3 2 10" xfId="8483" xr:uid="{71723980-1C87-458C-993A-DB9A4730B12A}"/>
    <cellStyle name="Normal 11 2 3 2 10 2" xfId="16863" xr:uid="{7C69684F-3701-47BE-B597-5D40EC7F0390}"/>
    <cellStyle name="Normal 11 2 3 2 10 2 2" xfId="33623" xr:uid="{DCD69D68-AF6A-41FF-9EAA-981A07A50FEC}"/>
    <cellStyle name="Normal 11 2 3 2 10 2 3" xfId="50382" xr:uid="{49CB1B8F-998B-41FC-AE9F-26408E219BD3}"/>
    <cellStyle name="Normal 11 2 3 2 10 3" xfId="25243" xr:uid="{555EE1EF-FEBB-45CD-9FA7-675156FB6DB7}"/>
    <cellStyle name="Normal 11 2 3 2 10 4" xfId="42002" xr:uid="{947739C4-AEF5-42B4-B10D-4439A65C9D68}"/>
    <cellStyle name="Normal 11 2 3 2 11" xfId="2331" xr:uid="{FBA9771C-2B2A-4E06-A038-CAAC1992F2F1}"/>
    <cellStyle name="Normal 11 2 3 2 11 2" xfId="10713" xr:uid="{C3A4165F-082D-49B2-A949-E9DB5C1AA7DE}"/>
    <cellStyle name="Normal 11 2 3 2 11 2 2" xfId="27473" xr:uid="{E45F2E9E-0184-48B1-9BF6-EA904FAC645A}"/>
    <cellStyle name="Normal 11 2 3 2 11 2 3" xfId="44232" xr:uid="{3F8CF054-EDB3-4CBF-B2EB-25BF2D7BB770}"/>
    <cellStyle name="Normal 11 2 3 2 11 3" xfId="19093" xr:uid="{86341764-DECA-4D36-A427-BCEC4E1660AB}"/>
    <cellStyle name="Normal 11 2 3 2 11 4" xfId="35852" xr:uid="{6C44B626-19A9-4C53-888F-8D7F6753500E}"/>
    <cellStyle name="Normal 11 2 3 2 12" xfId="8910" xr:uid="{0D727B50-E572-4050-89DA-5100905D3A68}"/>
    <cellStyle name="Normal 11 2 3 2 12 2" xfId="25670" xr:uid="{EA66C511-2826-4D0C-B053-6830D3093698}"/>
    <cellStyle name="Normal 11 2 3 2 12 3" xfId="42429" xr:uid="{D42E31EF-A747-4D6A-A431-3FE53909C5CD}"/>
    <cellStyle name="Normal 11 2 3 2 13" xfId="17290" xr:uid="{3ACF1DDC-7D3F-4BCC-BD7E-6598A8501C35}"/>
    <cellStyle name="Normal 11 2 3 2 14" xfId="34049" xr:uid="{44C5DD7E-71B6-4852-99D9-A4E6B6841B06}"/>
    <cellStyle name="Normal 11 2 3 2 2" xfId="941" xr:uid="{ABADD930-0B87-4F27-8DCF-67CB98E9CF7C}"/>
    <cellStyle name="Normal 11 2 3 2 2 2" xfId="4336" xr:uid="{BC1369DC-CBB8-4D8C-BF4A-03D118F3F44F}"/>
    <cellStyle name="Normal 11 2 3 2 2 2 2" xfId="12716" xr:uid="{916B4CB0-FBA1-4927-9DBD-D4513EF6FFA6}"/>
    <cellStyle name="Normal 11 2 3 2 2 2 2 2" xfId="29476" xr:uid="{488B583C-0294-4EF6-9168-C16D5C22FBFB}"/>
    <cellStyle name="Normal 11 2 3 2 2 2 2 3" xfId="46235" xr:uid="{BB21FDC6-90EC-413A-94A6-BE88DCB1CA4E}"/>
    <cellStyle name="Normal 11 2 3 2 2 2 3" xfId="21096" xr:uid="{95FAD840-3F78-40E6-B5E4-805BD80042CF}"/>
    <cellStyle name="Normal 11 2 3 2 2 2 4" xfId="37855" xr:uid="{EB4DBD68-7E96-4206-8124-0E91657B3A89}"/>
    <cellStyle name="Normal 11 2 3 2 2 3" xfId="6023" xr:uid="{7FA53506-12DE-4550-80C7-E599D76E7FB5}"/>
    <cellStyle name="Normal 11 2 3 2 2 3 2" xfId="14403" xr:uid="{84F5D3C9-59A7-4F50-8F22-3AC3409FE7D3}"/>
    <cellStyle name="Normal 11 2 3 2 2 3 2 2" xfId="31163" xr:uid="{5E679B7B-B15F-4FDF-A72E-0FD0557AD870}"/>
    <cellStyle name="Normal 11 2 3 2 2 3 2 3" xfId="47922" xr:uid="{45B4E4FB-62A8-4B40-9107-CDA373B7424E}"/>
    <cellStyle name="Normal 11 2 3 2 2 3 3" xfId="22783" xr:uid="{B0C3EDF7-4154-4976-B39B-0C2EE5342FF6}"/>
    <cellStyle name="Normal 11 2 3 2 2 3 4" xfId="39542" xr:uid="{494331E4-3F96-4CFD-861E-0FDB7CA87E5E}"/>
    <cellStyle name="Normal 11 2 3 2 2 4" xfId="2759" xr:uid="{22389EFE-2111-4E97-B5A0-DB999748A8BC}"/>
    <cellStyle name="Normal 11 2 3 2 2 4 2" xfId="11139" xr:uid="{D2047216-06F6-49AB-823C-732548BE7CAE}"/>
    <cellStyle name="Normal 11 2 3 2 2 4 2 2" xfId="27899" xr:uid="{B6D945A7-2F23-4332-BB68-CFFD60C636F5}"/>
    <cellStyle name="Normal 11 2 3 2 2 4 2 3" xfId="44658" xr:uid="{47F00673-75FC-4ABA-AED8-02BA4C605FF6}"/>
    <cellStyle name="Normal 11 2 3 2 2 4 3" xfId="19519" xr:uid="{86A2BD8D-6A55-4632-9ECB-D2A702035C48}"/>
    <cellStyle name="Normal 11 2 3 2 2 4 4" xfId="36278" xr:uid="{580ECA91-5B65-43C7-9C9E-644FC399D9B3}"/>
    <cellStyle name="Normal 11 2 3 2 2 5" xfId="9336" xr:uid="{C947F128-F0F3-4FBB-A6F5-27F0CC485E27}"/>
    <cellStyle name="Normal 11 2 3 2 2 5 2" xfId="26096" xr:uid="{0A67A7F2-6F1C-46BC-8B75-4F4C513AD8C8}"/>
    <cellStyle name="Normal 11 2 3 2 2 5 3" xfId="42855" xr:uid="{CCDA78A1-8A1E-4ABD-A0E0-11DA8B2C24A7}"/>
    <cellStyle name="Normal 11 2 3 2 2 6" xfId="17716" xr:uid="{560BFACC-819F-4664-87BC-6B408C171706}"/>
    <cellStyle name="Normal 11 2 3 2 2 7" xfId="34475" xr:uid="{1C7B2993-D3C6-43AF-9A7B-B6439BCB5199}"/>
    <cellStyle name="Normal 11 2 3 2 3" xfId="1375" xr:uid="{1B23D792-1A51-4982-BD2C-A26A4F8E52F0}"/>
    <cellStyle name="Normal 11 2 3 2 3 2" xfId="4764" xr:uid="{62A761A8-16B2-49B4-B14D-A8812148F8CB}"/>
    <cellStyle name="Normal 11 2 3 2 3 2 2" xfId="13144" xr:uid="{60F57E0C-C23F-4943-BD30-C9CAEE820386}"/>
    <cellStyle name="Normal 11 2 3 2 3 2 2 2" xfId="29904" xr:uid="{BF05F67C-5699-4362-A2DF-25A99192D6DA}"/>
    <cellStyle name="Normal 11 2 3 2 3 2 2 3" xfId="46663" xr:uid="{1DCB1DD0-238D-4E65-9A1A-84CA654F1F5C}"/>
    <cellStyle name="Normal 11 2 3 2 3 2 3" xfId="21524" xr:uid="{0CDDE41F-6353-4D93-BE42-594644A68A05}"/>
    <cellStyle name="Normal 11 2 3 2 3 2 4" xfId="38283" xr:uid="{D5CCC997-6FCA-4609-8505-A50DC7D1F9B8}"/>
    <cellStyle name="Normal 11 2 3 2 3 3" xfId="6451" xr:uid="{D668FF8E-00FA-4741-AC11-3D75C604C148}"/>
    <cellStyle name="Normal 11 2 3 2 3 3 2" xfId="14831" xr:uid="{8C04CF76-7F0E-41B8-9A02-218188CD0CF9}"/>
    <cellStyle name="Normal 11 2 3 2 3 3 2 2" xfId="31591" xr:uid="{61F73605-11BC-484E-ABAF-CEFBFBBFDA89}"/>
    <cellStyle name="Normal 11 2 3 2 3 3 2 3" xfId="48350" xr:uid="{02C80A3F-14BA-4C6F-9654-6400425C7DCC}"/>
    <cellStyle name="Normal 11 2 3 2 3 3 3" xfId="23211" xr:uid="{45648B1E-D36B-4B10-A050-8499B96F465D}"/>
    <cellStyle name="Normal 11 2 3 2 3 3 4" xfId="39970" xr:uid="{8BDED87A-507E-4493-83A6-4632429E79A3}"/>
    <cellStyle name="Normal 11 2 3 2 3 4" xfId="3187" xr:uid="{3AB52226-3D1B-4CE0-B57F-FA2B727CB8E3}"/>
    <cellStyle name="Normal 11 2 3 2 3 4 2" xfId="11567" xr:uid="{90356D83-145B-474C-B01D-D1F5EF54D925}"/>
    <cellStyle name="Normal 11 2 3 2 3 4 2 2" xfId="28327" xr:uid="{7B2F82DF-CBCC-4259-ABFC-26BF7C44AC73}"/>
    <cellStyle name="Normal 11 2 3 2 3 4 2 3" xfId="45086" xr:uid="{A6477FB6-477B-4028-99B0-EC69EE19ADC6}"/>
    <cellStyle name="Normal 11 2 3 2 3 4 3" xfId="19947" xr:uid="{9395C1C3-BDCF-474F-AFE7-0014A02E77D4}"/>
    <cellStyle name="Normal 11 2 3 2 3 4 4" xfId="36706" xr:uid="{97762465-DC36-419F-A375-D0423F41EC08}"/>
    <cellStyle name="Normal 11 2 3 2 3 5" xfId="9764" xr:uid="{67168DF6-CA13-481B-A8DF-D6C8D0C5995F}"/>
    <cellStyle name="Normal 11 2 3 2 3 5 2" xfId="26524" xr:uid="{F40C0B3D-6685-477A-A84C-26333342F2C7}"/>
    <cellStyle name="Normal 11 2 3 2 3 5 3" xfId="43283" xr:uid="{D21A2F7C-9DAA-4DAD-A41D-30AB64B6824B}"/>
    <cellStyle name="Normal 11 2 3 2 3 6" xfId="18144" xr:uid="{286D4AB7-388F-4159-8012-94A0795EABDD}"/>
    <cellStyle name="Normal 11 2 3 2 3 7" xfId="34903" xr:uid="{AE5788FE-9C83-4EDD-9D5F-BD1584E6963F}"/>
    <cellStyle name="Normal 11 2 3 2 4" xfId="1783" xr:uid="{2C232994-A2B2-4B6C-A50F-A49E5D0A2EB7}"/>
    <cellStyle name="Normal 11 2 3 2 4 2" xfId="5172" xr:uid="{B1353F44-D0A9-412D-A1A8-63296B8B3A44}"/>
    <cellStyle name="Normal 11 2 3 2 4 2 2" xfId="13552" xr:uid="{9D80D5CC-468E-478F-9D19-8C4F264B374E}"/>
    <cellStyle name="Normal 11 2 3 2 4 2 2 2" xfId="30312" xr:uid="{110F85A7-B4E9-43E5-85E3-656BEC5F7B2A}"/>
    <cellStyle name="Normal 11 2 3 2 4 2 2 3" xfId="47071" xr:uid="{9737A70E-05C6-4B72-8773-DD5298FE523C}"/>
    <cellStyle name="Normal 11 2 3 2 4 2 3" xfId="21932" xr:uid="{EF30E7C3-9F22-486A-9396-C351B03B0AF8}"/>
    <cellStyle name="Normal 11 2 3 2 4 2 4" xfId="38691" xr:uid="{58767410-E934-4F99-8E8F-9AC9E0F63F5D}"/>
    <cellStyle name="Normal 11 2 3 2 4 3" xfId="6859" xr:uid="{2D551196-6B75-4180-B7D5-39B53D9896A8}"/>
    <cellStyle name="Normal 11 2 3 2 4 3 2" xfId="15239" xr:uid="{225452FC-2C84-4511-817B-986E186E5BF2}"/>
    <cellStyle name="Normal 11 2 3 2 4 3 2 2" xfId="31999" xr:uid="{7E4419B2-BAEE-49ED-A890-352753D68C9A}"/>
    <cellStyle name="Normal 11 2 3 2 4 3 2 3" xfId="48758" xr:uid="{16583CC8-3F77-49B3-B473-B9EEDB532722}"/>
    <cellStyle name="Normal 11 2 3 2 4 3 3" xfId="23619" xr:uid="{157A18F3-98C0-4E30-B1FB-AEE9D6F36A18}"/>
    <cellStyle name="Normal 11 2 3 2 4 3 4" xfId="40378" xr:uid="{C8E9917C-0893-4490-8F3B-4013F1923527}"/>
    <cellStyle name="Normal 11 2 3 2 4 4" xfId="3483" xr:uid="{1F8A9B31-A38D-4F2B-A697-023DC001895E}"/>
    <cellStyle name="Normal 11 2 3 2 4 4 2" xfId="11863" xr:uid="{C922963D-C79C-4978-B6AC-4B33CEF30556}"/>
    <cellStyle name="Normal 11 2 3 2 4 4 2 2" xfId="28623" xr:uid="{03C4DCBB-D87D-4631-BABD-8632CE82F7CA}"/>
    <cellStyle name="Normal 11 2 3 2 4 4 2 3" xfId="45382" xr:uid="{D7841468-FC0B-455D-A5A7-3F6D6198B007}"/>
    <cellStyle name="Normal 11 2 3 2 4 4 3" xfId="20243" xr:uid="{551E78AC-13FB-4881-833A-E1E06812BCEA}"/>
    <cellStyle name="Normal 11 2 3 2 4 4 4" xfId="37002" xr:uid="{E43C7F0B-FF48-44E0-90A4-808BFD0A48B8}"/>
    <cellStyle name="Normal 11 2 3 2 4 5" xfId="10172" xr:uid="{1ADE465F-81C5-4FD7-A1EE-B4A15269E0EB}"/>
    <cellStyle name="Normal 11 2 3 2 4 5 2" xfId="26932" xr:uid="{8B23068F-91E7-4C78-8FC3-2643A1907873}"/>
    <cellStyle name="Normal 11 2 3 2 4 5 3" xfId="43691" xr:uid="{38913855-12CC-41DB-9AFC-9DD496908340}"/>
    <cellStyle name="Normal 11 2 3 2 4 6" xfId="18552" xr:uid="{974DE9BF-4C9E-4D97-9ACD-D760637AF3FE}"/>
    <cellStyle name="Normal 11 2 3 2 4 7" xfId="35311" xr:uid="{908E88F0-2B58-4EB8-9314-3BF78231E36A}"/>
    <cellStyle name="Normal 11 2 3 2 5" xfId="3902" xr:uid="{59C42C77-2A6F-4E1A-B824-0BE5E906DE3F}"/>
    <cellStyle name="Normal 11 2 3 2 5 2" xfId="12282" xr:uid="{181740BD-1139-421C-88B8-1A3225444840}"/>
    <cellStyle name="Normal 11 2 3 2 5 2 2" xfId="29042" xr:uid="{08EEECEB-AF73-47A4-8BD8-335D6636C330}"/>
    <cellStyle name="Normal 11 2 3 2 5 2 3" xfId="45801" xr:uid="{0E6523F1-5844-4DDC-B0F1-367F0BD1F315}"/>
    <cellStyle name="Normal 11 2 3 2 5 3" xfId="20662" xr:uid="{50FC75D1-16CB-4C3D-A910-D3AC14887CCF}"/>
    <cellStyle name="Normal 11 2 3 2 5 4" xfId="37421" xr:uid="{478CE208-F7FD-4C4C-AD0D-AC1EEF992ED3}"/>
    <cellStyle name="Normal 11 2 3 2 6" xfId="5597" xr:uid="{F745276F-9811-4EB1-9D4B-4D0DA6BB71C8}"/>
    <cellStyle name="Normal 11 2 3 2 6 2" xfId="13977" xr:uid="{94F00FC4-4D67-47E9-9848-DC810750CE6D}"/>
    <cellStyle name="Normal 11 2 3 2 6 2 2" xfId="30737" xr:uid="{D5BE7A17-1E43-4270-96DB-0821D9E2CB81}"/>
    <cellStyle name="Normal 11 2 3 2 6 2 3" xfId="47496" xr:uid="{65C5D914-6B82-41DB-B569-881E5AA64443}"/>
    <cellStyle name="Normal 11 2 3 2 6 3" xfId="22357" xr:uid="{BAEAFE49-447D-4C5A-B511-A38573913E82}"/>
    <cellStyle name="Normal 11 2 3 2 6 4" xfId="39116" xr:uid="{3463601C-7D43-4AB7-8AED-7373E3D78A26}"/>
    <cellStyle name="Normal 11 2 3 2 7" xfId="7265" xr:uid="{B30D54B5-A364-4C84-9704-E02BFD3517C2}"/>
    <cellStyle name="Normal 11 2 3 2 7 2" xfId="15645" xr:uid="{93FAAAED-3903-4E45-984A-E53B3517EE0B}"/>
    <cellStyle name="Normal 11 2 3 2 7 2 2" xfId="32405" xr:uid="{65238C15-5D2F-4259-B5FD-4F6287C3C27F}"/>
    <cellStyle name="Normal 11 2 3 2 7 2 3" xfId="49164" xr:uid="{63E61CC7-88D5-4FCF-8559-0BAA446DB1BF}"/>
    <cellStyle name="Normal 11 2 3 2 7 3" xfId="24025" xr:uid="{9BDECF46-24A0-442B-A907-A4808E91EC3F}"/>
    <cellStyle name="Normal 11 2 3 2 7 4" xfId="40784" xr:uid="{0180DB79-7B6A-4F90-B198-618B4FDB1B7C}"/>
    <cellStyle name="Normal 11 2 3 2 8" xfId="7671" xr:uid="{CD97DD37-9414-4EDB-ACDB-48B5EE43ED8C}"/>
    <cellStyle name="Normal 11 2 3 2 8 2" xfId="16051" xr:uid="{49E2CF01-411C-4947-B21C-38C756B67570}"/>
    <cellStyle name="Normal 11 2 3 2 8 2 2" xfId="32811" xr:uid="{9975FD49-847B-45F3-831E-98C97F8FB8A4}"/>
    <cellStyle name="Normal 11 2 3 2 8 2 3" xfId="49570" xr:uid="{A10615F6-1C88-4E3A-B422-74D10A69C765}"/>
    <cellStyle name="Normal 11 2 3 2 8 3" xfId="24431" xr:uid="{608867D0-6EB4-4463-ADC4-179189FC49A2}"/>
    <cellStyle name="Normal 11 2 3 2 8 4" xfId="41190" xr:uid="{2D88137E-D0C7-41D1-B0F9-3D5D86C3A6C6}"/>
    <cellStyle name="Normal 11 2 3 2 9" xfId="8077" xr:uid="{158F8F1A-EA6E-4F65-83D3-7A32595C61A1}"/>
    <cellStyle name="Normal 11 2 3 2 9 2" xfId="16457" xr:uid="{C4C3CA65-9415-402C-A669-0581899C5175}"/>
    <cellStyle name="Normal 11 2 3 2 9 2 2" xfId="33217" xr:uid="{51BCC189-1141-4854-A7C8-D7C052E0FBF2}"/>
    <cellStyle name="Normal 11 2 3 2 9 2 3" xfId="49976" xr:uid="{2622FF98-25BB-43BE-8724-E38571534C9B}"/>
    <cellStyle name="Normal 11 2 3 2 9 3" xfId="24837" xr:uid="{632C75A9-3ACD-477A-98FB-F34AF5EE6BD7}"/>
    <cellStyle name="Normal 11 2 3 2 9 4" xfId="41596" xr:uid="{CBC563DD-84CB-45F7-8843-7E68841A8849}"/>
    <cellStyle name="Normal 11 2 3 3" xfId="500" xr:uid="{63B70345-10C2-456D-9DAF-FBDEB18B4787}"/>
    <cellStyle name="Normal 11 2 3 3 10" xfId="8630" xr:uid="{3D4AC702-D43D-426C-9D4B-E3D28D9B8FCB}"/>
    <cellStyle name="Normal 11 2 3 3 10 2" xfId="17010" xr:uid="{1AB5EAB8-ABA6-4381-80F9-3C3C6E65A4C7}"/>
    <cellStyle name="Normal 11 2 3 3 10 2 2" xfId="33770" xr:uid="{FBC6D80B-D3A9-4CD7-A9A7-33C39DB39FAB}"/>
    <cellStyle name="Normal 11 2 3 3 10 2 3" xfId="50529" xr:uid="{150FDFD6-20C9-4DB2-9A0A-81CDD380B4B3}"/>
    <cellStyle name="Normal 11 2 3 3 10 3" xfId="25390" xr:uid="{D0E791CA-17E6-4486-A15F-91DA7F6F9867}"/>
    <cellStyle name="Normal 11 2 3 3 10 4" xfId="42149" xr:uid="{FAB24563-E69D-4526-B830-4653F4D3A8C0}"/>
    <cellStyle name="Normal 11 2 3 3 11" xfId="2332" xr:uid="{211D5C31-F997-4ED4-9365-EB9A34800B5A}"/>
    <cellStyle name="Normal 11 2 3 3 11 2" xfId="10714" xr:uid="{900C175F-FBE8-4082-91F0-3D08CC3E14B3}"/>
    <cellStyle name="Normal 11 2 3 3 11 2 2" xfId="27474" xr:uid="{456AB993-3E06-429B-811D-C75E4C3362C2}"/>
    <cellStyle name="Normal 11 2 3 3 11 2 3" xfId="44233" xr:uid="{9FAEFF83-D83F-4641-85E5-552A3321FA2A}"/>
    <cellStyle name="Normal 11 2 3 3 11 3" xfId="19094" xr:uid="{89FBE640-143C-4C2C-B98C-4BB4C933CF32}"/>
    <cellStyle name="Normal 11 2 3 3 11 4" xfId="35853" xr:uid="{BBC4DC01-A14C-42C1-8645-887A4EC37A9F}"/>
    <cellStyle name="Normal 11 2 3 3 12" xfId="8911" xr:uid="{D6546D63-8ACA-4262-8BA9-54EE13E06ABF}"/>
    <cellStyle name="Normal 11 2 3 3 12 2" xfId="25671" xr:uid="{6C73868E-A7E3-40C1-ADF2-601EEC022444}"/>
    <cellStyle name="Normal 11 2 3 3 12 3" xfId="42430" xr:uid="{C59B3767-DCC8-4B25-9DCB-66CFB56DE7C7}"/>
    <cellStyle name="Normal 11 2 3 3 13" xfId="17291" xr:uid="{CE83FA68-C57C-4C83-8452-4F9A6D64FE4F}"/>
    <cellStyle name="Normal 11 2 3 3 14" xfId="34050" xr:uid="{B5CB432F-A336-4E05-8855-2543E13CB135}"/>
    <cellStyle name="Normal 11 2 3 3 2" xfId="942" xr:uid="{54D3ED78-86C6-4D48-A195-3E9B1B0002FE}"/>
    <cellStyle name="Normal 11 2 3 3 2 2" xfId="4337" xr:uid="{15B3579B-29AB-460E-8523-41A8929B7C17}"/>
    <cellStyle name="Normal 11 2 3 3 2 2 2" xfId="12717" xr:uid="{80D5C3BD-8688-47F7-B8C1-A3316C98FC1B}"/>
    <cellStyle name="Normal 11 2 3 3 2 2 2 2" xfId="29477" xr:uid="{E2BCA80C-98D0-43FB-87AB-3256158C7323}"/>
    <cellStyle name="Normal 11 2 3 3 2 2 2 3" xfId="46236" xr:uid="{ACF1C008-A074-4271-B9CD-FFEAFDA2C765}"/>
    <cellStyle name="Normal 11 2 3 3 2 2 3" xfId="21097" xr:uid="{965C72E3-E734-4785-BDA5-64872DA3E855}"/>
    <cellStyle name="Normal 11 2 3 3 2 2 4" xfId="37856" xr:uid="{0F26CDC3-BEA9-48F4-A00D-602A20B9141C}"/>
    <cellStyle name="Normal 11 2 3 3 2 3" xfId="6024" xr:uid="{1162C153-C741-4107-9513-FA4281BE8E31}"/>
    <cellStyle name="Normal 11 2 3 3 2 3 2" xfId="14404" xr:uid="{5D15C195-B8DD-41E1-A666-9F7648BDB085}"/>
    <cellStyle name="Normal 11 2 3 3 2 3 2 2" xfId="31164" xr:uid="{9B4C0387-C647-40CD-A322-02AD30AD7A5F}"/>
    <cellStyle name="Normal 11 2 3 3 2 3 2 3" xfId="47923" xr:uid="{AC8C26E4-D691-4657-A1EB-AC7F5D2D1B4C}"/>
    <cellStyle name="Normal 11 2 3 3 2 3 3" xfId="22784" xr:uid="{E9572C30-F922-4CCE-966B-7A56D1A21B1D}"/>
    <cellStyle name="Normal 11 2 3 3 2 3 4" xfId="39543" xr:uid="{B51F6C97-309C-44A2-B4F3-E4CCABFB73C4}"/>
    <cellStyle name="Normal 11 2 3 3 2 4" xfId="2760" xr:uid="{DD99C66B-7A60-4508-B959-6642AD946646}"/>
    <cellStyle name="Normal 11 2 3 3 2 4 2" xfId="11140" xr:uid="{A7B9075F-FDDE-4C48-8526-73DEDC90EB70}"/>
    <cellStyle name="Normal 11 2 3 3 2 4 2 2" xfId="27900" xr:uid="{472CA5EA-3820-4CF9-9D33-B2A19EF8906B}"/>
    <cellStyle name="Normal 11 2 3 3 2 4 2 3" xfId="44659" xr:uid="{E57B6348-EECC-4F30-A18E-71F40948020A}"/>
    <cellStyle name="Normal 11 2 3 3 2 4 3" xfId="19520" xr:uid="{1A714973-0E78-4A33-8302-6680E81D020C}"/>
    <cellStyle name="Normal 11 2 3 3 2 4 4" xfId="36279" xr:uid="{51E4C3A5-D126-4AF9-93AE-09CC159B4B27}"/>
    <cellStyle name="Normal 11 2 3 3 2 5" xfId="9337" xr:uid="{8A5EB06F-07D6-4172-9F4E-EF9B0A18FCDA}"/>
    <cellStyle name="Normal 11 2 3 3 2 5 2" xfId="26097" xr:uid="{9A6DD016-5512-4EE2-AB98-D5AC61A1F1FA}"/>
    <cellStyle name="Normal 11 2 3 3 2 5 3" xfId="42856" xr:uid="{87FBFE35-9C40-4A5B-80F7-919D6CFB5F22}"/>
    <cellStyle name="Normal 11 2 3 3 2 6" xfId="17717" xr:uid="{FDC06A1F-AC30-451E-911D-519064C583DB}"/>
    <cellStyle name="Normal 11 2 3 3 2 7" xfId="34476" xr:uid="{8084963F-335C-4F2D-892A-BB77B7C0945E}"/>
    <cellStyle name="Normal 11 2 3 3 3" xfId="1376" xr:uid="{12506A9C-BFD4-4F97-9750-B195AFA1C8DB}"/>
    <cellStyle name="Normal 11 2 3 3 3 2" xfId="4765" xr:uid="{4A31ADC3-3C2E-456C-BA17-32F2D98E5F20}"/>
    <cellStyle name="Normal 11 2 3 3 3 2 2" xfId="13145" xr:uid="{5350E6CA-CCF4-4063-8502-4D9D7A9AAD78}"/>
    <cellStyle name="Normal 11 2 3 3 3 2 2 2" xfId="29905" xr:uid="{BA063580-A278-4586-BD3C-FD175E187009}"/>
    <cellStyle name="Normal 11 2 3 3 3 2 2 3" xfId="46664" xr:uid="{280B4739-9C1F-48E3-BD55-B891E5543610}"/>
    <cellStyle name="Normal 11 2 3 3 3 2 3" xfId="21525" xr:uid="{9F8770A4-96BA-42AA-A4AD-25856B7F0B7F}"/>
    <cellStyle name="Normal 11 2 3 3 3 2 4" xfId="38284" xr:uid="{B94AF556-D71A-4D3D-8EFA-D67B36FE50DF}"/>
    <cellStyle name="Normal 11 2 3 3 3 3" xfId="6452" xr:uid="{8829AAC3-D789-4CF0-9D31-BDACCCAB3CDD}"/>
    <cellStyle name="Normal 11 2 3 3 3 3 2" xfId="14832" xr:uid="{8020F774-39A3-4465-9209-C8951B437AF8}"/>
    <cellStyle name="Normal 11 2 3 3 3 3 2 2" xfId="31592" xr:uid="{28F61791-154A-4ECF-8B0D-8A8BF6D80AC2}"/>
    <cellStyle name="Normal 11 2 3 3 3 3 2 3" xfId="48351" xr:uid="{E00F2C27-9C92-4B75-8B52-1D2F3B7360BD}"/>
    <cellStyle name="Normal 11 2 3 3 3 3 3" xfId="23212" xr:uid="{7C89030E-E249-46A0-A968-4620BFEF7A0D}"/>
    <cellStyle name="Normal 11 2 3 3 3 3 4" xfId="39971" xr:uid="{1DCC2919-8248-4235-B038-B524B4538F4F}"/>
    <cellStyle name="Normal 11 2 3 3 3 4" xfId="3188" xr:uid="{002CD214-CD0E-45F5-B4F7-4B5276DE0D3A}"/>
    <cellStyle name="Normal 11 2 3 3 3 4 2" xfId="11568" xr:uid="{6FF746C7-EEB7-469F-85CD-7D6C569B3439}"/>
    <cellStyle name="Normal 11 2 3 3 3 4 2 2" xfId="28328" xr:uid="{EFEAAC24-E5C0-489B-AF10-64DEEC611D14}"/>
    <cellStyle name="Normal 11 2 3 3 3 4 2 3" xfId="45087" xr:uid="{5AB9CBE5-A15A-48C3-8709-152E97E43798}"/>
    <cellStyle name="Normal 11 2 3 3 3 4 3" xfId="19948" xr:uid="{C266CEA2-EDE2-4D36-B2B8-76299DA74CAE}"/>
    <cellStyle name="Normal 11 2 3 3 3 4 4" xfId="36707" xr:uid="{653912FC-0DDA-431D-811F-81849E26F944}"/>
    <cellStyle name="Normal 11 2 3 3 3 5" xfId="9765" xr:uid="{6727CC57-5BBB-4B0B-9120-2F6B4F74F80D}"/>
    <cellStyle name="Normal 11 2 3 3 3 5 2" xfId="26525" xr:uid="{8AFFAE76-E1AA-4EAC-B2BB-4A5E366A4049}"/>
    <cellStyle name="Normal 11 2 3 3 3 5 3" xfId="43284" xr:uid="{9BC4F333-A483-4681-B09E-B55A7B91AC77}"/>
    <cellStyle name="Normal 11 2 3 3 3 6" xfId="18145" xr:uid="{C222EAC0-5629-46A0-B8D8-775B21B686B9}"/>
    <cellStyle name="Normal 11 2 3 3 3 7" xfId="34904" xr:uid="{7276D5BC-CCB2-4658-B5BA-358ACFB1C729}"/>
    <cellStyle name="Normal 11 2 3 3 4" xfId="1930" xr:uid="{384ABCE0-A735-4F07-BCDF-255AED6B77E6}"/>
    <cellStyle name="Normal 11 2 3 3 4 2" xfId="5319" xr:uid="{C937FDE6-C97E-4E1D-B0F9-1CA9287EB019}"/>
    <cellStyle name="Normal 11 2 3 3 4 2 2" xfId="13699" xr:uid="{00DCD0AD-D739-4478-96F8-F58CD400E49B}"/>
    <cellStyle name="Normal 11 2 3 3 4 2 2 2" xfId="30459" xr:uid="{6FC6102D-9ED0-4742-B4EF-60B5C3FB5E1F}"/>
    <cellStyle name="Normal 11 2 3 3 4 2 2 3" xfId="47218" xr:uid="{27884B52-4361-4AA1-A3FF-7C0B87A1D1E2}"/>
    <cellStyle name="Normal 11 2 3 3 4 2 3" xfId="22079" xr:uid="{D591164B-31FE-4859-A548-7F8FBDA1CD76}"/>
    <cellStyle name="Normal 11 2 3 3 4 2 4" xfId="38838" xr:uid="{C0F3A632-253C-4F2D-9C5F-824ACA6D348D}"/>
    <cellStyle name="Normal 11 2 3 3 4 3" xfId="7006" xr:uid="{EC321970-726E-45FF-95F8-64524DFD57F0}"/>
    <cellStyle name="Normal 11 2 3 3 4 3 2" xfId="15386" xr:uid="{42E99790-A72D-4B57-A2EB-CFBBAE1A0A9D}"/>
    <cellStyle name="Normal 11 2 3 3 4 3 2 2" xfId="32146" xr:uid="{4715159C-2DBE-4437-AA9E-6765145C997E}"/>
    <cellStyle name="Normal 11 2 3 3 4 3 2 3" xfId="48905" xr:uid="{68945079-2809-47C5-B011-BA57F204B926}"/>
    <cellStyle name="Normal 11 2 3 3 4 3 3" xfId="23766" xr:uid="{FDFADEB8-3C6E-4A62-8BC5-64A4F0B98ABD}"/>
    <cellStyle name="Normal 11 2 3 3 4 3 4" xfId="40525" xr:uid="{B64BB203-1420-407C-A208-2B6C94FEEFFB}"/>
    <cellStyle name="Normal 11 2 3 3 4 4" xfId="3629" xr:uid="{BDD33CA4-170D-475E-BB6F-1B08A267EFDA}"/>
    <cellStyle name="Normal 11 2 3 3 4 4 2" xfId="12009" xr:uid="{D3E462FA-D396-4E71-B59E-A3831F9E03A7}"/>
    <cellStyle name="Normal 11 2 3 3 4 4 2 2" xfId="28769" xr:uid="{0E72BFEF-9F84-49C0-AECD-29F7F5424BA1}"/>
    <cellStyle name="Normal 11 2 3 3 4 4 2 3" xfId="45528" xr:uid="{1EC43836-7C65-4104-8518-5882EC073BF0}"/>
    <cellStyle name="Normal 11 2 3 3 4 4 3" xfId="20389" xr:uid="{95F029EA-D195-40C6-AE68-B79674609A69}"/>
    <cellStyle name="Normal 11 2 3 3 4 4 4" xfId="37148" xr:uid="{946D17E1-63A2-489B-802C-467FDEC9F048}"/>
    <cellStyle name="Normal 11 2 3 3 4 5" xfId="10319" xr:uid="{02140BAB-BEB9-4DF9-9803-672528FBFBB7}"/>
    <cellStyle name="Normal 11 2 3 3 4 5 2" xfId="27079" xr:uid="{AE5EB3E7-3065-4B4C-A164-A4BBD4E70769}"/>
    <cellStyle name="Normal 11 2 3 3 4 5 3" xfId="43838" xr:uid="{EF43F301-A65D-4DC3-9363-5507BD4CE16F}"/>
    <cellStyle name="Normal 11 2 3 3 4 6" xfId="18699" xr:uid="{C3912D8F-9DF2-46FA-BDA7-BA4A8C2DCF6E}"/>
    <cellStyle name="Normal 11 2 3 3 4 7" xfId="35458" xr:uid="{60131181-0A35-4E2E-B178-47B77C19952B}"/>
    <cellStyle name="Normal 11 2 3 3 5" xfId="4049" xr:uid="{A67608A1-B1F3-4029-84A0-8A9B4AEDA282}"/>
    <cellStyle name="Normal 11 2 3 3 5 2" xfId="12429" xr:uid="{8090DED7-DC64-48FB-BFF6-B7253B752302}"/>
    <cellStyle name="Normal 11 2 3 3 5 2 2" xfId="29189" xr:uid="{8FBB2768-F7FE-4DF9-BC01-48D0029833AC}"/>
    <cellStyle name="Normal 11 2 3 3 5 2 3" xfId="45948" xr:uid="{FE5295F8-655A-42DA-BAB2-1223B1DDCE53}"/>
    <cellStyle name="Normal 11 2 3 3 5 3" xfId="20809" xr:uid="{FFD9C251-592F-4326-9006-28EB2EBB1960}"/>
    <cellStyle name="Normal 11 2 3 3 5 4" xfId="37568" xr:uid="{459EFB9A-424B-413D-B3D1-89B2DADCBFEE}"/>
    <cellStyle name="Normal 11 2 3 3 6" xfId="5598" xr:uid="{1EC83ED2-7E09-4ADA-91AE-1A3C4A1D3A4A}"/>
    <cellStyle name="Normal 11 2 3 3 6 2" xfId="13978" xr:uid="{9E8BC1C4-3154-4015-ADB6-B50F02B410C4}"/>
    <cellStyle name="Normal 11 2 3 3 6 2 2" xfId="30738" xr:uid="{39BB6E20-FE28-4EF2-95E8-63A5213FE73E}"/>
    <cellStyle name="Normal 11 2 3 3 6 2 3" xfId="47497" xr:uid="{2A343094-440F-4000-8748-83ED226B6DDA}"/>
    <cellStyle name="Normal 11 2 3 3 6 3" xfId="22358" xr:uid="{9EBAF4E9-EE4A-4A37-9FE7-921DE6CD76D6}"/>
    <cellStyle name="Normal 11 2 3 3 6 4" xfId="39117" xr:uid="{4D896B5C-193D-4797-B3DF-538BFF8D2C67}"/>
    <cellStyle name="Normal 11 2 3 3 7" xfId="7412" xr:uid="{171E89C1-1853-445C-BAAD-E94917AC51FA}"/>
    <cellStyle name="Normal 11 2 3 3 7 2" xfId="15792" xr:uid="{FA8B32E1-9196-4B40-9F4B-1D482CA4651D}"/>
    <cellStyle name="Normal 11 2 3 3 7 2 2" xfId="32552" xr:uid="{11FA8293-349F-4699-95C0-9035D357D64B}"/>
    <cellStyle name="Normal 11 2 3 3 7 2 3" xfId="49311" xr:uid="{73263E70-FBE9-4CE8-BF8D-C3EA33B7FFF4}"/>
    <cellStyle name="Normal 11 2 3 3 7 3" xfId="24172" xr:uid="{7CCB761D-A3D1-4EAF-91ED-931C59FD627E}"/>
    <cellStyle name="Normal 11 2 3 3 7 4" xfId="40931" xr:uid="{D4C3EB50-40BF-49EA-B400-99724531A9FB}"/>
    <cellStyle name="Normal 11 2 3 3 8" xfId="7818" xr:uid="{30DE92D0-D526-4733-84D2-6DDB7B06E3A9}"/>
    <cellStyle name="Normal 11 2 3 3 8 2" xfId="16198" xr:uid="{AC0A8127-55C5-4D0C-B94E-C98B88D4207C}"/>
    <cellStyle name="Normal 11 2 3 3 8 2 2" xfId="32958" xr:uid="{814E9584-8F7B-469E-85A0-A19C6DB7EF8E}"/>
    <cellStyle name="Normal 11 2 3 3 8 2 3" xfId="49717" xr:uid="{F8AD0EDB-EBBB-46FA-A0C7-6B51A1CD72D9}"/>
    <cellStyle name="Normal 11 2 3 3 8 3" xfId="24578" xr:uid="{9D3AF746-A72B-4DA6-A3EE-6752DC76D42F}"/>
    <cellStyle name="Normal 11 2 3 3 8 4" xfId="41337" xr:uid="{81AA7864-6951-4B05-9BFE-3AA80626C9A5}"/>
    <cellStyle name="Normal 11 2 3 3 9" xfId="8224" xr:uid="{65BF9052-C4F3-478A-B204-D09C80726AC3}"/>
    <cellStyle name="Normal 11 2 3 3 9 2" xfId="16604" xr:uid="{5E0DBAC8-FDE5-4525-88D2-A66BC4730015}"/>
    <cellStyle name="Normal 11 2 3 3 9 2 2" xfId="33364" xr:uid="{67366484-1B43-47CC-9118-C399EB1AEE20}"/>
    <cellStyle name="Normal 11 2 3 3 9 2 3" xfId="50123" xr:uid="{D4838086-3785-49F0-B74E-1ECCABFA254B}"/>
    <cellStyle name="Normal 11 2 3 3 9 3" xfId="24984" xr:uid="{7D295E20-0C6C-48EA-9A28-47C54DE37BF9}"/>
    <cellStyle name="Normal 11 2 3 3 9 4" xfId="41743" xr:uid="{79DBD380-75DA-4E53-9764-D6993135FDAF}"/>
    <cellStyle name="Normal 11 2 3 4" xfId="846" xr:uid="{FD21F191-D506-4C9A-91B1-5CB17D5053A7}"/>
    <cellStyle name="Normal 11 2 3 4 2" xfId="4241" xr:uid="{BDA7AFAC-B94B-4F2B-8B98-BD6F83245FD5}"/>
    <cellStyle name="Normal 11 2 3 4 2 2" xfId="12621" xr:uid="{16310CE1-0B13-46DD-8F18-3B5006B939F2}"/>
    <cellStyle name="Normal 11 2 3 4 2 2 2" xfId="29381" xr:uid="{45A5F73E-ACA4-4B0D-A077-70A55EC489A4}"/>
    <cellStyle name="Normal 11 2 3 4 2 2 3" xfId="46140" xr:uid="{08041654-4BBC-4C11-BEE4-AA35FD1355C5}"/>
    <cellStyle name="Normal 11 2 3 4 2 3" xfId="21001" xr:uid="{22E0548B-8EE7-4C0D-A15D-48FCA5DEBE93}"/>
    <cellStyle name="Normal 11 2 3 4 2 4" xfId="37760" xr:uid="{BB2DDCB7-2C5F-4975-9F4A-7387628ABE69}"/>
    <cellStyle name="Normal 11 2 3 4 3" xfId="5928" xr:uid="{1BE95FF2-3483-4ED5-9CD9-021EF2D4434B}"/>
    <cellStyle name="Normal 11 2 3 4 3 2" xfId="14308" xr:uid="{3CC97A45-1AB9-493A-B005-0D99EDCCE6D7}"/>
    <cellStyle name="Normal 11 2 3 4 3 2 2" xfId="31068" xr:uid="{1F3B4E96-BF17-4AE2-B3B9-3744C7E690C9}"/>
    <cellStyle name="Normal 11 2 3 4 3 2 3" xfId="47827" xr:uid="{4FCB1E2E-4374-4339-8522-37591A87C7FC}"/>
    <cellStyle name="Normal 11 2 3 4 3 3" xfId="22688" xr:uid="{B9760EEC-F83E-4830-A589-2C7F5DD16F0C}"/>
    <cellStyle name="Normal 11 2 3 4 3 4" xfId="39447" xr:uid="{9FFC9016-8A8C-40DB-94FF-8737A1EF65FB}"/>
    <cellStyle name="Normal 11 2 3 4 4" xfId="2664" xr:uid="{0FDFA114-AC3A-42BB-96AF-442535DC90E5}"/>
    <cellStyle name="Normal 11 2 3 4 4 2" xfId="11044" xr:uid="{0274480B-D198-4D91-87C4-3C2A52626A41}"/>
    <cellStyle name="Normal 11 2 3 4 4 2 2" xfId="27804" xr:uid="{1B1C941B-3FBA-40CD-9526-E1E72CA0FE2C}"/>
    <cellStyle name="Normal 11 2 3 4 4 2 3" xfId="44563" xr:uid="{B3AFE14B-2180-44CB-B9EB-404B7C672E0C}"/>
    <cellStyle name="Normal 11 2 3 4 4 3" xfId="19424" xr:uid="{375841C2-EF5E-4638-9109-5644F724DBBE}"/>
    <cellStyle name="Normal 11 2 3 4 4 4" xfId="36183" xr:uid="{FAB16E59-CE79-4588-A778-57E242547BE3}"/>
    <cellStyle name="Normal 11 2 3 4 5" xfId="9241" xr:uid="{66DC9A49-2FBA-40F9-83CC-D2AC1E1089E5}"/>
    <cellStyle name="Normal 11 2 3 4 5 2" xfId="26001" xr:uid="{D4D32A69-F14E-4F5A-BB49-A6D4D3B86436}"/>
    <cellStyle name="Normal 11 2 3 4 5 3" xfId="42760" xr:uid="{887E40EF-8F90-4441-BA70-4B3D1A2E3891}"/>
    <cellStyle name="Normal 11 2 3 4 6" xfId="17621" xr:uid="{10D5E3B4-FDD5-40BB-87CD-3078561C672F}"/>
    <cellStyle name="Normal 11 2 3 4 7" xfId="34380" xr:uid="{26C63833-F559-4641-A57F-06A50B749341}"/>
    <cellStyle name="Normal 11 2 3 5" xfId="1280" xr:uid="{7E472374-8008-4958-92A8-B99E768F657E}"/>
    <cellStyle name="Normal 11 2 3 5 2" xfId="4669" xr:uid="{E528D371-7ADD-40E9-AC2D-04E947DD8410}"/>
    <cellStyle name="Normal 11 2 3 5 2 2" xfId="13049" xr:uid="{C3D07510-E987-4167-B82D-61E7B34ADDBF}"/>
    <cellStyle name="Normal 11 2 3 5 2 2 2" xfId="29809" xr:uid="{543D665A-238C-494C-B892-8EAFE8A15F3D}"/>
    <cellStyle name="Normal 11 2 3 5 2 2 3" xfId="46568" xr:uid="{A5DA337F-F564-4907-B01E-8320F21B6B98}"/>
    <cellStyle name="Normal 11 2 3 5 2 3" xfId="21429" xr:uid="{D919A54E-753C-40B5-8000-06A206FD1D76}"/>
    <cellStyle name="Normal 11 2 3 5 2 4" xfId="38188" xr:uid="{A0097534-A81C-4257-ADE6-CF85F76EA42C}"/>
    <cellStyle name="Normal 11 2 3 5 3" xfId="6356" xr:uid="{424303DF-A1D4-456D-B7EA-D677D87A3103}"/>
    <cellStyle name="Normal 11 2 3 5 3 2" xfId="14736" xr:uid="{E1B04F92-4621-4DEF-B887-40F120311F7D}"/>
    <cellStyle name="Normal 11 2 3 5 3 2 2" xfId="31496" xr:uid="{F1C339E3-F1EA-4BD6-857A-9D5AD97AFF39}"/>
    <cellStyle name="Normal 11 2 3 5 3 2 3" xfId="48255" xr:uid="{8C69B52B-EAA6-4B2C-B165-225804569B90}"/>
    <cellStyle name="Normal 11 2 3 5 3 3" xfId="23116" xr:uid="{465C9BAE-9740-4C9F-A2DD-09051E80CE75}"/>
    <cellStyle name="Normal 11 2 3 5 3 4" xfId="39875" xr:uid="{926B130B-79B6-4603-A803-D11056805A25}"/>
    <cellStyle name="Normal 11 2 3 5 4" xfId="3092" xr:uid="{D71FBA23-756D-4214-BBA2-2ACB30704381}"/>
    <cellStyle name="Normal 11 2 3 5 4 2" xfId="11472" xr:uid="{29229076-25FC-42A5-BB12-C172ACB37C7C}"/>
    <cellStyle name="Normal 11 2 3 5 4 2 2" xfId="28232" xr:uid="{D60ADCEE-8CB8-4CCC-B490-2D83BFEEF5CF}"/>
    <cellStyle name="Normal 11 2 3 5 4 2 3" xfId="44991" xr:uid="{B1341D92-73C7-4C6B-83F3-56965753D41F}"/>
    <cellStyle name="Normal 11 2 3 5 4 3" xfId="19852" xr:uid="{BC3FA8CD-5AE4-438A-8739-1A5540ED3F83}"/>
    <cellStyle name="Normal 11 2 3 5 4 4" xfId="36611" xr:uid="{74424375-E74B-4638-9B93-878AD23AB7A2}"/>
    <cellStyle name="Normal 11 2 3 5 5" xfId="9669" xr:uid="{3CBFBD18-5237-40CD-B36D-0ABED9EC345A}"/>
    <cellStyle name="Normal 11 2 3 5 5 2" xfId="26429" xr:uid="{4C293E1A-B8FC-49EF-B359-CBCD72118117}"/>
    <cellStyle name="Normal 11 2 3 5 5 3" xfId="43188" xr:uid="{7C3D87FE-6252-4262-B961-73BF77C58A39}"/>
    <cellStyle name="Normal 11 2 3 5 6" xfId="18049" xr:uid="{A2505447-D88D-45FF-B97D-37F5ADEBD0E2}"/>
    <cellStyle name="Normal 11 2 3 5 7" xfId="34808" xr:uid="{AC8933A0-7395-4934-841D-7A6948EBDFFC}"/>
    <cellStyle name="Normal 11 2 3 6" xfId="1659" xr:uid="{2E081B61-0B29-4529-8726-323FF597376B}"/>
    <cellStyle name="Normal 11 2 3 6 2" xfId="5048" xr:uid="{FC0F6454-199E-42BF-9C56-D7F35F233A00}"/>
    <cellStyle name="Normal 11 2 3 6 2 2" xfId="13428" xr:uid="{EEAAF997-419F-42C8-8BC1-F282B9D7A788}"/>
    <cellStyle name="Normal 11 2 3 6 2 2 2" xfId="30188" xr:uid="{8C21437E-0F9B-4165-A49F-8576C54D13C1}"/>
    <cellStyle name="Normal 11 2 3 6 2 2 3" xfId="46947" xr:uid="{28FCCD0F-E9CD-41E0-829E-B19DDEEA75B0}"/>
    <cellStyle name="Normal 11 2 3 6 2 3" xfId="21808" xr:uid="{66FDFCAE-EAD6-467F-8A4D-3427483EDAA0}"/>
    <cellStyle name="Normal 11 2 3 6 2 4" xfId="38567" xr:uid="{ABB9D3C2-4ACA-4210-A6FC-BFD42A614B0F}"/>
    <cellStyle name="Normal 11 2 3 6 3" xfId="6735" xr:uid="{C5B977B0-9C4A-46E3-9CBC-3BEEF5E052A6}"/>
    <cellStyle name="Normal 11 2 3 6 3 2" xfId="15115" xr:uid="{28FBB836-1399-4EE1-81D6-C2E0AEC9F8E9}"/>
    <cellStyle name="Normal 11 2 3 6 3 2 2" xfId="31875" xr:uid="{907A6532-756E-4629-AE7C-CD9FE6E25833}"/>
    <cellStyle name="Normal 11 2 3 6 3 2 3" xfId="48634" xr:uid="{A64972C3-F356-46A4-9126-D9D6A524135B}"/>
    <cellStyle name="Normal 11 2 3 6 3 3" xfId="23495" xr:uid="{EE3FE181-3CDD-4183-BA3E-E957752D078A}"/>
    <cellStyle name="Normal 11 2 3 6 3 4" xfId="40254" xr:uid="{BE9BB527-5B07-4DC0-B401-D428D5E272CC}"/>
    <cellStyle name="Normal 11 2 3 6 4" xfId="2234" xr:uid="{E0551F35-78B5-4CCE-85B3-394F5E0C6688}"/>
    <cellStyle name="Normal 11 2 3 6 4 2" xfId="10618" xr:uid="{BAEAE236-C5D9-4B69-9DCA-3A0A6748E0F1}"/>
    <cellStyle name="Normal 11 2 3 6 4 2 2" xfId="27378" xr:uid="{47A3B1AE-5967-43B2-90D5-4909CDF95B24}"/>
    <cellStyle name="Normal 11 2 3 6 4 2 3" xfId="44137" xr:uid="{A44FE0ED-F405-4AEF-9306-FFAAAAC4D13A}"/>
    <cellStyle name="Normal 11 2 3 6 4 3" xfId="18998" xr:uid="{BCF832C1-A711-4E04-B829-7C0DF1E74BCA}"/>
    <cellStyle name="Normal 11 2 3 6 4 4" xfId="35757" xr:uid="{59BDCDDB-F417-4887-82AC-0912C0EE8744}"/>
    <cellStyle name="Normal 11 2 3 6 5" xfId="10048" xr:uid="{FC2ADFED-B469-4562-81B9-E0998391480C}"/>
    <cellStyle name="Normal 11 2 3 6 5 2" xfId="26808" xr:uid="{558903A7-C3C6-4FB3-A97D-E79346581493}"/>
    <cellStyle name="Normal 11 2 3 6 5 3" xfId="43567" xr:uid="{29988ADA-D30E-4DC0-857A-0814E3558818}"/>
    <cellStyle name="Normal 11 2 3 6 6" xfId="18428" xr:uid="{C9C2024F-80B9-4546-93ED-3D5755E6DD52}"/>
    <cellStyle name="Normal 11 2 3 6 7" xfId="35187" xr:uid="{05175592-5CCB-4B4F-933B-A642A3147F83}"/>
    <cellStyle name="Normal 11 2 3 7" xfId="3777" xr:uid="{89F5628D-9E94-416D-9749-594637B850B5}"/>
    <cellStyle name="Normal 11 2 3 7 2" xfId="12157" xr:uid="{2F302E75-A737-49D8-810C-F77EEB98B84D}"/>
    <cellStyle name="Normal 11 2 3 7 2 2" xfId="28917" xr:uid="{91C79331-5FDF-40CC-83EB-A5C965B3C04F}"/>
    <cellStyle name="Normal 11 2 3 7 2 3" xfId="45676" xr:uid="{9A42E531-CA3D-4744-8869-09D1D8983AC4}"/>
    <cellStyle name="Normal 11 2 3 7 3" xfId="20537" xr:uid="{214708A7-C389-4F2F-B0A6-A86B10F950B9}"/>
    <cellStyle name="Normal 11 2 3 7 4" xfId="37296" xr:uid="{950166CD-5A0B-458B-A9B7-3E1548DEFED8}"/>
    <cellStyle name="Normal 11 2 3 8" xfId="5502" xr:uid="{7D529DDE-6210-415E-89F9-2EEE71ED54C8}"/>
    <cellStyle name="Normal 11 2 3 8 2" xfId="13882" xr:uid="{A678F2B9-6A85-494B-8CDB-4CB3B7C51599}"/>
    <cellStyle name="Normal 11 2 3 8 2 2" xfId="30642" xr:uid="{A066148D-E202-41FC-B3B5-4569ED1E6823}"/>
    <cellStyle name="Normal 11 2 3 8 2 3" xfId="47401" xr:uid="{2D9C701D-A413-4AA6-8ADE-D138E8F41C6C}"/>
    <cellStyle name="Normal 11 2 3 8 3" xfId="22262" xr:uid="{87EEC8DB-085E-4E38-B7C3-16EC88B09041}"/>
    <cellStyle name="Normal 11 2 3 8 4" xfId="39021" xr:uid="{3138FCB9-25BB-4E05-9454-54BF6DBB5AB8}"/>
    <cellStyle name="Normal 11 2 3 9" xfId="7141" xr:uid="{D4A7FDBB-39EE-4F60-AA2A-0FB1D62539C8}"/>
    <cellStyle name="Normal 11 2 3 9 2" xfId="15521" xr:uid="{F6AC757F-0814-4007-934A-39EF4AABC47C}"/>
    <cellStyle name="Normal 11 2 3 9 2 2" xfId="32281" xr:uid="{B79418E0-AFB6-4715-BDA7-E177DF85F831}"/>
    <cellStyle name="Normal 11 2 3 9 2 3" xfId="49040" xr:uid="{1253322D-A432-46BC-B5B3-1B7FFF454E21}"/>
    <cellStyle name="Normal 11 2 3 9 3" xfId="23901" xr:uid="{5FC89021-7A84-4EDF-A2C3-2D31CB214C6B}"/>
    <cellStyle name="Normal 11 2 3 9 4" xfId="40660" xr:uid="{C308C7DA-B9C0-4845-AAE2-F6ED756DF88B}"/>
    <cellStyle name="Normal 11 2 4" xfId="501" xr:uid="{BD1E4E16-D180-4940-8BA9-DD862D136126}"/>
    <cellStyle name="Normal 11 2 4 10" xfId="7548" xr:uid="{A9342E6B-4898-4032-95DB-C048F296A790}"/>
    <cellStyle name="Normal 11 2 4 10 2" xfId="15928" xr:uid="{98DA3442-907F-40D5-8D5F-4849BDDCA7B6}"/>
    <cellStyle name="Normal 11 2 4 10 2 2" xfId="32688" xr:uid="{3E5E3F97-14EC-4587-A42D-181CD4188B4B}"/>
    <cellStyle name="Normal 11 2 4 10 2 3" xfId="49447" xr:uid="{F1BD2A56-A622-4B33-868B-4E1CDD4545DC}"/>
    <cellStyle name="Normal 11 2 4 10 3" xfId="24308" xr:uid="{DF20E435-C2FE-46C9-AF93-56363B3CD4DE}"/>
    <cellStyle name="Normal 11 2 4 10 4" xfId="41067" xr:uid="{67A0D84F-B9DD-4C3B-A804-BBDB278CD241}"/>
    <cellStyle name="Normal 11 2 4 11" xfId="7954" xr:uid="{A0FCAE7B-81F3-48AA-80D8-82F32C1B7975}"/>
    <cellStyle name="Normal 11 2 4 11 2" xfId="16334" xr:uid="{4DEA0017-4F21-43F8-A716-D3C64EA02F84}"/>
    <cellStyle name="Normal 11 2 4 11 2 2" xfId="33094" xr:uid="{8EB3B6F5-601F-43B0-92E9-0C216542AB07}"/>
    <cellStyle name="Normal 11 2 4 11 2 3" xfId="49853" xr:uid="{86AD06BD-3EB3-485A-B456-5A595C09281C}"/>
    <cellStyle name="Normal 11 2 4 11 3" xfId="24714" xr:uid="{09AAD14B-E187-4FDB-8257-58645A5876C7}"/>
    <cellStyle name="Normal 11 2 4 11 4" xfId="41473" xr:uid="{40CDD8D9-D98E-4D22-8D7E-A898D19010C0}"/>
    <cellStyle name="Normal 11 2 4 12" xfId="8360" xr:uid="{7C5E706D-5F17-4871-B932-D2AA8B36A244}"/>
    <cellStyle name="Normal 11 2 4 12 2" xfId="16740" xr:uid="{9639832D-F4AF-4B53-9E86-753A7AD03D21}"/>
    <cellStyle name="Normal 11 2 4 12 2 2" xfId="33500" xr:uid="{E2B1185D-19FD-4984-AFEB-FAA752F44B66}"/>
    <cellStyle name="Normal 11 2 4 12 2 3" xfId="50259" xr:uid="{30159710-BE1C-4EFD-AFA1-1778C4D83E33}"/>
    <cellStyle name="Normal 11 2 4 12 3" xfId="25120" xr:uid="{98F2B8BD-84C6-4AA2-BEB8-E6003342619C}"/>
    <cellStyle name="Normal 11 2 4 12 4" xfId="41879" xr:uid="{842D5B2D-CDC9-4B0F-93D7-A4505D2932F1}"/>
    <cellStyle name="Normal 11 2 4 13" xfId="2109" xr:uid="{826020E1-FA06-49BE-8F63-ADC090D6BF89}"/>
    <cellStyle name="Normal 11 2 4 13 2" xfId="10497" xr:uid="{45FF01F8-B116-479B-A798-5F57D68326AE}"/>
    <cellStyle name="Normal 11 2 4 13 2 2" xfId="27257" xr:uid="{2B29364D-5AB2-4661-BB25-D3CD58232F78}"/>
    <cellStyle name="Normal 11 2 4 13 2 3" xfId="44016" xr:uid="{C52269FD-05C0-4DB1-949B-BF49F5D6A0DE}"/>
    <cellStyle name="Normal 11 2 4 13 3" xfId="18877" xr:uid="{C542F459-21A1-44B1-9970-FBB9E0848A40}"/>
    <cellStyle name="Normal 11 2 4 13 4" xfId="35636" xr:uid="{328518D9-7310-4722-9D6C-04199C59803E}"/>
    <cellStyle name="Normal 11 2 4 14" xfId="8912" xr:uid="{EBA38324-C250-4446-B399-0F81D018A644}"/>
    <cellStyle name="Normal 11 2 4 14 2" xfId="25672" xr:uid="{82E2A377-C012-4689-81DE-3B433FADAA37}"/>
    <cellStyle name="Normal 11 2 4 14 3" xfId="42431" xr:uid="{8337020B-E0D8-4297-91F6-23F3A24E2681}"/>
    <cellStyle name="Normal 11 2 4 15" xfId="17292" xr:uid="{65215E66-2334-417B-A538-93F5EEBA9377}"/>
    <cellStyle name="Normal 11 2 4 16" xfId="34051" xr:uid="{5C0CC29D-F21D-4892-B4BF-30E1AACBF63B}"/>
    <cellStyle name="Normal 11 2 4 2" xfId="502" xr:uid="{1A2895C8-7E68-405D-954A-C7AEAD6AB23D}"/>
    <cellStyle name="Normal 11 2 4 2 10" xfId="8484" xr:uid="{D8314CC0-7EA4-43EB-995C-E890284DC9D6}"/>
    <cellStyle name="Normal 11 2 4 2 10 2" xfId="16864" xr:uid="{DAA99F17-6FB9-49AB-8A2F-382F4E139F88}"/>
    <cellStyle name="Normal 11 2 4 2 10 2 2" xfId="33624" xr:uid="{5F40CE89-81E4-4A09-9299-0FE84E9DE149}"/>
    <cellStyle name="Normal 11 2 4 2 10 2 3" xfId="50383" xr:uid="{7431A86F-8764-4FB5-A059-38ECC3A23BBF}"/>
    <cellStyle name="Normal 11 2 4 2 10 3" xfId="25244" xr:uid="{343FC00A-F25E-4072-BB16-03417B257AA7}"/>
    <cellStyle name="Normal 11 2 4 2 10 4" xfId="42003" xr:uid="{5128304F-4B66-4160-88DF-7698EB6B5086}"/>
    <cellStyle name="Normal 11 2 4 2 11" xfId="2334" xr:uid="{04B0B357-D602-4E51-B609-B2A5F2EA861F}"/>
    <cellStyle name="Normal 11 2 4 2 11 2" xfId="10716" xr:uid="{05219173-60C8-411D-9A1C-5B4160EA744C}"/>
    <cellStyle name="Normal 11 2 4 2 11 2 2" xfId="27476" xr:uid="{51C6496C-5220-4E25-9125-F6F48F628C72}"/>
    <cellStyle name="Normal 11 2 4 2 11 2 3" xfId="44235" xr:uid="{C6D53797-FAD3-4492-84F2-7E79E55FC2A4}"/>
    <cellStyle name="Normal 11 2 4 2 11 3" xfId="19096" xr:uid="{81F6EBD3-C08F-4F1B-9575-58D2248AD663}"/>
    <cellStyle name="Normal 11 2 4 2 11 4" xfId="35855" xr:uid="{F29B4CE9-2397-4053-9B95-4105930E340C}"/>
    <cellStyle name="Normal 11 2 4 2 12" xfId="8913" xr:uid="{2E820BCE-BED5-4FA5-8B03-F755CB5E676C}"/>
    <cellStyle name="Normal 11 2 4 2 12 2" xfId="25673" xr:uid="{D68877F8-2A87-4933-80B2-B09871867ED9}"/>
    <cellStyle name="Normal 11 2 4 2 12 3" xfId="42432" xr:uid="{9EAD2765-FED4-4990-9AD4-B74888EDA13B}"/>
    <cellStyle name="Normal 11 2 4 2 13" xfId="17293" xr:uid="{F9D50ECB-8CC6-4D91-9B1B-CF449755884C}"/>
    <cellStyle name="Normal 11 2 4 2 14" xfId="34052" xr:uid="{C209698D-5770-453A-9933-ACB05BA31E40}"/>
    <cellStyle name="Normal 11 2 4 2 2" xfId="944" xr:uid="{67D5FF5C-3DCE-4E40-9BE9-7DD7B36715C1}"/>
    <cellStyle name="Normal 11 2 4 2 2 2" xfId="4339" xr:uid="{B6CA59E4-7C01-48C9-A816-D75BDA919839}"/>
    <cellStyle name="Normal 11 2 4 2 2 2 2" xfId="12719" xr:uid="{5771171D-2763-4A1D-AC1D-2774C03ED40E}"/>
    <cellStyle name="Normal 11 2 4 2 2 2 2 2" xfId="29479" xr:uid="{A9A0EF79-7751-4A73-BB84-9B1080C1E6B1}"/>
    <cellStyle name="Normal 11 2 4 2 2 2 2 3" xfId="46238" xr:uid="{765A59EA-B85C-4BDB-A628-3604D857CF58}"/>
    <cellStyle name="Normal 11 2 4 2 2 2 3" xfId="21099" xr:uid="{48E0B1EA-2ABE-4818-906C-B960BFA1736C}"/>
    <cellStyle name="Normal 11 2 4 2 2 2 4" xfId="37858" xr:uid="{351A4187-7BCF-490D-B27C-C1CCDE547FCC}"/>
    <cellStyle name="Normal 11 2 4 2 2 3" xfId="6026" xr:uid="{5A466730-9F61-497C-822B-E765FCEC4444}"/>
    <cellStyle name="Normal 11 2 4 2 2 3 2" xfId="14406" xr:uid="{8BB77962-9ACA-48D0-A548-9D7FEE98E2B8}"/>
    <cellStyle name="Normal 11 2 4 2 2 3 2 2" xfId="31166" xr:uid="{6259651A-E79B-4496-8C5B-034487AF3683}"/>
    <cellStyle name="Normal 11 2 4 2 2 3 2 3" xfId="47925" xr:uid="{65AF2700-C953-470A-BBC3-7256B55B893B}"/>
    <cellStyle name="Normal 11 2 4 2 2 3 3" xfId="22786" xr:uid="{C76C20CA-83EA-4F1B-B732-A6258BC4BB6D}"/>
    <cellStyle name="Normal 11 2 4 2 2 3 4" xfId="39545" xr:uid="{9634E60D-9035-445F-A40E-1A02017540BD}"/>
    <cellStyle name="Normal 11 2 4 2 2 4" xfId="2762" xr:uid="{4A92BDBD-6EA3-4168-8BB8-28DEA18493C8}"/>
    <cellStyle name="Normal 11 2 4 2 2 4 2" xfId="11142" xr:uid="{451D6255-8177-4E6C-9CBB-F5EC8BF1A668}"/>
    <cellStyle name="Normal 11 2 4 2 2 4 2 2" xfId="27902" xr:uid="{DB0DD516-248B-416A-BB54-A05A832E005B}"/>
    <cellStyle name="Normal 11 2 4 2 2 4 2 3" xfId="44661" xr:uid="{486CFC67-885A-4A03-AF33-0559B4915BE2}"/>
    <cellStyle name="Normal 11 2 4 2 2 4 3" xfId="19522" xr:uid="{734FBF9D-D077-4ED0-9F2B-BE5F7AAEAB4B}"/>
    <cellStyle name="Normal 11 2 4 2 2 4 4" xfId="36281" xr:uid="{FE342D19-3E15-4AC7-A5B4-1A564A7EE4B8}"/>
    <cellStyle name="Normal 11 2 4 2 2 5" xfId="9339" xr:uid="{33E8E9E7-F074-4B59-9A31-16575B0F675D}"/>
    <cellStyle name="Normal 11 2 4 2 2 5 2" xfId="26099" xr:uid="{47B8B1B0-C4C6-46FB-BD96-5C6FD586B805}"/>
    <cellStyle name="Normal 11 2 4 2 2 5 3" xfId="42858" xr:uid="{274E1EAD-6C08-441F-853C-135951ECC158}"/>
    <cellStyle name="Normal 11 2 4 2 2 6" xfId="17719" xr:uid="{A8C52A57-A8E3-458D-9120-1FC12B9DA711}"/>
    <cellStyle name="Normal 11 2 4 2 2 7" xfId="34478" xr:uid="{26D55C91-5215-46F2-8D3D-DD0C5205DD6C}"/>
    <cellStyle name="Normal 11 2 4 2 3" xfId="1378" xr:uid="{51FBBE6E-AC48-4E68-A7B7-1054422A8015}"/>
    <cellStyle name="Normal 11 2 4 2 3 2" xfId="4767" xr:uid="{669FFBCB-7599-443F-B752-3FD83576D821}"/>
    <cellStyle name="Normal 11 2 4 2 3 2 2" xfId="13147" xr:uid="{A4762FA3-C4A3-49A2-B243-9B930513E313}"/>
    <cellStyle name="Normal 11 2 4 2 3 2 2 2" xfId="29907" xr:uid="{D775E506-5766-41BB-8A41-44EC57F34B08}"/>
    <cellStyle name="Normal 11 2 4 2 3 2 2 3" xfId="46666" xr:uid="{15F6365A-87DF-42A7-91C0-D22A32C7E5A9}"/>
    <cellStyle name="Normal 11 2 4 2 3 2 3" xfId="21527" xr:uid="{893EFC21-DE97-4716-BFCE-56B4A91820CB}"/>
    <cellStyle name="Normal 11 2 4 2 3 2 4" xfId="38286" xr:uid="{85F7EB38-D163-45DA-B094-D53F74FFD1E9}"/>
    <cellStyle name="Normal 11 2 4 2 3 3" xfId="6454" xr:uid="{59994AC4-CF73-4298-8D28-1BB02190C20D}"/>
    <cellStyle name="Normal 11 2 4 2 3 3 2" xfId="14834" xr:uid="{FDB459F5-F71A-41D8-AAE4-A72CA5F76FE6}"/>
    <cellStyle name="Normal 11 2 4 2 3 3 2 2" xfId="31594" xr:uid="{33325555-E367-4A43-BD39-F493E2A17341}"/>
    <cellStyle name="Normal 11 2 4 2 3 3 2 3" xfId="48353" xr:uid="{B3DF2FE3-9F9E-4045-A0BD-6C3C826EF7F8}"/>
    <cellStyle name="Normal 11 2 4 2 3 3 3" xfId="23214" xr:uid="{93223317-C115-4C5A-8F12-1D747157350D}"/>
    <cellStyle name="Normal 11 2 4 2 3 3 4" xfId="39973" xr:uid="{E29E07B7-92F5-4A2D-8CA4-1D8834AE523B}"/>
    <cellStyle name="Normal 11 2 4 2 3 4" xfId="3190" xr:uid="{3277973F-9A2E-4F0D-B581-2D961D746F78}"/>
    <cellStyle name="Normal 11 2 4 2 3 4 2" xfId="11570" xr:uid="{CB3A9F72-837E-4978-B346-E1D9FB401CB9}"/>
    <cellStyle name="Normal 11 2 4 2 3 4 2 2" xfId="28330" xr:uid="{E080EEB8-0B83-4084-9EA6-ACCCFA461060}"/>
    <cellStyle name="Normal 11 2 4 2 3 4 2 3" xfId="45089" xr:uid="{A2F8C9CA-397C-45C7-ABB1-8F2781C15E2D}"/>
    <cellStyle name="Normal 11 2 4 2 3 4 3" xfId="19950" xr:uid="{1D31F749-E874-4F1C-9EFB-649AF6EB35D3}"/>
    <cellStyle name="Normal 11 2 4 2 3 4 4" xfId="36709" xr:uid="{3C5FA7C2-8A8E-4107-85D8-0F8F4EC8CDCC}"/>
    <cellStyle name="Normal 11 2 4 2 3 5" xfId="9767" xr:uid="{6E5BC007-F94F-4771-A09D-2EA13801CFC7}"/>
    <cellStyle name="Normal 11 2 4 2 3 5 2" xfId="26527" xr:uid="{F3F3AEC6-B7E3-4CA9-AF26-58DA8C4B85E7}"/>
    <cellStyle name="Normal 11 2 4 2 3 5 3" xfId="43286" xr:uid="{1EAEC0B3-1797-448F-8768-F2E28900AB5E}"/>
    <cellStyle name="Normal 11 2 4 2 3 6" xfId="18147" xr:uid="{73FCAAAB-AE89-48A3-8DB2-D6995415DCDF}"/>
    <cellStyle name="Normal 11 2 4 2 3 7" xfId="34906" xr:uid="{4558EDA5-18AF-46F7-B60C-B1EC3D4E960C}"/>
    <cellStyle name="Normal 11 2 4 2 4" xfId="1784" xr:uid="{B53F798A-654B-4D8D-83FD-F3C4ECF96449}"/>
    <cellStyle name="Normal 11 2 4 2 4 2" xfId="5173" xr:uid="{031A5EDE-19AE-447A-BD8B-67A796B61922}"/>
    <cellStyle name="Normal 11 2 4 2 4 2 2" xfId="13553" xr:uid="{07841463-CE33-411E-9350-A8CF34D92CD7}"/>
    <cellStyle name="Normal 11 2 4 2 4 2 2 2" xfId="30313" xr:uid="{9484D4B3-942C-4EBB-A8DF-266DF1B11628}"/>
    <cellStyle name="Normal 11 2 4 2 4 2 2 3" xfId="47072" xr:uid="{4811CB08-BD21-4F38-B42E-53D5E24F4DA3}"/>
    <cellStyle name="Normal 11 2 4 2 4 2 3" xfId="21933" xr:uid="{34B90D1C-DCED-4A08-87F1-7478A34DA187}"/>
    <cellStyle name="Normal 11 2 4 2 4 2 4" xfId="38692" xr:uid="{18498528-1BD0-4676-91DC-72F9C2C71207}"/>
    <cellStyle name="Normal 11 2 4 2 4 3" xfId="6860" xr:uid="{4A4BC373-45EA-4489-8BF2-01BEBCBBD375}"/>
    <cellStyle name="Normal 11 2 4 2 4 3 2" xfId="15240" xr:uid="{4A0D35EB-DBE5-44E4-9609-1FADA879C921}"/>
    <cellStyle name="Normal 11 2 4 2 4 3 2 2" xfId="32000" xr:uid="{625F3C22-B98C-4B84-B169-2CF511DECCE2}"/>
    <cellStyle name="Normal 11 2 4 2 4 3 2 3" xfId="48759" xr:uid="{C6BF4D0B-29B5-437E-86D2-0ADF159A4261}"/>
    <cellStyle name="Normal 11 2 4 2 4 3 3" xfId="23620" xr:uid="{B6D22138-8BE5-4D88-B9E1-4BC1444AB90B}"/>
    <cellStyle name="Normal 11 2 4 2 4 3 4" xfId="40379" xr:uid="{470BC1F5-8360-4B04-9E24-FADD093DA69D}"/>
    <cellStyle name="Normal 11 2 4 2 4 4" xfId="3484" xr:uid="{955ABFB9-0973-4DC9-9538-3A444F653CED}"/>
    <cellStyle name="Normal 11 2 4 2 4 4 2" xfId="11864" xr:uid="{0999A1AA-271D-4C15-8F21-02EC5F12FD71}"/>
    <cellStyle name="Normal 11 2 4 2 4 4 2 2" xfId="28624" xr:uid="{D17E1E78-15B9-4C8D-AF57-80361989CDF6}"/>
    <cellStyle name="Normal 11 2 4 2 4 4 2 3" xfId="45383" xr:uid="{48CDE2A4-88A1-4646-82CA-66B46D8F9E02}"/>
    <cellStyle name="Normal 11 2 4 2 4 4 3" xfId="20244" xr:uid="{81A4529A-892B-4560-8581-90E30C676AD9}"/>
    <cellStyle name="Normal 11 2 4 2 4 4 4" xfId="37003" xr:uid="{A8A633BF-7946-463D-95CB-ED1AE6A3E0AF}"/>
    <cellStyle name="Normal 11 2 4 2 4 5" xfId="10173" xr:uid="{42A4B871-7F04-4826-8430-273FE9751036}"/>
    <cellStyle name="Normal 11 2 4 2 4 5 2" xfId="26933" xr:uid="{F9078913-0050-48EF-86BB-FE41B7343EF5}"/>
    <cellStyle name="Normal 11 2 4 2 4 5 3" xfId="43692" xr:uid="{DD2B1166-20CC-40B0-9453-E6B7F68BB491}"/>
    <cellStyle name="Normal 11 2 4 2 4 6" xfId="18553" xr:uid="{1C5138DF-ADDC-406F-8E65-C7A346C36BE5}"/>
    <cellStyle name="Normal 11 2 4 2 4 7" xfId="35312" xr:uid="{FB3BC8C4-CE0B-403B-B3A2-C986197E83A5}"/>
    <cellStyle name="Normal 11 2 4 2 5" xfId="3903" xr:uid="{6773473E-2985-4C9C-BD60-CECBCCB88409}"/>
    <cellStyle name="Normal 11 2 4 2 5 2" xfId="12283" xr:uid="{0A03B3ED-E873-4141-B56A-F9CB189AE97D}"/>
    <cellStyle name="Normal 11 2 4 2 5 2 2" xfId="29043" xr:uid="{39B90432-D039-47AE-982A-486F9ED871E9}"/>
    <cellStyle name="Normal 11 2 4 2 5 2 3" xfId="45802" xr:uid="{F010EDB0-BDBD-4EA9-8BA1-CB2650F5425A}"/>
    <cellStyle name="Normal 11 2 4 2 5 3" xfId="20663" xr:uid="{E1F2CEC2-4A77-47D9-9B62-00AC3B857929}"/>
    <cellStyle name="Normal 11 2 4 2 5 4" xfId="37422" xr:uid="{BAA7B4C8-2018-4A92-9B21-46B606CAE1BB}"/>
    <cellStyle name="Normal 11 2 4 2 6" xfId="5600" xr:uid="{F344966D-4101-4475-AE05-9AB7C50669A1}"/>
    <cellStyle name="Normal 11 2 4 2 6 2" xfId="13980" xr:uid="{7BEBAF87-0DB1-4EA7-8782-8A8DA5EEC16A}"/>
    <cellStyle name="Normal 11 2 4 2 6 2 2" xfId="30740" xr:uid="{152B7516-2B4C-4230-8E45-0A6D5EC5F7B8}"/>
    <cellStyle name="Normal 11 2 4 2 6 2 3" xfId="47499" xr:uid="{BA029ED0-6FD1-431F-BF7C-6E2AA8280556}"/>
    <cellStyle name="Normal 11 2 4 2 6 3" xfId="22360" xr:uid="{5EB98227-A294-4AE2-822D-BAF3A764E4C2}"/>
    <cellStyle name="Normal 11 2 4 2 6 4" xfId="39119" xr:uid="{C96648DB-0487-4A07-80AC-6EAD92F61CA6}"/>
    <cellStyle name="Normal 11 2 4 2 7" xfId="7266" xr:uid="{27D37EBC-DA76-493F-8CB5-A958D83F8ADC}"/>
    <cellStyle name="Normal 11 2 4 2 7 2" xfId="15646" xr:uid="{B5A8668C-E0FC-4B65-8D2D-6A3D8549700E}"/>
    <cellStyle name="Normal 11 2 4 2 7 2 2" xfId="32406" xr:uid="{F662F5B4-38CC-487C-9D80-CA0D79ED96FE}"/>
    <cellStyle name="Normal 11 2 4 2 7 2 3" xfId="49165" xr:uid="{6E158AC0-9EFF-430D-9166-8498CDFCD480}"/>
    <cellStyle name="Normal 11 2 4 2 7 3" xfId="24026" xr:uid="{0B64C780-18A7-4EB3-9E04-64577B681279}"/>
    <cellStyle name="Normal 11 2 4 2 7 4" xfId="40785" xr:uid="{3BF96D32-8EBF-4519-A7B5-C6420A5DD085}"/>
    <cellStyle name="Normal 11 2 4 2 8" xfId="7672" xr:uid="{7DDA5F1D-AB5A-42FC-945C-6AE1ECBC3A4D}"/>
    <cellStyle name="Normal 11 2 4 2 8 2" xfId="16052" xr:uid="{8E098DA6-47EE-43B7-B8B9-C2FA3761C6FA}"/>
    <cellStyle name="Normal 11 2 4 2 8 2 2" xfId="32812" xr:uid="{3F8AAD30-4065-4114-8B13-CA5A87DC2C69}"/>
    <cellStyle name="Normal 11 2 4 2 8 2 3" xfId="49571" xr:uid="{8A9757C6-AED4-44D3-B379-2D08173CDC34}"/>
    <cellStyle name="Normal 11 2 4 2 8 3" xfId="24432" xr:uid="{F56D0470-ABB1-4CB7-BB2C-C6B9AEC942FF}"/>
    <cellStyle name="Normal 11 2 4 2 8 4" xfId="41191" xr:uid="{AC9AF50F-2176-4FFA-B326-6F2FDD1CBD9B}"/>
    <cellStyle name="Normal 11 2 4 2 9" xfId="8078" xr:uid="{D900023F-F22D-4AB9-A2FE-06E95AB44F3A}"/>
    <cellStyle name="Normal 11 2 4 2 9 2" xfId="16458" xr:uid="{598551A1-46DA-4FAF-BAC7-8FE8B5864DEA}"/>
    <cellStyle name="Normal 11 2 4 2 9 2 2" xfId="33218" xr:uid="{BC0E217E-7915-41BF-8C19-F22E81CA2417}"/>
    <cellStyle name="Normal 11 2 4 2 9 2 3" xfId="49977" xr:uid="{07456814-5ABE-4B79-9ECD-196749802897}"/>
    <cellStyle name="Normal 11 2 4 2 9 3" xfId="24838" xr:uid="{99617ABA-1848-4E7C-B921-9B510D057654}"/>
    <cellStyle name="Normal 11 2 4 2 9 4" xfId="41597" xr:uid="{FAC4F905-FCAE-42BE-86FB-11BE0FC12DF2}"/>
    <cellStyle name="Normal 11 2 4 3" xfId="503" xr:uid="{A0B563B1-FFF2-4817-B534-69332FB2DB6D}"/>
    <cellStyle name="Normal 11 2 4 3 10" xfId="8631" xr:uid="{FD04F103-C1DC-42F8-9054-4715B892EE11}"/>
    <cellStyle name="Normal 11 2 4 3 10 2" xfId="17011" xr:uid="{22A95961-DB36-485D-92B2-B104DA0FDA95}"/>
    <cellStyle name="Normal 11 2 4 3 10 2 2" xfId="33771" xr:uid="{A8C0D170-40DC-49BB-B5DB-A854B600DA7B}"/>
    <cellStyle name="Normal 11 2 4 3 10 2 3" xfId="50530" xr:uid="{35F63B75-5C0A-4108-BE42-0AC8F3864904}"/>
    <cellStyle name="Normal 11 2 4 3 10 3" xfId="25391" xr:uid="{671787F0-9B65-4FB0-BEE3-CEF1451548FC}"/>
    <cellStyle name="Normal 11 2 4 3 10 4" xfId="42150" xr:uid="{269AAE9F-D456-4A35-B8AE-9312ACE2C467}"/>
    <cellStyle name="Normal 11 2 4 3 11" xfId="2335" xr:uid="{FA306907-98EE-49A4-BE95-C5207A9FDC71}"/>
    <cellStyle name="Normal 11 2 4 3 11 2" xfId="10717" xr:uid="{0922FD90-F185-482A-AFFB-7855655F3323}"/>
    <cellStyle name="Normal 11 2 4 3 11 2 2" xfId="27477" xr:uid="{926AC065-1981-4220-A6C9-514DC7921F73}"/>
    <cellStyle name="Normal 11 2 4 3 11 2 3" xfId="44236" xr:uid="{CE21FA66-FAAD-45E4-AB50-74105C15095E}"/>
    <cellStyle name="Normal 11 2 4 3 11 3" xfId="19097" xr:uid="{EC759602-BB5C-409B-B522-CDE8F9587CA5}"/>
    <cellStyle name="Normal 11 2 4 3 11 4" xfId="35856" xr:uid="{C1BC88FB-499C-4402-96BB-F532D5CE459D}"/>
    <cellStyle name="Normal 11 2 4 3 12" xfId="8914" xr:uid="{190BD885-D616-4A2B-BD11-F6C62BCBEF22}"/>
    <cellStyle name="Normal 11 2 4 3 12 2" xfId="25674" xr:uid="{33D1B849-BC67-4556-9C8D-B63BFB193FA8}"/>
    <cellStyle name="Normal 11 2 4 3 12 3" xfId="42433" xr:uid="{1AB4995F-1913-49E3-B4F4-15C6B01C2D13}"/>
    <cellStyle name="Normal 11 2 4 3 13" xfId="17294" xr:uid="{EC2BB196-92C9-4115-92F3-B9C3B8F628C5}"/>
    <cellStyle name="Normal 11 2 4 3 14" xfId="34053" xr:uid="{D6474A4B-0605-4325-BE95-55A0942ED93C}"/>
    <cellStyle name="Normal 11 2 4 3 2" xfId="945" xr:uid="{15FCE195-8FA8-4B45-A15A-73FD1C2180ED}"/>
    <cellStyle name="Normal 11 2 4 3 2 2" xfId="4340" xr:uid="{3FA66F21-ECB0-4AE3-9DA9-7DE04340A926}"/>
    <cellStyle name="Normal 11 2 4 3 2 2 2" xfId="12720" xr:uid="{B2BBE179-0910-4577-9E9C-653FA6AE76D7}"/>
    <cellStyle name="Normal 11 2 4 3 2 2 2 2" xfId="29480" xr:uid="{D90E7BA9-59F3-435F-B94B-74520C39B9D1}"/>
    <cellStyle name="Normal 11 2 4 3 2 2 2 3" xfId="46239" xr:uid="{9580DECC-D76B-4EB2-B979-47DD8F777470}"/>
    <cellStyle name="Normal 11 2 4 3 2 2 3" xfId="21100" xr:uid="{8185C47A-C73B-4B35-879E-7870AF713CD9}"/>
    <cellStyle name="Normal 11 2 4 3 2 2 4" xfId="37859" xr:uid="{1915DAC0-98AA-4B0C-8271-AE717B5ECD98}"/>
    <cellStyle name="Normal 11 2 4 3 2 3" xfId="6027" xr:uid="{25BC78B5-800A-4AEA-B33A-FE9025875B1B}"/>
    <cellStyle name="Normal 11 2 4 3 2 3 2" xfId="14407" xr:uid="{1B52CC4B-8885-46F9-BCE5-4366C079DC79}"/>
    <cellStyle name="Normal 11 2 4 3 2 3 2 2" xfId="31167" xr:uid="{7868A1B7-0004-4264-8DEE-88E7CCF3DF51}"/>
    <cellStyle name="Normal 11 2 4 3 2 3 2 3" xfId="47926" xr:uid="{BEA612A5-2229-457F-9BB3-D772AED70899}"/>
    <cellStyle name="Normal 11 2 4 3 2 3 3" xfId="22787" xr:uid="{3CE0D5B4-0AE6-4A62-B304-6043D73E13D4}"/>
    <cellStyle name="Normal 11 2 4 3 2 3 4" xfId="39546" xr:uid="{135BCDB2-683F-451E-946D-1F81C2395213}"/>
    <cellStyle name="Normal 11 2 4 3 2 4" xfId="2763" xr:uid="{616ECE86-C57F-4011-B133-4A9458F31FB5}"/>
    <cellStyle name="Normal 11 2 4 3 2 4 2" xfId="11143" xr:uid="{23A3FC0A-CA17-4A73-B72E-63D4757DCDE6}"/>
    <cellStyle name="Normal 11 2 4 3 2 4 2 2" xfId="27903" xr:uid="{ADED2D10-4025-4C47-BC94-4AD16E9CE0D8}"/>
    <cellStyle name="Normal 11 2 4 3 2 4 2 3" xfId="44662" xr:uid="{98F08793-0124-450F-994A-1F8535FB9056}"/>
    <cellStyle name="Normal 11 2 4 3 2 4 3" xfId="19523" xr:uid="{248FEF5D-C3DA-437C-86E0-6757E3485003}"/>
    <cellStyle name="Normal 11 2 4 3 2 4 4" xfId="36282" xr:uid="{A302297B-AFB6-4E15-B42D-4326DF8493D2}"/>
    <cellStyle name="Normal 11 2 4 3 2 5" xfId="9340" xr:uid="{82AA1A43-40C5-4DCA-93F3-FF65FD06C385}"/>
    <cellStyle name="Normal 11 2 4 3 2 5 2" xfId="26100" xr:uid="{1D77C638-9A98-4910-B431-991EE796283E}"/>
    <cellStyle name="Normal 11 2 4 3 2 5 3" xfId="42859" xr:uid="{707466F6-C500-4A95-ADE7-9C550FDA5904}"/>
    <cellStyle name="Normal 11 2 4 3 2 6" xfId="17720" xr:uid="{35DB31C6-CD49-463C-BE50-A169CC94C6CF}"/>
    <cellStyle name="Normal 11 2 4 3 2 7" xfId="34479" xr:uid="{49151E54-81BE-404F-AEB7-51D35CF838D4}"/>
    <cellStyle name="Normal 11 2 4 3 3" xfId="1379" xr:uid="{0BB0061A-A4BF-44EB-A5CA-5E1B048E2E00}"/>
    <cellStyle name="Normal 11 2 4 3 3 2" xfId="4768" xr:uid="{45DEED93-F1F3-4272-8BD7-E8D673C98E0E}"/>
    <cellStyle name="Normal 11 2 4 3 3 2 2" xfId="13148" xr:uid="{01E7758A-7080-4F23-9261-2421734D64E8}"/>
    <cellStyle name="Normal 11 2 4 3 3 2 2 2" xfId="29908" xr:uid="{623576C2-E452-4891-812C-0241047C74E6}"/>
    <cellStyle name="Normal 11 2 4 3 3 2 2 3" xfId="46667" xr:uid="{5235D197-1314-4FA2-A09D-CF75293B8222}"/>
    <cellStyle name="Normal 11 2 4 3 3 2 3" xfId="21528" xr:uid="{59E760D1-2069-4451-8043-D3C5265BDF01}"/>
    <cellStyle name="Normal 11 2 4 3 3 2 4" xfId="38287" xr:uid="{3C4DB573-508F-4D69-BB1E-81A803EAB754}"/>
    <cellStyle name="Normal 11 2 4 3 3 3" xfId="6455" xr:uid="{67CC59CF-C63C-4F31-AD89-F577049D64D5}"/>
    <cellStyle name="Normal 11 2 4 3 3 3 2" xfId="14835" xr:uid="{C60425E6-5EE3-4F2E-BC9E-DC6B72CEEA24}"/>
    <cellStyle name="Normal 11 2 4 3 3 3 2 2" xfId="31595" xr:uid="{C83CFBED-E01F-4EAD-9D85-D72A5CC75277}"/>
    <cellStyle name="Normal 11 2 4 3 3 3 2 3" xfId="48354" xr:uid="{26DF7A3D-4C71-4E96-965E-B4F5FD49C9DE}"/>
    <cellStyle name="Normal 11 2 4 3 3 3 3" xfId="23215" xr:uid="{7292B72E-688A-4670-8851-94C79608F3C4}"/>
    <cellStyle name="Normal 11 2 4 3 3 3 4" xfId="39974" xr:uid="{5B5BE079-9B11-484E-8CD9-E7D5C79B91F4}"/>
    <cellStyle name="Normal 11 2 4 3 3 4" xfId="3191" xr:uid="{FF80813F-FC0D-4240-96A8-9CB62C083007}"/>
    <cellStyle name="Normal 11 2 4 3 3 4 2" xfId="11571" xr:uid="{5A9E92AA-682D-4D70-B84B-05A09B1B91E4}"/>
    <cellStyle name="Normal 11 2 4 3 3 4 2 2" xfId="28331" xr:uid="{38676E01-D382-476D-B537-9B08F96C6513}"/>
    <cellStyle name="Normal 11 2 4 3 3 4 2 3" xfId="45090" xr:uid="{A23AD8A3-B3C1-4DAC-9106-660E2BF86D7A}"/>
    <cellStyle name="Normal 11 2 4 3 3 4 3" xfId="19951" xr:uid="{82472642-7DD1-47C6-AEDD-6F9BC7D64B26}"/>
    <cellStyle name="Normal 11 2 4 3 3 4 4" xfId="36710" xr:uid="{74E38263-429A-423B-93EA-0B3E89DE4E8A}"/>
    <cellStyle name="Normal 11 2 4 3 3 5" xfId="9768" xr:uid="{86A1C973-6DEB-4BAD-9F7C-537F29AF801D}"/>
    <cellStyle name="Normal 11 2 4 3 3 5 2" xfId="26528" xr:uid="{C76503CD-21BC-4A06-8EA0-F3146D4F10FC}"/>
    <cellStyle name="Normal 11 2 4 3 3 5 3" xfId="43287" xr:uid="{61E2444A-9257-4FA8-A416-57E0BF01B030}"/>
    <cellStyle name="Normal 11 2 4 3 3 6" xfId="18148" xr:uid="{C5BFDEC6-9999-4BC3-902F-C9097D354F25}"/>
    <cellStyle name="Normal 11 2 4 3 3 7" xfId="34907" xr:uid="{80691142-99F2-4C5F-ABA4-3E28C95C6DAC}"/>
    <cellStyle name="Normal 11 2 4 3 4" xfId="1931" xr:uid="{81D4DF0D-1617-4E48-A6BC-A7687055BC08}"/>
    <cellStyle name="Normal 11 2 4 3 4 2" xfId="5320" xr:uid="{087F7C65-948D-4233-A4D4-ADBBAFC95276}"/>
    <cellStyle name="Normal 11 2 4 3 4 2 2" xfId="13700" xr:uid="{42AD65A4-EF8E-4298-9109-1F630E1F1D3C}"/>
    <cellStyle name="Normal 11 2 4 3 4 2 2 2" xfId="30460" xr:uid="{52DFDDC4-1283-4E58-AE93-15A6DB9C5C60}"/>
    <cellStyle name="Normal 11 2 4 3 4 2 2 3" xfId="47219" xr:uid="{9CAFF1D3-86D1-48BF-BF6C-B6F082AEA6A2}"/>
    <cellStyle name="Normal 11 2 4 3 4 2 3" xfId="22080" xr:uid="{3A7E39C7-4E1D-4CE3-BA93-BB1B215B73F4}"/>
    <cellStyle name="Normal 11 2 4 3 4 2 4" xfId="38839" xr:uid="{D116E063-5130-4652-8A49-8C3CF61E7E35}"/>
    <cellStyle name="Normal 11 2 4 3 4 3" xfId="7007" xr:uid="{19D0EB47-1CDA-4FD6-84F9-A76B9B4B926E}"/>
    <cellStyle name="Normal 11 2 4 3 4 3 2" xfId="15387" xr:uid="{61B883A7-ECE5-4FF6-8CE6-2E73107BD41C}"/>
    <cellStyle name="Normal 11 2 4 3 4 3 2 2" xfId="32147" xr:uid="{916C663D-F8B0-4B3F-9C21-9B0E887F5252}"/>
    <cellStyle name="Normal 11 2 4 3 4 3 2 3" xfId="48906" xr:uid="{E55B5A24-E590-47B1-AA7C-79C0F9EBE4BA}"/>
    <cellStyle name="Normal 11 2 4 3 4 3 3" xfId="23767" xr:uid="{14B1B980-2261-4491-A30C-EE11C6497144}"/>
    <cellStyle name="Normal 11 2 4 3 4 3 4" xfId="40526" xr:uid="{C49D8D51-5555-4D89-8558-113A729AD679}"/>
    <cellStyle name="Normal 11 2 4 3 4 4" xfId="3630" xr:uid="{020B9C6E-9127-48F8-9D3D-5700DE042E7C}"/>
    <cellStyle name="Normal 11 2 4 3 4 4 2" xfId="12010" xr:uid="{44A65D40-6084-4691-9285-FA3F9465EEA1}"/>
    <cellStyle name="Normal 11 2 4 3 4 4 2 2" xfId="28770" xr:uid="{ACEFF023-17EC-43D8-BB27-9E2BF7A4FBAB}"/>
    <cellStyle name="Normal 11 2 4 3 4 4 2 3" xfId="45529" xr:uid="{DA0ABF3A-FBE8-4B05-8551-B1BF366A7FE7}"/>
    <cellStyle name="Normal 11 2 4 3 4 4 3" xfId="20390" xr:uid="{04670F49-5325-47BD-BB0F-69A0DFF2931F}"/>
    <cellStyle name="Normal 11 2 4 3 4 4 4" xfId="37149" xr:uid="{79A0DE91-EE6D-44C7-AC03-5332F8415C03}"/>
    <cellStyle name="Normal 11 2 4 3 4 5" xfId="10320" xr:uid="{6B12FC4F-08D6-419D-82B9-F4774ADDA907}"/>
    <cellStyle name="Normal 11 2 4 3 4 5 2" xfId="27080" xr:uid="{B4A07B75-D7D6-4470-A9D6-1BBD924438DA}"/>
    <cellStyle name="Normal 11 2 4 3 4 5 3" xfId="43839" xr:uid="{DDDD0F67-83E5-4A8E-B5ED-DE291D178507}"/>
    <cellStyle name="Normal 11 2 4 3 4 6" xfId="18700" xr:uid="{8AA3053D-847A-43AA-B127-FA7335D16326}"/>
    <cellStyle name="Normal 11 2 4 3 4 7" xfId="35459" xr:uid="{F1DDC5F6-1A93-4E88-8A80-FE7887F4864A}"/>
    <cellStyle name="Normal 11 2 4 3 5" xfId="4050" xr:uid="{D61EFA63-2A6D-41A7-915D-B517EADDAEF0}"/>
    <cellStyle name="Normal 11 2 4 3 5 2" xfId="12430" xr:uid="{264EEE2D-C93C-411A-81C9-8553F452CF69}"/>
    <cellStyle name="Normal 11 2 4 3 5 2 2" xfId="29190" xr:uid="{DC155F5B-25B3-42D0-8C4A-5E304D9C54EC}"/>
    <cellStyle name="Normal 11 2 4 3 5 2 3" xfId="45949" xr:uid="{A52D3C1F-5BB9-4918-9BDC-598E791452D5}"/>
    <cellStyle name="Normal 11 2 4 3 5 3" xfId="20810" xr:uid="{FC21BA2F-7FCA-4AB9-9CAA-A5DD0E403A01}"/>
    <cellStyle name="Normal 11 2 4 3 5 4" xfId="37569" xr:uid="{072FF50C-FBEF-4BF4-8D2E-22FBF994FE51}"/>
    <cellStyle name="Normal 11 2 4 3 6" xfId="5601" xr:uid="{1DFAA5DB-8126-494D-8EBC-5C44AB7B88F3}"/>
    <cellStyle name="Normal 11 2 4 3 6 2" xfId="13981" xr:uid="{7F237284-AE06-422A-B2DF-18144EA4AB4C}"/>
    <cellStyle name="Normal 11 2 4 3 6 2 2" xfId="30741" xr:uid="{9FCE55A3-7298-4705-9DA2-F1A51335A177}"/>
    <cellStyle name="Normal 11 2 4 3 6 2 3" xfId="47500" xr:uid="{0C3FA9E5-D261-4386-87FF-02C3AA3FDEA5}"/>
    <cellStyle name="Normal 11 2 4 3 6 3" xfId="22361" xr:uid="{328DE737-C811-4B15-ADAE-437D6B9F5C32}"/>
    <cellStyle name="Normal 11 2 4 3 6 4" xfId="39120" xr:uid="{8CACEEEB-71B8-4AE3-8ED7-BC4EA96E5E2B}"/>
    <cellStyle name="Normal 11 2 4 3 7" xfId="7413" xr:uid="{87C87F6B-4E88-4D2E-9598-BC9B613A1DCC}"/>
    <cellStyle name="Normal 11 2 4 3 7 2" xfId="15793" xr:uid="{BC619E58-914F-4296-99F9-9F7734EE65DD}"/>
    <cellStyle name="Normal 11 2 4 3 7 2 2" xfId="32553" xr:uid="{3E9891EE-A927-47A5-AFF6-3F9F3E5ED546}"/>
    <cellStyle name="Normal 11 2 4 3 7 2 3" xfId="49312" xr:uid="{B96C5611-10C7-4CDC-9D5D-58E962672258}"/>
    <cellStyle name="Normal 11 2 4 3 7 3" xfId="24173" xr:uid="{C5A7090E-4483-4B11-A4D0-DA885A031895}"/>
    <cellStyle name="Normal 11 2 4 3 7 4" xfId="40932" xr:uid="{7A009D43-A430-43E8-882E-DFC0DBC01CA2}"/>
    <cellStyle name="Normal 11 2 4 3 8" xfId="7819" xr:uid="{6B5B62CA-BD23-4611-9E26-ABD1211C326D}"/>
    <cellStyle name="Normal 11 2 4 3 8 2" xfId="16199" xr:uid="{45F27E87-0D45-4B51-A550-B2A2A99E7CFA}"/>
    <cellStyle name="Normal 11 2 4 3 8 2 2" xfId="32959" xr:uid="{D1484CDC-9473-4C49-8315-4F589FEAD8A6}"/>
    <cellStyle name="Normal 11 2 4 3 8 2 3" xfId="49718" xr:uid="{29316708-52EB-4BD0-84B4-8CB81321450A}"/>
    <cellStyle name="Normal 11 2 4 3 8 3" xfId="24579" xr:uid="{1176041C-235F-4587-9C85-3DEBA74E3F5D}"/>
    <cellStyle name="Normal 11 2 4 3 8 4" xfId="41338" xr:uid="{3BBF4A40-9CB8-45AA-99F2-0326650468E6}"/>
    <cellStyle name="Normal 11 2 4 3 9" xfId="8225" xr:uid="{2BE1DA52-D24F-4C84-903E-B5CE1A72DC57}"/>
    <cellStyle name="Normal 11 2 4 3 9 2" xfId="16605" xr:uid="{799FDF4A-54C9-49B9-A6A7-CC5297924170}"/>
    <cellStyle name="Normal 11 2 4 3 9 2 2" xfId="33365" xr:uid="{C2DA7148-F746-485F-890D-21ADC3AC25DF}"/>
    <cellStyle name="Normal 11 2 4 3 9 2 3" xfId="50124" xr:uid="{2E1D1327-E82F-40F6-AB14-59970D1CBD29}"/>
    <cellStyle name="Normal 11 2 4 3 9 3" xfId="24985" xr:uid="{20DFE947-2FFB-4F76-A330-3C7C549351DE}"/>
    <cellStyle name="Normal 11 2 4 3 9 4" xfId="41744" xr:uid="{539A2EAC-C43B-445E-BB23-F0F8F38D9FFC}"/>
    <cellStyle name="Normal 11 2 4 4" xfId="943" xr:uid="{56666EB0-D33D-4FAC-9E9B-C657737F5C71}"/>
    <cellStyle name="Normal 11 2 4 4 2" xfId="4338" xr:uid="{663CFDC5-CDE2-4BD7-B61B-9AD0A7C26595}"/>
    <cellStyle name="Normal 11 2 4 4 2 2" xfId="12718" xr:uid="{F1D5EBE4-CC0B-42CE-A8F2-CFD0BB04F521}"/>
    <cellStyle name="Normal 11 2 4 4 2 2 2" xfId="29478" xr:uid="{A0D6E7E4-35B2-48D6-9D99-AECC9107D5BB}"/>
    <cellStyle name="Normal 11 2 4 4 2 2 3" xfId="46237" xr:uid="{381027C0-28F8-4236-9091-B907FE23B60F}"/>
    <cellStyle name="Normal 11 2 4 4 2 3" xfId="21098" xr:uid="{8EAC60F1-D012-4C13-A894-671C90E992B0}"/>
    <cellStyle name="Normal 11 2 4 4 2 4" xfId="37857" xr:uid="{22AD3505-C257-4B3A-AC3C-D2B44B65F613}"/>
    <cellStyle name="Normal 11 2 4 4 3" xfId="6025" xr:uid="{BEBEEDD0-D7FB-481D-A5EC-16635D05D7E2}"/>
    <cellStyle name="Normal 11 2 4 4 3 2" xfId="14405" xr:uid="{C049C02D-E142-44A3-8FAF-5B2504000682}"/>
    <cellStyle name="Normal 11 2 4 4 3 2 2" xfId="31165" xr:uid="{0BBDD63B-E3CD-4F08-8E91-862BE3B7A133}"/>
    <cellStyle name="Normal 11 2 4 4 3 2 3" xfId="47924" xr:uid="{1A6BD121-C3F8-43EB-AA3F-4BB2DF6A8B42}"/>
    <cellStyle name="Normal 11 2 4 4 3 3" xfId="22785" xr:uid="{8AEFDA0F-1C26-4128-9EEC-8126055B1DFA}"/>
    <cellStyle name="Normal 11 2 4 4 3 4" xfId="39544" xr:uid="{53014ACB-BD18-4F82-8071-E6D399F6B58D}"/>
    <cellStyle name="Normal 11 2 4 4 4" xfId="2761" xr:uid="{B8EC5519-37A4-45D6-8D4D-81EF20C1734A}"/>
    <cellStyle name="Normal 11 2 4 4 4 2" xfId="11141" xr:uid="{C9269A5E-8E05-4372-B22B-4D2B14AD81D8}"/>
    <cellStyle name="Normal 11 2 4 4 4 2 2" xfId="27901" xr:uid="{F5B03798-3AD6-4101-8576-82EE9009722C}"/>
    <cellStyle name="Normal 11 2 4 4 4 2 3" xfId="44660" xr:uid="{099D42D2-A54B-462F-8F6B-D5828E2517B9}"/>
    <cellStyle name="Normal 11 2 4 4 4 3" xfId="19521" xr:uid="{CE9A5731-45FC-42D5-80CB-9DC1D8206C48}"/>
    <cellStyle name="Normal 11 2 4 4 4 4" xfId="36280" xr:uid="{3DF73426-C0F0-4FD5-8A80-FD67FA3AEF2D}"/>
    <cellStyle name="Normal 11 2 4 4 5" xfId="9338" xr:uid="{0214E4B6-88C8-441F-A222-AB4E0D7D3461}"/>
    <cellStyle name="Normal 11 2 4 4 5 2" xfId="26098" xr:uid="{B38BEF7B-0732-47E5-8D14-EE60A342743A}"/>
    <cellStyle name="Normal 11 2 4 4 5 3" xfId="42857" xr:uid="{55696839-8255-46FB-8287-897F71C2B07C}"/>
    <cellStyle name="Normal 11 2 4 4 6" xfId="17718" xr:uid="{3719C8B6-EF19-40AF-B925-F5AF65AC35C2}"/>
    <cellStyle name="Normal 11 2 4 4 7" xfId="34477" xr:uid="{40E40575-6F58-43E0-A882-DCCAE7E0FBB8}"/>
    <cellStyle name="Normal 11 2 4 5" xfId="1377" xr:uid="{15338989-89F5-4786-B6C2-8D99BF467D1E}"/>
    <cellStyle name="Normal 11 2 4 5 2" xfId="4766" xr:uid="{D0FB0B86-2671-4AA3-AEF9-89C15D29E056}"/>
    <cellStyle name="Normal 11 2 4 5 2 2" xfId="13146" xr:uid="{57ACA2DA-A91D-43A7-A421-EBB3A7E2CF63}"/>
    <cellStyle name="Normal 11 2 4 5 2 2 2" xfId="29906" xr:uid="{B5938E8F-2410-4508-8E51-C454F407BD8C}"/>
    <cellStyle name="Normal 11 2 4 5 2 2 3" xfId="46665" xr:uid="{BEC1F344-80DD-46EE-98F4-4AEBC61403E6}"/>
    <cellStyle name="Normal 11 2 4 5 2 3" xfId="21526" xr:uid="{6DAD9E35-608A-4B62-88C9-4C937D432500}"/>
    <cellStyle name="Normal 11 2 4 5 2 4" xfId="38285" xr:uid="{9EEE9503-C569-44D2-8BA9-DD1F2D4EF745}"/>
    <cellStyle name="Normal 11 2 4 5 3" xfId="6453" xr:uid="{9D4D2BCE-F017-4468-8310-1E7DCCDE4769}"/>
    <cellStyle name="Normal 11 2 4 5 3 2" xfId="14833" xr:uid="{37B5FAC9-0AD1-4BA2-9DD4-AB9794287411}"/>
    <cellStyle name="Normal 11 2 4 5 3 2 2" xfId="31593" xr:uid="{DF11ADE0-0151-4698-A358-EBC1C85BC27F}"/>
    <cellStyle name="Normal 11 2 4 5 3 2 3" xfId="48352" xr:uid="{2488A0ED-86E9-4D38-A404-D33B879640CD}"/>
    <cellStyle name="Normal 11 2 4 5 3 3" xfId="23213" xr:uid="{511CAAE2-8E56-455F-9D7D-ACD3440D0FB9}"/>
    <cellStyle name="Normal 11 2 4 5 3 4" xfId="39972" xr:uid="{0EF27D2E-7E9D-42B1-8C7B-4796E19D3F9D}"/>
    <cellStyle name="Normal 11 2 4 5 4" xfId="3189" xr:uid="{B34771D7-1AE5-468D-BE04-22680E631953}"/>
    <cellStyle name="Normal 11 2 4 5 4 2" xfId="11569" xr:uid="{0F60A128-75B7-40D8-B052-08D57594AAB8}"/>
    <cellStyle name="Normal 11 2 4 5 4 2 2" xfId="28329" xr:uid="{54773BFB-6CE5-435A-8C90-50B6B4CA4D5B}"/>
    <cellStyle name="Normal 11 2 4 5 4 2 3" xfId="45088" xr:uid="{29B39BBA-7603-4963-915E-0594E64EE2F3}"/>
    <cellStyle name="Normal 11 2 4 5 4 3" xfId="19949" xr:uid="{24BB56C0-02CA-4DC9-A13A-C4671A1D3C52}"/>
    <cellStyle name="Normal 11 2 4 5 4 4" xfId="36708" xr:uid="{527C0D47-E798-49FC-91C7-E76F3D7041F2}"/>
    <cellStyle name="Normal 11 2 4 5 5" xfId="9766" xr:uid="{E9FEB7DA-F03C-4405-9812-747FAF66F6E7}"/>
    <cellStyle name="Normal 11 2 4 5 5 2" xfId="26526" xr:uid="{B025354D-6DD8-47CE-B1F2-E0CF26017677}"/>
    <cellStyle name="Normal 11 2 4 5 5 3" xfId="43285" xr:uid="{4AD1FCC2-09E3-4E7A-9478-18FEFCC95E72}"/>
    <cellStyle name="Normal 11 2 4 5 6" xfId="18146" xr:uid="{3E684508-39FB-4B26-94BC-157D66482773}"/>
    <cellStyle name="Normal 11 2 4 5 7" xfId="34905" xr:uid="{C35F5940-1F8C-4FD4-83F5-D58FBE517DC0}"/>
    <cellStyle name="Normal 11 2 4 6" xfId="1660" xr:uid="{722F285F-F235-42AC-83CB-741C285F3EBF}"/>
    <cellStyle name="Normal 11 2 4 6 2" xfId="5049" xr:uid="{97C6CF88-CBA3-4682-98B7-F22D29BE0A83}"/>
    <cellStyle name="Normal 11 2 4 6 2 2" xfId="13429" xr:uid="{6B053953-CC0D-4CEF-9888-B501E1284A7F}"/>
    <cellStyle name="Normal 11 2 4 6 2 2 2" xfId="30189" xr:uid="{0805C79C-B290-43E8-88E7-C8AFA5E119ED}"/>
    <cellStyle name="Normal 11 2 4 6 2 2 3" xfId="46948" xr:uid="{8ED45C95-B666-4BD1-A403-2FCE6C04373D}"/>
    <cellStyle name="Normal 11 2 4 6 2 3" xfId="21809" xr:uid="{2CC16C2A-41E5-4EDE-B3EE-8FE4476F8DAA}"/>
    <cellStyle name="Normal 11 2 4 6 2 4" xfId="38568" xr:uid="{4A1FB954-075C-4B77-93F3-BD2CC4177172}"/>
    <cellStyle name="Normal 11 2 4 6 3" xfId="6736" xr:uid="{4E24029D-DB4A-41BD-A875-0C9C11066397}"/>
    <cellStyle name="Normal 11 2 4 6 3 2" xfId="15116" xr:uid="{DBBB07C9-61A1-45B2-BF3D-3F382366B517}"/>
    <cellStyle name="Normal 11 2 4 6 3 2 2" xfId="31876" xr:uid="{1C1ED973-F86F-4B0D-B38D-73D8666E62DD}"/>
    <cellStyle name="Normal 11 2 4 6 3 2 3" xfId="48635" xr:uid="{B9D1EC09-7BB0-4DD8-B81F-CC8B5D50776B}"/>
    <cellStyle name="Normal 11 2 4 6 3 3" xfId="23496" xr:uid="{97C3AA77-C5B1-45DF-8739-FCBC982BC3C6}"/>
    <cellStyle name="Normal 11 2 4 6 3 4" xfId="40255" xr:uid="{03BDE068-ECE8-4375-B89E-B8F133D5D7F0}"/>
    <cellStyle name="Normal 11 2 4 6 4" xfId="2333" xr:uid="{A3E2F9AA-5464-416B-9738-A203AA74DFD6}"/>
    <cellStyle name="Normal 11 2 4 6 4 2" xfId="10715" xr:uid="{4EBF6000-CF4D-47E0-9591-52D8622FAB0F}"/>
    <cellStyle name="Normal 11 2 4 6 4 2 2" xfId="27475" xr:uid="{B8F73E24-5250-431F-8B2F-8B24B4C9C1D1}"/>
    <cellStyle name="Normal 11 2 4 6 4 2 3" xfId="44234" xr:uid="{B5073467-123B-4F0D-93E2-A4490B5E6ABF}"/>
    <cellStyle name="Normal 11 2 4 6 4 3" xfId="19095" xr:uid="{D26DAAF7-0B1A-45CB-BFD1-A8C961688C68}"/>
    <cellStyle name="Normal 11 2 4 6 4 4" xfId="35854" xr:uid="{568DC2A9-2165-412F-8829-DE75CFCDCDC2}"/>
    <cellStyle name="Normal 11 2 4 6 5" xfId="10049" xr:uid="{94F7B03D-07C6-4EB8-BBDA-7FEC6D72393D}"/>
    <cellStyle name="Normal 11 2 4 6 5 2" xfId="26809" xr:uid="{E3E2B760-5117-47A5-B8FE-0C0B9A69F40F}"/>
    <cellStyle name="Normal 11 2 4 6 5 3" xfId="43568" xr:uid="{7B501433-16C7-45D7-8E47-BD6BEE7EAFA0}"/>
    <cellStyle name="Normal 11 2 4 6 6" xfId="18429" xr:uid="{98BD4FEB-4FA6-4B0C-A73E-6F9CE4B373B8}"/>
    <cellStyle name="Normal 11 2 4 6 7" xfId="35188" xr:uid="{D0EF6FFA-843F-45D5-9D8E-A18E7C22A658}"/>
    <cellStyle name="Normal 11 2 4 7" xfId="3778" xr:uid="{6CA6CAC4-39B1-4B20-A5FB-8A2E2DF3FC22}"/>
    <cellStyle name="Normal 11 2 4 7 2" xfId="12158" xr:uid="{86905750-690E-4432-9073-254DACFAA67C}"/>
    <cellStyle name="Normal 11 2 4 7 2 2" xfId="28918" xr:uid="{80D60F71-27AE-436E-B816-8C46995FBE35}"/>
    <cellStyle name="Normal 11 2 4 7 2 3" xfId="45677" xr:uid="{5BC1E049-EBEA-427F-95A4-EB7A8D4F3511}"/>
    <cellStyle name="Normal 11 2 4 7 3" xfId="20538" xr:uid="{D87957D7-7251-4AA4-ABF5-898E6D4564DC}"/>
    <cellStyle name="Normal 11 2 4 7 4" xfId="37297" xr:uid="{3CAA6382-B277-424B-BE94-ACC4658BEF64}"/>
    <cellStyle name="Normal 11 2 4 8" xfId="5599" xr:uid="{0D93D1FF-0B69-40E5-A871-49BE97908E3A}"/>
    <cellStyle name="Normal 11 2 4 8 2" xfId="13979" xr:uid="{D076B7BB-2047-4630-AD17-46D6E2DE9604}"/>
    <cellStyle name="Normal 11 2 4 8 2 2" xfId="30739" xr:uid="{10904831-E814-46F5-86D6-7B2FDAE67809}"/>
    <cellStyle name="Normal 11 2 4 8 2 3" xfId="47498" xr:uid="{01253EB1-D358-4870-A5B0-69CF910EDEEF}"/>
    <cellStyle name="Normal 11 2 4 8 3" xfId="22359" xr:uid="{D70E744C-6BC9-49C1-9F05-2D7CF0E8DD3B}"/>
    <cellStyle name="Normal 11 2 4 8 4" xfId="39118" xr:uid="{3857DE56-FC86-4FE9-91FC-41287F5C153D}"/>
    <cellStyle name="Normal 11 2 4 9" xfId="7142" xr:uid="{78929276-7B87-433D-95FC-8B03F4CB2351}"/>
    <cellStyle name="Normal 11 2 4 9 2" xfId="15522" xr:uid="{42E5C7A9-7359-4F35-88C5-935CEE8C1DF1}"/>
    <cellStyle name="Normal 11 2 4 9 2 2" xfId="32282" xr:uid="{47A56AAF-147A-442B-B00F-1F3B8D2487A3}"/>
    <cellStyle name="Normal 11 2 4 9 2 3" xfId="49041" xr:uid="{0C80973C-1C88-46D6-9E6F-9333F5039C29}"/>
    <cellStyle name="Normal 11 2 4 9 3" xfId="23902" xr:uid="{F7955D5B-D794-4271-94CB-BD55E08E165B}"/>
    <cellStyle name="Normal 11 2 4 9 4" xfId="40661" xr:uid="{37014790-B2BF-4A8E-8EB1-2FDC5AD909B3}"/>
    <cellStyle name="Normal 11 2 5" xfId="504" xr:uid="{3AB5FCFF-7FF7-42A0-BE9C-F36294928630}"/>
    <cellStyle name="Normal 11 2 5 10" xfId="7632" xr:uid="{8578965F-9D3C-4A81-9500-B7E6A7BD4D19}"/>
    <cellStyle name="Normal 11 2 5 10 2" xfId="16012" xr:uid="{81E8659F-47D5-408E-838C-8E9E71749121}"/>
    <cellStyle name="Normal 11 2 5 10 2 2" xfId="32772" xr:uid="{6F781DB0-1E4F-4D8D-937A-18C458F6E0B7}"/>
    <cellStyle name="Normal 11 2 5 10 2 3" xfId="49531" xr:uid="{ED6DEF48-79CC-47AF-BB4F-3C8072246D85}"/>
    <cellStyle name="Normal 11 2 5 10 3" xfId="24392" xr:uid="{A5ABB513-2F3A-4D1F-AD8F-635A09516971}"/>
    <cellStyle name="Normal 11 2 5 10 4" xfId="41151" xr:uid="{7C8A35F9-9ADC-4EDF-9D27-D6B6BD0143C1}"/>
    <cellStyle name="Normal 11 2 5 11" xfId="8038" xr:uid="{5CC350B7-107D-4EEC-AED4-8F2784EC3367}"/>
    <cellStyle name="Normal 11 2 5 11 2" xfId="16418" xr:uid="{1C32C839-73ED-4DBB-BAC6-54A52CD32DBE}"/>
    <cellStyle name="Normal 11 2 5 11 2 2" xfId="33178" xr:uid="{83A5171D-1CEB-4A9F-BEF1-57DFCC64F0AB}"/>
    <cellStyle name="Normal 11 2 5 11 2 3" xfId="49937" xr:uid="{3420A08D-53AA-4791-A3DD-65FAFF826C53}"/>
    <cellStyle name="Normal 11 2 5 11 3" xfId="24798" xr:uid="{382DD1EC-04E5-4415-8F08-2326B57C01C2}"/>
    <cellStyle name="Normal 11 2 5 11 4" xfId="41557" xr:uid="{2F8E9F9E-19E1-4FBD-8426-0AE0BEBDE1B2}"/>
    <cellStyle name="Normal 11 2 5 12" xfId="8444" xr:uid="{E91CEB64-7559-4D44-BF4D-6EC2A40205C0}"/>
    <cellStyle name="Normal 11 2 5 12 2" xfId="16824" xr:uid="{8487DF44-E337-4F50-AA7B-593A09C58E9E}"/>
    <cellStyle name="Normal 11 2 5 12 2 2" xfId="33584" xr:uid="{C2B7C60F-7C58-480F-8BC2-06213D6A0F70}"/>
    <cellStyle name="Normal 11 2 5 12 2 3" xfId="50343" xr:uid="{EFAA6E20-69DA-4DE0-B32F-AA79AEC86EF1}"/>
    <cellStyle name="Normal 11 2 5 12 3" xfId="25204" xr:uid="{30D30958-5A9F-4C49-BA92-C2DF20FEEC7B}"/>
    <cellStyle name="Normal 11 2 5 12 4" xfId="41963" xr:uid="{75F7114C-FD15-426C-B716-8AAD09DAEAC6}"/>
    <cellStyle name="Normal 11 2 5 13" xfId="2131" xr:uid="{4955D239-3B20-4313-8642-8D2701687587}"/>
    <cellStyle name="Normal 11 2 5 13 2" xfId="10519" xr:uid="{4AB2A4E8-EE7D-4944-A8D7-52282FB313BA}"/>
    <cellStyle name="Normal 11 2 5 13 2 2" xfId="27279" xr:uid="{35732002-EAAF-4AC8-AA43-F76537E9FD9F}"/>
    <cellStyle name="Normal 11 2 5 13 2 3" xfId="44038" xr:uid="{46C0C634-AA49-47DC-A66B-45C2B948EAEC}"/>
    <cellStyle name="Normal 11 2 5 13 3" xfId="18899" xr:uid="{72C3B8E1-327D-4D5D-B788-DFC85095DC28}"/>
    <cellStyle name="Normal 11 2 5 13 4" xfId="35658" xr:uid="{E2753298-EFBC-473A-85EF-AD5AB6C2831B}"/>
    <cellStyle name="Normal 11 2 5 14" xfId="8915" xr:uid="{A29760DD-4281-4A44-80D1-80BF098799D6}"/>
    <cellStyle name="Normal 11 2 5 14 2" xfId="25675" xr:uid="{115EFEC9-9DFD-4E0E-AF7B-004672F7E7CD}"/>
    <cellStyle name="Normal 11 2 5 14 3" xfId="42434" xr:uid="{615FA497-4835-4721-8EA2-FD1E22A5B4FF}"/>
    <cellStyle name="Normal 11 2 5 15" xfId="17295" xr:uid="{BBCDC1D0-19B0-4972-BD53-2C501F522319}"/>
    <cellStyle name="Normal 11 2 5 16" xfId="34054" xr:uid="{CFE19807-BD15-40D4-9D07-51268B9F9AD3}"/>
    <cellStyle name="Normal 11 2 5 2" xfId="505" xr:uid="{03439AC9-BBD0-498E-A5EA-A2A6CE1664BF}"/>
    <cellStyle name="Normal 11 2 5 2 10" xfId="8485" xr:uid="{D93E9700-13C8-4A5B-A976-877A5D9DABC8}"/>
    <cellStyle name="Normal 11 2 5 2 10 2" xfId="16865" xr:uid="{EF63AC48-48DC-4DC9-86B0-3ED99DB503B4}"/>
    <cellStyle name="Normal 11 2 5 2 10 2 2" xfId="33625" xr:uid="{79B38415-855E-41F5-888F-4068F24E8312}"/>
    <cellStyle name="Normal 11 2 5 2 10 2 3" xfId="50384" xr:uid="{433581CA-2DAE-45BD-897A-2F1C36129E8B}"/>
    <cellStyle name="Normal 11 2 5 2 10 3" xfId="25245" xr:uid="{4FD1934A-60FB-4E7E-AD54-9D7CA5F9DF3F}"/>
    <cellStyle name="Normal 11 2 5 2 10 4" xfId="42004" xr:uid="{FE583DAA-82EF-481E-BACB-FDC09BFEEF19}"/>
    <cellStyle name="Normal 11 2 5 2 11" xfId="2337" xr:uid="{C320C629-B6A1-4713-811A-11F4A611904B}"/>
    <cellStyle name="Normal 11 2 5 2 11 2" xfId="10719" xr:uid="{82946217-95B8-47B2-A33D-FCD3B67C5F8C}"/>
    <cellStyle name="Normal 11 2 5 2 11 2 2" xfId="27479" xr:uid="{03912794-4C1C-46D5-B2CF-E6E5312196C7}"/>
    <cellStyle name="Normal 11 2 5 2 11 2 3" xfId="44238" xr:uid="{266A1B17-04A3-4277-98B6-4259997E6266}"/>
    <cellStyle name="Normal 11 2 5 2 11 3" xfId="19099" xr:uid="{E20F3F1A-EC74-4D6C-A367-78B6E8273828}"/>
    <cellStyle name="Normal 11 2 5 2 11 4" xfId="35858" xr:uid="{D1A8E15C-767C-44A5-9E5B-265190387CE2}"/>
    <cellStyle name="Normal 11 2 5 2 12" xfId="8916" xr:uid="{F9D206FB-B046-40BD-9B73-2F0D5EF37CC8}"/>
    <cellStyle name="Normal 11 2 5 2 12 2" xfId="25676" xr:uid="{8EB34207-EE05-4BF7-8710-230B5B1189D9}"/>
    <cellStyle name="Normal 11 2 5 2 12 3" xfId="42435" xr:uid="{18AA6205-3B50-4382-B95D-575403781943}"/>
    <cellStyle name="Normal 11 2 5 2 13" xfId="17296" xr:uid="{8CC047BD-131A-4154-B646-8A0A8F38A46A}"/>
    <cellStyle name="Normal 11 2 5 2 14" xfId="34055" xr:uid="{18825AC5-F6DD-4706-96B3-506E0587E578}"/>
    <cellStyle name="Normal 11 2 5 2 2" xfId="947" xr:uid="{C6CDD9E4-4D6E-449B-BD82-E6FF85595A63}"/>
    <cellStyle name="Normal 11 2 5 2 2 2" xfId="4342" xr:uid="{7DEFC049-9B73-4C22-B8FB-0514E139EC9D}"/>
    <cellStyle name="Normal 11 2 5 2 2 2 2" xfId="12722" xr:uid="{0F53ECAA-03C0-4465-9653-CF5848E5FF78}"/>
    <cellStyle name="Normal 11 2 5 2 2 2 2 2" xfId="29482" xr:uid="{57278C73-5D03-41AB-A7EA-935A7A679A7D}"/>
    <cellStyle name="Normal 11 2 5 2 2 2 2 3" xfId="46241" xr:uid="{FF0483DE-DDAA-4168-BE2E-FFD3FA093342}"/>
    <cellStyle name="Normal 11 2 5 2 2 2 3" xfId="21102" xr:uid="{6C9BBB72-1567-4097-9D4B-A7789D696C9D}"/>
    <cellStyle name="Normal 11 2 5 2 2 2 4" xfId="37861" xr:uid="{80F18D4A-940B-4EF9-A33E-28D292B2C22C}"/>
    <cellStyle name="Normal 11 2 5 2 2 3" xfId="6029" xr:uid="{B03733B0-44C4-4554-8508-599104C9D5BD}"/>
    <cellStyle name="Normal 11 2 5 2 2 3 2" xfId="14409" xr:uid="{1E1BC943-16DE-42AE-B70E-4EF88027945C}"/>
    <cellStyle name="Normal 11 2 5 2 2 3 2 2" xfId="31169" xr:uid="{73C5AA35-A96C-4A48-B1A6-79BF2F2B3AC2}"/>
    <cellStyle name="Normal 11 2 5 2 2 3 2 3" xfId="47928" xr:uid="{762D7FE0-1760-49D6-94F8-28F31C93B8D4}"/>
    <cellStyle name="Normal 11 2 5 2 2 3 3" xfId="22789" xr:uid="{7E64C15E-9744-4017-8142-8F3F94CBCF22}"/>
    <cellStyle name="Normal 11 2 5 2 2 3 4" xfId="39548" xr:uid="{FD009D22-4B23-4D92-8B1D-9E646FAD6535}"/>
    <cellStyle name="Normal 11 2 5 2 2 4" xfId="2765" xr:uid="{CBA14A79-4C2B-438C-A658-34B1CE00B633}"/>
    <cellStyle name="Normal 11 2 5 2 2 4 2" xfId="11145" xr:uid="{94B05790-ACE4-4EBE-A7B0-7E9CD6EBDE0D}"/>
    <cellStyle name="Normal 11 2 5 2 2 4 2 2" xfId="27905" xr:uid="{365C272B-F278-4D0B-9DA3-87540FB8BAFA}"/>
    <cellStyle name="Normal 11 2 5 2 2 4 2 3" xfId="44664" xr:uid="{E48847A9-4084-438D-B396-22A904824B05}"/>
    <cellStyle name="Normal 11 2 5 2 2 4 3" xfId="19525" xr:uid="{0CE05F48-F8C3-4442-9A55-4D9A5921E4D1}"/>
    <cellStyle name="Normal 11 2 5 2 2 4 4" xfId="36284" xr:uid="{AD62C35B-AEC6-4C26-A245-0748B6902B3C}"/>
    <cellStyle name="Normal 11 2 5 2 2 5" xfId="9342" xr:uid="{CD6E9D2B-729A-44A7-B3C3-2FAD9BAC00E5}"/>
    <cellStyle name="Normal 11 2 5 2 2 5 2" xfId="26102" xr:uid="{245333A0-2DC7-4A05-A6DB-67E009AEE574}"/>
    <cellStyle name="Normal 11 2 5 2 2 5 3" xfId="42861" xr:uid="{3D0D0F83-FC3F-4786-960F-76690240C73C}"/>
    <cellStyle name="Normal 11 2 5 2 2 6" xfId="17722" xr:uid="{75409802-EF18-4711-955D-1EAE59F4CEF4}"/>
    <cellStyle name="Normal 11 2 5 2 2 7" xfId="34481" xr:uid="{539FB6DC-212D-4906-B9A4-11898C1F3A11}"/>
    <cellStyle name="Normal 11 2 5 2 3" xfId="1381" xr:uid="{71605566-6E7E-46A7-9589-FC6C263DF22E}"/>
    <cellStyle name="Normal 11 2 5 2 3 2" xfId="4770" xr:uid="{DA96BD62-9922-48E4-8A9A-6F6AAE8392B8}"/>
    <cellStyle name="Normal 11 2 5 2 3 2 2" xfId="13150" xr:uid="{80D5F453-EE75-4C56-9893-BED1DD85C7A6}"/>
    <cellStyle name="Normal 11 2 5 2 3 2 2 2" xfId="29910" xr:uid="{553D57E2-4EA6-474F-B2CC-314599E8F79B}"/>
    <cellStyle name="Normal 11 2 5 2 3 2 2 3" xfId="46669" xr:uid="{14CDA883-465B-4865-9A3E-B64953CEB310}"/>
    <cellStyle name="Normal 11 2 5 2 3 2 3" xfId="21530" xr:uid="{70E00F91-DFB9-4726-B742-DFB57F9B8CCD}"/>
    <cellStyle name="Normal 11 2 5 2 3 2 4" xfId="38289" xr:uid="{56E4CAA4-BD9C-406D-9017-D8512AAE0C9B}"/>
    <cellStyle name="Normal 11 2 5 2 3 3" xfId="6457" xr:uid="{02B2BD82-D13D-45F2-9A44-B76FF2067564}"/>
    <cellStyle name="Normal 11 2 5 2 3 3 2" xfId="14837" xr:uid="{D39D5DE0-3980-40FD-9D92-954A4ABFCE41}"/>
    <cellStyle name="Normal 11 2 5 2 3 3 2 2" xfId="31597" xr:uid="{466E2AB7-E4A1-4D14-8BFE-19F6D8621DF6}"/>
    <cellStyle name="Normal 11 2 5 2 3 3 2 3" xfId="48356" xr:uid="{514EF918-125E-48AC-BFC9-86E643598B99}"/>
    <cellStyle name="Normal 11 2 5 2 3 3 3" xfId="23217" xr:uid="{4D28B55A-A6C6-44EC-AB4F-5AD6E5B30C5E}"/>
    <cellStyle name="Normal 11 2 5 2 3 3 4" xfId="39976" xr:uid="{8276788B-41E5-49E5-8900-4F28B6C68E6B}"/>
    <cellStyle name="Normal 11 2 5 2 3 4" xfId="3193" xr:uid="{FFC50F58-24EF-4A21-9906-42E41FCF0386}"/>
    <cellStyle name="Normal 11 2 5 2 3 4 2" xfId="11573" xr:uid="{CCC0DE77-ED17-4F4A-8F32-0FFA012EE7EB}"/>
    <cellStyle name="Normal 11 2 5 2 3 4 2 2" xfId="28333" xr:uid="{863193AE-2C9B-4C7B-B11D-DA6804BDB443}"/>
    <cellStyle name="Normal 11 2 5 2 3 4 2 3" xfId="45092" xr:uid="{3D396A18-A48F-4DC4-BF1E-29BB029B0381}"/>
    <cellStyle name="Normal 11 2 5 2 3 4 3" xfId="19953" xr:uid="{4C07D676-84AF-420D-B17A-C9AB16DB240E}"/>
    <cellStyle name="Normal 11 2 5 2 3 4 4" xfId="36712" xr:uid="{897FA813-4818-4EEA-8FE3-5FACEF4BAD05}"/>
    <cellStyle name="Normal 11 2 5 2 3 5" xfId="9770" xr:uid="{DC69C9A6-2330-411A-962E-F93562B00FDB}"/>
    <cellStyle name="Normal 11 2 5 2 3 5 2" xfId="26530" xr:uid="{F2DD4648-6872-4E6A-9DEF-5DD22341BEBA}"/>
    <cellStyle name="Normal 11 2 5 2 3 5 3" xfId="43289" xr:uid="{76CF6208-6220-4169-8E92-B6999A68039C}"/>
    <cellStyle name="Normal 11 2 5 2 3 6" xfId="18150" xr:uid="{9E7AB26D-9DF3-4174-87F1-27F27053A6D9}"/>
    <cellStyle name="Normal 11 2 5 2 3 7" xfId="34909" xr:uid="{39E64CCD-E9BB-400B-A93F-97EFAF426805}"/>
    <cellStyle name="Normal 11 2 5 2 4" xfId="1785" xr:uid="{E01E496D-9D8F-4421-8530-91DC848478EA}"/>
    <cellStyle name="Normal 11 2 5 2 4 2" xfId="5174" xr:uid="{2FC30E2B-E397-4523-A843-046AB6D6C9FB}"/>
    <cellStyle name="Normal 11 2 5 2 4 2 2" xfId="13554" xr:uid="{FC131FFC-7794-4F64-9C38-3CB7519BEA46}"/>
    <cellStyle name="Normal 11 2 5 2 4 2 2 2" xfId="30314" xr:uid="{659538FF-3506-4437-A1C9-AE2758933348}"/>
    <cellStyle name="Normal 11 2 5 2 4 2 2 3" xfId="47073" xr:uid="{BE95848C-0970-4007-B5D7-CF3C8D20E48F}"/>
    <cellStyle name="Normal 11 2 5 2 4 2 3" xfId="21934" xr:uid="{7307E73D-2613-4DEB-8737-BB32A37CF118}"/>
    <cellStyle name="Normal 11 2 5 2 4 2 4" xfId="38693" xr:uid="{541B0914-6CA4-46C9-96D5-04AFFE3F55D7}"/>
    <cellStyle name="Normal 11 2 5 2 4 3" xfId="6861" xr:uid="{809E33B3-E581-473A-B4D1-D222F3877139}"/>
    <cellStyle name="Normal 11 2 5 2 4 3 2" xfId="15241" xr:uid="{8C8198E2-0077-4381-AEE6-0D5690C91FDE}"/>
    <cellStyle name="Normal 11 2 5 2 4 3 2 2" xfId="32001" xr:uid="{36446FB4-DEB9-444C-ABDD-3517660814BA}"/>
    <cellStyle name="Normal 11 2 5 2 4 3 2 3" xfId="48760" xr:uid="{D1BBF42C-382E-428D-A295-6745F1E96D87}"/>
    <cellStyle name="Normal 11 2 5 2 4 3 3" xfId="23621" xr:uid="{403349F8-4BA4-46EE-B873-C8B0D6C2909A}"/>
    <cellStyle name="Normal 11 2 5 2 4 3 4" xfId="40380" xr:uid="{6612B9D2-F23A-483D-90E4-51B2DB0747F5}"/>
    <cellStyle name="Normal 11 2 5 2 4 4" xfId="3485" xr:uid="{839C5631-763C-4197-BAEA-32DD23B44C63}"/>
    <cellStyle name="Normal 11 2 5 2 4 4 2" xfId="11865" xr:uid="{83F7F108-A58B-4D6B-A711-0C08E0215ED9}"/>
    <cellStyle name="Normal 11 2 5 2 4 4 2 2" xfId="28625" xr:uid="{20B6DB8F-DD26-4842-A9F2-68BE09FBCF3C}"/>
    <cellStyle name="Normal 11 2 5 2 4 4 2 3" xfId="45384" xr:uid="{4B2E70C9-2C33-4157-A96D-C257A50C6A48}"/>
    <cellStyle name="Normal 11 2 5 2 4 4 3" xfId="20245" xr:uid="{0EEC119A-1CCA-4358-8FAD-5D9E2A70F7C7}"/>
    <cellStyle name="Normal 11 2 5 2 4 4 4" xfId="37004" xr:uid="{07311A01-D120-4ACE-A777-D603AD94D5F7}"/>
    <cellStyle name="Normal 11 2 5 2 4 5" xfId="10174" xr:uid="{04A6D1E0-3A53-40CB-96BD-00ADD7A08B58}"/>
    <cellStyle name="Normal 11 2 5 2 4 5 2" xfId="26934" xr:uid="{D4CC865A-4BD7-4085-9A83-9189CCDB8004}"/>
    <cellStyle name="Normal 11 2 5 2 4 5 3" xfId="43693" xr:uid="{28F8CAE6-653B-49FA-ACEB-63E91CB2B20A}"/>
    <cellStyle name="Normal 11 2 5 2 4 6" xfId="18554" xr:uid="{F87284E8-CF26-40FC-81CC-D1D51D4C8326}"/>
    <cellStyle name="Normal 11 2 5 2 4 7" xfId="35313" xr:uid="{DC75A5D0-DBD6-4189-B021-0F2AC36E3B13}"/>
    <cellStyle name="Normal 11 2 5 2 5" xfId="3904" xr:uid="{312F34D7-AFE2-491B-9B38-9ABE0D57A773}"/>
    <cellStyle name="Normal 11 2 5 2 5 2" xfId="12284" xr:uid="{6E3F7570-972D-4E6B-B321-36421704EA0E}"/>
    <cellStyle name="Normal 11 2 5 2 5 2 2" xfId="29044" xr:uid="{AE9D50CE-C171-4407-BB62-D1B17684D5A3}"/>
    <cellStyle name="Normal 11 2 5 2 5 2 3" xfId="45803" xr:uid="{D83EE354-2E03-4F48-B961-F1D37D19B09B}"/>
    <cellStyle name="Normal 11 2 5 2 5 3" xfId="20664" xr:uid="{819B86DC-DE23-4509-92EA-7147FD60DD84}"/>
    <cellStyle name="Normal 11 2 5 2 5 4" xfId="37423" xr:uid="{5F6992CC-7288-45AD-8AB2-4D22A9E99A54}"/>
    <cellStyle name="Normal 11 2 5 2 6" xfId="5603" xr:uid="{D17F186D-EDA9-4723-A735-6DF8BA3C47A5}"/>
    <cellStyle name="Normal 11 2 5 2 6 2" xfId="13983" xr:uid="{8EFB670F-3511-4722-8CA5-70EAB3F28316}"/>
    <cellStyle name="Normal 11 2 5 2 6 2 2" xfId="30743" xr:uid="{B02F8958-B348-4819-BF01-0812237EB66F}"/>
    <cellStyle name="Normal 11 2 5 2 6 2 3" xfId="47502" xr:uid="{9F039DF9-34A6-4328-AE4D-0B92E61E5C92}"/>
    <cellStyle name="Normal 11 2 5 2 6 3" xfId="22363" xr:uid="{A4556E90-D238-4778-87B4-4A1624BC7A2B}"/>
    <cellStyle name="Normal 11 2 5 2 6 4" xfId="39122" xr:uid="{75944C64-AECC-4C7A-B157-06C3FD3487EF}"/>
    <cellStyle name="Normal 11 2 5 2 7" xfId="7267" xr:uid="{9B5D8382-AD66-4FD8-AB13-DBCDC040863A}"/>
    <cellStyle name="Normal 11 2 5 2 7 2" xfId="15647" xr:uid="{DBF5AEAD-D0A9-4844-8F71-E5F5FD8BCDDC}"/>
    <cellStyle name="Normal 11 2 5 2 7 2 2" xfId="32407" xr:uid="{FF4CB0E9-5B0F-4AAE-BB6B-61DCF861A406}"/>
    <cellStyle name="Normal 11 2 5 2 7 2 3" xfId="49166" xr:uid="{C172CF3C-DBD9-4DC2-A943-3210D8070248}"/>
    <cellStyle name="Normal 11 2 5 2 7 3" xfId="24027" xr:uid="{D4637ABD-3A98-4292-BACE-B8D74F9498CD}"/>
    <cellStyle name="Normal 11 2 5 2 7 4" xfId="40786" xr:uid="{B9F512C5-297D-4A0E-87E9-19578BB0D64F}"/>
    <cellStyle name="Normal 11 2 5 2 8" xfId="7673" xr:uid="{F394AEDD-939B-4C1C-8D57-76A8FC7508F6}"/>
    <cellStyle name="Normal 11 2 5 2 8 2" xfId="16053" xr:uid="{7580E3C1-C6DB-4CA2-84A9-AA3A7275C8C2}"/>
    <cellStyle name="Normal 11 2 5 2 8 2 2" xfId="32813" xr:uid="{320D3670-1B55-4E0B-8407-E0B3824136E7}"/>
    <cellStyle name="Normal 11 2 5 2 8 2 3" xfId="49572" xr:uid="{82691153-C644-4179-8305-49BE1C43D515}"/>
    <cellStyle name="Normal 11 2 5 2 8 3" xfId="24433" xr:uid="{C9914F7D-ED17-4D3A-983D-24728C498214}"/>
    <cellStyle name="Normal 11 2 5 2 8 4" xfId="41192" xr:uid="{9C584A33-E090-489E-9F13-68AE8B18EF91}"/>
    <cellStyle name="Normal 11 2 5 2 9" xfId="8079" xr:uid="{8B372844-13BE-47E2-ABC3-5958FBD5A468}"/>
    <cellStyle name="Normal 11 2 5 2 9 2" xfId="16459" xr:uid="{819DA5E7-13DD-4B3D-8523-917CCB68262F}"/>
    <cellStyle name="Normal 11 2 5 2 9 2 2" xfId="33219" xr:uid="{B009E85F-7B0F-4B9C-9AF2-D7F269AB5025}"/>
    <cellStyle name="Normal 11 2 5 2 9 2 3" xfId="49978" xr:uid="{BEFC832B-9ED9-4BCD-B7A5-8794F3C9EBC8}"/>
    <cellStyle name="Normal 11 2 5 2 9 3" xfId="24839" xr:uid="{91CCC979-7C69-4BB1-8D4B-0650A3ACB2B1}"/>
    <cellStyle name="Normal 11 2 5 2 9 4" xfId="41598" xr:uid="{23F17C92-7191-486A-A7B0-302BFB1E3F72}"/>
    <cellStyle name="Normal 11 2 5 3" xfId="506" xr:uid="{318260F3-ABD3-49E2-A2F0-18291D94DDD0}"/>
    <cellStyle name="Normal 11 2 5 3 10" xfId="8715" xr:uid="{3832279D-961D-45C7-B2C1-14AC59B70556}"/>
    <cellStyle name="Normal 11 2 5 3 10 2" xfId="17095" xr:uid="{33CB8719-CD38-4393-A1AB-5DC6D42F3F74}"/>
    <cellStyle name="Normal 11 2 5 3 10 2 2" xfId="33855" xr:uid="{6E7F07B1-F4C9-4559-B4E5-7D3749B91386}"/>
    <cellStyle name="Normal 11 2 5 3 10 2 3" xfId="50614" xr:uid="{DDE33A93-5FB6-407B-A5A2-EEDD3EA74F92}"/>
    <cellStyle name="Normal 11 2 5 3 10 3" xfId="25475" xr:uid="{E37E4B83-0CFC-4DB6-A656-5B55404A9D3F}"/>
    <cellStyle name="Normal 11 2 5 3 10 4" xfId="42234" xr:uid="{B5E12FEC-5ACE-4CBD-A4D3-7DE76AFC6B0E}"/>
    <cellStyle name="Normal 11 2 5 3 11" xfId="2338" xr:uid="{BC2AB6DC-D2A3-4F1F-8CD5-7098DCC6A15B}"/>
    <cellStyle name="Normal 11 2 5 3 11 2" xfId="10720" xr:uid="{973C9E0E-FCDD-4C2F-944D-F87334AA7487}"/>
    <cellStyle name="Normal 11 2 5 3 11 2 2" xfId="27480" xr:uid="{CA3702C7-2889-40E9-8D24-04B1578A2833}"/>
    <cellStyle name="Normal 11 2 5 3 11 2 3" xfId="44239" xr:uid="{985DAC34-32AC-4686-8B25-D6D9F9A8C6CE}"/>
    <cellStyle name="Normal 11 2 5 3 11 3" xfId="19100" xr:uid="{BC406F1A-5202-4E15-9BE5-045C1333E25A}"/>
    <cellStyle name="Normal 11 2 5 3 11 4" xfId="35859" xr:uid="{085D94AD-4E9A-4B6F-86FD-580B20D79BD9}"/>
    <cellStyle name="Normal 11 2 5 3 12" xfId="8917" xr:uid="{710AB5DE-BCCB-473E-996B-136A5FFFD738}"/>
    <cellStyle name="Normal 11 2 5 3 12 2" xfId="25677" xr:uid="{60451E66-CA02-4C97-ABFA-20BCE8540014}"/>
    <cellStyle name="Normal 11 2 5 3 12 3" xfId="42436" xr:uid="{3F0B892B-F0F4-49B8-B769-8DE0A2D05A61}"/>
    <cellStyle name="Normal 11 2 5 3 13" xfId="17297" xr:uid="{5FD5F59B-074D-4AC0-B440-B016066D8AAF}"/>
    <cellStyle name="Normal 11 2 5 3 14" xfId="34056" xr:uid="{4FF30548-BFF6-4234-A32B-604B95CB2654}"/>
    <cellStyle name="Normal 11 2 5 3 2" xfId="948" xr:uid="{44EAE7D0-49CD-4E93-9843-EEDB62F0164E}"/>
    <cellStyle name="Normal 11 2 5 3 2 2" xfId="4343" xr:uid="{BC3DB9FC-34F2-4A63-B2AE-17CB6215355B}"/>
    <cellStyle name="Normal 11 2 5 3 2 2 2" xfId="12723" xr:uid="{439F1852-A945-4D0B-BCD4-3F78F9840E31}"/>
    <cellStyle name="Normal 11 2 5 3 2 2 2 2" xfId="29483" xr:uid="{09B6D0E1-DAA3-48E9-95F9-F78EB05073EF}"/>
    <cellStyle name="Normal 11 2 5 3 2 2 2 3" xfId="46242" xr:uid="{B8CE1B4B-95E4-4F61-9E6D-FAFD0714FF3C}"/>
    <cellStyle name="Normal 11 2 5 3 2 2 3" xfId="21103" xr:uid="{17D4C612-202A-45FD-8E8A-A6CC58C6E772}"/>
    <cellStyle name="Normal 11 2 5 3 2 2 4" xfId="37862" xr:uid="{42B1BACC-AD78-4E07-B6F8-B6FBC70AF612}"/>
    <cellStyle name="Normal 11 2 5 3 2 3" xfId="6030" xr:uid="{2BAF4579-7819-4D8C-8DDC-84424CFED33F}"/>
    <cellStyle name="Normal 11 2 5 3 2 3 2" xfId="14410" xr:uid="{35815FD3-DBFB-49F4-BEEA-5C842350EABD}"/>
    <cellStyle name="Normal 11 2 5 3 2 3 2 2" xfId="31170" xr:uid="{7B8CE28F-9EF9-482F-8A3B-583894889D9E}"/>
    <cellStyle name="Normal 11 2 5 3 2 3 2 3" xfId="47929" xr:uid="{B0D6BF71-4821-42D2-AACF-305037D94262}"/>
    <cellStyle name="Normal 11 2 5 3 2 3 3" xfId="22790" xr:uid="{2BB5B38F-3F0E-4977-B576-C30BABD221F0}"/>
    <cellStyle name="Normal 11 2 5 3 2 3 4" xfId="39549" xr:uid="{1E68FAE7-163F-4BCC-BF4A-0DDE0CC90250}"/>
    <cellStyle name="Normal 11 2 5 3 2 4" xfId="2766" xr:uid="{3DE21C1E-0B5E-4900-BC71-E5A681AFC361}"/>
    <cellStyle name="Normal 11 2 5 3 2 4 2" xfId="11146" xr:uid="{8DA2BA29-BDF2-4312-80D4-E50E4F3B46E5}"/>
    <cellStyle name="Normal 11 2 5 3 2 4 2 2" xfId="27906" xr:uid="{A89773D8-6A87-43BE-B950-FFA8EB5D209E}"/>
    <cellStyle name="Normal 11 2 5 3 2 4 2 3" xfId="44665" xr:uid="{F30B0C10-C23D-4402-9FD5-9AB72D26FE0D}"/>
    <cellStyle name="Normal 11 2 5 3 2 4 3" xfId="19526" xr:uid="{8F27370C-A46C-48AE-B351-05A53D9C47DE}"/>
    <cellStyle name="Normal 11 2 5 3 2 4 4" xfId="36285" xr:uid="{F7DCB372-8DFA-41C2-9356-8BC5E69426C0}"/>
    <cellStyle name="Normal 11 2 5 3 2 5" xfId="9343" xr:uid="{2F2879B1-42F4-4509-8591-A6322F6FD051}"/>
    <cellStyle name="Normal 11 2 5 3 2 5 2" xfId="26103" xr:uid="{3F0B8FAE-E007-4AF3-95FA-DE1E5D1511F4}"/>
    <cellStyle name="Normal 11 2 5 3 2 5 3" xfId="42862" xr:uid="{27706D5E-0B09-4D76-AEAD-3EA9343570AC}"/>
    <cellStyle name="Normal 11 2 5 3 2 6" xfId="17723" xr:uid="{27779D05-FBD7-4696-822E-679C8F1466D2}"/>
    <cellStyle name="Normal 11 2 5 3 2 7" xfId="34482" xr:uid="{231A273D-CE96-4EAC-B830-77C7743B5CB4}"/>
    <cellStyle name="Normal 11 2 5 3 3" xfId="1382" xr:uid="{115137F6-29FC-40F6-A1D0-AB7D805AA411}"/>
    <cellStyle name="Normal 11 2 5 3 3 2" xfId="4771" xr:uid="{4B6175AE-966B-4791-8FF2-400FD9574230}"/>
    <cellStyle name="Normal 11 2 5 3 3 2 2" xfId="13151" xr:uid="{993C8C66-053F-487C-9E1E-10ED2B672CC9}"/>
    <cellStyle name="Normal 11 2 5 3 3 2 2 2" xfId="29911" xr:uid="{2D428B25-4A0A-4046-822E-B3E8EE997F4B}"/>
    <cellStyle name="Normal 11 2 5 3 3 2 2 3" xfId="46670" xr:uid="{96B4800D-3601-4017-AC1A-88DE5492D946}"/>
    <cellStyle name="Normal 11 2 5 3 3 2 3" xfId="21531" xr:uid="{2187E026-7972-4756-BA3F-A66F22D00802}"/>
    <cellStyle name="Normal 11 2 5 3 3 2 4" xfId="38290" xr:uid="{5D865A13-5185-4BD5-A22B-248889A34042}"/>
    <cellStyle name="Normal 11 2 5 3 3 3" xfId="6458" xr:uid="{4D0C2680-5ED5-4C3E-9A7C-D1E449DF9DC8}"/>
    <cellStyle name="Normal 11 2 5 3 3 3 2" xfId="14838" xr:uid="{F7DA901E-B8CC-4F6A-A74A-E514A198CC73}"/>
    <cellStyle name="Normal 11 2 5 3 3 3 2 2" xfId="31598" xr:uid="{B295F1E8-BAE8-4D7D-A2BA-63228FE8D434}"/>
    <cellStyle name="Normal 11 2 5 3 3 3 2 3" xfId="48357" xr:uid="{8FDD2538-3CCC-4527-A541-24E911127CD2}"/>
    <cellStyle name="Normal 11 2 5 3 3 3 3" xfId="23218" xr:uid="{112127AA-2BF6-40C0-AF69-00DBF845B77A}"/>
    <cellStyle name="Normal 11 2 5 3 3 3 4" xfId="39977" xr:uid="{4172C777-522D-4F35-91AA-4A2320D2DC3F}"/>
    <cellStyle name="Normal 11 2 5 3 3 4" xfId="3194" xr:uid="{99FABB82-ACF1-40CA-A116-081D4711886A}"/>
    <cellStyle name="Normal 11 2 5 3 3 4 2" xfId="11574" xr:uid="{9E899D32-F057-4C05-A4D4-054D4B76BB68}"/>
    <cellStyle name="Normal 11 2 5 3 3 4 2 2" xfId="28334" xr:uid="{E8E8ADD0-F00C-424F-9123-1EAD07187284}"/>
    <cellStyle name="Normal 11 2 5 3 3 4 2 3" xfId="45093" xr:uid="{A4017356-683F-43CA-AF76-942C5B92B5F4}"/>
    <cellStyle name="Normal 11 2 5 3 3 4 3" xfId="19954" xr:uid="{57C65FE0-D95F-43DE-B425-80E2CC37D678}"/>
    <cellStyle name="Normal 11 2 5 3 3 4 4" xfId="36713" xr:uid="{E8E6B390-B902-4E0A-8206-4F630E9AB92C}"/>
    <cellStyle name="Normal 11 2 5 3 3 5" xfId="9771" xr:uid="{9226D081-C325-497C-B013-D462618F97DD}"/>
    <cellStyle name="Normal 11 2 5 3 3 5 2" xfId="26531" xr:uid="{AAC10C49-9EAF-440D-8ECF-2AB886E5E2AB}"/>
    <cellStyle name="Normal 11 2 5 3 3 5 3" xfId="43290" xr:uid="{540754CF-3F09-46DB-AEA5-5CEBA2447440}"/>
    <cellStyle name="Normal 11 2 5 3 3 6" xfId="18151" xr:uid="{1E9C7F16-9202-406B-94E2-FCBB53B76695}"/>
    <cellStyle name="Normal 11 2 5 3 3 7" xfId="34910" xr:uid="{DD568B40-9A3E-422B-998E-C754A8C9E6B8}"/>
    <cellStyle name="Normal 11 2 5 3 4" xfId="2015" xr:uid="{7024A8DE-5590-405D-B8C0-306AF70E4502}"/>
    <cellStyle name="Normal 11 2 5 3 4 2" xfId="5404" xr:uid="{E4CEB97E-6E3B-452C-9B32-3EF5006109CA}"/>
    <cellStyle name="Normal 11 2 5 3 4 2 2" xfId="13784" xr:uid="{E2598B5C-EE6B-4A34-A03E-DBE14F73CBED}"/>
    <cellStyle name="Normal 11 2 5 3 4 2 2 2" xfId="30544" xr:uid="{272D3CCD-AFCF-45D7-9EA9-8CD96AE963A3}"/>
    <cellStyle name="Normal 11 2 5 3 4 2 2 3" xfId="47303" xr:uid="{F8CC5748-C8DB-4225-B916-9D4D26EC7628}"/>
    <cellStyle name="Normal 11 2 5 3 4 2 3" xfId="22164" xr:uid="{8A922DCA-4FCD-49BF-B634-690D92005229}"/>
    <cellStyle name="Normal 11 2 5 3 4 2 4" xfId="38923" xr:uid="{F7FD6ED4-ADEA-4E8A-A7A6-664866463656}"/>
    <cellStyle name="Normal 11 2 5 3 4 3" xfId="7091" xr:uid="{73591513-A95A-4519-B8EA-5C5B95C97607}"/>
    <cellStyle name="Normal 11 2 5 3 4 3 2" xfId="15471" xr:uid="{03122050-06E1-49D1-A71B-1015FE78FC6E}"/>
    <cellStyle name="Normal 11 2 5 3 4 3 2 2" xfId="32231" xr:uid="{4879E094-46B2-4754-91EF-0C8AAF811362}"/>
    <cellStyle name="Normal 11 2 5 3 4 3 2 3" xfId="48990" xr:uid="{EBE98A4C-E516-48C7-8CF3-A0DDFF59A7FC}"/>
    <cellStyle name="Normal 11 2 5 3 4 3 3" xfId="23851" xr:uid="{630FFEFB-494D-41A8-A1D0-9500DAFE593E}"/>
    <cellStyle name="Normal 11 2 5 3 4 3 4" xfId="40610" xr:uid="{C0C4B4D2-C821-4701-9C17-040F66151651}"/>
    <cellStyle name="Normal 11 2 5 3 4 4" xfId="3714" xr:uid="{9F41F0D6-C194-4A9E-BDF8-67744FAC49BB}"/>
    <cellStyle name="Normal 11 2 5 3 4 4 2" xfId="12094" xr:uid="{BC49BF90-1C05-4630-9E35-2E436BCD1567}"/>
    <cellStyle name="Normal 11 2 5 3 4 4 2 2" xfId="28854" xr:uid="{C67E81F6-39BF-4D29-B6E7-E69E6D5393D8}"/>
    <cellStyle name="Normal 11 2 5 3 4 4 2 3" xfId="45613" xr:uid="{336F3F6B-D689-4EAC-A55D-AE68D80E6C6C}"/>
    <cellStyle name="Normal 11 2 5 3 4 4 3" xfId="20474" xr:uid="{E071F3CB-6DBB-45E9-B873-C2126A55CB39}"/>
    <cellStyle name="Normal 11 2 5 3 4 4 4" xfId="37233" xr:uid="{3F3AE354-A041-4656-8FCA-39088C740845}"/>
    <cellStyle name="Normal 11 2 5 3 4 5" xfId="10404" xr:uid="{FDB55570-E238-4785-874A-7C434CE8E43C}"/>
    <cellStyle name="Normal 11 2 5 3 4 5 2" xfId="27164" xr:uid="{43D46CE4-0AA9-4CBB-9AAC-0CB3CAD01CD6}"/>
    <cellStyle name="Normal 11 2 5 3 4 5 3" xfId="43923" xr:uid="{C473BC85-2922-4610-89B2-5547F3BA9E24}"/>
    <cellStyle name="Normal 11 2 5 3 4 6" xfId="18784" xr:uid="{62CB0784-A949-425E-8277-04369295502E}"/>
    <cellStyle name="Normal 11 2 5 3 4 7" xfId="35543" xr:uid="{931639DC-1AB7-4D20-80AC-767E053EB961}"/>
    <cellStyle name="Normal 11 2 5 3 5" xfId="4134" xr:uid="{0600918F-DD99-47AC-8AFB-543F3BC02DE6}"/>
    <cellStyle name="Normal 11 2 5 3 5 2" xfId="12514" xr:uid="{1B81C58C-F4E8-44BB-BB14-7F281B3105B2}"/>
    <cellStyle name="Normal 11 2 5 3 5 2 2" xfId="29274" xr:uid="{A2ED28C8-4589-4D34-8108-C389B3A5FE75}"/>
    <cellStyle name="Normal 11 2 5 3 5 2 3" xfId="46033" xr:uid="{73777A89-A7E7-4C74-8544-833E2C2D8E27}"/>
    <cellStyle name="Normal 11 2 5 3 5 3" xfId="20894" xr:uid="{109B621E-89A8-497F-ADBB-BCDAF6057B8C}"/>
    <cellStyle name="Normal 11 2 5 3 5 4" xfId="37653" xr:uid="{F4946CFE-E162-4C5B-BE63-2B2A36EAACE0}"/>
    <cellStyle name="Normal 11 2 5 3 6" xfId="5604" xr:uid="{BFC395F3-B21F-4E79-8D01-85503BF8A03C}"/>
    <cellStyle name="Normal 11 2 5 3 6 2" xfId="13984" xr:uid="{A25E9588-0F17-4A39-B919-6491E3351955}"/>
    <cellStyle name="Normal 11 2 5 3 6 2 2" xfId="30744" xr:uid="{F7BC22B4-0F9C-4CD5-96F6-DB18B16C8068}"/>
    <cellStyle name="Normal 11 2 5 3 6 2 3" xfId="47503" xr:uid="{49E92E31-8CAA-49B9-AD3C-051B37E40A71}"/>
    <cellStyle name="Normal 11 2 5 3 6 3" xfId="22364" xr:uid="{C18A8DB9-3BF7-4F65-84CB-1BD1A16931F9}"/>
    <cellStyle name="Normal 11 2 5 3 6 4" xfId="39123" xr:uid="{EE2AC82B-D1BD-49AF-8CB5-2904CFDFF247}"/>
    <cellStyle name="Normal 11 2 5 3 7" xfId="7497" xr:uid="{A815FE2E-535E-41D9-B90B-32E140B3A484}"/>
    <cellStyle name="Normal 11 2 5 3 7 2" xfId="15877" xr:uid="{0668F4B5-3F92-439E-B918-E16B0B93E24D}"/>
    <cellStyle name="Normal 11 2 5 3 7 2 2" xfId="32637" xr:uid="{5F99A35C-BABB-43B4-BF2D-26FE805A4C22}"/>
    <cellStyle name="Normal 11 2 5 3 7 2 3" xfId="49396" xr:uid="{9BFDB806-68C9-401C-B702-E9E0C1BCC767}"/>
    <cellStyle name="Normal 11 2 5 3 7 3" xfId="24257" xr:uid="{44DB63B8-9EF1-4CCE-A9E5-6DC9C75DCCC2}"/>
    <cellStyle name="Normal 11 2 5 3 7 4" xfId="41016" xr:uid="{DA22B813-B4AC-42C7-AAF6-FE99822EAF12}"/>
    <cellStyle name="Normal 11 2 5 3 8" xfId="7903" xr:uid="{AA2D1873-B622-4B85-A36B-D8B3C483479E}"/>
    <cellStyle name="Normal 11 2 5 3 8 2" xfId="16283" xr:uid="{39468F1C-B53F-4BBC-B8D9-75CB9CCA35BA}"/>
    <cellStyle name="Normal 11 2 5 3 8 2 2" xfId="33043" xr:uid="{0FA96169-07DA-478E-A65C-54ED3B304261}"/>
    <cellStyle name="Normal 11 2 5 3 8 2 3" xfId="49802" xr:uid="{41BA58F2-A02F-4C20-BCE3-BD44DEB90206}"/>
    <cellStyle name="Normal 11 2 5 3 8 3" xfId="24663" xr:uid="{185A49AD-1782-457D-8470-4ADE5E9F7BB8}"/>
    <cellStyle name="Normal 11 2 5 3 8 4" xfId="41422" xr:uid="{84F583BE-3107-4102-B9D0-97D6648B3D71}"/>
    <cellStyle name="Normal 11 2 5 3 9" xfId="8309" xr:uid="{127D3092-4280-423E-B3C1-9CC20585450C}"/>
    <cellStyle name="Normal 11 2 5 3 9 2" xfId="16689" xr:uid="{A2DD9DFA-7E41-4B5E-9E23-514C93B6127B}"/>
    <cellStyle name="Normal 11 2 5 3 9 2 2" xfId="33449" xr:uid="{BFC4385D-2005-4484-B72A-BC4312A555CD}"/>
    <cellStyle name="Normal 11 2 5 3 9 2 3" xfId="50208" xr:uid="{2DEBF537-90B0-4C9E-B4B9-89D262C8BC0F}"/>
    <cellStyle name="Normal 11 2 5 3 9 3" xfId="25069" xr:uid="{93DA003C-1975-4AD3-BCDE-B54B9EF17057}"/>
    <cellStyle name="Normal 11 2 5 3 9 4" xfId="41828" xr:uid="{8A29B4B0-30D4-4F11-ACDC-E986087CEE88}"/>
    <cellStyle name="Normal 11 2 5 4" xfId="946" xr:uid="{7F84A7DC-530E-4690-A723-86343F259556}"/>
    <cellStyle name="Normal 11 2 5 4 2" xfId="4341" xr:uid="{2014CC74-40B8-4B4D-93EE-16D9A261271C}"/>
    <cellStyle name="Normal 11 2 5 4 2 2" xfId="12721" xr:uid="{3D61AFF1-1D4E-4C43-BA85-B00C4C250926}"/>
    <cellStyle name="Normal 11 2 5 4 2 2 2" xfId="29481" xr:uid="{0FD8B1A1-9C91-4E45-BD05-D67F70927BE3}"/>
    <cellStyle name="Normal 11 2 5 4 2 2 3" xfId="46240" xr:uid="{4AC0E72D-6EFF-4033-9667-077255A96D76}"/>
    <cellStyle name="Normal 11 2 5 4 2 3" xfId="21101" xr:uid="{DD175541-892C-494F-83C7-C4946C53582E}"/>
    <cellStyle name="Normal 11 2 5 4 2 4" xfId="37860" xr:uid="{28256A26-7D65-4EB4-8095-AB98A2D5A318}"/>
    <cellStyle name="Normal 11 2 5 4 3" xfId="6028" xr:uid="{352F9EEC-590A-411B-B850-2CEC8620FEF6}"/>
    <cellStyle name="Normal 11 2 5 4 3 2" xfId="14408" xr:uid="{23AA7418-6014-4A6E-9477-E66D352E940C}"/>
    <cellStyle name="Normal 11 2 5 4 3 2 2" xfId="31168" xr:uid="{2FA7B054-39B5-4F7D-94D8-CE0DF1393A04}"/>
    <cellStyle name="Normal 11 2 5 4 3 2 3" xfId="47927" xr:uid="{D6850224-E937-4E7D-AFE5-0AB0B1651BA7}"/>
    <cellStyle name="Normal 11 2 5 4 3 3" xfId="22788" xr:uid="{55563592-2F63-4FBD-B585-F92FFFAF2C3F}"/>
    <cellStyle name="Normal 11 2 5 4 3 4" xfId="39547" xr:uid="{658FC495-50DF-49E5-AC53-531CC18094BD}"/>
    <cellStyle name="Normal 11 2 5 4 4" xfId="2764" xr:uid="{AC72190F-7E87-4301-BB30-429372DEA2B2}"/>
    <cellStyle name="Normal 11 2 5 4 4 2" xfId="11144" xr:uid="{36D9DCEF-C84F-4731-A334-98CA4C9446D9}"/>
    <cellStyle name="Normal 11 2 5 4 4 2 2" xfId="27904" xr:uid="{980A1725-D919-4D76-AAC3-DCEAE5EF4537}"/>
    <cellStyle name="Normal 11 2 5 4 4 2 3" xfId="44663" xr:uid="{60B50DD3-C4BE-483C-86D9-1837C0B6CB4E}"/>
    <cellStyle name="Normal 11 2 5 4 4 3" xfId="19524" xr:uid="{51D59EF0-3C8F-4054-836F-C69E78B362FD}"/>
    <cellStyle name="Normal 11 2 5 4 4 4" xfId="36283" xr:uid="{DC5D736E-FC07-42F3-8C32-D191FA6E6F42}"/>
    <cellStyle name="Normal 11 2 5 4 5" xfId="9341" xr:uid="{239EAC70-822B-459C-BFFC-A292FCDC847C}"/>
    <cellStyle name="Normal 11 2 5 4 5 2" xfId="26101" xr:uid="{866DDFB4-3050-42E9-B551-751B9AE3F5A8}"/>
    <cellStyle name="Normal 11 2 5 4 5 3" xfId="42860" xr:uid="{3EE87D67-5257-45FA-A93D-9436FC9618C0}"/>
    <cellStyle name="Normal 11 2 5 4 6" xfId="17721" xr:uid="{2851EEFE-2C24-4812-AE5E-CF125DA7DB4F}"/>
    <cellStyle name="Normal 11 2 5 4 7" xfId="34480" xr:uid="{C298750D-6374-48E8-A7E3-DD18C2EBB9F1}"/>
    <cellStyle name="Normal 11 2 5 5" xfId="1380" xr:uid="{BD7D21A8-C0AC-4BC9-A4AA-AE86AB154519}"/>
    <cellStyle name="Normal 11 2 5 5 2" xfId="4769" xr:uid="{BCE36875-7C66-4FC7-ACB7-20C4EAB15C4A}"/>
    <cellStyle name="Normal 11 2 5 5 2 2" xfId="13149" xr:uid="{59169A7F-AC29-4F87-8316-33EE5ABA1D61}"/>
    <cellStyle name="Normal 11 2 5 5 2 2 2" xfId="29909" xr:uid="{CA8BDCC9-6AF6-496D-93EE-FCA1B62F26C8}"/>
    <cellStyle name="Normal 11 2 5 5 2 2 3" xfId="46668" xr:uid="{D1723DB9-D485-4519-9C1D-F4AE32988DB4}"/>
    <cellStyle name="Normal 11 2 5 5 2 3" xfId="21529" xr:uid="{A4611546-6C51-49DF-AFF2-B11A373F01EB}"/>
    <cellStyle name="Normal 11 2 5 5 2 4" xfId="38288" xr:uid="{6AF68DA5-E9FF-4271-8B3E-3A892C2D1376}"/>
    <cellStyle name="Normal 11 2 5 5 3" xfId="6456" xr:uid="{3DF2A2E0-BB6E-4435-99A6-98EFC81586BF}"/>
    <cellStyle name="Normal 11 2 5 5 3 2" xfId="14836" xr:uid="{91B8B135-B5B6-4298-9993-803A16F1E8E3}"/>
    <cellStyle name="Normal 11 2 5 5 3 2 2" xfId="31596" xr:uid="{C3574049-F318-43D2-A0C9-CD201ECE1C5B}"/>
    <cellStyle name="Normal 11 2 5 5 3 2 3" xfId="48355" xr:uid="{D637D080-9AFF-45E7-A429-F2EB42B63420}"/>
    <cellStyle name="Normal 11 2 5 5 3 3" xfId="23216" xr:uid="{3FF7CAF0-7B0C-412A-B093-7F7DF3777802}"/>
    <cellStyle name="Normal 11 2 5 5 3 4" xfId="39975" xr:uid="{1351C424-1573-4C5F-9570-97A665349C56}"/>
    <cellStyle name="Normal 11 2 5 5 4" xfId="3192" xr:uid="{7F632E8E-5B56-4D51-A2AD-439D00BACE32}"/>
    <cellStyle name="Normal 11 2 5 5 4 2" xfId="11572" xr:uid="{1C6744FD-49AA-4C7C-B4EE-E2C172151BE6}"/>
    <cellStyle name="Normal 11 2 5 5 4 2 2" xfId="28332" xr:uid="{52FD2A0A-53B8-436A-B9DE-DF0A999DDBB3}"/>
    <cellStyle name="Normal 11 2 5 5 4 2 3" xfId="45091" xr:uid="{AC669822-C09E-4AC1-886A-C60ABA12972C}"/>
    <cellStyle name="Normal 11 2 5 5 4 3" xfId="19952" xr:uid="{91E30640-9060-478A-A54C-56CB96713D87}"/>
    <cellStyle name="Normal 11 2 5 5 4 4" xfId="36711" xr:uid="{81203E3A-422D-4BF7-842F-D5FC0721687F}"/>
    <cellStyle name="Normal 11 2 5 5 5" xfId="9769" xr:uid="{EB7A387A-7085-4E35-9EFB-2A4652A477C3}"/>
    <cellStyle name="Normal 11 2 5 5 5 2" xfId="26529" xr:uid="{1B078AB6-30DF-4279-B345-09BAB990333E}"/>
    <cellStyle name="Normal 11 2 5 5 5 3" xfId="43288" xr:uid="{42AF441C-B37B-4983-841C-1239C5A8D076}"/>
    <cellStyle name="Normal 11 2 5 5 6" xfId="18149" xr:uid="{9938C121-1BE9-45BB-B134-2CC2BAD48D51}"/>
    <cellStyle name="Normal 11 2 5 5 7" xfId="34908" xr:uid="{B7932948-51E0-45D1-822F-61F78D4C1857}"/>
    <cellStyle name="Normal 11 2 5 6" xfId="1744" xr:uid="{2A019A37-71B0-4647-B395-17DF6740098A}"/>
    <cellStyle name="Normal 11 2 5 6 2" xfId="5133" xr:uid="{99D8C71C-93CE-4898-9F45-F101D33AAA62}"/>
    <cellStyle name="Normal 11 2 5 6 2 2" xfId="13513" xr:uid="{7432F85F-1A15-420A-9274-31D45B10EDC0}"/>
    <cellStyle name="Normal 11 2 5 6 2 2 2" xfId="30273" xr:uid="{8DE2EA56-4960-4992-AEF8-09089079FB70}"/>
    <cellStyle name="Normal 11 2 5 6 2 2 3" xfId="47032" xr:uid="{0F399EB5-674A-4993-9D47-2E2DD4E026DB}"/>
    <cellStyle name="Normal 11 2 5 6 2 3" xfId="21893" xr:uid="{8E4829F8-709C-4FFF-94FC-34CD07A8DED7}"/>
    <cellStyle name="Normal 11 2 5 6 2 4" xfId="38652" xr:uid="{3A45B90D-3566-47EA-9787-52CF33CA9906}"/>
    <cellStyle name="Normal 11 2 5 6 3" xfId="6820" xr:uid="{665022C6-7CB0-4835-BC03-66A669F79882}"/>
    <cellStyle name="Normal 11 2 5 6 3 2" xfId="15200" xr:uid="{C56A0C25-9959-4623-8F9C-CBE7CED2F732}"/>
    <cellStyle name="Normal 11 2 5 6 3 2 2" xfId="31960" xr:uid="{6946954A-0201-4C23-BF9A-CD42EA90CEF5}"/>
    <cellStyle name="Normal 11 2 5 6 3 2 3" xfId="48719" xr:uid="{8F92A953-0472-4489-9C2D-21D7C7148525}"/>
    <cellStyle name="Normal 11 2 5 6 3 3" xfId="23580" xr:uid="{9162A82F-3F56-442B-B78E-A3DDAADA3058}"/>
    <cellStyle name="Normal 11 2 5 6 3 4" xfId="40339" xr:uid="{B2D80C65-4FBC-4875-83CB-4A12908030D8}"/>
    <cellStyle name="Normal 11 2 5 6 4" xfId="2336" xr:uid="{5998CBE8-5A77-4CB8-833B-C52B556C18AA}"/>
    <cellStyle name="Normal 11 2 5 6 4 2" xfId="10718" xr:uid="{B8267A2A-A2F6-4CF9-ACDC-CC5E28021BEE}"/>
    <cellStyle name="Normal 11 2 5 6 4 2 2" xfId="27478" xr:uid="{6F6AA188-C9DF-4F17-B6C4-99E575EF0554}"/>
    <cellStyle name="Normal 11 2 5 6 4 2 3" xfId="44237" xr:uid="{16BFF98C-97F6-45BD-A214-3F7D0B8B5E1C}"/>
    <cellStyle name="Normal 11 2 5 6 4 3" xfId="19098" xr:uid="{FDBFB609-9990-463C-B992-AA8BFDA11954}"/>
    <cellStyle name="Normal 11 2 5 6 4 4" xfId="35857" xr:uid="{3E3915EC-454D-49A0-AD13-033ED0B8768B}"/>
    <cellStyle name="Normal 11 2 5 6 5" xfId="10133" xr:uid="{4160A4D5-6DE5-44FE-8FE5-294FD9BC146A}"/>
    <cellStyle name="Normal 11 2 5 6 5 2" xfId="26893" xr:uid="{A4F640EA-0471-4A76-AF83-92A17B1A17CE}"/>
    <cellStyle name="Normal 11 2 5 6 5 3" xfId="43652" xr:uid="{90DFEAD8-30E7-4313-8F8D-9833649627DE}"/>
    <cellStyle name="Normal 11 2 5 6 6" xfId="18513" xr:uid="{56B1F6C1-6B06-47C9-974E-72E2046D4842}"/>
    <cellStyle name="Normal 11 2 5 6 7" xfId="35272" xr:uid="{BEC5405E-A438-4F6C-B0E5-634F4F0E7DF2}"/>
    <cellStyle name="Normal 11 2 5 7" xfId="3863" xr:uid="{A856A586-ED49-4DB5-8DB8-FCF63D77964A}"/>
    <cellStyle name="Normal 11 2 5 7 2" xfId="12243" xr:uid="{ACC81F2D-385E-4E33-8159-BAD44C77F437}"/>
    <cellStyle name="Normal 11 2 5 7 2 2" xfId="29003" xr:uid="{B4B02197-9CBC-4C99-80F6-535F570CCACE}"/>
    <cellStyle name="Normal 11 2 5 7 2 3" xfId="45762" xr:uid="{A56B1D97-9CCD-4D44-87D2-5BF17A8E7E59}"/>
    <cellStyle name="Normal 11 2 5 7 3" xfId="20623" xr:uid="{B5F06F66-4FCB-4632-96CB-F4FBF07887BB}"/>
    <cellStyle name="Normal 11 2 5 7 4" xfId="37382" xr:uid="{D2934ADB-586C-49F3-9A6F-AE6F007BF6B7}"/>
    <cellStyle name="Normal 11 2 5 8" xfId="5602" xr:uid="{FBC52A33-9B4A-4453-A90A-C140D74BBDEB}"/>
    <cellStyle name="Normal 11 2 5 8 2" xfId="13982" xr:uid="{C95856C5-1B79-4D31-827F-69B065411FA7}"/>
    <cellStyle name="Normal 11 2 5 8 2 2" xfId="30742" xr:uid="{00978464-653C-44F7-8604-8EC5E4433490}"/>
    <cellStyle name="Normal 11 2 5 8 2 3" xfId="47501" xr:uid="{77B78501-287D-4BEF-B9E4-9A6B0016461F}"/>
    <cellStyle name="Normal 11 2 5 8 3" xfId="22362" xr:uid="{F58C4EAC-0378-4D90-8F62-1824813D8B08}"/>
    <cellStyle name="Normal 11 2 5 8 4" xfId="39121" xr:uid="{AB24018A-869C-49C0-9A91-CC5452D19EA9}"/>
    <cellStyle name="Normal 11 2 5 9" xfId="7226" xr:uid="{32E98330-3C86-4BC3-9212-4D60A33B6B89}"/>
    <cellStyle name="Normal 11 2 5 9 2" xfId="15606" xr:uid="{592F3FCF-67D9-4694-B123-28666914DEDA}"/>
    <cellStyle name="Normal 11 2 5 9 2 2" xfId="32366" xr:uid="{5BA9B755-8AB0-4B2A-85FF-3028B2F430BA}"/>
    <cellStyle name="Normal 11 2 5 9 2 3" xfId="49125" xr:uid="{F187DED0-F232-40C5-9705-ACACCFC0DB0D}"/>
    <cellStyle name="Normal 11 2 5 9 3" xfId="23986" xr:uid="{60FF2566-2C8B-4A0E-8BB6-B5815F72685D}"/>
    <cellStyle name="Normal 11 2 5 9 4" xfId="40745" xr:uid="{CBD0B574-350C-4D27-AB78-8F41B202D4B1}"/>
    <cellStyle name="Normal 11 2 6" xfId="507" xr:uid="{D67D916E-DEFA-4E13-8B85-6CEC1ECF1799}"/>
    <cellStyle name="Normal 11 2 6 10" xfId="8480" xr:uid="{2C26AEEC-D016-48ED-87AC-21FFD179ACC3}"/>
    <cellStyle name="Normal 11 2 6 10 2" xfId="16860" xr:uid="{C475DF6A-6D7D-42D3-805F-A6AF3412257D}"/>
    <cellStyle name="Normal 11 2 6 10 2 2" xfId="33620" xr:uid="{EAF22CF1-AAFE-4650-9B79-0A29B747267B}"/>
    <cellStyle name="Normal 11 2 6 10 2 3" xfId="50379" xr:uid="{638959C8-174C-4B4E-B6FA-D9EDBD5E48A2}"/>
    <cellStyle name="Normal 11 2 6 10 3" xfId="25240" xr:uid="{DE29D3CD-4D70-4089-8703-6F4CBBE4A00D}"/>
    <cellStyle name="Normal 11 2 6 10 4" xfId="41999" xr:uid="{BBD2FFD9-1A59-41AB-A50C-1BED598B1065}"/>
    <cellStyle name="Normal 11 2 6 11" xfId="2339" xr:uid="{5B0F4924-3B3D-41B0-A383-50A8E53C7FFD}"/>
    <cellStyle name="Normal 11 2 6 11 2" xfId="10721" xr:uid="{50B6E944-BCCE-433A-9FC4-CC5A2954CD05}"/>
    <cellStyle name="Normal 11 2 6 11 2 2" xfId="27481" xr:uid="{59B0917A-A439-4906-A76D-F7BF2B74FD77}"/>
    <cellStyle name="Normal 11 2 6 11 2 3" xfId="44240" xr:uid="{EF7618EC-6F30-4093-923E-4CEB978BE9FD}"/>
    <cellStyle name="Normal 11 2 6 11 3" xfId="19101" xr:uid="{CFDA3245-60B8-497F-AC62-281B4134D7A2}"/>
    <cellStyle name="Normal 11 2 6 11 4" xfId="35860" xr:uid="{C6C0FC01-FF79-4C9B-BBE7-2AF0305C5890}"/>
    <cellStyle name="Normal 11 2 6 12" xfId="8918" xr:uid="{5BFCA635-19D9-404C-9741-759A60F1CEBA}"/>
    <cellStyle name="Normal 11 2 6 12 2" xfId="25678" xr:uid="{C7C25600-A9FE-408E-BFDD-00EECE37B395}"/>
    <cellStyle name="Normal 11 2 6 12 3" xfId="42437" xr:uid="{B95C8638-2324-421C-9796-3B5FFD1863EB}"/>
    <cellStyle name="Normal 11 2 6 13" xfId="17298" xr:uid="{BC48E217-8D5C-4989-B3FF-EC00145F90CC}"/>
    <cellStyle name="Normal 11 2 6 14" xfId="34057" xr:uid="{FA698526-5FA3-41C5-8003-77DE934CBDDC}"/>
    <cellStyle name="Normal 11 2 6 2" xfId="949" xr:uid="{F7C04719-5776-43FB-9324-85FB28510B25}"/>
    <cellStyle name="Normal 11 2 6 2 2" xfId="4344" xr:uid="{909EDD29-A7AF-45CF-9862-6C3678343BBA}"/>
    <cellStyle name="Normal 11 2 6 2 2 2" xfId="12724" xr:uid="{E3130A8D-8A5E-4025-9F86-8F2EA98070F5}"/>
    <cellStyle name="Normal 11 2 6 2 2 2 2" xfId="29484" xr:uid="{12C995DD-ED3C-4CEF-AC04-34142896548E}"/>
    <cellStyle name="Normal 11 2 6 2 2 2 3" xfId="46243" xr:uid="{5B48CFD4-332A-458B-A1A2-564D8D7D76B6}"/>
    <cellStyle name="Normal 11 2 6 2 2 3" xfId="21104" xr:uid="{8E7A7E7A-3721-4339-8EAE-9CE6F5EF0388}"/>
    <cellStyle name="Normal 11 2 6 2 2 4" xfId="37863" xr:uid="{1DC0D30C-6CFD-425A-9BD0-0E568E5658DF}"/>
    <cellStyle name="Normal 11 2 6 2 3" xfId="6031" xr:uid="{24B79BBC-E3B6-4757-8242-BFD7BB2EBF81}"/>
    <cellStyle name="Normal 11 2 6 2 3 2" xfId="14411" xr:uid="{D09D275B-5567-4005-974B-E9696B07C340}"/>
    <cellStyle name="Normal 11 2 6 2 3 2 2" xfId="31171" xr:uid="{EEDE259B-2DB1-4E79-AF3B-714A69884614}"/>
    <cellStyle name="Normal 11 2 6 2 3 2 3" xfId="47930" xr:uid="{292F172A-60EB-4268-B1D7-4E19C160F0C6}"/>
    <cellStyle name="Normal 11 2 6 2 3 3" xfId="22791" xr:uid="{97528982-F78B-40B4-B865-96F7513EB2C5}"/>
    <cellStyle name="Normal 11 2 6 2 3 4" xfId="39550" xr:uid="{381ADCC0-8099-44A0-8709-8341DD1E9FC4}"/>
    <cellStyle name="Normal 11 2 6 2 4" xfId="2767" xr:uid="{871F4A6B-E640-4AAE-81A8-936C06B2ED11}"/>
    <cellStyle name="Normal 11 2 6 2 4 2" xfId="11147" xr:uid="{12CE9B77-9D15-409A-B955-FF99ED9214C4}"/>
    <cellStyle name="Normal 11 2 6 2 4 2 2" xfId="27907" xr:uid="{B68EC63A-A3FF-48F7-A05A-58D5311CD541}"/>
    <cellStyle name="Normal 11 2 6 2 4 2 3" xfId="44666" xr:uid="{9DD1558D-0260-48A9-86A6-D1D9DAB3BC1F}"/>
    <cellStyle name="Normal 11 2 6 2 4 3" xfId="19527" xr:uid="{EE28A747-9579-429F-B89E-70B77E79DBAF}"/>
    <cellStyle name="Normal 11 2 6 2 4 4" xfId="36286" xr:uid="{32943CEE-CD74-4656-9515-C1124CA747F0}"/>
    <cellStyle name="Normal 11 2 6 2 5" xfId="9344" xr:uid="{E383EF6D-73BA-4B19-AE9E-D80AA914508B}"/>
    <cellStyle name="Normal 11 2 6 2 5 2" xfId="26104" xr:uid="{A38B82F5-6EF8-472C-B92D-D94FA4F4AD52}"/>
    <cellStyle name="Normal 11 2 6 2 5 3" xfId="42863" xr:uid="{66532763-00FB-4AB4-9720-01456D565EFE}"/>
    <cellStyle name="Normal 11 2 6 2 6" xfId="17724" xr:uid="{F3913011-3A3C-4F51-8A24-DDC917C88AC6}"/>
    <cellStyle name="Normal 11 2 6 2 7" xfId="34483" xr:uid="{F26B781B-B3F7-4492-8BDD-B78B687B09AF}"/>
    <cellStyle name="Normal 11 2 6 3" xfId="1383" xr:uid="{B4D1ADB9-6A49-4713-B2DA-EC9930A7E786}"/>
    <cellStyle name="Normal 11 2 6 3 2" xfId="4772" xr:uid="{6D7B2FCB-A313-49E5-A0A1-5BD0E8AB77C3}"/>
    <cellStyle name="Normal 11 2 6 3 2 2" xfId="13152" xr:uid="{E60D52A3-61DF-4998-87F1-3B929EC9D056}"/>
    <cellStyle name="Normal 11 2 6 3 2 2 2" xfId="29912" xr:uid="{C7651FF9-E1D4-44F7-BDE8-08BF53C3394E}"/>
    <cellStyle name="Normal 11 2 6 3 2 2 3" xfId="46671" xr:uid="{1CF177BB-EA80-4F16-BF81-FF6239A68F62}"/>
    <cellStyle name="Normal 11 2 6 3 2 3" xfId="21532" xr:uid="{AE75E503-DC83-40EC-AC84-454F25BBACFE}"/>
    <cellStyle name="Normal 11 2 6 3 2 4" xfId="38291" xr:uid="{C5F4B26D-F698-4344-A8E8-68753C47EE8D}"/>
    <cellStyle name="Normal 11 2 6 3 3" xfId="6459" xr:uid="{88A38AF8-AAB0-476A-89D8-EE07458E0963}"/>
    <cellStyle name="Normal 11 2 6 3 3 2" xfId="14839" xr:uid="{A15D5463-4299-4D5F-904E-922859D249B6}"/>
    <cellStyle name="Normal 11 2 6 3 3 2 2" xfId="31599" xr:uid="{F0EEBA5B-737E-473E-A746-EC3E077C9F82}"/>
    <cellStyle name="Normal 11 2 6 3 3 2 3" xfId="48358" xr:uid="{20BEF3A9-51D4-43BD-88FD-CE663F82BC69}"/>
    <cellStyle name="Normal 11 2 6 3 3 3" xfId="23219" xr:uid="{4EB1904C-21AB-49C3-909B-37D86268ED6A}"/>
    <cellStyle name="Normal 11 2 6 3 3 4" xfId="39978" xr:uid="{46906C48-A48B-4E62-B8F2-63E642F9A556}"/>
    <cellStyle name="Normal 11 2 6 3 4" xfId="3195" xr:uid="{A1D8DC08-CF65-4F57-A231-568D663BE02C}"/>
    <cellStyle name="Normal 11 2 6 3 4 2" xfId="11575" xr:uid="{93E34469-7D1D-482A-99F0-46B6A6D8A12C}"/>
    <cellStyle name="Normal 11 2 6 3 4 2 2" xfId="28335" xr:uid="{0643CF41-764F-49FE-A9E1-0B015FD3A3FF}"/>
    <cellStyle name="Normal 11 2 6 3 4 2 3" xfId="45094" xr:uid="{EE76290B-95F3-4831-B1B2-F8EF930987E5}"/>
    <cellStyle name="Normal 11 2 6 3 4 3" xfId="19955" xr:uid="{587BB645-2449-4B38-A32D-D8B2CC56DAE0}"/>
    <cellStyle name="Normal 11 2 6 3 4 4" xfId="36714" xr:uid="{D741618E-79E8-4B7F-A349-DFDFE7B622B4}"/>
    <cellStyle name="Normal 11 2 6 3 5" xfId="9772" xr:uid="{DB11CB83-2A65-4789-8701-977D0E85802E}"/>
    <cellStyle name="Normal 11 2 6 3 5 2" xfId="26532" xr:uid="{72D6B941-2034-416B-BE72-5DD08074EAF5}"/>
    <cellStyle name="Normal 11 2 6 3 5 3" xfId="43291" xr:uid="{42E4147F-4419-4A79-9C2B-74FE54A5B392}"/>
    <cellStyle name="Normal 11 2 6 3 6" xfId="18152" xr:uid="{5999D09A-3A9C-4D23-8F00-39F514D177B9}"/>
    <cellStyle name="Normal 11 2 6 3 7" xfId="34911" xr:uid="{B41D2ACE-F153-4719-82CC-0EDFA18B319A}"/>
    <cellStyle name="Normal 11 2 6 4" xfId="1780" xr:uid="{A33DC4F0-29D2-41B3-AE90-71EACC973E90}"/>
    <cellStyle name="Normal 11 2 6 4 2" xfId="5169" xr:uid="{9CBCFD9F-354C-4F3E-A241-7462CC74F61B}"/>
    <cellStyle name="Normal 11 2 6 4 2 2" xfId="13549" xr:uid="{BBE348AD-0F30-44BE-B704-55D73307FC5C}"/>
    <cellStyle name="Normal 11 2 6 4 2 2 2" xfId="30309" xr:uid="{37ED7FD1-B205-4E85-A156-D3B325D245C4}"/>
    <cellStyle name="Normal 11 2 6 4 2 2 3" xfId="47068" xr:uid="{53599C69-8AB2-424E-A653-DC98F0096797}"/>
    <cellStyle name="Normal 11 2 6 4 2 3" xfId="21929" xr:uid="{6BEF9483-AFF5-49DC-9B99-D30DCCE87232}"/>
    <cellStyle name="Normal 11 2 6 4 2 4" xfId="38688" xr:uid="{C5F3FB0A-3FEC-411F-B782-DA4D3637A835}"/>
    <cellStyle name="Normal 11 2 6 4 3" xfId="6856" xr:uid="{89B4C1E1-48DC-4462-AFCF-21F15F7B0705}"/>
    <cellStyle name="Normal 11 2 6 4 3 2" xfId="15236" xr:uid="{D95F23C3-448E-4572-97AF-70244FF1DCEE}"/>
    <cellStyle name="Normal 11 2 6 4 3 2 2" xfId="31996" xr:uid="{41B5BC95-D84F-4C63-A970-E378A775D7CD}"/>
    <cellStyle name="Normal 11 2 6 4 3 2 3" xfId="48755" xr:uid="{C8B36DF9-06F3-4633-ACC4-3514EB007636}"/>
    <cellStyle name="Normal 11 2 6 4 3 3" xfId="23616" xr:uid="{D8B53D9B-A931-4651-B96C-590DCA551502}"/>
    <cellStyle name="Normal 11 2 6 4 3 4" xfId="40375" xr:uid="{5032C960-B1B1-421D-92CD-6D1F973FC641}"/>
    <cellStyle name="Normal 11 2 6 4 4" xfId="3480" xr:uid="{B557A473-62A7-4AF8-B635-CF4AD32AFA71}"/>
    <cellStyle name="Normal 11 2 6 4 4 2" xfId="11860" xr:uid="{4A5ACDD1-B96A-4C98-A407-D4C4F40D4590}"/>
    <cellStyle name="Normal 11 2 6 4 4 2 2" xfId="28620" xr:uid="{913DEAFD-A882-4042-82F4-8F086FDD018B}"/>
    <cellStyle name="Normal 11 2 6 4 4 2 3" xfId="45379" xr:uid="{94DCE352-C74E-438B-9907-FECCE66549D2}"/>
    <cellStyle name="Normal 11 2 6 4 4 3" xfId="20240" xr:uid="{ADBE04E1-B776-402C-AE03-491A0E632B80}"/>
    <cellStyle name="Normal 11 2 6 4 4 4" xfId="36999" xr:uid="{74228A06-4F51-4B26-8574-8FEE4429DA15}"/>
    <cellStyle name="Normal 11 2 6 4 5" xfId="10169" xr:uid="{08C57AE9-A6F1-413D-A714-675E161D20EE}"/>
    <cellStyle name="Normal 11 2 6 4 5 2" xfId="26929" xr:uid="{F59E745A-541A-4D58-957A-E3E741A38377}"/>
    <cellStyle name="Normal 11 2 6 4 5 3" xfId="43688" xr:uid="{C234B918-7EBA-4710-B6B3-BFF401BED597}"/>
    <cellStyle name="Normal 11 2 6 4 6" xfId="18549" xr:uid="{61DEABE9-B1B0-4BCE-84D9-E80A3AA30B74}"/>
    <cellStyle name="Normal 11 2 6 4 7" xfId="35308" xr:uid="{4479E27B-7665-49EF-97A3-3DED7637833D}"/>
    <cellStyle name="Normal 11 2 6 5" xfId="3899" xr:uid="{EECA5BE4-5218-4EA6-8FDC-F040AB6EA159}"/>
    <cellStyle name="Normal 11 2 6 5 2" xfId="12279" xr:uid="{5CA4DB97-4671-45DC-9AC5-4BA965BAC418}"/>
    <cellStyle name="Normal 11 2 6 5 2 2" xfId="29039" xr:uid="{87E07CDC-980E-4D3F-8801-3D0FB14FD7AF}"/>
    <cellStyle name="Normal 11 2 6 5 2 3" xfId="45798" xr:uid="{B2470502-B397-43A8-987A-57ADEDB9756A}"/>
    <cellStyle name="Normal 11 2 6 5 3" xfId="20659" xr:uid="{0A585C4F-E3CE-4F63-AC9D-E4995DE9282C}"/>
    <cellStyle name="Normal 11 2 6 5 4" xfId="37418" xr:uid="{1F791094-FDDD-4CB7-94B9-00F0713765F0}"/>
    <cellStyle name="Normal 11 2 6 6" xfId="5605" xr:uid="{59E19F7B-6253-4F05-9042-DF7C59B42EEE}"/>
    <cellStyle name="Normal 11 2 6 6 2" xfId="13985" xr:uid="{5BF092D5-FEB8-4D22-BD0E-F466DB501BBE}"/>
    <cellStyle name="Normal 11 2 6 6 2 2" xfId="30745" xr:uid="{5899BB35-1442-4F5A-A7AB-C4BFB60B8AAA}"/>
    <cellStyle name="Normal 11 2 6 6 2 3" xfId="47504" xr:uid="{B75031D1-4538-4858-8838-9C8C594A8C2B}"/>
    <cellStyle name="Normal 11 2 6 6 3" xfId="22365" xr:uid="{7FAD41A9-DCE4-4CCE-BBE1-F688D398A1E0}"/>
    <cellStyle name="Normal 11 2 6 6 4" xfId="39124" xr:uid="{1F422551-A8CF-4196-A8DF-EE08E7354B08}"/>
    <cellStyle name="Normal 11 2 6 7" xfId="7262" xr:uid="{5CEAE0FA-FB32-4EDD-9ADC-5D0A6D371883}"/>
    <cellStyle name="Normal 11 2 6 7 2" xfId="15642" xr:uid="{C5EE2C34-1BF8-463A-B2FD-A226A85B67FF}"/>
    <cellStyle name="Normal 11 2 6 7 2 2" xfId="32402" xr:uid="{C3B4E982-4358-48AA-8465-23E4365CD143}"/>
    <cellStyle name="Normal 11 2 6 7 2 3" xfId="49161" xr:uid="{D4F5CEA7-7820-4806-8D6E-668A158A3901}"/>
    <cellStyle name="Normal 11 2 6 7 3" xfId="24022" xr:uid="{EF254C3D-10A3-4A5D-8D1E-B70A7EEFC3F5}"/>
    <cellStyle name="Normal 11 2 6 7 4" xfId="40781" xr:uid="{381C1615-FEE8-4E9F-8176-49BDD367C6E1}"/>
    <cellStyle name="Normal 11 2 6 8" xfId="7668" xr:uid="{8F09734A-DBD0-4B8C-B73F-961D3DFF1E0F}"/>
    <cellStyle name="Normal 11 2 6 8 2" xfId="16048" xr:uid="{908318B6-6F87-4173-B237-154FA00DAAC8}"/>
    <cellStyle name="Normal 11 2 6 8 2 2" xfId="32808" xr:uid="{8E4C4444-3D85-495A-B25A-7835AB104B85}"/>
    <cellStyle name="Normal 11 2 6 8 2 3" xfId="49567" xr:uid="{FA1674CA-B0EC-4BA8-9FB8-00C777415219}"/>
    <cellStyle name="Normal 11 2 6 8 3" xfId="24428" xr:uid="{85E92C42-98CF-4C0F-AE25-2770EC2D6925}"/>
    <cellStyle name="Normal 11 2 6 8 4" xfId="41187" xr:uid="{D5C79B4C-5C36-4604-ABD6-41A153EC1FC3}"/>
    <cellStyle name="Normal 11 2 6 9" xfId="8074" xr:uid="{41B5831B-23DC-4DB4-81E2-0A40C999D7EA}"/>
    <cellStyle name="Normal 11 2 6 9 2" xfId="16454" xr:uid="{93677DD4-3C66-44E2-A80B-A7A3C3CB5238}"/>
    <cellStyle name="Normal 11 2 6 9 2 2" xfId="33214" xr:uid="{4306FF68-20BA-4054-9C55-838AC9DCF88C}"/>
    <cellStyle name="Normal 11 2 6 9 2 3" xfId="49973" xr:uid="{3E3CBE57-7428-4747-B5D4-1D26D63B353C}"/>
    <cellStyle name="Normal 11 2 6 9 3" xfId="24834" xr:uid="{629246A7-90F7-4D7C-8919-AA292AB02BCD}"/>
    <cellStyle name="Normal 11 2 6 9 4" xfId="41593" xr:uid="{949101ED-61B4-4DA6-AE54-FE2A5FF3200B}"/>
    <cellStyle name="Normal 11 2 7" xfId="508" xr:uid="{F756970D-CEB2-47E1-9315-0DDEBBACA20A}"/>
    <cellStyle name="Normal 11 2 7 10" xfId="8602" xr:uid="{8211ECC9-F761-45BD-A514-AF3475DFC128}"/>
    <cellStyle name="Normal 11 2 7 10 2" xfId="16982" xr:uid="{CB7F19D8-4CFC-4FED-B5B8-AB7E9A39E78F}"/>
    <cellStyle name="Normal 11 2 7 10 2 2" xfId="33742" xr:uid="{A2B7E01E-F251-40A8-9BF3-B71F8B955389}"/>
    <cellStyle name="Normal 11 2 7 10 2 3" xfId="50501" xr:uid="{588BE17A-32E9-4A8F-A586-7AA3765CA3CA}"/>
    <cellStyle name="Normal 11 2 7 10 3" xfId="25362" xr:uid="{59E0FC52-0683-4CF6-9AD0-27510034F8A0}"/>
    <cellStyle name="Normal 11 2 7 10 4" xfId="42121" xr:uid="{0C62A7C7-AE8D-4CE6-87A8-C3F6CD1A284B}"/>
    <cellStyle name="Normal 11 2 7 11" xfId="2340" xr:uid="{C0995C48-B731-44AF-943B-F1BE76551BEA}"/>
    <cellStyle name="Normal 11 2 7 11 2" xfId="10722" xr:uid="{4C37169E-BC08-4773-846E-659A7EC4825D}"/>
    <cellStyle name="Normal 11 2 7 11 2 2" xfId="27482" xr:uid="{3C19DF0E-02A3-413F-B286-713B33177AAB}"/>
    <cellStyle name="Normal 11 2 7 11 2 3" xfId="44241" xr:uid="{3B79BD81-97B7-4F78-8B6B-7D7F673BFDC3}"/>
    <cellStyle name="Normal 11 2 7 11 3" xfId="19102" xr:uid="{4FEF88C4-4CD5-4BB1-B0CC-F993EA50C747}"/>
    <cellStyle name="Normal 11 2 7 11 4" xfId="35861" xr:uid="{33C00C2E-E3AA-4512-B714-D55458493C9F}"/>
    <cellStyle name="Normal 11 2 7 12" xfId="8919" xr:uid="{E0784317-0F4D-490A-A7F8-C38B42D7EA77}"/>
    <cellStyle name="Normal 11 2 7 12 2" xfId="25679" xr:uid="{5EFE0012-6C71-4CDD-A605-131996787B79}"/>
    <cellStyle name="Normal 11 2 7 12 3" xfId="42438" xr:uid="{DBEEFE59-A871-451C-99F0-F42E370874C5}"/>
    <cellStyle name="Normal 11 2 7 13" xfId="17299" xr:uid="{81E536E1-F0D9-46EB-BD46-CF8CDCD3BEF8}"/>
    <cellStyle name="Normal 11 2 7 14" xfId="34058" xr:uid="{2F7E7E53-187C-4DDC-95C2-269C1C232D77}"/>
    <cellStyle name="Normal 11 2 7 2" xfId="950" xr:uid="{B2D2DA2D-3AEB-41BA-A5B3-409C80B98CDA}"/>
    <cellStyle name="Normal 11 2 7 2 2" xfId="4345" xr:uid="{3F7C967F-6D8F-4CFF-B52C-D00DC34DC9BE}"/>
    <cellStyle name="Normal 11 2 7 2 2 2" xfId="12725" xr:uid="{6D5197DE-BC90-4842-B9A0-7D54E62A86A5}"/>
    <cellStyle name="Normal 11 2 7 2 2 2 2" xfId="29485" xr:uid="{B04F33A6-4F47-4B78-A77E-45B50C568B9C}"/>
    <cellStyle name="Normal 11 2 7 2 2 2 3" xfId="46244" xr:uid="{B7D06BD5-9FC2-400E-A372-75024E13E2E3}"/>
    <cellStyle name="Normal 11 2 7 2 2 3" xfId="21105" xr:uid="{F01190CD-3621-4AAD-9979-0E05CD98AC1E}"/>
    <cellStyle name="Normal 11 2 7 2 2 4" xfId="37864" xr:uid="{7129AC2E-86E3-4B12-8E63-4A557FFDECDE}"/>
    <cellStyle name="Normal 11 2 7 2 3" xfId="6032" xr:uid="{6C4645AD-7F3B-41B0-A4E7-41FF9349B4D8}"/>
    <cellStyle name="Normal 11 2 7 2 3 2" xfId="14412" xr:uid="{47B7C4AC-F123-456C-AEFE-517C5756CCFA}"/>
    <cellStyle name="Normal 11 2 7 2 3 2 2" xfId="31172" xr:uid="{62AAB260-6F94-468D-947D-683BAB32D845}"/>
    <cellStyle name="Normal 11 2 7 2 3 2 3" xfId="47931" xr:uid="{014A453E-F874-4271-83DE-5854B28E21F7}"/>
    <cellStyle name="Normal 11 2 7 2 3 3" xfId="22792" xr:uid="{DF3B89BB-7D89-4DAC-829F-D6A843DA6FE0}"/>
    <cellStyle name="Normal 11 2 7 2 3 4" xfId="39551" xr:uid="{C83927B7-6E45-47ED-897B-BA6961C0CC96}"/>
    <cellStyle name="Normal 11 2 7 2 4" xfId="2768" xr:uid="{A47EA755-06C2-4E5C-AA0C-23AAD4C8B242}"/>
    <cellStyle name="Normal 11 2 7 2 4 2" xfId="11148" xr:uid="{13E5E4B6-50C5-4521-8B11-7D27C0D6E612}"/>
    <cellStyle name="Normal 11 2 7 2 4 2 2" xfId="27908" xr:uid="{B2185916-4DF3-465F-AEB0-57EB92FEB615}"/>
    <cellStyle name="Normal 11 2 7 2 4 2 3" xfId="44667" xr:uid="{8A656D39-0843-4BCE-ADD0-6B9888854094}"/>
    <cellStyle name="Normal 11 2 7 2 4 3" xfId="19528" xr:uid="{ACD32A14-DC5C-4887-A5F7-FC002388D23C}"/>
    <cellStyle name="Normal 11 2 7 2 4 4" xfId="36287" xr:uid="{EF0DB929-EB8F-4665-A503-A28F2454FB9D}"/>
    <cellStyle name="Normal 11 2 7 2 5" xfId="9345" xr:uid="{4B0A5479-E159-449B-A229-105162D83558}"/>
    <cellStyle name="Normal 11 2 7 2 5 2" xfId="26105" xr:uid="{56F8FC59-DE61-4C62-9537-71BED8B40FEF}"/>
    <cellStyle name="Normal 11 2 7 2 5 3" xfId="42864" xr:uid="{16226B2B-C026-448A-B93B-C23B7E1896EA}"/>
    <cellStyle name="Normal 11 2 7 2 6" xfId="17725" xr:uid="{99D796D4-3364-4DF5-987C-CB09DE520B03}"/>
    <cellStyle name="Normal 11 2 7 2 7" xfId="34484" xr:uid="{36506897-FCBD-42D9-89E2-DA0E5DB2AA58}"/>
    <cellStyle name="Normal 11 2 7 3" xfId="1384" xr:uid="{5CED2BF3-E3C1-40A4-8BBF-A70C9361B31A}"/>
    <cellStyle name="Normal 11 2 7 3 2" xfId="4773" xr:uid="{AC968221-5F20-47D9-B518-C9F4BEFD96EC}"/>
    <cellStyle name="Normal 11 2 7 3 2 2" xfId="13153" xr:uid="{A6C0E060-5296-4516-A9F8-E06443FA10BF}"/>
    <cellStyle name="Normal 11 2 7 3 2 2 2" xfId="29913" xr:uid="{F2970FA4-04C3-4058-A033-B83324806230}"/>
    <cellStyle name="Normal 11 2 7 3 2 2 3" xfId="46672" xr:uid="{0E284BA0-10A6-40CB-A17B-B8C8C24133EC}"/>
    <cellStyle name="Normal 11 2 7 3 2 3" xfId="21533" xr:uid="{17153E49-5A5F-468D-92C0-615CFF8AB6B6}"/>
    <cellStyle name="Normal 11 2 7 3 2 4" xfId="38292" xr:uid="{F02FC91E-B0C2-419B-96C6-D5BCDACB9DFD}"/>
    <cellStyle name="Normal 11 2 7 3 3" xfId="6460" xr:uid="{E3CA134C-991B-49FD-8FE2-320D4BB4179B}"/>
    <cellStyle name="Normal 11 2 7 3 3 2" xfId="14840" xr:uid="{D6D94C0B-56D7-4C44-8227-043669F8F420}"/>
    <cellStyle name="Normal 11 2 7 3 3 2 2" xfId="31600" xr:uid="{4751EF58-2914-40B0-A329-108AEA19AB0E}"/>
    <cellStyle name="Normal 11 2 7 3 3 2 3" xfId="48359" xr:uid="{4D31D21D-97B2-49D6-8675-F657AED9C945}"/>
    <cellStyle name="Normal 11 2 7 3 3 3" xfId="23220" xr:uid="{A3421699-AC71-4786-A68A-096EA70E8CF5}"/>
    <cellStyle name="Normal 11 2 7 3 3 4" xfId="39979" xr:uid="{A458B6D1-D0B6-4DE5-8BB7-E12F5539308A}"/>
    <cellStyle name="Normal 11 2 7 3 4" xfId="3196" xr:uid="{DCF4769B-BB9A-4F46-87FB-DA470D5D5947}"/>
    <cellStyle name="Normal 11 2 7 3 4 2" xfId="11576" xr:uid="{9B58104B-90B0-49E3-9A5A-97A80AB232F6}"/>
    <cellStyle name="Normal 11 2 7 3 4 2 2" xfId="28336" xr:uid="{76A3A936-B883-454B-8101-F1981B8DD254}"/>
    <cellStyle name="Normal 11 2 7 3 4 2 3" xfId="45095" xr:uid="{43D51300-8AFA-4EA4-8C22-70D182514A1B}"/>
    <cellStyle name="Normal 11 2 7 3 4 3" xfId="19956" xr:uid="{23CF8E21-102D-44D2-AF73-03D7EE321903}"/>
    <cellStyle name="Normal 11 2 7 3 4 4" xfId="36715" xr:uid="{EB81EB33-EC40-426E-BFFB-A4C8A79B0391}"/>
    <cellStyle name="Normal 11 2 7 3 5" xfId="9773" xr:uid="{1040B921-212C-487A-96DD-0B1E5176D158}"/>
    <cellStyle name="Normal 11 2 7 3 5 2" xfId="26533" xr:uid="{600AF0C3-64C9-4F49-9EE7-BE7DE91B3127}"/>
    <cellStyle name="Normal 11 2 7 3 5 3" xfId="43292" xr:uid="{86E671F2-AD24-4AC7-9114-9FF42E77623F}"/>
    <cellStyle name="Normal 11 2 7 3 6" xfId="18153" xr:uid="{A281F633-9787-419E-AD12-096CBAA896A1}"/>
    <cellStyle name="Normal 11 2 7 3 7" xfId="34912" xr:uid="{D455C419-0895-4ED9-BD93-F4E3D875F6A1}"/>
    <cellStyle name="Normal 11 2 7 4" xfId="1902" xr:uid="{C6C588E5-9DA0-4AB3-8BAC-6478641F50CB}"/>
    <cellStyle name="Normal 11 2 7 4 2" xfId="5291" xr:uid="{D65664D3-FF1C-4E46-B3D3-212AF5223C6B}"/>
    <cellStyle name="Normal 11 2 7 4 2 2" xfId="13671" xr:uid="{B053E991-3F8A-4D53-A7B2-426E6FC19391}"/>
    <cellStyle name="Normal 11 2 7 4 2 2 2" xfId="30431" xr:uid="{669FC116-C7A9-4CF8-B8D6-73FD88BAC7E4}"/>
    <cellStyle name="Normal 11 2 7 4 2 2 3" xfId="47190" xr:uid="{BAAE2758-9919-4D39-B1A5-7DDFBE7308D1}"/>
    <cellStyle name="Normal 11 2 7 4 2 3" xfId="22051" xr:uid="{12767E64-F6C0-451A-BC3C-A8B5D2DC0EE9}"/>
    <cellStyle name="Normal 11 2 7 4 2 4" xfId="38810" xr:uid="{0D42DB09-7C73-44CC-BBFC-1FD4B21B13FC}"/>
    <cellStyle name="Normal 11 2 7 4 3" xfId="6978" xr:uid="{7EDF75E3-7145-4B03-8D1D-0B0963962BF5}"/>
    <cellStyle name="Normal 11 2 7 4 3 2" xfId="15358" xr:uid="{0FF1FED4-8730-4DFE-A980-D7B04279738E}"/>
    <cellStyle name="Normal 11 2 7 4 3 2 2" xfId="32118" xr:uid="{3734E8C6-ACC7-4B40-BBE6-485B209DCBF9}"/>
    <cellStyle name="Normal 11 2 7 4 3 2 3" xfId="48877" xr:uid="{25339CB2-F3D1-4D8D-9B23-0C2745B31B96}"/>
    <cellStyle name="Normal 11 2 7 4 3 3" xfId="23738" xr:uid="{A5AF9F8A-3BCF-4106-8B0F-CAF1357356B0}"/>
    <cellStyle name="Normal 11 2 7 4 3 4" xfId="40497" xr:uid="{A7741D4C-120F-4641-A723-6E846D73C477}"/>
    <cellStyle name="Normal 11 2 7 4 4" xfId="3601" xr:uid="{AEF05DEB-C146-47B7-804F-E0D4BB4BD08F}"/>
    <cellStyle name="Normal 11 2 7 4 4 2" xfId="11981" xr:uid="{0560FBC7-9B37-4957-A477-BC72F0C3F323}"/>
    <cellStyle name="Normal 11 2 7 4 4 2 2" xfId="28741" xr:uid="{51E8CE02-D5D1-4FB5-BC09-04DDBEBCCE18}"/>
    <cellStyle name="Normal 11 2 7 4 4 2 3" xfId="45500" xr:uid="{2BD527AA-5EDE-4618-B885-99986A75C3F6}"/>
    <cellStyle name="Normal 11 2 7 4 4 3" xfId="20361" xr:uid="{18DCF683-782A-48F9-AE65-FCC46AE7ED4A}"/>
    <cellStyle name="Normal 11 2 7 4 4 4" xfId="37120" xr:uid="{70712401-65ED-42CF-AFC2-56CB972D2C54}"/>
    <cellStyle name="Normal 11 2 7 4 5" xfId="10291" xr:uid="{A9B70B0A-B872-4AE4-9FE8-706206C230EC}"/>
    <cellStyle name="Normal 11 2 7 4 5 2" xfId="27051" xr:uid="{C10760D5-15DE-42EF-8767-07C3072244C6}"/>
    <cellStyle name="Normal 11 2 7 4 5 3" xfId="43810" xr:uid="{7B409D06-1005-4CB5-A1FC-6C81D3ABF270}"/>
    <cellStyle name="Normal 11 2 7 4 6" xfId="18671" xr:uid="{9240A8C3-E9A5-48EC-A312-6AEE10FF873C}"/>
    <cellStyle name="Normal 11 2 7 4 7" xfId="35430" xr:uid="{E32C3C8E-9A86-4D93-AD28-2423DAB706E8}"/>
    <cellStyle name="Normal 11 2 7 5" xfId="4021" xr:uid="{D8451642-4CCA-4400-A231-D1647BC9E684}"/>
    <cellStyle name="Normal 11 2 7 5 2" xfId="12401" xr:uid="{200E3020-F291-466D-BA8D-F1360C963B88}"/>
    <cellStyle name="Normal 11 2 7 5 2 2" xfId="29161" xr:uid="{72F5CB85-122E-49FD-9ED5-09CE1CE92762}"/>
    <cellStyle name="Normal 11 2 7 5 2 3" xfId="45920" xr:uid="{17EAF370-DB15-45F8-A343-C95B1E13EAB4}"/>
    <cellStyle name="Normal 11 2 7 5 3" xfId="20781" xr:uid="{D46A94AC-7196-4A55-95BE-2F5719DBA0D3}"/>
    <cellStyle name="Normal 11 2 7 5 4" xfId="37540" xr:uid="{60DAE0F9-97E4-4972-8700-F048548FD233}"/>
    <cellStyle name="Normal 11 2 7 6" xfId="5606" xr:uid="{3C27112B-A821-479F-B096-EF9C0F51D251}"/>
    <cellStyle name="Normal 11 2 7 6 2" xfId="13986" xr:uid="{F209F22B-CD1F-4347-ABD7-9ADBC6F1F2D5}"/>
    <cellStyle name="Normal 11 2 7 6 2 2" xfId="30746" xr:uid="{1F264F4C-240A-4601-A47E-F3DBF41E2194}"/>
    <cellStyle name="Normal 11 2 7 6 2 3" xfId="47505" xr:uid="{37746C9B-C062-4EB7-A6EC-DFB984D53937}"/>
    <cellStyle name="Normal 11 2 7 6 3" xfId="22366" xr:uid="{03A6CB24-6D81-4380-9ABB-8B63BDFD2180}"/>
    <cellStyle name="Normal 11 2 7 6 4" xfId="39125" xr:uid="{429DC73D-7092-4D4C-B10F-A7D15BECA361}"/>
    <cellStyle name="Normal 11 2 7 7" xfId="7384" xr:uid="{F22F1F2A-17B3-47CF-8424-CA502BCAC3B6}"/>
    <cellStyle name="Normal 11 2 7 7 2" xfId="15764" xr:uid="{41FE9064-74FF-4E86-9766-9E32556F8916}"/>
    <cellStyle name="Normal 11 2 7 7 2 2" xfId="32524" xr:uid="{76ADC86D-02A9-448B-B21A-05BAB6B7F8DB}"/>
    <cellStyle name="Normal 11 2 7 7 2 3" xfId="49283" xr:uid="{B68F0191-21FA-4414-9767-AA9E179DBA4B}"/>
    <cellStyle name="Normal 11 2 7 7 3" xfId="24144" xr:uid="{F2EA83C4-2483-40AE-9C32-55B83430ECFC}"/>
    <cellStyle name="Normal 11 2 7 7 4" xfId="40903" xr:uid="{D963AFF7-7320-4BBF-B090-71C5023941F8}"/>
    <cellStyle name="Normal 11 2 7 8" xfId="7790" xr:uid="{3A26A3B9-47FF-4135-8733-3890909D1882}"/>
    <cellStyle name="Normal 11 2 7 8 2" xfId="16170" xr:uid="{B63C2575-D351-44E8-B928-9D4E2703729A}"/>
    <cellStyle name="Normal 11 2 7 8 2 2" xfId="32930" xr:uid="{F7CE5C9B-A5EC-4190-BABE-08FE637E2379}"/>
    <cellStyle name="Normal 11 2 7 8 2 3" xfId="49689" xr:uid="{A6238CD6-7DF7-4E78-9A28-F641B69503F4}"/>
    <cellStyle name="Normal 11 2 7 8 3" xfId="24550" xr:uid="{B8AC0BEA-76BD-45D2-B28E-507A736D99E9}"/>
    <cellStyle name="Normal 11 2 7 8 4" xfId="41309" xr:uid="{31C9E128-5D48-4577-A17A-F9D7E7D68B02}"/>
    <cellStyle name="Normal 11 2 7 9" xfId="8196" xr:uid="{5B2FD0FF-7474-42EA-8732-ADFC5A5FBABD}"/>
    <cellStyle name="Normal 11 2 7 9 2" xfId="16576" xr:uid="{2A58B7C0-2567-4996-B409-2931C88D3E23}"/>
    <cellStyle name="Normal 11 2 7 9 2 2" xfId="33336" xr:uid="{05A2A420-7199-4D23-AFE1-56A5E8DB9698}"/>
    <cellStyle name="Normal 11 2 7 9 2 3" xfId="50095" xr:uid="{8923A527-DEE8-417A-8000-2AF19815543B}"/>
    <cellStyle name="Normal 11 2 7 9 3" xfId="24956" xr:uid="{F6EB153E-C7A5-49AE-9216-1B07420FDF1D}"/>
    <cellStyle name="Normal 11 2 7 9 4" xfId="41715" xr:uid="{6F5254EF-3A56-47F1-8DA6-893B1DAC0733}"/>
    <cellStyle name="Normal 11 2 8" xfId="772" xr:uid="{34C26DB9-69D2-4F04-A611-F42200CA10D6}"/>
    <cellStyle name="Normal 11 2 8 2" xfId="4167" xr:uid="{B7C28A26-2D73-4E05-92E7-BCBF0D3D2287}"/>
    <cellStyle name="Normal 11 2 8 2 2" xfId="12547" xr:uid="{AEDCE924-B879-48CC-BCE5-89F08DAEBAAD}"/>
    <cellStyle name="Normal 11 2 8 2 2 2" xfId="29307" xr:uid="{350F5B45-442E-46E1-81F0-2BEF183B612B}"/>
    <cellStyle name="Normal 11 2 8 2 2 3" xfId="46066" xr:uid="{2E40FEE5-5E58-48D8-B47C-D784228C4A45}"/>
    <cellStyle name="Normal 11 2 8 2 3" xfId="20927" xr:uid="{21C83573-1F11-4963-A4E2-CB74E37B31ED}"/>
    <cellStyle name="Normal 11 2 8 2 4" xfId="37686" xr:uid="{8F36609B-B9AA-4A39-B299-AB3A286F4242}"/>
    <cellStyle name="Normal 11 2 8 3" xfId="5854" xr:uid="{DEE45DEB-042A-4A0D-9B31-1BFF6B6268AD}"/>
    <cellStyle name="Normal 11 2 8 3 2" xfId="14234" xr:uid="{E8403F9B-E242-40FF-95CB-C60FB0A88E2E}"/>
    <cellStyle name="Normal 11 2 8 3 2 2" xfId="30994" xr:uid="{277ED567-A309-4456-BF45-CEFB6983D755}"/>
    <cellStyle name="Normal 11 2 8 3 2 3" xfId="47753" xr:uid="{1B6F001A-41C1-473A-BD38-46E7D2B66CAC}"/>
    <cellStyle name="Normal 11 2 8 3 3" xfId="22614" xr:uid="{482507FF-7B09-4823-9E16-4E698C325B70}"/>
    <cellStyle name="Normal 11 2 8 3 4" xfId="39373" xr:uid="{DEE59B29-E458-4176-9DF9-EBB27666158C}"/>
    <cellStyle name="Normal 11 2 8 4" xfId="2590" xr:uid="{19E78FD2-00D0-47B0-9242-2F870A085C27}"/>
    <cellStyle name="Normal 11 2 8 4 2" xfId="10970" xr:uid="{1678D971-E3F6-4D64-BBDF-D82B678CDBF7}"/>
    <cellStyle name="Normal 11 2 8 4 2 2" xfId="27730" xr:uid="{466860C9-6209-46C2-9764-2D06B28652B1}"/>
    <cellStyle name="Normal 11 2 8 4 2 3" xfId="44489" xr:uid="{A8C5A4F7-C3FA-4E62-A5E7-58C4A53DF32F}"/>
    <cellStyle name="Normal 11 2 8 4 3" xfId="19350" xr:uid="{0726E30C-5586-45B8-8DE6-651141458959}"/>
    <cellStyle name="Normal 11 2 8 4 4" xfId="36109" xr:uid="{C7AA756B-BCF0-433D-89A1-7FF742DCF113}"/>
    <cellStyle name="Normal 11 2 8 5" xfId="9167" xr:uid="{0A6B395D-C245-4496-A63C-9FF81A57667C}"/>
    <cellStyle name="Normal 11 2 8 5 2" xfId="25927" xr:uid="{2C188C14-C713-40C1-AA93-0915166021F8}"/>
    <cellStyle name="Normal 11 2 8 5 3" xfId="42686" xr:uid="{639FDED9-49FD-4AF3-8FC8-307834CDC403}"/>
    <cellStyle name="Normal 11 2 8 6" xfId="17547" xr:uid="{B06BAEAA-3A2B-4F0A-96B0-3C6B23CF6D87}"/>
    <cellStyle name="Normal 11 2 8 7" xfId="34306" xr:uid="{88284408-3F83-4ECB-BCA5-7F5B9A0DBEAF}"/>
    <cellStyle name="Normal 11 2 9" xfId="1206" xr:uid="{A4336CFB-A784-40FE-AD66-2CD902CC9BD4}"/>
    <cellStyle name="Normal 11 2 9 2" xfId="4595" xr:uid="{63CB2F8F-3FCA-4787-AD5D-0DF1ECD6E663}"/>
    <cellStyle name="Normal 11 2 9 2 2" xfId="12975" xr:uid="{0D5CC8EE-FED4-47FE-9B89-18C4E6C905C2}"/>
    <cellStyle name="Normal 11 2 9 2 2 2" xfId="29735" xr:uid="{562228D9-4462-4608-B0DC-56F30307444F}"/>
    <cellStyle name="Normal 11 2 9 2 2 3" xfId="46494" xr:uid="{4426EC5D-5920-4F2C-8904-BE263BD9B186}"/>
    <cellStyle name="Normal 11 2 9 2 3" xfId="21355" xr:uid="{D7692C45-2E84-4FA3-ADE8-50D764E25490}"/>
    <cellStyle name="Normal 11 2 9 2 4" xfId="38114" xr:uid="{8A2D64B5-D651-4A6F-B95B-1B24ADF738C0}"/>
    <cellStyle name="Normal 11 2 9 3" xfId="6282" xr:uid="{F5501517-8401-4F65-9105-32AB1FE9FBAB}"/>
    <cellStyle name="Normal 11 2 9 3 2" xfId="14662" xr:uid="{62D61802-44C2-4824-BBF0-0F92B866A579}"/>
    <cellStyle name="Normal 11 2 9 3 2 2" xfId="31422" xr:uid="{FB7430A0-009A-41A1-BA48-866FFEA100F2}"/>
    <cellStyle name="Normal 11 2 9 3 2 3" xfId="48181" xr:uid="{D0E63AFE-4AE4-48FD-B53E-277C26F59A2F}"/>
    <cellStyle name="Normal 11 2 9 3 3" xfId="23042" xr:uid="{3C6B0007-BDED-4FE1-8673-B3759EF57F0E}"/>
    <cellStyle name="Normal 11 2 9 3 4" xfId="39801" xr:uid="{13CA977B-CFB6-4E10-9E16-DA1021CD8956}"/>
    <cellStyle name="Normal 11 2 9 4" xfId="3018" xr:uid="{AD79F010-4112-46CB-BD61-BE76FDE9A153}"/>
    <cellStyle name="Normal 11 2 9 4 2" xfId="11398" xr:uid="{8B1BFB30-9CA5-48F3-AD3B-5CB70119C4D0}"/>
    <cellStyle name="Normal 11 2 9 4 2 2" xfId="28158" xr:uid="{A698F554-873E-4FAA-8CEE-4581878F3269}"/>
    <cellStyle name="Normal 11 2 9 4 2 3" xfId="44917" xr:uid="{44E3DFB1-8B71-436E-A9CD-D2520DFB07F0}"/>
    <cellStyle name="Normal 11 2 9 4 3" xfId="19778" xr:uid="{5FF635F7-8B10-4AE5-9F7A-1EC032B9B358}"/>
    <cellStyle name="Normal 11 2 9 4 4" xfId="36537" xr:uid="{813E6A5A-FB64-466C-840F-DA8CDCA9BE0F}"/>
    <cellStyle name="Normal 11 2 9 5" xfId="9595" xr:uid="{A839925B-6FDC-4594-8D57-0B578D7D312F}"/>
    <cellStyle name="Normal 11 2 9 5 2" xfId="26355" xr:uid="{0ED0DE85-CE1E-4341-8BB0-5B01273B7772}"/>
    <cellStyle name="Normal 11 2 9 5 3" xfId="43114" xr:uid="{1A09CA10-7700-477A-8A94-DB06323B5B10}"/>
    <cellStyle name="Normal 11 2 9 6" xfId="17975" xr:uid="{20E23E28-33F5-469A-9324-9DD2FF6C6FC5}"/>
    <cellStyle name="Normal 11 2 9 7" xfId="34734" xr:uid="{29738B49-1363-4F16-BA56-2F49BF9405D1}"/>
    <cellStyle name="Normal 11 20" xfId="17114" xr:uid="{6D9798A5-590D-482A-BAA9-3E1AD13C68F3}"/>
    <cellStyle name="Normal 11 21" xfId="33873" xr:uid="{5009DC61-707C-4754-BA4E-BFD4459E1EFC}"/>
    <cellStyle name="Normal 11 22" xfId="50932" xr:uid="{5E01E234-9C87-4BD2-8FD3-EE477EDE7127}"/>
    <cellStyle name="Normal 11 23" xfId="253" xr:uid="{220E6791-7EAC-4699-8B53-E24B91F33D2A}"/>
    <cellStyle name="Normal 11 3" xfId="289" xr:uid="{A4B22FC4-579C-4903-8F5F-D94115A7C8F5}"/>
    <cellStyle name="Normal 11 3 10" xfId="7143" xr:uid="{4B1D6BAC-1DBB-4EA0-946F-FA9288C6E6CA}"/>
    <cellStyle name="Normal 11 3 10 2" xfId="15523" xr:uid="{BA53017B-38D9-43D5-837A-C17CA8DF1FF6}"/>
    <cellStyle name="Normal 11 3 10 2 2" xfId="32283" xr:uid="{5A123541-3A3F-419F-99A8-A716A13EA306}"/>
    <cellStyle name="Normal 11 3 10 2 3" xfId="49042" xr:uid="{8B38C803-DE45-4D46-B60D-E35532016927}"/>
    <cellStyle name="Normal 11 3 10 3" xfId="23903" xr:uid="{E47A0976-AB01-499A-A09A-D7C7095B1A9F}"/>
    <cellStyle name="Normal 11 3 10 4" xfId="40662" xr:uid="{48C110D4-38CA-4970-92AE-FC5BCBC40BE0}"/>
    <cellStyle name="Normal 11 3 11" xfId="7549" xr:uid="{E240E6F2-E07F-4B9D-9560-BAAE94C32653}"/>
    <cellStyle name="Normal 11 3 11 2" xfId="15929" xr:uid="{0C9A34BB-BF1C-4A85-B409-F7FFC462D7DF}"/>
    <cellStyle name="Normal 11 3 11 2 2" xfId="32689" xr:uid="{65C78F9C-3B8F-4F61-8C18-FAA0FA6F9B9A}"/>
    <cellStyle name="Normal 11 3 11 2 3" xfId="49448" xr:uid="{48AA04A4-3F58-407D-A426-0AFD214B46F2}"/>
    <cellStyle name="Normal 11 3 11 3" xfId="24309" xr:uid="{751BA3E0-9EA1-4BE6-9E28-CDCF442FE1D4}"/>
    <cellStyle name="Normal 11 3 11 4" xfId="41068" xr:uid="{DA9058B5-4995-41BC-B432-07BCA7AF8E65}"/>
    <cellStyle name="Normal 11 3 12" xfId="7955" xr:uid="{50170557-DDCC-4B92-A4E1-0196845032E4}"/>
    <cellStyle name="Normal 11 3 12 2" xfId="16335" xr:uid="{3AD8ADE9-4895-4897-9244-8EC65D95FA0D}"/>
    <cellStyle name="Normal 11 3 12 2 2" xfId="33095" xr:uid="{E5B9D1EC-87E7-4897-89D4-6A4E7C129CC6}"/>
    <cellStyle name="Normal 11 3 12 2 3" xfId="49854" xr:uid="{0B5DB04F-C452-408B-9C61-CFB9B1010E2C}"/>
    <cellStyle name="Normal 11 3 12 3" xfId="24715" xr:uid="{86A25175-00BF-4B7F-B156-8A8977947723}"/>
    <cellStyle name="Normal 11 3 12 4" xfId="41474" xr:uid="{C7E79199-25B4-4884-A15B-4A9AB0223DAA}"/>
    <cellStyle name="Normal 11 3 13" xfId="8361" xr:uid="{E5D56533-11F0-455C-BB13-D5893E8A82C3}"/>
    <cellStyle name="Normal 11 3 13 2" xfId="16741" xr:uid="{70D82B18-4D25-4EF1-BC1C-6DDC498C598E}"/>
    <cellStyle name="Normal 11 3 13 2 2" xfId="33501" xr:uid="{6125824F-2E6F-45F1-9EAC-5E3F3B7551B6}"/>
    <cellStyle name="Normal 11 3 13 2 3" xfId="50260" xr:uid="{7E709F30-0C1A-46B3-9E2B-C778854A7B46}"/>
    <cellStyle name="Normal 11 3 13 3" xfId="25121" xr:uid="{BB6357AA-3DC2-4185-9327-9CB04613111F}"/>
    <cellStyle name="Normal 11 3 13 4" xfId="41880" xr:uid="{24FE02C7-F084-4A07-8635-D9D90D2ADB94}"/>
    <cellStyle name="Normal 11 3 14" xfId="2055" xr:uid="{7F2AA9FE-50D4-4243-8A6E-4F413EC47D5E}"/>
    <cellStyle name="Normal 11 3 14 2" xfId="10443" xr:uid="{84AA941B-3CCB-4965-B157-F931AE9FA740}"/>
    <cellStyle name="Normal 11 3 14 2 2" xfId="27203" xr:uid="{8F4D4AB5-71FA-4F0A-AAB2-6FF28AF861B7}"/>
    <cellStyle name="Normal 11 3 14 2 3" xfId="43962" xr:uid="{6BBC42B3-A72F-4473-BF23-38CDD7FC0CB9}"/>
    <cellStyle name="Normal 11 3 14 3" xfId="18823" xr:uid="{9C256EF9-904D-4585-A17F-BF219E2FAE94}"/>
    <cellStyle name="Normal 11 3 14 4" xfId="35582" xr:uid="{3A044DB0-C61B-4C4A-A8E3-C87DF3D45759}"/>
    <cellStyle name="Normal 11 3 15" xfId="8762" xr:uid="{E0E0E9F5-C566-4009-B194-B4C718360122}"/>
    <cellStyle name="Normal 11 3 15 2" xfId="25522" xr:uid="{C7E97DAD-5536-40D7-BBBE-3B299C1CC55B}"/>
    <cellStyle name="Normal 11 3 15 3" xfId="42281" xr:uid="{BBFA1673-5AB3-4270-82F1-991666324A51}"/>
    <cellStyle name="Normal 11 3 16" xfId="17142" xr:uid="{335CF17E-464D-44EE-9D51-C603FA2E9ED0}"/>
    <cellStyle name="Normal 11 3 17" xfId="33901" xr:uid="{EE1780F7-DBE9-4E63-A159-331FA339BF18}"/>
    <cellStyle name="Normal 11 3 2" xfId="372" xr:uid="{3CC9F330-E12F-4CDC-A6E3-396BE9F29F6E}"/>
    <cellStyle name="Normal 11 3 2 10" xfId="7607" xr:uid="{7883EC6F-2D39-40B1-ABEB-75D515FE73DB}"/>
    <cellStyle name="Normal 11 3 2 10 2" xfId="15987" xr:uid="{198C5E0E-CA76-4966-A0D1-84D983376659}"/>
    <cellStyle name="Normal 11 3 2 10 2 2" xfId="32747" xr:uid="{08FC5B2A-B76D-412D-8317-31B01266FAD0}"/>
    <cellStyle name="Normal 11 3 2 10 2 3" xfId="49506" xr:uid="{4C68D4F0-3C2D-4CB2-82B6-1890291CFCAE}"/>
    <cellStyle name="Normal 11 3 2 10 3" xfId="24367" xr:uid="{784E4212-E0BD-4291-98EB-A6ACF224FB6C}"/>
    <cellStyle name="Normal 11 3 2 10 4" xfId="41126" xr:uid="{E3DB2DA4-12C1-42A3-A650-646A0D7B2DF7}"/>
    <cellStyle name="Normal 11 3 2 11" xfId="8013" xr:uid="{942F30C9-1B83-4E36-9141-9A4A78B97C57}"/>
    <cellStyle name="Normal 11 3 2 11 2" xfId="16393" xr:uid="{B968BD9A-D4E4-45B5-897B-418CF248A5F1}"/>
    <cellStyle name="Normal 11 3 2 11 2 2" xfId="33153" xr:uid="{3204C0A9-37E0-4B72-A0EC-73D7F1B6225B}"/>
    <cellStyle name="Normal 11 3 2 11 2 3" xfId="49912" xr:uid="{7E3498A4-8FCB-484B-B835-8050B20FF895}"/>
    <cellStyle name="Normal 11 3 2 11 3" xfId="24773" xr:uid="{9049F74C-F782-444D-92DD-3C48FEC3E5F7}"/>
    <cellStyle name="Normal 11 3 2 11 4" xfId="41532" xr:uid="{D069881F-D18B-420E-8A22-D89B54E1C981}"/>
    <cellStyle name="Normal 11 3 2 12" xfId="8419" xr:uid="{28E4DB47-F48B-4D11-89FD-DA6A1AF2F5E8}"/>
    <cellStyle name="Normal 11 3 2 12 2" xfId="16799" xr:uid="{D5199095-A1CB-4189-8566-F3714D56DF4B}"/>
    <cellStyle name="Normal 11 3 2 12 2 2" xfId="33559" xr:uid="{8DEB92B0-7CFF-4979-8261-20C13F87A4BA}"/>
    <cellStyle name="Normal 11 3 2 12 2 3" xfId="50318" xr:uid="{DB4E66FA-DD81-4DBE-B86C-A4CFE67E1FEA}"/>
    <cellStyle name="Normal 11 3 2 12 3" xfId="25179" xr:uid="{105779FF-93F2-477C-8F66-5D1476BF020F}"/>
    <cellStyle name="Normal 11 3 2 12 4" xfId="41938" xr:uid="{DF121828-C081-483A-9FF4-819D39D31BD6}"/>
    <cellStyle name="Normal 11 3 2 13" xfId="2255" xr:uid="{B535197E-B7F2-433C-9E83-64CF25FF9359}"/>
    <cellStyle name="Normal 11 3 2 13 2" xfId="10639" xr:uid="{03B1662D-BE4D-4ECC-9CA9-9FE689A8A7ED}"/>
    <cellStyle name="Normal 11 3 2 13 2 2" xfId="27399" xr:uid="{089C929C-0291-4542-9663-A41A86BA3AAC}"/>
    <cellStyle name="Normal 11 3 2 13 2 3" xfId="44158" xr:uid="{33DFF428-1810-4885-AA51-B5409CA5C293}"/>
    <cellStyle name="Normal 11 3 2 13 3" xfId="19019" xr:uid="{FFDBA1DD-45A2-490E-96F8-68DFC3DA014D}"/>
    <cellStyle name="Normal 11 3 2 13 4" xfId="35778" xr:uid="{AE33375B-9490-4B52-AF92-CABE88EBB99E}"/>
    <cellStyle name="Normal 11 3 2 14" xfId="8836" xr:uid="{A619DCE1-D724-47D7-AC66-E5C754419613}"/>
    <cellStyle name="Normal 11 3 2 14 2" xfId="25596" xr:uid="{FF082A20-8254-41B3-921A-BF042CD4A8DF}"/>
    <cellStyle name="Normal 11 3 2 14 3" xfId="42355" xr:uid="{93278C8C-4F85-421F-A036-9D0C2593A992}"/>
    <cellStyle name="Normal 11 3 2 15" xfId="17216" xr:uid="{EAEBA539-A09C-4212-ADCD-7D270048CA81}"/>
    <cellStyle name="Normal 11 3 2 16" xfId="33975" xr:uid="{FD3214BA-5B3F-4955-8727-CC6E17C40216}"/>
    <cellStyle name="Normal 11 3 2 2" xfId="509" xr:uid="{327667DA-1185-41DF-B5DC-1E819610F4EE}"/>
    <cellStyle name="Normal 11 3 2 2 10" xfId="8487" xr:uid="{FDE9F4C0-3F26-4499-A7AF-52AEC6C765F3}"/>
    <cellStyle name="Normal 11 3 2 2 10 2" xfId="16867" xr:uid="{B1FDF31E-1F33-4827-9288-9E2A33EA6577}"/>
    <cellStyle name="Normal 11 3 2 2 10 2 2" xfId="33627" xr:uid="{0A154741-B1C2-4601-8B22-2A63D04E7919}"/>
    <cellStyle name="Normal 11 3 2 2 10 2 3" xfId="50386" xr:uid="{B74DEE87-19AB-44FC-8A60-9A89D56483E7}"/>
    <cellStyle name="Normal 11 3 2 2 10 3" xfId="25247" xr:uid="{A68E9F4E-C321-476F-BE06-1B2956926BE5}"/>
    <cellStyle name="Normal 11 3 2 2 10 4" xfId="42006" xr:uid="{58BE42D1-7953-4343-B03B-4100F05F0126}"/>
    <cellStyle name="Normal 11 3 2 2 11" xfId="2341" xr:uid="{9E44E7CA-8095-402A-B50B-299C13DF111A}"/>
    <cellStyle name="Normal 11 3 2 2 11 2" xfId="10723" xr:uid="{977944F4-3EFF-4CD2-986B-D7B31EB85338}"/>
    <cellStyle name="Normal 11 3 2 2 11 2 2" xfId="27483" xr:uid="{70873DCC-0603-42DE-89FD-524503C986D1}"/>
    <cellStyle name="Normal 11 3 2 2 11 2 3" xfId="44242" xr:uid="{47DC3394-F73C-458B-B2B6-54888B46FD93}"/>
    <cellStyle name="Normal 11 3 2 2 11 3" xfId="19103" xr:uid="{5B7C292A-770B-4696-B88D-DE814D170272}"/>
    <cellStyle name="Normal 11 3 2 2 11 4" xfId="35862" xr:uid="{F846D61F-9635-41C4-B7A6-0B6A7E561EEA}"/>
    <cellStyle name="Normal 11 3 2 2 12" xfId="8920" xr:uid="{BEF7F361-E92E-4C53-BC83-5E66DC77F603}"/>
    <cellStyle name="Normal 11 3 2 2 12 2" xfId="25680" xr:uid="{38CF4DAB-0EC2-4A86-8551-E8EEBAB959A1}"/>
    <cellStyle name="Normal 11 3 2 2 12 3" xfId="42439" xr:uid="{CA722F0B-9BD9-467E-ACE2-AD54358E47F2}"/>
    <cellStyle name="Normal 11 3 2 2 13" xfId="17300" xr:uid="{642981FE-EA3F-40E0-A869-8AE2AB688F24}"/>
    <cellStyle name="Normal 11 3 2 2 14" xfId="34059" xr:uid="{6B587C60-F718-41BF-BC44-C1649D54B4CD}"/>
    <cellStyle name="Normal 11 3 2 2 2" xfId="951" xr:uid="{4123495B-BAB2-4411-8577-D67F1492D11F}"/>
    <cellStyle name="Normal 11 3 2 2 2 2" xfId="4346" xr:uid="{DB8E1B22-DDBB-458C-8F0D-82A2E8C351A4}"/>
    <cellStyle name="Normal 11 3 2 2 2 2 2" xfId="12726" xr:uid="{20DD87C9-3687-4E55-8D0D-77E798D761B5}"/>
    <cellStyle name="Normal 11 3 2 2 2 2 2 2" xfId="29486" xr:uid="{0E2C5F70-BF93-4138-A5B8-CB1478DBFBE1}"/>
    <cellStyle name="Normal 11 3 2 2 2 2 2 3" xfId="46245" xr:uid="{1DB9E49C-8E27-4208-93EC-70CC71645825}"/>
    <cellStyle name="Normal 11 3 2 2 2 2 3" xfId="21106" xr:uid="{B1E25D20-7516-4FE1-A263-82DD20A44A08}"/>
    <cellStyle name="Normal 11 3 2 2 2 2 4" xfId="37865" xr:uid="{B32665F7-8265-44B6-8686-3321EEB75602}"/>
    <cellStyle name="Normal 11 3 2 2 2 3" xfId="6033" xr:uid="{B01A34F4-6705-45DE-9E2D-8D6CEBC9BDBE}"/>
    <cellStyle name="Normal 11 3 2 2 2 3 2" xfId="14413" xr:uid="{F02C7EDF-4399-4F84-B123-3CB84C809E72}"/>
    <cellStyle name="Normal 11 3 2 2 2 3 2 2" xfId="31173" xr:uid="{A0603185-F8F0-4EE4-971C-4C45EA746FCD}"/>
    <cellStyle name="Normal 11 3 2 2 2 3 2 3" xfId="47932" xr:uid="{FD14B936-53FE-4C05-8972-26462A1417DC}"/>
    <cellStyle name="Normal 11 3 2 2 2 3 3" xfId="22793" xr:uid="{B37B9A18-1F9B-4534-802E-42746BDF706B}"/>
    <cellStyle name="Normal 11 3 2 2 2 3 4" xfId="39552" xr:uid="{47FF6CF4-2770-4279-80A6-F1214D8EAED5}"/>
    <cellStyle name="Normal 11 3 2 2 2 4" xfId="2769" xr:uid="{090E1AD4-16E7-4AE6-ACAD-7F182160F5CB}"/>
    <cellStyle name="Normal 11 3 2 2 2 4 2" xfId="11149" xr:uid="{A83C7065-870A-48CB-9DB7-9694D2E5F9DB}"/>
    <cellStyle name="Normal 11 3 2 2 2 4 2 2" xfId="27909" xr:uid="{51C982F6-495A-4A09-A700-2A2751E03B94}"/>
    <cellStyle name="Normal 11 3 2 2 2 4 2 3" xfId="44668" xr:uid="{56D52B04-6B4C-446A-8BB7-F88B48C3469C}"/>
    <cellStyle name="Normal 11 3 2 2 2 4 3" xfId="19529" xr:uid="{A1A0A4AC-90BC-41AE-A5BD-FB72A3C4AD34}"/>
    <cellStyle name="Normal 11 3 2 2 2 4 4" xfId="36288" xr:uid="{531530E2-6DBF-4E45-B7DF-5CA0B50D3569}"/>
    <cellStyle name="Normal 11 3 2 2 2 5" xfId="9346" xr:uid="{3A0BC6D3-8C89-45A2-B870-59445BFD2818}"/>
    <cellStyle name="Normal 11 3 2 2 2 5 2" xfId="26106" xr:uid="{94078A41-6ED4-4F54-AA06-4DBCC193445E}"/>
    <cellStyle name="Normal 11 3 2 2 2 5 3" xfId="42865" xr:uid="{415C297B-4B8F-4242-9864-1D28417133A3}"/>
    <cellStyle name="Normal 11 3 2 2 2 6" xfId="17726" xr:uid="{18E00B2A-EA2F-4CB4-A4C6-5D0BFAB544F6}"/>
    <cellStyle name="Normal 11 3 2 2 2 7" xfId="34485" xr:uid="{2CCC911C-60FD-457E-AF28-0F3A47310841}"/>
    <cellStyle name="Normal 11 3 2 2 3" xfId="1385" xr:uid="{6D41F655-D2F4-4C28-91BC-C3216C6A0226}"/>
    <cellStyle name="Normal 11 3 2 2 3 2" xfId="4774" xr:uid="{5F9810B1-C367-4928-AD5C-133BB84112D9}"/>
    <cellStyle name="Normal 11 3 2 2 3 2 2" xfId="13154" xr:uid="{983A457D-568D-4D87-8E15-957AA3412428}"/>
    <cellStyle name="Normal 11 3 2 2 3 2 2 2" xfId="29914" xr:uid="{28B1E54C-643F-4D5A-882F-D3004D0EBC2E}"/>
    <cellStyle name="Normal 11 3 2 2 3 2 2 3" xfId="46673" xr:uid="{8D1C6C9D-ED1D-4EC5-AD05-789CEA120BE1}"/>
    <cellStyle name="Normal 11 3 2 2 3 2 3" xfId="21534" xr:uid="{6A00B0C8-FD40-458B-BE94-A41BA0B6FB6A}"/>
    <cellStyle name="Normal 11 3 2 2 3 2 4" xfId="38293" xr:uid="{EA159629-E53E-46C2-855D-624071CF0100}"/>
    <cellStyle name="Normal 11 3 2 2 3 3" xfId="6461" xr:uid="{EBA82B18-B04D-4089-9C2B-6B294F02875F}"/>
    <cellStyle name="Normal 11 3 2 2 3 3 2" xfId="14841" xr:uid="{223FD2DC-0942-4C87-AA2F-5DD0954FC7DC}"/>
    <cellStyle name="Normal 11 3 2 2 3 3 2 2" xfId="31601" xr:uid="{8D267085-9030-4A39-82F1-1A91EA48F1EB}"/>
    <cellStyle name="Normal 11 3 2 2 3 3 2 3" xfId="48360" xr:uid="{7A052DE9-BD44-44D6-ADCE-4445168095D3}"/>
    <cellStyle name="Normal 11 3 2 2 3 3 3" xfId="23221" xr:uid="{17797C97-DC89-474B-85EB-B2A4959E1B49}"/>
    <cellStyle name="Normal 11 3 2 2 3 3 4" xfId="39980" xr:uid="{BDC2671C-66E9-4AFE-B180-F856FA1628A0}"/>
    <cellStyle name="Normal 11 3 2 2 3 4" xfId="3197" xr:uid="{80C8F921-F1D4-497C-886F-E118AB7139F3}"/>
    <cellStyle name="Normal 11 3 2 2 3 4 2" xfId="11577" xr:uid="{0F274D6E-1B5F-4747-8F7A-C005DE1F2577}"/>
    <cellStyle name="Normal 11 3 2 2 3 4 2 2" xfId="28337" xr:uid="{96FDD8F3-BC40-4A7C-8190-B46F3EE23362}"/>
    <cellStyle name="Normal 11 3 2 2 3 4 2 3" xfId="45096" xr:uid="{B6A33EF1-E5F6-46E0-A17E-B55207C3175B}"/>
    <cellStyle name="Normal 11 3 2 2 3 4 3" xfId="19957" xr:uid="{1217E37A-2227-425C-9876-5B98466761D0}"/>
    <cellStyle name="Normal 11 3 2 2 3 4 4" xfId="36716" xr:uid="{65B6EEF6-E7A9-495E-A66E-ED1E419A50C3}"/>
    <cellStyle name="Normal 11 3 2 2 3 5" xfId="9774" xr:uid="{D25DCCB1-4948-4E74-9D12-2C75C6765601}"/>
    <cellStyle name="Normal 11 3 2 2 3 5 2" xfId="26534" xr:uid="{D7171BB2-8889-41F9-84C5-FEADDF4B834A}"/>
    <cellStyle name="Normal 11 3 2 2 3 5 3" xfId="43293" xr:uid="{7D695E66-DF46-4C7F-B45C-098423743939}"/>
    <cellStyle name="Normal 11 3 2 2 3 6" xfId="18154" xr:uid="{6CD3F7C7-636B-41A3-BA91-B521A2650572}"/>
    <cellStyle name="Normal 11 3 2 2 3 7" xfId="34913" xr:uid="{85943BED-AD8E-4B32-85FA-F57E09953220}"/>
    <cellStyle name="Normal 11 3 2 2 4" xfId="1787" xr:uid="{DF78B472-D9AE-4037-849E-8E75D9AC6FFD}"/>
    <cellStyle name="Normal 11 3 2 2 4 2" xfId="5176" xr:uid="{CD92665F-6DAC-4FE2-9919-81687C9330EB}"/>
    <cellStyle name="Normal 11 3 2 2 4 2 2" xfId="13556" xr:uid="{E7A8E575-ADCA-4459-9E03-8338048E3502}"/>
    <cellStyle name="Normal 11 3 2 2 4 2 2 2" xfId="30316" xr:uid="{70A3BBEE-783A-4CA7-8023-32316FCA39B2}"/>
    <cellStyle name="Normal 11 3 2 2 4 2 2 3" xfId="47075" xr:uid="{CAF91ECE-4971-4A5C-A6E2-E60B974DFE99}"/>
    <cellStyle name="Normal 11 3 2 2 4 2 3" xfId="21936" xr:uid="{8CA934AD-AE36-41FA-8538-D748C2FC0854}"/>
    <cellStyle name="Normal 11 3 2 2 4 2 4" xfId="38695" xr:uid="{5DB98C53-87EE-43F2-A579-E091ECBD3131}"/>
    <cellStyle name="Normal 11 3 2 2 4 3" xfId="6863" xr:uid="{29C21EF5-1330-4FAD-B290-E51EF278FF7F}"/>
    <cellStyle name="Normal 11 3 2 2 4 3 2" xfId="15243" xr:uid="{EE9E3C56-F730-4DD1-997B-A37A38244145}"/>
    <cellStyle name="Normal 11 3 2 2 4 3 2 2" xfId="32003" xr:uid="{B39F883E-47FF-4309-B902-4E16AF1C8211}"/>
    <cellStyle name="Normal 11 3 2 2 4 3 2 3" xfId="48762" xr:uid="{89154D34-7A50-4211-A581-C3FD84A01129}"/>
    <cellStyle name="Normal 11 3 2 2 4 3 3" xfId="23623" xr:uid="{438D6303-5B10-4D66-BA3B-018993D94CDD}"/>
    <cellStyle name="Normal 11 3 2 2 4 3 4" xfId="40382" xr:uid="{73FD79A6-9915-4C83-A7F7-B44D34488579}"/>
    <cellStyle name="Normal 11 3 2 2 4 4" xfId="3487" xr:uid="{F2385910-9EFB-4206-AA3F-5D4900E9B4BD}"/>
    <cellStyle name="Normal 11 3 2 2 4 4 2" xfId="11867" xr:uid="{5915E461-1B87-4DA7-B97A-CE247C208EA1}"/>
    <cellStyle name="Normal 11 3 2 2 4 4 2 2" xfId="28627" xr:uid="{E8D1068C-83F3-4EDB-A099-24DBCB03F6FE}"/>
    <cellStyle name="Normal 11 3 2 2 4 4 2 3" xfId="45386" xr:uid="{F7277E42-FBC9-4A62-9298-0EFD3DFA7113}"/>
    <cellStyle name="Normal 11 3 2 2 4 4 3" xfId="20247" xr:uid="{93DB56B3-9C01-4DF2-9C55-F6D7E0717D13}"/>
    <cellStyle name="Normal 11 3 2 2 4 4 4" xfId="37006" xr:uid="{A746A779-06C2-44F6-84F1-C73DF4EF6648}"/>
    <cellStyle name="Normal 11 3 2 2 4 5" xfId="10176" xr:uid="{F3862991-4ABA-45ED-AD8F-E597430A33B4}"/>
    <cellStyle name="Normal 11 3 2 2 4 5 2" xfId="26936" xr:uid="{13A9E2B9-40C4-418D-B83C-95FF106AB41F}"/>
    <cellStyle name="Normal 11 3 2 2 4 5 3" xfId="43695" xr:uid="{222D6DD8-C83A-4898-8138-D7951742054F}"/>
    <cellStyle name="Normal 11 3 2 2 4 6" xfId="18556" xr:uid="{D9E8AFE4-C32C-4CF5-A85C-885CB0D27880}"/>
    <cellStyle name="Normal 11 3 2 2 4 7" xfId="35315" xr:uid="{38DF257B-A7B0-4904-8439-523EC4E3B3D5}"/>
    <cellStyle name="Normal 11 3 2 2 5" xfId="3906" xr:uid="{65A2D384-6B70-4DF5-863F-C0392554BA8E}"/>
    <cellStyle name="Normal 11 3 2 2 5 2" xfId="12286" xr:uid="{F3CC2A41-308C-40E2-BD09-118F4AEFE09B}"/>
    <cellStyle name="Normal 11 3 2 2 5 2 2" xfId="29046" xr:uid="{D4A4B12E-3F11-4290-9F12-247C03E2C1E7}"/>
    <cellStyle name="Normal 11 3 2 2 5 2 3" xfId="45805" xr:uid="{93DBA4CB-B27B-4AB3-942B-95D7BE378B59}"/>
    <cellStyle name="Normal 11 3 2 2 5 3" xfId="20666" xr:uid="{057A9EF5-7269-4CA2-99F5-2C7FD94A1516}"/>
    <cellStyle name="Normal 11 3 2 2 5 4" xfId="37425" xr:uid="{D0526AEC-DF8B-4141-AE46-6BA85573A126}"/>
    <cellStyle name="Normal 11 3 2 2 6" xfId="5607" xr:uid="{9AA45C24-1C29-4E4C-AE7C-A14D3E7155C5}"/>
    <cellStyle name="Normal 11 3 2 2 6 2" xfId="13987" xr:uid="{732C3DA2-1256-4016-BE23-226EB9E36A33}"/>
    <cellStyle name="Normal 11 3 2 2 6 2 2" xfId="30747" xr:uid="{9BF7F485-7814-40F0-86B8-492303500FE8}"/>
    <cellStyle name="Normal 11 3 2 2 6 2 3" xfId="47506" xr:uid="{BBDDB816-6BDC-4467-BEFF-40F38C8D968E}"/>
    <cellStyle name="Normal 11 3 2 2 6 3" xfId="22367" xr:uid="{B4712333-7F3D-471B-B106-4D028D78E97A}"/>
    <cellStyle name="Normal 11 3 2 2 6 4" xfId="39126" xr:uid="{45EA13A0-E364-4AEA-B928-A333B55AF46C}"/>
    <cellStyle name="Normal 11 3 2 2 7" xfId="7269" xr:uid="{1DDC4A10-DBD7-4790-A99A-4D4917F3546B}"/>
    <cellStyle name="Normal 11 3 2 2 7 2" xfId="15649" xr:uid="{F2882D3B-3FA1-4071-BF14-B7A86FBF759A}"/>
    <cellStyle name="Normal 11 3 2 2 7 2 2" xfId="32409" xr:uid="{4951B27F-6DC5-4982-AFC1-BDD050E01842}"/>
    <cellStyle name="Normal 11 3 2 2 7 2 3" xfId="49168" xr:uid="{3499C978-90E1-4623-BD3B-6484F1841DF4}"/>
    <cellStyle name="Normal 11 3 2 2 7 3" xfId="24029" xr:uid="{A0D5B667-192E-4593-893D-5F0A221CE176}"/>
    <cellStyle name="Normal 11 3 2 2 7 4" xfId="40788" xr:uid="{C902726E-30A9-4B6E-ABA7-BC4C539B2703}"/>
    <cellStyle name="Normal 11 3 2 2 8" xfId="7675" xr:uid="{C9B76307-D2CF-4435-A03B-042A5228ADED}"/>
    <cellStyle name="Normal 11 3 2 2 8 2" xfId="16055" xr:uid="{FF0340F4-D9D7-489A-839C-C038E74CEC39}"/>
    <cellStyle name="Normal 11 3 2 2 8 2 2" xfId="32815" xr:uid="{5B855510-C690-4414-8EC4-B32BD9E592A2}"/>
    <cellStyle name="Normal 11 3 2 2 8 2 3" xfId="49574" xr:uid="{6352ABA5-9A1B-4B08-B213-3D7BCE19FB42}"/>
    <cellStyle name="Normal 11 3 2 2 8 3" xfId="24435" xr:uid="{0EFB196D-ABE3-4FD7-94EE-4B224E568510}"/>
    <cellStyle name="Normal 11 3 2 2 8 4" xfId="41194" xr:uid="{FA4344AD-DF32-4FAF-BF55-FF14FF7A74CD}"/>
    <cellStyle name="Normal 11 3 2 2 9" xfId="8081" xr:uid="{C713CD07-427E-421D-9465-F711A8248B2C}"/>
    <cellStyle name="Normal 11 3 2 2 9 2" xfId="16461" xr:uid="{C34D5808-0A13-4F29-8BBB-277D3A477E48}"/>
    <cellStyle name="Normal 11 3 2 2 9 2 2" xfId="33221" xr:uid="{25FDE52A-533D-46FF-B415-E00437699AB9}"/>
    <cellStyle name="Normal 11 3 2 2 9 2 3" xfId="49980" xr:uid="{42BD7381-AF5E-464F-9C77-0E4D142CDE80}"/>
    <cellStyle name="Normal 11 3 2 2 9 3" xfId="24841" xr:uid="{9896E59F-5B07-4088-88C6-89FA2DD07C60}"/>
    <cellStyle name="Normal 11 3 2 2 9 4" xfId="41600" xr:uid="{74F8CFF0-1240-44FE-AB9E-8BD3084D1472}"/>
    <cellStyle name="Normal 11 3 2 3" xfId="510" xr:uid="{394AB4FC-14BA-4031-802C-40777520DF15}"/>
    <cellStyle name="Normal 11 3 2 3 10" xfId="8690" xr:uid="{C1391AA6-EF3C-4F72-B1F8-74637CD7AEB6}"/>
    <cellStyle name="Normal 11 3 2 3 10 2" xfId="17070" xr:uid="{07B56E91-81B1-46CA-B545-BAF907745781}"/>
    <cellStyle name="Normal 11 3 2 3 10 2 2" xfId="33830" xr:uid="{D0897837-9C65-462B-B694-2110F6628B86}"/>
    <cellStyle name="Normal 11 3 2 3 10 2 3" xfId="50589" xr:uid="{CAE3A59C-066C-4294-B828-027BE6084717}"/>
    <cellStyle name="Normal 11 3 2 3 10 3" xfId="25450" xr:uid="{4E08DAAF-CA67-4635-BEE6-4E18D34130F8}"/>
    <cellStyle name="Normal 11 3 2 3 10 4" xfId="42209" xr:uid="{D8FE48F6-B36E-44F2-9B78-206628F527FB}"/>
    <cellStyle name="Normal 11 3 2 3 11" xfId="2342" xr:uid="{D685DDFB-D46D-4631-A0BC-A2C17FCC8473}"/>
    <cellStyle name="Normal 11 3 2 3 11 2" xfId="10724" xr:uid="{4CB6AD81-0BE5-4401-89F5-C3F4ABC4ECFE}"/>
    <cellStyle name="Normal 11 3 2 3 11 2 2" xfId="27484" xr:uid="{29F43398-85DF-4D9E-ADE3-8F1952616CBF}"/>
    <cellStyle name="Normal 11 3 2 3 11 2 3" xfId="44243" xr:uid="{AA22D2A9-BB6D-4E78-AF0A-922DF5F224F2}"/>
    <cellStyle name="Normal 11 3 2 3 11 3" xfId="19104" xr:uid="{FDE42ABE-77A4-4A05-8F1B-EAFDDF42617F}"/>
    <cellStyle name="Normal 11 3 2 3 11 4" xfId="35863" xr:uid="{F947C6E7-98DA-4363-9F55-59D745A25CD4}"/>
    <cellStyle name="Normal 11 3 2 3 12" xfId="8921" xr:uid="{BD3C0C80-AB79-415E-AC10-C241BD50AB5F}"/>
    <cellStyle name="Normal 11 3 2 3 12 2" xfId="25681" xr:uid="{D737B184-8080-4F04-977C-2E4C31CBEC5F}"/>
    <cellStyle name="Normal 11 3 2 3 12 3" xfId="42440" xr:uid="{4D1E6012-12E9-4628-AB6D-547E44F83646}"/>
    <cellStyle name="Normal 11 3 2 3 13" xfId="17301" xr:uid="{392C8E8F-6B5E-48F5-B972-BB258384B8B8}"/>
    <cellStyle name="Normal 11 3 2 3 14" xfId="34060" xr:uid="{07B7A7AC-4A6F-4F4B-95A0-CC70FC44FF28}"/>
    <cellStyle name="Normal 11 3 2 3 2" xfId="952" xr:uid="{818AD133-92DD-432E-BBFE-DD40CE030A12}"/>
    <cellStyle name="Normal 11 3 2 3 2 2" xfId="4347" xr:uid="{61709E57-741A-4060-8418-9B74803DAA16}"/>
    <cellStyle name="Normal 11 3 2 3 2 2 2" xfId="12727" xr:uid="{1B35987D-B40C-4165-9029-5870B0C8B68D}"/>
    <cellStyle name="Normal 11 3 2 3 2 2 2 2" xfId="29487" xr:uid="{917287E3-0C08-4A55-831D-D36D223D0084}"/>
    <cellStyle name="Normal 11 3 2 3 2 2 2 3" xfId="46246" xr:uid="{1F20EB95-26BB-496B-8B7E-DE6DEFA11CEA}"/>
    <cellStyle name="Normal 11 3 2 3 2 2 3" xfId="21107" xr:uid="{5934EBE7-FA7C-4A65-A8B5-EFE2EF0693D8}"/>
    <cellStyle name="Normal 11 3 2 3 2 2 4" xfId="37866" xr:uid="{56A630A9-A5BC-45CE-992E-49A10A9E9BE0}"/>
    <cellStyle name="Normal 11 3 2 3 2 3" xfId="6034" xr:uid="{564A5552-B534-4F96-9EA4-09DA59DACF1E}"/>
    <cellStyle name="Normal 11 3 2 3 2 3 2" xfId="14414" xr:uid="{A7F74D31-9E8F-4CC4-A020-2D09B940D7F4}"/>
    <cellStyle name="Normal 11 3 2 3 2 3 2 2" xfId="31174" xr:uid="{485F5DC4-95E1-45E5-9B59-4E24D0143ECC}"/>
    <cellStyle name="Normal 11 3 2 3 2 3 2 3" xfId="47933" xr:uid="{BAFBA28E-A7FD-41D8-8ADB-FD44AD184409}"/>
    <cellStyle name="Normal 11 3 2 3 2 3 3" xfId="22794" xr:uid="{E60C2DF3-670C-493C-B5A1-A39ED7847F31}"/>
    <cellStyle name="Normal 11 3 2 3 2 3 4" xfId="39553" xr:uid="{1C602E77-203A-4082-A4A3-7C38C9F9C13F}"/>
    <cellStyle name="Normal 11 3 2 3 2 4" xfId="2770" xr:uid="{F0B3D4F0-B962-46DD-8C9B-8B9152CAA91E}"/>
    <cellStyle name="Normal 11 3 2 3 2 4 2" xfId="11150" xr:uid="{B0B33169-42E1-4801-8701-A169C13A14DA}"/>
    <cellStyle name="Normal 11 3 2 3 2 4 2 2" xfId="27910" xr:uid="{714C7600-4822-4B4E-9270-7AF8C44C4433}"/>
    <cellStyle name="Normal 11 3 2 3 2 4 2 3" xfId="44669" xr:uid="{A06E8970-A0B9-49C6-967C-E7EAA0A87C7A}"/>
    <cellStyle name="Normal 11 3 2 3 2 4 3" xfId="19530" xr:uid="{DD69083C-0C37-4CCD-90D8-F22921BB0EE8}"/>
    <cellStyle name="Normal 11 3 2 3 2 4 4" xfId="36289" xr:uid="{6368348C-E318-435A-A0F5-57C8F0A5B93C}"/>
    <cellStyle name="Normal 11 3 2 3 2 5" xfId="9347" xr:uid="{B68004C3-EB21-425D-AFC0-D47C574D907C}"/>
    <cellStyle name="Normal 11 3 2 3 2 5 2" xfId="26107" xr:uid="{B537F55A-1295-4AB6-991B-BB8BB04A383E}"/>
    <cellStyle name="Normal 11 3 2 3 2 5 3" xfId="42866" xr:uid="{F0133656-74CF-4503-ABF4-FB8A69CAEF56}"/>
    <cellStyle name="Normal 11 3 2 3 2 6" xfId="17727" xr:uid="{8CF90E99-FB54-4CFD-9071-A9815792CC99}"/>
    <cellStyle name="Normal 11 3 2 3 2 7" xfId="34486" xr:uid="{AC75D3B6-DAF8-42D9-90E3-0FA62DD18B0D}"/>
    <cellStyle name="Normal 11 3 2 3 3" xfId="1386" xr:uid="{249789B0-62AB-41BA-AD96-FC0EBE1256B2}"/>
    <cellStyle name="Normal 11 3 2 3 3 2" xfId="4775" xr:uid="{19D47BF9-140D-4D89-9461-77A262D358C5}"/>
    <cellStyle name="Normal 11 3 2 3 3 2 2" xfId="13155" xr:uid="{9B6995FB-834D-4098-BB22-5EC7AFEDF9FD}"/>
    <cellStyle name="Normal 11 3 2 3 3 2 2 2" xfId="29915" xr:uid="{B6238573-6FF7-4057-B6F1-97BCC9942738}"/>
    <cellStyle name="Normal 11 3 2 3 3 2 2 3" xfId="46674" xr:uid="{9140BA7F-ACF3-4D72-8E10-50F6EFF8D62F}"/>
    <cellStyle name="Normal 11 3 2 3 3 2 3" xfId="21535" xr:uid="{245F2E9E-E7C5-481D-BC74-B16F690B8356}"/>
    <cellStyle name="Normal 11 3 2 3 3 2 4" xfId="38294" xr:uid="{4C74A602-0F4D-4C07-87F7-B0D79A072376}"/>
    <cellStyle name="Normal 11 3 2 3 3 3" xfId="6462" xr:uid="{3A44D66E-C000-44AB-820B-A61371E8A632}"/>
    <cellStyle name="Normal 11 3 2 3 3 3 2" xfId="14842" xr:uid="{878FA934-2A93-403A-A7E3-01B04F8EF7CD}"/>
    <cellStyle name="Normal 11 3 2 3 3 3 2 2" xfId="31602" xr:uid="{ADD3CC05-C06B-4D6D-9489-93AADBD8B1EE}"/>
    <cellStyle name="Normal 11 3 2 3 3 3 2 3" xfId="48361" xr:uid="{BC894562-8404-4392-984E-3EA0ACC9E0F4}"/>
    <cellStyle name="Normal 11 3 2 3 3 3 3" xfId="23222" xr:uid="{4332B3FF-C106-476A-8A07-DA8B0A8656B8}"/>
    <cellStyle name="Normal 11 3 2 3 3 3 4" xfId="39981" xr:uid="{F8AE12E6-887A-458B-AC76-40D42EE6464B}"/>
    <cellStyle name="Normal 11 3 2 3 3 4" xfId="3198" xr:uid="{4D92D3EA-F5E3-4ABB-A449-3969A69E8EF9}"/>
    <cellStyle name="Normal 11 3 2 3 3 4 2" xfId="11578" xr:uid="{9225023C-7109-4DE2-9F95-261411960C85}"/>
    <cellStyle name="Normal 11 3 2 3 3 4 2 2" xfId="28338" xr:uid="{310F5075-D223-4573-B5B4-F7DE796D5F8C}"/>
    <cellStyle name="Normal 11 3 2 3 3 4 2 3" xfId="45097" xr:uid="{1B6AB057-256B-4D63-9879-B22B7689F92B}"/>
    <cellStyle name="Normal 11 3 2 3 3 4 3" xfId="19958" xr:uid="{5568091E-09ED-43A0-92CE-1E7E95BD0CC3}"/>
    <cellStyle name="Normal 11 3 2 3 3 4 4" xfId="36717" xr:uid="{8ECA4332-3B26-4B13-8C1B-65878BE643A7}"/>
    <cellStyle name="Normal 11 3 2 3 3 5" xfId="9775" xr:uid="{37287A3A-D7F8-435B-BDAD-BD8A88A1CA6A}"/>
    <cellStyle name="Normal 11 3 2 3 3 5 2" xfId="26535" xr:uid="{B53570E9-F3A1-4733-9183-266DB6516054}"/>
    <cellStyle name="Normal 11 3 2 3 3 5 3" xfId="43294" xr:uid="{F43D49D3-DCE0-4D4E-BCF6-F6FD79373581}"/>
    <cellStyle name="Normal 11 3 2 3 3 6" xfId="18155" xr:uid="{E524D93B-FE07-4B4E-A962-475D71F12AB6}"/>
    <cellStyle name="Normal 11 3 2 3 3 7" xfId="34914" xr:uid="{A59BBB76-8C6E-45BC-AF56-C684D48CFCB4}"/>
    <cellStyle name="Normal 11 3 2 3 4" xfId="1990" xr:uid="{A968CF98-F2B2-4B28-8D26-A802C15E02A4}"/>
    <cellStyle name="Normal 11 3 2 3 4 2" xfId="5379" xr:uid="{EE186111-DDCB-4824-A008-336548D8A451}"/>
    <cellStyle name="Normal 11 3 2 3 4 2 2" xfId="13759" xr:uid="{88E40E0C-C322-4EF3-8E45-77F8D2B559BE}"/>
    <cellStyle name="Normal 11 3 2 3 4 2 2 2" xfId="30519" xr:uid="{5FF0DD1F-B568-48EC-B5E1-B44759479DF7}"/>
    <cellStyle name="Normal 11 3 2 3 4 2 2 3" xfId="47278" xr:uid="{5D07DB82-2F40-4492-9A91-DD0479015205}"/>
    <cellStyle name="Normal 11 3 2 3 4 2 3" xfId="22139" xr:uid="{013BCBAE-AE94-40A3-A488-4FBE3F26106C}"/>
    <cellStyle name="Normal 11 3 2 3 4 2 4" xfId="38898" xr:uid="{DA7AE403-2160-425C-8F91-8578E551B1DE}"/>
    <cellStyle name="Normal 11 3 2 3 4 3" xfId="7066" xr:uid="{CAA49B2A-476C-4CEB-A9C7-F66D401CFB3E}"/>
    <cellStyle name="Normal 11 3 2 3 4 3 2" xfId="15446" xr:uid="{01B9076C-F671-4449-B0D8-EFC486C2E868}"/>
    <cellStyle name="Normal 11 3 2 3 4 3 2 2" xfId="32206" xr:uid="{F7B7A250-80AE-457A-BE21-78F1C0D7A21B}"/>
    <cellStyle name="Normal 11 3 2 3 4 3 2 3" xfId="48965" xr:uid="{F46269E7-B451-493B-B143-7E43516B530D}"/>
    <cellStyle name="Normal 11 3 2 3 4 3 3" xfId="23826" xr:uid="{CF5C853D-FF40-4007-8922-F3A61ACCCE29}"/>
    <cellStyle name="Normal 11 3 2 3 4 3 4" xfId="40585" xr:uid="{A2E582D4-DF41-4CE9-869E-5AC4A58D093C}"/>
    <cellStyle name="Normal 11 3 2 3 4 4" xfId="3689" xr:uid="{5DAC5733-B401-42D3-BA38-D4AC2E41D3A1}"/>
    <cellStyle name="Normal 11 3 2 3 4 4 2" xfId="12069" xr:uid="{95312F54-89E4-4E2A-B711-A51DC2A77C2A}"/>
    <cellStyle name="Normal 11 3 2 3 4 4 2 2" xfId="28829" xr:uid="{4FC14D00-C1BA-4380-8BA7-1E94BD937235}"/>
    <cellStyle name="Normal 11 3 2 3 4 4 2 3" xfId="45588" xr:uid="{589774D3-2F12-4C01-8438-DC7FAF0B6025}"/>
    <cellStyle name="Normal 11 3 2 3 4 4 3" xfId="20449" xr:uid="{13FFD05C-50A4-4954-9C16-CAFC4CE007AC}"/>
    <cellStyle name="Normal 11 3 2 3 4 4 4" xfId="37208" xr:uid="{C8DC8E0D-844D-4F82-ACF8-3E63EFEBC73D}"/>
    <cellStyle name="Normal 11 3 2 3 4 5" xfId="10379" xr:uid="{8B6FFD5C-D586-4DDE-AF84-630143B7C502}"/>
    <cellStyle name="Normal 11 3 2 3 4 5 2" xfId="27139" xr:uid="{17998236-B3C3-4BCC-BEA7-8F1C0CBD88C0}"/>
    <cellStyle name="Normal 11 3 2 3 4 5 3" xfId="43898" xr:uid="{A2A33165-FD5D-40A1-8BB7-845DFF4EB87E}"/>
    <cellStyle name="Normal 11 3 2 3 4 6" xfId="18759" xr:uid="{52483270-EADF-46AE-83A5-CF800FD220C2}"/>
    <cellStyle name="Normal 11 3 2 3 4 7" xfId="35518" xr:uid="{1C42D01E-4A6F-4A75-A3CB-7324FACA038A}"/>
    <cellStyle name="Normal 11 3 2 3 5" xfId="4109" xr:uid="{583279D1-C26D-4EE4-8710-5449CF4ABE9D}"/>
    <cellStyle name="Normal 11 3 2 3 5 2" xfId="12489" xr:uid="{0BEF14D8-3204-4766-953F-C4CC3C64A9A8}"/>
    <cellStyle name="Normal 11 3 2 3 5 2 2" xfId="29249" xr:uid="{3BBC51F7-578C-4EEA-A12F-4E81E8E83A47}"/>
    <cellStyle name="Normal 11 3 2 3 5 2 3" xfId="46008" xr:uid="{DA24E12F-14FD-461B-A5A6-80A2ECD6DF2A}"/>
    <cellStyle name="Normal 11 3 2 3 5 3" xfId="20869" xr:uid="{C3356C22-66A0-40CA-A128-BE56D8292B2A}"/>
    <cellStyle name="Normal 11 3 2 3 5 4" xfId="37628" xr:uid="{98D1C43C-2876-40D9-ACF5-13CE05729612}"/>
    <cellStyle name="Normal 11 3 2 3 6" xfId="5608" xr:uid="{F61891D4-8222-4879-BAE3-FB7F212A14B8}"/>
    <cellStyle name="Normal 11 3 2 3 6 2" xfId="13988" xr:uid="{D6802AEC-9EA2-49DB-9591-9E4C26D4F8A3}"/>
    <cellStyle name="Normal 11 3 2 3 6 2 2" xfId="30748" xr:uid="{41C0F8C7-AD9A-4427-AAFF-0AB5B8381CAF}"/>
    <cellStyle name="Normal 11 3 2 3 6 2 3" xfId="47507" xr:uid="{A3CFEBFC-724B-4A44-AC6E-13F228AADD82}"/>
    <cellStyle name="Normal 11 3 2 3 6 3" xfId="22368" xr:uid="{D30BEE65-9D62-453C-9953-B43ED8193531}"/>
    <cellStyle name="Normal 11 3 2 3 6 4" xfId="39127" xr:uid="{096C6306-EA7B-4610-92C2-139A0FF34DAE}"/>
    <cellStyle name="Normal 11 3 2 3 7" xfId="7472" xr:uid="{55BA4070-00D0-4E26-9891-830511A57231}"/>
    <cellStyle name="Normal 11 3 2 3 7 2" xfId="15852" xr:uid="{8098F171-EDA8-4319-BE22-C8B1B173DD24}"/>
    <cellStyle name="Normal 11 3 2 3 7 2 2" xfId="32612" xr:uid="{862B673C-22E3-4881-A533-6C41954DE1D8}"/>
    <cellStyle name="Normal 11 3 2 3 7 2 3" xfId="49371" xr:uid="{ABBF2162-1528-4671-B255-AB863198DB5C}"/>
    <cellStyle name="Normal 11 3 2 3 7 3" xfId="24232" xr:uid="{662D851F-4726-404E-81C6-5C272EFECEDC}"/>
    <cellStyle name="Normal 11 3 2 3 7 4" xfId="40991" xr:uid="{83CB9D9C-96DF-4ED5-876C-32FCB60E2C3B}"/>
    <cellStyle name="Normal 11 3 2 3 8" xfId="7878" xr:uid="{E917BB9D-0C70-407F-96BB-699FCD43AFF1}"/>
    <cellStyle name="Normal 11 3 2 3 8 2" xfId="16258" xr:uid="{071B2B23-D8A7-470F-8A6B-538F552C2E02}"/>
    <cellStyle name="Normal 11 3 2 3 8 2 2" xfId="33018" xr:uid="{FA216E11-3DDE-4EEC-992F-7CB1B7AE3A56}"/>
    <cellStyle name="Normal 11 3 2 3 8 2 3" xfId="49777" xr:uid="{9468D329-256A-4607-B30C-FBEDF3A1ED50}"/>
    <cellStyle name="Normal 11 3 2 3 8 3" xfId="24638" xr:uid="{9B3AC0AF-5F44-45D7-830C-EC9B6ADE104C}"/>
    <cellStyle name="Normal 11 3 2 3 8 4" xfId="41397" xr:uid="{7F8FF672-2731-4D7A-AAB7-FC97F91486D3}"/>
    <cellStyle name="Normal 11 3 2 3 9" xfId="8284" xr:uid="{2959C62F-5E0D-425F-B989-F3A6928011D2}"/>
    <cellStyle name="Normal 11 3 2 3 9 2" xfId="16664" xr:uid="{6974A133-1A6B-4C34-8CF3-3A6D652DB4A5}"/>
    <cellStyle name="Normal 11 3 2 3 9 2 2" xfId="33424" xr:uid="{6BEE7679-50C6-46E1-932F-3BF3C9F4B67F}"/>
    <cellStyle name="Normal 11 3 2 3 9 2 3" xfId="50183" xr:uid="{C0F10EA3-66EA-4A9C-A899-E35D065D9FA4}"/>
    <cellStyle name="Normal 11 3 2 3 9 3" xfId="25044" xr:uid="{05121956-E75F-4BA1-9CF5-9E034A89CA63}"/>
    <cellStyle name="Normal 11 3 2 3 9 4" xfId="41803" xr:uid="{0F103540-DA29-4A59-BAF0-CD6235B8A4E3}"/>
    <cellStyle name="Normal 11 3 2 4" xfId="867" xr:uid="{10D351B5-C127-4A39-B032-D41697C3D644}"/>
    <cellStyle name="Normal 11 3 2 4 2" xfId="4262" xr:uid="{AF0D9973-A668-4115-AFEB-43C32982A2C6}"/>
    <cellStyle name="Normal 11 3 2 4 2 2" xfId="12642" xr:uid="{AFB0528B-5D48-4ED9-B70A-1D1C58F589B8}"/>
    <cellStyle name="Normal 11 3 2 4 2 2 2" xfId="29402" xr:uid="{4D8B925D-E967-424E-B618-2162993E7861}"/>
    <cellStyle name="Normal 11 3 2 4 2 2 3" xfId="46161" xr:uid="{81BE5C59-8F96-4407-9F3C-EEA51757C342}"/>
    <cellStyle name="Normal 11 3 2 4 2 3" xfId="21022" xr:uid="{847DB0D0-5E02-4717-8EE3-BCC60D05F876}"/>
    <cellStyle name="Normal 11 3 2 4 2 4" xfId="37781" xr:uid="{F628A1A5-0071-4E38-811F-7EE690EA5BF1}"/>
    <cellStyle name="Normal 11 3 2 4 3" xfId="5949" xr:uid="{46655D61-79C0-4725-A191-8A1AD5EBA4DD}"/>
    <cellStyle name="Normal 11 3 2 4 3 2" xfId="14329" xr:uid="{CD1E22CE-A498-44B9-B160-7DBDCA5F4168}"/>
    <cellStyle name="Normal 11 3 2 4 3 2 2" xfId="31089" xr:uid="{21968D2F-414E-4600-BF3F-687E0881357D}"/>
    <cellStyle name="Normal 11 3 2 4 3 2 3" xfId="47848" xr:uid="{765BCF9D-2E8B-405A-AF23-D4FAC74BF7A5}"/>
    <cellStyle name="Normal 11 3 2 4 3 3" xfId="22709" xr:uid="{AAED93AC-2DE6-45A7-A9B5-C6C4F04BAD90}"/>
    <cellStyle name="Normal 11 3 2 4 3 4" xfId="39468" xr:uid="{62FCB1F1-7F9D-453F-B3AA-AC548B8F6B3C}"/>
    <cellStyle name="Normal 11 3 2 4 4" xfId="2685" xr:uid="{40BE5320-3627-4E00-9DE1-C5048B92BB97}"/>
    <cellStyle name="Normal 11 3 2 4 4 2" xfId="11065" xr:uid="{DC5DB27F-344F-4B1A-B29B-26A69E17F4BE}"/>
    <cellStyle name="Normal 11 3 2 4 4 2 2" xfId="27825" xr:uid="{3250764F-5E38-4D77-9F7A-F22E459CD01F}"/>
    <cellStyle name="Normal 11 3 2 4 4 2 3" xfId="44584" xr:uid="{C8DAC679-B35C-44C4-A500-D197AF87F371}"/>
    <cellStyle name="Normal 11 3 2 4 4 3" xfId="19445" xr:uid="{15140F67-EEA0-4BAC-93FE-AE11BA9E8464}"/>
    <cellStyle name="Normal 11 3 2 4 4 4" xfId="36204" xr:uid="{F3D8CC30-314B-4981-AD39-10F28D4C2082}"/>
    <cellStyle name="Normal 11 3 2 4 5" xfId="9262" xr:uid="{E0C6D8B8-AC1D-423C-AE43-7CD7FFFD9E19}"/>
    <cellStyle name="Normal 11 3 2 4 5 2" xfId="26022" xr:uid="{489D8A21-108D-4807-8E20-DFF6A843F3C5}"/>
    <cellStyle name="Normal 11 3 2 4 5 3" xfId="42781" xr:uid="{BA911B0D-C4E2-410D-B7D0-D8E9550DA2DF}"/>
    <cellStyle name="Normal 11 3 2 4 6" xfId="17642" xr:uid="{CFA9C692-C9EA-4A7B-9408-092BE807BBBF}"/>
    <cellStyle name="Normal 11 3 2 4 7" xfId="34401" xr:uid="{60DE256B-3979-4D98-9661-34242B5C5E57}"/>
    <cellStyle name="Normal 11 3 2 5" xfId="1301" xr:uid="{22BCFA73-7DFE-4D59-AAB8-962B84ECA1BE}"/>
    <cellStyle name="Normal 11 3 2 5 2" xfId="4690" xr:uid="{BC67B19C-7676-4C6F-951E-026C44C93620}"/>
    <cellStyle name="Normal 11 3 2 5 2 2" xfId="13070" xr:uid="{D43268D5-241A-4A1C-8474-CAC90AA65C20}"/>
    <cellStyle name="Normal 11 3 2 5 2 2 2" xfId="29830" xr:uid="{CD0FD93C-BCDF-4B00-9C22-E22B7200A3A9}"/>
    <cellStyle name="Normal 11 3 2 5 2 2 3" xfId="46589" xr:uid="{7533DB4B-25D9-4EC5-91EE-622E8581AAED}"/>
    <cellStyle name="Normal 11 3 2 5 2 3" xfId="21450" xr:uid="{E0A75619-EA41-43E2-A83C-40819EDF92B7}"/>
    <cellStyle name="Normal 11 3 2 5 2 4" xfId="38209" xr:uid="{5D269606-9CE3-4EE1-94C4-BDFCB8BBEF9E}"/>
    <cellStyle name="Normal 11 3 2 5 3" xfId="6377" xr:uid="{5138CC7F-5DDC-414D-86B2-36A0FF7BAF20}"/>
    <cellStyle name="Normal 11 3 2 5 3 2" xfId="14757" xr:uid="{61F2B8A5-79A1-432B-9D15-D7CBF1D3C045}"/>
    <cellStyle name="Normal 11 3 2 5 3 2 2" xfId="31517" xr:uid="{FF3D6B4B-76EF-478D-9F2A-2C11DD34898E}"/>
    <cellStyle name="Normal 11 3 2 5 3 2 3" xfId="48276" xr:uid="{FADFA51F-BDBD-4D34-AA45-88243210C86C}"/>
    <cellStyle name="Normal 11 3 2 5 3 3" xfId="23137" xr:uid="{E28A32A2-96D6-418C-B55C-0390323116B6}"/>
    <cellStyle name="Normal 11 3 2 5 3 4" xfId="39896" xr:uid="{A79D788E-62B0-4A46-A0BB-1208C9DB336D}"/>
    <cellStyle name="Normal 11 3 2 5 4" xfId="3113" xr:uid="{6B05FE11-7CC0-4779-AB87-FBA048277BB0}"/>
    <cellStyle name="Normal 11 3 2 5 4 2" xfId="11493" xr:uid="{A9B95811-B15E-4191-9B4E-13A623C19ACC}"/>
    <cellStyle name="Normal 11 3 2 5 4 2 2" xfId="28253" xr:uid="{4F5FA99F-9F54-4FB3-9FE3-D2ED8ACC94F8}"/>
    <cellStyle name="Normal 11 3 2 5 4 2 3" xfId="45012" xr:uid="{0967CAF8-449C-468D-813F-8CDCB634FDE9}"/>
    <cellStyle name="Normal 11 3 2 5 4 3" xfId="19873" xr:uid="{7F6D396D-D62A-4A7A-85CF-D54D78D75BC5}"/>
    <cellStyle name="Normal 11 3 2 5 4 4" xfId="36632" xr:uid="{6F28B8AB-A560-452A-9AB0-2DB2749CA218}"/>
    <cellStyle name="Normal 11 3 2 5 5" xfId="9690" xr:uid="{7127A10D-E291-457A-A02D-F922664D3E59}"/>
    <cellStyle name="Normal 11 3 2 5 5 2" xfId="26450" xr:uid="{09BEC37C-3ED8-4505-B568-F39793BFEE65}"/>
    <cellStyle name="Normal 11 3 2 5 5 3" xfId="43209" xr:uid="{9AF60197-0483-4D04-B0E0-D220E1ABC77D}"/>
    <cellStyle name="Normal 11 3 2 5 6" xfId="18070" xr:uid="{A21B0D94-9932-4C43-8EA2-7F598D44C1FD}"/>
    <cellStyle name="Normal 11 3 2 5 7" xfId="34829" xr:uid="{CC6060AE-07FC-4256-8A4A-AD79881AB3D9}"/>
    <cellStyle name="Normal 11 3 2 6" xfId="1719" xr:uid="{665048AD-84F4-4D17-BF9F-A30FAA09A75C}"/>
    <cellStyle name="Normal 11 3 2 6 2" xfId="5108" xr:uid="{D532E4D8-7264-4E7E-A1E8-16DAE732C37B}"/>
    <cellStyle name="Normal 11 3 2 6 2 2" xfId="13488" xr:uid="{891DC71F-39E8-4900-8E74-945C934469EE}"/>
    <cellStyle name="Normal 11 3 2 6 2 2 2" xfId="30248" xr:uid="{EEEB94F1-B0D5-48A1-B990-BB239DFA0ED7}"/>
    <cellStyle name="Normal 11 3 2 6 2 2 3" xfId="47007" xr:uid="{64C85C4F-AD8D-4300-B4F2-200AD252F1E6}"/>
    <cellStyle name="Normal 11 3 2 6 2 3" xfId="21868" xr:uid="{9AFB8DFE-E40E-455D-9800-5954F20B1CC6}"/>
    <cellStyle name="Normal 11 3 2 6 2 4" xfId="38627" xr:uid="{E56CB8BF-7123-41F3-B72F-8B224BBACABA}"/>
    <cellStyle name="Normal 11 3 2 6 3" xfId="6795" xr:uid="{CDACD574-6275-4350-8AEC-5DA6E65D0009}"/>
    <cellStyle name="Normal 11 3 2 6 3 2" xfId="15175" xr:uid="{C878281A-F7D5-42AD-B653-3ABA8515B166}"/>
    <cellStyle name="Normal 11 3 2 6 3 2 2" xfId="31935" xr:uid="{272F9896-EBC2-4C4A-AE78-971C7D7D0985}"/>
    <cellStyle name="Normal 11 3 2 6 3 2 3" xfId="48694" xr:uid="{F326C11F-812C-4FB8-B364-E49F57AC81DF}"/>
    <cellStyle name="Normal 11 3 2 6 3 3" xfId="23555" xr:uid="{5D450B01-CB56-4B6D-BF7B-7B796FAB98D4}"/>
    <cellStyle name="Normal 11 3 2 6 3 4" xfId="40314" xr:uid="{561B4EAA-A8DB-4EE3-8FA3-88213D5B0A7A}"/>
    <cellStyle name="Normal 11 3 2 6 4" xfId="3442" xr:uid="{D68A363E-634C-47A0-8C26-EE76ABA8E719}"/>
    <cellStyle name="Normal 11 3 2 6 4 2" xfId="11822" xr:uid="{A028A73F-06E3-4CFE-91F6-801EC372463F}"/>
    <cellStyle name="Normal 11 3 2 6 4 2 2" xfId="28582" xr:uid="{76D00547-F0A4-4957-95A7-3846E55F101B}"/>
    <cellStyle name="Normal 11 3 2 6 4 2 3" xfId="45341" xr:uid="{5DD96341-7DD4-4A86-B6DB-FC7313EE7863}"/>
    <cellStyle name="Normal 11 3 2 6 4 3" xfId="20202" xr:uid="{6DFA9284-4A15-43D8-B0B1-4FE5EA0283F1}"/>
    <cellStyle name="Normal 11 3 2 6 4 4" xfId="36961" xr:uid="{EF45AA3F-5B1F-455F-A758-B187512F1CA5}"/>
    <cellStyle name="Normal 11 3 2 6 5" xfId="10108" xr:uid="{295F720A-3B3E-4B45-9B30-5F3AA7F26D4F}"/>
    <cellStyle name="Normal 11 3 2 6 5 2" xfId="26868" xr:uid="{89C43712-89DA-4EFE-A8AA-1309B794B9D5}"/>
    <cellStyle name="Normal 11 3 2 6 5 3" xfId="43627" xr:uid="{7C6EF11C-B4F0-4E79-9C13-8C9EEE38C16D}"/>
    <cellStyle name="Normal 11 3 2 6 6" xfId="18488" xr:uid="{A388D285-EC15-4F27-801B-64C5A62E459B}"/>
    <cellStyle name="Normal 11 3 2 6 7" xfId="35247" xr:uid="{79EBBB69-810D-49AD-AFE4-35A7855DCC56}"/>
    <cellStyle name="Normal 11 3 2 7" xfId="3838" xr:uid="{20D76110-3C7A-4189-86D3-E883476A562F}"/>
    <cellStyle name="Normal 11 3 2 7 2" xfId="12218" xr:uid="{95FBAB0E-568C-4619-9B45-DB6DFB073A77}"/>
    <cellStyle name="Normal 11 3 2 7 2 2" xfId="28978" xr:uid="{9CAF08D5-5723-42FA-8B5C-368262673A9E}"/>
    <cellStyle name="Normal 11 3 2 7 2 3" xfId="45737" xr:uid="{7FEB09E1-7516-4B53-B74D-C043EAF1F223}"/>
    <cellStyle name="Normal 11 3 2 7 3" xfId="20598" xr:uid="{A6FE7370-B2C6-4B00-B7C3-2ABD3A77A438}"/>
    <cellStyle name="Normal 11 3 2 7 4" xfId="37357" xr:uid="{63604511-2026-4411-8E0C-03358F3B0810}"/>
    <cellStyle name="Normal 11 3 2 8" xfId="5523" xr:uid="{4A717A58-00F2-43DF-9922-4AD67B61FF44}"/>
    <cellStyle name="Normal 11 3 2 8 2" xfId="13903" xr:uid="{7D3F61BB-A0DC-43E6-877A-1B470C116AA5}"/>
    <cellStyle name="Normal 11 3 2 8 2 2" xfId="30663" xr:uid="{2971A40D-FED0-4D9C-A04D-10A9A60EB782}"/>
    <cellStyle name="Normal 11 3 2 8 2 3" xfId="47422" xr:uid="{84DF3B42-48BF-4391-ABA3-23CCC8E27D0A}"/>
    <cellStyle name="Normal 11 3 2 8 3" xfId="22283" xr:uid="{22675113-766D-4520-B48F-0F1D8A9B244E}"/>
    <cellStyle name="Normal 11 3 2 8 4" xfId="39042" xr:uid="{D8F45439-D423-4D20-8E9C-8BAE52DEDB13}"/>
    <cellStyle name="Normal 11 3 2 9" xfId="7201" xr:uid="{97F24EEA-8F16-4460-9EF1-F8BECE5972FA}"/>
    <cellStyle name="Normal 11 3 2 9 2" xfId="15581" xr:uid="{680422BA-17C4-4F40-95B6-879735562812}"/>
    <cellStyle name="Normal 11 3 2 9 2 2" xfId="32341" xr:uid="{3C846A03-D27B-4410-AA59-5639CDBB1DB4}"/>
    <cellStyle name="Normal 11 3 2 9 2 3" xfId="49100" xr:uid="{35FF0132-E830-4032-B9DC-43254CB7DBCF}"/>
    <cellStyle name="Normal 11 3 2 9 3" xfId="23961" xr:uid="{2E60386E-569A-441A-8E9E-988967084412}"/>
    <cellStyle name="Normal 11 3 2 9 4" xfId="40720" xr:uid="{40727D1B-3FFF-4F5B-9DBE-A502320CCA4D}"/>
    <cellStyle name="Normal 11 3 3" xfId="511" xr:uid="{99FFAF1B-9052-473F-8F15-3E93AA20F939}"/>
    <cellStyle name="Normal 11 3 3 10" xfId="8486" xr:uid="{8D828DF2-3F7C-4655-ABA2-BE7F6C49421E}"/>
    <cellStyle name="Normal 11 3 3 10 2" xfId="16866" xr:uid="{AD6EA5D1-8D34-46FF-8425-0DFCE94749AB}"/>
    <cellStyle name="Normal 11 3 3 10 2 2" xfId="33626" xr:uid="{65A09905-E0A5-4076-873C-76ADBB5A0D04}"/>
    <cellStyle name="Normal 11 3 3 10 2 3" xfId="50385" xr:uid="{AC94F139-D8D9-4F0A-8CEF-8837530339F4}"/>
    <cellStyle name="Normal 11 3 3 10 3" xfId="25246" xr:uid="{3D685213-76F9-4B83-8836-050C8A5C886A}"/>
    <cellStyle name="Normal 11 3 3 10 4" xfId="42005" xr:uid="{2720F7C8-93E0-4F98-A34E-F1130C0455A8}"/>
    <cellStyle name="Normal 11 3 3 11" xfId="2343" xr:uid="{AC3D9D34-9604-46E2-BF1A-27621F25B08E}"/>
    <cellStyle name="Normal 11 3 3 11 2" xfId="10725" xr:uid="{9B881C32-FEA9-45C8-BF82-877AF78F024A}"/>
    <cellStyle name="Normal 11 3 3 11 2 2" xfId="27485" xr:uid="{F84B2C96-486D-46E9-9F1B-3E3F5CDB14C7}"/>
    <cellStyle name="Normal 11 3 3 11 2 3" xfId="44244" xr:uid="{AF407E8B-4DBB-49F1-9A1F-CE129C27B659}"/>
    <cellStyle name="Normal 11 3 3 11 3" xfId="19105" xr:uid="{B2E76A33-EEB7-4228-B60E-2FE90D4D6B90}"/>
    <cellStyle name="Normal 11 3 3 11 4" xfId="35864" xr:uid="{207B6963-6DFA-4C5F-B97C-F8E5E22F2486}"/>
    <cellStyle name="Normal 11 3 3 12" xfId="8922" xr:uid="{CE78287A-C53F-4A5A-AD65-C93BC96DE2C1}"/>
    <cellStyle name="Normal 11 3 3 12 2" xfId="25682" xr:uid="{144810EF-D760-47C1-93E8-F6EFAEAAE50B}"/>
    <cellStyle name="Normal 11 3 3 12 3" xfId="42441" xr:uid="{E5C827BC-CEE2-49CE-96BB-0A709324C341}"/>
    <cellStyle name="Normal 11 3 3 13" xfId="17302" xr:uid="{2AAD5775-8078-4ED0-84A4-FF45FEB8013F}"/>
    <cellStyle name="Normal 11 3 3 14" xfId="34061" xr:uid="{F54C41A9-CF93-4E88-929B-882093F8E40D}"/>
    <cellStyle name="Normal 11 3 3 2" xfId="953" xr:uid="{F99808FD-A72A-4EE8-8521-03C27BFD0256}"/>
    <cellStyle name="Normal 11 3 3 2 2" xfId="4348" xr:uid="{8F7F0333-23C3-4F8C-8A60-5E53B8F9D742}"/>
    <cellStyle name="Normal 11 3 3 2 2 2" xfId="12728" xr:uid="{6D769AB1-1861-470E-BFE2-FE16F7984E4D}"/>
    <cellStyle name="Normal 11 3 3 2 2 2 2" xfId="29488" xr:uid="{31097DEC-9C41-4277-B8E1-E6D3E66EEA4E}"/>
    <cellStyle name="Normal 11 3 3 2 2 2 3" xfId="46247" xr:uid="{2BCB597E-FA4B-4332-B57C-715B80D5D4DD}"/>
    <cellStyle name="Normal 11 3 3 2 2 3" xfId="21108" xr:uid="{9079EA46-7185-4F4E-B995-90B1588CB636}"/>
    <cellStyle name="Normal 11 3 3 2 2 4" xfId="37867" xr:uid="{53DB3839-07FE-4459-8006-F8E944055791}"/>
    <cellStyle name="Normal 11 3 3 2 3" xfId="6035" xr:uid="{1C740080-1F66-4BCA-B1E7-6C45AD164FFA}"/>
    <cellStyle name="Normal 11 3 3 2 3 2" xfId="14415" xr:uid="{1B2F905B-7CEA-40FC-A741-565D2B5931B8}"/>
    <cellStyle name="Normal 11 3 3 2 3 2 2" xfId="31175" xr:uid="{4B335CDF-2B18-4A44-B82E-D7784F805576}"/>
    <cellStyle name="Normal 11 3 3 2 3 2 3" xfId="47934" xr:uid="{BAD8D6E8-A465-4793-8D99-2EE48B78532A}"/>
    <cellStyle name="Normal 11 3 3 2 3 3" xfId="22795" xr:uid="{79A73B10-B182-4840-A8B1-A699D09EB60C}"/>
    <cellStyle name="Normal 11 3 3 2 3 4" xfId="39554" xr:uid="{C8EE2D91-AF3C-45A9-885D-F65E5D977EC3}"/>
    <cellStyle name="Normal 11 3 3 2 4" xfId="2771" xr:uid="{C72DDAA0-C581-4960-A038-131760CB2036}"/>
    <cellStyle name="Normal 11 3 3 2 4 2" xfId="11151" xr:uid="{F65625AA-6D56-4E67-A7DB-C6FC3FCD9954}"/>
    <cellStyle name="Normal 11 3 3 2 4 2 2" xfId="27911" xr:uid="{E91A8303-397B-4289-BFC5-CBA51B57AD19}"/>
    <cellStyle name="Normal 11 3 3 2 4 2 3" xfId="44670" xr:uid="{BF880742-0072-4C9C-AAE2-F3AFE7B3FC17}"/>
    <cellStyle name="Normal 11 3 3 2 4 3" xfId="19531" xr:uid="{371164EF-74F3-409D-9E1B-F8C5E14276DC}"/>
    <cellStyle name="Normal 11 3 3 2 4 4" xfId="36290" xr:uid="{0C738C2E-B399-4C86-A53E-4D8C568E2C5E}"/>
    <cellStyle name="Normal 11 3 3 2 5" xfId="9348" xr:uid="{D032158C-D0A9-4826-BA5A-EFFEF26FA00F}"/>
    <cellStyle name="Normal 11 3 3 2 5 2" xfId="26108" xr:uid="{910EEC93-8994-4EDD-BA7C-1A4ADE2068D0}"/>
    <cellStyle name="Normal 11 3 3 2 5 3" xfId="42867" xr:uid="{34CD5180-E469-4C7A-AB11-E80CB13E986A}"/>
    <cellStyle name="Normal 11 3 3 2 6" xfId="17728" xr:uid="{5F1CAD34-563F-46A9-9A38-FAB4F6C705BF}"/>
    <cellStyle name="Normal 11 3 3 2 7" xfId="34487" xr:uid="{F186FF86-D30B-482F-A38F-782C22BE839B}"/>
    <cellStyle name="Normal 11 3 3 3" xfId="1387" xr:uid="{20DEE79E-D565-42A7-A019-E1640BF4C3C4}"/>
    <cellStyle name="Normal 11 3 3 3 2" xfId="4776" xr:uid="{F794ABA2-FCE9-4123-94BF-C560EB064E04}"/>
    <cellStyle name="Normal 11 3 3 3 2 2" xfId="13156" xr:uid="{DFEF86EE-2C2C-4456-83A2-4952F5E3077B}"/>
    <cellStyle name="Normal 11 3 3 3 2 2 2" xfId="29916" xr:uid="{7F65EA6D-7BE0-4137-8623-A4F8982E7B3B}"/>
    <cellStyle name="Normal 11 3 3 3 2 2 3" xfId="46675" xr:uid="{0B4F2210-DD1D-4FB1-AF20-90948B6EEE3B}"/>
    <cellStyle name="Normal 11 3 3 3 2 3" xfId="21536" xr:uid="{A2F7F25A-9C89-486D-911E-22C10D86C969}"/>
    <cellStyle name="Normal 11 3 3 3 2 4" xfId="38295" xr:uid="{B00E654C-A2A1-4D00-AF5E-7D063C7D6904}"/>
    <cellStyle name="Normal 11 3 3 3 3" xfId="6463" xr:uid="{9AC28B20-FD21-4F2D-B97E-247B6EB0ECED}"/>
    <cellStyle name="Normal 11 3 3 3 3 2" xfId="14843" xr:uid="{1CD97C9E-EFC3-4307-A298-F9C527C077C9}"/>
    <cellStyle name="Normal 11 3 3 3 3 2 2" xfId="31603" xr:uid="{1A69307D-1CAF-4402-AEE8-30D017193D3E}"/>
    <cellStyle name="Normal 11 3 3 3 3 2 3" xfId="48362" xr:uid="{F7728DA8-C1E2-42CF-A02B-180AA8CF2042}"/>
    <cellStyle name="Normal 11 3 3 3 3 3" xfId="23223" xr:uid="{9F2C4129-F238-4670-B821-3BB50633AD72}"/>
    <cellStyle name="Normal 11 3 3 3 3 4" xfId="39982" xr:uid="{E94604D0-167D-4FDA-A8BB-349538A4AF54}"/>
    <cellStyle name="Normal 11 3 3 3 4" xfId="3199" xr:uid="{27DFBE43-B5BC-44FC-9258-C931E0F895D6}"/>
    <cellStyle name="Normal 11 3 3 3 4 2" xfId="11579" xr:uid="{E8D90E27-5F3E-4FAE-B59B-38C93F30702C}"/>
    <cellStyle name="Normal 11 3 3 3 4 2 2" xfId="28339" xr:uid="{7833DD9B-0FA3-494A-BDFC-6DA3C5AB72EF}"/>
    <cellStyle name="Normal 11 3 3 3 4 2 3" xfId="45098" xr:uid="{E68A1326-62B5-48CD-9D58-B7DED7017D9E}"/>
    <cellStyle name="Normal 11 3 3 3 4 3" xfId="19959" xr:uid="{F6096353-F1E9-45FE-931D-E8C5A3AD225A}"/>
    <cellStyle name="Normal 11 3 3 3 4 4" xfId="36718" xr:uid="{8136EBF6-D11D-4206-A1B6-8131FE3F297C}"/>
    <cellStyle name="Normal 11 3 3 3 5" xfId="9776" xr:uid="{8E4D897E-F0B9-4877-9B36-5010CACB8BBC}"/>
    <cellStyle name="Normal 11 3 3 3 5 2" xfId="26536" xr:uid="{C16FD017-9E25-4BF4-913D-B9EF3C987E7E}"/>
    <cellStyle name="Normal 11 3 3 3 5 3" xfId="43295" xr:uid="{2A2C5C14-198A-485A-8454-207FF271D220}"/>
    <cellStyle name="Normal 11 3 3 3 6" xfId="18156" xr:uid="{A871FB14-4288-4EE8-B39A-DCDD37CFC111}"/>
    <cellStyle name="Normal 11 3 3 3 7" xfId="34915" xr:uid="{6DB9898B-A01C-4882-9C13-A635A36A3769}"/>
    <cellStyle name="Normal 11 3 3 4" xfId="1786" xr:uid="{EF83867F-90C5-4189-9773-247A3DC304E9}"/>
    <cellStyle name="Normal 11 3 3 4 2" xfId="5175" xr:uid="{0C07682F-CC0E-4FA2-91AF-A6212889899D}"/>
    <cellStyle name="Normal 11 3 3 4 2 2" xfId="13555" xr:uid="{7BFDE628-BC20-43AB-A083-F6770D035800}"/>
    <cellStyle name="Normal 11 3 3 4 2 2 2" xfId="30315" xr:uid="{031D3DCA-FEE2-4CF5-9514-463369377C00}"/>
    <cellStyle name="Normal 11 3 3 4 2 2 3" xfId="47074" xr:uid="{37DC4DBB-613E-47E3-8F11-4D60EBDCBD4E}"/>
    <cellStyle name="Normal 11 3 3 4 2 3" xfId="21935" xr:uid="{88B8674D-4CF8-4988-B134-7D882C91D4C5}"/>
    <cellStyle name="Normal 11 3 3 4 2 4" xfId="38694" xr:uid="{BE90B4C3-A48F-4C1F-AEE7-B9773DBEFD4E}"/>
    <cellStyle name="Normal 11 3 3 4 3" xfId="6862" xr:uid="{6CA757CD-DA4B-47C5-88B8-47148BCFFF0C}"/>
    <cellStyle name="Normal 11 3 3 4 3 2" xfId="15242" xr:uid="{30A96517-04DD-425E-9AF3-B21A38CEE890}"/>
    <cellStyle name="Normal 11 3 3 4 3 2 2" xfId="32002" xr:uid="{4585F8B6-997D-451C-838A-F66FF9843310}"/>
    <cellStyle name="Normal 11 3 3 4 3 2 3" xfId="48761" xr:uid="{A52EAC8C-33FF-4733-B58C-C4AFC3201E5D}"/>
    <cellStyle name="Normal 11 3 3 4 3 3" xfId="23622" xr:uid="{D147187B-C7A8-47E4-A572-D50DE09266B4}"/>
    <cellStyle name="Normal 11 3 3 4 3 4" xfId="40381" xr:uid="{6A56E7AD-FF6C-4310-B8CF-96D7D87FD9E8}"/>
    <cellStyle name="Normal 11 3 3 4 4" xfId="3486" xr:uid="{70DE626B-1717-4DFE-A089-B607A3423D94}"/>
    <cellStyle name="Normal 11 3 3 4 4 2" xfId="11866" xr:uid="{74EF5EA3-4382-4298-B8B4-B56ED67F8F4D}"/>
    <cellStyle name="Normal 11 3 3 4 4 2 2" xfId="28626" xr:uid="{78A839FA-6333-495F-A954-BBF192E96B2D}"/>
    <cellStyle name="Normal 11 3 3 4 4 2 3" xfId="45385" xr:uid="{DF9E6278-C135-4A8B-8386-62F020AEF3FF}"/>
    <cellStyle name="Normal 11 3 3 4 4 3" xfId="20246" xr:uid="{DE3F1FCF-FFB6-40EE-B0D6-17418192775F}"/>
    <cellStyle name="Normal 11 3 3 4 4 4" xfId="37005" xr:uid="{5AA5701F-7CAA-4B71-9EF0-EB6BA6D67AC7}"/>
    <cellStyle name="Normal 11 3 3 4 5" xfId="10175" xr:uid="{DC456474-9E23-4CF2-983B-5B9070AD9348}"/>
    <cellStyle name="Normal 11 3 3 4 5 2" xfId="26935" xr:uid="{5C08BA4D-A679-45C6-80FD-3EBA5F179333}"/>
    <cellStyle name="Normal 11 3 3 4 5 3" xfId="43694" xr:uid="{1D66087B-E03A-465A-A41C-52CA879D6AD6}"/>
    <cellStyle name="Normal 11 3 3 4 6" xfId="18555" xr:uid="{3328078B-401F-4376-8F6C-EAFD82146B94}"/>
    <cellStyle name="Normal 11 3 3 4 7" xfId="35314" xr:uid="{D95FCF4C-B2EF-474E-84A9-9FE47C11F238}"/>
    <cellStyle name="Normal 11 3 3 5" xfId="3905" xr:uid="{69FF2C94-D26F-42A7-98F5-F21F8A213A77}"/>
    <cellStyle name="Normal 11 3 3 5 2" xfId="12285" xr:uid="{E4FFF9F1-68B2-45F3-9B3B-114757E67D6B}"/>
    <cellStyle name="Normal 11 3 3 5 2 2" xfId="29045" xr:uid="{27D4B2C7-5059-496B-82D1-974BB17AD106}"/>
    <cellStyle name="Normal 11 3 3 5 2 3" xfId="45804" xr:uid="{A6FA8F64-802A-4191-B161-C0B5BD1C1243}"/>
    <cellStyle name="Normal 11 3 3 5 3" xfId="20665" xr:uid="{CD012A6B-F673-4980-B94E-90FDD4F8ACA7}"/>
    <cellStyle name="Normal 11 3 3 5 4" xfId="37424" xr:uid="{222E893A-A669-448C-A00E-7E78F8886881}"/>
    <cellStyle name="Normal 11 3 3 6" xfId="5609" xr:uid="{F654F50F-9B58-4645-B577-3A5B7064CFE3}"/>
    <cellStyle name="Normal 11 3 3 6 2" xfId="13989" xr:uid="{ECC40163-6145-4490-BF37-D2FBB3F97617}"/>
    <cellStyle name="Normal 11 3 3 6 2 2" xfId="30749" xr:uid="{5A5E40A5-D7E5-43EB-B4C7-1085692CFB81}"/>
    <cellStyle name="Normal 11 3 3 6 2 3" xfId="47508" xr:uid="{17249855-BCB0-46E5-A71E-5D59DB8F9AD7}"/>
    <cellStyle name="Normal 11 3 3 6 3" xfId="22369" xr:uid="{F8A5DF11-DFC2-4954-839E-0D1E66BA797A}"/>
    <cellStyle name="Normal 11 3 3 6 4" xfId="39128" xr:uid="{27EFBB2B-1F19-40E3-ACC7-C7CD96EAF4C9}"/>
    <cellStyle name="Normal 11 3 3 7" xfId="7268" xr:uid="{90B323FB-B0F4-4B68-9BD3-0BA43EC546C2}"/>
    <cellStyle name="Normal 11 3 3 7 2" xfId="15648" xr:uid="{C5C92A7F-0E71-485C-BAC1-163A9ED357DD}"/>
    <cellStyle name="Normal 11 3 3 7 2 2" xfId="32408" xr:uid="{EA0F65DA-53AE-4704-8655-DEB0371FA188}"/>
    <cellStyle name="Normal 11 3 3 7 2 3" xfId="49167" xr:uid="{ADA99F17-CD5F-4263-B41D-7DF6E6C2F77B}"/>
    <cellStyle name="Normal 11 3 3 7 3" xfId="24028" xr:uid="{8B50F5DC-0AF7-4BBF-9007-37DB0477001B}"/>
    <cellStyle name="Normal 11 3 3 7 4" xfId="40787" xr:uid="{4312D701-E7E6-46FD-9DC9-D8DB75CBD431}"/>
    <cellStyle name="Normal 11 3 3 8" xfId="7674" xr:uid="{D4CD92D9-655A-4AF5-95F2-75C12ECBE578}"/>
    <cellStyle name="Normal 11 3 3 8 2" xfId="16054" xr:uid="{B5521ADB-14E6-43DD-A70C-867FC5E61398}"/>
    <cellStyle name="Normal 11 3 3 8 2 2" xfId="32814" xr:uid="{E66747FE-3C1B-4FCC-9AFD-9BAF2054D531}"/>
    <cellStyle name="Normal 11 3 3 8 2 3" xfId="49573" xr:uid="{D30DD3E2-9442-4420-81FA-6BDE5427CEB4}"/>
    <cellStyle name="Normal 11 3 3 8 3" xfId="24434" xr:uid="{06433C59-5416-4008-8826-5649C862E581}"/>
    <cellStyle name="Normal 11 3 3 8 4" xfId="41193" xr:uid="{0B011749-379D-408C-9278-60042AC58607}"/>
    <cellStyle name="Normal 11 3 3 9" xfId="8080" xr:uid="{22CDDFEC-52BF-463B-95F2-C5D7BDCE7280}"/>
    <cellStyle name="Normal 11 3 3 9 2" xfId="16460" xr:uid="{48835EEC-2E1C-437F-96D8-6A9F37D2FFBC}"/>
    <cellStyle name="Normal 11 3 3 9 2 2" xfId="33220" xr:uid="{D6DC350A-3963-4CEC-BE34-519ECD27E15E}"/>
    <cellStyle name="Normal 11 3 3 9 2 3" xfId="49979" xr:uid="{5A6C36DB-2831-4B79-ADA1-310C0E75639A}"/>
    <cellStyle name="Normal 11 3 3 9 3" xfId="24840" xr:uid="{E27F194F-1DC6-4C40-ADE4-613E4DAD2D46}"/>
    <cellStyle name="Normal 11 3 3 9 4" xfId="41599" xr:uid="{C0297090-0EEF-4BDC-8E1E-550623CF787A}"/>
    <cellStyle name="Normal 11 3 4" xfId="512" xr:uid="{4FA2EB2A-78F4-4F82-AB5D-8D6C90D45361}"/>
    <cellStyle name="Normal 11 3 4 10" xfId="8632" xr:uid="{D0ABE5BF-05DC-4727-937D-1AB25D875869}"/>
    <cellStyle name="Normal 11 3 4 10 2" xfId="17012" xr:uid="{6C25056F-A2B6-48FA-BDCF-02D3C8BD31BB}"/>
    <cellStyle name="Normal 11 3 4 10 2 2" xfId="33772" xr:uid="{DA99DF45-2447-44E1-906A-AC8DA6AB64BF}"/>
    <cellStyle name="Normal 11 3 4 10 2 3" xfId="50531" xr:uid="{8CB132A0-5AEA-4649-82A1-BB038F197F40}"/>
    <cellStyle name="Normal 11 3 4 10 3" xfId="25392" xr:uid="{FAA361FE-074D-4F75-9782-B848D122480F}"/>
    <cellStyle name="Normal 11 3 4 10 4" xfId="42151" xr:uid="{A1380066-A5FA-417B-8106-C88F323540CA}"/>
    <cellStyle name="Normal 11 3 4 11" xfId="2344" xr:uid="{2809297D-8608-4F9D-96EC-CBB95DC3B21C}"/>
    <cellStyle name="Normal 11 3 4 11 2" xfId="10726" xr:uid="{C4A8CDAF-A499-4C85-853E-BA0BF2830635}"/>
    <cellStyle name="Normal 11 3 4 11 2 2" xfId="27486" xr:uid="{2C47A792-602E-434A-888C-648F9E0AABF6}"/>
    <cellStyle name="Normal 11 3 4 11 2 3" xfId="44245" xr:uid="{AA0DC1E0-5A40-4526-947D-021BEB25263B}"/>
    <cellStyle name="Normal 11 3 4 11 3" xfId="19106" xr:uid="{365A6D16-4CEE-452E-B42D-AB50E72521DC}"/>
    <cellStyle name="Normal 11 3 4 11 4" xfId="35865" xr:uid="{D813007F-981E-4E3B-82DA-54F0797FA258}"/>
    <cellStyle name="Normal 11 3 4 12" xfId="8923" xr:uid="{8C65D25B-E9F2-4661-AFE5-AA882804B637}"/>
    <cellStyle name="Normal 11 3 4 12 2" xfId="25683" xr:uid="{2CD92BC0-66F7-446E-8338-6D961AFA7045}"/>
    <cellStyle name="Normal 11 3 4 12 3" xfId="42442" xr:uid="{B6AF8A39-59E2-453B-9DA9-DAC137CAD4D3}"/>
    <cellStyle name="Normal 11 3 4 13" xfId="17303" xr:uid="{CD1DEC90-AE89-43AB-93F1-033EF7451E44}"/>
    <cellStyle name="Normal 11 3 4 14" xfId="34062" xr:uid="{B538B9F7-78ED-4A89-8020-258C72D29B74}"/>
    <cellStyle name="Normal 11 3 4 2" xfId="954" xr:uid="{98E67703-78EE-4D25-9544-6F48A1EA261D}"/>
    <cellStyle name="Normal 11 3 4 2 2" xfId="4349" xr:uid="{CA2D4971-A2A1-451E-B0B4-A519D026C854}"/>
    <cellStyle name="Normal 11 3 4 2 2 2" xfId="12729" xr:uid="{E816846E-F1ED-4A90-AE60-7D891A18CB83}"/>
    <cellStyle name="Normal 11 3 4 2 2 2 2" xfId="29489" xr:uid="{A4ECB147-AC3D-4BC4-AF4D-6AA1B42B8260}"/>
    <cellStyle name="Normal 11 3 4 2 2 2 3" xfId="46248" xr:uid="{09252896-CB78-4360-AA3E-7F69D38E1F17}"/>
    <cellStyle name="Normal 11 3 4 2 2 3" xfId="21109" xr:uid="{DE63F758-6D32-4B90-A8B6-6C25DBC56415}"/>
    <cellStyle name="Normal 11 3 4 2 2 4" xfId="37868" xr:uid="{BD96FC89-562E-4472-8843-1266CF552ED9}"/>
    <cellStyle name="Normal 11 3 4 2 3" xfId="6036" xr:uid="{0D53B0F5-F15C-4A47-B535-710231B80AAB}"/>
    <cellStyle name="Normal 11 3 4 2 3 2" xfId="14416" xr:uid="{544A725D-F516-4FA1-A823-8F06B25C5802}"/>
    <cellStyle name="Normal 11 3 4 2 3 2 2" xfId="31176" xr:uid="{C754B179-24CF-4ECC-AE34-60841CDA9980}"/>
    <cellStyle name="Normal 11 3 4 2 3 2 3" xfId="47935" xr:uid="{9661FB59-11F9-4177-81DF-0EF26FC875F2}"/>
    <cellStyle name="Normal 11 3 4 2 3 3" xfId="22796" xr:uid="{FEE5632F-086B-46C1-A30B-49E59EF61317}"/>
    <cellStyle name="Normal 11 3 4 2 3 4" xfId="39555" xr:uid="{981AC84B-6568-4534-B926-6D8C977506B2}"/>
    <cellStyle name="Normal 11 3 4 2 4" xfId="2772" xr:uid="{B0B00CE7-0D44-4831-97BB-B37D3DE09218}"/>
    <cellStyle name="Normal 11 3 4 2 4 2" xfId="11152" xr:uid="{58D605BB-DE0F-47AE-BA9E-2E67A005AAE8}"/>
    <cellStyle name="Normal 11 3 4 2 4 2 2" xfId="27912" xr:uid="{E56E7E7C-5BA8-4EA5-A4A0-6D31E189FC33}"/>
    <cellStyle name="Normal 11 3 4 2 4 2 3" xfId="44671" xr:uid="{88B0FA30-123E-4BC2-85CC-969823CD9DEF}"/>
    <cellStyle name="Normal 11 3 4 2 4 3" xfId="19532" xr:uid="{96BAC46B-2E8D-4E42-B146-7DEA8DA25CA0}"/>
    <cellStyle name="Normal 11 3 4 2 4 4" xfId="36291" xr:uid="{655F0F2A-8BF9-4050-A246-87233B39AE38}"/>
    <cellStyle name="Normal 11 3 4 2 5" xfId="9349" xr:uid="{80FFE987-94B2-4172-97DE-1088AE80BA82}"/>
    <cellStyle name="Normal 11 3 4 2 5 2" xfId="26109" xr:uid="{EBD42486-813C-41E9-BB4C-AFB661FAFAB0}"/>
    <cellStyle name="Normal 11 3 4 2 5 3" xfId="42868" xr:uid="{6DFEC8B6-FBCB-4FF4-9FD5-FFF265F04598}"/>
    <cellStyle name="Normal 11 3 4 2 6" xfId="17729" xr:uid="{80A3EECC-E610-45A9-94CD-6DB201876CE6}"/>
    <cellStyle name="Normal 11 3 4 2 7" xfId="34488" xr:uid="{A2D593D3-121D-47E0-BD6A-068E6BEB7D53}"/>
    <cellStyle name="Normal 11 3 4 3" xfId="1388" xr:uid="{DFD03376-C267-4949-9B9C-786D023CB3AC}"/>
    <cellStyle name="Normal 11 3 4 3 2" xfId="4777" xr:uid="{7483EDC0-3DEC-48C3-8C91-C6D3AD311D22}"/>
    <cellStyle name="Normal 11 3 4 3 2 2" xfId="13157" xr:uid="{6E6579DD-2DF6-420A-8A6F-176B5D853700}"/>
    <cellStyle name="Normal 11 3 4 3 2 2 2" xfId="29917" xr:uid="{70EFA41F-F1CC-428D-9646-1E9D92AB7034}"/>
    <cellStyle name="Normal 11 3 4 3 2 2 3" xfId="46676" xr:uid="{07F5E159-AD67-4DAA-AB03-C365614D7D04}"/>
    <cellStyle name="Normal 11 3 4 3 2 3" xfId="21537" xr:uid="{403F33BD-168C-4417-B456-DAE08BC56DAF}"/>
    <cellStyle name="Normal 11 3 4 3 2 4" xfId="38296" xr:uid="{B80C23DA-6B52-40B4-A769-72DB3AEC0C13}"/>
    <cellStyle name="Normal 11 3 4 3 3" xfId="6464" xr:uid="{C6FCC81C-61C6-417D-AB65-9F67E1F64431}"/>
    <cellStyle name="Normal 11 3 4 3 3 2" xfId="14844" xr:uid="{B39EC7A4-EA8A-451C-AA23-BE5A4B2CB9E5}"/>
    <cellStyle name="Normal 11 3 4 3 3 2 2" xfId="31604" xr:uid="{5141CFE8-277A-44FE-A9E5-D22E666CE4C8}"/>
    <cellStyle name="Normal 11 3 4 3 3 2 3" xfId="48363" xr:uid="{9902D03F-471F-44A0-B760-02CEEDE9AA7E}"/>
    <cellStyle name="Normal 11 3 4 3 3 3" xfId="23224" xr:uid="{2197D7E8-C074-4583-B5B9-FA1BDE495ABC}"/>
    <cellStyle name="Normal 11 3 4 3 3 4" xfId="39983" xr:uid="{9D32D69A-F8E1-405B-BC90-28411910B0B5}"/>
    <cellStyle name="Normal 11 3 4 3 4" xfId="3200" xr:uid="{1A704AFB-B45B-46FB-B6FA-490866EC7179}"/>
    <cellStyle name="Normal 11 3 4 3 4 2" xfId="11580" xr:uid="{3588F960-37A6-4FFC-8779-860F342D29FF}"/>
    <cellStyle name="Normal 11 3 4 3 4 2 2" xfId="28340" xr:uid="{2380CA16-4B64-41A3-B242-FC8ED07533E2}"/>
    <cellStyle name="Normal 11 3 4 3 4 2 3" xfId="45099" xr:uid="{8DF0542A-7EE8-43D7-A4B7-056E695775E3}"/>
    <cellStyle name="Normal 11 3 4 3 4 3" xfId="19960" xr:uid="{46F43467-DCBF-4ED7-BF11-2DC8FBF6F7CD}"/>
    <cellStyle name="Normal 11 3 4 3 4 4" xfId="36719" xr:uid="{33B5B0A1-C968-42A0-94F5-E7B23E9ECDEC}"/>
    <cellStyle name="Normal 11 3 4 3 5" xfId="9777" xr:uid="{E495D37C-DE8A-435B-BCD7-88C7D73C7080}"/>
    <cellStyle name="Normal 11 3 4 3 5 2" xfId="26537" xr:uid="{BA9EB022-AEEF-4764-8457-B97320125A5E}"/>
    <cellStyle name="Normal 11 3 4 3 5 3" xfId="43296" xr:uid="{10C4643E-2110-4478-8244-C07A0DFF61E8}"/>
    <cellStyle name="Normal 11 3 4 3 6" xfId="18157" xr:uid="{6A3A23D0-0B5C-47EB-AB10-8F81C8A76B7E}"/>
    <cellStyle name="Normal 11 3 4 3 7" xfId="34916" xr:uid="{CD661CA3-A8A6-4BEE-8D91-08C4016BF7D9}"/>
    <cellStyle name="Normal 11 3 4 4" xfId="1932" xr:uid="{3456448F-A141-4D45-A774-9296EDE63A6E}"/>
    <cellStyle name="Normal 11 3 4 4 2" xfId="5321" xr:uid="{C78E69B5-0F6D-4549-B696-65EFEA25447A}"/>
    <cellStyle name="Normal 11 3 4 4 2 2" xfId="13701" xr:uid="{0EE44B2A-19E9-462C-BCF4-50CC2039E120}"/>
    <cellStyle name="Normal 11 3 4 4 2 2 2" xfId="30461" xr:uid="{1E8F2B33-050A-4603-A804-2DFD6D79D249}"/>
    <cellStyle name="Normal 11 3 4 4 2 2 3" xfId="47220" xr:uid="{4B8DBBD0-75E8-4E8F-97FD-A27527E08465}"/>
    <cellStyle name="Normal 11 3 4 4 2 3" xfId="22081" xr:uid="{099047B1-CA73-4221-8BAA-2D300A5FA316}"/>
    <cellStyle name="Normal 11 3 4 4 2 4" xfId="38840" xr:uid="{455DE61A-D9A8-40B8-B906-41358D85A091}"/>
    <cellStyle name="Normal 11 3 4 4 3" xfId="7008" xr:uid="{525A8135-7048-4B3E-80F5-8143EF8AE210}"/>
    <cellStyle name="Normal 11 3 4 4 3 2" xfId="15388" xr:uid="{7947E145-C414-4E48-BACE-BA0DDBCEC020}"/>
    <cellStyle name="Normal 11 3 4 4 3 2 2" xfId="32148" xr:uid="{94D3F75E-1625-4112-9B0A-3770A089F2C4}"/>
    <cellStyle name="Normal 11 3 4 4 3 2 3" xfId="48907" xr:uid="{59484995-6715-4875-9583-C1081872C10C}"/>
    <cellStyle name="Normal 11 3 4 4 3 3" xfId="23768" xr:uid="{4E82C83E-8065-4A2E-A04A-CA0F18083E5F}"/>
    <cellStyle name="Normal 11 3 4 4 3 4" xfId="40527" xr:uid="{27ED54F2-38DB-4B3E-96F4-43C2F785E6B1}"/>
    <cellStyle name="Normal 11 3 4 4 4" xfId="3631" xr:uid="{3EAC8FBE-18C8-451E-9736-0D69F73E9CF8}"/>
    <cellStyle name="Normal 11 3 4 4 4 2" xfId="12011" xr:uid="{17931590-23E0-4831-9093-435BE38A68D7}"/>
    <cellStyle name="Normal 11 3 4 4 4 2 2" xfId="28771" xr:uid="{91FDA20E-FC0E-4897-9058-A111B53821BC}"/>
    <cellStyle name="Normal 11 3 4 4 4 2 3" xfId="45530" xr:uid="{2D6EB0DC-AD60-4020-AFA4-6B5E73B79DEC}"/>
    <cellStyle name="Normal 11 3 4 4 4 3" xfId="20391" xr:uid="{1CFEF3E4-2CC1-4DAD-93AC-68112DD90AB5}"/>
    <cellStyle name="Normal 11 3 4 4 4 4" xfId="37150" xr:uid="{87D14D3F-8865-4BD6-A095-3793211C33C9}"/>
    <cellStyle name="Normal 11 3 4 4 5" xfId="10321" xr:uid="{C79D07E3-6EF1-48BF-831D-3176F6860FF1}"/>
    <cellStyle name="Normal 11 3 4 4 5 2" xfId="27081" xr:uid="{B76EEF9D-2297-4161-9445-CA901790DC98}"/>
    <cellStyle name="Normal 11 3 4 4 5 3" xfId="43840" xr:uid="{8A5BFAD3-6C62-41C4-8952-1CB6789ED985}"/>
    <cellStyle name="Normal 11 3 4 4 6" xfId="18701" xr:uid="{4E2E0111-4255-4DCF-A1B9-99F7ADD1D255}"/>
    <cellStyle name="Normal 11 3 4 4 7" xfId="35460" xr:uid="{60D5BBF7-3B51-4687-B33E-F0FE06D2D30D}"/>
    <cellStyle name="Normal 11 3 4 5" xfId="4051" xr:uid="{51EBAD6B-5E74-426F-BA2A-EA86CFE43DAF}"/>
    <cellStyle name="Normal 11 3 4 5 2" xfId="12431" xr:uid="{24B11068-2924-4353-A299-7B7EB35EC7E5}"/>
    <cellStyle name="Normal 11 3 4 5 2 2" xfId="29191" xr:uid="{C52CBA21-EBF9-44EA-BEFC-E1A2B187637A}"/>
    <cellStyle name="Normal 11 3 4 5 2 3" xfId="45950" xr:uid="{6CEB91AA-32C0-4DCE-81F3-EA89E3EA8BDD}"/>
    <cellStyle name="Normal 11 3 4 5 3" xfId="20811" xr:uid="{9D61B41C-5F61-4852-9E5C-4A3D3E7A9B3A}"/>
    <cellStyle name="Normal 11 3 4 5 4" xfId="37570" xr:uid="{C7F597BE-EBE7-4449-AA35-D42327F85918}"/>
    <cellStyle name="Normal 11 3 4 6" xfId="5610" xr:uid="{6A80F978-059D-4870-9B8A-D2820929339C}"/>
    <cellStyle name="Normal 11 3 4 6 2" xfId="13990" xr:uid="{73049636-13F0-46A3-9D5F-0EFD449C3B9D}"/>
    <cellStyle name="Normal 11 3 4 6 2 2" xfId="30750" xr:uid="{010E95C5-5A26-4C55-97A4-0835F9EAFC6D}"/>
    <cellStyle name="Normal 11 3 4 6 2 3" xfId="47509" xr:uid="{ED82E703-679C-4B0D-957D-F0CD999C634D}"/>
    <cellStyle name="Normal 11 3 4 6 3" xfId="22370" xr:uid="{B11F2159-5CF6-4503-B5E9-A8C06C77A092}"/>
    <cellStyle name="Normal 11 3 4 6 4" xfId="39129" xr:uid="{0B3AF50A-1A29-481B-9CA4-7EAE05CFA589}"/>
    <cellStyle name="Normal 11 3 4 7" xfId="7414" xr:uid="{6F28B261-E662-440E-A212-79F9E67C2DE7}"/>
    <cellStyle name="Normal 11 3 4 7 2" xfId="15794" xr:uid="{2E2D4E46-E29F-4E1E-B992-F09030907A42}"/>
    <cellStyle name="Normal 11 3 4 7 2 2" xfId="32554" xr:uid="{9F4B77A4-2E2F-4DC6-B52F-D405056C67E2}"/>
    <cellStyle name="Normal 11 3 4 7 2 3" xfId="49313" xr:uid="{3039D290-2492-4173-9E44-6E727ADB55C0}"/>
    <cellStyle name="Normal 11 3 4 7 3" xfId="24174" xr:uid="{3DA3CBE8-C3C9-4314-A53C-02D9E57A7CD0}"/>
    <cellStyle name="Normal 11 3 4 7 4" xfId="40933" xr:uid="{CA6847E2-DE15-4E29-B0F4-026CD9544DB6}"/>
    <cellStyle name="Normal 11 3 4 8" xfId="7820" xr:uid="{3C339C65-78E5-4E24-B650-31541FEFF458}"/>
    <cellStyle name="Normal 11 3 4 8 2" xfId="16200" xr:uid="{C8EB623D-4585-49B8-B2AA-4BA60477293A}"/>
    <cellStyle name="Normal 11 3 4 8 2 2" xfId="32960" xr:uid="{C1EEA4DA-A2A4-4ADF-86E5-F1649AE46A98}"/>
    <cellStyle name="Normal 11 3 4 8 2 3" xfId="49719" xr:uid="{D7788D8F-5DE5-4D59-9A17-C1C6ED168AC9}"/>
    <cellStyle name="Normal 11 3 4 8 3" xfId="24580" xr:uid="{1BA6A523-E92A-4564-8FE2-7FF4F6EB8B3C}"/>
    <cellStyle name="Normal 11 3 4 8 4" xfId="41339" xr:uid="{3C8B030A-0515-474E-B617-DDFC56A08CB5}"/>
    <cellStyle name="Normal 11 3 4 9" xfId="8226" xr:uid="{8E8528CF-F598-4AAE-9B34-1FFD603CE1FF}"/>
    <cellStyle name="Normal 11 3 4 9 2" xfId="16606" xr:uid="{D30C4352-9982-4294-959D-CF86E9B27BA4}"/>
    <cellStyle name="Normal 11 3 4 9 2 2" xfId="33366" xr:uid="{155807D3-DD25-4330-B2B1-A97D2FF68600}"/>
    <cellStyle name="Normal 11 3 4 9 2 3" xfId="50125" xr:uid="{0F053D46-48BF-4D8B-B165-200F6E3BA7BD}"/>
    <cellStyle name="Normal 11 3 4 9 3" xfId="24986" xr:uid="{EFAE6832-F66A-464E-8D3B-B9C2E6DA406A}"/>
    <cellStyle name="Normal 11 3 4 9 4" xfId="41745" xr:uid="{A7B8B1E2-94D3-476E-8576-4802A79615C9}"/>
    <cellStyle name="Normal 11 3 5" xfId="793" xr:uid="{5B84454B-F747-4C36-A3B5-05F9FF9B76B3}"/>
    <cellStyle name="Normal 11 3 5 2" xfId="4188" xr:uid="{D342A4F0-AA10-41C3-A316-FE9543B74286}"/>
    <cellStyle name="Normal 11 3 5 2 2" xfId="12568" xr:uid="{90345BFA-18D6-4DE6-98A6-1D5816FCA1CE}"/>
    <cellStyle name="Normal 11 3 5 2 2 2" xfId="29328" xr:uid="{89714194-C2D2-4289-9BDF-53D4EF389495}"/>
    <cellStyle name="Normal 11 3 5 2 2 3" xfId="46087" xr:uid="{F8CD97D8-3745-429D-9568-C5F5766D634C}"/>
    <cellStyle name="Normal 11 3 5 2 3" xfId="20948" xr:uid="{54294C14-828A-4184-AC2C-4A8F1F240DC3}"/>
    <cellStyle name="Normal 11 3 5 2 4" xfId="37707" xr:uid="{A9D932FC-5898-41E5-ACE0-C05A1329B03C}"/>
    <cellStyle name="Normal 11 3 5 3" xfId="5875" xr:uid="{FC4BBB4B-5B2F-49EF-911E-DA432751FC4A}"/>
    <cellStyle name="Normal 11 3 5 3 2" xfId="14255" xr:uid="{1544D51E-6847-4308-A4BD-5E779EF2B884}"/>
    <cellStyle name="Normal 11 3 5 3 2 2" xfId="31015" xr:uid="{DBBF0D4F-5060-44D5-B73D-2E1CB0D197EC}"/>
    <cellStyle name="Normal 11 3 5 3 2 3" xfId="47774" xr:uid="{0BD78EBA-00C2-45A1-B8B7-88C08C9E86AB}"/>
    <cellStyle name="Normal 11 3 5 3 3" xfId="22635" xr:uid="{92A71313-CFFB-4667-92E4-D521912E8767}"/>
    <cellStyle name="Normal 11 3 5 3 4" xfId="39394" xr:uid="{C53A2062-220A-4B57-B9BE-22B500733D41}"/>
    <cellStyle name="Normal 11 3 5 4" xfId="2611" xr:uid="{2B80D4D2-1710-4A01-8492-CB72DD762FA4}"/>
    <cellStyle name="Normal 11 3 5 4 2" xfId="10991" xr:uid="{830D9CC0-8C91-47B7-A024-C14E7D0FAC97}"/>
    <cellStyle name="Normal 11 3 5 4 2 2" xfId="27751" xr:uid="{3ABA6713-4167-4AD8-8542-9A750A1435B3}"/>
    <cellStyle name="Normal 11 3 5 4 2 3" xfId="44510" xr:uid="{89E574A3-CB3B-412A-9D08-CAE42DBDE8B3}"/>
    <cellStyle name="Normal 11 3 5 4 3" xfId="19371" xr:uid="{EAC3E0E0-A6BE-4AC0-8071-A7C3FEC7275D}"/>
    <cellStyle name="Normal 11 3 5 4 4" xfId="36130" xr:uid="{2EB1F9F0-1A73-43F2-BABB-A0D2168546B8}"/>
    <cellStyle name="Normal 11 3 5 5" xfId="9188" xr:uid="{E6558E0E-3331-4305-839A-1D714A1423B0}"/>
    <cellStyle name="Normal 11 3 5 5 2" xfId="25948" xr:uid="{2669FDE3-039B-4241-BB22-88B27EE2AA65}"/>
    <cellStyle name="Normal 11 3 5 5 3" xfId="42707" xr:uid="{A0D43F95-28B3-411A-9595-8A11BA35BC71}"/>
    <cellStyle name="Normal 11 3 5 6" xfId="17568" xr:uid="{DF5723E7-DD65-4FBA-8349-40D332341FA7}"/>
    <cellStyle name="Normal 11 3 5 7" xfId="34327" xr:uid="{57D53F07-8D8E-46B6-8EDA-4AA32FC242CB}"/>
    <cellStyle name="Normal 11 3 6" xfId="1227" xr:uid="{A84D8CC5-CEE1-4CFE-BC6F-5811E85388EB}"/>
    <cellStyle name="Normal 11 3 6 2" xfId="4616" xr:uid="{96DD6649-E5FC-43FE-B895-019518D92528}"/>
    <cellStyle name="Normal 11 3 6 2 2" xfId="12996" xr:uid="{B0DD656A-94E8-44E0-A40B-727F5C2DEB80}"/>
    <cellStyle name="Normal 11 3 6 2 2 2" xfId="29756" xr:uid="{13994892-CBA8-4682-A430-D8100FF838CC}"/>
    <cellStyle name="Normal 11 3 6 2 2 3" xfId="46515" xr:uid="{4CBF5424-4601-4513-846E-BA4E2261089D}"/>
    <cellStyle name="Normal 11 3 6 2 3" xfId="21376" xr:uid="{B7701062-4B6B-48C7-AC7F-48B64A3EC88D}"/>
    <cellStyle name="Normal 11 3 6 2 4" xfId="38135" xr:uid="{8F1148E9-09BE-4F61-927D-887859BD2200}"/>
    <cellStyle name="Normal 11 3 6 3" xfId="6303" xr:uid="{F909AB01-B36C-4138-8302-897DFEE28FCC}"/>
    <cellStyle name="Normal 11 3 6 3 2" xfId="14683" xr:uid="{6CEEA0E1-6CEA-4E0D-8400-2290521D35FD}"/>
    <cellStyle name="Normal 11 3 6 3 2 2" xfId="31443" xr:uid="{D5BCBCCB-CDC2-48DF-848A-47B6535252C2}"/>
    <cellStyle name="Normal 11 3 6 3 2 3" xfId="48202" xr:uid="{D1A8C158-7128-4B0F-9AEF-DDDCC1A558EA}"/>
    <cellStyle name="Normal 11 3 6 3 3" xfId="23063" xr:uid="{BEF8CD29-F217-4EF5-95DE-9B2A9C131BDD}"/>
    <cellStyle name="Normal 11 3 6 3 4" xfId="39822" xr:uid="{301E7EB0-F786-4D2C-B691-E65854272C99}"/>
    <cellStyle name="Normal 11 3 6 4" xfId="3039" xr:uid="{BF370628-3D54-47FB-8B82-91699E3AE7CE}"/>
    <cellStyle name="Normal 11 3 6 4 2" xfId="11419" xr:uid="{29649967-2F4E-4189-8BF4-0BA0C9A648BD}"/>
    <cellStyle name="Normal 11 3 6 4 2 2" xfId="28179" xr:uid="{F248D5B0-6740-4360-8CE8-9AFA9085C9A1}"/>
    <cellStyle name="Normal 11 3 6 4 2 3" xfId="44938" xr:uid="{9D0CF5C6-D0A6-41C3-9CEF-2E022C68EE42}"/>
    <cellStyle name="Normal 11 3 6 4 3" xfId="19799" xr:uid="{53BFB1A0-64B5-439E-9B01-2A4490E347FE}"/>
    <cellStyle name="Normal 11 3 6 4 4" xfId="36558" xr:uid="{4B4A98CF-F6C0-42CF-88ED-C18B52DEB844}"/>
    <cellStyle name="Normal 11 3 6 5" xfId="9616" xr:uid="{F737596C-93EC-49A9-BA0D-71B7B7E6F7DF}"/>
    <cellStyle name="Normal 11 3 6 5 2" xfId="26376" xr:uid="{1396091A-7E43-4EB1-9082-CF2818985B79}"/>
    <cellStyle name="Normal 11 3 6 5 3" xfId="43135" xr:uid="{DC2BA98B-A849-40C7-824F-43E6C2A44B27}"/>
    <cellStyle name="Normal 11 3 6 6" xfId="17996" xr:uid="{39A55467-63F8-44A7-9953-4EADA748D1FD}"/>
    <cellStyle name="Normal 11 3 6 7" xfId="34755" xr:uid="{64739BAD-0A0B-4FDE-A177-600E002C0F00}"/>
    <cellStyle name="Normal 11 3 7" xfId="1661" xr:uid="{4D8F93E4-23F2-41DD-A187-B8D1CA8BF0D1}"/>
    <cellStyle name="Normal 11 3 7 2" xfId="5050" xr:uid="{FE003AFB-95D8-47C6-8504-59BD9172D7A2}"/>
    <cellStyle name="Normal 11 3 7 2 2" xfId="13430" xr:uid="{3986D1A6-9DFE-40A7-B906-5B7E803FA36D}"/>
    <cellStyle name="Normal 11 3 7 2 2 2" xfId="30190" xr:uid="{74AD3A6E-FB1A-40CB-8F58-5BBA5192F2C1}"/>
    <cellStyle name="Normal 11 3 7 2 2 3" xfId="46949" xr:uid="{7312FE6C-F653-4C47-868E-2AB84E668768}"/>
    <cellStyle name="Normal 11 3 7 2 3" xfId="21810" xr:uid="{26D05525-2BF8-4C69-9347-F49502677411}"/>
    <cellStyle name="Normal 11 3 7 2 4" xfId="38569" xr:uid="{B37F716D-C2B0-4125-9ABF-C0F19F1681A6}"/>
    <cellStyle name="Normal 11 3 7 3" xfId="6737" xr:uid="{60A0E70A-8E7C-4966-9056-8C5C17A3D9B4}"/>
    <cellStyle name="Normal 11 3 7 3 2" xfId="15117" xr:uid="{0CAF2C07-2EFC-44D5-83AB-F128251CC46C}"/>
    <cellStyle name="Normal 11 3 7 3 2 2" xfId="31877" xr:uid="{F48AACED-F965-4DD4-9165-BCBE7BAAE355}"/>
    <cellStyle name="Normal 11 3 7 3 2 3" xfId="48636" xr:uid="{84C28A15-0317-4ED7-B83D-456B326BC664}"/>
    <cellStyle name="Normal 11 3 7 3 3" xfId="23497" xr:uid="{1B77E14E-8087-46F1-90C1-5BEFD02AC398}"/>
    <cellStyle name="Normal 11 3 7 3 4" xfId="40256" xr:uid="{17ED0C1D-E3E3-4FB8-BCF3-E2FBAB327E34}"/>
    <cellStyle name="Normal 11 3 7 4" xfId="2178" xr:uid="{D07CC95E-C41C-4439-B736-1BA1904D5DC6}"/>
    <cellStyle name="Normal 11 3 7 4 2" xfId="10565" xr:uid="{BB9E0A66-F19D-483E-B35C-97A02A9DA6A5}"/>
    <cellStyle name="Normal 11 3 7 4 2 2" xfId="27325" xr:uid="{0B73095C-0EA6-49E6-AC84-09DF201DA34D}"/>
    <cellStyle name="Normal 11 3 7 4 2 3" xfId="44084" xr:uid="{C73A1475-CCBC-47A6-B5B0-EDFA7E7FAEF5}"/>
    <cellStyle name="Normal 11 3 7 4 3" xfId="18945" xr:uid="{5744E9F8-2710-4FAB-929B-C18DE7C720E0}"/>
    <cellStyle name="Normal 11 3 7 4 4" xfId="35704" xr:uid="{DFDCA36B-B37C-47CE-BB50-C925C57D307E}"/>
    <cellStyle name="Normal 11 3 7 5" xfId="10050" xr:uid="{344B89DD-5968-4B4E-97E8-62D3E4089783}"/>
    <cellStyle name="Normal 11 3 7 5 2" xfId="26810" xr:uid="{E0031763-ED3E-45AC-A7E9-536E472C9CF9}"/>
    <cellStyle name="Normal 11 3 7 5 3" xfId="43569" xr:uid="{6C7A4E5D-1E69-4FF7-A056-686116994032}"/>
    <cellStyle name="Normal 11 3 7 6" xfId="18430" xr:uid="{20F50789-B01E-4EB9-AC0C-44060A9D5970}"/>
    <cellStyle name="Normal 11 3 7 7" xfId="35189" xr:uid="{365FDC59-8E73-4FF6-A360-D629E255D78E}"/>
    <cellStyle name="Normal 11 3 8" xfId="3779" xr:uid="{A75EA659-096E-4C63-9B19-44B5D57CA4D3}"/>
    <cellStyle name="Normal 11 3 8 2" xfId="12159" xr:uid="{F577C037-828E-4CDD-94E7-13DA0B9E6F50}"/>
    <cellStyle name="Normal 11 3 8 2 2" xfId="28919" xr:uid="{1921CBB1-C177-46B8-A59C-AB8B99CF161D}"/>
    <cellStyle name="Normal 11 3 8 2 3" xfId="45678" xr:uid="{C19112A5-FD5C-40B6-A75F-1C6AF9906EAF}"/>
    <cellStyle name="Normal 11 3 8 3" xfId="20539" xr:uid="{0DB1AF33-BC80-4800-A88B-14058A58E1FB}"/>
    <cellStyle name="Normal 11 3 8 4" xfId="37298" xr:uid="{BFC7A380-F804-4791-900A-48509628E269}"/>
    <cellStyle name="Normal 11 3 9" xfId="5449" xr:uid="{B6541869-11A5-4DC9-9C27-E598154CBDB4}"/>
    <cellStyle name="Normal 11 3 9 2" xfId="13829" xr:uid="{FE6542D5-5F31-4671-A34C-3229E4D401DC}"/>
    <cellStyle name="Normal 11 3 9 2 2" xfId="30589" xr:uid="{C502996C-1519-4758-8EBD-25CFC56D0037}"/>
    <cellStyle name="Normal 11 3 9 2 3" xfId="47348" xr:uid="{2BC7ED94-763F-4636-9955-05085C3F718F}"/>
    <cellStyle name="Normal 11 3 9 3" xfId="22209" xr:uid="{D81036A6-DA41-4D55-B792-6AB9F18DC8F7}"/>
    <cellStyle name="Normal 11 3 9 4" xfId="38968" xr:uid="{16C0647B-A4ED-49E5-BB84-0FA7604BC11E}"/>
    <cellStyle name="Normal 11 4" xfId="344" xr:uid="{522BA85F-865C-4000-9478-0B3E806385B5}"/>
    <cellStyle name="Normal 11 4 10" xfId="7550" xr:uid="{4EC27CFF-90E3-4794-BC87-6B8A30CBBDA8}"/>
    <cellStyle name="Normal 11 4 10 2" xfId="15930" xr:uid="{3D1D658C-D434-4102-B1DE-CC7C5A9D50EE}"/>
    <cellStyle name="Normal 11 4 10 2 2" xfId="32690" xr:uid="{F053B788-2207-4CCD-910F-E69564A9C8DD}"/>
    <cellStyle name="Normal 11 4 10 2 3" xfId="49449" xr:uid="{5AFA5609-9AD2-4FA9-9CF7-F41832610AE6}"/>
    <cellStyle name="Normal 11 4 10 3" xfId="24310" xr:uid="{80EA1BEE-7056-4C0C-A2DC-62470CBD4C7F}"/>
    <cellStyle name="Normal 11 4 10 4" xfId="41069" xr:uid="{9CEBC30E-D4C1-4551-B99C-836A5E98E4C0}"/>
    <cellStyle name="Normal 11 4 11" xfId="7956" xr:uid="{C08AC6B5-071B-49DA-8C2E-0A9FF0C4EB07}"/>
    <cellStyle name="Normal 11 4 11 2" xfId="16336" xr:uid="{470D6AF8-0940-4948-AD90-2787D5AB27A3}"/>
    <cellStyle name="Normal 11 4 11 2 2" xfId="33096" xr:uid="{B036730E-8BFB-4CA3-82BA-A7F73B654F3E}"/>
    <cellStyle name="Normal 11 4 11 2 3" xfId="49855" xr:uid="{A9F1C0D2-8154-440B-88FE-B8E3C64C1288}"/>
    <cellStyle name="Normal 11 4 11 3" xfId="24716" xr:uid="{CA199942-F185-4B94-8589-9101668AD278}"/>
    <cellStyle name="Normal 11 4 11 4" xfId="41475" xr:uid="{3A787618-C091-4174-A22E-15721CFCF167}"/>
    <cellStyle name="Normal 11 4 12" xfId="8362" xr:uid="{CC24952A-1B5F-438C-9DD5-921995B8D77E}"/>
    <cellStyle name="Normal 11 4 12 2" xfId="16742" xr:uid="{871135E8-9AFA-467C-98BA-2763739D402C}"/>
    <cellStyle name="Normal 11 4 12 2 2" xfId="33502" xr:uid="{E43ACDB0-8048-471A-9FA4-969A9240EF98}"/>
    <cellStyle name="Normal 11 4 12 2 3" xfId="50261" xr:uid="{C8DA2448-CD90-4F8B-AD44-8F35E8EECC50}"/>
    <cellStyle name="Normal 11 4 12 3" xfId="25122" xr:uid="{0D5EAC50-724B-490B-9D6C-378A845F3794}"/>
    <cellStyle name="Normal 11 4 12 4" xfId="41881" xr:uid="{22CA5015-FF14-481B-82EE-DBDE3E87287D}"/>
    <cellStyle name="Normal 11 4 13" xfId="2074" xr:uid="{EE5FCE3C-EB79-4EE0-93B5-E4C99003A0F4}"/>
    <cellStyle name="Normal 11 4 13 2" xfId="10462" xr:uid="{F6795518-6F36-467A-A763-0667CA9862CE}"/>
    <cellStyle name="Normal 11 4 13 2 2" xfId="27222" xr:uid="{D33D8EB5-142B-43D5-A289-C9833A042F7D}"/>
    <cellStyle name="Normal 11 4 13 2 3" xfId="43981" xr:uid="{416D15DF-C9C6-4A6A-A1CD-71BA8B8E9C3E}"/>
    <cellStyle name="Normal 11 4 13 3" xfId="18842" xr:uid="{7A544DFE-87D4-4ABD-B061-5852C3595594}"/>
    <cellStyle name="Normal 11 4 13 4" xfId="35601" xr:uid="{77ECE970-3755-41AE-BDEB-F57F8010BE53}"/>
    <cellStyle name="Normal 11 4 14" xfId="8808" xr:uid="{B52E3445-8A02-48B3-A9DF-62BDC4B9D56E}"/>
    <cellStyle name="Normal 11 4 14 2" xfId="25568" xr:uid="{40137C46-5E9A-466F-89E0-57E76075F62F}"/>
    <cellStyle name="Normal 11 4 14 3" xfId="42327" xr:uid="{8F0A7082-58FB-464B-8586-AA0BB7964D47}"/>
    <cellStyle name="Normal 11 4 15" xfId="17188" xr:uid="{A6E74552-271E-43D0-9A61-15D7D166D36E}"/>
    <cellStyle name="Normal 11 4 16" xfId="33947" xr:uid="{256571F9-7EF5-4FB7-B478-3EF65C0194DD}"/>
    <cellStyle name="Normal 11 4 2" xfId="513" xr:uid="{B5D868C0-8BDC-46EB-BE23-F1AF08634277}"/>
    <cellStyle name="Normal 11 4 2 10" xfId="8488" xr:uid="{CAC95217-7770-45A6-9EA6-24B55151743B}"/>
    <cellStyle name="Normal 11 4 2 10 2" xfId="16868" xr:uid="{37781869-45D0-49F9-94D2-72D5317555CF}"/>
    <cellStyle name="Normal 11 4 2 10 2 2" xfId="33628" xr:uid="{3F6D1C78-3044-4896-A6E2-49CA885A9C1E}"/>
    <cellStyle name="Normal 11 4 2 10 2 3" xfId="50387" xr:uid="{A4AD457C-6792-41EA-96C2-EB7B4577E0B4}"/>
    <cellStyle name="Normal 11 4 2 10 3" xfId="25248" xr:uid="{B8B5A180-5AAB-4C6B-A671-626A7026A8E6}"/>
    <cellStyle name="Normal 11 4 2 10 4" xfId="42007" xr:uid="{32726274-3CB5-4525-AFB6-0AF3925D60FA}"/>
    <cellStyle name="Normal 11 4 2 11" xfId="2345" xr:uid="{236D4C4D-578F-49FA-8F4F-B8424993378F}"/>
    <cellStyle name="Normal 11 4 2 11 2" xfId="10727" xr:uid="{04269B5E-AD17-4743-B398-525D8FE1B5DD}"/>
    <cellStyle name="Normal 11 4 2 11 2 2" xfId="27487" xr:uid="{F057A1CA-60A3-4845-92E9-64F79C33BF34}"/>
    <cellStyle name="Normal 11 4 2 11 2 3" xfId="44246" xr:uid="{BBCE6D90-C787-4EE0-8EF7-57B6CEF218AB}"/>
    <cellStyle name="Normal 11 4 2 11 3" xfId="19107" xr:uid="{BA327B12-C3BA-465D-98B7-E66372C27330}"/>
    <cellStyle name="Normal 11 4 2 11 4" xfId="35866" xr:uid="{47EC0744-4232-4644-8532-AAEB16CBDEDE}"/>
    <cellStyle name="Normal 11 4 2 12" xfId="8924" xr:uid="{81B61659-EFD1-4635-B8F6-1B2DCC288C06}"/>
    <cellStyle name="Normal 11 4 2 12 2" xfId="25684" xr:uid="{4E0F639C-E796-4AB0-8649-84634C0EF964}"/>
    <cellStyle name="Normal 11 4 2 12 3" xfId="42443" xr:uid="{7BB2093A-6B88-467C-9BB9-D25D36D3466A}"/>
    <cellStyle name="Normal 11 4 2 13" xfId="17304" xr:uid="{1C0C1EA4-D31E-4B91-B047-01D72ABD41CC}"/>
    <cellStyle name="Normal 11 4 2 14" xfId="34063" xr:uid="{43025E40-EF65-4146-958F-2E5965B8BDC6}"/>
    <cellStyle name="Normal 11 4 2 2" xfId="955" xr:uid="{EE8D1ECE-D9AA-41C1-A966-03B67B092FD1}"/>
    <cellStyle name="Normal 11 4 2 2 2" xfId="4350" xr:uid="{1ED55B57-E5CB-4066-8132-1D9847EF2A22}"/>
    <cellStyle name="Normal 11 4 2 2 2 2" xfId="12730" xr:uid="{E3D21528-AD58-4534-99B1-81F142EF01FF}"/>
    <cellStyle name="Normal 11 4 2 2 2 2 2" xfId="29490" xr:uid="{7C75789E-0C93-4160-84F3-2E6762BD3A94}"/>
    <cellStyle name="Normal 11 4 2 2 2 2 3" xfId="46249" xr:uid="{A9456F2D-885C-4D58-993C-E52D766648EA}"/>
    <cellStyle name="Normal 11 4 2 2 2 3" xfId="21110" xr:uid="{0AFC1F39-F22D-4C22-90B3-3127588BD3A1}"/>
    <cellStyle name="Normal 11 4 2 2 2 4" xfId="37869" xr:uid="{9F669EB3-93FC-4FCD-93E4-F1C096B0E843}"/>
    <cellStyle name="Normal 11 4 2 2 3" xfId="6037" xr:uid="{52808BE7-24D1-49D2-A0B7-EE4ABA0D5758}"/>
    <cellStyle name="Normal 11 4 2 2 3 2" xfId="14417" xr:uid="{DF71083B-80D1-4414-8AE1-F3578EC156FE}"/>
    <cellStyle name="Normal 11 4 2 2 3 2 2" xfId="31177" xr:uid="{B44A5567-67FC-4F41-9202-8831101D2C5B}"/>
    <cellStyle name="Normal 11 4 2 2 3 2 3" xfId="47936" xr:uid="{5EAEE40F-CC98-4058-B783-3AD8BAFD4D90}"/>
    <cellStyle name="Normal 11 4 2 2 3 3" xfId="22797" xr:uid="{DF615B89-829A-48D4-BD79-0899041B00CA}"/>
    <cellStyle name="Normal 11 4 2 2 3 4" xfId="39556" xr:uid="{FB1119AD-8438-49D3-9BC9-F6216ED9463A}"/>
    <cellStyle name="Normal 11 4 2 2 4" xfId="2773" xr:uid="{58C1706E-7E70-4FCD-A365-6E94233B2691}"/>
    <cellStyle name="Normal 11 4 2 2 4 2" xfId="11153" xr:uid="{15247E1D-12ED-440C-82F6-FF35F08C96AE}"/>
    <cellStyle name="Normal 11 4 2 2 4 2 2" xfId="27913" xr:uid="{8F7111F7-C5FA-4ECC-8F96-8A6CC3E9CCCB}"/>
    <cellStyle name="Normal 11 4 2 2 4 2 3" xfId="44672" xr:uid="{5197D32D-EF7D-4F6D-8810-F0437653768C}"/>
    <cellStyle name="Normal 11 4 2 2 4 3" xfId="19533" xr:uid="{7EC513C6-FAA1-4492-83E8-EACFAE5CEDAE}"/>
    <cellStyle name="Normal 11 4 2 2 4 4" xfId="36292" xr:uid="{07C0209D-DEAF-47AB-975A-BB2626506B13}"/>
    <cellStyle name="Normal 11 4 2 2 5" xfId="9350" xr:uid="{9AA0629D-DEB9-40F1-9BEB-2FF71F8A3606}"/>
    <cellStyle name="Normal 11 4 2 2 5 2" xfId="26110" xr:uid="{43D99140-2C5D-44B5-A319-E6075C4F8CD0}"/>
    <cellStyle name="Normal 11 4 2 2 5 3" xfId="42869" xr:uid="{95FD3C37-3CBB-4554-A586-536B7F52F10A}"/>
    <cellStyle name="Normal 11 4 2 2 6" xfId="17730" xr:uid="{8CC9B9DC-C954-4998-BBC3-8699D528D42A}"/>
    <cellStyle name="Normal 11 4 2 2 7" xfId="34489" xr:uid="{9F00752E-1E2D-467F-BE2B-CDA516ABB061}"/>
    <cellStyle name="Normal 11 4 2 3" xfId="1389" xr:uid="{8B1AC05B-A15A-4A0F-9303-557BEEA85EC9}"/>
    <cellStyle name="Normal 11 4 2 3 2" xfId="4778" xr:uid="{82B22DA5-D65B-4C3E-9ECA-483DB838E89C}"/>
    <cellStyle name="Normal 11 4 2 3 2 2" xfId="13158" xr:uid="{A4ACAC41-7040-4BB7-A4A0-55A1D9FDDA20}"/>
    <cellStyle name="Normal 11 4 2 3 2 2 2" xfId="29918" xr:uid="{B0C6091D-D7F6-450B-827A-397C243B3A4C}"/>
    <cellStyle name="Normal 11 4 2 3 2 2 3" xfId="46677" xr:uid="{4644FA6C-B052-4788-BA46-98B1F5222172}"/>
    <cellStyle name="Normal 11 4 2 3 2 3" xfId="21538" xr:uid="{8182A869-820B-45EB-A894-32DA934B49F7}"/>
    <cellStyle name="Normal 11 4 2 3 2 4" xfId="38297" xr:uid="{C6B0DD6D-3EA9-41AC-8BC2-5AE11147301D}"/>
    <cellStyle name="Normal 11 4 2 3 3" xfId="6465" xr:uid="{E91534CB-53A3-40BF-B5CA-7220F81920BA}"/>
    <cellStyle name="Normal 11 4 2 3 3 2" xfId="14845" xr:uid="{D21E1156-880B-4E1D-A243-EF8B0B0153CC}"/>
    <cellStyle name="Normal 11 4 2 3 3 2 2" xfId="31605" xr:uid="{B457C06B-E76E-459A-B05C-2C38EECD55D9}"/>
    <cellStyle name="Normal 11 4 2 3 3 2 3" xfId="48364" xr:uid="{4A350354-8ABE-44D1-BB87-D2A269EE2A5D}"/>
    <cellStyle name="Normal 11 4 2 3 3 3" xfId="23225" xr:uid="{5F0586DE-62F2-46EB-BC1E-387124FE75A9}"/>
    <cellStyle name="Normal 11 4 2 3 3 4" xfId="39984" xr:uid="{A6FC6354-3C3E-4D48-8FB6-A03020E14A9D}"/>
    <cellStyle name="Normal 11 4 2 3 4" xfId="3201" xr:uid="{97949609-B7ED-476E-AD57-00C9C37C6995}"/>
    <cellStyle name="Normal 11 4 2 3 4 2" xfId="11581" xr:uid="{28DAC63B-FD5D-4A74-83AF-A8EFEE9FAE89}"/>
    <cellStyle name="Normal 11 4 2 3 4 2 2" xfId="28341" xr:uid="{7E9F6096-DCFC-4071-91B2-AB2678F0FCA5}"/>
    <cellStyle name="Normal 11 4 2 3 4 2 3" xfId="45100" xr:uid="{04937D54-D797-4482-9352-1D536CE445FB}"/>
    <cellStyle name="Normal 11 4 2 3 4 3" xfId="19961" xr:uid="{A20C5AD3-9BDC-4261-AEA0-4F1AD4C8F9D9}"/>
    <cellStyle name="Normal 11 4 2 3 4 4" xfId="36720" xr:uid="{05B176FD-1ED1-4382-9578-C2AF9D00EAF0}"/>
    <cellStyle name="Normal 11 4 2 3 5" xfId="9778" xr:uid="{A98775BE-D8BE-496F-9595-CCF0278817FB}"/>
    <cellStyle name="Normal 11 4 2 3 5 2" xfId="26538" xr:uid="{997D51D2-BE2D-493F-801F-0FB8B9AEC6A2}"/>
    <cellStyle name="Normal 11 4 2 3 5 3" xfId="43297" xr:uid="{A229195C-CCD2-4627-A4D4-B9F3F97F596E}"/>
    <cellStyle name="Normal 11 4 2 3 6" xfId="18158" xr:uid="{3DD1834B-FF97-40BD-BA98-FFEA4222D14A}"/>
    <cellStyle name="Normal 11 4 2 3 7" xfId="34917" xr:uid="{5816161B-26DD-4D20-B39B-555EE8BB742B}"/>
    <cellStyle name="Normal 11 4 2 4" xfId="1788" xr:uid="{C178C682-D094-4BEC-B4CA-C96496E0ECA3}"/>
    <cellStyle name="Normal 11 4 2 4 2" xfId="5177" xr:uid="{7E1594DD-4D17-49E8-BF47-B55FDA484068}"/>
    <cellStyle name="Normal 11 4 2 4 2 2" xfId="13557" xr:uid="{1F998ECB-BA6E-457E-ADE1-27A14C715367}"/>
    <cellStyle name="Normal 11 4 2 4 2 2 2" xfId="30317" xr:uid="{D716EA5E-4F5F-4F40-93FE-A2CF05FEE4E6}"/>
    <cellStyle name="Normal 11 4 2 4 2 2 3" xfId="47076" xr:uid="{547CEABA-1EA9-4D6A-AEC0-D9233AA9853A}"/>
    <cellStyle name="Normal 11 4 2 4 2 3" xfId="21937" xr:uid="{0907BBCE-2DB5-4552-923D-BB344210D672}"/>
    <cellStyle name="Normal 11 4 2 4 2 4" xfId="38696" xr:uid="{A67685A3-6484-4419-8CEE-4510E3309C8C}"/>
    <cellStyle name="Normal 11 4 2 4 3" xfId="6864" xr:uid="{BD18A693-2BDF-451A-9550-417FE2BA8AA2}"/>
    <cellStyle name="Normal 11 4 2 4 3 2" xfId="15244" xr:uid="{0821C231-E3EA-472A-8C4B-C9AED8BB35C7}"/>
    <cellStyle name="Normal 11 4 2 4 3 2 2" xfId="32004" xr:uid="{0B2D385F-2F39-4331-BFE4-A9F002511C25}"/>
    <cellStyle name="Normal 11 4 2 4 3 2 3" xfId="48763" xr:uid="{3D17EA81-EEC1-4212-874F-2A0F5FB03B09}"/>
    <cellStyle name="Normal 11 4 2 4 3 3" xfId="23624" xr:uid="{33596DAE-62F1-460A-9E1C-46C4F197DAE7}"/>
    <cellStyle name="Normal 11 4 2 4 3 4" xfId="40383" xr:uid="{CC2F1ADC-C074-4575-B10F-39ACFA3FEF56}"/>
    <cellStyle name="Normal 11 4 2 4 4" xfId="3488" xr:uid="{62ED139C-12CE-44CC-AA08-CF38BBBEF403}"/>
    <cellStyle name="Normal 11 4 2 4 4 2" xfId="11868" xr:uid="{BF4E2E4A-62F5-4341-AB28-CB8210AF0C35}"/>
    <cellStyle name="Normal 11 4 2 4 4 2 2" xfId="28628" xr:uid="{F4A56B2D-7534-4670-A335-6C15D440AF18}"/>
    <cellStyle name="Normal 11 4 2 4 4 2 3" xfId="45387" xr:uid="{AD1B4FEB-570F-48A6-83C4-1596C608E6E2}"/>
    <cellStyle name="Normal 11 4 2 4 4 3" xfId="20248" xr:uid="{EA430F36-8CE3-4122-9A51-E879367B85E4}"/>
    <cellStyle name="Normal 11 4 2 4 4 4" xfId="37007" xr:uid="{986F3665-CB8D-43EE-B06E-8BD8DE2E59B0}"/>
    <cellStyle name="Normal 11 4 2 4 5" xfId="10177" xr:uid="{A1F0DDF5-A922-49E1-B015-19B9C918B5BA}"/>
    <cellStyle name="Normal 11 4 2 4 5 2" xfId="26937" xr:uid="{80E64F47-A9B0-4F87-B643-3826BBB0DDA6}"/>
    <cellStyle name="Normal 11 4 2 4 5 3" xfId="43696" xr:uid="{5569C284-6B64-4877-815B-2233A194E08A}"/>
    <cellStyle name="Normal 11 4 2 4 6" xfId="18557" xr:uid="{CAEA7CB6-4280-474E-9C1E-775052CB7E2F}"/>
    <cellStyle name="Normal 11 4 2 4 7" xfId="35316" xr:uid="{B3AB8770-3734-4A7B-BAA9-ECEB93E540B5}"/>
    <cellStyle name="Normal 11 4 2 5" xfId="3907" xr:uid="{E334F0FC-9077-4739-BDC9-212C64F635B4}"/>
    <cellStyle name="Normal 11 4 2 5 2" xfId="12287" xr:uid="{527BFE9D-DE5F-41BB-A398-A56C6EEF0378}"/>
    <cellStyle name="Normal 11 4 2 5 2 2" xfId="29047" xr:uid="{4B733885-DA77-423C-B0BD-7D1D8E4186F8}"/>
    <cellStyle name="Normal 11 4 2 5 2 3" xfId="45806" xr:uid="{936AF539-9C8E-49FD-A6D1-D864899D901B}"/>
    <cellStyle name="Normal 11 4 2 5 3" xfId="20667" xr:uid="{EB8EF662-E0A2-4B1B-B22E-92F32FCD382C}"/>
    <cellStyle name="Normal 11 4 2 5 4" xfId="37426" xr:uid="{4B114969-8684-4613-A305-3875EFBAC906}"/>
    <cellStyle name="Normal 11 4 2 6" xfId="5611" xr:uid="{59E384E3-0C88-40F5-A7CF-DDB8D76BCEED}"/>
    <cellStyle name="Normal 11 4 2 6 2" xfId="13991" xr:uid="{F5DD2887-6295-4406-96E0-5EFDD2E73C78}"/>
    <cellStyle name="Normal 11 4 2 6 2 2" xfId="30751" xr:uid="{117AD86F-7B67-49B9-99DA-A7B82AF1C6F9}"/>
    <cellStyle name="Normal 11 4 2 6 2 3" xfId="47510" xr:uid="{00B17472-2D37-45EB-B7D4-C6D4F89D1AE8}"/>
    <cellStyle name="Normal 11 4 2 6 3" xfId="22371" xr:uid="{FD880B3C-D981-4110-BAA8-9E0F0CB2610A}"/>
    <cellStyle name="Normal 11 4 2 6 4" xfId="39130" xr:uid="{26D882A0-EA98-400A-937F-21D4E1935BF3}"/>
    <cellStyle name="Normal 11 4 2 7" xfId="7270" xr:uid="{01586264-014A-489F-9B43-AFB624CC6441}"/>
    <cellStyle name="Normal 11 4 2 7 2" xfId="15650" xr:uid="{45A70521-84AF-448A-9480-72386F6E6B69}"/>
    <cellStyle name="Normal 11 4 2 7 2 2" xfId="32410" xr:uid="{A3CC1C42-2B7B-4CC3-BD4C-4D41E83602CB}"/>
    <cellStyle name="Normal 11 4 2 7 2 3" xfId="49169" xr:uid="{0B5CC970-2D06-452B-92F4-4A38A69363EF}"/>
    <cellStyle name="Normal 11 4 2 7 3" xfId="24030" xr:uid="{8FDEC3DD-0132-4F7E-BD8B-6350B2BB1756}"/>
    <cellStyle name="Normal 11 4 2 7 4" xfId="40789" xr:uid="{13932CA5-B685-472C-B797-89C2CA57494D}"/>
    <cellStyle name="Normal 11 4 2 8" xfId="7676" xr:uid="{A522BFED-15D0-4A0D-B0F3-CF30D6C620E4}"/>
    <cellStyle name="Normal 11 4 2 8 2" xfId="16056" xr:uid="{EE4BEBA7-0901-413C-86CD-D683B18B72FF}"/>
    <cellStyle name="Normal 11 4 2 8 2 2" xfId="32816" xr:uid="{582D666C-F40E-49ED-82AF-48B0DB539EBC}"/>
    <cellStyle name="Normal 11 4 2 8 2 3" xfId="49575" xr:uid="{F173CC79-0F16-4331-862E-6860D1EFF04E}"/>
    <cellStyle name="Normal 11 4 2 8 3" xfId="24436" xr:uid="{2FA33D13-8412-4EA0-B6B6-33F65FA0DBB5}"/>
    <cellStyle name="Normal 11 4 2 8 4" xfId="41195" xr:uid="{192D47F4-1FCE-4A6A-A5AD-1DF447174CF2}"/>
    <cellStyle name="Normal 11 4 2 9" xfId="8082" xr:uid="{C9D0EC40-2056-42E4-9115-86469FD913E6}"/>
    <cellStyle name="Normal 11 4 2 9 2" xfId="16462" xr:uid="{6549BD80-CCEC-44CB-9848-D805711FD752}"/>
    <cellStyle name="Normal 11 4 2 9 2 2" xfId="33222" xr:uid="{26AEFC9B-0DE8-44E7-A04D-CC5023104CA4}"/>
    <cellStyle name="Normal 11 4 2 9 2 3" xfId="49981" xr:uid="{759E08CF-4854-4152-9E45-90C9EA9FA95D}"/>
    <cellStyle name="Normal 11 4 2 9 3" xfId="24842" xr:uid="{858A8734-D04A-4699-A0BC-15172E8E4D3D}"/>
    <cellStyle name="Normal 11 4 2 9 4" xfId="41601" xr:uid="{87E6071C-7938-4512-A305-0BDAD0050ED9}"/>
    <cellStyle name="Normal 11 4 3" xfId="514" xr:uid="{2F9A2E7A-D368-41B1-88FA-0B7A4BCBD5C1}"/>
    <cellStyle name="Normal 11 4 3 10" xfId="8633" xr:uid="{2E8D6D60-1672-4C16-B767-A5C63C3AB38A}"/>
    <cellStyle name="Normal 11 4 3 10 2" xfId="17013" xr:uid="{BF6322B0-402B-4FF4-8FC6-B905457B5DA7}"/>
    <cellStyle name="Normal 11 4 3 10 2 2" xfId="33773" xr:uid="{69E6E893-C848-4C09-859A-8B8B489CC340}"/>
    <cellStyle name="Normal 11 4 3 10 2 3" xfId="50532" xr:uid="{CC69C48E-5658-4B19-8950-9B0BD83D96BA}"/>
    <cellStyle name="Normal 11 4 3 10 3" xfId="25393" xr:uid="{0D175937-D998-4CDE-9CD1-D8E917940814}"/>
    <cellStyle name="Normal 11 4 3 10 4" xfId="42152" xr:uid="{BB83D60C-EE73-4C43-8010-146800B2B54B}"/>
    <cellStyle name="Normal 11 4 3 11" xfId="2346" xr:uid="{BA00E069-77B0-4CD7-9EF4-284F7F4CC6E1}"/>
    <cellStyle name="Normal 11 4 3 11 2" xfId="10728" xr:uid="{8598D425-FEF6-42D6-A0A8-243265F67890}"/>
    <cellStyle name="Normal 11 4 3 11 2 2" xfId="27488" xr:uid="{2D0857B2-0B7D-4F9D-9B0B-B44A369F4CA7}"/>
    <cellStyle name="Normal 11 4 3 11 2 3" xfId="44247" xr:uid="{5D4A7ADD-66BA-43E5-880D-D354A47B2E2A}"/>
    <cellStyle name="Normal 11 4 3 11 3" xfId="19108" xr:uid="{67F7E45D-0752-477E-86D3-CF3AB9FBCD1F}"/>
    <cellStyle name="Normal 11 4 3 11 4" xfId="35867" xr:uid="{E5088EA8-ECF0-4E24-904F-3D59A9680958}"/>
    <cellStyle name="Normal 11 4 3 12" xfId="8925" xr:uid="{B5E9F48F-FD16-489B-AA6A-9BA20BBEBF19}"/>
    <cellStyle name="Normal 11 4 3 12 2" xfId="25685" xr:uid="{29C8B6F6-79D7-4EC4-A184-DD4BD2D34D4B}"/>
    <cellStyle name="Normal 11 4 3 12 3" xfId="42444" xr:uid="{EEEC09DA-C686-47A8-8D16-74B5461F72A4}"/>
    <cellStyle name="Normal 11 4 3 13" xfId="17305" xr:uid="{001D42B9-F95F-411A-BE3A-068AB8951C29}"/>
    <cellStyle name="Normal 11 4 3 14" xfId="34064" xr:uid="{6AAC069B-3284-4F92-85AF-38F8162DBD49}"/>
    <cellStyle name="Normal 11 4 3 2" xfId="956" xr:uid="{08E1C7A2-E1D5-47F3-82C9-D31F20F3F576}"/>
    <cellStyle name="Normal 11 4 3 2 2" xfId="4351" xr:uid="{163C4E2B-1479-460B-8A0E-9628F6985BC0}"/>
    <cellStyle name="Normal 11 4 3 2 2 2" xfId="12731" xr:uid="{6EA1BDE3-F129-443D-BB7B-031FB7E20313}"/>
    <cellStyle name="Normal 11 4 3 2 2 2 2" xfId="29491" xr:uid="{379BAED0-98A4-44C7-9BDB-6201CDA51C59}"/>
    <cellStyle name="Normal 11 4 3 2 2 2 3" xfId="46250" xr:uid="{B6123591-9C6D-4CFF-8C2E-C807D9991305}"/>
    <cellStyle name="Normal 11 4 3 2 2 3" xfId="21111" xr:uid="{62A611BF-B4F3-4B8E-BF92-0028B152F3D3}"/>
    <cellStyle name="Normal 11 4 3 2 2 4" xfId="37870" xr:uid="{00AC1006-7B46-4362-B37B-E1A97B921ACE}"/>
    <cellStyle name="Normal 11 4 3 2 3" xfId="6038" xr:uid="{6D6E2AA5-E991-4471-81EA-90ADC0328917}"/>
    <cellStyle name="Normal 11 4 3 2 3 2" xfId="14418" xr:uid="{990360B8-4CCE-42A5-9C8A-733C7679F002}"/>
    <cellStyle name="Normal 11 4 3 2 3 2 2" xfId="31178" xr:uid="{A0E68C64-D377-4BEF-AEA8-1E336F738DA0}"/>
    <cellStyle name="Normal 11 4 3 2 3 2 3" xfId="47937" xr:uid="{D8EF3F88-022F-4E0F-9830-5F6F97C1A108}"/>
    <cellStyle name="Normal 11 4 3 2 3 3" xfId="22798" xr:uid="{DB604E0F-20EF-4B6A-B54C-D0D59DDDD151}"/>
    <cellStyle name="Normal 11 4 3 2 3 4" xfId="39557" xr:uid="{6D696706-C21B-4DD5-86B4-955BBCDE6C85}"/>
    <cellStyle name="Normal 11 4 3 2 4" xfId="2774" xr:uid="{FA964AA5-7584-4F3F-B69B-94668E6C4075}"/>
    <cellStyle name="Normal 11 4 3 2 4 2" xfId="11154" xr:uid="{1031A663-617E-4278-9F94-8A4C53F8BBF2}"/>
    <cellStyle name="Normal 11 4 3 2 4 2 2" xfId="27914" xr:uid="{F490E34E-C25C-4A55-B2B8-D6E0C7DD2F7B}"/>
    <cellStyle name="Normal 11 4 3 2 4 2 3" xfId="44673" xr:uid="{960B0E39-0307-4FDA-BE1C-BB35C3AD6D95}"/>
    <cellStyle name="Normal 11 4 3 2 4 3" xfId="19534" xr:uid="{B974A7BC-58E2-4BBB-A986-3A3DA798A5DB}"/>
    <cellStyle name="Normal 11 4 3 2 4 4" xfId="36293" xr:uid="{2128DB4A-43A2-407E-886A-C0B15A89972A}"/>
    <cellStyle name="Normal 11 4 3 2 5" xfId="9351" xr:uid="{B64348E9-0FB8-4B6D-81F5-93193DC9C3F2}"/>
    <cellStyle name="Normal 11 4 3 2 5 2" xfId="26111" xr:uid="{B8F4F712-4BD8-4D41-B07F-56FD345DB6E0}"/>
    <cellStyle name="Normal 11 4 3 2 5 3" xfId="42870" xr:uid="{BD148229-D891-4467-B293-1AA642B2297D}"/>
    <cellStyle name="Normal 11 4 3 2 6" xfId="17731" xr:uid="{5DA2CC2A-2FD4-4B1C-BDD4-193C4B09518E}"/>
    <cellStyle name="Normal 11 4 3 2 7" xfId="34490" xr:uid="{05AF9622-EC13-4DE5-A3F4-8C1AB61F0DE6}"/>
    <cellStyle name="Normal 11 4 3 3" xfId="1390" xr:uid="{CC8DA1E8-2A72-4AC5-B04A-3823B6836832}"/>
    <cellStyle name="Normal 11 4 3 3 2" xfId="4779" xr:uid="{BC81910B-C3CA-4119-AE8C-E135E4AA5642}"/>
    <cellStyle name="Normal 11 4 3 3 2 2" xfId="13159" xr:uid="{E2EF0EC7-0CA5-4C0D-8307-F06F91F0E61C}"/>
    <cellStyle name="Normal 11 4 3 3 2 2 2" xfId="29919" xr:uid="{5C8840AF-4874-471D-8B7D-C8881023BBBE}"/>
    <cellStyle name="Normal 11 4 3 3 2 2 3" xfId="46678" xr:uid="{0CE29086-2210-474E-B44B-1222D00125A0}"/>
    <cellStyle name="Normal 11 4 3 3 2 3" xfId="21539" xr:uid="{1E729928-29B7-43AD-A989-8B383A21B74C}"/>
    <cellStyle name="Normal 11 4 3 3 2 4" xfId="38298" xr:uid="{AD2235B4-45A6-40B1-82FC-81848FF80541}"/>
    <cellStyle name="Normal 11 4 3 3 3" xfId="6466" xr:uid="{FBD5C464-2C7D-4802-8BE4-967161FF0A2F}"/>
    <cellStyle name="Normal 11 4 3 3 3 2" xfId="14846" xr:uid="{65E4794A-C774-4A96-AA99-7919192F5EB7}"/>
    <cellStyle name="Normal 11 4 3 3 3 2 2" xfId="31606" xr:uid="{9B8DD0E6-F78E-4A8F-88D1-AAA6B866DCA1}"/>
    <cellStyle name="Normal 11 4 3 3 3 2 3" xfId="48365" xr:uid="{2FD8759E-A667-4BA1-A4CA-E4EB17F353BD}"/>
    <cellStyle name="Normal 11 4 3 3 3 3" xfId="23226" xr:uid="{E0605531-CC1D-4A0A-83AF-D54EABA6DF18}"/>
    <cellStyle name="Normal 11 4 3 3 3 4" xfId="39985" xr:uid="{3FDB693F-E793-4A04-8705-1D8036FD85C2}"/>
    <cellStyle name="Normal 11 4 3 3 4" xfId="3202" xr:uid="{CF8E732C-FFF2-45C2-8727-7B646B2F66B0}"/>
    <cellStyle name="Normal 11 4 3 3 4 2" xfId="11582" xr:uid="{95E8D04B-DDE2-4782-AFB6-979921B2A025}"/>
    <cellStyle name="Normal 11 4 3 3 4 2 2" xfId="28342" xr:uid="{948FF296-4E28-460E-BE07-183EC8030C4C}"/>
    <cellStyle name="Normal 11 4 3 3 4 2 3" xfId="45101" xr:uid="{0D4CAE7C-391B-4327-B829-7D20D66C9AF9}"/>
    <cellStyle name="Normal 11 4 3 3 4 3" xfId="19962" xr:uid="{445FEE8D-DEB9-46BE-9332-B285D8A7DE16}"/>
    <cellStyle name="Normal 11 4 3 3 4 4" xfId="36721" xr:uid="{DBCC17C3-5282-44CB-9170-7DE56BD0E411}"/>
    <cellStyle name="Normal 11 4 3 3 5" xfId="9779" xr:uid="{5ADBBCC6-CDFC-4B73-884E-C00DEB65CAF2}"/>
    <cellStyle name="Normal 11 4 3 3 5 2" xfId="26539" xr:uid="{317E081D-54B3-40FA-A3BA-98E4AC92BAA3}"/>
    <cellStyle name="Normal 11 4 3 3 5 3" xfId="43298" xr:uid="{70E9387C-CCE9-4470-8B68-62927F58DFD7}"/>
    <cellStyle name="Normal 11 4 3 3 6" xfId="18159" xr:uid="{9B5C4EBB-E4A9-49BC-82D6-1D0AA809F0A0}"/>
    <cellStyle name="Normal 11 4 3 3 7" xfId="34918" xr:uid="{EA3BDB97-1F13-4B7D-BB90-8518B7BDD79B}"/>
    <cellStyle name="Normal 11 4 3 4" xfId="1933" xr:uid="{95F4A7B6-AC8B-406E-85A3-5FBF52117AF1}"/>
    <cellStyle name="Normal 11 4 3 4 2" xfId="5322" xr:uid="{7212388D-8798-4745-8874-424FFADCF53E}"/>
    <cellStyle name="Normal 11 4 3 4 2 2" xfId="13702" xr:uid="{244656E9-0A89-4D28-B95D-8ACA0F6C0967}"/>
    <cellStyle name="Normal 11 4 3 4 2 2 2" xfId="30462" xr:uid="{A5CF3A84-4D0B-4BEA-BAEE-5D81C5AA3077}"/>
    <cellStyle name="Normal 11 4 3 4 2 2 3" xfId="47221" xr:uid="{02909A9C-ECA1-4A8C-ACFF-22B1168100D0}"/>
    <cellStyle name="Normal 11 4 3 4 2 3" xfId="22082" xr:uid="{39CCA20B-815A-43CC-8116-D59F6BB1A7E6}"/>
    <cellStyle name="Normal 11 4 3 4 2 4" xfId="38841" xr:uid="{6EA2AA75-FEAF-4FD7-82F1-288FE9DD32BD}"/>
    <cellStyle name="Normal 11 4 3 4 3" xfId="7009" xr:uid="{06097DD6-8AA8-4FE4-94A2-C8BE1B8BD017}"/>
    <cellStyle name="Normal 11 4 3 4 3 2" xfId="15389" xr:uid="{279F2782-DF91-45A3-8396-BD83A03F4DE7}"/>
    <cellStyle name="Normal 11 4 3 4 3 2 2" xfId="32149" xr:uid="{0773A7F9-EAC4-4221-94FC-0DE223A5401D}"/>
    <cellStyle name="Normal 11 4 3 4 3 2 3" xfId="48908" xr:uid="{AA2BB78D-2138-423E-81CB-7D5B8508A778}"/>
    <cellStyle name="Normal 11 4 3 4 3 3" xfId="23769" xr:uid="{41FFEC9A-5C94-4C5E-BD63-4DEE485DE597}"/>
    <cellStyle name="Normal 11 4 3 4 3 4" xfId="40528" xr:uid="{415EED5C-A497-4F22-9A18-EAB077B1239C}"/>
    <cellStyle name="Normal 11 4 3 4 4" xfId="3632" xr:uid="{ADE90714-AC2F-4C41-AF55-21043140C1C5}"/>
    <cellStyle name="Normal 11 4 3 4 4 2" xfId="12012" xr:uid="{A77185C2-234B-4973-A308-D6F3F75B1BA1}"/>
    <cellStyle name="Normal 11 4 3 4 4 2 2" xfId="28772" xr:uid="{3BB2A282-C712-4688-8214-79FE19B36AFA}"/>
    <cellStyle name="Normal 11 4 3 4 4 2 3" xfId="45531" xr:uid="{A3F86F4B-E3E7-4591-9C73-A5993B277A0B}"/>
    <cellStyle name="Normal 11 4 3 4 4 3" xfId="20392" xr:uid="{19EC292B-0082-40CD-B221-8A9489F70F7F}"/>
    <cellStyle name="Normal 11 4 3 4 4 4" xfId="37151" xr:uid="{68946C18-D675-4863-9411-7A89E2CFD5F0}"/>
    <cellStyle name="Normal 11 4 3 4 5" xfId="10322" xr:uid="{E240A8C5-F4E7-4120-AF52-FDD7EB4D88AA}"/>
    <cellStyle name="Normal 11 4 3 4 5 2" xfId="27082" xr:uid="{804EBF00-09A7-4720-A853-4A088C1D80ED}"/>
    <cellStyle name="Normal 11 4 3 4 5 3" xfId="43841" xr:uid="{DF7A3BC7-7036-4D7B-9A31-52CC9B8EC2C6}"/>
    <cellStyle name="Normal 11 4 3 4 6" xfId="18702" xr:uid="{4E6B85E6-11BA-4952-9795-8F433D82036C}"/>
    <cellStyle name="Normal 11 4 3 4 7" xfId="35461" xr:uid="{E8B850E5-3360-49DD-90DC-944C6772BE6D}"/>
    <cellStyle name="Normal 11 4 3 5" xfId="4052" xr:uid="{5CB9DE55-8796-46DE-9DF5-1F26D8B1A126}"/>
    <cellStyle name="Normal 11 4 3 5 2" xfId="12432" xr:uid="{34732BFE-364D-42ED-AF76-F5C55D4906C0}"/>
    <cellStyle name="Normal 11 4 3 5 2 2" xfId="29192" xr:uid="{731B8A76-7CB6-4494-9ADF-6C525AB48AD9}"/>
    <cellStyle name="Normal 11 4 3 5 2 3" xfId="45951" xr:uid="{5C43A717-D6D8-4D84-9FBE-783D1FC912E0}"/>
    <cellStyle name="Normal 11 4 3 5 3" xfId="20812" xr:uid="{9723CF64-F35B-4259-9699-5093FCF619D6}"/>
    <cellStyle name="Normal 11 4 3 5 4" xfId="37571" xr:uid="{E299E446-641A-4152-8033-40811490D90F}"/>
    <cellStyle name="Normal 11 4 3 6" xfId="5612" xr:uid="{B61DA821-BBB9-45FD-AAB9-41881570B4FE}"/>
    <cellStyle name="Normal 11 4 3 6 2" xfId="13992" xr:uid="{3E022E26-F2F4-4F61-97E3-EB491DC3ECE9}"/>
    <cellStyle name="Normal 11 4 3 6 2 2" xfId="30752" xr:uid="{386DF9F9-5926-459E-BC33-FD6726A5A3DA}"/>
    <cellStyle name="Normal 11 4 3 6 2 3" xfId="47511" xr:uid="{4963D453-A123-4461-AE77-86363EC7B773}"/>
    <cellStyle name="Normal 11 4 3 6 3" xfId="22372" xr:uid="{22B646B6-5944-4AE2-A52F-DC0968F6A8E3}"/>
    <cellStyle name="Normal 11 4 3 6 4" xfId="39131" xr:uid="{F91F3BDB-23C8-4A8B-A6F6-91437846F2E7}"/>
    <cellStyle name="Normal 11 4 3 7" xfId="7415" xr:uid="{28A0DB66-D383-46A2-A3BA-B87F522E388E}"/>
    <cellStyle name="Normal 11 4 3 7 2" xfId="15795" xr:uid="{06705068-0C84-43E5-9B28-0FA9154D2E73}"/>
    <cellStyle name="Normal 11 4 3 7 2 2" xfId="32555" xr:uid="{E7EF92B1-6207-4A2A-A4A9-52586A994B71}"/>
    <cellStyle name="Normal 11 4 3 7 2 3" xfId="49314" xr:uid="{1B06A352-A36B-48F9-A4E6-B141247E85E5}"/>
    <cellStyle name="Normal 11 4 3 7 3" xfId="24175" xr:uid="{60B7A574-5BF9-4D07-ACD3-765BB73463B0}"/>
    <cellStyle name="Normal 11 4 3 7 4" xfId="40934" xr:uid="{A779D3C7-BC1B-46FC-941F-A46296E24D7A}"/>
    <cellStyle name="Normal 11 4 3 8" xfId="7821" xr:uid="{D34BC4C1-E1F2-4A04-8912-FAA8A3B0D7B5}"/>
    <cellStyle name="Normal 11 4 3 8 2" xfId="16201" xr:uid="{9B38710F-4A40-44D4-9436-BB1AD16684B0}"/>
    <cellStyle name="Normal 11 4 3 8 2 2" xfId="32961" xr:uid="{745493DC-A221-443E-8C57-5D51A4D6777B}"/>
    <cellStyle name="Normal 11 4 3 8 2 3" xfId="49720" xr:uid="{555AB03A-2EF4-4822-AA5D-21FD549582E3}"/>
    <cellStyle name="Normal 11 4 3 8 3" xfId="24581" xr:uid="{B2FE9704-FCF6-4E2F-94EF-685ADC99351F}"/>
    <cellStyle name="Normal 11 4 3 8 4" xfId="41340" xr:uid="{7638ED7D-6A31-4E4B-A25A-BAB238DB1FAA}"/>
    <cellStyle name="Normal 11 4 3 9" xfId="8227" xr:uid="{168C5527-EA6F-47D3-9827-C783C88D8AFF}"/>
    <cellStyle name="Normal 11 4 3 9 2" xfId="16607" xr:uid="{D5ECE060-A622-4949-9A12-F2874852EA70}"/>
    <cellStyle name="Normal 11 4 3 9 2 2" xfId="33367" xr:uid="{4668E202-3514-46E0-897C-94171C3D61A6}"/>
    <cellStyle name="Normal 11 4 3 9 2 3" xfId="50126" xr:uid="{C234809D-E2A8-483D-B060-27BEC7FC04E6}"/>
    <cellStyle name="Normal 11 4 3 9 3" xfId="24987" xr:uid="{8E1B7943-1197-42AA-963F-CFFB1BB537C2}"/>
    <cellStyle name="Normal 11 4 3 9 4" xfId="41746" xr:uid="{8371A9EE-F6CA-40D6-8441-92C98EBBBFA5}"/>
    <cellStyle name="Normal 11 4 4" xfId="839" xr:uid="{1390BD84-92A9-4A66-BC0F-79FCC6C1063D}"/>
    <cellStyle name="Normal 11 4 4 2" xfId="4234" xr:uid="{B1CC86D3-E5E4-4732-9AA0-7226747A2213}"/>
    <cellStyle name="Normal 11 4 4 2 2" xfId="12614" xr:uid="{6A9CEA83-A8FD-44AE-AE0B-0D6EDA5F5CF6}"/>
    <cellStyle name="Normal 11 4 4 2 2 2" xfId="29374" xr:uid="{457628F2-EA5D-46A8-BAE6-A1D6269E05BE}"/>
    <cellStyle name="Normal 11 4 4 2 2 3" xfId="46133" xr:uid="{F4DF2414-C566-472C-801D-763AF2D7D024}"/>
    <cellStyle name="Normal 11 4 4 2 3" xfId="20994" xr:uid="{97F9A904-EC02-4386-9C5C-EB763E8B6366}"/>
    <cellStyle name="Normal 11 4 4 2 4" xfId="37753" xr:uid="{01FEFD1D-255B-4C6C-95B9-F61C43313EBF}"/>
    <cellStyle name="Normal 11 4 4 3" xfId="5921" xr:uid="{76F6D259-8DBE-4520-8FA6-3840F1D28B61}"/>
    <cellStyle name="Normal 11 4 4 3 2" xfId="14301" xr:uid="{9D7578FB-89CE-4CBA-9C49-2FB1FC11C493}"/>
    <cellStyle name="Normal 11 4 4 3 2 2" xfId="31061" xr:uid="{F0F92B40-78F9-45F8-B4F7-65E0AC46735F}"/>
    <cellStyle name="Normal 11 4 4 3 2 3" xfId="47820" xr:uid="{8CBC5A52-E630-45AF-8B37-E3BECB47EA7B}"/>
    <cellStyle name="Normal 11 4 4 3 3" xfId="22681" xr:uid="{00123C2F-E58E-4717-8D10-9453E016C308}"/>
    <cellStyle name="Normal 11 4 4 3 4" xfId="39440" xr:uid="{5790DE66-08F2-407D-BCCD-793BA054940C}"/>
    <cellStyle name="Normal 11 4 4 4" xfId="2657" xr:uid="{B15EEAAB-4752-4E24-A076-23FB82A5A9DA}"/>
    <cellStyle name="Normal 11 4 4 4 2" xfId="11037" xr:uid="{07C6F223-9FDA-47B4-A0BA-40EC0812D558}"/>
    <cellStyle name="Normal 11 4 4 4 2 2" xfId="27797" xr:uid="{C7136950-CBD4-4569-B5AF-D3999E8FAF1F}"/>
    <cellStyle name="Normal 11 4 4 4 2 3" xfId="44556" xr:uid="{DB1050C8-E311-4007-8320-5F53DD75CA41}"/>
    <cellStyle name="Normal 11 4 4 4 3" xfId="19417" xr:uid="{3617258B-6476-4330-8753-031BBB60BFBD}"/>
    <cellStyle name="Normal 11 4 4 4 4" xfId="36176" xr:uid="{60CAE0B9-5C39-4FE7-96F9-59F9C198F099}"/>
    <cellStyle name="Normal 11 4 4 5" xfId="9234" xr:uid="{BE40784F-4EF1-4EE7-857E-A71A2FA7970B}"/>
    <cellStyle name="Normal 11 4 4 5 2" xfId="25994" xr:uid="{F4B45A6C-1B8D-4D6F-829E-07C5023086F8}"/>
    <cellStyle name="Normal 11 4 4 5 3" xfId="42753" xr:uid="{EF44B0F0-6956-4F6E-9FD2-78F77F5C2B7D}"/>
    <cellStyle name="Normal 11 4 4 6" xfId="17614" xr:uid="{9C9ED650-6EA2-4C4C-8D50-E69B4EF822FF}"/>
    <cellStyle name="Normal 11 4 4 7" xfId="34373" xr:uid="{D922C455-ACAA-4F27-83D6-A5006B640C84}"/>
    <cellStyle name="Normal 11 4 5" xfId="1273" xr:uid="{BCB8FB75-AD61-44E8-8A85-CD0BB300941B}"/>
    <cellStyle name="Normal 11 4 5 2" xfId="4662" xr:uid="{3361F5E2-CA4E-4C0A-8E27-3FB560825F7F}"/>
    <cellStyle name="Normal 11 4 5 2 2" xfId="13042" xr:uid="{93765224-818D-42BC-A3BD-764FB28160BF}"/>
    <cellStyle name="Normal 11 4 5 2 2 2" xfId="29802" xr:uid="{7E2CF3DC-E35B-432A-BC8F-1A788F303B65}"/>
    <cellStyle name="Normal 11 4 5 2 2 3" xfId="46561" xr:uid="{CF67BD56-FFFB-4272-AD88-ABDDDDD7A68E}"/>
    <cellStyle name="Normal 11 4 5 2 3" xfId="21422" xr:uid="{2890F144-2A18-4FE1-9EDC-BF91519364EB}"/>
    <cellStyle name="Normal 11 4 5 2 4" xfId="38181" xr:uid="{6AE8A49D-1453-450A-9242-CEE0C33FC88F}"/>
    <cellStyle name="Normal 11 4 5 3" xfId="6349" xr:uid="{00602451-56B2-4525-82C7-2AEB28FCF2B3}"/>
    <cellStyle name="Normal 11 4 5 3 2" xfId="14729" xr:uid="{02E3AC1E-1CFD-4A34-93D5-10582D1C6BBE}"/>
    <cellStyle name="Normal 11 4 5 3 2 2" xfId="31489" xr:uid="{9A01F5C1-31D9-4B13-964B-A0AC7A3C5662}"/>
    <cellStyle name="Normal 11 4 5 3 2 3" xfId="48248" xr:uid="{163CCD46-0BD7-49AE-B8F1-02872B6868C3}"/>
    <cellStyle name="Normal 11 4 5 3 3" xfId="23109" xr:uid="{1976E6C4-EBB1-4DBE-BD3B-5CBD571304DD}"/>
    <cellStyle name="Normal 11 4 5 3 4" xfId="39868" xr:uid="{A3574D5F-93C3-484A-A450-1C47CBA65F57}"/>
    <cellStyle name="Normal 11 4 5 4" xfId="3085" xr:uid="{2C3103FB-3EAC-41CB-8920-00FAB71AC063}"/>
    <cellStyle name="Normal 11 4 5 4 2" xfId="11465" xr:uid="{87C6415C-BFC5-49AB-99FA-873274580179}"/>
    <cellStyle name="Normal 11 4 5 4 2 2" xfId="28225" xr:uid="{EFEE5069-CC6B-4AA1-B2CA-8CE975DFD194}"/>
    <cellStyle name="Normal 11 4 5 4 2 3" xfId="44984" xr:uid="{C434B7AE-4C11-4900-ACE9-6EE11ACDA57B}"/>
    <cellStyle name="Normal 11 4 5 4 3" xfId="19845" xr:uid="{2BFD3EEA-B31B-42B3-AF68-59F37DAD5905}"/>
    <cellStyle name="Normal 11 4 5 4 4" xfId="36604" xr:uid="{D654A0E8-0893-4F64-B8B1-C854105B324A}"/>
    <cellStyle name="Normal 11 4 5 5" xfId="9662" xr:uid="{BA70C504-D91E-4456-AEDB-BB8BCF5F63C9}"/>
    <cellStyle name="Normal 11 4 5 5 2" xfId="26422" xr:uid="{3A3DBF5C-35F6-4974-8399-7873C42A48E7}"/>
    <cellStyle name="Normal 11 4 5 5 3" xfId="43181" xr:uid="{C9B32DD7-BD6B-4844-8943-CBBB7CF3D234}"/>
    <cellStyle name="Normal 11 4 5 6" xfId="18042" xr:uid="{3962BD97-5E11-41F8-A058-B44B8E8609F4}"/>
    <cellStyle name="Normal 11 4 5 7" xfId="34801" xr:uid="{1B66F99B-3C83-4DDB-8A8D-441356D7E5AD}"/>
    <cellStyle name="Normal 11 4 6" xfId="1662" xr:uid="{252FB911-8157-4B05-86CF-54E775FDFC8E}"/>
    <cellStyle name="Normal 11 4 6 2" xfId="5051" xr:uid="{E811237D-96A6-47F9-AE24-277F1FC0EB2A}"/>
    <cellStyle name="Normal 11 4 6 2 2" xfId="13431" xr:uid="{4D60711E-C86F-4C6E-86E1-01A5025FD24D}"/>
    <cellStyle name="Normal 11 4 6 2 2 2" xfId="30191" xr:uid="{797978C2-9C50-4EF6-BA89-87411773D1DB}"/>
    <cellStyle name="Normal 11 4 6 2 2 3" xfId="46950" xr:uid="{8815450D-529E-4ABF-8BF8-100E4A790394}"/>
    <cellStyle name="Normal 11 4 6 2 3" xfId="21811" xr:uid="{47AB6EAB-D6FF-49DF-A813-D2446BF310B2}"/>
    <cellStyle name="Normal 11 4 6 2 4" xfId="38570" xr:uid="{EE2789F3-6D37-4B92-AD58-A89AB9A2D138}"/>
    <cellStyle name="Normal 11 4 6 3" xfId="6738" xr:uid="{2202F918-2AD4-47B7-BC59-E38C8D964FB7}"/>
    <cellStyle name="Normal 11 4 6 3 2" xfId="15118" xr:uid="{0E6679D7-2981-4B87-839E-0FF772E202AA}"/>
    <cellStyle name="Normal 11 4 6 3 2 2" xfId="31878" xr:uid="{0B9C0C68-F32B-44B5-920A-60C19C5DC634}"/>
    <cellStyle name="Normal 11 4 6 3 2 3" xfId="48637" xr:uid="{B15E4C7E-BBF5-49BF-B670-6F001070F20A}"/>
    <cellStyle name="Normal 11 4 6 3 3" xfId="23498" xr:uid="{36ED1F59-DEE5-4945-8D53-11F940C7313F}"/>
    <cellStyle name="Normal 11 4 6 3 4" xfId="40257" xr:uid="{78ABF11F-2EF9-4BED-A841-2E6935F86AEA}"/>
    <cellStyle name="Normal 11 4 6 4" xfId="2227" xr:uid="{14CF9C94-45DE-4D7A-9DB2-6C80452BE8C9}"/>
    <cellStyle name="Normal 11 4 6 4 2" xfId="10611" xr:uid="{17D6BD43-F448-44EE-BDE6-07C80668F2F4}"/>
    <cellStyle name="Normal 11 4 6 4 2 2" xfId="27371" xr:uid="{EECCACE5-C1A8-483B-A465-E8BFF7C24AD4}"/>
    <cellStyle name="Normal 11 4 6 4 2 3" xfId="44130" xr:uid="{422D3073-C456-4970-9EF1-56336EEC72E8}"/>
    <cellStyle name="Normal 11 4 6 4 3" xfId="18991" xr:uid="{F9852237-4B35-44EF-B78E-BEB5F47A4D22}"/>
    <cellStyle name="Normal 11 4 6 4 4" xfId="35750" xr:uid="{E65676DB-032B-4ACA-BF26-23CABE7B4639}"/>
    <cellStyle name="Normal 11 4 6 5" xfId="10051" xr:uid="{DFEC5DFF-6366-423E-8975-86B760983D5F}"/>
    <cellStyle name="Normal 11 4 6 5 2" xfId="26811" xr:uid="{1890D9AF-2168-48FD-B68F-494E19A0090D}"/>
    <cellStyle name="Normal 11 4 6 5 3" xfId="43570" xr:uid="{6FA20B39-05E7-40AF-955A-A78F708CF798}"/>
    <cellStyle name="Normal 11 4 6 6" xfId="18431" xr:uid="{B5CFEE42-1566-4D10-AAB5-87A45C3C9567}"/>
    <cellStyle name="Normal 11 4 6 7" xfId="35190" xr:uid="{D1F159F1-8DED-4ACA-BADD-C105F9B4D2DE}"/>
    <cellStyle name="Normal 11 4 7" xfId="3780" xr:uid="{D5D52104-EC04-4115-A4B0-3714986EB60E}"/>
    <cellStyle name="Normal 11 4 7 2" xfId="12160" xr:uid="{5E3D28BD-483F-43B5-9363-C14E03B5B51A}"/>
    <cellStyle name="Normal 11 4 7 2 2" xfId="28920" xr:uid="{42F711D1-6505-4E75-A91E-372AAFF881EB}"/>
    <cellStyle name="Normal 11 4 7 2 3" xfId="45679" xr:uid="{D30965E6-8D23-4756-8A4E-4750F84159A8}"/>
    <cellStyle name="Normal 11 4 7 3" xfId="20540" xr:uid="{BCA4AE51-2A23-4C53-B5FB-BBC941DE7A84}"/>
    <cellStyle name="Normal 11 4 7 4" xfId="37299" xr:uid="{1FF6212C-F1CB-4F39-BAFC-3D434B14C3AF}"/>
    <cellStyle name="Normal 11 4 8" xfId="5495" xr:uid="{6853328E-4538-4A19-8133-7C4C8248D97B}"/>
    <cellStyle name="Normal 11 4 8 2" xfId="13875" xr:uid="{9FE45AD2-642A-4700-A2B0-60CA2504BCC5}"/>
    <cellStyle name="Normal 11 4 8 2 2" xfId="30635" xr:uid="{BB497E21-C0D8-4C20-B8E1-C17CDC7D5052}"/>
    <cellStyle name="Normal 11 4 8 2 3" xfId="47394" xr:uid="{50208AFC-F8D0-4A7C-AEF8-EE3A7549FBF4}"/>
    <cellStyle name="Normal 11 4 8 3" xfId="22255" xr:uid="{1FA67549-6629-4C86-82D7-0FD6834113B4}"/>
    <cellStyle name="Normal 11 4 8 4" xfId="39014" xr:uid="{4E2F85DA-7FB9-4AF2-BA73-FA8425812F33}"/>
    <cellStyle name="Normal 11 4 9" xfId="7144" xr:uid="{F76935BE-D1C7-4701-9AC8-201286D5D715}"/>
    <cellStyle name="Normal 11 4 9 2" xfId="15524" xr:uid="{130DD886-41F7-4314-9A1D-FB3F4CC57C3C}"/>
    <cellStyle name="Normal 11 4 9 2 2" xfId="32284" xr:uid="{16728E1C-E873-42E6-BF01-C478D154707B}"/>
    <cellStyle name="Normal 11 4 9 2 3" xfId="49043" xr:uid="{79CC78BE-AFB8-4D13-9788-AA5F0168BCD5}"/>
    <cellStyle name="Normal 11 4 9 3" xfId="23904" xr:uid="{91BB7EEB-92DA-4817-89C5-7A99791FFF27}"/>
    <cellStyle name="Normal 11 4 9 4" xfId="40663" xr:uid="{73689466-89AC-4E4C-92A4-8EA1BB71CA17}"/>
    <cellStyle name="Normal 11 5" xfId="334" xr:uid="{30F505E6-3732-4B38-A7CC-6696CBE7200B}"/>
    <cellStyle name="Normal 11 5 10" xfId="7551" xr:uid="{861443F7-D576-4274-B384-967618655C1D}"/>
    <cellStyle name="Normal 11 5 10 2" xfId="15931" xr:uid="{2B08D574-2AA1-406E-B63E-2156A57113A4}"/>
    <cellStyle name="Normal 11 5 10 2 2" xfId="32691" xr:uid="{648D7F69-2378-4431-BE10-A1F5F10EA090}"/>
    <cellStyle name="Normal 11 5 10 2 3" xfId="49450" xr:uid="{1FDE6E50-8C39-4B4A-976D-65A49F84B168}"/>
    <cellStyle name="Normal 11 5 10 3" xfId="24311" xr:uid="{7E3BEABE-CD48-47EA-AB7C-EAB73CE48349}"/>
    <cellStyle name="Normal 11 5 10 4" xfId="41070" xr:uid="{4A6E14B2-2D51-4EA5-AE01-B7459DF6C80F}"/>
    <cellStyle name="Normal 11 5 11" xfId="7957" xr:uid="{6790F413-69BD-40A5-AD4B-5D72B7E1F9CF}"/>
    <cellStyle name="Normal 11 5 11 2" xfId="16337" xr:uid="{BD4092A3-8F43-409B-B47F-7D3CC4E3473A}"/>
    <cellStyle name="Normal 11 5 11 2 2" xfId="33097" xr:uid="{D4371C96-79E1-44EC-839C-8212E7A0DB69}"/>
    <cellStyle name="Normal 11 5 11 2 3" xfId="49856" xr:uid="{28018154-08D4-4F04-A161-7E82E086141D}"/>
    <cellStyle name="Normal 11 5 11 3" xfId="24717" xr:uid="{2DC2CC5D-593F-4878-9EBC-BC34E072546E}"/>
    <cellStyle name="Normal 11 5 11 4" xfId="41476" xr:uid="{A84E9CCC-B3A9-4C62-B1B0-B9BB597B0099}"/>
    <cellStyle name="Normal 11 5 12" xfId="8363" xr:uid="{777CF0E2-6850-41A5-B424-0ADA540E0D3D}"/>
    <cellStyle name="Normal 11 5 12 2" xfId="16743" xr:uid="{FF87B781-5950-48DC-B8F5-3F325AC946D4}"/>
    <cellStyle name="Normal 11 5 12 2 2" xfId="33503" xr:uid="{BE3F5382-3C9B-496E-9D20-8EF17C720C6F}"/>
    <cellStyle name="Normal 11 5 12 2 3" xfId="50262" xr:uid="{0B96A78D-B9F5-40B7-8344-54CE5302A1CE}"/>
    <cellStyle name="Normal 11 5 12 3" xfId="25123" xr:uid="{A71781E5-B942-4057-9C84-CF1828B0D3C2}"/>
    <cellStyle name="Normal 11 5 12 4" xfId="41882" xr:uid="{2F081D52-9A8B-41BB-BCEF-872B142B6127}"/>
    <cellStyle name="Normal 11 5 13" xfId="2102" xr:uid="{36924780-4F54-4F92-A1CA-F967D9D49DD6}"/>
    <cellStyle name="Normal 11 5 13 2" xfId="10490" xr:uid="{875BEE75-9984-4BEE-B7C7-78D0DB6112BC}"/>
    <cellStyle name="Normal 11 5 13 2 2" xfId="27250" xr:uid="{A1205605-CFA5-432E-ADDA-204282C6FE06}"/>
    <cellStyle name="Normal 11 5 13 2 3" xfId="44009" xr:uid="{AB4B1EAC-5F6F-4272-AB94-5C5C8423F2D5}"/>
    <cellStyle name="Normal 11 5 13 3" xfId="18870" xr:uid="{D4D4B88B-A73C-4779-8578-29C1E3EEA155}"/>
    <cellStyle name="Normal 11 5 13 4" xfId="35629" xr:uid="{1694E0FB-B262-452C-A398-55DE5FCE72A2}"/>
    <cellStyle name="Normal 11 5 14" xfId="8804" xr:uid="{2934B2C5-23BC-41CC-8239-696A40B9AF27}"/>
    <cellStyle name="Normal 11 5 14 2" xfId="25564" xr:uid="{E389C128-5763-4E0F-B7B3-8013F6586329}"/>
    <cellStyle name="Normal 11 5 14 3" xfId="42323" xr:uid="{183B27E3-4415-4A34-BE00-BDC5F9A1D1EB}"/>
    <cellStyle name="Normal 11 5 15" xfId="17184" xr:uid="{B2EF3DD7-F663-4CF5-9416-A5AA96705FF2}"/>
    <cellStyle name="Normal 11 5 16" xfId="33943" xr:uid="{FE385A52-7AD0-49D9-97D6-BB6572BA069E}"/>
    <cellStyle name="Normal 11 5 2" xfId="515" xr:uid="{9F903262-F8B9-449C-8378-F42A14419207}"/>
    <cellStyle name="Normal 11 5 2 10" xfId="8489" xr:uid="{B9B88681-D181-40F7-8648-645E7DAC15BF}"/>
    <cellStyle name="Normal 11 5 2 10 2" xfId="16869" xr:uid="{CD1511EF-8605-4AFB-8DC5-AAFBE5F7A74E}"/>
    <cellStyle name="Normal 11 5 2 10 2 2" xfId="33629" xr:uid="{5F3E4D51-EAF1-453A-A7C1-085B98F389E0}"/>
    <cellStyle name="Normal 11 5 2 10 2 3" xfId="50388" xr:uid="{57D7E516-468C-49A2-BBDF-C2D87F230251}"/>
    <cellStyle name="Normal 11 5 2 10 3" xfId="25249" xr:uid="{54838ED6-4FA0-43C2-9315-428125E33D42}"/>
    <cellStyle name="Normal 11 5 2 10 4" xfId="42008" xr:uid="{828BA603-D0B2-4786-8586-5D2B466758EA}"/>
    <cellStyle name="Normal 11 5 2 11" xfId="2347" xr:uid="{0616F9BF-38F0-48CB-A9E2-B202662E388F}"/>
    <cellStyle name="Normal 11 5 2 11 2" xfId="10729" xr:uid="{7B454B57-0AC7-455C-BF51-725BB2F167BA}"/>
    <cellStyle name="Normal 11 5 2 11 2 2" xfId="27489" xr:uid="{463BD385-11FD-4622-8599-C488CAD847ED}"/>
    <cellStyle name="Normal 11 5 2 11 2 3" xfId="44248" xr:uid="{9366D821-50CD-4E3D-AB35-02164F3E522D}"/>
    <cellStyle name="Normal 11 5 2 11 3" xfId="19109" xr:uid="{B74C3E3E-AB14-4580-8131-E6534B12AD86}"/>
    <cellStyle name="Normal 11 5 2 11 4" xfId="35868" xr:uid="{778A5D28-9FBD-4EE5-B231-610DA44FAB48}"/>
    <cellStyle name="Normal 11 5 2 12" xfId="8926" xr:uid="{8EC3F3F5-8F07-4CF0-9959-EC90164EEC95}"/>
    <cellStyle name="Normal 11 5 2 12 2" xfId="25686" xr:uid="{502DAD61-F833-40EF-83A3-CFCBFB39F4F6}"/>
    <cellStyle name="Normal 11 5 2 12 3" xfId="42445" xr:uid="{504CC680-0866-4BDE-8BBF-1D8B14FBB345}"/>
    <cellStyle name="Normal 11 5 2 13" xfId="17306" xr:uid="{4D734214-CC87-494A-AB88-8F019AD1057F}"/>
    <cellStyle name="Normal 11 5 2 14" xfId="34065" xr:uid="{7D40FB34-D592-4120-AB8D-E4A73110A541}"/>
    <cellStyle name="Normal 11 5 2 2" xfId="957" xr:uid="{E2953DF5-7089-4909-88E6-5DE505BEBB8D}"/>
    <cellStyle name="Normal 11 5 2 2 2" xfId="4352" xr:uid="{B2D30B71-2DB7-4F5E-B998-B73885224EB0}"/>
    <cellStyle name="Normal 11 5 2 2 2 2" xfId="12732" xr:uid="{ACC9C435-F17A-44BD-90C3-71E7597B7E32}"/>
    <cellStyle name="Normal 11 5 2 2 2 2 2" xfId="29492" xr:uid="{D963E10C-0B4D-4863-978A-DFE656BA1D8A}"/>
    <cellStyle name="Normal 11 5 2 2 2 2 3" xfId="46251" xr:uid="{96EA9D72-DFBB-435A-98FB-4983F096767A}"/>
    <cellStyle name="Normal 11 5 2 2 2 3" xfId="21112" xr:uid="{6F9A8627-0337-4864-A615-DA601E3BA7FA}"/>
    <cellStyle name="Normal 11 5 2 2 2 4" xfId="37871" xr:uid="{3EE6A032-14BD-49AB-AA0B-DA92402C19E5}"/>
    <cellStyle name="Normal 11 5 2 2 3" xfId="6039" xr:uid="{31CD6A44-57A6-4AF9-8C85-46FA9D18A552}"/>
    <cellStyle name="Normal 11 5 2 2 3 2" xfId="14419" xr:uid="{A1E11A3D-01F6-41DE-9388-8137A128691E}"/>
    <cellStyle name="Normal 11 5 2 2 3 2 2" xfId="31179" xr:uid="{6D30C4CB-F570-4F96-898A-664C35568E8D}"/>
    <cellStyle name="Normal 11 5 2 2 3 2 3" xfId="47938" xr:uid="{0A1015AB-1C46-4BCB-B4D1-223F6D3F6DA0}"/>
    <cellStyle name="Normal 11 5 2 2 3 3" xfId="22799" xr:uid="{A96AF072-6B40-4FFE-94F7-AE1028C42E0A}"/>
    <cellStyle name="Normal 11 5 2 2 3 4" xfId="39558" xr:uid="{8243B305-DA6D-47E4-BB97-85372D1D91CF}"/>
    <cellStyle name="Normal 11 5 2 2 4" xfId="2775" xr:uid="{50BAD95B-2D6E-4584-BE00-698FF8121350}"/>
    <cellStyle name="Normal 11 5 2 2 4 2" xfId="11155" xr:uid="{3B7FA517-2735-4C86-9C21-69F1A463F443}"/>
    <cellStyle name="Normal 11 5 2 2 4 2 2" xfId="27915" xr:uid="{3A651B03-9F80-4F23-B634-ADE78FF17A29}"/>
    <cellStyle name="Normal 11 5 2 2 4 2 3" xfId="44674" xr:uid="{6FD0FE1F-C494-47F6-BC57-A7F75115D694}"/>
    <cellStyle name="Normal 11 5 2 2 4 3" xfId="19535" xr:uid="{A4E47F09-DC80-40DB-9BF0-77B0FE7605E1}"/>
    <cellStyle name="Normal 11 5 2 2 4 4" xfId="36294" xr:uid="{3FDDEACD-5F5F-4069-954E-EA859D7CDBDB}"/>
    <cellStyle name="Normal 11 5 2 2 5" xfId="9352" xr:uid="{BC23A5FC-93C6-43C3-89F1-A5084B5F78EF}"/>
    <cellStyle name="Normal 11 5 2 2 5 2" xfId="26112" xr:uid="{B033E91D-EB36-4123-B8E1-C3EE46FCB341}"/>
    <cellStyle name="Normal 11 5 2 2 5 3" xfId="42871" xr:uid="{C650B4FB-37FD-4D0B-96C8-9E619708F412}"/>
    <cellStyle name="Normal 11 5 2 2 6" xfId="17732" xr:uid="{0E422628-92C3-49F0-8A97-EBF7123BF35C}"/>
    <cellStyle name="Normal 11 5 2 2 7" xfId="34491" xr:uid="{8A31CFF9-FA7E-4527-91F8-C38DAA722479}"/>
    <cellStyle name="Normal 11 5 2 3" xfId="1391" xr:uid="{679B725F-3905-4D0E-8811-A53E5EA0EB15}"/>
    <cellStyle name="Normal 11 5 2 3 2" xfId="4780" xr:uid="{3B83F608-178F-4361-9FA9-3D03159BA275}"/>
    <cellStyle name="Normal 11 5 2 3 2 2" xfId="13160" xr:uid="{D8396A8F-9F6B-48AB-94D8-698D52983161}"/>
    <cellStyle name="Normal 11 5 2 3 2 2 2" xfId="29920" xr:uid="{5F63196E-B6CA-47AE-8537-9DC7DE201627}"/>
    <cellStyle name="Normal 11 5 2 3 2 2 3" xfId="46679" xr:uid="{172D5BA7-AF79-45A6-9911-000D88DFF4FF}"/>
    <cellStyle name="Normal 11 5 2 3 2 3" xfId="21540" xr:uid="{780770FE-C6EE-4A3A-9F04-E714C7267C98}"/>
    <cellStyle name="Normal 11 5 2 3 2 4" xfId="38299" xr:uid="{5179E304-2D15-4A70-8662-6F975A51BF33}"/>
    <cellStyle name="Normal 11 5 2 3 3" xfId="6467" xr:uid="{4A164809-BEFE-4857-BFBF-DCAC721C4ECA}"/>
    <cellStyle name="Normal 11 5 2 3 3 2" xfId="14847" xr:uid="{EB45E9EB-AD4C-4435-9129-110B36912520}"/>
    <cellStyle name="Normal 11 5 2 3 3 2 2" xfId="31607" xr:uid="{C19F9231-8BCC-49DE-B955-B2F2BE60F364}"/>
    <cellStyle name="Normal 11 5 2 3 3 2 3" xfId="48366" xr:uid="{79D8C921-39E9-405C-B234-F631A156EDF1}"/>
    <cellStyle name="Normal 11 5 2 3 3 3" xfId="23227" xr:uid="{436DE62E-5609-44D9-B80C-10AC71408E18}"/>
    <cellStyle name="Normal 11 5 2 3 3 4" xfId="39986" xr:uid="{8A95CD35-83EC-46D2-8474-97652F345DBA}"/>
    <cellStyle name="Normal 11 5 2 3 4" xfId="3203" xr:uid="{B660E143-FFCD-44A1-AC1A-92AA37AF6DC2}"/>
    <cellStyle name="Normal 11 5 2 3 4 2" xfId="11583" xr:uid="{6A2301B8-239D-41FD-A6C1-6D0F4FA50499}"/>
    <cellStyle name="Normal 11 5 2 3 4 2 2" xfId="28343" xr:uid="{39C1C062-FCD1-4876-8220-43E5841CD60C}"/>
    <cellStyle name="Normal 11 5 2 3 4 2 3" xfId="45102" xr:uid="{68247716-FD9B-4F33-A10B-C980B8C65A7F}"/>
    <cellStyle name="Normal 11 5 2 3 4 3" xfId="19963" xr:uid="{2E539F4E-871A-49FE-956E-F199227CA1C8}"/>
    <cellStyle name="Normal 11 5 2 3 4 4" xfId="36722" xr:uid="{026DD16B-7EA7-4054-90AA-A70236262ABF}"/>
    <cellStyle name="Normal 11 5 2 3 5" xfId="9780" xr:uid="{303B6D93-51AD-41B3-A1E9-ED3DBBB56838}"/>
    <cellStyle name="Normal 11 5 2 3 5 2" xfId="26540" xr:uid="{4FAC2177-9706-4E2C-B0FD-A2BCCAF01D40}"/>
    <cellStyle name="Normal 11 5 2 3 5 3" xfId="43299" xr:uid="{80B89CC0-6B69-4F0A-AE51-22F6EBCD3C99}"/>
    <cellStyle name="Normal 11 5 2 3 6" xfId="18160" xr:uid="{C31A2EF2-C206-46BE-A71B-A2204F03E100}"/>
    <cellStyle name="Normal 11 5 2 3 7" xfId="34919" xr:uid="{9DF23098-C3FB-4141-B0E9-1A5F108E95F8}"/>
    <cellStyle name="Normal 11 5 2 4" xfId="1789" xr:uid="{9D4F319D-FBD5-4F04-A3AE-AFB6A35655F0}"/>
    <cellStyle name="Normal 11 5 2 4 2" xfId="5178" xr:uid="{60F8FBA7-6C5A-4028-A47D-095D67267643}"/>
    <cellStyle name="Normal 11 5 2 4 2 2" xfId="13558" xr:uid="{91B11BC8-79AE-4AA6-8811-14F387FC6CB2}"/>
    <cellStyle name="Normal 11 5 2 4 2 2 2" xfId="30318" xr:uid="{45E493D8-1AA2-42A1-B506-04F73D9E1811}"/>
    <cellStyle name="Normal 11 5 2 4 2 2 3" xfId="47077" xr:uid="{56E30D39-8BCB-4A9F-894C-C5BDA3E5C0AF}"/>
    <cellStyle name="Normal 11 5 2 4 2 3" xfId="21938" xr:uid="{9F7A3C2B-7A1F-4904-8767-F2703E049917}"/>
    <cellStyle name="Normal 11 5 2 4 2 4" xfId="38697" xr:uid="{EE035A5B-F799-4B99-BBA8-9A04919F80B7}"/>
    <cellStyle name="Normal 11 5 2 4 3" xfId="6865" xr:uid="{B8EAB29C-7159-4988-A8EA-F472DC5AB47A}"/>
    <cellStyle name="Normal 11 5 2 4 3 2" xfId="15245" xr:uid="{29F61EFE-EF34-4089-A4C6-EA5DDCA58668}"/>
    <cellStyle name="Normal 11 5 2 4 3 2 2" xfId="32005" xr:uid="{196AED40-C32F-45C6-B44E-AEFC8144DD25}"/>
    <cellStyle name="Normal 11 5 2 4 3 2 3" xfId="48764" xr:uid="{DC759F7F-C61A-4DE3-9C4F-C43221DD1ECE}"/>
    <cellStyle name="Normal 11 5 2 4 3 3" xfId="23625" xr:uid="{B979F049-FD39-4C71-836B-DBDB12F65326}"/>
    <cellStyle name="Normal 11 5 2 4 3 4" xfId="40384" xr:uid="{C7771F54-DCDE-49BD-BC3A-4EC54DB21BDC}"/>
    <cellStyle name="Normal 11 5 2 4 4" xfId="3489" xr:uid="{7CBFA6FF-2516-46A3-AF36-6707E26140CE}"/>
    <cellStyle name="Normal 11 5 2 4 4 2" xfId="11869" xr:uid="{BC23AD36-46EF-45F0-94FD-2DD6921D6EDB}"/>
    <cellStyle name="Normal 11 5 2 4 4 2 2" xfId="28629" xr:uid="{56372259-C449-4DE3-B35D-A01EFE1105E5}"/>
    <cellStyle name="Normal 11 5 2 4 4 2 3" xfId="45388" xr:uid="{0944C822-F162-4BBD-86B5-8ECAB6B180B8}"/>
    <cellStyle name="Normal 11 5 2 4 4 3" xfId="20249" xr:uid="{D17DF7C8-221B-4910-A75B-E352D65ECC1C}"/>
    <cellStyle name="Normal 11 5 2 4 4 4" xfId="37008" xr:uid="{ED3DF822-EE68-475E-856A-90CCD144EB1E}"/>
    <cellStyle name="Normal 11 5 2 4 5" xfId="10178" xr:uid="{810DDBAF-A59E-4E14-B8C7-0D2206D06753}"/>
    <cellStyle name="Normal 11 5 2 4 5 2" xfId="26938" xr:uid="{A666521C-6C22-4AFF-966D-22B285DF9825}"/>
    <cellStyle name="Normal 11 5 2 4 5 3" xfId="43697" xr:uid="{B5AB3ED5-F0DC-44C5-944E-8FFB4625AE27}"/>
    <cellStyle name="Normal 11 5 2 4 6" xfId="18558" xr:uid="{82D02DF5-759C-49D0-8134-A3294C2BF4FD}"/>
    <cellStyle name="Normal 11 5 2 4 7" xfId="35317" xr:uid="{B4512930-9B62-48E9-814F-7CE21086B368}"/>
    <cellStyle name="Normal 11 5 2 5" xfId="3908" xr:uid="{E9EC1DC7-BD52-40D0-BA93-BDA1EA16F853}"/>
    <cellStyle name="Normal 11 5 2 5 2" xfId="12288" xr:uid="{6A73AAB0-58D8-4D12-8C2E-D15D39F467AB}"/>
    <cellStyle name="Normal 11 5 2 5 2 2" xfId="29048" xr:uid="{2F49E2A6-286D-44BA-9494-B929AA664D7A}"/>
    <cellStyle name="Normal 11 5 2 5 2 3" xfId="45807" xr:uid="{653256EA-3A10-4843-BD29-0A87DDD27274}"/>
    <cellStyle name="Normal 11 5 2 5 3" xfId="20668" xr:uid="{B95CBD69-03EB-4666-AA0F-ACE4074EC412}"/>
    <cellStyle name="Normal 11 5 2 5 4" xfId="37427" xr:uid="{4F86476E-8065-41AB-9579-19120D9786E0}"/>
    <cellStyle name="Normal 11 5 2 6" xfId="5613" xr:uid="{9B9488A1-EC28-4788-B082-269BAE6EDB0B}"/>
    <cellStyle name="Normal 11 5 2 6 2" xfId="13993" xr:uid="{3D539D03-F54F-4188-B241-8DDFBF92139E}"/>
    <cellStyle name="Normal 11 5 2 6 2 2" xfId="30753" xr:uid="{68A156D4-4EF9-477E-BB5D-993430FB4B82}"/>
    <cellStyle name="Normal 11 5 2 6 2 3" xfId="47512" xr:uid="{CFBE73AD-974F-4B01-8F31-6E75DA340235}"/>
    <cellStyle name="Normal 11 5 2 6 3" xfId="22373" xr:uid="{3945CEC4-2127-4137-A52F-4A85BA00F284}"/>
    <cellStyle name="Normal 11 5 2 6 4" xfId="39132" xr:uid="{0350C04C-F4BF-4126-85B1-481CFBAA00E3}"/>
    <cellStyle name="Normal 11 5 2 7" xfId="7271" xr:uid="{5D15CFC7-3872-4AE2-AEB0-E07226BA9E5A}"/>
    <cellStyle name="Normal 11 5 2 7 2" xfId="15651" xr:uid="{5B05A2ED-9A06-46F4-A6D2-A9018650E6E2}"/>
    <cellStyle name="Normal 11 5 2 7 2 2" xfId="32411" xr:uid="{7D6243AF-2A39-4F76-AC70-5014A8646351}"/>
    <cellStyle name="Normal 11 5 2 7 2 3" xfId="49170" xr:uid="{0B2DC44E-5011-4729-9861-BBC84A9D6B1D}"/>
    <cellStyle name="Normal 11 5 2 7 3" xfId="24031" xr:uid="{F44CA331-218A-48BF-9322-0AA1CAB20968}"/>
    <cellStyle name="Normal 11 5 2 7 4" xfId="40790" xr:uid="{B46ED483-2CAA-4C03-B722-3935AEF9D092}"/>
    <cellStyle name="Normal 11 5 2 8" xfId="7677" xr:uid="{5E817F2B-1AD9-4B57-BCAE-29F352EB9A0A}"/>
    <cellStyle name="Normal 11 5 2 8 2" xfId="16057" xr:uid="{64BD57FA-51CA-4004-8C25-421BE2645EC6}"/>
    <cellStyle name="Normal 11 5 2 8 2 2" xfId="32817" xr:uid="{ADE222DE-4947-4BB8-A76A-E24A9913DC41}"/>
    <cellStyle name="Normal 11 5 2 8 2 3" xfId="49576" xr:uid="{EB1A2556-1650-4DA0-B4E4-54182B2DC8B1}"/>
    <cellStyle name="Normal 11 5 2 8 3" xfId="24437" xr:uid="{DC1F7244-72D0-4711-935A-5D2A6916CACB}"/>
    <cellStyle name="Normal 11 5 2 8 4" xfId="41196" xr:uid="{3983E85E-9FF2-4D93-BB25-14073B725266}"/>
    <cellStyle name="Normal 11 5 2 9" xfId="8083" xr:uid="{C5040212-DDA1-4B16-84A0-5E43778AE93A}"/>
    <cellStyle name="Normal 11 5 2 9 2" xfId="16463" xr:uid="{753A9701-4C97-4E24-BF3F-A222E43D2E9F}"/>
    <cellStyle name="Normal 11 5 2 9 2 2" xfId="33223" xr:uid="{F0EFF5A7-899D-4D06-84F4-75EF2B64E9CC}"/>
    <cellStyle name="Normal 11 5 2 9 2 3" xfId="49982" xr:uid="{F00B6692-A9DF-41DD-A83A-70A8B24947A7}"/>
    <cellStyle name="Normal 11 5 2 9 3" xfId="24843" xr:uid="{B65CA2E3-2266-4EE4-83E9-208C1D294FF1}"/>
    <cellStyle name="Normal 11 5 2 9 4" xfId="41602" xr:uid="{2677CEBA-F824-4CB1-AB8D-F632564D5442}"/>
    <cellStyle name="Normal 11 5 3" xfId="516" xr:uid="{AA4372AB-1ADC-4A93-AF84-3985E3A01110}"/>
    <cellStyle name="Normal 11 5 3 10" xfId="8634" xr:uid="{C869EAFA-DCD1-48D6-BCEF-F32973A4EB10}"/>
    <cellStyle name="Normal 11 5 3 10 2" xfId="17014" xr:uid="{888CCE05-0A24-4C12-9827-5B90BCE2500C}"/>
    <cellStyle name="Normal 11 5 3 10 2 2" xfId="33774" xr:uid="{98C341D1-B670-4DF5-852A-280D08C8596C}"/>
    <cellStyle name="Normal 11 5 3 10 2 3" xfId="50533" xr:uid="{15AABF92-6AF3-425C-968D-42808F09ED6A}"/>
    <cellStyle name="Normal 11 5 3 10 3" xfId="25394" xr:uid="{2A5418F5-825F-4958-BB41-1A1F4B8E34D8}"/>
    <cellStyle name="Normal 11 5 3 10 4" xfId="42153" xr:uid="{6957C851-ED21-4BAA-A8A6-E7000DC2F555}"/>
    <cellStyle name="Normal 11 5 3 11" xfId="2348" xr:uid="{FF3E74C7-BEDA-4E48-8793-F39BB78E7767}"/>
    <cellStyle name="Normal 11 5 3 11 2" xfId="10730" xr:uid="{4F928109-74D3-482C-8915-600049897A75}"/>
    <cellStyle name="Normal 11 5 3 11 2 2" xfId="27490" xr:uid="{BD30D2C7-0252-4CEE-85E4-72C58C51B4E0}"/>
    <cellStyle name="Normal 11 5 3 11 2 3" xfId="44249" xr:uid="{07318605-1023-40EA-9C58-10C50355C27D}"/>
    <cellStyle name="Normal 11 5 3 11 3" xfId="19110" xr:uid="{742C77E5-25D3-4CCD-B991-3D8B181F8F4F}"/>
    <cellStyle name="Normal 11 5 3 11 4" xfId="35869" xr:uid="{7A51C684-E64B-4012-9CD4-FF552C089D5A}"/>
    <cellStyle name="Normal 11 5 3 12" xfId="8927" xr:uid="{CDC08351-91D7-4B59-87AF-B8789F410A6A}"/>
    <cellStyle name="Normal 11 5 3 12 2" xfId="25687" xr:uid="{8AE3FC41-B28D-4335-AF80-3F66F5CDA389}"/>
    <cellStyle name="Normal 11 5 3 12 3" xfId="42446" xr:uid="{903BB8C8-D70F-439A-8698-11E6CE818E8A}"/>
    <cellStyle name="Normal 11 5 3 13" xfId="17307" xr:uid="{FD1A4343-DA5F-43CB-BEC4-92FD52B6CD91}"/>
    <cellStyle name="Normal 11 5 3 14" xfId="34066" xr:uid="{4D7AB16A-8637-4096-BF30-C44195FA0A2A}"/>
    <cellStyle name="Normal 11 5 3 2" xfId="958" xr:uid="{275BB6A5-D4C4-41EB-9B2B-09355347B8DD}"/>
    <cellStyle name="Normal 11 5 3 2 2" xfId="4353" xr:uid="{BA680279-7E09-4E6E-81CF-ADD156381541}"/>
    <cellStyle name="Normal 11 5 3 2 2 2" xfId="12733" xr:uid="{4A54867D-C7B6-4C76-AA2E-40684AFC378E}"/>
    <cellStyle name="Normal 11 5 3 2 2 2 2" xfId="29493" xr:uid="{6DBCFFF0-0D06-4171-98A2-511D126E70B3}"/>
    <cellStyle name="Normal 11 5 3 2 2 2 3" xfId="46252" xr:uid="{5A405C09-244D-42CA-A16B-9F075A51FB38}"/>
    <cellStyle name="Normal 11 5 3 2 2 3" xfId="21113" xr:uid="{80DA9E48-A37B-49D4-9D25-7605D3EEA43B}"/>
    <cellStyle name="Normal 11 5 3 2 2 4" xfId="37872" xr:uid="{E37C58F3-2C79-461B-9D2E-942707550D23}"/>
    <cellStyle name="Normal 11 5 3 2 3" xfId="6040" xr:uid="{76203E14-9BDD-4684-848B-BEE32F05E31D}"/>
    <cellStyle name="Normal 11 5 3 2 3 2" xfId="14420" xr:uid="{084B62BF-95AA-408E-B36F-F47BB42D1D05}"/>
    <cellStyle name="Normal 11 5 3 2 3 2 2" xfId="31180" xr:uid="{5BAC0183-4264-4567-9C1C-38A972011AA7}"/>
    <cellStyle name="Normal 11 5 3 2 3 2 3" xfId="47939" xr:uid="{F367E4C4-3636-4789-8958-E783C5C29490}"/>
    <cellStyle name="Normal 11 5 3 2 3 3" xfId="22800" xr:uid="{441243DE-3348-4D16-BB96-67E41711E032}"/>
    <cellStyle name="Normal 11 5 3 2 3 4" xfId="39559" xr:uid="{F153BFD3-66ED-4BDB-8522-12A46ED43ADD}"/>
    <cellStyle name="Normal 11 5 3 2 4" xfId="2776" xr:uid="{2AD5448C-6E43-4355-B91E-EFF9CBFFC523}"/>
    <cellStyle name="Normal 11 5 3 2 4 2" xfId="11156" xr:uid="{6BC2BBB9-2778-4DBC-AEB8-652726B9C78C}"/>
    <cellStyle name="Normal 11 5 3 2 4 2 2" xfId="27916" xr:uid="{2A952E7D-EFC7-4917-91B1-CE14DA34ADA6}"/>
    <cellStyle name="Normal 11 5 3 2 4 2 3" xfId="44675" xr:uid="{1C245A21-B88A-4198-941B-7CACD7C190B9}"/>
    <cellStyle name="Normal 11 5 3 2 4 3" xfId="19536" xr:uid="{5E8DC3DE-0C42-4BFE-99A0-75E394CA523F}"/>
    <cellStyle name="Normal 11 5 3 2 4 4" xfId="36295" xr:uid="{E459C1AA-6D02-4A08-858F-8FE6DDA30262}"/>
    <cellStyle name="Normal 11 5 3 2 5" xfId="9353" xr:uid="{845615A3-A146-476B-A2DF-1AEE30E9560F}"/>
    <cellStyle name="Normal 11 5 3 2 5 2" xfId="26113" xr:uid="{FC288186-8F59-4E92-983E-9491C8F7C780}"/>
    <cellStyle name="Normal 11 5 3 2 5 3" xfId="42872" xr:uid="{1294776C-ABE8-423C-8B54-7F868376B346}"/>
    <cellStyle name="Normal 11 5 3 2 6" xfId="17733" xr:uid="{C83358D1-C5A6-4624-BB2F-FF7B6D10851E}"/>
    <cellStyle name="Normal 11 5 3 2 7" xfId="34492" xr:uid="{1033475D-7ADB-436E-9876-24D84D6FD342}"/>
    <cellStyle name="Normal 11 5 3 3" xfId="1392" xr:uid="{338EEDC4-0BA3-4ADD-85D6-3086999D19B8}"/>
    <cellStyle name="Normal 11 5 3 3 2" xfId="4781" xr:uid="{0B6C756C-1B91-4EE2-9550-6D48630604C5}"/>
    <cellStyle name="Normal 11 5 3 3 2 2" xfId="13161" xr:uid="{79CF2E82-651C-43BF-A466-A44A965D62F7}"/>
    <cellStyle name="Normal 11 5 3 3 2 2 2" xfId="29921" xr:uid="{B63BC40D-29F2-47FB-AC47-9DD36180EF82}"/>
    <cellStyle name="Normal 11 5 3 3 2 2 3" xfId="46680" xr:uid="{7598E3D7-8EB5-489A-A5CA-10C7E86CFEB8}"/>
    <cellStyle name="Normal 11 5 3 3 2 3" xfId="21541" xr:uid="{D8F3618D-580B-481C-A94D-C3FEE26E4D39}"/>
    <cellStyle name="Normal 11 5 3 3 2 4" xfId="38300" xr:uid="{171C2020-29A1-4434-A14E-DEF21A55B0D5}"/>
    <cellStyle name="Normal 11 5 3 3 3" xfId="6468" xr:uid="{4DF81E81-BD73-4396-8C5D-10D1072F1B96}"/>
    <cellStyle name="Normal 11 5 3 3 3 2" xfId="14848" xr:uid="{E047B566-7541-4EC2-B02D-BC2D2751CE74}"/>
    <cellStyle name="Normal 11 5 3 3 3 2 2" xfId="31608" xr:uid="{7EA9D3A2-34BD-4B85-A4E4-B7899D3793CB}"/>
    <cellStyle name="Normal 11 5 3 3 3 2 3" xfId="48367" xr:uid="{23DBCD4E-9A39-4F64-A8E9-B5403D2A0CEC}"/>
    <cellStyle name="Normal 11 5 3 3 3 3" xfId="23228" xr:uid="{5D1392A2-CCDB-4F91-8671-95D25B88A854}"/>
    <cellStyle name="Normal 11 5 3 3 3 4" xfId="39987" xr:uid="{2AE7DCD5-4555-4FAC-AAE7-73325DA89033}"/>
    <cellStyle name="Normal 11 5 3 3 4" xfId="3204" xr:uid="{FAF8DBEB-4BCE-4AFE-9642-D4FA5ACDBAB6}"/>
    <cellStyle name="Normal 11 5 3 3 4 2" xfId="11584" xr:uid="{61D6AC31-CD46-4CF1-AFB3-24DC33F0E877}"/>
    <cellStyle name="Normal 11 5 3 3 4 2 2" xfId="28344" xr:uid="{FBB735AB-EDFE-41DF-B638-0EC86F89E7D0}"/>
    <cellStyle name="Normal 11 5 3 3 4 2 3" xfId="45103" xr:uid="{D5C05854-11FD-473E-8EC8-7084357EBD1E}"/>
    <cellStyle name="Normal 11 5 3 3 4 3" xfId="19964" xr:uid="{6A6E8BF1-DB19-4096-BA59-F267E415E392}"/>
    <cellStyle name="Normal 11 5 3 3 4 4" xfId="36723" xr:uid="{77D3B4D2-ACC8-4463-877B-58001319122A}"/>
    <cellStyle name="Normal 11 5 3 3 5" xfId="9781" xr:uid="{C49B2FD0-84EC-4189-BD08-F2A2D73DC87F}"/>
    <cellStyle name="Normal 11 5 3 3 5 2" xfId="26541" xr:uid="{4EE60831-E983-44D1-8E27-568C88670CA3}"/>
    <cellStyle name="Normal 11 5 3 3 5 3" xfId="43300" xr:uid="{6C1837C2-E48D-4068-A00F-3BA82429084A}"/>
    <cellStyle name="Normal 11 5 3 3 6" xfId="18161" xr:uid="{C397C6DA-473A-4AB5-9BFC-097D5677A85D}"/>
    <cellStyle name="Normal 11 5 3 3 7" xfId="34920" xr:uid="{9B4A7A2D-DE2C-43D0-80EB-9611962D4612}"/>
    <cellStyle name="Normal 11 5 3 4" xfId="1934" xr:uid="{00A4C8CA-832F-4050-A101-58E3E748033C}"/>
    <cellStyle name="Normal 11 5 3 4 2" xfId="5323" xr:uid="{120FA724-9CBD-4331-A1CA-532938A3CC93}"/>
    <cellStyle name="Normal 11 5 3 4 2 2" xfId="13703" xr:uid="{06360E31-F7A2-4318-A452-7BA4DFD22815}"/>
    <cellStyle name="Normal 11 5 3 4 2 2 2" xfId="30463" xr:uid="{DA1601A7-5F81-4FFE-8953-814FC687BE38}"/>
    <cellStyle name="Normal 11 5 3 4 2 2 3" xfId="47222" xr:uid="{EE4C71EE-7BD9-43B4-8F60-AAA66355A022}"/>
    <cellStyle name="Normal 11 5 3 4 2 3" xfId="22083" xr:uid="{CDC717AE-6ECD-4C23-9186-1FBE81844479}"/>
    <cellStyle name="Normal 11 5 3 4 2 4" xfId="38842" xr:uid="{04B6D34D-E436-4762-9BE7-F131FC216711}"/>
    <cellStyle name="Normal 11 5 3 4 3" xfId="7010" xr:uid="{BC3D6D04-EF10-4BE7-A5F9-ED05F0D56C97}"/>
    <cellStyle name="Normal 11 5 3 4 3 2" xfId="15390" xr:uid="{9C1E2647-FC1E-4DB5-AFAC-B4BB9777D04D}"/>
    <cellStyle name="Normal 11 5 3 4 3 2 2" xfId="32150" xr:uid="{291B831C-A380-42BD-A808-886E8DB705FC}"/>
    <cellStyle name="Normal 11 5 3 4 3 2 3" xfId="48909" xr:uid="{EB8E1320-8B62-4BE4-813C-FEA9BA448BF2}"/>
    <cellStyle name="Normal 11 5 3 4 3 3" xfId="23770" xr:uid="{9B1C9A8B-7C2D-427C-A754-205CE21597D1}"/>
    <cellStyle name="Normal 11 5 3 4 3 4" xfId="40529" xr:uid="{E7231286-AEB0-4764-8FBC-AD20FD1E59B7}"/>
    <cellStyle name="Normal 11 5 3 4 4" xfId="3633" xr:uid="{7FB335A4-1A2B-436F-897E-66A18B2A02C4}"/>
    <cellStyle name="Normal 11 5 3 4 4 2" xfId="12013" xr:uid="{E1A14E65-791E-41DA-AFB8-272AAC8874FB}"/>
    <cellStyle name="Normal 11 5 3 4 4 2 2" xfId="28773" xr:uid="{E6E234DF-AF66-48EE-8A3C-468ABA39BEC6}"/>
    <cellStyle name="Normal 11 5 3 4 4 2 3" xfId="45532" xr:uid="{69D049AC-635B-40BE-B1F3-2BE285999435}"/>
    <cellStyle name="Normal 11 5 3 4 4 3" xfId="20393" xr:uid="{12638474-251E-4987-B9EE-E3E801370969}"/>
    <cellStyle name="Normal 11 5 3 4 4 4" xfId="37152" xr:uid="{BF7DFE67-6414-4259-9735-276C133C0E28}"/>
    <cellStyle name="Normal 11 5 3 4 5" xfId="10323" xr:uid="{2229FDC1-84A3-4ABF-86A4-00892B19955D}"/>
    <cellStyle name="Normal 11 5 3 4 5 2" xfId="27083" xr:uid="{7F67040E-1F0C-4027-B940-BE462228F898}"/>
    <cellStyle name="Normal 11 5 3 4 5 3" xfId="43842" xr:uid="{8BE4C12D-1A8C-42FC-B808-484FFB4C25B3}"/>
    <cellStyle name="Normal 11 5 3 4 6" xfId="18703" xr:uid="{613F761B-2A8D-44BF-B5E9-01FE23D0F666}"/>
    <cellStyle name="Normal 11 5 3 4 7" xfId="35462" xr:uid="{F0A3450C-166B-43DD-9D5E-B2AC11D36902}"/>
    <cellStyle name="Normal 11 5 3 5" xfId="4053" xr:uid="{542B532E-2A7A-4094-963A-3A8D360871D8}"/>
    <cellStyle name="Normal 11 5 3 5 2" xfId="12433" xr:uid="{3250EEF6-D861-41C3-A044-EA8BFC09280B}"/>
    <cellStyle name="Normal 11 5 3 5 2 2" xfId="29193" xr:uid="{3C17D8F1-07B7-430E-82A2-85D75C0B8BD5}"/>
    <cellStyle name="Normal 11 5 3 5 2 3" xfId="45952" xr:uid="{BA7BFDEC-A2D9-4487-B9C0-B630A66EFBCB}"/>
    <cellStyle name="Normal 11 5 3 5 3" xfId="20813" xr:uid="{0EC9D0DD-A2D3-4B31-A106-72D3334CB6EA}"/>
    <cellStyle name="Normal 11 5 3 5 4" xfId="37572" xr:uid="{8DF3D04F-6E7C-40CE-859C-7076016B5317}"/>
    <cellStyle name="Normal 11 5 3 6" xfId="5614" xr:uid="{A17649A6-EBE8-4821-8919-94CBB0817867}"/>
    <cellStyle name="Normal 11 5 3 6 2" xfId="13994" xr:uid="{AF70C6FD-A558-4441-B587-6244CBC3A8A3}"/>
    <cellStyle name="Normal 11 5 3 6 2 2" xfId="30754" xr:uid="{95FD324B-A6B0-4DE0-8D42-3D13E8CAA5EA}"/>
    <cellStyle name="Normal 11 5 3 6 2 3" xfId="47513" xr:uid="{F52649D1-30E6-4017-AE0F-84BC1464622B}"/>
    <cellStyle name="Normal 11 5 3 6 3" xfId="22374" xr:uid="{4038E60E-37BE-445E-8397-B138A8D097E9}"/>
    <cellStyle name="Normal 11 5 3 6 4" xfId="39133" xr:uid="{DB06F967-7EEF-4023-94F8-0723534020BA}"/>
    <cellStyle name="Normal 11 5 3 7" xfId="7416" xr:uid="{263313B3-1284-4FC1-ACCF-37D738D5D2A1}"/>
    <cellStyle name="Normal 11 5 3 7 2" xfId="15796" xr:uid="{9697B885-133C-4FE1-968E-8D63F5C9724F}"/>
    <cellStyle name="Normal 11 5 3 7 2 2" xfId="32556" xr:uid="{73F4BB37-7362-4424-B41A-09B627CFD4A7}"/>
    <cellStyle name="Normal 11 5 3 7 2 3" xfId="49315" xr:uid="{C5A8BDAD-6658-4627-976A-63EB8AC3FA44}"/>
    <cellStyle name="Normal 11 5 3 7 3" xfId="24176" xr:uid="{0321D9B2-0176-46B2-B4A3-EA5E3A427115}"/>
    <cellStyle name="Normal 11 5 3 7 4" xfId="40935" xr:uid="{ADC05589-1187-406D-9E95-ACE3007EE4B8}"/>
    <cellStyle name="Normal 11 5 3 8" xfId="7822" xr:uid="{40CCFAB8-308F-4D9B-AC9D-FC571C564298}"/>
    <cellStyle name="Normal 11 5 3 8 2" xfId="16202" xr:uid="{D4285ECA-0E7C-40EA-9567-F11CDD7512BB}"/>
    <cellStyle name="Normal 11 5 3 8 2 2" xfId="32962" xr:uid="{10EC3C98-57BC-4645-8DAB-76C6B4A62D34}"/>
    <cellStyle name="Normal 11 5 3 8 2 3" xfId="49721" xr:uid="{66057409-F159-42A9-9127-1734DFE52FA5}"/>
    <cellStyle name="Normal 11 5 3 8 3" xfId="24582" xr:uid="{00B538A2-3475-408E-A3CA-0F43FEB2589D}"/>
    <cellStyle name="Normal 11 5 3 8 4" xfId="41341" xr:uid="{23FBF0EF-196E-4761-92C7-6F4CED75C06F}"/>
    <cellStyle name="Normal 11 5 3 9" xfId="8228" xr:uid="{149B1EE1-6B69-4127-AE11-C1B397D06B2A}"/>
    <cellStyle name="Normal 11 5 3 9 2" xfId="16608" xr:uid="{16FC03D7-F4CC-4806-9534-DAB65CE5707F}"/>
    <cellStyle name="Normal 11 5 3 9 2 2" xfId="33368" xr:uid="{0E3F17B7-ABF6-4BE9-B8AA-8E9B7B732D89}"/>
    <cellStyle name="Normal 11 5 3 9 2 3" xfId="50127" xr:uid="{6ED9FA49-CDAF-4F7A-BB0A-0F4164030DED}"/>
    <cellStyle name="Normal 11 5 3 9 3" xfId="24988" xr:uid="{FA860A4E-F490-41B9-9C26-62BF368CD336}"/>
    <cellStyle name="Normal 11 5 3 9 4" xfId="41747" xr:uid="{D3CB7292-6DEE-4E5F-A255-5D611279AD2D}"/>
    <cellStyle name="Normal 11 5 4" xfId="835" xr:uid="{54D821BF-8B29-446F-8F42-6BC1BF9D54A7}"/>
    <cellStyle name="Normal 11 5 4 2" xfId="4230" xr:uid="{544D084D-7EC7-43B9-8B38-09B6113CB646}"/>
    <cellStyle name="Normal 11 5 4 2 2" xfId="12610" xr:uid="{7AF745B4-291F-4380-B6AE-74BB24774F96}"/>
    <cellStyle name="Normal 11 5 4 2 2 2" xfId="29370" xr:uid="{DBC08E6D-9C9E-46BF-9014-CCE6DDE45516}"/>
    <cellStyle name="Normal 11 5 4 2 2 3" xfId="46129" xr:uid="{C40C8069-D185-4CB2-8894-7BB9E131BE91}"/>
    <cellStyle name="Normal 11 5 4 2 3" xfId="20990" xr:uid="{FA8F634B-5FF7-4C56-8E4F-9046AE1891AE}"/>
    <cellStyle name="Normal 11 5 4 2 4" xfId="37749" xr:uid="{71CC59D5-A45C-4191-8017-A961E6DB6893}"/>
    <cellStyle name="Normal 11 5 4 3" xfId="5917" xr:uid="{A5962BF2-0E42-41BE-BC61-0E92C2CB1103}"/>
    <cellStyle name="Normal 11 5 4 3 2" xfId="14297" xr:uid="{697040CA-15AC-4ADB-9445-C4501DEE96FC}"/>
    <cellStyle name="Normal 11 5 4 3 2 2" xfId="31057" xr:uid="{C6A0B7F9-EFD6-4C8D-92E6-AEB883253CCC}"/>
    <cellStyle name="Normal 11 5 4 3 2 3" xfId="47816" xr:uid="{D6E95D84-2198-4C42-BFE7-76A3BC9DFA8F}"/>
    <cellStyle name="Normal 11 5 4 3 3" xfId="22677" xr:uid="{22DF51B7-B2BA-4C1C-920E-30FBD2BD1A37}"/>
    <cellStyle name="Normal 11 5 4 3 4" xfId="39436" xr:uid="{FD2EC7D3-07F8-4098-BC32-A35F463CC83A}"/>
    <cellStyle name="Normal 11 5 4 4" xfId="2653" xr:uid="{DB7894CF-F944-4479-9367-1355E4D94171}"/>
    <cellStyle name="Normal 11 5 4 4 2" xfId="11033" xr:uid="{A473F907-3366-43E8-BD59-DD1A410949FD}"/>
    <cellStyle name="Normal 11 5 4 4 2 2" xfId="27793" xr:uid="{48E6B85A-B75A-4282-8503-7C1B68F11DBB}"/>
    <cellStyle name="Normal 11 5 4 4 2 3" xfId="44552" xr:uid="{5FAFAE0E-9F61-41DC-BD45-328FC48DF946}"/>
    <cellStyle name="Normal 11 5 4 4 3" xfId="19413" xr:uid="{3A43C95A-B55F-474A-80E5-9585F283D2BA}"/>
    <cellStyle name="Normal 11 5 4 4 4" xfId="36172" xr:uid="{1FD435B3-9BCA-4770-8F53-8DF6C9E634EE}"/>
    <cellStyle name="Normal 11 5 4 5" xfId="9230" xr:uid="{262FAA86-E304-40C4-AE1A-D552E66A61F2}"/>
    <cellStyle name="Normal 11 5 4 5 2" xfId="25990" xr:uid="{B52396F6-782C-43BF-96DB-F90CA0EFA0E0}"/>
    <cellStyle name="Normal 11 5 4 5 3" xfId="42749" xr:uid="{6D6F36C2-8C00-4880-A0E2-2E02C5AAD13E}"/>
    <cellStyle name="Normal 11 5 4 6" xfId="17610" xr:uid="{7EBF55ED-B427-4418-B57A-C96379BFAF06}"/>
    <cellStyle name="Normal 11 5 4 7" xfId="34369" xr:uid="{427481EB-D4DF-41D0-9EE2-CE8652660A97}"/>
    <cellStyle name="Normal 11 5 5" xfId="1269" xr:uid="{B2CBDA14-DFDC-4A9F-BDCE-C891048D518D}"/>
    <cellStyle name="Normal 11 5 5 2" xfId="4658" xr:uid="{81E1606C-069F-4356-ADBA-8092157ED97C}"/>
    <cellStyle name="Normal 11 5 5 2 2" xfId="13038" xr:uid="{CA1EC5DD-753E-4393-9C37-40B212BDADC4}"/>
    <cellStyle name="Normal 11 5 5 2 2 2" xfId="29798" xr:uid="{A028D05F-EAD0-49E3-9723-A62D16C4E186}"/>
    <cellStyle name="Normal 11 5 5 2 2 3" xfId="46557" xr:uid="{6EF7107A-1417-4F64-919D-9E498F9601B0}"/>
    <cellStyle name="Normal 11 5 5 2 3" xfId="21418" xr:uid="{0DAFB845-A6F2-45C4-B23E-13E17843A060}"/>
    <cellStyle name="Normal 11 5 5 2 4" xfId="38177" xr:uid="{37E41674-F25C-4C62-B815-0C605E431C1C}"/>
    <cellStyle name="Normal 11 5 5 3" xfId="6345" xr:uid="{3A1188BC-54A0-4FDC-BC94-8808F4EEEEC3}"/>
    <cellStyle name="Normal 11 5 5 3 2" xfId="14725" xr:uid="{73A497E5-53AC-4017-AF72-CC738F4F62E6}"/>
    <cellStyle name="Normal 11 5 5 3 2 2" xfId="31485" xr:uid="{6953601A-7D02-4845-939D-717E79EAB1D9}"/>
    <cellStyle name="Normal 11 5 5 3 2 3" xfId="48244" xr:uid="{93279180-67D9-4BD6-AF11-1ABFB07EEB79}"/>
    <cellStyle name="Normal 11 5 5 3 3" xfId="23105" xr:uid="{ABEFF8D0-D9E0-45B9-AF9C-EDC0A60ED405}"/>
    <cellStyle name="Normal 11 5 5 3 4" xfId="39864" xr:uid="{AF929F80-6556-444A-96EB-3B839BB17D4F}"/>
    <cellStyle name="Normal 11 5 5 4" xfId="3081" xr:uid="{560DEC0E-2E31-48A8-A508-02E7895A507D}"/>
    <cellStyle name="Normal 11 5 5 4 2" xfId="11461" xr:uid="{84AB4DB5-BC77-47A3-A18C-22B2DFD674B1}"/>
    <cellStyle name="Normal 11 5 5 4 2 2" xfId="28221" xr:uid="{2AE8BF99-1C99-44C9-8D25-FEFD8EB476E3}"/>
    <cellStyle name="Normal 11 5 5 4 2 3" xfId="44980" xr:uid="{1C9AA1E2-2E94-4AF8-A878-DFF15D7DCD16}"/>
    <cellStyle name="Normal 11 5 5 4 3" xfId="19841" xr:uid="{E2ABA511-A946-4B97-8E28-50E6C157AF13}"/>
    <cellStyle name="Normal 11 5 5 4 4" xfId="36600" xr:uid="{C5503208-0B8E-4A6C-8D3C-11774635CC68}"/>
    <cellStyle name="Normal 11 5 5 5" xfId="9658" xr:uid="{D875A62A-BE69-42DE-BBCD-1C0A13982B63}"/>
    <cellStyle name="Normal 11 5 5 5 2" xfId="26418" xr:uid="{F75F03ED-3009-4EA7-81D4-1DADF1144AFF}"/>
    <cellStyle name="Normal 11 5 5 5 3" xfId="43177" xr:uid="{CC9EFF43-16A9-49A4-A1CF-C440D1E8FD96}"/>
    <cellStyle name="Normal 11 5 5 6" xfId="18038" xr:uid="{9A95A0E8-909C-4607-8EBA-B974EE00B12E}"/>
    <cellStyle name="Normal 11 5 5 7" xfId="34797" xr:uid="{81DB8C5B-B032-404E-B9FC-C5AAEC634E3D}"/>
    <cellStyle name="Normal 11 5 6" xfId="1663" xr:uid="{B4703538-AE30-4446-9196-D1755FC28A9A}"/>
    <cellStyle name="Normal 11 5 6 2" xfId="5052" xr:uid="{EE00738E-0804-44D9-84EE-B3EDDB8A434C}"/>
    <cellStyle name="Normal 11 5 6 2 2" xfId="13432" xr:uid="{F981120C-95FA-414E-904D-18D72964E233}"/>
    <cellStyle name="Normal 11 5 6 2 2 2" xfId="30192" xr:uid="{842F5A19-5F2D-47CC-9DCE-33C9A541B70A}"/>
    <cellStyle name="Normal 11 5 6 2 2 3" xfId="46951" xr:uid="{134ACD85-60F4-4598-AF7A-6197C2547C23}"/>
    <cellStyle name="Normal 11 5 6 2 3" xfId="21812" xr:uid="{36AFA278-F586-4D56-950E-EC868542803A}"/>
    <cellStyle name="Normal 11 5 6 2 4" xfId="38571" xr:uid="{F4AFEBE1-FD17-4BB5-A009-D88B03DAF893}"/>
    <cellStyle name="Normal 11 5 6 3" xfId="6739" xr:uid="{ACA0FBEB-A13C-4CBC-B1A6-A5DD6D07C469}"/>
    <cellStyle name="Normal 11 5 6 3 2" xfId="15119" xr:uid="{A8A5A53D-FC6E-4F32-839B-1520CC0890EA}"/>
    <cellStyle name="Normal 11 5 6 3 2 2" xfId="31879" xr:uid="{D6AA4B3D-456B-48F5-8DEE-627FDDF13745}"/>
    <cellStyle name="Normal 11 5 6 3 2 3" xfId="48638" xr:uid="{C80D096F-654C-4E19-82DE-0D2E373D6F78}"/>
    <cellStyle name="Normal 11 5 6 3 3" xfId="23499" xr:uid="{18E5BCE7-01B1-4448-A8DD-DDCF92157D54}"/>
    <cellStyle name="Normal 11 5 6 3 4" xfId="40258" xr:uid="{626C40E2-456B-47C2-87D6-F19E6142C5EE}"/>
    <cellStyle name="Normal 11 5 6 4" xfId="2223" xr:uid="{026835B4-8739-41D7-84F7-6D124260C0CB}"/>
    <cellStyle name="Normal 11 5 6 4 2" xfId="10607" xr:uid="{A1EF7002-786B-42C0-95AD-1960ABB5540C}"/>
    <cellStyle name="Normal 11 5 6 4 2 2" xfId="27367" xr:uid="{13E87848-A810-424F-8079-2CB0C48A6336}"/>
    <cellStyle name="Normal 11 5 6 4 2 3" xfId="44126" xr:uid="{C25F1790-1C8A-46BC-AB36-3D51CA28F43F}"/>
    <cellStyle name="Normal 11 5 6 4 3" xfId="18987" xr:uid="{4267D6A5-ACC4-4C1A-A6D0-56119E1EB03F}"/>
    <cellStyle name="Normal 11 5 6 4 4" xfId="35746" xr:uid="{6A3C9D5C-61FD-4ABD-B6D1-78AA636B4CAF}"/>
    <cellStyle name="Normal 11 5 6 5" xfId="10052" xr:uid="{B03A4E59-A981-40E6-BC79-1C420ABB0EC0}"/>
    <cellStyle name="Normal 11 5 6 5 2" xfId="26812" xr:uid="{4DD14A8D-FAC0-4538-ABD3-A36ACAAB05D6}"/>
    <cellStyle name="Normal 11 5 6 5 3" xfId="43571" xr:uid="{8B608979-4F23-41F8-B44C-09D91C0125FD}"/>
    <cellStyle name="Normal 11 5 6 6" xfId="18432" xr:uid="{395A83A5-8BDC-49FE-9F50-FDBA768921FA}"/>
    <cellStyle name="Normal 11 5 6 7" xfId="35191" xr:uid="{9A975EE6-A17E-4499-9B3D-E24E6CF72902}"/>
    <cellStyle name="Normal 11 5 7" xfId="3781" xr:uid="{83DE64D6-960E-48AD-A702-121CF22CB070}"/>
    <cellStyle name="Normal 11 5 7 2" xfId="12161" xr:uid="{3B741768-FA7D-4383-97C2-3BBA6D3EFBAD}"/>
    <cellStyle name="Normal 11 5 7 2 2" xfId="28921" xr:uid="{AC96F5FC-760C-4131-9D77-1C84BD0F98C8}"/>
    <cellStyle name="Normal 11 5 7 2 3" xfId="45680" xr:uid="{C3C72D83-ADDF-425C-A755-CBBE2CEB6827}"/>
    <cellStyle name="Normal 11 5 7 3" xfId="20541" xr:uid="{6ED5D2A5-0351-4920-A65F-AF7B44BA71CA}"/>
    <cellStyle name="Normal 11 5 7 4" xfId="37300" xr:uid="{7FC93BC6-0BD0-486B-A6F4-54524EBFD723}"/>
    <cellStyle name="Normal 11 5 8" xfId="5491" xr:uid="{7B9F0F3F-B7CB-4531-A4CF-BC38A658AF3A}"/>
    <cellStyle name="Normal 11 5 8 2" xfId="13871" xr:uid="{24B6067D-66D2-4B1D-B455-A2670F5FC567}"/>
    <cellStyle name="Normal 11 5 8 2 2" xfId="30631" xr:uid="{CC87D4B4-DB64-4DF0-9476-5AD3D58AFD66}"/>
    <cellStyle name="Normal 11 5 8 2 3" xfId="47390" xr:uid="{7F9C5204-1195-4711-91EC-7D6170A70C39}"/>
    <cellStyle name="Normal 11 5 8 3" xfId="22251" xr:uid="{88EF2D23-6EAF-4E84-858C-FB6E4CC700B2}"/>
    <cellStyle name="Normal 11 5 8 4" xfId="39010" xr:uid="{EC3FD589-A8BD-4260-865A-1B42B320B570}"/>
    <cellStyle name="Normal 11 5 9" xfId="7145" xr:uid="{609932EA-7E5D-4BAE-BB20-8F53CBD43184}"/>
    <cellStyle name="Normal 11 5 9 2" xfId="15525" xr:uid="{0B45E93E-D865-43CC-9887-4BB2EFA65CEB}"/>
    <cellStyle name="Normal 11 5 9 2 2" xfId="32285" xr:uid="{E736CF2D-3B3B-4DD8-82E8-6F8B9BABF5A4}"/>
    <cellStyle name="Normal 11 5 9 2 3" xfId="49044" xr:uid="{28E9004A-476D-48A7-812A-174AACC38A85}"/>
    <cellStyle name="Normal 11 5 9 3" xfId="23905" xr:uid="{A3604892-6388-4450-803E-F6E3FA6126F3}"/>
    <cellStyle name="Normal 11 5 9 4" xfId="40664" xr:uid="{9985EF03-C21E-47AA-80D1-56D7D3A783A5}"/>
    <cellStyle name="Normal 11 6" xfId="517" xr:uid="{F59823BF-798C-4EE6-B9A0-C3A1EDC217EB}"/>
    <cellStyle name="Normal 11 6 10" xfId="7625" xr:uid="{5FC3E673-A23A-4427-AB9E-B38DEAF1757F}"/>
    <cellStyle name="Normal 11 6 10 2" xfId="16005" xr:uid="{8A69C0BD-89F1-480F-83A6-18EBA3D74C4E}"/>
    <cellStyle name="Normal 11 6 10 2 2" xfId="32765" xr:uid="{CAEC2AE9-A8E9-4DF1-BB9E-63E53F55D484}"/>
    <cellStyle name="Normal 11 6 10 2 3" xfId="49524" xr:uid="{ED42B03C-6C30-4A53-9E23-3FEF32C5580F}"/>
    <cellStyle name="Normal 11 6 10 3" xfId="24385" xr:uid="{08DA7ED5-0935-4147-9237-313936DC5446}"/>
    <cellStyle name="Normal 11 6 10 4" xfId="41144" xr:uid="{484931A8-40A7-42AE-8B61-B12B91C99C20}"/>
    <cellStyle name="Normal 11 6 11" xfId="8031" xr:uid="{16BDD72A-1000-4E82-BB43-F94D204D81D4}"/>
    <cellStyle name="Normal 11 6 11 2" xfId="16411" xr:uid="{2281D6E7-491C-4B05-AB01-BF4436FDD18D}"/>
    <cellStyle name="Normal 11 6 11 2 2" xfId="33171" xr:uid="{8F4C85E6-380B-4081-B998-397B58578CE6}"/>
    <cellStyle name="Normal 11 6 11 2 3" xfId="49930" xr:uid="{ABBE5CF9-DEA5-433F-B9C7-219D25B186BC}"/>
    <cellStyle name="Normal 11 6 11 3" xfId="24791" xr:uid="{4B11D961-D62E-4DDB-BC84-6352975CC21E}"/>
    <cellStyle name="Normal 11 6 11 4" xfId="41550" xr:uid="{4A7B3D26-D961-48AC-A3A7-6B7A15FE9001}"/>
    <cellStyle name="Normal 11 6 12" xfId="8437" xr:uid="{94474BF8-F707-44A2-B024-89FE65EB2AAF}"/>
    <cellStyle name="Normal 11 6 12 2" xfId="16817" xr:uid="{C7DDEE78-529B-49B4-AE16-EA8164400080}"/>
    <cellStyle name="Normal 11 6 12 2 2" xfId="33577" xr:uid="{621E104E-258C-4E3E-8E6F-A74ED14BDCE2}"/>
    <cellStyle name="Normal 11 6 12 2 3" xfId="50336" xr:uid="{EDA29AC0-B958-43E7-8505-03DC8E5F0F39}"/>
    <cellStyle name="Normal 11 6 12 3" xfId="25197" xr:uid="{7FD96CE4-AB5F-4A30-B4DE-CE90A2A825E9}"/>
    <cellStyle name="Normal 11 6 12 4" xfId="41956" xr:uid="{D9F95D8D-7BC1-438F-A190-57045A6D0F7D}"/>
    <cellStyle name="Normal 11 6 13" xfId="2124" xr:uid="{9D5D160B-4481-4442-BA9F-29F112960099}"/>
    <cellStyle name="Normal 11 6 13 2" xfId="10512" xr:uid="{9F79AB86-C441-43B7-9305-5A747FC6C6BA}"/>
    <cellStyle name="Normal 11 6 13 2 2" xfId="27272" xr:uid="{9C6CFC38-A272-4755-9AAB-E9B51D87D510}"/>
    <cellStyle name="Normal 11 6 13 2 3" xfId="44031" xr:uid="{CDC7415B-2CA9-454E-9CFC-040EE4154FC8}"/>
    <cellStyle name="Normal 11 6 13 3" xfId="18892" xr:uid="{7FCC9606-CB2B-4AF7-A7FD-5BF8BF3CB1B5}"/>
    <cellStyle name="Normal 11 6 13 4" xfId="35651" xr:uid="{2C28BF63-8C9F-4766-B220-BF7138EA9080}"/>
    <cellStyle name="Normal 11 6 14" xfId="8928" xr:uid="{5BBE4C0F-7BE5-426E-BA83-DCAB2471C76D}"/>
    <cellStyle name="Normal 11 6 14 2" xfId="25688" xr:uid="{AA177C2A-F4E9-4315-A900-36BA3CC1B4D5}"/>
    <cellStyle name="Normal 11 6 14 3" xfId="42447" xr:uid="{5C6CA34E-1C67-4872-8CA3-F1AE08EF5BF6}"/>
    <cellStyle name="Normal 11 6 15" xfId="17308" xr:uid="{E7DFB04D-E802-4283-9A30-150B65339957}"/>
    <cellStyle name="Normal 11 6 16" xfId="34067" xr:uid="{0ED8F79F-C3F3-498C-A2DC-E7F13C28C961}"/>
    <cellStyle name="Normal 11 6 2" xfId="518" xr:uid="{29D6695F-6A95-4605-8DCE-B8730E71430C}"/>
    <cellStyle name="Normal 11 6 2 10" xfId="8490" xr:uid="{FEF306AB-784E-4016-897F-5FACA75219C2}"/>
    <cellStyle name="Normal 11 6 2 10 2" xfId="16870" xr:uid="{70992F10-A6A3-40F9-A2A5-151F95934A4F}"/>
    <cellStyle name="Normal 11 6 2 10 2 2" xfId="33630" xr:uid="{2F6688FF-59DB-4891-ABA0-3C54AC92A2B8}"/>
    <cellStyle name="Normal 11 6 2 10 2 3" xfId="50389" xr:uid="{EF7C4967-5EBE-4622-874A-EB3BEBEFAF3B}"/>
    <cellStyle name="Normal 11 6 2 10 3" xfId="25250" xr:uid="{E549D408-64B5-45BA-9F47-DEB611F2B6AB}"/>
    <cellStyle name="Normal 11 6 2 10 4" xfId="42009" xr:uid="{B1091CFE-3E9C-42BD-8029-05B408828CDD}"/>
    <cellStyle name="Normal 11 6 2 11" xfId="2350" xr:uid="{65B29229-1705-4F46-9AB5-EF711601E2B0}"/>
    <cellStyle name="Normal 11 6 2 11 2" xfId="10732" xr:uid="{D8AA1F36-00CD-4C48-B68E-5AC924F61ADC}"/>
    <cellStyle name="Normal 11 6 2 11 2 2" xfId="27492" xr:uid="{76F98CA2-B30B-4376-9950-901F16014FB1}"/>
    <cellStyle name="Normal 11 6 2 11 2 3" xfId="44251" xr:uid="{AB8F8694-BFD5-4F6C-A483-C3838362C07E}"/>
    <cellStyle name="Normal 11 6 2 11 3" xfId="19112" xr:uid="{61DC32A4-7CD1-4F2C-B0A2-6E529FC95DA2}"/>
    <cellStyle name="Normal 11 6 2 11 4" xfId="35871" xr:uid="{A370855F-C1D2-42C6-AFAC-8E58B5DECE93}"/>
    <cellStyle name="Normal 11 6 2 12" xfId="8929" xr:uid="{CD3B59DC-71CF-40C5-BDCF-D3358FA880A9}"/>
    <cellStyle name="Normal 11 6 2 12 2" xfId="25689" xr:uid="{5606F4AB-6911-4C17-9032-AB981EE25818}"/>
    <cellStyle name="Normal 11 6 2 12 3" xfId="42448" xr:uid="{9A3E40F4-EC92-425B-AD13-EF74AF2B8360}"/>
    <cellStyle name="Normal 11 6 2 13" xfId="17309" xr:uid="{555FC3F0-FCBA-4A2B-AA7D-B4E8E70F8F5E}"/>
    <cellStyle name="Normal 11 6 2 14" xfId="34068" xr:uid="{590694B5-4FBD-4433-8A43-3C0D17458745}"/>
    <cellStyle name="Normal 11 6 2 2" xfId="960" xr:uid="{8139B1C5-956A-45FF-97BB-093B2AB91EB3}"/>
    <cellStyle name="Normal 11 6 2 2 2" xfId="4355" xr:uid="{538006BB-38A3-4FF8-800E-4EBC59C0E224}"/>
    <cellStyle name="Normal 11 6 2 2 2 2" xfId="12735" xr:uid="{803BA4DA-0234-4A62-BD09-3A3B5523C038}"/>
    <cellStyle name="Normal 11 6 2 2 2 2 2" xfId="29495" xr:uid="{BA9DBAA8-52A7-43FC-B516-EAABC9A1F283}"/>
    <cellStyle name="Normal 11 6 2 2 2 2 3" xfId="46254" xr:uid="{B6F25DC9-2AB9-4355-A980-024EBC40220E}"/>
    <cellStyle name="Normal 11 6 2 2 2 3" xfId="21115" xr:uid="{5602EA58-0DBC-49A5-AE55-D9C2065C7D47}"/>
    <cellStyle name="Normal 11 6 2 2 2 4" xfId="37874" xr:uid="{BA6CA6F5-E3F6-4F43-8C29-4B36A28DAA0B}"/>
    <cellStyle name="Normal 11 6 2 2 3" xfId="6042" xr:uid="{E1907052-7F3E-4D7E-A2CD-FE33685DF61C}"/>
    <cellStyle name="Normal 11 6 2 2 3 2" xfId="14422" xr:uid="{13C5F370-1DE1-42A0-9D0C-45631659F1DE}"/>
    <cellStyle name="Normal 11 6 2 2 3 2 2" xfId="31182" xr:uid="{602CC892-099B-4FBE-838F-56A499DB25A4}"/>
    <cellStyle name="Normal 11 6 2 2 3 2 3" xfId="47941" xr:uid="{325D6D0A-5A97-4F69-8F5D-D91DF1B4531E}"/>
    <cellStyle name="Normal 11 6 2 2 3 3" xfId="22802" xr:uid="{9E541EDC-A645-4008-9F30-05AF2767174A}"/>
    <cellStyle name="Normal 11 6 2 2 3 4" xfId="39561" xr:uid="{3BC109C6-9597-4653-BA4F-BBE7A4C5CAA5}"/>
    <cellStyle name="Normal 11 6 2 2 4" xfId="2778" xr:uid="{1FFBFDF6-4BA2-47B0-ABFE-3F31269B02F6}"/>
    <cellStyle name="Normal 11 6 2 2 4 2" xfId="11158" xr:uid="{236F6A59-F4A1-44E2-9EF2-1CDFF72424B8}"/>
    <cellStyle name="Normal 11 6 2 2 4 2 2" xfId="27918" xr:uid="{D0D071BB-18B1-47A0-83AF-4A5E5B2BB97E}"/>
    <cellStyle name="Normal 11 6 2 2 4 2 3" xfId="44677" xr:uid="{AD944CC9-395A-4406-9DB9-4E13E1A91EC3}"/>
    <cellStyle name="Normal 11 6 2 2 4 3" xfId="19538" xr:uid="{825234B8-3C8E-4680-AB0F-E25914E30B19}"/>
    <cellStyle name="Normal 11 6 2 2 4 4" xfId="36297" xr:uid="{61710E99-73C7-4AED-A770-FAAFFD9CEB61}"/>
    <cellStyle name="Normal 11 6 2 2 5" xfId="9355" xr:uid="{03B5207B-DDED-4E8F-83B1-CB6AA1D791B1}"/>
    <cellStyle name="Normal 11 6 2 2 5 2" xfId="26115" xr:uid="{F2D33DB2-8DFF-4C59-9FF0-5E5492ADF535}"/>
    <cellStyle name="Normal 11 6 2 2 5 3" xfId="42874" xr:uid="{A5AC4F94-CE67-4300-990D-DCCCC472B76E}"/>
    <cellStyle name="Normal 11 6 2 2 6" xfId="17735" xr:uid="{4EFBACA8-AE10-41F0-873D-1FD91B9F949B}"/>
    <cellStyle name="Normal 11 6 2 2 7" xfId="34494" xr:uid="{B56636CC-3259-444A-95E0-D7AD7DE430EA}"/>
    <cellStyle name="Normal 11 6 2 3" xfId="1394" xr:uid="{D987DE3E-7348-4F64-A71D-F6D05BF9C888}"/>
    <cellStyle name="Normal 11 6 2 3 2" xfId="4783" xr:uid="{C9094FC5-508F-406A-A43F-EFC55D344A64}"/>
    <cellStyle name="Normal 11 6 2 3 2 2" xfId="13163" xr:uid="{EB3EF5D5-58DB-43A1-B3A5-69F1709A1971}"/>
    <cellStyle name="Normal 11 6 2 3 2 2 2" xfId="29923" xr:uid="{8D486FC2-8021-451D-91D2-3AC56F9DEF85}"/>
    <cellStyle name="Normal 11 6 2 3 2 2 3" xfId="46682" xr:uid="{22082374-F40E-44F1-BAA0-6BE9B207BB55}"/>
    <cellStyle name="Normal 11 6 2 3 2 3" xfId="21543" xr:uid="{D8B36161-A5BB-4E89-B936-F74D0CA2163C}"/>
    <cellStyle name="Normal 11 6 2 3 2 4" xfId="38302" xr:uid="{65102B10-40F0-46CF-A947-BC0443DA0A84}"/>
    <cellStyle name="Normal 11 6 2 3 3" xfId="6470" xr:uid="{C213FE5B-D321-4317-A55D-8D109202401E}"/>
    <cellStyle name="Normal 11 6 2 3 3 2" xfId="14850" xr:uid="{729F4F84-EFE4-4F1A-BF36-DD50AF49AC93}"/>
    <cellStyle name="Normal 11 6 2 3 3 2 2" xfId="31610" xr:uid="{C11698AA-FFA0-4AE0-B29A-88095A5BB086}"/>
    <cellStyle name="Normal 11 6 2 3 3 2 3" xfId="48369" xr:uid="{B44599E8-AC79-47F9-BBF1-A9AE90462B17}"/>
    <cellStyle name="Normal 11 6 2 3 3 3" xfId="23230" xr:uid="{D077A270-C152-4CDE-8CE6-72E1D44ED7E0}"/>
    <cellStyle name="Normal 11 6 2 3 3 4" xfId="39989" xr:uid="{6F533A84-1D1D-4042-846F-638AB662BCE2}"/>
    <cellStyle name="Normal 11 6 2 3 4" xfId="3206" xr:uid="{E851607B-187B-415A-92B7-CCC81FEE7AD4}"/>
    <cellStyle name="Normal 11 6 2 3 4 2" xfId="11586" xr:uid="{B8A3293A-5E61-4131-9614-7B991F4E8311}"/>
    <cellStyle name="Normal 11 6 2 3 4 2 2" xfId="28346" xr:uid="{EEE0C270-C3E5-4522-B454-D1CA206EECC3}"/>
    <cellStyle name="Normal 11 6 2 3 4 2 3" xfId="45105" xr:uid="{E4BF6D88-027D-442A-98E0-2188B5661A1B}"/>
    <cellStyle name="Normal 11 6 2 3 4 3" xfId="19966" xr:uid="{98C6C8AE-A0D2-4234-A5A8-885FC68385EA}"/>
    <cellStyle name="Normal 11 6 2 3 4 4" xfId="36725" xr:uid="{6B1F1404-53CA-41A6-A6D3-2F4FFED97FCC}"/>
    <cellStyle name="Normal 11 6 2 3 5" xfId="9783" xr:uid="{25DB3EFA-A822-459D-A773-DDCB76248064}"/>
    <cellStyle name="Normal 11 6 2 3 5 2" xfId="26543" xr:uid="{D47FBCCC-167D-4565-839E-49F81CDBBD67}"/>
    <cellStyle name="Normal 11 6 2 3 5 3" xfId="43302" xr:uid="{EDBA1F82-7B2C-4315-BB11-84367CE71421}"/>
    <cellStyle name="Normal 11 6 2 3 6" xfId="18163" xr:uid="{49AC5992-D0C5-4790-BE90-8311093EBD27}"/>
    <cellStyle name="Normal 11 6 2 3 7" xfId="34922" xr:uid="{EC841E95-8F9C-4D5D-AB13-89659BA2D6D5}"/>
    <cellStyle name="Normal 11 6 2 4" xfId="1790" xr:uid="{C4C85D52-CD95-40C1-BA9F-D07A0D68BD08}"/>
    <cellStyle name="Normal 11 6 2 4 2" xfId="5179" xr:uid="{A04BFAAD-E01D-4A8D-BB98-D36055349992}"/>
    <cellStyle name="Normal 11 6 2 4 2 2" xfId="13559" xr:uid="{963BFE23-33CB-497C-9166-9669639F4A70}"/>
    <cellStyle name="Normal 11 6 2 4 2 2 2" xfId="30319" xr:uid="{C50F6297-0DD6-44C7-B6A3-A888B9514BE8}"/>
    <cellStyle name="Normal 11 6 2 4 2 2 3" xfId="47078" xr:uid="{5555D74F-CCA7-4BAA-BB9F-D7A3D082BA5A}"/>
    <cellStyle name="Normal 11 6 2 4 2 3" xfId="21939" xr:uid="{88307DBD-7806-4EA8-B009-7BAAC4EE9AF5}"/>
    <cellStyle name="Normal 11 6 2 4 2 4" xfId="38698" xr:uid="{11CDD9DE-FAE0-4C9E-A836-211BD950F0C2}"/>
    <cellStyle name="Normal 11 6 2 4 3" xfId="6866" xr:uid="{1D82997E-FF87-4A12-A8DC-36F5AF617D78}"/>
    <cellStyle name="Normal 11 6 2 4 3 2" xfId="15246" xr:uid="{C72BE24D-F280-4620-A6E0-94669CC916EF}"/>
    <cellStyle name="Normal 11 6 2 4 3 2 2" xfId="32006" xr:uid="{4FD400B2-EC69-444B-9844-40C4EC8CAC77}"/>
    <cellStyle name="Normal 11 6 2 4 3 2 3" xfId="48765" xr:uid="{1DC451B9-2217-402B-B576-796903F8312B}"/>
    <cellStyle name="Normal 11 6 2 4 3 3" xfId="23626" xr:uid="{243A6792-93C7-4BD1-AAE2-206FA6DDE5A6}"/>
    <cellStyle name="Normal 11 6 2 4 3 4" xfId="40385" xr:uid="{F95AD5CF-5305-4404-BA3A-888FA0DD9D18}"/>
    <cellStyle name="Normal 11 6 2 4 4" xfId="3490" xr:uid="{89A41948-3E66-48EE-8E43-CF1AC3DD2707}"/>
    <cellStyle name="Normal 11 6 2 4 4 2" xfId="11870" xr:uid="{1D30A21D-9466-400D-92C6-FD531E521F7C}"/>
    <cellStyle name="Normal 11 6 2 4 4 2 2" xfId="28630" xr:uid="{A8AA14AE-DBBC-4C27-B5D8-3F95AE0F4F38}"/>
    <cellStyle name="Normal 11 6 2 4 4 2 3" xfId="45389" xr:uid="{C86462D7-C442-435C-8713-DB02EECE6A74}"/>
    <cellStyle name="Normal 11 6 2 4 4 3" xfId="20250" xr:uid="{7DCF76B5-A9F7-46AC-818C-B44678E4DE53}"/>
    <cellStyle name="Normal 11 6 2 4 4 4" xfId="37009" xr:uid="{8E4EC3E6-03D7-418F-BCAF-37AA78969EAA}"/>
    <cellStyle name="Normal 11 6 2 4 5" xfId="10179" xr:uid="{901A6C07-0725-41E8-B814-34A56968C88B}"/>
    <cellStyle name="Normal 11 6 2 4 5 2" xfId="26939" xr:uid="{BA72AE05-9D75-4D0A-B0A7-7F36470D284F}"/>
    <cellStyle name="Normal 11 6 2 4 5 3" xfId="43698" xr:uid="{F8BABD6F-495A-499A-AADC-6B5C1D32F4D2}"/>
    <cellStyle name="Normal 11 6 2 4 6" xfId="18559" xr:uid="{677D22E0-27FB-4DE1-8A12-80017C420B63}"/>
    <cellStyle name="Normal 11 6 2 4 7" xfId="35318" xr:uid="{B143ADE0-6E6E-4C64-AE8F-18CB13FDA65C}"/>
    <cellStyle name="Normal 11 6 2 5" xfId="3909" xr:uid="{D0BC7C08-6B12-45FF-8861-E07F764F36AA}"/>
    <cellStyle name="Normal 11 6 2 5 2" xfId="12289" xr:uid="{00D00191-9FCC-4C0C-AF5C-B6D371F83AD2}"/>
    <cellStyle name="Normal 11 6 2 5 2 2" xfId="29049" xr:uid="{E9A87FC6-EA7E-4E54-8190-7934EE5C2688}"/>
    <cellStyle name="Normal 11 6 2 5 2 3" xfId="45808" xr:uid="{A9C394B9-B01C-4B70-A005-BE19930ED246}"/>
    <cellStyle name="Normal 11 6 2 5 3" xfId="20669" xr:uid="{14D895F8-DF94-4D0A-8995-0427C19B5B5C}"/>
    <cellStyle name="Normal 11 6 2 5 4" xfId="37428" xr:uid="{58778307-38BE-41BF-8478-2196D5FB93B9}"/>
    <cellStyle name="Normal 11 6 2 6" xfId="5616" xr:uid="{D9A173F9-F904-4700-B5A8-202E715474CA}"/>
    <cellStyle name="Normal 11 6 2 6 2" xfId="13996" xr:uid="{38A9866E-4B1B-409E-8BF3-8AD7A1061FBE}"/>
    <cellStyle name="Normal 11 6 2 6 2 2" xfId="30756" xr:uid="{2B1C4050-5CBD-4264-BDEF-F97146E1CEE1}"/>
    <cellStyle name="Normal 11 6 2 6 2 3" xfId="47515" xr:uid="{B61A9E59-806E-4930-8E9F-339591AE9A28}"/>
    <cellStyle name="Normal 11 6 2 6 3" xfId="22376" xr:uid="{096B1BC7-6C1B-44E0-8940-E50CF8F180AE}"/>
    <cellStyle name="Normal 11 6 2 6 4" xfId="39135" xr:uid="{5E0775AB-6720-41F1-8BE7-A15001C32B9C}"/>
    <cellStyle name="Normal 11 6 2 7" xfId="7272" xr:uid="{3D9A9FF9-CA8F-4A91-B738-A3683694ED8C}"/>
    <cellStyle name="Normal 11 6 2 7 2" xfId="15652" xr:uid="{29C591BD-E092-4D35-82DC-FD9A7B126513}"/>
    <cellStyle name="Normal 11 6 2 7 2 2" xfId="32412" xr:uid="{AF0D4C4D-5208-43B5-AABE-E2EE0D145672}"/>
    <cellStyle name="Normal 11 6 2 7 2 3" xfId="49171" xr:uid="{5E5B0BB5-D3F1-4707-B1A9-DF8CD42229A0}"/>
    <cellStyle name="Normal 11 6 2 7 3" xfId="24032" xr:uid="{4DBACAD7-39C3-4C4B-8F64-A2B31178C865}"/>
    <cellStyle name="Normal 11 6 2 7 4" xfId="40791" xr:uid="{A2B8C505-C2F7-4BFB-A837-99ED41DA0778}"/>
    <cellStyle name="Normal 11 6 2 8" xfId="7678" xr:uid="{B3306BC8-3DA3-4A65-A6B5-9DBAAF8E2604}"/>
    <cellStyle name="Normal 11 6 2 8 2" xfId="16058" xr:uid="{CE90522E-5488-474F-AC3C-5B3B695E26FE}"/>
    <cellStyle name="Normal 11 6 2 8 2 2" xfId="32818" xr:uid="{DA197F86-E8AA-4072-BB82-1CF939470597}"/>
    <cellStyle name="Normal 11 6 2 8 2 3" xfId="49577" xr:uid="{E0987638-DB9D-4BD3-B219-A9A6D7B47B36}"/>
    <cellStyle name="Normal 11 6 2 8 3" xfId="24438" xr:uid="{94A82001-62AF-4E92-906C-7F5BF27CEC39}"/>
    <cellStyle name="Normal 11 6 2 8 4" xfId="41197" xr:uid="{E188452C-B5A7-4860-8BBB-1B78CA5254A9}"/>
    <cellStyle name="Normal 11 6 2 9" xfId="8084" xr:uid="{B4093FEB-A47B-428E-B13F-C2CAC17F7499}"/>
    <cellStyle name="Normal 11 6 2 9 2" xfId="16464" xr:uid="{B38F415B-82E8-4FAF-A5A9-3A6204E38CB9}"/>
    <cellStyle name="Normal 11 6 2 9 2 2" xfId="33224" xr:uid="{B48FE967-AF43-47A9-9CE4-95C5A28EBFEC}"/>
    <cellStyle name="Normal 11 6 2 9 2 3" xfId="49983" xr:uid="{2FED1811-CBF3-486B-AA2B-704CC9E4D694}"/>
    <cellStyle name="Normal 11 6 2 9 3" xfId="24844" xr:uid="{67454C77-9E73-4119-9887-3F71AD737A49}"/>
    <cellStyle name="Normal 11 6 2 9 4" xfId="41603" xr:uid="{D9C1CAF0-05F3-4A49-BBDC-D5A979191645}"/>
    <cellStyle name="Normal 11 6 3" xfId="519" xr:uid="{378D409D-3EE9-48BE-82FC-24D4BE6BEBEE}"/>
    <cellStyle name="Normal 11 6 3 10" xfId="8708" xr:uid="{76E8ACCD-0760-45B9-9A5C-CD364F833F14}"/>
    <cellStyle name="Normal 11 6 3 10 2" xfId="17088" xr:uid="{B2614E77-0AC1-4A89-B66E-01963DE838AF}"/>
    <cellStyle name="Normal 11 6 3 10 2 2" xfId="33848" xr:uid="{3D60D624-509F-489B-A34E-93F953DBA31F}"/>
    <cellStyle name="Normal 11 6 3 10 2 3" xfId="50607" xr:uid="{E2DA705E-B021-49B8-B55E-A1F4C7A8C291}"/>
    <cellStyle name="Normal 11 6 3 10 3" xfId="25468" xr:uid="{35F169D2-0787-4983-A7C0-02A5B89DFFC3}"/>
    <cellStyle name="Normal 11 6 3 10 4" xfId="42227" xr:uid="{B4B7EA34-7607-4D53-8281-D64D7F5FC686}"/>
    <cellStyle name="Normal 11 6 3 11" xfId="2351" xr:uid="{1A63A978-275E-445E-83C2-9B9780D244CD}"/>
    <cellStyle name="Normal 11 6 3 11 2" xfId="10733" xr:uid="{37193E38-B66F-4B0A-982A-2357EB973580}"/>
    <cellStyle name="Normal 11 6 3 11 2 2" xfId="27493" xr:uid="{920CC1AA-6CE9-458D-8BC7-4B22EF179A53}"/>
    <cellStyle name="Normal 11 6 3 11 2 3" xfId="44252" xr:uid="{39F04ADE-CC2C-4196-88E1-5F380499DBB9}"/>
    <cellStyle name="Normal 11 6 3 11 3" xfId="19113" xr:uid="{671819B1-5F82-4738-9946-EEE276159ECD}"/>
    <cellStyle name="Normal 11 6 3 11 4" xfId="35872" xr:uid="{2399560E-D60A-4D88-AC24-D40F209E6B0E}"/>
    <cellStyle name="Normal 11 6 3 12" xfId="8930" xr:uid="{7F9B390A-87E7-4776-ADCA-F873C2D73D57}"/>
    <cellStyle name="Normal 11 6 3 12 2" xfId="25690" xr:uid="{62CFC6AC-3B61-4062-B9DE-222B37E9C458}"/>
    <cellStyle name="Normal 11 6 3 12 3" xfId="42449" xr:uid="{558F9AA2-F546-4EBE-AA99-469E43E6264D}"/>
    <cellStyle name="Normal 11 6 3 13" xfId="17310" xr:uid="{6C5923C4-7DC6-4FED-A974-34E30851F4CF}"/>
    <cellStyle name="Normal 11 6 3 14" xfId="34069" xr:uid="{8DA285D4-D9F1-40F9-B9A4-904C9A6893F7}"/>
    <cellStyle name="Normal 11 6 3 2" xfId="961" xr:uid="{12A13FB1-B176-4580-83B7-2B02EBDD84FE}"/>
    <cellStyle name="Normal 11 6 3 2 2" xfId="4356" xr:uid="{B51A5838-2FC8-4DC3-AAD9-FB9787541F68}"/>
    <cellStyle name="Normal 11 6 3 2 2 2" xfId="12736" xr:uid="{EA386A92-BB21-4FF3-91E4-355EB01070A5}"/>
    <cellStyle name="Normal 11 6 3 2 2 2 2" xfId="29496" xr:uid="{E2AA5E9B-22CB-4AA2-8A6F-570F5F11C269}"/>
    <cellStyle name="Normal 11 6 3 2 2 2 3" xfId="46255" xr:uid="{7D759166-D340-4C49-A26A-4889652D89BC}"/>
    <cellStyle name="Normal 11 6 3 2 2 3" xfId="21116" xr:uid="{BF1CBEA9-E6EF-4C4D-8DBF-79FB7C623198}"/>
    <cellStyle name="Normal 11 6 3 2 2 4" xfId="37875" xr:uid="{A10A5142-E670-4B67-8688-30AB22082361}"/>
    <cellStyle name="Normal 11 6 3 2 3" xfId="6043" xr:uid="{2F7522A1-1BAC-4BCA-8D3E-9E5C3856255B}"/>
    <cellStyle name="Normal 11 6 3 2 3 2" xfId="14423" xr:uid="{DB1F17EA-8B6A-44E7-9FD9-FF42583CFECE}"/>
    <cellStyle name="Normal 11 6 3 2 3 2 2" xfId="31183" xr:uid="{7E7DDF81-E2C5-4024-A730-77A0E164A0FB}"/>
    <cellStyle name="Normal 11 6 3 2 3 2 3" xfId="47942" xr:uid="{181E6FC3-CA25-407D-AE8E-FD8578B380D0}"/>
    <cellStyle name="Normal 11 6 3 2 3 3" xfId="22803" xr:uid="{7FF1145A-2154-4CFC-892D-484E8EB17172}"/>
    <cellStyle name="Normal 11 6 3 2 3 4" xfId="39562" xr:uid="{EBBACF5E-E674-4560-A234-9233AD8F0193}"/>
    <cellStyle name="Normal 11 6 3 2 4" xfId="2779" xr:uid="{823E2A91-42E5-433A-9CDC-868DFF3EA768}"/>
    <cellStyle name="Normal 11 6 3 2 4 2" xfId="11159" xr:uid="{5FC44C2B-C575-4429-9FEC-6A747E998DC1}"/>
    <cellStyle name="Normal 11 6 3 2 4 2 2" xfId="27919" xr:uid="{6A2D9903-5562-41B4-94D9-D88F2FCD9E3E}"/>
    <cellStyle name="Normal 11 6 3 2 4 2 3" xfId="44678" xr:uid="{FCDB3F95-2E26-46DD-BB3E-FD4D6F70B5EE}"/>
    <cellStyle name="Normal 11 6 3 2 4 3" xfId="19539" xr:uid="{161682DE-22F4-4D46-AC39-70978B7CF3EF}"/>
    <cellStyle name="Normal 11 6 3 2 4 4" xfId="36298" xr:uid="{96A4228A-AC74-4D6A-B86E-4D280F9F0321}"/>
    <cellStyle name="Normal 11 6 3 2 5" xfId="9356" xr:uid="{25DB2A77-ED31-42BA-A721-0E223BFFE816}"/>
    <cellStyle name="Normal 11 6 3 2 5 2" xfId="26116" xr:uid="{FDEF168F-15DB-4996-85E6-76E7D1EE4FA2}"/>
    <cellStyle name="Normal 11 6 3 2 5 3" xfId="42875" xr:uid="{20CB683B-3B8D-44D0-94E4-E2FFAA2F8C57}"/>
    <cellStyle name="Normal 11 6 3 2 6" xfId="17736" xr:uid="{158ECEB5-1639-45E6-9FA5-4D4CBD132940}"/>
    <cellStyle name="Normal 11 6 3 2 7" xfId="34495" xr:uid="{B4E6579C-0C26-4B3F-A6B4-1D844F8A1F0A}"/>
    <cellStyle name="Normal 11 6 3 3" xfId="1395" xr:uid="{9541B617-9988-4043-B109-273009F50853}"/>
    <cellStyle name="Normal 11 6 3 3 2" xfId="4784" xr:uid="{77CD59FC-817F-40DD-9665-9991C828214D}"/>
    <cellStyle name="Normal 11 6 3 3 2 2" xfId="13164" xr:uid="{9ADD396E-DF4E-44A5-A3FE-1A3E02B17496}"/>
    <cellStyle name="Normal 11 6 3 3 2 2 2" xfId="29924" xr:uid="{C3DC38B6-3E78-40D7-B61F-197FF3FC9FDF}"/>
    <cellStyle name="Normal 11 6 3 3 2 2 3" xfId="46683" xr:uid="{AD824A66-57DC-49B4-9848-B71A80640314}"/>
    <cellStyle name="Normal 11 6 3 3 2 3" xfId="21544" xr:uid="{7836146C-8BDB-4A53-ACDA-46072994E50B}"/>
    <cellStyle name="Normal 11 6 3 3 2 4" xfId="38303" xr:uid="{D65A3A9A-E2CE-4EF4-B8FA-DD293FDF26D3}"/>
    <cellStyle name="Normal 11 6 3 3 3" xfId="6471" xr:uid="{8D2E42DA-D41B-450A-A792-3ADA4FC5B132}"/>
    <cellStyle name="Normal 11 6 3 3 3 2" xfId="14851" xr:uid="{53AF232A-E4D9-4376-AFCE-CAA397BA2847}"/>
    <cellStyle name="Normal 11 6 3 3 3 2 2" xfId="31611" xr:uid="{ACD080DE-F294-47EF-B391-ABA6120BF92A}"/>
    <cellStyle name="Normal 11 6 3 3 3 2 3" xfId="48370" xr:uid="{ABAB6CE8-47B1-4BED-8A83-3654CFA03FA7}"/>
    <cellStyle name="Normal 11 6 3 3 3 3" xfId="23231" xr:uid="{FED32EA4-575D-4C72-B8FC-447C2E334AC6}"/>
    <cellStyle name="Normal 11 6 3 3 3 4" xfId="39990" xr:uid="{9437761F-68E1-46D2-A24A-FC099E3E44F6}"/>
    <cellStyle name="Normal 11 6 3 3 4" xfId="3207" xr:uid="{B7215815-C2F6-4ECA-B41A-BDAAA7F0AC07}"/>
    <cellStyle name="Normal 11 6 3 3 4 2" xfId="11587" xr:uid="{DC4EB471-EF13-4290-841E-B2F1BDEA7628}"/>
    <cellStyle name="Normal 11 6 3 3 4 2 2" xfId="28347" xr:uid="{9056C005-2474-4E7C-8026-FCED14B00565}"/>
    <cellStyle name="Normal 11 6 3 3 4 2 3" xfId="45106" xr:uid="{FFBC6A48-EF8E-4EDD-A0C5-2DFBA51BE50E}"/>
    <cellStyle name="Normal 11 6 3 3 4 3" xfId="19967" xr:uid="{D11C7917-CFF0-4380-9FD9-6098551C8DEE}"/>
    <cellStyle name="Normal 11 6 3 3 4 4" xfId="36726" xr:uid="{FE20512E-1C7A-44CC-974C-455940A0C665}"/>
    <cellStyle name="Normal 11 6 3 3 5" xfId="9784" xr:uid="{BF01C1A2-43AB-4CD1-B2A3-3AD65C002D20}"/>
    <cellStyle name="Normal 11 6 3 3 5 2" xfId="26544" xr:uid="{28A8A2F7-3D47-43A8-8731-11D6BE5B2ABE}"/>
    <cellStyle name="Normal 11 6 3 3 5 3" xfId="43303" xr:uid="{B4C8538D-3A19-4664-A488-27B2C9B39935}"/>
    <cellStyle name="Normal 11 6 3 3 6" xfId="18164" xr:uid="{EA71CDDE-EC6F-4E40-A7EA-17BAE6514D11}"/>
    <cellStyle name="Normal 11 6 3 3 7" xfId="34923" xr:uid="{08DF344E-F516-45DE-ABAC-F66FD726850D}"/>
    <cellStyle name="Normal 11 6 3 4" xfId="2008" xr:uid="{BF0D79D7-9210-4DA8-8D61-3AB8E6AFDF24}"/>
    <cellStyle name="Normal 11 6 3 4 2" xfId="5397" xr:uid="{5EBAED7C-3096-4B63-8862-D028234B9394}"/>
    <cellStyle name="Normal 11 6 3 4 2 2" xfId="13777" xr:uid="{08398DF3-0CD3-4292-883A-E3B11ADAB4F0}"/>
    <cellStyle name="Normal 11 6 3 4 2 2 2" xfId="30537" xr:uid="{85C79A5E-7CF4-4BF5-9E46-14C17197E0AF}"/>
    <cellStyle name="Normal 11 6 3 4 2 2 3" xfId="47296" xr:uid="{1908262D-527F-4EF5-A538-82F2C22C642D}"/>
    <cellStyle name="Normal 11 6 3 4 2 3" xfId="22157" xr:uid="{4A1E51A3-49A4-4B8E-ADA0-97B2EBA2B4CA}"/>
    <cellStyle name="Normal 11 6 3 4 2 4" xfId="38916" xr:uid="{9432361D-EA26-4E6C-9E69-B91470D12190}"/>
    <cellStyle name="Normal 11 6 3 4 3" xfId="7084" xr:uid="{184ED71D-B2EF-4D65-8E6E-32B61A54DBD1}"/>
    <cellStyle name="Normal 11 6 3 4 3 2" xfId="15464" xr:uid="{006B4406-8052-4F68-9B4B-AC9B0CA007DD}"/>
    <cellStyle name="Normal 11 6 3 4 3 2 2" xfId="32224" xr:uid="{B9B13349-6A06-477A-BE97-C759C347C0A0}"/>
    <cellStyle name="Normal 11 6 3 4 3 2 3" xfId="48983" xr:uid="{4CD76509-978D-4359-9E8A-49E16066A45E}"/>
    <cellStyle name="Normal 11 6 3 4 3 3" xfId="23844" xr:uid="{4DB66E8F-C410-49F3-8305-728075E3EDE9}"/>
    <cellStyle name="Normal 11 6 3 4 3 4" xfId="40603" xr:uid="{B15AEC1D-09F8-4088-B7EC-C257D7B0B4F7}"/>
    <cellStyle name="Normal 11 6 3 4 4" xfId="3707" xr:uid="{61E35D54-0C2A-47B8-90C9-2416F5461393}"/>
    <cellStyle name="Normal 11 6 3 4 4 2" xfId="12087" xr:uid="{00445508-31BE-4B00-B7E2-3F0AE2C3C2A9}"/>
    <cellStyle name="Normal 11 6 3 4 4 2 2" xfId="28847" xr:uid="{066AB7E2-52EA-4549-B81A-4A4DC6C0E1E4}"/>
    <cellStyle name="Normal 11 6 3 4 4 2 3" xfId="45606" xr:uid="{2BA3B0CF-8E98-4D8D-916F-06721481D9C1}"/>
    <cellStyle name="Normal 11 6 3 4 4 3" xfId="20467" xr:uid="{2C861D51-F788-4119-8D81-85CE8B78367F}"/>
    <cellStyle name="Normal 11 6 3 4 4 4" xfId="37226" xr:uid="{3DF1839D-4F1F-4200-8E8A-17210BB89CE8}"/>
    <cellStyle name="Normal 11 6 3 4 5" xfId="10397" xr:uid="{0400324F-1270-418F-A1D4-6DC7EE9DD231}"/>
    <cellStyle name="Normal 11 6 3 4 5 2" xfId="27157" xr:uid="{D9174D3F-4AAD-439C-92E4-3FD1902AB16D}"/>
    <cellStyle name="Normal 11 6 3 4 5 3" xfId="43916" xr:uid="{E7FE762B-0695-4DAF-A5A8-F81B57A31815}"/>
    <cellStyle name="Normal 11 6 3 4 6" xfId="18777" xr:uid="{54F13B23-7CFE-41CC-A241-76B77BA4EC19}"/>
    <cellStyle name="Normal 11 6 3 4 7" xfId="35536" xr:uid="{7DD84560-CF09-47A6-A2D0-8889F71F054F}"/>
    <cellStyle name="Normal 11 6 3 5" xfId="4127" xr:uid="{FBFD9828-EB7A-4A1B-9893-652DD7674825}"/>
    <cellStyle name="Normal 11 6 3 5 2" xfId="12507" xr:uid="{D73E84EE-003C-4C89-B952-7D455CA0DC81}"/>
    <cellStyle name="Normal 11 6 3 5 2 2" xfId="29267" xr:uid="{D821F547-74C0-4B60-8316-F6E3135AE2EB}"/>
    <cellStyle name="Normal 11 6 3 5 2 3" xfId="46026" xr:uid="{49B11D83-C4F0-4E54-AA62-FCB307009AE3}"/>
    <cellStyle name="Normal 11 6 3 5 3" xfId="20887" xr:uid="{E7B83588-1098-472C-8247-1F30F7CDA7F1}"/>
    <cellStyle name="Normal 11 6 3 5 4" xfId="37646" xr:uid="{CB434854-0474-4230-9E47-BF587790FB4F}"/>
    <cellStyle name="Normal 11 6 3 6" xfId="5617" xr:uid="{F6F5D7BD-33D9-48C4-97D0-6B3743FA1328}"/>
    <cellStyle name="Normal 11 6 3 6 2" xfId="13997" xr:uid="{98931DDC-0D2E-44FC-8CF1-1403AD2372B1}"/>
    <cellStyle name="Normal 11 6 3 6 2 2" xfId="30757" xr:uid="{9CC33705-265C-4A2E-BAC2-58B473F3AF9A}"/>
    <cellStyle name="Normal 11 6 3 6 2 3" xfId="47516" xr:uid="{74729700-C908-49A0-847A-66463984F253}"/>
    <cellStyle name="Normal 11 6 3 6 3" xfId="22377" xr:uid="{48E6110D-4D92-425E-85DE-BE5AFD130398}"/>
    <cellStyle name="Normal 11 6 3 6 4" xfId="39136" xr:uid="{7CFA7F53-1379-4185-881A-4CDDF307CDD2}"/>
    <cellStyle name="Normal 11 6 3 7" xfId="7490" xr:uid="{1DC5DD9F-7B3B-4566-A354-2EAC18D9889A}"/>
    <cellStyle name="Normal 11 6 3 7 2" xfId="15870" xr:uid="{615C8989-68B9-44CD-A9D3-7D4B00FC07DF}"/>
    <cellStyle name="Normal 11 6 3 7 2 2" xfId="32630" xr:uid="{6A2047DE-A26A-45C7-BAA7-D85D699BEA20}"/>
    <cellStyle name="Normal 11 6 3 7 2 3" xfId="49389" xr:uid="{3927FFA9-F3A2-4CA9-98AA-48C3E95AE72A}"/>
    <cellStyle name="Normal 11 6 3 7 3" xfId="24250" xr:uid="{51C89C72-15B3-45CF-853C-3DA751511729}"/>
    <cellStyle name="Normal 11 6 3 7 4" xfId="41009" xr:uid="{2358D40F-5FBA-456B-A1AE-CFA047238F26}"/>
    <cellStyle name="Normal 11 6 3 8" xfId="7896" xr:uid="{3C1606C4-BDBE-48DD-82E4-E7B8A2C72653}"/>
    <cellStyle name="Normal 11 6 3 8 2" xfId="16276" xr:uid="{2CBA26B3-0298-49AC-8BD7-4BAAA3FF8B5E}"/>
    <cellStyle name="Normal 11 6 3 8 2 2" xfId="33036" xr:uid="{5596E815-684B-4B06-9563-EE0F99AA21FC}"/>
    <cellStyle name="Normal 11 6 3 8 2 3" xfId="49795" xr:uid="{F33F6895-D945-4ED6-9B76-68CAF7F96ACB}"/>
    <cellStyle name="Normal 11 6 3 8 3" xfId="24656" xr:uid="{3E668001-E958-4CE1-A700-CFEEE3869CF8}"/>
    <cellStyle name="Normal 11 6 3 8 4" xfId="41415" xr:uid="{47E963A5-0F93-4280-A7FB-96B7D15C075A}"/>
    <cellStyle name="Normal 11 6 3 9" xfId="8302" xr:uid="{AD31B02B-826F-4F73-A57A-5823CF8F655A}"/>
    <cellStyle name="Normal 11 6 3 9 2" xfId="16682" xr:uid="{BD1F95BB-4195-40D9-9D92-CEB1E695F7AD}"/>
    <cellStyle name="Normal 11 6 3 9 2 2" xfId="33442" xr:uid="{9557C8F7-29C7-4352-BB23-F67AF4315691}"/>
    <cellStyle name="Normal 11 6 3 9 2 3" xfId="50201" xr:uid="{7CAEB2AB-CEB9-4DD1-BD63-898D57E6EF90}"/>
    <cellStyle name="Normal 11 6 3 9 3" xfId="25062" xr:uid="{DFDE914F-E789-4CE5-A1BB-80FE2E1A005A}"/>
    <cellStyle name="Normal 11 6 3 9 4" xfId="41821" xr:uid="{8F2AAD33-5172-4BDE-A76D-33A905CD0F04}"/>
    <cellStyle name="Normal 11 6 4" xfId="959" xr:uid="{2BE82310-403C-4455-9267-B3C5370EE132}"/>
    <cellStyle name="Normal 11 6 4 2" xfId="4354" xr:uid="{0F061B13-13A0-480C-A03E-83CD0BADBA16}"/>
    <cellStyle name="Normal 11 6 4 2 2" xfId="12734" xr:uid="{1A92DAE9-A7E0-4217-8816-7EA345D6D8B2}"/>
    <cellStyle name="Normal 11 6 4 2 2 2" xfId="29494" xr:uid="{83788F19-F6A2-4923-8304-E8406C9A45B0}"/>
    <cellStyle name="Normal 11 6 4 2 2 3" xfId="46253" xr:uid="{9956E417-D2DF-4CD3-8589-D4D09B341978}"/>
    <cellStyle name="Normal 11 6 4 2 3" xfId="21114" xr:uid="{D473F149-0E39-4F88-B770-32A3289E8C36}"/>
    <cellStyle name="Normal 11 6 4 2 4" xfId="37873" xr:uid="{461664C3-BF93-4244-969D-5DAF3CDA5E9D}"/>
    <cellStyle name="Normal 11 6 4 3" xfId="6041" xr:uid="{7F7356CC-E4C1-455E-99E6-53F7D87C14C1}"/>
    <cellStyle name="Normal 11 6 4 3 2" xfId="14421" xr:uid="{86B4F47E-9AFD-479C-AB6D-5B52A193DB98}"/>
    <cellStyle name="Normal 11 6 4 3 2 2" xfId="31181" xr:uid="{BA09683B-215D-4FEE-89F3-92FBF7033846}"/>
    <cellStyle name="Normal 11 6 4 3 2 3" xfId="47940" xr:uid="{BB329BA4-DCEC-4544-B11A-9A17B3BDA380}"/>
    <cellStyle name="Normal 11 6 4 3 3" xfId="22801" xr:uid="{9FDB3654-7972-4AF4-87A2-241DE59BCD0A}"/>
    <cellStyle name="Normal 11 6 4 3 4" xfId="39560" xr:uid="{536A41DD-8A58-4233-81F7-7140542AC95F}"/>
    <cellStyle name="Normal 11 6 4 4" xfId="2777" xr:uid="{6620D3FB-EF0F-4DC8-B013-6F08E39F715A}"/>
    <cellStyle name="Normal 11 6 4 4 2" xfId="11157" xr:uid="{5A7E5788-6D64-4A67-AAF3-66C26F68E421}"/>
    <cellStyle name="Normal 11 6 4 4 2 2" xfId="27917" xr:uid="{9CA1D194-A46A-4D6E-B546-5FB61FF02CC6}"/>
    <cellStyle name="Normal 11 6 4 4 2 3" xfId="44676" xr:uid="{EC3F24A2-5B0E-489D-853C-2ED2AC720B06}"/>
    <cellStyle name="Normal 11 6 4 4 3" xfId="19537" xr:uid="{51F288C5-DDF4-4018-A938-4BA5E4DE0C6B}"/>
    <cellStyle name="Normal 11 6 4 4 4" xfId="36296" xr:uid="{3392BB4E-4D4A-41A5-9D3C-92527DAB2429}"/>
    <cellStyle name="Normal 11 6 4 5" xfId="9354" xr:uid="{08754B66-9206-4E81-8B08-4748C7FA2155}"/>
    <cellStyle name="Normal 11 6 4 5 2" xfId="26114" xr:uid="{9B16402B-DFA2-4D44-A074-FED85C15A5AB}"/>
    <cellStyle name="Normal 11 6 4 5 3" xfId="42873" xr:uid="{89643B7B-A93F-49F4-A773-7A74AFF0BBE3}"/>
    <cellStyle name="Normal 11 6 4 6" xfId="17734" xr:uid="{C3CE6B85-01C2-422B-9D80-E383047178D7}"/>
    <cellStyle name="Normal 11 6 4 7" xfId="34493" xr:uid="{06ADF805-9382-43A2-A53A-079371A9FA4F}"/>
    <cellStyle name="Normal 11 6 5" xfId="1393" xr:uid="{85C712DE-6611-4D24-848E-8EB01E98C14A}"/>
    <cellStyle name="Normal 11 6 5 2" xfId="4782" xr:uid="{E1300A80-36BC-4AC1-ACCC-307F80DE840D}"/>
    <cellStyle name="Normal 11 6 5 2 2" xfId="13162" xr:uid="{EC098DA6-1285-4DA0-9DA1-6C0965971CC0}"/>
    <cellStyle name="Normal 11 6 5 2 2 2" xfId="29922" xr:uid="{1660B2E6-38D2-450F-AE81-6EC06690EEFF}"/>
    <cellStyle name="Normal 11 6 5 2 2 3" xfId="46681" xr:uid="{FA2377F3-80B7-43A9-8FAA-9A71AB6C690D}"/>
    <cellStyle name="Normal 11 6 5 2 3" xfId="21542" xr:uid="{F2F01706-FA55-456B-AA1A-784470B32F16}"/>
    <cellStyle name="Normal 11 6 5 2 4" xfId="38301" xr:uid="{F4427150-36ED-468E-A78D-D7016971A421}"/>
    <cellStyle name="Normal 11 6 5 3" xfId="6469" xr:uid="{B1B159FF-7190-411E-8EF5-A03EE605DB48}"/>
    <cellStyle name="Normal 11 6 5 3 2" xfId="14849" xr:uid="{9D078B27-69FA-41F7-AF83-386AF9BBBD1D}"/>
    <cellStyle name="Normal 11 6 5 3 2 2" xfId="31609" xr:uid="{70B4C294-AE63-4F86-AD2B-8D8C3F5DA6CE}"/>
    <cellStyle name="Normal 11 6 5 3 2 3" xfId="48368" xr:uid="{F8234491-7180-4BF8-A890-46CCF8B3EA7C}"/>
    <cellStyle name="Normal 11 6 5 3 3" xfId="23229" xr:uid="{AF89BD44-77F5-494D-ABC8-21C794D2BCD8}"/>
    <cellStyle name="Normal 11 6 5 3 4" xfId="39988" xr:uid="{6304B416-E139-478C-97AA-730EC28A44FF}"/>
    <cellStyle name="Normal 11 6 5 4" xfId="3205" xr:uid="{E4A15CBA-FE2E-4B05-AB0C-2C7CD8475834}"/>
    <cellStyle name="Normal 11 6 5 4 2" xfId="11585" xr:uid="{F5730475-F848-4365-9EC2-D76E3CA655F7}"/>
    <cellStyle name="Normal 11 6 5 4 2 2" xfId="28345" xr:uid="{A75A4604-0611-4A76-8B05-3176B08503FC}"/>
    <cellStyle name="Normal 11 6 5 4 2 3" xfId="45104" xr:uid="{41D7C42F-DC6A-414A-8372-DB648A91F584}"/>
    <cellStyle name="Normal 11 6 5 4 3" xfId="19965" xr:uid="{6D54633C-30B2-4D4A-A8B2-8A5BF1D19814}"/>
    <cellStyle name="Normal 11 6 5 4 4" xfId="36724" xr:uid="{1C6CDFA8-D556-4348-B9EA-238CECEFBA0C}"/>
    <cellStyle name="Normal 11 6 5 5" xfId="9782" xr:uid="{A8649DA7-DE46-49BC-B898-9D5D828320D7}"/>
    <cellStyle name="Normal 11 6 5 5 2" xfId="26542" xr:uid="{1FE442B9-2641-478D-B42F-40F5B2F46A5C}"/>
    <cellStyle name="Normal 11 6 5 5 3" xfId="43301" xr:uid="{B0656AB1-37C9-4053-9E23-F28B105D0667}"/>
    <cellStyle name="Normal 11 6 5 6" xfId="18162" xr:uid="{A1B5C9D6-3DF2-440F-BC3A-BCD555292B6F}"/>
    <cellStyle name="Normal 11 6 5 7" xfId="34921" xr:uid="{D8DCA7F3-8ED8-43C7-B8A5-332A073C48EB}"/>
    <cellStyle name="Normal 11 6 6" xfId="1737" xr:uid="{7178C54E-D8A8-4492-861C-39525AD39177}"/>
    <cellStyle name="Normal 11 6 6 2" xfId="5126" xr:uid="{8B95D340-EDA5-4C21-AC6C-97B11BBFA019}"/>
    <cellStyle name="Normal 11 6 6 2 2" xfId="13506" xr:uid="{A85E7AEF-EC17-4444-AFFE-745799745F03}"/>
    <cellStyle name="Normal 11 6 6 2 2 2" xfId="30266" xr:uid="{189F179E-ABBB-4138-BCD7-951476AEECF1}"/>
    <cellStyle name="Normal 11 6 6 2 2 3" xfId="47025" xr:uid="{27C33C36-5B98-4262-B4A3-D664E61F7D88}"/>
    <cellStyle name="Normal 11 6 6 2 3" xfId="21886" xr:uid="{F26F57E1-F41C-4C7E-A01C-713EAF133914}"/>
    <cellStyle name="Normal 11 6 6 2 4" xfId="38645" xr:uid="{970D7233-0D84-4677-A41D-3B11216D6102}"/>
    <cellStyle name="Normal 11 6 6 3" xfId="6813" xr:uid="{DD89ADD4-4D7C-48D4-A21A-C51FCC9B0513}"/>
    <cellStyle name="Normal 11 6 6 3 2" xfId="15193" xr:uid="{4B9D320B-03EE-421D-BEB6-C6A93506F9A0}"/>
    <cellStyle name="Normal 11 6 6 3 2 2" xfId="31953" xr:uid="{E37DC9D0-BC75-4839-83C7-0ADF3B5F8876}"/>
    <cellStyle name="Normal 11 6 6 3 2 3" xfId="48712" xr:uid="{E979044B-4886-4719-A63F-04581EDEC945}"/>
    <cellStyle name="Normal 11 6 6 3 3" xfId="23573" xr:uid="{361FCE85-F406-410A-8472-E511920AFB5A}"/>
    <cellStyle name="Normal 11 6 6 3 4" xfId="40332" xr:uid="{0B0F5E0C-96CD-43D0-8D99-062CE4CAFE6C}"/>
    <cellStyle name="Normal 11 6 6 4" xfId="2349" xr:uid="{17647A26-5408-44F7-B8F9-D0C82218E60F}"/>
    <cellStyle name="Normal 11 6 6 4 2" xfId="10731" xr:uid="{1750057C-926B-4FCF-9A32-6D3A5E82C1A4}"/>
    <cellStyle name="Normal 11 6 6 4 2 2" xfId="27491" xr:uid="{8AB1BDEE-2745-463E-9FEE-B1B2417CA0BE}"/>
    <cellStyle name="Normal 11 6 6 4 2 3" xfId="44250" xr:uid="{54694DAA-0051-49AA-93CE-0C7DB66B3090}"/>
    <cellStyle name="Normal 11 6 6 4 3" xfId="19111" xr:uid="{C7893473-EE89-4905-9DD0-286D6E491329}"/>
    <cellStyle name="Normal 11 6 6 4 4" xfId="35870" xr:uid="{0AFD7C8B-2AFC-4886-B0E1-EC5635955ED7}"/>
    <cellStyle name="Normal 11 6 6 5" xfId="10126" xr:uid="{430B23EE-001B-4655-B78E-23D90D957662}"/>
    <cellStyle name="Normal 11 6 6 5 2" xfId="26886" xr:uid="{2DFE348D-1504-407D-B339-5FDD1C493CCB}"/>
    <cellStyle name="Normal 11 6 6 5 3" xfId="43645" xr:uid="{226B8CC5-4460-401D-9F49-7A3256D307F3}"/>
    <cellStyle name="Normal 11 6 6 6" xfId="18506" xr:uid="{B5ED0FB0-0F5E-4B6D-BD86-1EAE499CB961}"/>
    <cellStyle name="Normal 11 6 6 7" xfId="35265" xr:uid="{DC10731B-F135-4412-A671-C65234112DC1}"/>
    <cellStyle name="Normal 11 6 7" xfId="3856" xr:uid="{E84DF7B5-B5AD-476D-9F79-7ED43D5A3F45}"/>
    <cellStyle name="Normal 11 6 7 2" xfId="12236" xr:uid="{7AE848F2-EA7B-4047-ADEB-A0CB0BF694F9}"/>
    <cellStyle name="Normal 11 6 7 2 2" xfId="28996" xr:uid="{56488FA5-AF67-4986-8883-9C90CFF148A4}"/>
    <cellStyle name="Normal 11 6 7 2 3" xfId="45755" xr:uid="{9561FE54-BA20-491A-BDE7-3BB3CC73C159}"/>
    <cellStyle name="Normal 11 6 7 3" xfId="20616" xr:uid="{8A335FB0-7E75-4BDB-BDE4-3FA7685BD0D0}"/>
    <cellStyle name="Normal 11 6 7 4" xfId="37375" xr:uid="{C8AAAF0A-F5F9-456F-A67D-BBCF34D99886}"/>
    <cellStyle name="Normal 11 6 8" xfId="5615" xr:uid="{29CD052C-4E34-4457-A594-468EEC32BFCF}"/>
    <cellStyle name="Normal 11 6 8 2" xfId="13995" xr:uid="{D26DA7D1-3C5E-4305-BB72-6356B97823C8}"/>
    <cellStyle name="Normal 11 6 8 2 2" xfId="30755" xr:uid="{266C2CFD-3470-4D33-9A83-0EFB93172FA7}"/>
    <cellStyle name="Normal 11 6 8 2 3" xfId="47514" xr:uid="{2F991B2E-CC9A-4C71-9F58-42F85D381E8A}"/>
    <cellStyle name="Normal 11 6 8 3" xfId="22375" xr:uid="{654760D0-CCF3-403E-BD91-234B692DCC5D}"/>
    <cellStyle name="Normal 11 6 8 4" xfId="39134" xr:uid="{BB0603EF-CAD5-4E63-9019-CEB8AF973D18}"/>
    <cellStyle name="Normal 11 6 9" xfId="7219" xr:uid="{AB1F1E28-9D7C-4416-B14E-92895AA3085E}"/>
    <cellStyle name="Normal 11 6 9 2" xfId="15599" xr:uid="{F4B0C9D4-E364-4AFF-AD9F-693406DE09C1}"/>
    <cellStyle name="Normal 11 6 9 2 2" xfId="32359" xr:uid="{C370B3D6-4749-4ED5-9A70-465AE00D294A}"/>
    <cellStyle name="Normal 11 6 9 2 3" xfId="49118" xr:uid="{BBEFD702-6DB8-474C-8670-9750752A186E}"/>
    <cellStyle name="Normal 11 6 9 3" xfId="23979" xr:uid="{EA58A4FD-7A67-4C05-B483-F6026873E661}"/>
    <cellStyle name="Normal 11 6 9 4" xfId="40738" xr:uid="{5B8F8DDA-C188-4703-9F71-6DFCCEC3DBB2}"/>
    <cellStyle name="Normal 11 7" xfId="520" xr:uid="{194EC006-6045-4118-92DF-5DDE61AD3282}"/>
    <cellStyle name="Normal 11 7 10" xfId="8479" xr:uid="{2B1ECAB2-D77C-4B1C-8B1E-AD88C9E3C8EE}"/>
    <cellStyle name="Normal 11 7 10 2" xfId="16859" xr:uid="{B8632D84-D666-4B10-8D2A-F04A143893ED}"/>
    <cellStyle name="Normal 11 7 10 2 2" xfId="33619" xr:uid="{F4D16FC0-4806-4E76-A1D2-D4D5DB74383F}"/>
    <cellStyle name="Normal 11 7 10 2 3" xfId="50378" xr:uid="{3F22B759-B94A-4F81-9C30-FFCE81124D10}"/>
    <cellStyle name="Normal 11 7 10 3" xfId="25239" xr:uid="{2A9C09FB-E2D5-4894-B576-1B0E75D3774C}"/>
    <cellStyle name="Normal 11 7 10 4" xfId="41998" xr:uid="{AC6F8C8C-1AA5-4E48-BFD9-901616A1DEB4}"/>
    <cellStyle name="Normal 11 7 11" xfId="2352" xr:uid="{D4959167-08BF-4B71-A17C-A1DF1B24547F}"/>
    <cellStyle name="Normal 11 7 11 2" xfId="10734" xr:uid="{345B3EAC-CCDC-49D6-86D3-633E805DC37C}"/>
    <cellStyle name="Normal 11 7 11 2 2" xfId="27494" xr:uid="{1D63B132-4A22-4F26-9993-6C90DD23CC93}"/>
    <cellStyle name="Normal 11 7 11 2 3" xfId="44253" xr:uid="{DF580AA2-D778-4150-9B28-8FEAA5EDE831}"/>
    <cellStyle name="Normal 11 7 11 3" xfId="19114" xr:uid="{DADC15FE-4121-4A06-A473-75A7C400D0FD}"/>
    <cellStyle name="Normal 11 7 11 4" xfId="35873" xr:uid="{097CD891-B663-4B27-A817-1CE23AC94015}"/>
    <cellStyle name="Normal 11 7 12" xfId="8931" xr:uid="{B3A7682E-67DF-42FA-AAC1-EFC8F54C2140}"/>
    <cellStyle name="Normal 11 7 12 2" xfId="25691" xr:uid="{CD7AE2B2-24D8-4057-9A4B-73BECEEC74AB}"/>
    <cellStyle name="Normal 11 7 12 3" xfId="42450" xr:uid="{1B2CDCE1-1BCD-4F64-8732-E21A581F65A6}"/>
    <cellStyle name="Normal 11 7 13" xfId="17311" xr:uid="{D1A0864E-39D0-488B-9E7F-072EB98CCE94}"/>
    <cellStyle name="Normal 11 7 14" xfId="34070" xr:uid="{DFDD1E0E-93DB-4E2E-8E20-78617EDC2FE8}"/>
    <cellStyle name="Normal 11 7 2" xfId="962" xr:uid="{D5731801-2168-4309-9011-455FFEFA113B}"/>
    <cellStyle name="Normal 11 7 2 2" xfId="4357" xr:uid="{8B747ACE-F7A9-4A69-80CC-DE107A9A796E}"/>
    <cellStyle name="Normal 11 7 2 2 2" xfId="12737" xr:uid="{EE07EF9D-2D32-428D-86B4-99AC799A9D05}"/>
    <cellStyle name="Normal 11 7 2 2 2 2" xfId="29497" xr:uid="{6470238B-2AF5-4A41-A10D-E23169592D98}"/>
    <cellStyle name="Normal 11 7 2 2 2 3" xfId="46256" xr:uid="{52399CD5-A65C-4965-AF23-CB2273470E51}"/>
    <cellStyle name="Normal 11 7 2 2 3" xfId="21117" xr:uid="{0561CFF1-BFFD-4FF2-8ECF-23077A385654}"/>
    <cellStyle name="Normal 11 7 2 2 4" xfId="37876" xr:uid="{05E84EB3-B834-4193-AFBE-F47EB9FD6D03}"/>
    <cellStyle name="Normal 11 7 2 3" xfId="6044" xr:uid="{A57FB125-8B20-4D87-9906-B9EAD8C13FFE}"/>
    <cellStyle name="Normal 11 7 2 3 2" xfId="14424" xr:uid="{B6B2D9F6-E0ED-4E0F-8B87-7217BD6FF89B}"/>
    <cellStyle name="Normal 11 7 2 3 2 2" xfId="31184" xr:uid="{72E05121-1398-4A73-991D-600C9FF7DC33}"/>
    <cellStyle name="Normal 11 7 2 3 2 3" xfId="47943" xr:uid="{F79C96F2-3352-4062-AD54-D5883E7F1A88}"/>
    <cellStyle name="Normal 11 7 2 3 3" xfId="22804" xr:uid="{BA310B99-6DBB-47FF-A2ED-64E1BA9040D1}"/>
    <cellStyle name="Normal 11 7 2 3 4" xfId="39563" xr:uid="{BCBEF6E9-9632-42DB-B464-7ED7201511FC}"/>
    <cellStyle name="Normal 11 7 2 4" xfId="2780" xr:uid="{E7F1EA1E-4785-4CA6-BE34-98055728DA16}"/>
    <cellStyle name="Normal 11 7 2 4 2" xfId="11160" xr:uid="{70D6FEDA-86F6-48DA-8797-AA659A2AA6BF}"/>
    <cellStyle name="Normal 11 7 2 4 2 2" xfId="27920" xr:uid="{DAC0CCD3-B73D-4767-8BE3-D418AA556505}"/>
    <cellStyle name="Normal 11 7 2 4 2 3" xfId="44679" xr:uid="{6EDD5DF5-9457-4136-8F94-D984581F7D32}"/>
    <cellStyle name="Normal 11 7 2 4 3" xfId="19540" xr:uid="{81E68E9D-3E60-4DEE-9818-3FA0FA008846}"/>
    <cellStyle name="Normal 11 7 2 4 4" xfId="36299" xr:uid="{35E08715-8E9D-4C0E-9832-7394E27C5E12}"/>
    <cellStyle name="Normal 11 7 2 5" xfId="9357" xr:uid="{56D0942D-1FE9-408F-AF5A-6749D020E312}"/>
    <cellStyle name="Normal 11 7 2 5 2" xfId="26117" xr:uid="{C6D621C2-3C9C-4DD2-A6EE-843AB679355F}"/>
    <cellStyle name="Normal 11 7 2 5 3" xfId="42876" xr:uid="{FF830741-2BDC-44DB-AC08-03F98DD1887B}"/>
    <cellStyle name="Normal 11 7 2 6" xfId="17737" xr:uid="{69BEBD92-337F-4071-8524-751A2917845B}"/>
    <cellStyle name="Normal 11 7 2 7" xfId="34496" xr:uid="{AB8D3E5D-F100-4BE0-B794-C214B92CF41F}"/>
    <cellStyle name="Normal 11 7 3" xfId="1396" xr:uid="{F35D521F-A16E-420A-B845-430D38C04853}"/>
    <cellStyle name="Normal 11 7 3 2" xfId="4785" xr:uid="{3C95C59D-B950-437C-BA3E-11983D5E4D8D}"/>
    <cellStyle name="Normal 11 7 3 2 2" xfId="13165" xr:uid="{95C3702C-1B9B-405F-8206-045F6760636D}"/>
    <cellStyle name="Normal 11 7 3 2 2 2" xfId="29925" xr:uid="{E7424E19-EA1C-42F7-93A0-45AC95EF0BAB}"/>
    <cellStyle name="Normal 11 7 3 2 2 3" xfId="46684" xr:uid="{6173FFA2-881A-4D3E-8D23-7AF6C6AC836B}"/>
    <cellStyle name="Normal 11 7 3 2 3" xfId="21545" xr:uid="{94FE1776-9E9D-4C11-A63C-C813675E413B}"/>
    <cellStyle name="Normal 11 7 3 2 4" xfId="38304" xr:uid="{6CD36CDB-2AD0-41E8-AA5A-08558FD46497}"/>
    <cellStyle name="Normal 11 7 3 3" xfId="6472" xr:uid="{9DEE1624-11C4-4B7B-BBC7-A0D32645B3CC}"/>
    <cellStyle name="Normal 11 7 3 3 2" xfId="14852" xr:uid="{3FA9E4A1-871C-45D2-8B14-F2CCF9F5DF8A}"/>
    <cellStyle name="Normal 11 7 3 3 2 2" xfId="31612" xr:uid="{07074BAF-B737-4E29-9EE2-11E973D69CCD}"/>
    <cellStyle name="Normal 11 7 3 3 2 3" xfId="48371" xr:uid="{528FBB06-4EA1-4D6D-8835-842B0C9EE2FE}"/>
    <cellStyle name="Normal 11 7 3 3 3" xfId="23232" xr:uid="{41443A86-0ACB-4FD2-9276-7697311B173F}"/>
    <cellStyle name="Normal 11 7 3 3 4" xfId="39991" xr:uid="{EC3FA2C2-4012-47CA-907B-932E3EB05E91}"/>
    <cellStyle name="Normal 11 7 3 4" xfId="3208" xr:uid="{A0A40D85-B964-4536-9716-97FD608BB99A}"/>
    <cellStyle name="Normal 11 7 3 4 2" xfId="11588" xr:uid="{10D4DB0A-B62B-4DE7-ACB9-EE7AC87A9655}"/>
    <cellStyle name="Normal 11 7 3 4 2 2" xfId="28348" xr:uid="{5F731830-0D80-488B-9C66-471A297B5077}"/>
    <cellStyle name="Normal 11 7 3 4 2 3" xfId="45107" xr:uid="{3A4525C5-2301-4905-A16D-FDA800FBBB67}"/>
    <cellStyle name="Normal 11 7 3 4 3" xfId="19968" xr:uid="{154B1668-B44A-407B-8187-C388133E6A92}"/>
    <cellStyle name="Normal 11 7 3 4 4" xfId="36727" xr:uid="{70249B37-4723-47A7-9386-0F8840F49452}"/>
    <cellStyle name="Normal 11 7 3 5" xfId="9785" xr:uid="{3E961F50-A558-45B1-A519-1CA4312E22BE}"/>
    <cellStyle name="Normal 11 7 3 5 2" xfId="26545" xr:uid="{985F9E0E-6097-4ED9-BCD1-6D5FC90DB0F3}"/>
    <cellStyle name="Normal 11 7 3 5 3" xfId="43304" xr:uid="{99D1EFEB-F976-4018-9427-98BB5B995901}"/>
    <cellStyle name="Normal 11 7 3 6" xfId="18165" xr:uid="{2636CF66-A038-482A-9972-76466D36EBFC}"/>
    <cellStyle name="Normal 11 7 3 7" xfId="34924" xr:uid="{DE4FB923-F940-4C51-8DAC-847E7A960DE0}"/>
    <cellStyle name="Normal 11 7 4" xfId="1779" xr:uid="{0F9234AE-96D2-40D9-8575-7E0B488D436F}"/>
    <cellStyle name="Normal 11 7 4 2" xfId="5168" xr:uid="{BDE6C7C9-8498-4BC9-9FE2-D9DE32544A73}"/>
    <cellStyle name="Normal 11 7 4 2 2" xfId="13548" xr:uid="{E3472C77-D559-4C72-A168-098C49C2ABEE}"/>
    <cellStyle name="Normal 11 7 4 2 2 2" xfId="30308" xr:uid="{037E3530-F268-4FF8-91FC-9D4058AD2038}"/>
    <cellStyle name="Normal 11 7 4 2 2 3" xfId="47067" xr:uid="{31DD5CAD-BB82-4E7F-A602-31BD1DC704FD}"/>
    <cellStyle name="Normal 11 7 4 2 3" xfId="21928" xr:uid="{473B922A-F356-4746-B83F-861B315ADE24}"/>
    <cellStyle name="Normal 11 7 4 2 4" xfId="38687" xr:uid="{5AABE144-310D-4756-80BA-87F8ADC0D628}"/>
    <cellStyle name="Normal 11 7 4 3" xfId="6855" xr:uid="{6A36575B-45B9-4CC7-A384-9777ECFD4C6A}"/>
    <cellStyle name="Normal 11 7 4 3 2" xfId="15235" xr:uid="{80173E21-6795-49E4-8B5C-7BEFFBD39CA7}"/>
    <cellStyle name="Normal 11 7 4 3 2 2" xfId="31995" xr:uid="{E95462C8-E3AF-46B7-8269-D439561C8325}"/>
    <cellStyle name="Normal 11 7 4 3 2 3" xfId="48754" xr:uid="{7F8DA8EF-8A00-41BD-B2EF-68DEEA909259}"/>
    <cellStyle name="Normal 11 7 4 3 3" xfId="23615" xr:uid="{E32EFC0D-C989-467A-BC3C-55B549DF94F0}"/>
    <cellStyle name="Normal 11 7 4 3 4" xfId="40374" xr:uid="{63B66EDE-5BB5-4402-AD8E-59CEBA7E85ED}"/>
    <cellStyle name="Normal 11 7 4 4" xfId="3479" xr:uid="{6704E7CC-BF02-453D-8F53-2061AB5E36C3}"/>
    <cellStyle name="Normal 11 7 4 4 2" xfId="11859" xr:uid="{BAA8517C-ECAF-462F-AE3D-AB5C04E26850}"/>
    <cellStyle name="Normal 11 7 4 4 2 2" xfId="28619" xr:uid="{1E428653-69B2-4DB3-B1E0-B732A042E7F5}"/>
    <cellStyle name="Normal 11 7 4 4 2 3" xfId="45378" xr:uid="{FB3964C2-6DA1-4788-AC96-51065ACCC10E}"/>
    <cellStyle name="Normal 11 7 4 4 3" xfId="20239" xr:uid="{1ED61000-08D4-4887-9F92-9DB291B2D217}"/>
    <cellStyle name="Normal 11 7 4 4 4" xfId="36998" xr:uid="{B6CD8957-AC9D-423A-A342-7AD0E5117F1E}"/>
    <cellStyle name="Normal 11 7 4 5" xfId="10168" xr:uid="{09E88DEE-B979-4E90-8E32-25C68AC5062E}"/>
    <cellStyle name="Normal 11 7 4 5 2" xfId="26928" xr:uid="{72C61CE1-FE4E-4833-8828-53E2431EE2E6}"/>
    <cellStyle name="Normal 11 7 4 5 3" xfId="43687" xr:uid="{FEB9F6CF-6192-4442-818C-20D6CD478FBA}"/>
    <cellStyle name="Normal 11 7 4 6" xfId="18548" xr:uid="{38C0FA0F-4A13-41FB-BB57-6A364332F9D6}"/>
    <cellStyle name="Normal 11 7 4 7" xfId="35307" xr:uid="{72036582-6910-4414-9EFB-4B480DB06F3C}"/>
    <cellStyle name="Normal 11 7 5" xfId="3898" xr:uid="{6F50C5CB-0836-49D3-837D-C6BFEAA92ED1}"/>
    <cellStyle name="Normal 11 7 5 2" xfId="12278" xr:uid="{0E15DEA6-B28E-4A47-9B65-DBBA67FC2E19}"/>
    <cellStyle name="Normal 11 7 5 2 2" xfId="29038" xr:uid="{E58AC17F-15C8-4599-BAF0-A64363023A82}"/>
    <cellStyle name="Normal 11 7 5 2 3" xfId="45797" xr:uid="{F7624C8D-D72F-4121-BE0A-7ACDD4F48799}"/>
    <cellStyle name="Normal 11 7 5 3" xfId="20658" xr:uid="{6DD225B3-A937-48BD-8FDF-575C3074F531}"/>
    <cellStyle name="Normal 11 7 5 4" xfId="37417" xr:uid="{33A58448-954D-43D4-BE75-596AE2109316}"/>
    <cellStyle name="Normal 11 7 6" xfId="5618" xr:uid="{0D30E62C-8D49-413B-9ADA-2600290F8A0D}"/>
    <cellStyle name="Normal 11 7 6 2" xfId="13998" xr:uid="{CC3B71E3-14D4-4239-A0BE-3B27E5F47268}"/>
    <cellStyle name="Normal 11 7 6 2 2" xfId="30758" xr:uid="{B34806ED-E3EA-4F90-A3A2-D8641F97DF02}"/>
    <cellStyle name="Normal 11 7 6 2 3" xfId="47517" xr:uid="{8C0D061D-7338-48F7-BC4D-B45C9CAB12A0}"/>
    <cellStyle name="Normal 11 7 6 3" xfId="22378" xr:uid="{00DE7788-FF9E-4991-9EDF-E949AF3A2AAF}"/>
    <cellStyle name="Normal 11 7 6 4" xfId="39137" xr:uid="{8477A108-EEF6-4DD0-829D-74444D99F16A}"/>
    <cellStyle name="Normal 11 7 7" xfId="7261" xr:uid="{BCCF17C1-08E1-4DDE-B228-78094E3E6284}"/>
    <cellStyle name="Normal 11 7 7 2" xfId="15641" xr:uid="{A84E688E-D08F-4D94-A02B-16D46B8577A5}"/>
    <cellStyle name="Normal 11 7 7 2 2" xfId="32401" xr:uid="{20E6E6AB-89DC-4B0B-80F8-F6CA63534E93}"/>
    <cellStyle name="Normal 11 7 7 2 3" xfId="49160" xr:uid="{53B2D34C-294E-4F2C-A4C8-F167FDA49AA0}"/>
    <cellStyle name="Normal 11 7 7 3" xfId="24021" xr:uid="{C8796DC8-6571-447F-BD4D-039B7D5E0992}"/>
    <cellStyle name="Normal 11 7 7 4" xfId="40780" xr:uid="{64B48C23-0911-4D72-A5B9-E809352B18BF}"/>
    <cellStyle name="Normal 11 7 8" xfId="7667" xr:uid="{CF44D36D-7397-4E02-9329-18AC94A1CDF8}"/>
    <cellStyle name="Normal 11 7 8 2" xfId="16047" xr:uid="{0BB19EF0-466E-494D-97E4-312D9CE07803}"/>
    <cellStyle name="Normal 11 7 8 2 2" xfId="32807" xr:uid="{52E5A355-46DD-4FE2-BC81-FF129F2DF956}"/>
    <cellStyle name="Normal 11 7 8 2 3" xfId="49566" xr:uid="{12D6C3BC-231A-4C62-A3FA-E91A36E4A6B2}"/>
    <cellStyle name="Normal 11 7 8 3" xfId="24427" xr:uid="{E120C464-8E05-470E-BEEF-E573C25600E1}"/>
    <cellStyle name="Normal 11 7 8 4" xfId="41186" xr:uid="{332C906D-59C8-4260-9AEF-A8D5BFA820BE}"/>
    <cellStyle name="Normal 11 7 9" xfId="8073" xr:uid="{2C3822A1-FF49-4E07-A2FE-64CDF7A44304}"/>
    <cellStyle name="Normal 11 7 9 2" xfId="16453" xr:uid="{AA15256F-F551-4850-AF61-E885CF0ECEB2}"/>
    <cellStyle name="Normal 11 7 9 2 2" xfId="33213" xr:uid="{52F0CAF9-5827-4C4A-AF6D-501DF4568667}"/>
    <cellStyle name="Normal 11 7 9 2 3" xfId="49972" xr:uid="{819B92A5-5F2B-447E-A341-ABFF4E033BE9}"/>
    <cellStyle name="Normal 11 7 9 3" xfId="24833" xr:uid="{0B812E85-36A9-4F24-86AC-53AA08A9D3D7}"/>
    <cellStyle name="Normal 11 7 9 4" xfId="41592" xr:uid="{5B4A39F6-796F-42B8-87A5-2512D9B0AEC4}"/>
    <cellStyle name="Normal 11 8" xfId="521" xr:uid="{12C43C0B-ACA3-4DCC-BED7-A23CB7E2C163}"/>
    <cellStyle name="Normal 11 8 10" xfId="8601" xr:uid="{36181352-0B67-4736-8483-06AC44B241A7}"/>
    <cellStyle name="Normal 11 8 10 2" xfId="16981" xr:uid="{FB5C012C-C383-4FAA-AED6-42BF8AA41E01}"/>
    <cellStyle name="Normal 11 8 10 2 2" xfId="33741" xr:uid="{EA288666-C8EC-4041-AC16-AFF41D8C2498}"/>
    <cellStyle name="Normal 11 8 10 2 3" xfId="50500" xr:uid="{15CCD056-4735-4BAD-9593-CFDB501F0991}"/>
    <cellStyle name="Normal 11 8 10 3" xfId="25361" xr:uid="{8ADB2270-181E-49A2-9F9C-B0752189ABB5}"/>
    <cellStyle name="Normal 11 8 10 4" xfId="42120" xr:uid="{964D2550-D34B-427F-81E7-988ADF927B49}"/>
    <cellStyle name="Normal 11 8 11" xfId="2353" xr:uid="{30136B02-8766-499F-BA3F-1F5A8FA944DF}"/>
    <cellStyle name="Normal 11 8 11 2" xfId="10735" xr:uid="{134A9ADD-EF12-4708-9533-0E002A9887BC}"/>
    <cellStyle name="Normal 11 8 11 2 2" xfId="27495" xr:uid="{ECB98198-5E55-4C61-9D06-9CB439AA04AA}"/>
    <cellStyle name="Normal 11 8 11 2 3" xfId="44254" xr:uid="{7B4F68E2-714D-4AA9-B0DD-4F7DAACD6650}"/>
    <cellStyle name="Normal 11 8 11 3" xfId="19115" xr:uid="{887774E6-EF4F-497E-B6C0-19BA6027AFDB}"/>
    <cellStyle name="Normal 11 8 11 4" xfId="35874" xr:uid="{E7B91928-D284-4891-945E-B05331F879DB}"/>
    <cellStyle name="Normal 11 8 12" xfId="8932" xr:uid="{1D75C5B7-3576-4DF3-8EC3-AFEDA7E1A340}"/>
    <cellStyle name="Normal 11 8 12 2" xfId="25692" xr:uid="{67FD571B-0FCC-4186-9131-C2B3AE444533}"/>
    <cellStyle name="Normal 11 8 12 3" xfId="42451" xr:uid="{5126A08B-9F94-4283-8FE0-FB24CF53293D}"/>
    <cellStyle name="Normal 11 8 13" xfId="17312" xr:uid="{5055FDE7-106C-4A39-9398-731751EC1EA1}"/>
    <cellStyle name="Normal 11 8 14" xfId="34071" xr:uid="{EBED5886-D3EB-4DEE-834D-1A37C835B76D}"/>
    <cellStyle name="Normal 11 8 2" xfId="963" xr:uid="{78B207DC-A488-4082-9868-D1437F94CB8C}"/>
    <cellStyle name="Normal 11 8 2 2" xfId="4358" xr:uid="{2558FBB9-2065-45AC-BE81-FBA809127F73}"/>
    <cellStyle name="Normal 11 8 2 2 2" xfId="12738" xr:uid="{26F0705B-39CD-455F-A341-45B2637FB83A}"/>
    <cellStyle name="Normal 11 8 2 2 2 2" xfId="29498" xr:uid="{AE587A23-4282-47AE-859E-4F3152BBCEF9}"/>
    <cellStyle name="Normal 11 8 2 2 2 3" xfId="46257" xr:uid="{24C796C3-A95C-4F6C-A5A3-6FA717405681}"/>
    <cellStyle name="Normal 11 8 2 2 3" xfId="21118" xr:uid="{672DDBBC-5097-4A6C-A4B3-CE98C3DE603D}"/>
    <cellStyle name="Normal 11 8 2 2 4" xfId="37877" xr:uid="{FD657289-F690-40F4-8C2B-D7C4D46E8546}"/>
    <cellStyle name="Normal 11 8 2 3" xfId="6045" xr:uid="{D5133125-A0B6-4540-8755-5C7A74A10756}"/>
    <cellStyle name="Normal 11 8 2 3 2" xfId="14425" xr:uid="{6851638F-3EE6-4C49-90D8-78954E0A5A34}"/>
    <cellStyle name="Normal 11 8 2 3 2 2" xfId="31185" xr:uid="{DD1F72BF-2DED-49FE-BC55-7378B59ACF20}"/>
    <cellStyle name="Normal 11 8 2 3 2 3" xfId="47944" xr:uid="{82EBD8F6-F318-4109-920F-CA5D933CFE3D}"/>
    <cellStyle name="Normal 11 8 2 3 3" xfId="22805" xr:uid="{3A8DFEB7-C5B3-4992-A9AC-3F0B756DF4D7}"/>
    <cellStyle name="Normal 11 8 2 3 4" xfId="39564" xr:uid="{BEC750C7-99DF-46A7-B008-6C66301CC36A}"/>
    <cellStyle name="Normal 11 8 2 4" xfId="2781" xr:uid="{A3217281-2ECA-45D2-AA09-E1FDC4AEC838}"/>
    <cellStyle name="Normal 11 8 2 4 2" xfId="11161" xr:uid="{E2EE24F2-6D09-4A68-9FE6-DC0F23C7CFBC}"/>
    <cellStyle name="Normal 11 8 2 4 2 2" xfId="27921" xr:uid="{DCE98C0A-3120-404B-B476-E6B94DB53587}"/>
    <cellStyle name="Normal 11 8 2 4 2 3" xfId="44680" xr:uid="{60A26ADD-7ACA-4A9A-9FDC-C2AC51B20DC8}"/>
    <cellStyle name="Normal 11 8 2 4 3" xfId="19541" xr:uid="{00F1D9BE-DA4E-4675-8D57-05F813A4173B}"/>
    <cellStyle name="Normal 11 8 2 4 4" xfId="36300" xr:uid="{B0769A34-EC8C-4CA1-BCFF-E69C57D22109}"/>
    <cellStyle name="Normal 11 8 2 5" xfId="9358" xr:uid="{447B06E8-2180-486A-83EE-85A02C30C9AF}"/>
    <cellStyle name="Normal 11 8 2 5 2" xfId="26118" xr:uid="{34F00F77-E679-4E3F-BFBF-5C3F054E7162}"/>
    <cellStyle name="Normal 11 8 2 5 3" xfId="42877" xr:uid="{EA549FAA-DA30-4AFF-BB67-4BB4B139A19B}"/>
    <cellStyle name="Normal 11 8 2 6" xfId="17738" xr:uid="{565E319B-BE97-4BDB-B0BE-D6F18F5C6C29}"/>
    <cellStyle name="Normal 11 8 2 7" xfId="34497" xr:uid="{112CC42F-CCA6-45DF-8399-4130262CB39E}"/>
    <cellStyle name="Normal 11 8 3" xfId="1397" xr:uid="{4586A38C-F19D-4E26-ADFE-95E496E1425F}"/>
    <cellStyle name="Normal 11 8 3 2" xfId="4786" xr:uid="{DB7DDB67-1BB2-4907-94A5-A5AA532AA1E2}"/>
    <cellStyle name="Normal 11 8 3 2 2" xfId="13166" xr:uid="{868F3997-8F09-4B0D-B383-E452AE675688}"/>
    <cellStyle name="Normal 11 8 3 2 2 2" xfId="29926" xr:uid="{B7A26745-32BD-4D93-ADBE-FBF9B819CB48}"/>
    <cellStyle name="Normal 11 8 3 2 2 3" xfId="46685" xr:uid="{74500B1D-1373-4D41-A704-4F6019F6EF20}"/>
    <cellStyle name="Normal 11 8 3 2 3" xfId="21546" xr:uid="{4DB2310D-CD88-4B8F-8D0D-0A55B03DB1A4}"/>
    <cellStyle name="Normal 11 8 3 2 4" xfId="38305" xr:uid="{A7BBBE25-A1FD-4EAA-A858-85E0032BB21D}"/>
    <cellStyle name="Normal 11 8 3 3" xfId="6473" xr:uid="{44B2EA2F-1FBF-4BD8-B9ED-A83FE605BE37}"/>
    <cellStyle name="Normal 11 8 3 3 2" xfId="14853" xr:uid="{91C5B1E2-5932-4BC5-B29F-EB46DB6316A8}"/>
    <cellStyle name="Normal 11 8 3 3 2 2" xfId="31613" xr:uid="{A69CF14C-8461-4DE4-930D-1370E168D3A1}"/>
    <cellStyle name="Normal 11 8 3 3 2 3" xfId="48372" xr:uid="{68B30304-E5C2-4F43-8890-43EC3FF302D7}"/>
    <cellStyle name="Normal 11 8 3 3 3" xfId="23233" xr:uid="{19C21B83-8F09-45CB-AFD9-90F5D1418EC5}"/>
    <cellStyle name="Normal 11 8 3 3 4" xfId="39992" xr:uid="{773E47C5-F69D-466B-A8EA-F1FDF7531EC6}"/>
    <cellStyle name="Normal 11 8 3 4" xfId="3209" xr:uid="{6CF3C155-252F-417A-9052-51C6DCA07BF2}"/>
    <cellStyle name="Normal 11 8 3 4 2" xfId="11589" xr:uid="{CEFBC01A-B662-46FC-9324-DD6FB319343F}"/>
    <cellStyle name="Normal 11 8 3 4 2 2" xfId="28349" xr:uid="{78084E43-9ED8-4353-B6C4-F943675DBA82}"/>
    <cellStyle name="Normal 11 8 3 4 2 3" xfId="45108" xr:uid="{7518AD5F-7EE7-49D1-91BC-ED98D1DD8252}"/>
    <cellStyle name="Normal 11 8 3 4 3" xfId="19969" xr:uid="{0B4851D3-6766-4680-860E-CABCCA68B40E}"/>
    <cellStyle name="Normal 11 8 3 4 4" xfId="36728" xr:uid="{CC55E31E-95A6-4793-A426-85027A5AB829}"/>
    <cellStyle name="Normal 11 8 3 5" xfId="9786" xr:uid="{81B1DE7B-306D-42AF-806B-17DA7B72B274}"/>
    <cellStyle name="Normal 11 8 3 5 2" xfId="26546" xr:uid="{237B3E40-EB37-471E-9782-891933579DF4}"/>
    <cellStyle name="Normal 11 8 3 5 3" xfId="43305" xr:uid="{216F3859-7273-4B81-885A-159FD5A800F3}"/>
    <cellStyle name="Normal 11 8 3 6" xfId="18166" xr:uid="{945A8983-4EA5-4008-B18A-D9BCBE32BBF9}"/>
    <cellStyle name="Normal 11 8 3 7" xfId="34925" xr:uid="{8510846D-3C17-41E2-B8B1-E6E801288907}"/>
    <cellStyle name="Normal 11 8 4" xfId="1901" xr:uid="{4D95B1CB-3345-45E0-8B10-33BB8F7EF2CF}"/>
    <cellStyle name="Normal 11 8 4 2" xfId="5290" xr:uid="{04E58E7A-3BFB-4C5C-8327-D97FD6C6719C}"/>
    <cellStyle name="Normal 11 8 4 2 2" xfId="13670" xr:uid="{2FBADA20-0DD4-489F-B8B4-C335EC81C27B}"/>
    <cellStyle name="Normal 11 8 4 2 2 2" xfId="30430" xr:uid="{9CAB825A-85E6-45FE-9756-8D738A4497D3}"/>
    <cellStyle name="Normal 11 8 4 2 2 3" xfId="47189" xr:uid="{08244FAC-3310-4E50-B802-7E5A5A39F213}"/>
    <cellStyle name="Normal 11 8 4 2 3" xfId="22050" xr:uid="{A6917CE2-43E9-467E-BA71-886FAD066E30}"/>
    <cellStyle name="Normal 11 8 4 2 4" xfId="38809" xr:uid="{71F567F4-3B37-4436-BCDB-77FED2C67A3F}"/>
    <cellStyle name="Normal 11 8 4 3" xfId="6977" xr:uid="{6D0D1E21-8AAB-4A9E-9DEA-34347ED28F09}"/>
    <cellStyle name="Normal 11 8 4 3 2" xfId="15357" xr:uid="{B1D6AB57-2731-481A-8D6F-F483B6AFD16A}"/>
    <cellStyle name="Normal 11 8 4 3 2 2" xfId="32117" xr:uid="{0DA83F0E-291A-44E3-BCE1-157152604476}"/>
    <cellStyle name="Normal 11 8 4 3 2 3" xfId="48876" xr:uid="{D05D47C3-31FA-4908-B9C6-54E8259592D2}"/>
    <cellStyle name="Normal 11 8 4 3 3" xfId="23737" xr:uid="{A8F42C54-2191-4E16-880C-AA5FE2A9DE07}"/>
    <cellStyle name="Normal 11 8 4 3 4" xfId="40496" xr:uid="{6EFF620D-0EF3-4DE2-87E0-6B04E00BD852}"/>
    <cellStyle name="Normal 11 8 4 4" xfId="3600" xr:uid="{CF3C7567-9E73-44E3-A762-E299D8124A93}"/>
    <cellStyle name="Normal 11 8 4 4 2" xfId="11980" xr:uid="{5F24276F-FA54-4FF4-926E-F2BEBC5E415D}"/>
    <cellStyle name="Normal 11 8 4 4 2 2" xfId="28740" xr:uid="{62E5AC59-6FDA-491E-9F78-1A71AA08FBA2}"/>
    <cellStyle name="Normal 11 8 4 4 2 3" xfId="45499" xr:uid="{2C9FEBEB-F95D-47BF-91F4-E4B62AC1F9B3}"/>
    <cellStyle name="Normal 11 8 4 4 3" xfId="20360" xr:uid="{98FEF1DA-440D-4D4B-BA8C-A6219E8C833F}"/>
    <cellStyle name="Normal 11 8 4 4 4" xfId="37119" xr:uid="{328EF046-1DDB-4B4D-B7DC-E38299FCCF05}"/>
    <cellStyle name="Normal 11 8 4 5" xfId="10290" xr:uid="{4F6FCCCB-4852-4735-AED2-FE19069FCBF4}"/>
    <cellStyle name="Normal 11 8 4 5 2" xfId="27050" xr:uid="{29039575-B91F-4226-9B69-679E113E5833}"/>
    <cellStyle name="Normal 11 8 4 5 3" xfId="43809" xr:uid="{EE0B700C-978C-4E14-A5E1-BCC5FCC91489}"/>
    <cellStyle name="Normal 11 8 4 6" xfId="18670" xr:uid="{796C4C2C-379B-49EA-9DA0-32985AFF0188}"/>
    <cellStyle name="Normal 11 8 4 7" xfId="35429" xr:uid="{12873EEB-C226-4D8A-82A9-332AD4D50ADC}"/>
    <cellStyle name="Normal 11 8 5" xfId="4020" xr:uid="{E604721B-6A46-4E0D-B2F4-B4B6DBAC4A1F}"/>
    <cellStyle name="Normal 11 8 5 2" xfId="12400" xr:uid="{FA0EF094-72A7-44F1-811E-688796EDA6FF}"/>
    <cellStyle name="Normal 11 8 5 2 2" xfId="29160" xr:uid="{0CFF365D-213E-4908-B25F-F816AA1C63C3}"/>
    <cellStyle name="Normal 11 8 5 2 3" xfId="45919" xr:uid="{930101BF-AE87-4B10-8670-0CD6DCA37794}"/>
    <cellStyle name="Normal 11 8 5 3" xfId="20780" xr:uid="{D490DE83-DCF3-45C3-A0EC-28C535A87730}"/>
    <cellStyle name="Normal 11 8 5 4" xfId="37539" xr:uid="{B74E5D88-E146-45E4-BCE8-C448E80014D4}"/>
    <cellStyle name="Normal 11 8 6" xfId="5619" xr:uid="{F12E1683-7C4E-47AC-8F8F-558EDEC13A3E}"/>
    <cellStyle name="Normal 11 8 6 2" xfId="13999" xr:uid="{12C75866-D74A-4DDE-A0C6-98026BCC20F9}"/>
    <cellStyle name="Normal 11 8 6 2 2" xfId="30759" xr:uid="{3570CF35-4D8E-4EBF-9281-9D5C593AF470}"/>
    <cellStyle name="Normal 11 8 6 2 3" xfId="47518" xr:uid="{1E4F4EEA-D6B5-4143-97E0-A9C8DAAF4540}"/>
    <cellStyle name="Normal 11 8 6 3" xfId="22379" xr:uid="{69B00B77-574D-4952-BFAE-32156D57D794}"/>
    <cellStyle name="Normal 11 8 6 4" xfId="39138" xr:uid="{15F80DF7-BFB9-4553-8DA2-40ACBC13AC6E}"/>
    <cellStyle name="Normal 11 8 7" xfId="7383" xr:uid="{C5DE7B44-10BD-4372-852C-AE3D429395F7}"/>
    <cellStyle name="Normal 11 8 7 2" xfId="15763" xr:uid="{1BC46428-F631-40C7-9D72-B6AF98FCCAAB}"/>
    <cellStyle name="Normal 11 8 7 2 2" xfId="32523" xr:uid="{2E27ED0E-BC21-4F31-9314-7D346DADFEE5}"/>
    <cellStyle name="Normal 11 8 7 2 3" xfId="49282" xr:uid="{525572D8-3BB1-42DC-8880-39367A7195C7}"/>
    <cellStyle name="Normal 11 8 7 3" xfId="24143" xr:uid="{82128FED-6107-4008-859A-22B867305507}"/>
    <cellStyle name="Normal 11 8 7 4" xfId="40902" xr:uid="{765FB808-DB02-45DD-B92E-E0C78AA2B4EA}"/>
    <cellStyle name="Normal 11 8 8" xfId="7789" xr:uid="{99A15B00-1E22-4EB9-B079-EF8D890DADAE}"/>
    <cellStyle name="Normal 11 8 8 2" xfId="16169" xr:uid="{13F19803-D2F9-4762-9568-4C87EA92E893}"/>
    <cellStyle name="Normal 11 8 8 2 2" xfId="32929" xr:uid="{EDE6559D-04D2-46F4-A295-75C7C45B0165}"/>
    <cellStyle name="Normal 11 8 8 2 3" xfId="49688" xr:uid="{17620AFA-7E73-420E-BB10-35A8005A211C}"/>
    <cellStyle name="Normal 11 8 8 3" xfId="24549" xr:uid="{358CA43E-A4ED-47BF-9A5F-6C9F6487BBAB}"/>
    <cellStyle name="Normal 11 8 8 4" xfId="41308" xr:uid="{F85A0AC1-6E4C-4CBA-8A57-C4FB3394D968}"/>
    <cellStyle name="Normal 11 8 9" xfId="8195" xr:uid="{080C2E2F-610B-446E-BEEC-9F8C6EA7663D}"/>
    <cellStyle name="Normal 11 8 9 2" xfId="16575" xr:uid="{907FEA24-EEEE-4559-BE7F-168D9D9CE1A7}"/>
    <cellStyle name="Normal 11 8 9 2 2" xfId="33335" xr:uid="{EA3D8CDF-58A5-48B4-9DAF-92B4CE3E2FFF}"/>
    <cellStyle name="Normal 11 8 9 2 3" xfId="50094" xr:uid="{66ED82CC-09CD-404A-A079-2091B139DF35}"/>
    <cellStyle name="Normal 11 8 9 3" xfId="24955" xr:uid="{F3AD3BB7-4D54-437F-BB91-B37B19B3D8E5}"/>
    <cellStyle name="Normal 11 8 9 4" xfId="41714" xr:uid="{7D7478FC-FCB4-40B4-8774-E023056133F1}"/>
    <cellStyle name="Normal 11 9" xfId="765" xr:uid="{8E968AC0-5AAF-4A49-8E9D-BCEA924563AF}"/>
    <cellStyle name="Normal 11 9 2" xfId="4160" xr:uid="{57DC948E-7779-4193-8D14-9AADF3946829}"/>
    <cellStyle name="Normal 11 9 2 2" xfId="12540" xr:uid="{6AFE3138-F76D-4A70-9B92-9ACBDF01CEBC}"/>
    <cellStyle name="Normal 11 9 2 2 2" xfId="29300" xr:uid="{FF89F3D7-F520-416F-9894-62E40B25F3F5}"/>
    <cellStyle name="Normal 11 9 2 2 3" xfId="46059" xr:uid="{865A2BDC-075B-456B-AB46-6F9708C0DB6C}"/>
    <cellStyle name="Normal 11 9 2 3" xfId="20920" xr:uid="{6394DFD2-AF35-49F1-83C0-1486F2F21C4E}"/>
    <cellStyle name="Normal 11 9 2 4" xfId="37679" xr:uid="{F1909607-CE1D-4DA7-BED4-EDCF955E2D8B}"/>
    <cellStyle name="Normal 11 9 3" xfId="5847" xr:uid="{8FEEF70A-68CA-4E68-BA35-0CE97D14E36E}"/>
    <cellStyle name="Normal 11 9 3 2" xfId="14227" xr:uid="{BB7978A6-5F84-4FAF-8805-3E2A913217EC}"/>
    <cellStyle name="Normal 11 9 3 2 2" xfId="30987" xr:uid="{FBACD5C5-B5FD-40CF-8B1D-C62819352B84}"/>
    <cellStyle name="Normal 11 9 3 2 3" xfId="47746" xr:uid="{14814A30-A93E-463A-B13A-FD387FE9657B}"/>
    <cellStyle name="Normal 11 9 3 3" xfId="22607" xr:uid="{51DAD8B5-2B07-4803-B510-23FAF9C0B5FF}"/>
    <cellStyle name="Normal 11 9 3 4" xfId="39366" xr:uid="{5F482C31-C81D-492A-BA6B-3279E80EDF3D}"/>
    <cellStyle name="Normal 11 9 4" xfId="2583" xr:uid="{83A4D130-3283-41A0-8D6E-4621941F9F6D}"/>
    <cellStyle name="Normal 11 9 4 2" xfId="10963" xr:uid="{AF233634-B561-42CD-9057-8F127F305386}"/>
    <cellStyle name="Normal 11 9 4 2 2" xfId="27723" xr:uid="{34A6B6F4-A564-4E2D-8C22-C47EC802A61D}"/>
    <cellStyle name="Normal 11 9 4 2 3" xfId="44482" xr:uid="{B0BEDD67-4489-4810-B8FF-CA13C55001B9}"/>
    <cellStyle name="Normal 11 9 4 3" xfId="19343" xr:uid="{5EAAB58C-D7DA-48F3-A0AA-5A759642FFCF}"/>
    <cellStyle name="Normal 11 9 4 4" xfId="36102" xr:uid="{E6978723-1CC8-4391-AE22-2DA3E88330F6}"/>
    <cellStyle name="Normal 11 9 5" xfId="9160" xr:uid="{57CEB31B-0D52-4A8F-9DF3-06B359D6B7C1}"/>
    <cellStyle name="Normal 11 9 5 2" xfId="25920" xr:uid="{E807EDFF-71F9-4B5C-A4F9-9A6E50843338}"/>
    <cellStyle name="Normal 11 9 5 3" xfId="42679" xr:uid="{41C1F757-3936-4E75-AE77-2303BE40FE6B}"/>
    <cellStyle name="Normal 11 9 6" xfId="17540" xr:uid="{EB8C2E3C-1ECA-4064-AF3F-FDE9DFA4D514}"/>
    <cellStyle name="Normal 11 9 7" xfId="34299" xr:uid="{35E43C19-4CA0-4FE6-A72B-7D66F86818A3}"/>
    <cellStyle name="Normal 12" xfId="149" xr:uid="{09F929CA-95CE-4FF6-8965-026C0257A3E3}"/>
    <cellStyle name="Normal 12 10" xfId="1632" xr:uid="{A5B9B809-F20F-4420-901C-A1CA95A661D5}"/>
    <cellStyle name="Normal 12 10 2" xfId="5021" xr:uid="{20892442-E96D-404A-B5C2-092CC3799F58}"/>
    <cellStyle name="Normal 12 10 2 2" xfId="13401" xr:uid="{8F07D039-F4A1-481D-BDDA-6EB3BBC5AE84}"/>
    <cellStyle name="Normal 12 10 2 2 2" xfId="30161" xr:uid="{072EDBAC-C35A-42DF-8BCB-43826C27F64B}"/>
    <cellStyle name="Normal 12 10 2 2 3" xfId="46920" xr:uid="{97EEF962-F293-4329-B00C-E4FEC3235A45}"/>
    <cellStyle name="Normal 12 10 2 3" xfId="21781" xr:uid="{8FEBE25F-1F40-41BD-8219-13AA653D1CC5}"/>
    <cellStyle name="Normal 12 10 2 4" xfId="38540" xr:uid="{B6C878FB-7656-4061-B859-81317A0ECC09}"/>
    <cellStyle name="Normal 12 10 3" xfId="6708" xr:uid="{350DCD37-A156-4AD8-A429-316094D5B1E0}"/>
    <cellStyle name="Normal 12 10 3 2" xfId="15088" xr:uid="{E0EC3226-9DC2-452F-979F-FFE863BC268E}"/>
    <cellStyle name="Normal 12 10 3 2 2" xfId="31848" xr:uid="{C01792EC-8D3B-4BE0-8579-BB133DC9C5E3}"/>
    <cellStyle name="Normal 12 10 3 2 3" xfId="48607" xr:uid="{8586E7CC-377A-409E-9FFB-310F428CB579}"/>
    <cellStyle name="Normal 12 10 3 3" xfId="23468" xr:uid="{C3156D55-666D-4EFC-92C6-4F9E6BB7C387}"/>
    <cellStyle name="Normal 12 10 3 4" xfId="40227" xr:uid="{C98CE150-9AE9-452B-B41C-5D3FA557401B}"/>
    <cellStyle name="Normal 12 10 4" xfId="2147" xr:uid="{3F8A1CC6-0A78-446D-AA29-8AA3B5CE2612}"/>
    <cellStyle name="Normal 12 10 4 2" xfId="10535" xr:uid="{22A3BA1F-A5AB-414F-B9B1-CFBE7CAB9F2A}"/>
    <cellStyle name="Normal 12 10 4 2 2" xfId="27295" xr:uid="{DD208A8F-3655-4E9C-BE48-C27AE951846D}"/>
    <cellStyle name="Normal 12 10 4 2 3" xfId="44054" xr:uid="{BA37D8A1-F2C2-4CBE-B702-B1EE4C60EB25}"/>
    <cellStyle name="Normal 12 10 4 3" xfId="18915" xr:uid="{A5F2FBEC-4B7A-456B-8C03-1173373CEFB9}"/>
    <cellStyle name="Normal 12 10 4 4" xfId="35674" xr:uid="{D0FBC798-EA87-4E81-9312-EEB1638536CA}"/>
    <cellStyle name="Normal 12 10 5" xfId="10021" xr:uid="{634684E0-302E-4F1C-B357-2C2423809242}"/>
    <cellStyle name="Normal 12 10 5 2" xfId="26781" xr:uid="{D7B7F29E-3052-4928-AB4E-00CBDA791CD9}"/>
    <cellStyle name="Normal 12 10 5 3" xfId="43540" xr:uid="{ACC23159-982B-45B1-9B26-6232C5B2CAF7}"/>
    <cellStyle name="Normal 12 10 6" xfId="18401" xr:uid="{122A0CA2-ECE1-4F6A-A7DF-03E38D7428B7}"/>
    <cellStyle name="Normal 12 10 7" xfId="35160" xr:uid="{3A59EF02-F748-4E9B-B2D5-777E72FBDB7B}"/>
    <cellStyle name="Normal 12 11" xfId="3737" xr:uid="{BEF3C857-B73C-4582-8074-CC2CF51B3E98}"/>
    <cellStyle name="Normal 12 11 2" xfId="12117" xr:uid="{5DD6A7AF-2777-48C2-B1D1-A61DDACB1349}"/>
    <cellStyle name="Normal 12 11 2 2" xfId="28877" xr:uid="{D0A9EDEA-A1BC-43B2-8E9E-2DCC7B1DE4A3}"/>
    <cellStyle name="Normal 12 11 2 3" xfId="45636" xr:uid="{BA02B6CC-88A7-4EAE-B2F5-5ECEE5A90EC3}"/>
    <cellStyle name="Normal 12 11 3" xfId="20497" xr:uid="{5CD03B30-DB6B-4CD2-903E-767B20159DB9}"/>
    <cellStyle name="Normal 12 11 4" xfId="37256" xr:uid="{068E7EFA-346B-4534-8616-2AEC119552C1}"/>
    <cellStyle name="Normal 12 12" xfId="5419" xr:uid="{29CBB98F-A178-463A-A2CE-45F361BC2C17}"/>
    <cellStyle name="Normal 12 12 2" xfId="13799" xr:uid="{22C38DF6-909B-49F9-9C3F-63B00A380550}"/>
    <cellStyle name="Normal 12 12 2 2" xfId="30559" xr:uid="{CC4C54BE-F082-4083-A85A-B01388C74AF2}"/>
    <cellStyle name="Normal 12 12 2 3" xfId="47318" xr:uid="{336843C3-4A8B-49F7-83D2-22C5C1DAC1E7}"/>
    <cellStyle name="Normal 12 12 3" xfId="22179" xr:uid="{4C155317-BE16-4F46-88FB-2465C0449C3B}"/>
    <cellStyle name="Normal 12 12 4" xfId="38938" xr:uid="{AC374594-91AA-498F-B457-9B98D069602C}"/>
    <cellStyle name="Normal 12 13" xfId="7114" xr:uid="{55CBA23B-D83C-44D4-A04F-65B1B6AF0FC5}"/>
    <cellStyle name="Normal 12 13 2" xfId="15494" xr:uid="{A2AD2C55-6B4C-4557-B756-12DDD7C5688C}"/>
    <cellStyle name="Normal 12 13 2 2" xfId="32254" xr:uid="{FB9677FB-84A3-4D7E-9277-45B5C29EF3EB}"/>
    <cellStyle name="Normal 12 13 2 3" xfId="49013" xr:uid="{17E6C70A-AE5F-4AC5-B52D-BF3FFEB493D2}"/>
    <cellStyle name="Normal 12 13 3" xfId="23874" xr:uid="{5F2F1E8E-72CB-475C-BEC4-78E85AF6228D}"/>
    <cellStyle name="Normal 12 13 4" xfId="40633" xr:uid="{12C811DF-DD15-4EF1-9DA6-2D65DD544250}"/>
    <cellStyle name="Normal 12 14" xfId="7520" xr:uid="{90DB15D8-3280-40FA-B0B2-0FD86F140BCE}"/>
    <cellStyle name="Normal 12 14 2" xfId="15900" xr:uid="{B4FFC903-FE6B-4B5E-A36C-49AF48C4A6E9}"/>
    <cellStyle name="Normal 12 14 2 2" xfId="32660" xr:uid="{3719619A-0229-4D68-949A-684C661FBC53}"/>
    <cellStyle name="Normal 12 14 2 3" xfId="49419" xr:uid="{71366C1A-8142-4A15-B582-65D57EEB9AB3}"/>
    <cellStyle name="Normal 12 14 3" xfId="24280" xr:uid="{13D0735B-4828-480D-B9AF-738D2BA18226}"/>
    <cellStyle name="Normal 12 14 4" xfId="41039" xr:uid="{B6E1147E-D820-4B93-9362-13041A2EB7B6}"/>
    <cellStyle name="Normal 12 15" xfId="7926" xr:uid="{86345443-8D69-4E71-A80C-FE3414A46DFA}"/>
    <cellStyle name="Normal 12 15 2" xfId="16306" xr:uid="{56A07739-34AA-4A5C-8D9F-458400C62A5A}"/>
    <cellStyle name="Normal 12 15 2 2" xfId="33066" xr:uid="{6D57C10A-CA72-4E6C-A622-AC5CB1D3E4A2}"/>
    <cellStyle name="Normal 12 15 2 3" xfId="49825" xr:uid="{C264DB7D-DABE-4F32-B4C6-8D598C43D3EA}"/>
    <cellStyle name="Normal 12 15 3" xfId="24686" xr:uid="{C062BCE0-8CAE-433A-A82F-B205ACB1EE2C}"/>
    <cellStyle name="Normal 12 15 4" xfId="41445" xr:uid="{558389D6-115C-444A-944F-FCCFC26BEC66}"/>
    <cellStyle name="Normal 12 16" xfId="8332" xr:uid="{4436C398-B6A8-41E8-B9CC-C9AD4939D334}"/>
    <cellStyle name="Normal 12 16 2" xfId="16712" xr:uid="{0785427F-189C-49AB-891F-830AA816EDE0}"/>
    <cellStyle name="Normal 12 16 2 2" xfId="33472" xr:uid="{14B6D3AD-383E-469E-B25A-19B22713F285}"/>
    <cellStyle name="Normal 12 16 2 3" xfId="50231" xr:uid="{F028612B-E3BA-47F2-AAC2-967C97564E12}"/>
    <cellStyle name="Normal 12 16 3" xfId="25092" xr:uid="{524F0021-4367-4C3C-8080-3AB773797CF5}"/>
    <cellStyle name="Normal 12 16 4" xfId="41851" xr:uid="{84F7EF69-48BA-4D27-B8E2-0653FA7D612A}"/>
    <cellStyle name="Normal 12 17" xfId="2035" xr:uid="{20B05951-8E0A-4CD2-9DA4-935B0333AA73}"/>
    <cellStyle name="Normal 12 17 2" xfId="10423" xr:uid="{967FEE4C-E1F2-41E5-96AC-6A90CC1B6F99}"/>
    <cellStyle name="Normal 12 17 2 2" xfId="27183" xr:uid="{EEEEAE36-275F-4AFA-9A98-7B928837CBBE}"/>
    <cellStyle name="Normal 12 17 2 3" xfId="43942" xr:uid="{6B9829DA-3FAE-42F8-93CF-560EF7686D98}"/>
    <cellStyle name="Normal 12 17 3" xfId="18803" xr:uid="{DE67A2D4-B8F9-4EEB-BFE4-5F812200D7C6}"/>
    <cellStyle name="Normal 12 17 4" xfId="35562" xr:uid="{E0916C9A-989B-4D5C-A2CC-E22A6809FC80}"/>
    <cellStyle name="Normal 12 18" xfId="8732" xr:uid="{580980B4-C908-410B-8292-F77897FE21F8}"/>
    <cellStyle name="Normal 12 18 2" xfId="25492" xr:uid="{4706196C-CA23-4B49-A316-60A4663AA4BD}"/>
    <cellStyle name="Normal 12 18 3" xfId="42251" xr:uid="{2E0FB0C0-E2F0-43CE-A6D7-3631329BF984}"/>
    <cellStyle name="Normal 12 19" xfId="17112" xr:uid="{38B58B96-4600-434F-B54F-51CA7744B9C9}"/>
    <cellStyle name="Normal 12 2" xfId="223" xr:uid="{910A9B70-3FCE-4DF4-A414-13B8644E4257}"/>
    <cellStyle name="Normal 12 2 10" xfId="7146" xr:uid="{6AB7F98B-5041-46D2-83ED-683C5315272D}"/>
    <cellStyle name="Normal 12 2 10 2" xfId="15526" xr:uid="{6506599D-0AF8-4686-9A0C-344C38081AF2}"/>
    <cellStyle name="Normal 12 2 10 2 2" xfId="32286" xr:uid="{2F9335AB-F165-49B6-A5F0-26FB787E6879}"/>
    <cellStyle name="Normal 12 2 10 2 3" xfId="49045" xr:uid="{7D17C1C5-8850-46D1-804B-A1A7B58A659D}"/>
    <cellStyle name="Normal 12 2 10 3" xfId="23906" xr:uid="{BA0B81D4-C179-4E79-A965-7D5CD66D8317}"/>
    <cellStyle name="Normal 12 2 10 4" xfId="40665" xr:uid="{E1BA0C25-E22F-4B35-AC31-40E68734D21C}"/>
    <cellStyle name="Normal 12 2 11" xfId="7552" xr:uid="{B15A83D7-077A-4C74-AF3C-8BCBD65583F5}"/>
    <cellStyle name="Normal 12 2 11 2" xfId="15932" xr:uid="{2A08461F-FE3E-4CF6-B99E-FFA90566C9A2}"/>
    <cellStyle name="Normal 12 2 11 2 2" xfId="32692" xr:uid="{CBA51776-AAC6-41C9-BC93-BDE6FBA77AF7}"/>
    <cellStyle name="Normal 12 2 11 2 3" xfId="49451" xr:uid="{7F54BA99-A16A-415F-9BE8-C7C7690D71AF}"/>
    <cellStyle name="Normal 12 2 11 3" xfId="24312" xr:uid="{B12040D7-7DF7-478E-AC22-5C410D8AA479}"/>
    <cellStyle name="Normal 12 2 11 4" xfId="41071" xr:uid="{1429237C-5E96-45A7-8DE2-3E5E09A13777}"/>
    <cellStyle name="Normal 12 2 12" xfId="7958" xr:uid="{F3DD7726-A9E1-4277-8D63-3785FB70F310}"/>
    <cellStyle name="Normal 12 2 12 2" xfId="16338" xr:uid="{A6568FD3-323D-4829-B3A8-305A271F489B}"/>
    <cellStyle name="Normal 12 2 12 2 2" xfId="33098" xr:uid="{5D941019-129C-4DDC-97FB-757AF180A83D}"/>
    <cellStyle name="Normal 12 2 12 2 3" xfId="49857" xr:uid="{885AE6E3-9144-43FE-B673-BF3C5AFE45F1}"/>
    <cellStyle name="Normal 12 2 12 3" xfId="24718" xr:uid="{D8CF0729-1805-4ED7-8370-A9293CBBB402}"/>
    <cellStyle name="Normal 12 2 12 4" xfId="41477" xr:uid="{03523E7C-14FB-431D-A15C-632ECBC0EE2E}"/>
    <cellStyle name="Normal 12 2 13" xfId="8364" xr:uid="{E96D5400-ACA7-4885-A016-CBED675BAF54}"/>
    <cellStyle name="Normal 12 2 13 2" xfId="16744" xr:uid="{79022F3C-5D26-4B2E-952C-1C92EF604FDD}"/>
    <cellStyle name="Normal 12 2 13 2 2" xfId="33504" xr:uid="{8CAEE687-95F3-447B-917E-5ED76FC8773A}"/>
    <cellStyle name="Normal 12 2 13 2 3" xfId="50263" xr:uid="{E18B53FB-5CC8-426F-9235-EE50732AA6D8}"/>
    <cellStyle name="Normal 12 2 13 3" xfId="25124" xr:uid="{F478D8CA-31E7-4C05-BB5D-49E2558D1F18}"/>
    <cellStyle name="Normal 12 2 13 4" xfId="41883" xr:uid="{DFDBFDE6-598A-4E96-9020-3AF94BBC916B}"/>
    <cellStyle name="Normal 12 2 14" xfId="2053" xr:uid="{2493B5CD-699A-41A3-A26F-F7BBD99BDC9A}"/>
    <cellStyle name="Normal 12 2 14 2" xfId="10441" xr:uid="{05C75286-9C6B-4D62-9A2F-B7627E29F18D}"/>
    <cellStyle name="Normal 12 2 14 2 2" xfId="27201" xr:uid="{5AB5BF56-56E9-4BF5-A8E0-1FD219BBD124}"/>
    <cellStyle name="Normal 12 2 14 2 3" xfId="43960" xr:uid="{0FADBAAF-55EE-40C1-8E8B-D5FBD52D4E46}"/>
    <cellStyle name="Normal 12 2 14 3" xfId="18821" xr:uid="{53F74846-76FD-436C-8B15-4F97D556E10B}"/>
    <cellStyle name="Normal 12 2 14 4" xfId="35580" xr:uid="{B89DEE4A-E198-479B-8FFB-95B6EFA37397}"/>
    <cellStyle name="Normal 12 2 15" xfId="8760" xr:uid="{1C946191-A697-442A-80E7-BAF5DB6B2947}"/>
    <cellStyle name="Normal 12 2 15 2" xfId="25520" xr:uid="{3E81D883-053E-4B60-A5EC-E6105643F4EA}"/>
    <cellStyle name="Normal 12 2 15 3" xfId="42279" xr:uid="{A2CFC2FC-D68E-47C0-A802-34B910C76207}"/>
    <cellStyle name="Normal 12 2 16" xfId="17140" xr:uid="{702DF76C-6303-4AB5-8D15-2822CCAB731D}"/>
    <cellStyle name="Normal 12 2 17" xfId="33899" xr:uid="{2C218525-7CBF-4A02-AE36-E87A7C42CC6A}"/>
    <cellStyle name="Normal 12 2 18" xfId="287" xr:uid="{A426B434-1892-4A28-B63A-218B09F130C9}"/>
    <cellStyle name="Normal 12 2 2" xfId="370" xr:uid="{BB6A6F9F-C099-41E3-9618-CF3F6C22C198}"/>
    <cellStyle name="Normal 12 2 2 10" xfId="7608" xr:uid="{FB2B2943-4E7E-434D-B768-DBB76FA73C95}"/>
    <cellStyle name="Normal 12 2 2 10 2" xfId="15988" xr:uid="{6166AE9A-C471-4E22-B2BE-F86B05247E8C}"/>
    <cellStyle name="Normal 12 2 2 10 2 2" xfId="32748" xr:uid="{BBC3BFCB-49D1-4425-9CDD-68D51CD49F4A}"/>
    <cellStyle name="Normal 12 2 2 10 2 3" xfId="49507" xr:uid="{EDAE307A-FEB4-45C1-905E-FC3251146F6A}"/>
    <cellStyle name="Normal 12 2 2 10 3" xfId="24368" xr:uid="{B8C5225F-AA79-476A-9F57-B3AA4CF42841}"/>
    <cellStyle name="Normal 12 2 2 10 4" xfId="41127" xr:uid="{B6BA4A36-5E99-46E2-91D3-A31780E2F03B}"/>
    <cellStyle name="Normal 12 2 2 11" xfId="8014" xr:uid="{7C1ADA8B-D74F-49F1-81DB-D5765019E187}"/>
    <cellStyle name="Normal 12 2 2 11 2" xfId="16394" xr:uid="{061B42D0-468A-421D-88B1-66EB31E925A4}"/>
    <cellStyle name="Normal 12 2 2 11 2 2" xfId="33154" xr:uid="{5F51780F-383B-490C-A965-F3ED989143DB}"/>
    <cellStyle name="Normal 12 2 2 11 2 3" xfId="49913" xr:uid="{94CB4B2A-076D-4F73-93D5-F2EED1B39629}"/>
    <cellStyle name="Normal 12 2 2 11 3" xfId="24774" xr:uid="{909538CB-F76D-4FE3-A5C2-ED40B2ED74D6}"/>
    <cellStyle name="Normal 12 2 2 11 4" xfId="41533" xr:uid="{14CF0DF9-AE17-4063-9FA7-EACA72C19AE7}"/>
    <cellStyle name="Normal 12 2 2 12" xfId="8420" xr:uid="{5C2389FF-6BBA-45CF-B3FE-D08BC432FB78}"/>
    <cellStyle name="Normal 12 2 2 12 2" xfId="16800" xr:uid="{F8452E95-8F2E-459E-AE40-308232C25CEC}"/>
    <cellStyle name="Normal 12 2 2 12 2 2" xfId="33560" xr:uid="{64FD9007-3157-4203-A06B-FF01EEECC7C4}"/>
    <cellStyle name="Normal 12 2 2 12 2 3" xfId="50319" xr:uid="{8D9D3FF6-D825-435C-832F-314D842B7BF0}"/>
    <cellStyle name="Normal 12 2 2 12 3" xfId="25180" xr:uid="{1B890ADE-0352-48DD-AAB1-7AD4C65F2A14}"/>
    <cellStyle name="Normal 12 2 2 12 4" xfId="41939" xr:uid="{F6C5B2C3-6D6B-4A6A-A9D1-51F08FDC272D}"/>
    <cellStyle name="Normal 12 2 2 13" xfId="2253" xr:uid="{2434C0CD-5471-4B61-894F-E8B61AFEB346}"/>
    <cellStyle name="Normal 12 2 2 13 2" xfId="10637" xr:uid="{3F518151-3F65-43B1-8DAE-80228DAC905E}"/>
    <cellStyle name="Normal 12 2 2 13 2 2" xfId="27397" xr:uid="{D7430A68-EBBB-4E3C-B19F-77C76A9A666D}"/>
    <cellStyle name="Normal 12 2 2 13 2 3" xfId="44156" xr:uid="{82C545A7-7EF1-40DB-B963-749D06E31ED5}"/>
    <cellStyle name="Normal 12 2 2 13 3" xfId="19017" xr:uid="{E65EC449-FBA9-41A1-A811-CA5F5BA041AC}"/>
    <cellStyle name="Normal 12 2 2 13 4" xfId="35776" xr:uid="{3D1FD171-6457-49CB-A179-5EEA0BBBB49A}"/>
    <cellStyle name="Normal 12 2 2 14" xfId="8834" xr:uid="{FD672412-6CC1-4CD5-9518-B9F1103FC4D7}"/>
    <cellStyle name="Normal 12 2 2 14 2" xfId="25594" xr:uid="{0A4780BA-FAC9-4A0A-8786-2699CF5B35A1}"/>
    <cellStyle name="Normal 12 2 2 14 3" xfId="42353" xr:uid="{8142E8DA-B3C1-43C4-989D-AE23B4227B0E}"/>
    <cellStyle name="Normal 12 2 2 15" xfId="17214" xr:uid="{DE0DF093-B08B-4711-AFF8-F9B4E36E8E6D}"/>
    <cellStyle name="Normal 12 2 2 16" xfId="33973" xr:uid="{CAE2D73C-9C85-46B6-A7A6-00BE7BAD1508}"/>
    <cellStyle name="Normal 12 2 2 2" xfId="522" xr:uid="{606769EB-943D-4D7F-94D5-19C3B5D2021C}"/>
    <cellStyle name="Normal 12 2 2 2 10" xfId="8493" xr:uid="{43AE634C-E37B-433D-B38D-983FF6FFCB7A}"/>
    <cellStyle name="Normal 12 2 2 2 10 2" xfId="16873" xr:uid="{2BDEE30B-19F1-4303-99DF-57B8575A6B0B}"/>
    <cellStyle name="Normal 12 2 2 2 10 2 2" xfId="33633" xr:uid="{C2595432-5D2A-49C3-BB34-5EE6A6A108BF}"/>
    <cellStyle name="Normal 12 2 2 2 10 2 3" xfId="50392" xr:uid="{B1F89FD0-3D11-4672-90F8-19CE56BD09E8}"/>
    <cellStyle name="Normal 12 2 2 2 10 3" xfId="25253" xr:uid="{62E85DFE-0D9C-4BBD-BF2C-E948ECD63650}"/>
    <cellStyle name="Normal 12 2 2 2 10 4" xfId="42012" xr:uid="{65FEABC7-6D18-487C-8ACF-E44B5F49E40B}"/>
    <cellStyle name="Normal 12 2 2 2 11" xfId="2354" xr:uid="{CA94A1C4-53FA-4586-AD9F-6078B97AF870}"/>
    <cellStyle name="Normal 12 2 2 2 11 2" xfId="10736" xr:uid="{FBA7CBAA-A93D-4024-B312-0AE0A1C6AA97}"/>
    <cellStyle name="Normal 12 2 2 2 11 2 2" xfId="27496" xr:uid="{1714597F-B1A9-4CB5-B801-D78BF32385CE}"/>
    <cellStyle name="Normal 12 2 2 2 11 2 3" xfId="44255" xr:uid="{F8949244-A59E-48D4-B856-DDE30A0D393E}"/>
    <cellStyle name="Normal 12 2 2 2 11 3" xfId="19116" xr:uid="{374A8B81-E9EB-401C-82F2-62C5D1A028EB}"/>
    <cellStyle name="Normal 12 2 2 2 11 4" xfId="35875" xr:uid="{7101D607-ED9C-48B6-BCE8-982279F67456}"/>
    <cellStyle name="Normal 12 2 2 2 12" xfId="8933" xr:uid="{4D4BBB8A-3CB7-4262-8689-8489A77A8C3F}"/>
    <cellStyle name="Normal 12 2 2 2 12 2" xfId="25693" xr:uid="{8956CEAD-F063-4598-A331-25050679994B}"/>
    <cellStyle name="Normal 12 2 2 2 12 3" xfId="42452" xr:uid="{43B2DEEE-F5A4-4CB8-AE7A-C2A6FBCAAF9F}"/>
    <cellStyle name="Normal 12 2 2 2 13" xfId="17313" xr:uid="{8B3EE30E-5350-43D0-B8BE-B8E6021B6896}"/>
    <cellStyle name="Normal 12 2 2 2 14" xfId="34072" xr:uid="{57CDE379-D0E9-4B7E-86C5-114FF024B862}"/>
    <cellStyle name="Normal 12 2 2 2 2" xfId="964" xr:uid="{50327170-D8AB-408E-9741-638B22BAA6DC}"/>
    <cellStyle name="Normal 12 2 2 2 2 2" xfId="4359" xr:uid="{3527C577-05A8-47AD-9C6A-66C038292117}"/>
    <cellStyle name="Normal 12 2 2 2 2 2 2" xfId="12739" xr:uid="{DC5C8B76-99C6-4102-8D8B-CAA530794369}"/>
    <cellStyle name="Normal 12 2 2 2 2 2 2 2" xfId="29499" xr:uid="{9881D39F-55D2-42C1-B3D8-A28250B10C3C}"/>
    <cellStyle name="Normal 12 2 2 2 2 2 2 3" xfId="46258" xr:uid="{E392C5FE-E44A-4A77-8373-2FF9F8DA8CC5}"/>
    <cellStyle name="Normal 12 2 2 2 2 2 3" xfId="21119" xr:uid="{CE574AD7-6980-44EE-A621-E4D5DCF0C5A4}"/>
    <cellStyle name="Normal 12 2 2 2 2 2 4" xfId="37878" xr:uid="{0842C2C2-6221-4DF4-8E1E-5A70E6AECA98}"/>
    <cellStyle name="Normal 12 2 2 2 2 3" xfId="6046" xr:uid="{10A93FE1-E6D6-4890-B10D-85BD6911A190}"/>
    <cellStyle name="Normal 12 2 2 2 2 3 2" xfId="14426" xr:uid="{06898A3B-F5A7-49C1-B278-29EDE077F0EA}"/>
    <cellStyle name="Normal 12 2 2 2 2 3 2 2" xfId="31186" xr:uid="{912CD0EA-59D0-443D-A339-C7421E2C38CA}"/>
    <cellStyle name="Normal 12 2 2 2 2 3 2 3" xfId="47945" xr:uid="{C6A1B088-8E3A-4C79-8E78-79D284AC895D}"/>
    <cellStyle name="Normal 12 2 2 2 2 3 3" xfId="22806" xr:uid="{88FABF92-4D52-40BB-B9CD-770E54683585}"/>
    <cellStyle name="Normal 12 2 2 2 2 3 4" xfId="39565" xr:uid="{E8545BB5-8E13-432A-8AD0-438824789EF6}"/>
    <cellStyle name="Normal 12 2 2 2 2 4" xfId="2782" xr:uid="{9D965A8D-309F-49F1-A3C2-DFF158739297}"/>
    <cellStyle name="Normal 12 2 2 2 2 4 2" xfId="11162" xr:uid="{CD800DAA-715D-4A3D-9A31-FADB5F4FDEC6}"/>
    <cellStyle name="Normal 12 2 2 2 2 4 2 2" xfId="27922" xr:uid="{AFA72777-C974-45EE-86DC-91E89D91905F}"/>
    <cellStyle name="Normal 12 2 2 2 2 4 2 3" xfId="44681" xr:uid="{FB97884E-6526-4C35-BFD7-F2BE096BB540}"/>
    <cellStyle name="Normal 12 2 2 2 2 4 3" xfId="19542" xr:uid="{A1959404-7BA6-4017-8FEB-34CA77ABEB7F}"/>
    <cellStyle name="Normal 12 2 2 2 2 4 4" xfId="36301" xr:uid="{45B0B11C-6DEB-46B5-A0C4-13F9D9198E5B}"/>
    <cellStyle name="Normal 12 2 2 2 2 5" xfId="9359" xr:uid="{4455806A-F202-4F13-A3ED-8BBA76307DEA}"/>
    <cellStyle name="Normal 12 2 2 2 2 5 2" xfId="26119" xr:uid="{1F8860F3-DD1F-4EE3-A7B5-091A5C693CF5}"/>
    <cellStyle name="Normal 12 2 2 2 2 5 3" xfId="42878" xr:uid="{49CB5A3B-DD78-4C46-B211-7B3E9B0F8C74}"/>
    <cellStyle name="Normal 12 2 2 2 2 6" xfId="17739" xr:uid="{AA3BC068-29F3-4D6A-89DA-C42C2657E575}"/>
    <cellStyle name="Normal 12 2 2 2 2 7" xfId="34498" xr:uid="{643C4252-18A7-40B4-A2FF-3359157ED876}"/>
    <cellStyle name="Normal 12 2 2 2 3" xfId="1398" xr:uid="{2BF1E715-D932-42B2-B9EC-03BCFF3FB508}"/>
    <cellStyle name="Normal 12 2 2 2 3 2" xfId="4787" xr:uid="{246C5697-4DA2-46A6-8FEF-6AE87BC31D8B}"/>
    <cellStyle name="Normal 12 2 2 2 3 2 2" xfId="13167" xr:uid="{A193EBD4-0AE5-4D45-8317-880FFF15514F}"/>
    <cellStyle name="Normal 12 2 2 2 3 2 2 2" xfId="29927" xr:uid="{96D24502-2253-4C15-B95E-3885EC2B4D8D}"/>
    <cellStyle name="Normal 12 2 2 2 3 2 2 3" xfId="46686" xr:uid="{7A623D8E-FE9E-4467-967E-64EEFB7AE6BE}"/>
    <cellStyle name="Normal 12 2 2 2 3 2 3" xfId="21547" xr:uid="{277D53FA-611D-42CB-961B-99D0DD57EBDC}"/>
    <cellStyle name="Normal 12 2 2 2 3 2 4" xfId="38306" xr:uid="{77C12B27-36A6-4E6D-9F6D-3057F6EA2845}"/>
    <cellStyle name="Normal 12 2 2 2 3 3" xfId="6474" xr:uid="{B5D03299-A4D7-49F2-A426-4649FC6412AE}"/>
    <cellStyle name="Normal 12 2 2 2 3 3 2" xfId="14854" xr:uid="{0C14BFB7-8DAC-45BC-A72E-5AF677ACD4E8}"/>
    <cellStyle name="Normal 12 2 2 2 3 3 2 2" xfId="31614" xr:uid="{2DB3D0D5-70DE-416D-BD96-4ACE59B103AE}"/>
    <cellStyle name="Normal 12 2 2 2 3 3 2 3" xfId="48373" xr:uid="{651BF86A-92BA-4EF4-9FBC-46971405552D}"/>
    <cellStyle name="Normal 12 2 2 2 3 3 3" xfId="23234" xr:uid="{9555988F-F0EB-41A3-95B4-C789B84EFA8C}"/>
    <cellStyle name="Normal 12 2 2 2 3 3 4" xfId="39993" xr:uid="{56C1DB45-BAC6-498B-BB35-1B0647C95FD3}"/>
    <cellStyle name="Normal 12 2 2 2 3 4" xfId="3210" xr:uid="{4D6C6208-1F4E-4409-9767-0CA31D002D29}"/>
    <cellStyle name="Normal 12 2 2 2 3 4 2" xfId="11590" xr:uid="{6271FE1A-C1DF-467B-BDC0-14B6390A35C3}"/>
    <cellStyle name="Normal 12 2 2 2 3 4 2 2" xfId="28350" xr:uid="{BE10DAC7-D1E9-48AA-B487-31D8CAE02D99}"/>
    <cellStyle name="Normal 12 2 2 2 3 4 2 3" xfId="45109" xr:uid="{59D4A595-E49E-40ED-B775-24A02A3D7F8D}"/>
    <cellStyle name="Normal 12 2 2 2 3 4 3" xfId="19970" xr:uid="{C77FA354-774A-422F-A81D-D56CB760E517}"/>
    <cellStyle name="Normal 12 2 2 2 3 4 4" xfId="36729" xr:uid="{81523150-4D40-4BAF-95FD-73B02CF64F14}"/>
    <cellStyle name="Normal 12 2 2 2 3 5" xfId="9787" xr:uid="{955F9664-61CC-4F27-A6CB-48ACD1BA1888}"/>
    <cellStyle name="Normal 12 2 2 2 3 5 2" xfId="26547" xr:uid="{3EF87447-1E83-49F5-B28F-D4FA018E6522}"/>
    <cellStyle name="Normal 12 2 2 2 3 5 3" xfId="43306" xr:uid="{0EB8D4F6-B94F-490C-9AB7-8DF5174E587F}"/>
    <cellStyle name="Normal 12 2 2 2 3 6" xfId="18167" xr:uid="{E942B154-331D-420E-8EC1-A45837F90AA1}"/>
    <cellStyle name="Normal 12 2 2 2 3 7" xfId="34926" xr:uid="{D81F4AE3-FEEA-478A-B62A-BD4C106B2828}"/>
    <cellStyle name="Normal 12 2 2 2 4" xfId="1793" xr:uid="{0C53564A-FFB6-4FEB-9830-B0C806A73DEB}"/>
    <cellStyle name="Normal 12 2 2 2 4 2" xfId="5182" xr:uid="{D4E479D0-68F4-4149-9844-2BE618AEAF1E}"/>
    <cellStyle name="Normal 12 2 2 2 4 2 2" xfId="13562" xr:uid="{8AB528D5-7BE2-4887-9BBF-BAD1064924D7}"/>
    <cellStyle name="Normal 12 2 2 2 4 2 2 2" xfId="30322" xr:uid="{06C50A79-FC2E-47FC-9570-DDBE3F70F4D5}"/>
    <cellStyle name="Normal 12 2 2 2 4 2 2 3" xfId="47081" xr:uid="{BB5D4860-AF27-4924-B69A-A4F85EF978F8}"/>
    <cellStyle name="Normal 12 2 2 2 4 2 3" xfId="21942" xr:uid="{8C13EC7C-D7C4-4372-AB98-49E93140F9CC}"/>
    <cellStyle name="Normal 12 2 2 2 4 2 4" xfId="38701" xr:uid="{0797A593-515E-4C79-982A-A68E989E57F8}"/>
    <cellStyle name="Normal 12 2 2 2 4 3" xfId="6869" xr:uid="{1B7B8EEC-9D19-43AB-9025-106E78146F9F}"/>
    <cellStyle name="Normal 12 2 2 2 4 3 2" xfId="15249" xr:uid="{37F73DBD-AA1C-42FD-9914-6E398C5024B9}"/>
    <cellStyle name="Normal 12 2 2 2 4 3 2 2" xfId="32009" xr:uid="{CACB2D0D-BBF4-4239-966D-369A439AE04B}"/>
    <cellStyle name="Normal 12 2 2 2 4 3 2 3" xfId="48768" xr:uid="{B457B0E4-B8A8-4EE8-8216-68415F73A1FF}"/>
    <cellStyle name="Normal 12 2 2 2 4 3 3" xfId="23629" xr:uid="{909E0177-6A33-401D-8BB4-88CEDBBD6C27}"/>
    <cellStyle name="Normal 12 2 2 2 4 3 4" xfId="40388" xr:uid="{90D7233A-4FB7-4A1D-805A-EAE5E6DCE3E5}"/>
    <cellStyle name="Normal 12 2 2 2 4 4" xfId="3493" xr:uid="{7B6A7826-C04F-4B22-8BEF-0A1B77E10779}"/>
    <cellStyle name="Normal 12 2 2 2 4 4 2" xfId="11873" xr:uid="{5657E4BD-4278-426B-9FCD-0242BD6FB9FD}"/>
    <cellStyle name="Normal 12 2 2 2 4 4 2 2" xfId="28633" xr:uid="{CCCB6832-AF9C-4816-9BA2-83504B3B8870}"/>
    <cellStyle name="Normal 12 2 2 2 4 4 2 3" xfId="45392" xr:uid="{2C4A88BF-2E48-41C9-9559-ED1181D71235}"/>
    <cellStyle name="Normal 12 2 2 2 4 4 3" xfId="20253" xr:uid="{FEA5A392-FF24-4EEB-85D4-7A3A37C2C4EF}"/>
    <cellStyle name="Normal 12 2 2 2 4 4 4" xfId="37012" xr:uid="{EF55E577-E510-4E6A-97E5-A03DCA89E0A9}"/>
    <cellStyle name="Normal 12 2 2 2 4 5" xfId="10182" xr:uid="{CA3ABF1B-BAB1-4C3F-9AF3-8C8B65C0C3C4}"/>
    <cellStyle name="Normal 12 2 2 2 4 5 2" xfId="26942" xr:uid="{2E58C533-24B7-4F1C-9968-8DDE4F4E2309}"/>
    <cellStyle name="Normal 12 2 2 2 4 5 3" xfId="43701" xr:uid="{ED5FA28E-0CE4-4BB8-A8BA-6CBFBDCC6A0E}"/>
    <cellStyle name="Normal 12 2 2 2 4 6" xfId="18562" xr:uid="{76BBC48D-45F7-4374-BF80-6EEF5DFCE0CE}"/>
    <cellStyle name="Normal 12 2 2 2 4 7" xfId="35321" xr:uid="{05802345-6DC7-4A67-A326-BCD769902406}"/>
    <cellStyle name="Normal 12 2 2 2 5" xfId="3912" xr:uid="{E581826F-B319-4FF5-8448-54CCFA675EC1}"/>
    <cellStyle name="Normal 12 2 2 2 5 2" xfId="12292" xr:uid="{D3A5C442-006F-4A3B-AE66-9E3C37BDCE52}"/>
    <cellStyle name="Normal 12 2 2 2 5 2 2" xfId="29052" xr:uid="{3B875474-A400-4186-B900-870E5F0799CF}"/>
    <cellStyle name="Normal 12 2 2 2 5 2 3" xfId="45811" xr:uid="{D0C8DBF5-7B7D-447E-9C4F-28E40E02CAFC}"/>
    <cellStyle name="Normal 12 2 2 2 5 3" xfId="20672" xr:uid="{9CFB9704-BDFB-4A6E-80D7-C1591E60F55E}"/>
    <cellStyle name="Normal 12 2 2 2 5 4" xfId="37431" xr:uid="{54F45523-6345-4280-AE29-6CFC4439F092}"/>
    <cellStyle name="Normal 12 2 2 2 6" xfId="5620" xr:uid="{A5814FE3-6997-4241-8734-B2AFB98B47A1}"/>
    <cellStyle name="Normal 12 2 2 2 6 2" xfId="14000" xr:uid="{E17ABFAB-7F2F-42BA-8348-287F5F9C37FC}"/>
    <cellStyle name="Normal 12 2 2 2 6 2 2" xfId="30760" xr:uid="{8E5A2214-E8AB-411B-BE8D-639F2112A6CF}"/>
    <cellStyle name="Normal 12 2 2 2 6 2 3" xfId="47519" xr:uid="{8C9820F8-5B1B-4F6A-9DD2-46F52B4BE82D}"/>
    <cellStyle name="Normal 12 2 2 2 6 3" xfId="22380" xr:uid="{3B289708-A8E4-49B2-8EA0-AD709CCF1771}"/>
    <cellStyle name="Normal 12 2 2 2 6 4" xfId="39139" xr:uid="{697DD242-B49B-4B59-A5C9-68012C3465D1}"/>
    <cellStyle name="Normal 12 2 2 2 7" xfId="7275" xr:uid="{C8905480-38ED-4CE9-84C1-1F3DC9A1350D}"/>
    <cellStyle name="Normal 12 2 2 2 7 2" xfId="15655" xr:uid="{9C3AE823-65E1-4953-8EDB-9C420EB4908F}"/>
    <cellStyle name="Normal 12 2 2 2 7 2 2" xfId="32415" xr:uid="{DCEFD581-CCCE-4971-8D6B-FAAC23484CF6}"/>
    <cellStyle name="Normal 12 2 2 2 7 2 3" xfId="49174" xr:uid="{830B9F1D-F896-4CF0-B3C7-07A8F2E05AB4}"/>
    <cellStyle name="Normal 12 2 2 2 7 3" xfId="24035" xr:uid="{27D6E7CA-D7F8-4A3D-8302-242E050E16B0}"/>
    <cellStyle name="Normal 12 2 2 2 7 4" xfId="40794" xr:uid="{764666AF-99A5-4E80-BAE6-358D7CDAE4A4}"/>
    <cellStyle name="Normal 12 2 2 2 8" xfId="7681" xr:uid="{E77ED454-B8B4-4F5E-9A4B-2D7830A2C0A0}"/>
    <cellStyle name="Normal 12 2 2 2 8 2" xfId="16061" xr:uid="{4912FFC7-0BEE-4248-966C-D13F62E8D489}"/>
    <cellStyle name="Normal 12 2 2 2 8 2 2" xfId="32821" xr:uid="{2B194DA7-A93F-4F12-8F05-52D32929CBE1}"/>
    <cellStyle name="Normal 12 2 2 2 8 2 3" xfId="49580" xr:uid="{30F8775D-100E-4982-A8CD-D7790CD155C6}"/>
    <cellStyle name="Normal 12 2 2 2 8 3" xfId="24441" xr:uid="{AA53B53F-B489-44A9-B3EB-D93430AA4631}"/>
    <cellStyle name="Normal 12 2 2 2 8 4" xfId="41200" xr:uid="{59F9C6B4-8B71-4915-9911-697DAD4D0110}"/>
    <cellStyle name="Normal 12 2 2 2 9" xfId="8087" xr:uid="{AF38BB12-F20B-40B9-B047-817F91392E94}"/>
    <cellStyle name="Normal 12 2 2 2 9 2" xfId="16467" xr:uid="{E6FE7E73-21BB-49B1-BECA-9261D7ED1E43}"/>
    <cellStyle name="Normal 12 2 2 2 9 2 2" xfId="33227" xr:uid="{64672D8E-B741-4CE0-9C77-ECCAD225E736}"/>
    <cellStyle name="Normal 12 2 2 2 9 2 3" xfId="49986" xr:uid="{76DEF5D9-7CA2-4464-A87D-06D6B53B12FC}"/>
    <cellStyle name="Normal 12 2 2 2 9 3" xfId="24847" xr:uid="{57567667-1389-4188-A336-35552E51C97B}"/>
    <cellStyle name="Normal 12 2 2 2 9 4" xfId="41606" xr:uid="{014F7E2F-9F33-449E-8DD2-640258BAE9BE}"/>
    <cellStyle name="Normal 12 2 2 3" xfId="523" xr:uid="{FBD2A263-FB19-4FAB-8B83-E36AEF98461F}"/>
    <cellStyle name="Normal 12 2 2 3 10" xfId="8691" xr:uid="{C3B98AB7-0050-46C2-AF68-1EFDA02624D0}"/>
    <cellStyle name="Normal 12 2 2 3 10 2" xfId="17071" xr:uid="{DFE01594-C8A6-45E7-AE1B-7F3C2BF2F83F}"/>
    <cellStyle name="Normal 12 2 2 3 10 2 2" xfId="33831" xr:uid="{C134AF69-008D-4726-85E8-76B6BF384644}"/>
    <cellStyle name="Normal 12 2 2 3 10 2 3" xfId="50590" xr:uid="{283E15C3-F616-49CB-B339-0499EB0AE8CC}"/>
    <cellStyle name="Normal 12 2 2 3 10 3" xfId="25451" xr:uid="{0F4824EF-D676-48D2-9D83-0609772ECD61}"/>
    <cellStyle name="Normal 12 2 2 3 10 4" xfId="42210" xr:uid="{9D211C0A-9550-47A1-81FD-757103ECC9DD}"/>
    <cellStyle name="Normal 12 2 2 3 11" xfId="2355" xr:uid="{E28252DE-9067-4E9C-AA88-CFC4A53781AA}"/>
    <cellStyle name="Normal 12 2 2 3 11 2" xfId="10737" xr:uid="{474DAC51-5765-48F5-A675-94001B174605}"/>
    <cellStyle name="Normal 12 2 2 3 11 2 2" xfId="27497" xr:uid="{0393C0F8-31C2-48D3-ABBB-EEB7B4CBD683}"/>
    <cellStyle name="Normal 12 2 2 3 11 2 3" xfId="44256" xr:uid="{16828029-16B9-45D5-8724-D4692A109D80}"/>
    <cellStyle name="Normal 12 2 2 3 11 3" xfId="19117" xr:uid="{354CE04D-62C4-461F-923C-FA87EFCCC5E5}"/>
    <cellStyle name="Normal 12 2 2 3 11 4" xfId="35876" xr:uid="{3AF6D1D4-27FC-4C0C-A5B8-6ED7A74B4953}"/>
    <cellStyle name="Normal 12 2 2 3 12" xfId="8934" xr:uid="{AF870556-0B13-4F2B-988A-A2B9D5583E33}"/>
    <cellStyle name="Normal 12 2 2 3 12 2" xfId="25694" xr:uid="{FCAFBB74-E421-493F-96B0-1E5A4EC87700}"/>
    <cellStyle name="Normal 12 2 2 3 12 3" xfId="42453" xr:uid="{86374BDB-AE2A-4DFC-94A9-BE0BEDDF4208}"/>
    <cellStyle name="Normal 12 2 2 3 13" xfId="17314" xr:uid="{A534B169-2D63-4963-A26A-1C2CFA64B6F8}"/>
    <cellStyle name="Normal 12 2 2 3 14" xfId="34073" xr:uid="{6A9F416F-0DF8-4424-B366-2FCC62C0EF5C}"/>
    <cellStyle name="Normal 12 2 2 3 2" xfId="965" xr:uid="{732D1C01-D708-4137-8283-793E10B4A033}"/>
    <cellStyle name="Normal 12 2 2 3 2 2" xfId="4360" xr:uid="{09EF8E6A-6415-4D5E-9E7C-E2BB71C8D3E0}"/>
    <cellStyle name="Normal 12 2 2 3 2 2 2" xfId="12740" xr:uid="{9770DE71-097D-4308-A787-83A8F28166DE}"/>
    <cellStyle name="Normal 12 2 2 3 2 2 2 2" xfId="29500" xr:uid="{5A340BD0-5828-49EF-B211-12940ADBAA3A}"/>
    <cellStyle name="Normal 12 2 2 3 2 2 2 3" xfId="46259" xr:uid="{1118151A-16C3-4C98-A881-C9E8719FBA9A}"/>
    <cellStyle name="Normal 12 2 2 3 2 2 3" xfId="21120" xr:uid="{47C0EB6B-9E1E-427C-9671-C21C0CD57C14}"/>
    <cellStyle name="Normal 12 2 2 3 2 2 4" xfId="37879" xr:uid="{B6F5BF92-4DDA-47BB-AA94-153A7EC6916E}"/>
    <cellStyle name="Normal 12 2 2 3 2 3" xfId="6047" xr:uid="{959C79F7-45C6-4BD3-B6A8-BB6E4298F4F3}"/>
    <cellStyle name="Normal 12 2 2 3 2 3 2" xfId="14427" xr:uid="{86363785-7986-4DD8-A475-8E51C2497196}"/>
    <cellStyle name="Normal 12 2 2 3 2 3 2 2" xfId="31187" xr:uid="{34232124-7135-4AC2-A8FF-69555E433B2F}"/>
    <cellStyle name="Normal 12 2 2 3 2 3 2 3" xfId="47946" xr:uid="{A59E0E07-61FF-4970-B3D1-865C983801CB}"/>
    <cellStyle name="Normal 12 2 2 3 2 3 3" xfId="22807" xr:uid="{88F8C494-06EB-4620-A19B-3C1239448157}"/>
    <cellStyle name="Normal 12 2 2 3 2 3 4" xfId="39566" xr:uid="{542DE68C-D1A8-49ED-82BC-544D08DA6040}"/>
    <cellStyle name="Normal 12 2 2 3 2 4" xfId="2783" xr:uid="{D1615761-D196-4151-A77F-085CE8594ABB}"/>
    <cellStyle name="Normal 12 2 2 3 2 4 2" xfId="11163" xr:uid="{B12BD091-3F08-4A32-B9A1-F4AB316B681B}"/>
    <cellStyle name="Normal 12 2 2 3 2 4 2 2" xfId="27923" xr:uid="{F974CAF0-C02E-4F1F-A325-6D15AB5ED720}"/>
    <cellStyle name="Normal 12 2 2 3 2 4 2 3" xfId="44682" xr:uid="{1A249DC1-E40E-464A-9210-A9CB156F08A2}"/>
    <cellStyle name="Normal 12 2 2 3 2 4 3" xfId="19543" xr:uid="{439234AC-3A44-447B-86FC-8460221929A8}"/>
    <cellStyle name="Normal 12 2 2 3 2 4 4" xfId="36302" xr:uid="{D10038B3-F532-42B7-AA75-EF9D14A00543}"/>
    <cellStyle name="Normal 12 2 2 3 2 5" xfId="9360" xr:uid="{EC070136-F5C4-4B83-A308-3AA42490D3D3}"/>
    <cellStyle name="Normal 12 2 2 3 2 5 2" xfId="26120" xr:uid="{CDB3F221-ECC5-47A0-A3BE-550396D21E4C}"/>
    <cellStyle name="Normal 12 2 2 3 2 5 3" xfId="42879" xr:uid="{B4B9F692-8ED6-4112-8D27-2D8113D623D3}"/>
    <cellStyle name="Normal 12 2 2 3 2 6" xfId="17740" xr:uid="{CA4492F1-4721-45EF-8195-1B55FFC5C13B}"/>
    <cellStyle name="Normal 12 2 2 3 2 7" xfId="34499" xr:uid="{39A3DE3C-6F1D-45B5-9DB2-B3A2B1DCE345}"/>
    <cellStyle name="Normal 12 2 2 3 3" xfId="1399" xr:uid="{30355E1B-ADA6-45DA-8EC1-CFEEA573A93E}"/>
    <cellStyle name="Normal 12 2 2 3 3 2" xfId="4788" xr:uid="{B3DB0633-5FD6-402E-BE18-7567DDC3998A}"/>
    <cellStyle name="Normal 12 2 2 3 3 2 2" xfId="13168" xr:uid="{E21E113B-EC5F-4965-86DF-4088FB46CDF6}"/>
    <cellStyle name="Normal 12 2 2 3 3 2 2 2" xfId="29928" xr:uid="{C85802CC-9AD6-46B7-85D9-6A5D21E0BAC1}"/>
    <cellStyle name="Normal 12 2 2 3 3 2 2 3" xfId="46687" xr:uid="{83AC4D55-E4C0-486E-9639-2742567E2070}"/>
    <cellStyle name="Normal 12 2 2 3 3 2 3" xfId="21548" xr:uid="{5A0A41C6-BD0F-42D4-848D-D7ECEF999798}"/>
    <cellStyle name="Normal 12 2 2 3 3 2 4" xfId="38307" xr:uid="{F50586C5-9759-46C1-94AA-BE5523193A64}"/>
    <cellStyle name="Normal 12 2 2 3 3 3" xfId="6475" xr:uid="{88EA6944-EF2D-4ADF-AE6C-A131790EBE48}"/>
    <cellStyle name="Normal 12 2 2 3 3 3 2" xfId="14855" xr:uid="{E7F57FA2-56F6-4726-9F2C-8E57D861ECC9}"/>
    <cellStyle name="Normal 12 2 2 3 3 3 2 2" xfId="31615" xr:uid="{4FFC2719-E550-4B96-AADD-B91AB49E70E5}"/>
    <cellStyle name="Normal 12 2 2 3 3 3 2 3" xfId="48374" xr:uid="{683D21E1-7E3F-4BB7-8116-623560FFE970}"/>
    <cellStyle name="Normal 12 2 2 3 3 3 3" xfId="23235" xr:uid="{DFF20A1F-276C-49C0-A92B-3BE5195F6789}"/>
    <cellStyle name="Normal 12 2 2 3 3 3 4" xfId="39994" xr:uid="{46F2A857-C7D7-444D-9161-3D58C598E3F4}"/>
    <cellStyle name="Normal 12 2 2 3 3 4" xfId="3211" xr:uid="{38FA39A0-6FEA-466F-A9ED-379777AA47CF}"/>
    <cellStyle name="Normal 12 2 2 3 3 4 2" xfId="11591" xr:uid="{C71B5EB9-31A5-44E6-8757-DA5BA0D83BD8}"/>
    <cellStyle name="Normal 12 2 2 3 3 4 2 2" xfId="28351" xr:uid="{E5C7F975-F38A-48AE-BE54-247CB81ACD22}"/>
    <cellStyle name="Normal 12 2 2 3 3 4 2 3" xfId="45110" xr:uid="{5254E596-A043-4990-91DB-BB8B13E50A21}"/>
    <cellStyle name="Normal 12 2 2 3 3 4 3" xfId="19971" xr:uid="{B18E5702-CBDF-4138-B8B7-719E98325079}"/>
    <cellStyle name="Normal 12 2 2 3 3 4 4" xfId="36730" xr:uid="{B8D40017-F251-472A-9A2A-1A079189DFF4}"/>
    <cellStyle name="Normal 12 2 2 3 3 5" xfId="9788" xr:uid="{27D1B305-9535-460C-B4CC-2869A4DD9FBB}"/>
    <cellStyle name="Normal 12 2 2 3 3 5 2" xfId="26548" xr:uid="{65728C44-A8FA-4E58-BFB5-F2B452D1CDF4}"/>
    <cellStyle name="Normal 12 2 2 3 3 5 3" xfId="43307" xr:uid="{00A815C6-2E1E-4F87-AD4A-1F4EA91376A8}"/>
    <cellStyle name="Normal 12 2 2 3 3 6" xfId="18168" xr:uid="{664B45FE-8E1D-4E11-A761-44D1D57348CC}"/>
    <cellStyle name="Normal 12 2 2 3 3 7" xfId="34927" xr:uid="{648304B8-0047-49C5-812C-123524EE82D3}"/>
    <cellStyle name="Normal 12 2 2 3 4" xfId="1991" xr:uid="{8FE258A4-19B1-4029-A0CB-B512EC978728}"/>
    <cellStyle name="Normal 12 2 2 3 4 2" xfId="5380" xr:uid="{E82220F6-20B4-451F-B2C1-C306CB273C40}"/>
    <cellStyle name="Normal 12 2 2 3 4 2 2" xfId="13760" xr:uid="{A0122046-7B15-47BA-A18A-01B23987C9A9}"/>
    <cellStyle name="Normal 12 2 2 3 4 2 2 2" xfId="30520" xr:uid="{4486FE06-F253-4058-B5BF-10625A78F7A3}"/>
    <cellStyle name="Normal 12 2 2 3 4 2 2 3" xfId="47279" xr:uid="{F4DFF4DF-ECB6-45CA-A62E-86C0B4E7073E}"/>
    <cellStyle name="Normal 12 2 2 3 4 2 3" xfId="22140" xr:uid="{ADDB63B7-41CE-43CC-8795-C082DC622440}"/>
    <cellStyle name="Normal 12 2 2 3 4 2 4" xfId="38899" xr:uid="{A8C22DA5-9506-495C-9BE3-753BEC36B45F}"/>
    <cellStyle name="Normal 12 2 2 3 4 3" xfId="7067" xr:uid="{D43E81AC-7C0E-4CE6-B1F7-663DD59E36B5}"/>
    <cellStyle name="Normal 12 2 2 3 4 3 2" xfId="15447" xr:uid="{6034325B-942F-465B-B744-574651262CC1}"/>
    <cellStyle name="Normal 12 2 2 3 4 3 2 2" xfId="32207" xr:uid="{36D6892F-3FD6-4D7F-80C1-E0151CA4EBC0}"/>
    <cellStyle name="Normal 12 2 2 3 4 3 2 3" xfId="48966" xr:uid="{1E4147B3-826E-4C93-901A-25557A7ACA61}"/>
    <cellStyle name="Normal 12 2 2 3 4 3 3" xfId="23827" xr:uid="{C3AD755A-2C99-4F3A-ACAE-D13BCE1F5120}"/>
    <cellStyle name="Normal 12 2 2 3 4 3 4" xfId="40586" xr:uid="{11532534-2848-40A3-9DB2-C4A72381CBF1}"/>
    <cellStyle name="Normal 12 2 2 3 4 4" xfId="3690" xr:uid="{6BEAFC7D-90C4-45B6-96DE-4E42EB08CB4D}"/>
    <cellStyle name="Normal 12 2 2 3 4 4 2" xfId="12070" xr:uid="{A1EACF43-F026-470E-A7EF-E8EF5EB18ED5}"/>
    <cellStyle name="Normal 12 2 2 3 4 4 2 2" xfId="28830" xr:uid="{59909BED-4777-440E-A705-094AB3DB5FAC}"/>
    <cellStyle name="Normal 12 2 2 3 4 4 2 3" xfId="45589" xr:uid="{D955221A-E2AF-4434-85D7-803CB9F25AB1}"/>
    <cellStyle name="Normal 12 2 2 3 4 4 3" xfId="20450" xr:uid="{EB218B6D-3955-4F47-BB05-E687E517282E}"/>
    <cellStyle name="Normal 12 2 2 3 4 4 4" xfId="37209" xr:uid="{3B6AF43F-BBEB-4AA4-B2FB-FA615F9E9A6E}"/>
    <cellStyle name="Normal 12 2 2 3 4 5" xfId="10380" xr:uid="{E292F3C0-D198-4090-AD20-DC5FCC1E213A}"/>
    <cellStyle name="Normal 12 2 2 3 4 5 2" xfId="27140" xr:uid="{D0EBA500-D3FC-4957-86E6-89DFFEB438A9}"/>
    <cellStyle name="Normal 12 2 2 3 4 5 3" xfId="43899" xr:uid="{120C06D9-270E-498F-9EB5-515C19F82822}"/>
    <cellStyle name="Normal 12 2 2 3 4 6" xfId="18760" xr:uid="{D9CE72F8-5BFE-4782-8514-DD9F232CB669}"/>
    <cellStyle name="Normal 12 2 2 3 4 7" xfId="35519" xr:uid="{5F1A5647-430F-4CB2-9285-DC8A88F6E6E5}"/>
    <cellStyle name="Normal 12 2 2 3 5" xfId="4110" xr:uid="{68A9D9AB-A7F0-435B-A54B-0F32C6ED981B}"/>
    <cellStyle name="Normal 12 2 2 3 5 2" xfId="12490" xr:uid="{D37D0E09-1DA3-465F-9EA3-8F76DAE8FB58}"/>
    <cellStyle name="Normal 12 2 2 3 5 2 2" xfId="29250" xr:uid="{79D09B7C-E60A-4A09-A5EB-595DB796AFF5}"/>
    <cellStyle name="Normal 12 2 2 3 5 2 3" xfId="46009" xr:uid="{1265AA04-43D2-47B1-94F8-6B94C1DC7545}"/>
    <cellStyle name="Normal 12 2 2 3 5 3" xfId="20870" xr:uid="{19D645A0-B5DB-433B-B641-41787335797A}"/>
    <cellStyle name="Normal 12 2 2 3 5 4" xfId="37629" xr:uid="{F6CF7F28-C023-40C6-A56F-C6588DF0150D}"/>
    <cellStyle name="Normal 12 2 2 3 6" xfId="5621" xr:uid="{9781DAF0-DE6B-46F2-B7AC-B186B70D3A61}"/>
    <cellStyle name="Normal 12 2 2 3 6 2" xfId="14001" xr:uid="{7237BD3B-4D00-4EA9-9AF6-D69B5E12710B}"/>
    <cellStyle name="Normal 12 2 2 3 6 2 2" xfId="30761" xr:uid="{C1855173-2284-47EE-A97A-D5E63B764FFD}"/>
    <cellStyle name="Normal 12 2 2 3 6 2 3" xfId="47520" xr:uid="{0B5FF4F6-263E-4709-A9BA-08B7FFCD73F6}"/>
    <cellStyle name="Normal 12 2 2 3 6 3" xfId="22381" xr:uid="{4E919130-E941-4E73-98C9-19118D3A9291}"/>
    <cellStyle name="Normal 12 2 2 3 6 4" xfId="39140" xr:uid="{4A32D857-081F-4C97-B9E7-D8618AF2890D}"/>
    <cellStyle name="Normal 12 2 2 3 7" xfId="7473" xr:uid="{0477F549-C015-4734-9F00-BB4B9673EA35}"/>
    <cellStyle name="Normal 12 2 2 3 7 2" xfId="15853" xr:uid="{5B2FC1A6-C187-4397-9C9E-7D750FE85164}"/>
    <cellStyle name="Normal 12 2 2 3 7 2 2" xfId="32613" xr:uid="{A64206B0-FFE6-4607-A607-DED9A4605AE9}"/>
    <cellStyle name="Normal 12 2 2 3 7 2 3" xfId="49372" xr:uid="{D1E0F20A-9356-4E34-996D-BD8AC8EE1494}"/>
    <cellStyle name="Normal 12 2 2 3 7 3" xfId="24233" xr:uid="{5D84D1E4-BCA3-46F3-BB61-DE730E54525C}"/>
    <cellStyle name="Normal 12 2 2 3 7 4" xfId="40992" xr:uid="{C79E422D-4A49-4616-99DD-DDBABB057910}"/>
    <cellStyle name="Normal 12 2 2 3 8" xfId="7879" xr:uid="{694E2AAC-8842-4D06-833A-28810E451791}"/>
    <cellStyle name="Normal 12 2 2 3 8 2" xfId="16259" xr:uid="{F3DF5A21-12AC-49AC-8F87-6AFDAD806507}"/>
    <cellStyle name="Normal 12 2 2 3 8 2 2" xfId="33019" xr:uid="{99737445-687F-4C03-90A2-1255D88310F9}"/>
    <cellStyle name="Normal 12 2 2 3 8 2 3" xfId="49778" xr:uid="{B7C8D017-A0A4-4936-9DA5-47482BAD5499}"/>
    <cellStyle name="Normal 12 2 2 3 8 3" xfId="24639" xr:uid="{96A0C0E4-5812-4531-B1D4-507C87C42AAD}"/>
    <cellStyle name="Normal 12 2 2 3 8 4" xfId="41398" xr:uid="{2D53BADC-B990-4900-B4A1-5ED55781862E}"/>
    <cellStyle name="Normal 12 2 2 3 9" xfId="8285" xr:uid="{F0635ECF-1A97-4E0B-A996-45CF9ADBB0CF}"/>
    <cellStyle name="Normal 12 2 2 3 9 2" xfId="16665" xr:uid="{51C2A683-4714-4E0D-855B-9BF89E8114B6}"/>
    <cellStyle name="Normal 12 2 2 3 9 2 2" xfId="33425" xr:uid="{1661E16F-EA97-46DE-98C6-BC405E2CC25C}"/>
    <cellStyle name="Normal 12 2 2 3 9 2 3" xfId="50184" xr:uid="{F0C09AE3-76FE-4C33-97E8-34DA65E32E41}"/>
    <cellStyle name="Normal 12 2 2 3 9 3" xfId="25045" xr:uid="{66DB975B-F5C8-4E27-9053-8E50AFF69198}"/>
    <cellStyle name="Normal 12 2 2 3 9 4" xfId="41804" xr:uid="{52627A44-B3B1-4982-8AF9-796DB313C693}"/>
    <cellStyle name="Normal 12 2 2 4" xfId="865" xr:uid="{9C8557CE-A064-43F2-B510-2A84F43CC85C}"/>
    <cellStyle name="Normal 12 2 2 4 2" xfId="4260" xr:uid="{1684D9E4-8581-4EFC-A956-37288300CA8A}"/>
    <cellStyle name="Normal 12 2 2 4 2 2" xfId="12640" xr:uid="{B12A983B-1906-4A4A-BAFE-1654088AA46D}"/>
    <cellStyle name="Normal 12 2 2 4 2 2 2" xfId="29400" xr:uid="{BA52BA1F-9E78-4DF7-9244-B9CE3432F2FE}"/>
    <cellStyle name="Normal 12 2 2 4 2 2 3" xfId="46159" xr:uid="{D75BF5F0-5A6A-4B0F-8C95-19162C33A039}"/>
    <cellStyle name="Normal 12 2 2 4 2 3" xfId="21020" xr:uid="{800C80E9-DC01-4CFB-AEB7-618AF9056756}"/>
    <cellStyle name="Normal 12 2 2 4 2 4" xfId="37779" xr:uid="{5D6184E4-8572-48C9-B77A-5652F798363E}"/>
    <cellStyle name="Normal 12 2 2 4 3" xfId="5947" xr:uid="{00F68BDD-8102-47A6-A462-E35B1ECD1E97}"/>
    <cellStyle name="Normal 12 2 2 4 3 2" xfId="14327" xr:uid="{5840C9AC-3CC4-4895-9156-6F94A5E49F34}"/>
    <cellStyle name="Normal 12 2 2 4 3 2 2" xfId="31087" xr:uid="{CC7A8AA7-E2FC-41AA-93AC-A03F36A29B91}"/>
    <cellStyle name="Normal 12 2 2 4 3 2 3" xfId="47846" xr:uid="{B74C2375-BA5C-4210-BC55-8838CDC31664}"/>
    <cellStyle name="Normal 12 2 2 4 3 3" xfId="22707" xr:uid="{FE813D27-3593-4B39-ACF8-3E3CF1AE7CC6}"/>
    <cellStyle name="Normal 12 2 2 4 3 4" xfId="39466" xr:uid="{5B5AC113-57DF-4AE6-8D07-8D78C1E065D4}"/>
    <cellStyle name="Normal 12 2 2 4 4" xfId="2683" xr:uid="{DCF18021-B5CE-4C17-9DEB-2A81266253EC}"/>
    <cellStyle name="Normal 12 2 2 4 4 2" xfId="11063" xr:uid="{E3FFFB4A-778C-42EB-86E0-382611D91BDC}"/>
    <cellStyle name="Normal 12 2 2 4 4 2 2" xfId="27823" xr:uid="{4D89FE54-4CB4-409E-BF33-1E1A1258EDDB}"/>
    <cellStyle name="Normal 12 2 2 4 4 2 3" xfId="44582" xr:uid="{FA10529E-CDA6-4BD8-85B4-6CCC089B2174}"/>
    <cellStyle name="Normal 12 2 2 4 4 3" xfId="19443" xr:uid="{89696AAB-464D-40C4-B052-FD896BA6BC21}"/>
    <cellStyle name="Normal 12 2 2 4 4 4" xfId="36202" xr:uid="{6E130C10-887A-479C-84D8-F86DD04F81C8}"/>
    <cellStyle name="Normal 12 2 2 4 5" xfId="9260" xr:uid="{AF5344B4-9287-4006-9B59-3E12679B5337}"/>
    <cellStyle name="Normal 12 2 2 4 5 2" xfId="26020" xr:uid="{0A11A3A2-E86E-48EC-9500-B04E0D1CDA50}"/>
    <cellStyle name="Normal 12 2 2 4 5 3" xfId="42779" xr:uid="{1AB84A9E-1C6C-4BA2-86CE-C8406F6C41A8}"/>
    <cellStyle name="Normal 12 2 2 4 6" xfId="17640" xr:uid="{101E8B1D-192C-484C-81BC-82876F5DED7F}"/>
    <cellStyle name="Normal 12 2 2 4 7" xfId="34399" xr:uid="{1BA4AF06-35FA-4147-B1CF-A29D314B94F9}"/>
    <cellStyle name="Normal 12 2 2 5" xfId="1299" xr:uid="{AA69808E-E89F-4D85-B8C6-DFF97F125826}"/>
    <cellStyle name="Normal 12 2 2 5 2" xfId="4688" xr:uid="{01F18D2E-5AA0-458D-B072-AC9ABB0ECB9E}"/>
    <cellStyle name="Normal 12 2 2 5 2 2" xfId="13068" xr:uid="{71866649-9D1D-4E80-9EC5-B2421A814FF5}"/>
    <cellStyle name="Normal 12 2 2 5 2 2 2" xfId="29828" xr:uid="{1E1197AF-9A82-4C97-B381-C76E3C8D7259}"/>
    <cellStyle name="Normal 12 2 2 5 2 2 3" xfId="46587" xr:uid="{1EC6C282-EC57-4CC2-B638-120BDF9E30B0}"/>
    <cellStyle name="Normal 12 2 2 5 2 3" xfId="21448" xr:uid="{58C883F4-A736-45D1-BFAB-233F6D8F3F74}"/>
    <cellStyle name="Normal 12 2 2 5 2 4" xfId="38207" xr:uid="{F7AE6F5E-D005-4716-8704-085FF9EA8B01}"/>
    <cellStyle name="Normal 12 2 2 5 3" xfId="6375" xr:uid="{4511CF23-B91C-419B-8172-90D0ED2D08E5}"/>
    <cellStyle name="Normal 12 2 2 5 3 2" xfId="14755" xr:uid="{2B2DEB0E-22AA-4052-B165-58193780AED7}"/>
    <cellStyle name="Normal 12 2 2 5 3 2 2" xfId="31515" xr:uid="{E80AFBFD-C906-4C85-BC27-8F3ED7EE1008}"/>
    <cellStyle name="Normal 12 2 2 5 3 2 3" xfId="48274" xr:uid="{41106F3B-A0BC-401A-92A7-6DFBF728722D}"/>
    <cellStyle name="Normal 12 2 2 5 3 3" xfId="23135" xr:uid="{29855E71-F84D-468D-89F2-B5EDC4450B99}"/>
    <cellStyle name="Normal 12 2 2 5 3 4" xfId="39894" xr:uid="{3738767D-6E7F-4757-9738-F468892D8246}"/>
    <cellStyle name="Normal 12 2 2 5 4" xfId="3111" xr:uid="{D3DEAF8A-60E1-44FC-BA22-CF14C375E2C2}"/>
    <cellStyle name="Normal 12 2 2 5 4 2" xfId="11491" xr:uid="{7EEFD0A3-2E18-42F7-A800-DE1514D6F7C1}"/>
    <cellStyle name="Normal 12 2 2 5 4 2 2" xfId="28251" xr:uid="{E418C5A9-6F75-4990-9139-73AA389C5E4F}"/>
    <cellStyle name="Normal 12 2 2 5 4 2 3" xfId="45010" xr:uid="{4A271A56-B4BC-4C21-9602-70FCE7BFD187}"/>
    <cellStyle name="Normal 12 2 2 5 4 3" xfId="19871" xr:uid="{76B63193-B077-4335-B393-F260FEF05FF6}"/>
    <cellStyle name="Normal 12 2 2 5 4 4" xfId="36630" xr:uid="{C2B4CA3D-9A75-4636-B4AE-12609713D2B2}"/>
    <cellStyle name="Normal 12 2 2 5 5" xfId="9688" xr:uid="{E2D5FD0B-7AF3-479A-A271-6E62CBB6BF26}"/>
    <cellStyle name="Normal 12 2 2 5 5 2" xfId="26448" xr:uid="{41808D2B-F4AA-4BEC-AD44-5DC763A773BF}"/>
    <cellStyle name="Normal 12 2 2 5 5 3" xfId="43207" xr:uid="{BFB6F9F2-625B-41E3-9F7D-911971178943}"/>
    <cellStyle name="Normal 12 2 2 5 6" xfId="18068" xr:uid="{BC90725A-8B5E-49A1-9360-C573EE54680C}"/>
    <cellStyle name="Normal 12 2 2 5 7" xfId="34827" xr:uid="{F7188D7A-26B1-4BD4-AAEE-55D4AA98CCF6}"/>
    <cellStyle name="Normal 12 2 2 6" xfId="1720" xr:uid="{24CBAE31-5CDA-4200-8556-897DBF4916CB}"/>
    <cellStyle name="Normal 12 2 2 6 2" xfId="5109" xr:uid="{24E028D6-0177-4390-BC48-CF2DDB05B6A8}"/>
    <cellStyle name="Normal 12 2 2 6 2 2" xfId="13489" xr:uid="{BA0CAC13-9FF1-4317-AA96-EF2A6736AAD5}"/>
    <cellStyle name="Normal 12 2 2 6 2 2 2" xfId="30249" xr:uid="{E0E4CD78-6D27-4E4E-BAE1-FED2093E0CE5}"/>
    <cellStyle name="Normal 12 2 2 6 2 2 3" xfId="47008" xr:uid="{DA7B9914-15FD-4F4C-873B-7E4B43878D21}"/>
    <cellStyle name="Normal 12 2 2 6 2 3" xfId="21869" xr:uid="{8870DF90-F1C5-4054-92D9-781162809470}"/>
    <cellStyle name="Normal 12 2 2 6 2 4" xfId="38628" xr:uid="{40F8EB6F-0D93-4691-9B5E-6EB880A37F65}"/>
    <cellStyle name="Normal 12 2 2 6 3" xfId="6796" xr:uid="{4B085E85-CB12-42D7-AED4-248FD4FBFA56}"/>
    <cellStyle name="Normal 12 2 2 6 3 2" xfId="15176" xr:uid="{5C85AC31-5DFB-49C4-876C-F8AD73B8AAE7}"/>
    <cellStyle name="Normal 12 2 2 6 3 2 2" xfId="31936" xr:uid="{6A194CE3-E44A-49B8-B780-898F69D72A62}"/>
    <cellStyle name="Normal 12 2 2 6 3 2 3" xfId="48695" xr:uid="{237957E0-5CD7-4E21-92CF-A8DFB9F1AC1B}"/>
    <cellStyle name="Normal 12 2 2 6 3 3" xfId="23556" xr:uid="{3660CC70-A667-47D8-BF4A-3A63DB65786A}"/>
    <cellStyle name="Normal 12 2 2 6 3 4" xfId="40315" xr:uid="{5BD1E315-DC4D-422B-8B78-059B87959C67}"/>
    <cellStyle name="Normal 12 2 2 6 4" xfId="3443" xr:uid="{D5976894-FC1A-49B4-8403-0B75ADB03F88}"/>
    <cellStyle name="Normal 12 2 2 6 4 2" xfId="11823" xr:uid="{06F98401-8008-4C46-BB1A-2218CC92AFE7}"/>
    <cellStyle name="Normal 12 2 2 6 4 2 2" xfId="28583" xr:uid="{5AA2FF55-A3C2-4B68-BB16-3EC88FDABA7B}"/>
    <cellStyle name="Normal 12 2 2 6 4 2 3" xfId="45342" xr:uid="{304C5273-7E4A-4A57-9231-4D7BA8FA18D6}"/>
    <cellStyle name="Normal 12 2 2 6 4 3" xfId="20203" xr:uid="{3C4333B6-3679-4CEB-A447-FF2B70CC19B4}"/>
    <cellStyle name="Normal 12 2 2 6 4 4" xfId="36962" xr:uid="{BA0F4E79-47B4-4BFD-A6FD-FA786293F654}"/>
    <cellStyle name="Normal 12 2 2 6 5" xfId="10109" xr:uid="{05434A5F-729D-49B4-91C3-D464926357DE}"/>
    <cellStyle name="Normal 12 2 2 6 5 2" xfId="26869" xr:uid="{5F0711E7-6058-41FD-B7FE-994F70A85EAB}"/>
    <cellStyle name="Normal 12 2 2 6 5 3" xfId="43628" xr:uid="{21B9C4AB-45ED-4F37-9954-D7CF23B05E09}"/>
    <cellStyle name="Normal 12 2 2 6 6" xfId="18489" xr:uid="{7EF5775A-4A2C-4016-AA3A-101B529DC9E4}"/>
    <cellStyle name="Normal 12 2 2 6 7" xfId="35248" xr:uid="{F1DB6250-C740-469B-BE3E-A3786F82C2A6}"/>
    <cellStyle name="Normal 12 2 2 7" xfId="3839" xr:uid="{95E93B0A-AFA3-43A5-AA29-9E934B07AA9C}"/>
    <cellStyle name="Normal 12 2 2 7 2" xfId="12219" xr:uid="{1A66BB0F-7246-40C1-BEAB-6330809DC476}"/>
    <cellStyle name="Normal 12 2 2 7 2 2" xfId="28979" xr:uid="{D77897B9-4B5B-4F4A-8B21-1ADDD789DE11}"/>
    <cellStyle name="Normal 12 2 2 7 2 3" xfId="45738" xr:uid="{C78D3C5B-4FD7-4727-BDEA-E1618E0922CF}"/>
    <cellStyle name="Normal 12 2 2 7 3" xfId="20599" xr:uid="{9949E217-0F28-4895-A232-C914EC4A5B2A}"/>
    <cellStyle name="Normal 12 2 2 7 4" xfId="37358" xr:uid="{BC3E12E3-F17E-4A18-82D4-79BC82E7B8B2}"/>
    <cellStyle name="Normal 12 2 2 8" xfId="5521" xr:uid="{CB62B4C1-22AC-48DC-BE66-54AE864073BC}"/>
    <cellStyle name="Normal 12 2 2 8 2" xfId="13901" xr:uid="{D756D5C0-36A5-47FB-B26B-B1241E5E6EEB}"/>
    <cellStyle name="Normal 12 2 2 8 2 2" xfId="30661" xr:uid="{FAFB8FAF-840C-4CAE-BB24-F8E3AB519246}"/>
    <cellStyle name="Normal 12 2 2 8 2 3" xfId="47420" xr:uid="{D7FCB1CD-844E-45CA-B2EC-797445B9C063}"/>
    <cellStyle name="Normal 12 2 2 8 3" xfId="22281" xr:uid="{275977B2-FAFC-4810-B289-69047B85CC03}"/>
    <cellStyle name="Normal 12 2 2 8 4" xfId="39040" xr:uid="{075B19B1-C781-45F6-9D5A-C3C09EAA775F}"/>
    <cellStyle name="Normal 12 2 2 9" xfId="7202" xr:uid="{BDF3D4CA-0644-4C84-8FCD-4BC187AF104E}"/>
    <cellStyle name="Normal 12 2 2 9 2" xfId="15582" xr:uid="{FEB2D824-35B3-4905-8ABA-F1588E21BC54}"/>
    <cellStyle name="Normal 12 2 2 9 2 2" xfId="32342" xr:uid="{D64070ED-8F8F-4AE2-B491-A93DF6014963}"/>
    <cellStyle name="Normal 12 2 2 9 2 3" xfId="49101" xr:uid="{EF0860A2-F596-4764-9512-5040E33F660D}"/>
    <cellStyle name="Normal 12 2 2 9 3" xfId="23962" xr:uid="{837D435B-63F1-4757-AB40-232EDCA7F1C9}"/>
    <cellStyle name="Normal 12 2 2 9 4" xfId="40721" xr:uid="{8EACA50A-2141-495A-A045-2B70D75C7B85}"/>
    <cellStyle name="Normal 12 2 3" xfId="524" xr:uid="{DD27AA03-1FA2-4BE2-9946-2E2AD25F5CBE}"/>
    <cellStyle name="Normal 12 2 3 10" xfId="8492" xr:uid="{CB828928-B096-4073-A274-E71ECABAAC1D}"/>
    <cellStyle name="Normal 12 2 3 10 2" xfId="16872" xr:uid="{E7D98AF4-2BCF-42E3-9AA4-BB15223DDE0A}"/>
    <cellStyle name="Normal 12 2 3 10 2 2" xfId="33632" xr:uid="{C96CECF4-F2DF-4E6E-B5A6-4371CC7ADEDE}"/>
    <cellStyle name="Normal 12 2 3 10 2 3" xfId="50391" xr:uid="{216C9663-C9A1-483A-B580-928358DB39C9}"/>
    <cellStyle name="Normal 12 2 3 10 3" xfId="25252" xr:uid="{1BD8C837-3BD2-4651-A53D-66B61B809F26}"/>
    <cellStyle name="Normal 12 2 3 10 4" xfId="42011" xr:uid="{6BA6E5B1-DB33-4922-A45C-ADE99793DC29}"/>
    <cellStyle name="Normal 12 2 3 11" xfId="2356" xr:uid="{B285158D-022B-4B7D-ACEB-0BBAF8E4064F}"/>
    <cellStyle name="Normal 12 2 3 11 2" xfId="10738" xr:uid="{2393FA55-8C1D-4CAC-909A-FE8D8E13B84C}"/>
    <cellStyle name="Normal 12 2 3 11 2 2" xfId="27498" xr:uid="{C85484CA-ED58-4800-8A88-5C855A261A18}"/>
    <cellStyle name="Normal 12 2 3 11 2 3" xfId="44257" xr:uid="{902B55C7-A96B-445E-83F4-9623E71995F2}"/>
    <cellStyle name="Normal 12 2 3 11 3" xfId="19118" xr:uid="{3DD19E14-E875-4CA6-A556-79346B47B16E}"/>
    <cellStyle name="Normal 12 2 3 11 4" xfId="35877" xr:uid="{A9445D67-983B-42E0-90B1-343B9C014B4E}"/>
    <cellStyle name="Normal 12 2 3 12" xfId="8935" xr:uid="{78B7E3E5-BFC3-45FD-AE8E-96AF0DEF1165}"/>
    <cellStyle name="Normal 12 2 3 12 2" xfId="25695" xr:uid="{40839979-7262-4614-8CE7-DD1730BB3ABE}"/>
    <cellStyle name="Normal 12 2 3 12 3" xfId="42454" xr:uid="{3AFF9F82-8D1A-4199-88B1-6D4CCD00D171}"/>
    <cellStyle name="Normal 12 2 3 13" xfId="17315" xr:uid="{8BDEF552-67E6-4232-A1A9-B70A16590277}"/>
    <cellStyle name="Normal 12 2 3 14" xfId="34074" xr:uid="{18A61ACC-7279-48CE-B3AA-F3CED40D1183}"/>
    <cellStyle name="Normal 12 2 3 2" xfId="966" xr:uid="{4769E368-B820-406A-BB13-585BC44D920B}"/>
    <cellStyle name="Normal 12 2 3 2 2" xfId="4361" xr:uid="{80CE974F-5CED-4111-B066-57781505E527}"/>
    <cellStyle name="Normal 12 2 3 2 2 2" xfId="12741" xr:uid="{4CDC0C4B-773D-46D8-BF6C-40A9A8D8AD04}"/>
    <cellStyle name="Normal 12 2 3 2 2 2 2" xfId="29501" xr:uid="{F239A3EF-77C9-411B-A71C-4728B65EFA9A}"/>
    <cellStyle name="Normal 12 2 3 2 2 2 3" xfId="46260" xr:uid="{E24054B3-258A-4CE3-8BFC-08D0A661C88B}"/>
    <cellStyle name="Normal 12 2 3 2 2 3" xfId="21121" xr:uid="{DDCC7F15-40EB-4D89-B97B-F99F4AF45914}"/>
    <cellStyle name="Normal 12 2 3 2 2 4" xfId="37880" xr:uid="{D8CDCBA3-685B-4FFC-8396-0816FFE4AD19}"/>
    <cellStyle name="Normal 12 2 3 2 3" xfId="6048" xr:uid="{7D23ED8A-5B02-4CF7-A769-0C68CCA33C15}"/>
    <cellStyle name="Normal 12 2 3 2 3 2" xfId="14428" xr:uid="{A5E77677-CF1C-4667-8BCD-0130C69F2B65}"/>
    <cellStyle name="Normal 12 2 3 2 3 2 2" xfId="31188" xr:uid="{657EF25E-0A19-4AFD-BF51-2E536817480F}"/>
    <cellStyle name="Normal 12 2 3 2 3 2 3" xfId="47947" xr:uid="{47E3251A-4EC1-40D6-B2FE-0C053421A7FD}"/>
    <cellStyle name="Normal 12 2 3 2 3 3" xfId="22808" xr:uid="{EBDA7FD9-05D8-4254-8867-6F8A3899347A}"/>
    <cellStyle name="Normal 12 2 3 2 3 4" xfId="39567" xr:uid="{25578CC4-85D3-4549-9C85-D155549D4945}"/>
    <cellStyle name="Normal 12 2 3 2 4" xfId="2784" xr:uid="{2CCFF428-9944-4D29-A188-351FBF312AB6}"/>
    <cellStyle name="Normal 12 2 3 2 4 2" xfId="11164" xr:uid="{49A56857-011E-4C4E-99DD-F8DD41DF3A56}"/>
    <cellStyle name="Normal 12 2 3 2 4 2 2" xfId="27924" xr:uid="{C14BC5C5-F555-4A28-9C6A-992F62A83100}"/>
    <cellStyle name="Normal 12 2 3 2 4 2 3" xfId="44683" xr:uid="{398E77E7-C67D-4337-8660-607EB96EED99}"/>
    <cellStyle name="Normal 12 2 3 2 4 3" xfId="19544" xr:uid="{9D16F423-3EB6-4E48-B0A7-DD1945744EC1}"/>
    <cellStyle name="Normal 12 2 3 2 4 4" xfId="36303" xr:uid="{94B5C4EB-191C-4F6B-8D1E-AF19606F823F}"/>
    <cellStyle name="Normal 12 2 3 2 5" xfId="9361" xr:uid="{918EFB7C-E182-49B1-BE25-3B7CFBD1FEE1}"/>
    <cellStyle name="Normal 12 2 3 2 5 2" xfId="26121" xr:uid="{6F42AC68-620E-4737-9C18-DCB28D803354}"/>
    <cellStyle name="Normal 12 2 3 2 5 3" xfId="42880" xr:uid="{E419DB8E-25D8-4055-89E0-561823AAD059}"/>
    <cellStyle name="Normal 12 2 3 2 6" xfId="17741" xr:uid="{2D06027B-CE0E-43F0-A7E1-A750684C4CB4}"/>
    <cellStyle name="Normal 12 2 3 2 7" xfId="34500" xr:uid="{37A78EE7-E34F-4057-BF4E-ED04647153DB}"/>
    <cellStyle name="Normal 12 2 3 3" xfId="1400" xr:uid="{F7FC665B-7B73-4F9F-A00B-0E5CEC1BD69E}"/>
    <cellStyle name="Normal 12 2 3 3 2" xfId="4789" xr:uid="{B821E423-628E-460B-B788-36F6CAAC17E5}"/>
    <cellStyle name="Normal 12 2 3 3 2 2" xfId="13169" xr:uid="{EEBB2C38-6CD6-40BD-AA67-58E116FF16B5}"/>
    <cellStyle name="Normal 12 2 3 3 2 2 2" xfId="29929" xr:uid="{CE8033CB-3100-43A3-AC5F-5F2C467C34F0}"/>
    <cellStyle name="Normal 12 2 3 3 2 2 3" xfId="46688" xr:uid="{AE1BBEC8-5863-4CF9-9969-4CE25E87A99E}"/>
    <cellStyle name="Normal 12 2 3 3 2 3" xfId="21549" xr:uid="{7D8CED78-44EC-4EBE-810A-BD2ABA41FB25}"/>
    <cellStyle name="Normal 12 2 3 3 2 4" xfId="38308" xr:uid="{36AC70A2-37FC-4D93-8A1A-30EE9E92E0B2}"/>
    <cellStyle name="Normal 12 2 3 3 3" xfId="6476" xr:uid="{7CA0CE5F-1CA4-421D-861E-DCFBA1FC1518}"/>
    <cellStyle name="Normal 12 2 3 3 3 2" xfId="14856" xr:uid="{82342C3A-04E6-47FE-8811-9FE6D5E12947}"/>
    <cellStyle name="Normal 12 2 3 3 3 2 2" xfId="31616" xr:uid="{DCA3334D-B80A-45F2-A765-DFF141C345B8}"/>
    <cellStyle name="Normal 12 2 3 3 3 2 3" xfId="48375" xr:uid="{220000D3-63B5-4ACD-BE22-5718D3327194}"/>
    <cellStyle name="Normal 12 2 3 3 3 3" xfId="23236" xr:uid="{35FD8352-0EE1-449B-8FFF-7C60E95CC9B3}"/>
    <cellStyle name="Normal 12 2 3 3 3 4" xfId="39995" xr:uid="{36B9D1E4-8195-4F61-B84C-6439197D793B}"/>
    <cellStyle name="Normal 12 2 3 3 4" xfId="3212" xr:uid="{4F6CC73E-6371-44E1-9822-7A16AB46D93A}"/>
    <cellStyle name="Normal 12 2 3 3 4 2" xfId="11592" xr:uid="{AB969C62-1E24-4164-9A21-2136B53DF950}"/>
    <cellStyle name="Normal 12 2 3 3 4 2 2" xfId="28352" xr:uid="{24F37D51-17AA-4D31-9462-9FE57535BB29}"/>
    <cellStyle name="Normal 12 2 3 3 4 2 3" xfId="45111" xr:uid="{CF5A3351-211D-4BC2-92AE-A3DAC5575755}"/>
    <cellStyle name="Normal 12 2 3 3 4 3" xfId="19972" xr:uid="{22FDF360-87A9-4D78-84A2-53ADC13F7866}"/>
    <cellStyle name="Normal 12 2 3 3 4 4" xfId="36731" xr:uid="{FDE90FFF-3233-4CAB-AA27-88FDFBC4A712}"/>
    <cellStyle name="Normal 12 2 3 3 5" xfId="9789" xr:uid="{83BD5C0C-75A5-4928-BF3A-ED8E46338D0C}"/>
    <cellStyle name="Normal 12 2 3 3 5 2" xfId="26549" xr:uid="{F9F07AFF-D2E3-40D1-B1C9-4A185A762D82}"/>
    <cellStyle name="Normal 12 2 3 3 5 3" xfId="43308" xr:uid="{DBC49E2A-B889-4377-981F-3AF6E545005F}"/>
    <cellStyle name="Normal 12 2 3 3 6" xfId="18169" xr:uid="{BD19C2BD-1B49-4EDD-A5B7-100FB5599884}"/>
    <cellStyle name="Normal 12 2 3 3 7" xfId="34928" xr:uid="{05124FE3-9CAD-4E03-AA97-4BC9956738D8}"/>
    <cellStyle name="Normal 12 2 3 4" xfId="1792" xr:uid="{7E91BB88-1E5D-4F1D-8D77-433DA55C0963}"/>
    <cellStyle name="Normal 12 2 3 4 2" xfId="5181" xr:uid="{58DA51EF-2D96-4F89-B8E1-6F42AE4C4D21}"/>
    <cellStyle name="Normal 12 2 3 4 2 2" xfId="13561" xr:uid="{E2825673-E8E7-4715-B4F6-55341B3F203F}"/>
    <cellStyle name="Normal 12 2 3 4 2 2 2" xfId="30321" xr:uid="{BD0DD74F-2483-4B5B-852C-8C8988A2DFDB}"/>
    <cellStyle name="Normal 12 2 3 4 2 2 3" xfId="47080" xr:uid="{1DB51D0E-CB37-42BE-97BD-6A91EAA2C3D0}"/>
    <cellStyle name="Normal 12 2 3 4 2 3" xfId="21941" xr:uid="{37500726-0226-4310-99FF-C5236FF902F0}"/>
    <cellStyle name="Normal 12 2 3 4 2 4" xfId="38700" xr:uid="{402696CE-68C8-4E56-AD7E-400FFDB09E02}"/>
    <cellStyle name="Normal 12 2 3 4 3" xfId="6868" xr:uid="{FA2C8EF5-96D9-4138-AA8C-0C9CF2019837}"/>
    <cellStyle name="Normal 12 2 3 4 3 2" xfId="15248" xr:uid="{031067FF-3FC3-46BA-A36B-E127C876E87A}"/>
    <cellStyle name="Normal 12 2 3 4 3 2 2" xfId="32008" xr:uid="{9CB0AF20-0BC8-4FE7-9544-1144846D70A4}"/>
    <cellStyle name="Normal 12 2 3 4 3 2 3" xfId="48767" xr:uid="{62F0A07A-E860-4EE1-B960-576055215205}"/>
    <cellStyle name="Normal 12 2 3 4 3 3" xfId="23628" xr:uid="{03B6EF7F-86EB-4062-BBF9-F9B0EB180DE8}"/>
    <cellStyle name="Normal 12 2 3 4 3 4" xfId="40387" xr:uid="{A9364AE0-9ABC-4E3A-9A82-9C92EC8A7F27}"/>
    <cellStyle name="Normal 12 2 3 4 4" xfId="3492" xr:uid="{558BFF63-543D-4368-82E0-B5C26F83D0DD}"/>
    <cellStyle name="Normal 12 2 3 4 4 2" xfId="11872" xr:uid="{B82898A2-275F-47B5-A833-424882D98581}"/>
    <cellStyle name="Normal 12 2 3 4 4 2 2" xfId="28632" xr:uid="{9479A05B-A776-422C-84EC-E70BF2759F2A}"/>
    <cellStyle name="Normal 12 2 3 4 4 2 3" xfId="45391" xr:uid="{9322F9F1-06C1-47D4-AEAC-7C34EDA3F9B0}"/>
    <cellStyle name="Normal 12 2 3 4 4 3" xfId="20252" xr:uid="{AA9EB895-6F2B-4718-85B8-CEF83DBB0A50}"/>
    <cellStyle name="Normal 12 2 3 4 4 4" xfId="37011" xr:uid="{AF172A83-1A17-45A6-AFF1-42B21BFAF41F}"/>
    <cellStyle name="Normal 12 2 3 4 5" xfId="10181" xr:uid="{058322F8-D30E-44A7-9BEB-1420D60C293B}"/>
    <cellStyle name="Normal 12 2 3 4 5 2" xfId="26941" xr:uid="{DB595840-6C8C-4B80-A581-CD07EC0AEF75}"/>
    <cellStyle name="Normal 12 2 3 4 5 3" xfId="43700" xr:uid="{9DEF2A99-BACA-483B-8B31-68D9BAB1E1CE}"/>
    <cellStyle name="Normal 12 2 3 4 6" xfId="18561" xr:uid="{C2074DD5-CE45-4BF3-85C6-E047CEE39A1D}"/>
    <cellStyle name="Normal 12 2 3 4 7" xfId="35320" xr:uid="{FB31BEA1-6E01-421C-82F8-B3B58F9960B9}"/>
    <cellStyle name="Normal 12 2 3 5" xfId="3911" xr:uid="{7D717873-7D7D-41E6-A59A-8B2F8DB89ABA}"/>
    <cellStyle name="Normal 12 2 3 5 2" xfId="12291" xr:uid="{36E82712-8E02-4FC6-BE8D-873F64D0B2BE}"/>
    <cellStyle name="Normal 12 2 3 5 2 2" xfId="29051" xr:uid="{6833EC46-0EC4-4269-BEBA-B715D761D378}"/>
    <cellStyle name="Normal 12 2 3 5 2 3" xfId="45810" xr:uid="{9514DE69-7DAB-4360-8E56-E66949FE015B}"/>
    <cellStyle name="Normal 12 2 3 5 3" xfId="20671" xr:uid="{F31AAFE2-4A9C-4E8A-9835-1D5E82392ECE}"/>
    <cellStyle name="Normal 12 2 3 5 4" xfId="37430" xr:uid="{F5492A6A-5610-4E3A-A0F3-6B79B715E3E7}"/>
    <cellStyle name="Normal 12 2 3 6" xfId="5622" xr:uid="{333294DD-F3F4-4EE7-A7E9-FDF2DA8FA34C}"/>
    <cellStyle name="Normal 12 2 3 6 2" xfId="14002" xr:uid="{2FA89A9B-BA87-4791-8120-F0FA35ABB71C}"/>
    <cellStyle name="Normal 12 2 3 6 2 2" xfId="30762" xr:uid="{C9AC4E5C-35C3-4427-8250-00AB1B61D351}"/>
    <cellStyle name="Normal 12 2 3 6 2 3" xfId="47521" xr:uid="{00250454-8D02-4960-8A8C-0C060BE74180}"/>
    <cellStyle name="Normal 12 2 3 6 3" xfId="22382" xr:uid="{0003D69E-3C42-4A32-9706-3ED157E8D680}"/>
    <cellStyle name="Normal 12 2 3 6 4" xfId="39141" xr:uid="{EF2EA24E-EF45-42D8-9449-DBA9D2ED7B52}"/>
    <cellStyle name="Normal 12 2 3 7" xfId="7274" xr:uid="{C64AF813-78C5-4A93-AA8C-8DD8B2BFDB27}"/>
    <cellStyle name="Normal 12 2 3 7 2" xfId="15654" xr:uid="{F9038918-FAFA-4B28-818E-FFF72B542291}"/>
    <cellStyle name="Normal 12 2 3 7 2 2" xfId="32414" xr:uid="{9949E298-E413-42A5-ADC4-652A612F7199}"/>
    <cellStyle name="Normal 12 2 3 7 2 3" xfId="49173" xr:uid="{47791837-622A-42CE-AF2B-0C90C72F5BF0}"/>
    <cellStyle name="Normal 12 2 3 7 3" xfId="24034" xr:uid="{B542ED1D-567B-4481-A8D5-042739F31159}"/>
    <cellStyle name="Normal 12 2 3 7 4" xfId="40793" xr:uid="{73A40D3A-51E8-46AE-9E3B-73FF19CB62F4}"/>
    <cellStyle name="Normal 12 2 3 8" xfId="7680" xr:uid="{5A00A3F2-4385-4B32-9A07-7D4A2DE7D100}"/>
    <cellStyle name="Normal 12 2 3 8 2" xfId="16060" xr:uid="{BD79A79B-E6EF-4D99-9CD1-D140486004BD}"/>
    <cellStyle name="Normal 12 2 3 8 2 2" xfId="32820" xr:uid="{6FAF3BB1-90D7-4D93-896B-706A9711C6A2}"/>
    <cellStyle name="Normal 12 2 3 8 2 3" xfId="49579" xr:uid="{679F29DE-AD75-4988-A20C-46CC72D61BD5}"/>
    <cellStyle name="Normal 12 2 3 8 3" xfId="24440" xr:uid="{A131D1A7-A48E-41C3-B3E9-D2B32A0AA9A6}"/>
    <cellStyle name="Normal 12 2 3 8 4" xfId="41199" xr:uid="{628DAF1C-2B10-4616-A971-8C61E551D38D}"/>
    <cellStyle name="Normal 12 2 3 9" xfId="8086" xr:uid="{6350B026-6896-4BEE-803E-9FB29A3650BC}"/>
    <cellStyle name="Normal 12 2 3 9 2" xfId="16466" xr:uid="{DD3CCA17-B5A4-4032-80C1-03E3D36207C0}"/>
    <cellStyle name="Normal 12 2 3 9 2 2" xfId="33226" xr:uid="{2F71A2D5-D420-4A5A-B43C-1EA6846A149A}"/>
    <cellStyle name="Normal 12 2 3 9 2 3" xfId="49985" xr:uid="{531813E2-7CA3-46D5-921C-F999E9CBCC29}"/>
    <cellStyle name="Normal 12 2 3 9 3" xfId="24846" xr:uid="{06C6F5DA-628A-4F44-B541-1754FEBDC61A}"/>
    <cellStyle name="Normal 12 2 3 9 4" xfId="41605" xr:uid="{25EAC3AE-93B8-4049-B61F-09FACAFE1198}"/>
    <cellStyle name="Normal 12 2 4" xfId="525" xr:uid="{31FC5C7B-A139-458C-9AFE-B521BA8288AE}"/>
    <cellStyle name="Normal 12 2 4 10" xfId="8635" xr:uid="{0A98CE69-360B-4255-8BA3-FB01A0AD7253}"/>
    <cellStyle name="Normal 12 2 4 10 2" xfId="17015" xr:uid="{472D8247-4CF5-4D3D-9DB5-89C6887AEF13}"/>
    <cellStyle name="Normal 12 2 4 10 2 2" xfId="33775" xr:uid="{2FED9299-154D-4A1A-86DB-B029DD18A36B}"/>
    <cellStyle name="Normal 12 2 4 10 2 3" xfId="50534" xr:uid="{E7CD3027-859E-41F1-8ECC-603BCA6F7D88}"/>
    <cellStyle name="Normal 12 2 4 10 3" xfId="25395" xr:uid="{C2FB096D-7509-4B32-BBA6-0EAD90A84BDC}"/>
    <cellStyle name="Normal 12 2 4 10 4" xfId="42154" xr:uid="{C82FD1D6-B1E3-4400-99FB-29FA74FA8B90}"/>
    <cellStyle name="Normal 12 2 4 11" xfId="2357" xr:uid="{394E9773-6124-4D31-ACF5-A8C419C157AE}"/>
    <cellStyle name="Normal 12 2 4 11 2" xfId="10739" xr:uid="{724BC590-9808-44A4-BF60-56980831816B}"/>
    <cellStyle name="Normal 12 2 4 11 2 2" xfId="27499" xr:uid="{95E02394-0430-4D90-BA29-D0A9F3D3FADA}"/>
    <cellStyle name="Normal 12 2 4 11 2 3" xfId="44258" xr:uid="{D79C530F-83EE-4002-A2CA-B955C3A22EBC}"/>
    <cellStyle name="Normal 12 2 4 11 3" xfId="19119" xr:uid="{0E416006-F21D-4BCA-AFBD-61A830E808C6}"/>
    <cellStyle name="Normal 12 2 4 11 4" xfId="35878" xr:uid="{80C739E4-BFC0-4B87-8E62-E97B8281A2AF}"/>
    <cellStyle name="Normal 12 2 4 12" xfId="8936" xr:uid="{FEE5FAE0-987A-4566-BFE8-EB9C4DC25CAD}"/>
    <cellStyle name="Normal 12 2 4 12 2" xfId="25696" xr:uid="{72D013F2-B41B-421D-8F21-7844B7906005}"/>
    <cellStyle name="Normal 12 2 4 12 3" xfId="42455" xr:uid="{9CB0F165-37A3-485B-9597-8669884A5563}"/>
    <cellStyle name="Normal 12 2 4 13" xfId="17316" xr:uid="{4B401759-73F7-47E3-A59A-EC55B6CB0F6F}"/>
    <cellStyle name="Normal 12 2 4 14" xfId="34075" xr:uid="{8BDD89B8-E2A2-4FE2-8C1B-94B7D81C3D93}"/>
    <cellStyle name="Normal 12 2 4 2" xfId="967" xr:uid="{D800279E-B01C-422E-B92C-AC1B1D9AEB56}"/>
    <cellStyle name="Normal 12 2 4 2 2" xfId="4362" xr:uid="{67714456-72EF-40A3-8285-E8EDCE609D09}"/>
    <cellStyle name="Normal 12 2 4 2 2 2" xfId="12742" xr:uid="{1A9A9CF3-28CE-47AB-8A6B-6F52B0A5940B}"/>
    <cellStyle name="Normal 12 2 4 2 2 2 2" xfId="29502" xr:uid="{C7F63D35-9469-4A2A-B71F-BF166D781D40}"/>
    <cellStyle name="Normal 12 2 4 2 2 2 3" xfId="46261" xr:uid="{F1440F47-6F67-4044-9B75-4B1BA25B1BF9}"/>
    <cellStyle name="Normal 12 2 4 2 2 3" xfId="21122" xr:uid="{C9C97C84-CCCA-4AE9-ACCD-0FB3CC6106C5}"/>
    <cellStyle name="Normal 12 2 4 2 2 4" xfId="37881" xr:uid="{F026848F-2F42-4C9E-A760-428857BFCECC}"/>
    <cellStyle name="Normal 12 2 4 2 3" xfId="6049" xr:uid="{0E7181ED-3534-466C-9E70-F967A1DAB769}"/>
    <cellStyle name="Normal 12 2 4 2 3 2" xfId="14429" xr:uid="{85ED40C0-7692-41D9-8CB6-6C94C822A179}"/>
    <cellStyle name="Normal 12 2 4 2 3 2 2" xfId="31189" xr:uid="{02A05C74-2343-494C-96B2-8A2B25F33140}"/>
    <cellStyle name="Normal 12 2 4 2 3 2 3" xfId="47948" xr:uid="{9A88CF4A-7C30-46BD-8D0D-43DD5C3B691A}"/>
    <cellStyle name="Normal 12 2 4 2 3 3" xfId="22809" xr:uid="{40430609-BEB6-40AE-96AA-7C9C4E4710A8}"/>
    <cellStyle name="Normal 12 2 4 2 3 4" xfId="39568" xr:uid="{9FD28A54-07B7-413C-AC1F-368D84D4AD7B}"/>
    <cellStyle name="Normal 12 2 4 2 4" xfId="2785" xr:uid="{5BEF8A9A-5017-42ED-A358-B7F6F76B844A}"/>
    <cellStyle name="Normal 12 2 4 2 4 2" xfId="11165" xr:uid="{351E7DF9-FA84-4DA1-B027-456E967B2315}"/>
    <cellStyle name="Normal 12 2 4 2 4 2 2" xfId="27925" xr:uid="{CC41938B-E422-4D9E-BE2A-CFDF19E200DF}"/>
    <cellStyle name="Normal 12 2 4 2 4 2 3" xfId="44684" xr:uid="{83E061AC-069F-4D02-B501-10FF9F18C516}"/>
    <cellStyle name="Normal 12 2 4 2 4 3" xfId="19545" xr:uid="{6EDB5953-E834-4050-9945-418ADA13C510}"/>
    <cellStyle name="Normal 12 2 4 2 4 4" xfId="36304" xr:uid="{4C503C25-9135-4168-A936-6A5251C11869}"/>
    <cellStyle name="Normal 12 2 4 2 5" xfId="9362" xr:uid="{A73F0AD7-D356-4E57-8530-42A8CB839326}"/>
    <cellStyle name="Normal 12 2 4 2 5 2" xfId="26122" xr:uid="{195FC356-01F9-4A82-96F8-D047F955F457}"/>
    <cellStyle name="Normal 12 2 4 2 5 3" xfId="42881" xr:uid="{D5F2DCFE-8B69-4CFF-8C80-7FA8B58773DB}"/>
    <cellStyle name="Normal 12 2 4 2 6" xfId="17742" xr:uid="{9700D7E5-29D7-4E14-AA70-BD7069E0FC8E}"/>
    <cellStyle name="Normal 12 2 4 2 7" xfId="34501" xr:uid="{9352FD2C-068D-4113-B6DC-4AC3D6C5FAE0}"/>
    <cellStyle name="Normal 12 2 4 3" xfId="1401" xr:uid="{1EFA7B51-B320-41B6-8EC4-313E6CF70139}"/>
    <cellStyle name="Normal 12 2 4 3 2" xfId="4790" xr:uid="{1AD98451-3FBA-4903-B719-377DC3458A32}"/>
    <cellStyle name="Normal 12 2 4 3 2 2" xfId="13170" xr:uid="{2D5456AC-B961-4791-A79B-16620784C426}"/>
    <cellStyle name="Normal 12 2 4 3 2 2 2" xfId="29930" xr:uid="{4CE56B05-5E2E-473B-B497-DCF8AD9EDB44}"/>
    <cellStyle name="Normal 12 2 4 3 2 2 3" xfId="46689" xr:uid="{DC97C225-A729-48E6-B352-A2F643AC9764}"/>
    <cellStyle name="Normal 12 2 4 3 2 3" xfId="21550" xr:uid="{E15C70A9-F497-41E0-A291-86D60C224CAC}"/>
    <cellStyle name="Normal 12 2 4 3 2 4" xfId="38309" xr:uid="{77190DFD-B52D-4004-902E-A89A97035F31}"/>
    <cellStyle name="Normal 12 2 4 3 3" xfId="6477" xr:uid="{75FC6AFD-1DB6-4E91-B1CA-732E4E978A89}"/>
    <cellStyle name="Normal 12 2 4 3 3 2" xfId="14857" xr:uid="{847B4B0A-B837-46B5-9A51-240285AA39EA}"/>
    <cellStyle name="Normal 12 2 4 3 3 2 2" xfId="31617" xr:uid="{5397AEC2-4C27-4958-94E5-471A9A2E60E5}"/>
    <cellStyle name="Normal 12 2 4 3 3 2 3" xfId="48376" xr:uid="{A5353797-7441-49B8-90C9-0CCFCBB98440}"/>
    <cellStyle name="Normal 12 2 4 3 3 3" xfId="23237" xr:uid="{60EAF058-C78B-4FBD-A599-68FE6086D605}"/>
    <cellStyle name="Normal 12 2 4 3 3 4" xfId="39996" xr:uid="{8442332C-8BE2-4385-80CD-76D080B0BB23}"/>
    <cellStyle name="Normal 12 2 4 3 4" xfId="3213" xr:uid="{A87059BB-17E4-49AB-AFF0-70B438828399}"/>
    <cellStyle name="Normal 12 2 4 3 4 2" xfId="11593" xr:uid="{2DF0D20F-3D96-4925-A8CB-5D273E110EF2}"/>
    <cellStyle name="Normal 12 2 4 3 4 2 2" xfId="28353" xr:uid="{E6665A6E-2886-439A-A886-B37090D787E7}"/>
    <cellStyle name="Normal 12 2 4 3 4 2 3" xfId="45112" xr:uid="{5E66BEC1-DAD7-485F-95DF-4D86BF7A43CA}"/>
    <cellStyle name="Normal 12 2 4 3 4 3" xfId="19973" xr:uid="{AE0EBA09-2E5F-4E9B-9717-0699572E87F1}"/>
    <cellStyle name="Normal 12 2 4 3 4 4" xfId="36732" xr:uid="{7BF50359-C7E8-4323-AED9-CA6530AC66F4}"/>
    <cellStyle name="Normal 12 2 4 3 5" xfId="9790" xr:uid="{895B6190-BB5B-4ECF-B861-8BEDDFF4CA5F}"/>
    <cellStyle name="Normal 12 2 4 3 5 2" xfId="26550" xr:uid="{BDE541C4-D5E5-414E-AA96-D1CF9A41C241}"/>
    <cellStyle name="Normal 12 2 4 3 5 3" xfId="43309" xr:uid="{797F20F0-31C2-45BD-96B1-1338DC5FD17E}"/>
    <cellStyle name="Normal 12 2 4 3 6" xfId="18170" xr:uid="{4AD5A9E5-6B05-4AB9-8319-297A7B2B6B9E}"/>
    <cellStyle name="Normal 12 2 4 3 7" xfId="34929" xr:uid="{6B04BA01-8E86-497B-AAC7-DE349E6DEE07}"/>
    <cellStyle name="Normal 12 2 4 4" xfId="1935" xr:uid="{74AE9F03-F2E9-4ADA-B0A0-F6FB3EC7A4F9}"/>
    <cellStyle name="Normal 12 2 4 4 2" xfId="5324" xr:uid="{BF2A6D9A-4E8D-4114-AEBE-95DA764C08BD}"/>
    <cellStyle name="Normal 12 2 4 4 2 2" xfId="13704" xr:uid="{48C5A886-86B6-49D8-BC0E-D6A07321BEE6}"/>
    <cellStyle name="Normal 12 2 4 4 2 2 2" xfId="30464" xr:uid="{34EA50C4-ED64-4EA9-82CB-EC4BAD43DFB1}"/>
    <cellStyle name="Normal 12 2 4 4 2 2 3" xfId="47223" xr:uid="{AFDAFC79-1A0E-4470-B0F6-4C1757191E7A}"/>
    <cellStyle name="Normal 12 2 4 4 2 3" xfId="22084" xr:uid="{26D8F1A8-4555-4B89-8E51-658F5880473F}"/>
    <cellStyle name="Normal 12 2 4 4 2 4" xfId="38843" xr:uid="{882F4F29-2220-43E1-A3AE-ACBC71C328C7}"/>
    <cellStyle name="Normal 12 2 4 4 3" xfId="7011" xr:uid="{DEDD33C1-F87A-4C7B-9F19-96E678BA07CC}"/>
    <cellStyle name="Normal 12 2 4 4 3 2" xfId="15391" xr:uid="{827D4E07-9763-461D-9088-C201A4812D64}"/>
    <cellStyle name="Normal 12 2 4 4 3 2 2" xfId="32151" xr:uid="{F0C65BF8-E2C8-4081-A105-DCF3000ABDB1}"/>
    <cellStyle name="Normal 12 2 4 4 3 2 3" xfId="48910" xr:uid="{B39A56FF-08EB-4FDE-B988-6FA06928D1EA}"/>
    <cellStyle name="Normal 12 2 4 4 3 3" xfId="23771" xr:uid="{C0EFD132-15BA-40B6-854E-D8B355A2E1B7}"/>
    <cellStyle name="Normal 12 2 4 4 3 4" xfId="40530" xr:uid="{8DD42192-C209-4250-9BF1-3E2A0A8F5DB9}"/>
    <cellStyle name="Normal 12 2 4 4 4" xfId="3634" xr:uid="{10231A1B-F62E-45BF-8BC6-2E789517DF9E}"/>
    <cellStyle name="Normal 12 2 4 4 4 2" xfId="12014" xr:uid="{A5FB3A18-A657-4241-9392-81EC3176EC46}"/>
    <cellStyle name="Normal 12 2 4 4 4 2 2" xfId="28774" xr:uid="{D4658A55-A7DE-48F8-B07B-4F873302434B}"/>
    <cellStyle name="Normal 12 2 4 4 4 2 3" xfId="45533" xr:uid="{200372C0-43DB-4F70-B571-2FF75D25792E}"/>
    <cellStyle name="Normal 12 2 4 4 4 3" xfId="20394" xr:uid="{39C30959-0D1D-4C97-822B-E4730833CBEC}"/>
    <cellStyle name="Normal 12 2 4 4 4 4" xfId="37153" xr:uid="{3290E823-5D96-47F2-A62F-03103D08ABC6}"/>
    <cellStyle name="Normal 12 2 4 4 5" xfId="10324" xr:uid="{3CF80AF5-04C3-44FC-96D7-45D711C67914}"/>
    <cellStyle name="Normal 12 2 4 4 5 2" xfId="27084" xr:uid="{8FDF19B3-B726-4DE2-887B-E3EAFF049ECA}"/>
    <cellStyle name="Normal 12 2 4 4 5 3" xfId="43843" xr:uid="{0721470B-3B62-4383-80E4-E42373897B8D}"/>
    <cellStyle name="Normal 12 2 4 4 6" xfId="18704" xr:uid="{DFCB046D-2EE5-4D30-B6F9-73DFEACF3EE7}"/>
    <cellStyle name="Normal 12 2 4 4 7" xfId="35463" xr:uid="{431D7E14-AA11-4589-9C01-B65AEB7C0DC5}"/>
    <cellStyle name="Normal 12 2 4 5" xfId="4054" xr:uid="{CA9EEA1C-19BF-4443-ABD0-6B9B68FF1F80}"/>
    <cellStyle name="Normal 12 2 4 5 2" xfId="12434" xr:uid="{E3C901D6-E447-4177-8229-E340F446914A}"/>
    <cellStyle name="Normal 12 2 4 5 2 2" xfId="29194" xr:uid="{4B7656B7-A316-434E-B109-280D1CB2EF56}"/>
    <cellStyle name="Normal 12 2 4 5 2 3" xfId="45953" xr:uid="{2367BD6D-D713-433F-BD9E-22F2B9E146A2}"/>
    <cellStyle name="Normal 12 2 4 5 3" xfId="20814" xr:uid="{AF256D2F-8831-4319-8C7A-C4C9AFDE371B}"/>
    <cellStyle name="Normal 12 2 4 5 4" xfId="37573" xr:uid="{B7B8B47F-374B-47D7-A771-15E946A95BCB}"/>
    <cellStyle name="Normal 12 2 4 6" xfId="5623" xr:uid="{5A17ADF6-BBCE-463B-92AE-B398C152A829}"/>
    <cellStyle name="Normal 12 2 4 6 2" xfId="14003" xr:uid="{3EB9B274-6E83-4334-9184-6EB5B95C27D5}"/>
    <cellStyle name="Normal 12 2 4 6 2 2" xfId="30763" xr:uid="{8AC99074-3675-4A2E-BB1D-FCA1C1D1022E}"/>
    <cellStyle name="Normal 12 2 4 6 2 3" xfId="47522" xr:uid="{7246EC3A-41D0-46D7-81CE-D077E9E50C9A}"/>
    <cellStyle name="Normal 12 2 4 6 3" xfId="22383" xr:uid="{4E9F8CD6-D4C6-4910-9611-6C30B4BC0672}"/>
    <cellStyle name="Normal 12 2 4 6 4" xfId="39142" xr:uid="{C8130B0E-0767-4491-867E-FF00B5DC9032}"/>
    <cellStyle name="Normal 12 2 4 7" xfId="7417" xr:uid="{76A0BB38-FBC3-457A-B379-7A3647F17062}"/>
    <cellStyle name="Normal 12 2 4 7 2" xfId="15797" xr:uid="{6CB1F1F8-C005-4DAF-90D9-AC0ABA5DF15A}"/>
    <cellStyle name="Normal 12 2 4 7 2 2" xfId="32557" xr:uid="{BD33358A-2845-4988-A8E4-AB36546048F7}"/>
    <cellStyle name="Normal 12 2 4 7 2 3" xfId="49316" xr:uid="{83AB5E36-FF6A-4864-A727-442B7FD8347E}"/>
    <cellStyle name="Normal 12 2 4 7 3" xfId="24177" xr:uid="{52E3D756-82F2-4925-98B4-50FBA3D91891}"/>
    <cellStyle name="Normal 12 2 4 7 4" xfId="40936" xr:uid="{18B3C6FE-EC8D-496B-A87A-2C1AD9A4F95C}"/>
    <cellStyle name="Normal 12 2 4 8" xfId="7823" xr:uid="{C9329C9D-DF83-4F46-9C1A-8FC13B574A5C}"/>
    <cellStyle name="Normal 12 2 4 8 2" xfId="16203" xr:uid="{6E3D4B86-2992-467E-9567-AE21381682A1}"/>
    <cellStyle name="Normal 12 2 4 8 2 2" xfId="32963" xr:uid="{9065CEBC-1CA8-4B49-A87F-537CE3AB6D3E}"/>
    <cellStyle name="Normal 12 2 4 8 2 3" xfId="49722" xr:uid="{AAFCE566-B819-4CEB-BCD4-C04613C142BE}"/>
    <cellStyle name="Normal 12 2 4 8 3" xfId="24583" xr:uid="{5D9CFAD0-65FE-4CE3-96AC-971BB713CAAB}"/>
    <cellStyle name="Normal 12 2 4 8 4" xfId="41342" xr:uid="{44539858-B3FD-480F-8F6E-1DF685AA72A0}"/>
    <cellStyle name="Normal 12 2 4 9" xfId="8229" xr:uid="{F05B6374-559D-457D-B2C8-BBA656C2BDEA}"/>
    <cellStyle name="Normal 12 2 4 9 2" xfId="16609" xr:uid="{D1DE5EF1-C43B-4D5C-99F1-8A78E2425374}"/>
    <cellStyle name="Normal 12 2 4 9 2 2" xfId="33369" xr:uid="{BCAD1E49-B581-428E-8330-20FE4287EF86}"/>
    <cellStyle name="Normal 12 2 4 9 2 3" xfId="50128" xr:uid="{7BF53F79-553E-4D5C-9571-65A9D104AA01}"/>
    <cellStyle name="Normal 12 2 4 9 3" xfId="24989" xr:uid="{F82DECA6-F1E3-46B6-B292-894664A521D3}"/>
    <cellStyle name="Normal 12 2 4 9 4" xfId="41748" xr:uid="{8DE637A6-FD1B-4DEC-935F-F4C1E368B99A}"/>
    <cellStyle name="Normal 12 2 5" xfId="791" xr:uid="{C2519C8C-EB27-45C1-818F-8B5863CBEEDF}"/>
    <cellStyle name="Normal 12 2 5 2" xfId="4186" xr:uid="{353E11CA-F244-459B-AB9F-C06CD8C780B4}"/>
    <cellStyle name="Normal 12 2 5 2 2" xfId="12566" xr:uid="{3C27CE15-23DE-44C9-B335-AFB8A012F12E}"/>
    <cellStyle name="Normal 12 2 5 2 2 2" xfId="29326" xr:uid="{C8923760-2825-4EEE-8B3E-6273ECE8FA4C}"/>
    <cellStyle name="Normal 12 2 5 2 2 3" xfId="46085" xr:uid="{F0B6CFD4-0DD4-432C-8621-DD01C8335074}"/>
    <cellStyle name="Normal 12 2 5 2 3" xfId="20946" xr:uid="{2F714637-653F-4A37-88B7-43FDA8B64292}"/>
    <cellStyle name="Normal 12 2 5 2 4" xfId="37705" xr:uid="{7A605F32-E368-463C-A482-4BEC7993C33D}"/>
    <cellStyle name="Normal 12 2 5 3" xfId="5873" xr:uid="{3F645833-861F-4BE6-881E-3D8C4FCA860E}"/>
    <cellStyle name="Normal 12 2 5 3 2" xfId="14253" xr:uid="{FA75FADE-B8B5-48A5-B87A-E0473E4AD133}"/>
    <cellStyle name="Normal 12 2 5 3 2 2" xfId="31013" xr:uid="{F70A31CA-D1C6-456E-8188-58097729C38A}"/>
    <cellStyle name="Normal 12 2 5 3 2 3" xfId="47772" xr:uid="{B5A2F24A-4B6D-4BAF-86C4-9581AE34889F}"/>
    <cellStyle name="Normal 12 2 5 3 3" xfId="22633" xr:uid="{513EF3AA-68EB-41A5-A63F-68E2B4081D94}"/>
    <cellStyle name="Normal 12 2 5 3 4" xfId="39392" xr:uid="{28DC0A40-97E0-4641-94CD-059C2243F27A}"/>
    <cellStyle name="Normal 12 2 5 4" xfId="2609" xr:uid="{F495FB31-15A8-4160-AC0A-CF879952B439}"/>
    <cellStyle name="Normal 12 2 5 4 2" xfId="10989" xr:uid="{81A4AB9A-D85F-4EA3-B41B-2D8A877FECCE}"/>
    <cellStyle name="Normal 12 2 5 4 2 2" xfId="27749" xr:uid="{83C71FEC-7E06-4576-9803-A63ADBA3C865}"/>
    <cellStyle name="Normal 12 2 5 4 2 3" xfId="44508" xr:uid="{B4FC67CB-5871-4254-8F9F-4E52ACE6E0E8}"/>
    <cellStyle name="Normal 12 2 5 4 3" xfId="19369" xr:uid="{62B0F992-D2D9-4694-95DA-C9BB25017134}"/>
    <cellStyle name="Normal 12 2 5 4 4" xfId="36128" xr:uid="{CF552FB5-DEC5-4EE6-A20C-0B56FDE2E187}"/>
    <cellStyle name="Normal 12 2 5 5" xfId="9186" xr:uid="{36AEA772-960E-4075-8A44-9011ABC70AD3}"/>
    <cellStyle name="Normal 12 2 5 5 2" xfId="25946" xr:uid="{AC1CC547-A3A6-4F7A-9E85-D2F0D0140B5D}"/>
    <cellStyle name="Normal 12 2 5 5 3" xfId="42705" xr:uid="{0A579DFD-ED06-48BD-9E66-27D5F323BA50}"/>
    <cellStyle name="Normal 12 2 5 6" xfId="17566" xr:uid="{52601827-A43B-4318-9E59-35EEE8BE91D2}"/>
    <cellStyle name="Normal 12 2 5 7" xfId="34325" xr:uid="{D947E831-4F8E-438E-953E-5F0E8916C83A}"/>
    <cellStyle name="Normal 12 2 6" xfId="1225" xr:uid="{91E46B3A-6A14-4679-A750-CBFA535DFFD3}"/>
    <cellStyle name="Normal 12 2 6 2" xfId="4614" xr:uid="{B7BE61F8-86FA-4930-8923-5678C076BB52}"/>
    <cellStyle name="Normal 12 2 6 2 2" xfId="12994" xr:uid="{9F2D242F-C4BE-4176-ACE9-17BE61E8F79A}"/>
    <cellStyle name="Normal 12 2 6 2 2 2" xfId="29754" xr:uid="{1447575E-CDD6-4334-ABC3-1DA1FE9F7533}"/>
    <cellStyle name="Normal 12 2 6 2 2 3" xfId="46513" xr:uid="{6558F9BF-DC1F-4847-B470-9405A2FF2C0C}"/>
    <cellStyle name="Normal 12 2 6 2 3" xfId="21374" xr:uid="{802A521D-44CC-44DA-B09D-94E5910301F1}"/>
    <cellStyle name="Normal 12 2 6 2 4" xfId="38133" xr:uid="{C4CEC7F4-6D1B-4E47-9DFB-38E388EB9015}"/>
    <cellStyle name="Normal 12 2 6 3" xfId="6301" xr:uid="{1787116A-0AC5-40C3-B39D-BF9E84F3B721}"/>
    <cellStyle name="Normal 12 2 6 3 2" xfId="14681" xr:uid="{44C0D30A-27E2-4327-9814-076B747E5ECC}"/>
    <cellStyle name="Normal 12 2 6 3 2 2" xfId="31441" xr:uid="{8E6898E4-93BE-471D-A2EE-9936B1AE74E7}"/>
    <cellStyle name="Normal 12 2 6 3 2 3" xfId="48200" xr:uid="{399000CA-1E6C-447D-BAF7-10965674FC45}"/>
    <cellStyle name="Normal 12 2 6 3 3" xfId="23061" xr:uid="{9C092523-15E2-45E2-A71E-8A2D145F9263}"/>
    <cellStyle name="Normal 12 2 6 3 4" xfId="39820" xr:uid="{F88FF6A7-A14E-4E1C-8A7F-9337E68F376D}"/>
    <cellStyle name="Normal 12 2 6 4" xfId="3037" xr:uid="{F39A030D-507F-43A6-91B9-5E4DD96218D6}"/>
    <cellStyle name="Normal 12 2 6 4 2" xfId="11417" xr:uid="{9C4DE95A-C644-46E4-B06E-BDE3AF19B8AE}"/>
    <cellStyle name="Normal 12 2 6 4 2 2" xfId="28177" xr:uid="{ECB3B47A-0F59-4D5E-9E7D-66CA47A44112}"/>
    <cellStyle name="Normal 12 2 6 4 2 3" xfId="44936" xr:uid="{F5B685FC-FE73-4B76-ACE9-830C92B08040}"/>
    <cellStyle name="Normal 12 2 6 4 3" xfId="19797" xr:uid="{701B897F-A645-405C-940D-A5471AD15E5C}"/>
    <cellStyle name="Normal 12 2 6 4 4" xfId="36556" xr:uid="{738DE2F4-C0B2-4877-A8FF-2C756D203C81}"/>
    <cellStyle name="Normal 12 2 6 5" xfId="9614" xr:uid="{1F9E9FB7-FD70-4CA1-99B6-D65927BEE4FD}"/>
    <cellStyle name="Normal 12 2 6 5 2" xfId="26374" xr:uid="{CE569F58-21D0-47C7-BC04-E660363C94DA}"/>
    <cellStyle name="Normal 12 2 6 5 3" xfId="43133" xr:uid="{A0364644-7121-4CAF-AA4A-4969F74088E8}"/>
    <cellStyle name="Normal 12 2 6 6" xfId="17994" xr:uid="{BC62D1E4-837D-4FAD-877A-8E1F9D63DF04}"/>
    <cellStyle name="Normal 12 2 6 7" xfId="34753" xr:uid="{C9F8C182-D9B8-4613-8FE8-5D15DC321729}"/>
    <cellStyle name="Normal 12 2 7" xfId="1664" xr:uid="{C2CD451E-9742-447E-81A0-A463D9EB513C}"/>
    <cellStyle name="Normal 12 2 7 2" xfId="5053" xr:uid="{6C516D40-A6E7-4F4D-B597-7A3AD62916A7}"/>
    <cellStyle name="Normal 12 2 7 2 2" xfId="13433" xr:uid="{0A59ED47-E350-48F7-BCAF-899974F87F14}"/>
    <cellStyle name="Normal 12 2 7 2 2 2" xfId="30193" xr:uid="{12AD00CA-20AB-40D5-9C67-95A46164A3D7}"/>
    <cellStyle name="Normal 12 2 7 2 2 3" xfId="46952" xr:uid="{F1B69390-403D-4900-85C1-141060DFE745}"/>
    <cellStyle name="Normal 12 2 7 2 3" xfId="21813" xr:uid="{A852D151-3BAD-4566-9872-CBFF0C1E6AB5}"/>
    <cellStyle name="Normal 12 2 7 2 4" xfId="38572" xr:uid="{1F70EB27-E775-40C1-A3D7-92C10D4F9442}"/>
    <cellStyle name="Normal 12 2 7 3" xfId="6740" xr:uid="{66EDA758-48D4-40BA-8D59-5D23E5371D07}"/>
    <cellStyle name="Normal 12 2 7 3 2" xfId="15120" xr:uid="{7C62C39C-7EBA-4B47-824B-79350D7BDBFC}"/>
    <cellStyle name="Normal 12 2 7 3 2 2" xfId="31880" xr:uid="{D9D14412-0D74-46BA-922E-9DCBC1277386}"/>
    <cellStyle name="Normal 12 2 7 3 2 3" xfId="48639" xr:uid="{0FD5A639-EFAC-4D72-8B2F-ACCC6D81C1E2}"/>
    <cellStyle name="Normal 12 2 7 3 3" xfId="23500" xr:uid="{090A2BC7-9FA1-4EC5-B647-FACA9FC149D5}"/>
    <cellStyle name="Normal 12 2 7 3 4" xfId="40259" xr:uid="{AE3ABF34-43D7-44A4-9469-56D7B2BAA5D9}"/>
    <cellStyle name="Normal 12 2 7 4" xfId="2176" xr:uid="{177CF746-DFF8-40C8-AC17-C9F7D3F5A80F}"/>
    <cellStyle name="Normal 12 2 7 4 2" xfId="10563" xr:uid="{DE48F2D8-F58F-4E1F-BE13-94A460C029EE}"/>
    <cellStyle name="Normal 12 2 7 4 2 2" xfId="27323" xr:uid="{A81BAB88-6CC6-4716-A822-82A9339821FB}"/>
    <cellStyle name="Normal 12 2 7 4 2 3" xfId="44082" xr:uid="{7BDF9535-EB89-4621-A5B5-DE593E0FB970}"/>
    <cellStyle name="Normal 12 2 7 4 3" xfId="18943" xr:uid="{38D44D38-8C84-4482-81E4-8F29CC99141C}"/>
    <cellStyle name="Normal 12 2 7 4 4" xfId="35702" xr:uid="{BBA72511-4F29-4C2D-AF25-301262EA4F2E}"/>
    <cellStyle name="Normal 12 2 7 5" xfId="10053" xr:uid="{C425747A-A8BD-4334-996C-FD0F27AFB12E}"/>
    <cellStyle name="Normal 12 2 7 5 2" xfId="26813" xr:uid="{8F3EED89-43B2-4C04-8086-DA73D89EECE2}"/>
    <cellStyle name="Normal 12 2 7 5 3" xfId="43572" xr:uid="{D1B24C1C-9DEA-4E41-BCB7-4A396E327C1B}"/>
    <cellStyle name="Normal 12 2 7 6" xfId="18433" xr:uid="{0F9FDB25-3798-4742-8A12-B7AE0C79EB93}"/>
    <cellStyle name="Normal 12 2 7 7" xfId="35192" xr:uid="{36E91DD8-F6DF-46F5-864F-A1CC4A6DE725}"/>
    <cellStyle name="Normal 12 2 8" xfId="3782" xr:uid="{3C157C39-D3BE-4E61-948F-A66CBE9D706F}"/>
    <cellStyle name="Normal 12 2 8 2" xfId="12162" xr:uid="{26D8B873-4B0B-4E30-AA64-F0DCF288A609}"/>
    <cellStyle name="Normal 12 2 8 2 2" xfId="28922" xr:uid="{3227B406-CB5C-491C-AAF6-5F996B6FF843}"/>
    <cellStyle name="Normal 12 2 8 2 3" xfId="45681" xr:uid="{D04F4E82-D752-4A11-B33A-3A924EE6ED0F}"/>
    <cellStyle name="Normal 12 2 8 3" xfId="20542" xr:uid="{732194A5-0C6B-48F9-940C-ACB47D42DF8F}"/>
    <cellStyle name="Normal 12 2 8 4" xfId="37301" xr:uid="{235B01A6-9205-49D3-9576-680694035658}"/>
    <cellStyle name="Normal 12 2 9" xfId="5447" xr:uid="{18B0A183-0425-4E59-9E82-264950437727}"/>
    <cellStyle name="Normal 12 2 9 2" xfId="13827" xr:uid="{26542036-034B-4326-9381-CF547DA5DF64}"/>
    <cellStyle name="Normal 12 2 9 2 2" xfId="30587" xr:uid="{E175CBD9-5044-4D0E-A9F5-C05CB6B7B6E1}"/>
    <cellStyle name="Normal 12 2 9 2 3" xfId="47346" xr:uid="{1D618B57-0FD4-461A-B4D3-04597DAE2042}"/>
    <cellStyle name="Normal 12 2 9 3" xfId="22207" xr:uid="{A1A5D38F-6CD9-4F1F-86A4-73415DC8028C}"/>
    <cellStyle name="Normal 12 2 9 4" xfId="38966" xr:uid="{A25B49A8-8E00-48F3-8EBB-9EFF72943F73}"/>
    <cellStyle name="Normal 12 20" xfId="33871" xr:uid="{81FBD741-E96A-46CA-A281-DFB4DBFEB8CB}"/>
    <cellStyle name="Normal 12 21" xfId="50933" xr:uid="{A82F15D0-B273-4705-9B47-E3C1F91B113E}"/>
    <cellStyle name="Normal 12 22" xfId="251" xr:uid="{E45820DF-99E7-4517-8EEA-F01DB35A1678}"/>
    <cellStyle name="Normal 12 3" xfId="336" xr:uid="{2DB98650-219B-4AD1-BB32-97E35C1C6CCC}"/>
    <cellStyle name="Normal 12 3 10" xfId="7553" xr:uid="{A8E72FB8-BC3E-46E2-A008-27A4F3C5CA5B}"/>
    <cellStyle name="Normal 12 3 10 2" xfId="15933" xr:uid="{5D8E75D6-A37E-4147-A879-3034C92B3A15}"/>
    <cellStyle name="Normal 12 3 10 2 2" xfId="32693" xr:uid="{22D2E5B6-14AF-4760-B5C4-2734CA1CE852}"/>
    <cellStyle name="Normal 12 3 10 2 3" xfId="49452" xr:uid="{EBEC5749-90D2-42F1-BFBA-E68304B18724}"/>
    <cellStyle name="Normal 12 3 10 3" xfId="24313" xr:uid="{33C13CBE-7102-4FF3-B126-3EB356B9F69C}"/>
    <cellStyle name="Normal 12 3 10 4" xfId="41072" xr:uid="{531A4110-9A5D-40FA-8C85-23F31535C7D1}"/>
    <cellStyle name="Normal 12 3 11" xfId="7959" xr:uid="{18573DE9-6975-4349-887D-D003E0884599}"/>
    <cellStyle name="Normal 12 3 11 2" xfId="16339" xr:uid="{6A9461B8-E3DC-4CF3-9800-39FCF7F9F9B6}"/>
    <cellStyle name="Normal 12 3 11 2 2" xfId="33099" xr:uid="{E30CB948-4465-4B70-BAA2-AF8B8E4DC396}"/>
    <cellStyle name="Normal 12 3 11 2 3" xfId="49858" xr:uid="{6BE80859-8596-42CB-82A9-90711E235506}"/>
    <cellStyle name="Normal 12 3 11 3" xfId="24719" xr:uid="{9AACDA90-9A0C-475A-9D65-7107C10037A5}"/>
    <cellStyle name="Normal 12 3 11 4" xfId="41478" xr:uid="{66C4C4F3-3D57-4CC4-A225-CAA7CEA4C722}"/>
    <cellStyle name="Normal 12 3 12" xfId="8365" xr:uid="{E866884D-7BF7-4B60-B431-6C6A3DC2FB16}"/>
    <cellStyle name="Normal 12 3 12 2" xfId="16745" xr:uid="{8962DE0C-ABAA-4FB6-8649-2EB6D4A40ACD}"/>
    <cellStyle name="Normal 12 3 12 2 2" xfId="33505" xr:uid="{B22ADBA7-7B26-43FB-8780-0DE6B1B5D078}"/>
    <cellStyle name="Normal 12 3 12 2 3" xfId="50264" xr:uid="{AB1BBC9C-ADBF-4AB3-AAD2-BB635E40C4F3}"/>
    <cellStyle name="Normal 12 3 12 3" xfId="25125" xr:uid="{178A51CE-D074-4514-93EA-11A029A9CB55}"/>
    <cellStyle name="Normal 12 3 12 4" xfId="41884" xr:uid="{4B63EA7A-2184-48D4-9149-EA7FD04B4C52}"/>
    <cellStyle name="Normal 12 3 13" xfId="2072" xr:uid="{27A43005-45AB-43C3-AA59-EDEF03B6D745}"/>
    <cellStyle name="Normal 12 3 13 2" xfId="10460" xr:uid="{AD296130-9F41-41CB-BBCD-9E00F7950783}"/>
    <cellStyle name="Normal 12 3 13 2 2" xfId="27220" xr:uid="{CD2E0C95-9B54-40A8-AE2D-491957EB7263}"/>
    <cellStyle name="Normal 12 3 13 2 3" xfId="43979" xr:uid="{CE2700C0-6EDF-47CD-8FBC-54C9AEAD5A9A}"/>
    <cellStyle name="Normal 12 3 13 3" xfId="18840" xr:uid="{25D119D7-58B8-44D2-9D7C-61A2C0D6097E}"/>
    <cellStyle name="Normal 12 3 13 4" xfId="35599" xr:uid="{999D39AD-1072-4618-AD72-B84526CD96E4}"/>
    <cellStyle name="Normal 12 3 14" xfId="8806" xr:uid="{7D53DE17-A518-49D6-82C6-D709B9474D3A}"/>
    <cellStyle name="Normal 12 3 14 2" xfId="25566" xr:uid="{7E7C5538-DFEB-46B6-AA41-2DAF2BE5BFED}"/>
    <cellStyle name="Normal 12 3 14 3" xfId="42325" xr:uid="{6BF24429-DE35-49FC-88F4-8DC00440D543}"/>
    <cellStyle name="Normal 12 3 15" xfId="17186" xr:uid="{5D724DB6-DA50-4B23-A9C3-1EBA7E043F99}"/>
    <cellStyle name="Normal 12 3 16" xfId="33945" xr:uid="{149E56CB-ABC1-4059-814E-4BBA7AA34BB8}"/>
    <cellStyle name="Normal 12 3 2" xfId="526" xr:uid="{6613F9E7-5F9D-4745-B956-5F180D85016B}"/>
    <cellStyle name="Normal 12 3 2 10" xfId="8494" xr:uid="{47D59701-70F4-4647-B4FA-62D744AF7A36}"/>
    <cellStyle name="Normal 12 3 2 10 2" xfId="16874" xr:uid="{E8757B3B-DCD3-433E-ADB4-3D8225A45963}"/>
    <cellStyle name="Normal 12 3 2 10 2 2" xfId="33634" xr:uid="{9719A7C5-2593-468A-A343-33F98A4C7657}"/>
    <cellStyle name="Normal 12 3 2 10 2 3" xfId="50393" xr:uid="{80572729-B6D0-4572-99F2-4F490F1A84CE}"/>
    <cellStyle name="Normal 12 3 2 10 3" xfId="25254" xr:uid="{4ACA0789-96AE-4873-9A24-BD405F09C57C}"/>
    <cellStyle name="Normal 12 3 2 10 4" xfId="42013" xr:uid="{F30D7784-ABCB-4905-A185-806AF84B6C71}"/>
    <cellStyle name="Normal 12 3 2 11" xfId="2358" xr:uid="{E472F89B-0FF5-4614-8AB7-6CB9BACD2CCD}"/>
    <cellStyle name="Normal 12 3 2 11 2" xfId="10740" xr:uid="{97FE0572-18DA-453C-B1CE-B91A90FD8A58}"/>
    <cellStyle name="Normal 12 3 2 11 2 2" xfId="27500" xr:uid="{07C28F67-FF8D-4C5B-A2A0-82081C71A0B2}"/>
    <cellStyle name="Normal 12 3 2 11 2 3" xfId="44259" xr:uid="{E6063DB7-C82B-4BE7-B89C-EBD555B048A7}"/>
    <cellStyle name="Normal 12 3 2 11 3" xfId="19120" xr:uid="{A711887D-CC22-466C-B76E-3B1851F791F3}"/>
    <cellStyle name="Normal 12 3 2 11 4" xfId="35879" xr:uid="{3DD8C6FB-D825-4B07-A3DA-DA09CAE8A3D0}"/>
    <cellStyle name="Normal 12 3 2 12" xfId="8937" xr:uid="{92FFAF7A-CBD2-4631-8015-83F0E99B34C4}"/>
    <cellStyle name="Normal 12 3 2 12 2" xfId="25697" xr:uid="{E8ED437B-4878-4CB2-96E7-450442E1BA8E}"/>
    <cellStyle name="Normal 12 3 2 12 3" xfId="42456" xr:uid="{AB40FC04-23E2-4840-88EA-FDE29932CF4A}"/>
    <cellStyle name="Normal 12 3 2 13" xfId="17317" xr:uid="{E2ACB104-D3A7-4640-A555-2BBAE20F4854}"/>
    <cellStyle name="Normal 12 3 2 14" xfId="34076" xr:uid="{DE4CE643-8470-42C2-837A-C341CCC48D5D}"/>
    <cellStyle name="Normal 12 3 2 2" xfId="968" xr:uid="{E3947958-32FA-4DDC-96B1-DEC688847362}"/>
    <cellStyle name="Normal 12 3 2 2 2" xfId="4363" xr:uid="{4EECA314-9451-44C1-9EC0-3A99A7C4722D}"/>
    <cellStyle name="Normal 12 3 2 2 2 2" xfId="12743" xr:uid="{EB86888D-DA0C-4F99-9BF2-FEE7E4ED4D9A}"/>
    <cellStyle name="Normal 12 3 2 2 2 2 2" xfId="29503" xr:uid="{E6B9B5EA-95CB-40CA-85BF-B328340014AF}"/>
    <cellStyle name="Normal 12 3 2 2 2 2 3" xfId="46262" xr:uid="{909253F4-B8E2-405A-A319-5D3247C4355E}"/>
    <cellStyle name="Normal 12 3 2 2 2 3" xfId="21123" xr:uid="{7C0F48FA-937A-4A65-8573-F31505E0B9B7}"/>
    <cellStyle name="Normal 12 3 2 2 2 4" xfId="37882" xr:uid="{DE860771-3EB2-4D90-A57F-0B3E9164B0E8}"/>
    <cellStyle name="Normal 12 3 2 2 3" xfId="6050" xr:uid="{07278F66-89D9-4B6C-87EA-B3F0C0ED4063}"/>
    <cellStyle name="Normal 12 3 2 2 3 2" xfId="14430" xr:uid="{B655865C-B0A4-42D8-8AF3-3B82FA8458B3}"/>
    <cellStyle name="Normal 12 3 2 2 3 2 2" xfId="31190" xr:uid="{194D951A-0A37-4E45-A5E9-DE766389A0E8}"/>
    <cellStyle name="Normal 12 3 2 2 3 2 3" xfId="47949" xr:uid="{D5288BE0-5075-4AF4-A689-B64CEAC512DF}"/>
    <cellStyle name="Normal 12 3 2 2 3 3" xfId="22810" xr:uid="{BAAE1A0B-E603-498B-8A6B-E2DFF1003D0B}"/>
    <cellStyle name="Normal 12 3 2 2 3 4" xfId="39569" xr:uid="{6617227E-2988-412C-A80B-02981CC469E5}"/>
    <cellStyle name="Normal 12 3 2 2 4" xfId="2786" xr:uid="{5A2ACBA4-2F15-487A-A2AA-E4E79AEABDBA}"/>
    <cellStyle name="Normal 12 3 2 2 4 2" xfId="11166" xr:uid="{A123643F-BB6E-451F-A230-2006477CC254}"/>
    <cellStyle name="Normal 12 3 2 2 4 2 2" xfId="27926" xr:uid="{CB527A89-D302-424D-A7CE-2697DD3FCFA4}"/>
    <cellStyle name="Normal 12 3 2 2 4 2 3" xfId="44685" xr:uid="{F0B4FAC2-1F78-498E-8D18-D3589B12A9B7}"/>
    <cellStyle name="Normal 12 3 2 2 4 3" xfId="19546" xr:uid="{8F5CAC81-C137-4BF2-9465-ADDC9D6AB0F9}"/>
    <cellStyle name="Normal 12 3 2 2 4 4" xfId="36305" xr:uid="{75BBE54B-EF92-4EE4-85CE-B4584D3A26F0}"/>
    <cellStyle name="Normal 12 3 2 2 5" xfId="9363" xr:uid="{5C858D5E-D9C9-4A8C-A950-82342E75C3AE}"/>
    <cellStyle name="Normal 12 3 2 2 5 2" xfId="26123" xr:uid="{B30F1ABB-3056-4E57-9CC0-0D361F9A67E4}"/>
    <cellStyle name="Normal 12 3 2 2 5 3" xfId="42882" xr:uid="{7B1FD7BF-692E-45BE-9E5C-4597D6E60835}"/>
    <cellStyle name="Normal 12 3 2 2 6" xfId="17743" xr:uid="{F6BF5626-ACE0-4426-A30E-48CFF99C43CE}"/>
    <cellStyle name="Normal 12 3 2 2 7" xfId="34502" xr:uid="{D4DF2007-3A3B-47D8-A263-4CF61CD93F1A}"/>
    <cellStyle name="Normal 12 3 2 3" xfId="1402" xr:uid="{B4D7F52F-1155-40A2-AF49-0474D4FCADE6}"/>
    <cellStyle name="Normal 12 3 2 3 2" xfId="4791" xr:uid="{2140C8C7-C048-4086-867E-03760E966348}"/>
    <cellStyle name="Normal 12 3 2 3 2 2" xfId="13171" xr:uid="{4EE64FFF-78C0-4DC2-85A1-EC40DA253012}"/>
    <cellStyle name="Normal 12 3 2 3 2 2 2" xfId="29931" xr:uid="{111E6B07-12D7-4526-B479-0277F4229728}"/>
    <cellStyle name="Normal 12 3 2 3 2 2 3" xfId="46690" xr:uid="{26E4AF99-FC96-4C56-BDC3-2B8FBA0262B7}"/>
    <cellStyle name="Normal 12 3 2 3 2 3" xfId="21551" xr:uid="{1A8B3871-28F6-49C7-BC54-841ED5423452}"/>
    <cellStyle name="Normal 12 3 2 3 2 4" xfId="38310" xr:uid="{5BF9F675-8B6A-4BBD-9790-223D66B4C271}"/>
    <cellStyle name="Normal 12 3 2 3 3" xfId="6478" xr:uid="{93E9E8F0-B570-4A7F-BCDB-22238C901427}"/>
    <cellStyle name="Normal 12 3 2 3 3 2" xfId="14858" xr:uid="{C6FE32DC-3A24-45D7-BFC9-67317B56491D}"/>
    <cellStyle name="Normal 12 3 2 3 3 2 2" xfId="31618" xr:uid="{DF0325D9-42A4-47DD-B06F-81849F2F997E}"/>
    <cellStyle name="Normal 12 3 2 3 3 2 3" xfId="48377" xr:uid="{014D625F-C3E4-45AE-B84E-13292477029F}"/>
    <cellStyle name="Normal 12 3 2 3 3 3" xfId="23238" xr:uid="{C56D145D-7BD8-4EA5-9DF1-CC776D0AE864}"/>
    <cellStyle name="Normal 12 3 2 3 3 4" xfId="39997" xr:uid="{6A605FA1-3953-4FA8-9767-79FE3E151856}"/>
    <cellStyle name="Normal 12 3 2 3 4" xfId="3214" xr:uid="{935EB244-F853-4A12-BC27-2AD44E62AA32}"/>
    <cellStyle name="Normal 12 3 2 3 4 2" xfId="11594" xr:uid="{E1D63C84-BBB5-4944-86EC-03E145C8C6F8}"/>
    <cellStyle name="Normal 12 3 2 3 4 2 2" xfId="28354" xr:uid="{95389878-4B46-49A8-9DEB-EA45987EEFF5}"/>
    <cellStyle name="Normal 12 3 2 3 4 2 3" xfId="45113" xr:uid="{59E38BB1-5C2E-49AA-BD38-06FE4C961720}"/>
    <cellStyle name="Normal 12 3 2 3 4 3" xfId="19974" xr:uid="{4E6C558D-F237-45F6-A8A3-5F2D49E6E26F}"/>
    <cellStyle name="Normal 12 3 2 3 4 4" xfId="36733" xr:uid="{E1910CDB-4E0E-45C5-B3C7-11141C9DF129}"/>
    <cellStyle name="Normal 12 3 2 3 5" xfId="9791" xr:uid="{A382E576-132F-4518-B595-9886F912895C}"/>
    <cellStyle name="Normal 12 3 2 3 5 2" xfId="26551" xr:uid="{E6A5D07E-87D6-436C-9DAC-92C77071F308}"/>
    <cellStyle name="Normal 12 3 2 3 5 3" xfId="43310" xr:uid="{1268C8F7-CC9B-494A-BDB6-CB8F886D42BE}"/>
    <cellStyle name="Normal 12 3 2 3 6" xfId="18171" xr:uid="{14D7F90A-862D-4E3D-A2C5-D5527BEF4D3D}"/>
    <cellStyle name="Normal 12 3 2 3 7" xfId="34930" xr:uid="{26CED482-CC9D-4848-8388-3A88CFE70FA0}"/>
    <cellStyle name="Normal 12 3 2 4" xfId="1794" xr:uid="{2FD94D28-9F21-437B-B615-E49346EC5B2C}"/>
    <cellStyle name="Normal 12 3 2 4 2" xfId="5183" xr:uid="{9E6A402F-91C4-41D1-A829-99CBD28D0FC6}"/>
    <cellStyle name="Normal 12 3 2 4 2 2" xfId="13563" xr:uid="{8F95DFE4-D2AB-4371-956F-C187D14A8011}"/>
    <cellStyle name="Normal 12 3 2 4 2 2 2" xfId="30323" xr:uid="{04CC723B-C331-40C0-BC0D-0A3B102E5B84}"/>
    <cellStyle name="Normal 12 3 2 4 2 2 3" xfId="47082" xr:uid="{60640929-8D35-4BD1-B141-E30F6178516B}"/>
    <cellStyle name="Normal 12 3 2 4 2 3" xfId="21943" xr:uid="{6C1DEE33-FAAA-4499-B3C5-C1A127A50E5A}"/>
    <cellStyle name="Normal 12 3 2 4 2 4" xfId="38702" xr:uid="{BA59C78D-8DD1-48EB-80D7-0E9D4164E09F}"/>
    <cellStyle name="Normal 12 3 2 4 3" xfId="6870" xr:uid="{DBA6BC54-B809-483C-AB11-20AF6B997037}"/>
    <cellStyle name="Normal 12 3 2 4 3 2" xfId="15250" xr:uid="{B3956632-E0B3-4E87-A284-161F06FCFE26}"/>
    <cellStyle name="Normal 12 3 2 4 3 2 2" xfId="32010" xr:uid="{C2066C44-C67A-4326-9E2C-635AD00B1046}"/>
    <cellStyle name="Normal 12 3 2 4 3 2 3" xfId="48769" xr:uid="{095CC86A-DA1D-40D4-AACA-93BCD1658D4D}"/>
    <cellStyle name="Normal 12 3 2 4 3 3" xfId="23630" xr:uid="{50394BCE-C55A-4F87-A556-D0EF7588E1BF}"/>
    <cellStyle name="Normal 12 3 2 4 3 4" xfId="40389" xr:uid="{86841BD0-FA08-470B-9B79-0DB78C731D31}"/>
    <cellStyle name="Normal 12 3 2 4 4" xfId="3494" xr:uid="{3DE32A88-EE14-4784-968C-CCF8CEAD7C3C}"/>
    <cellStyle name="Normal 12 3 2 4 4 2" xfId="11874" xr:uid="{3F04669B-E774-449C-965F-F892D5CBD256}"/>
    <cellStyle name="Normal 12 3 2 4 4 2 2" xfId="28634" xr:uid="{B2BFF510-5307-4AFA-95B2-9CA88FF405CD}"/>
    <cellStyle name="Normal 12 3 2 4 4 2 3" xfId="45393" xr:uid="{D25057BC-4B69-44F2-A340-8EB3BDA995DB}"/>
    <cellStyle name="Normal 12 3 2 4 4 3" xfId="20254" xr:uid="{7384078B-A80C-4E53-A414-44009869A3B1}"/>
    <cellStyle name="Normal 12 3 2 4 4 4" xfId="37013" xr:uid="{157C9417-5EE0-4908-84F2-94AFC98A7BC0}"/>
    <cellStyle name="Normal 12 3 2 4 5" xfId="10183" xr:uid="{464B1DA6-2349-45B0-B216-F004770FFE4C}"/>
    <cellStyle name="Normal 12 3 2 4 5 2" xfId="26943" xr:uid="{9FF1C43F-9D0A-4D4F-A777-628315E2DAB1}"/>
    <cellStyle name="Normal 12 3 2 4 5 3" xfId="43702" xr:uid="{B9E94637-F3CE-44B1-825C-B297594288C3}"/>
    <cellStyle name="Normal 12 3 2 4 6" xfId="18563" xr:uid="{36C81DB4-F589-477E-83A0-D137DE8E4B8A}"/>
    <cellStyle name="Normal 12 3 2 4 7" xfId="35322" xr:uid="{2B7D7AD4-2E12-4980-9D07-933FC29831D8}"/>
    <cellStyle name="Normal 12 3 2 5" xfId="3913" xr:uid="{6DBA0045-FDFB-4E02-8929-05878CE1E45C}"/>
    <cellStyle name="Normal 12 3 2 5 2" xfId="12293" xr:uid="{0133C5A4-1A07-45CB-8CD9-5B7E3A41572A}"/>
    <cellStyle name="Normal 12 3 2 5 2 2" xfId="29053" xr:uid="{A5AB3A78-337D-40A2-BC17-2212683D1942}"/>
    <cellStyle name="Normal 12 3 2 5 2 3" xfId="45812" xr:uid="{FD583D2C-4686-44AB-B040-747510ED4DA2}"/>
    <cellStyle name="Normal 12 3 2 5 3" xfId="20673" xr:uid="{B64DD95B-E374-4EFF-8EBA-99626B09CC3D}"/>
    <cellStyle name="Normal 12 3 2 5 4" xfId="37432" xr:uid="{75FC19BE-7DF4-418F-9445-938A3CA621B9}"/>
    <cellStyle name="Normal 12 3 2 6" xfId="5624" xr:uid="{94CA51E0-C21F-420D-B522-A85FD253C2C7}"/>
    <cellStyle name="Normal 12 3 2 6 2" xfId="14004" xr:uid="{B8563442-793A-4FD7-BA53-632A7AA30EAD}"/>
    <cellStyle name="Normal 12 3 2 6 2 2" xfId="30764" xr:uid="{4F273A4C-E35E-402C-83F3-32545760E5A8}"/>
    <cellStyle name="Normal 12 3 2 6 2 3" xfId="47523" xr:uid="{28379B37-584D-48BF-A0E0-C1A710A7E117}"/>
    <cellStyle name="Normal 12 3 2 6 3" xfId="22384" xr:uid="{40C4427E-2119-4B70-A510-CD072ED16E14}"/>
    <cellStyle name="Normal 12 3 2 6 4" xfId="39143" xr:uid="{0EF1574A-D718-46C0-9922-46C987711E63}"/>
    <cellStyle name="Normal 12 3 2 7" xfId="7276" xr:uid="{600A76DD-BD7C-4F49-9096-47040E1E8C45}"/>
    <cellStyle name="Normal 12 3 2 7 2" xfId="15656" xr:uid="{EC382B96-3CD3-4023-AD2E-2653F39253C6}"/>
    <cellStyle name="Normal 12 3 2 7 2 2" xfId="32416" xr:uid="{6C9320B9-A7E3-4449-8837-15A7AD01D75D}"/>
    <cellStyle name="Normal 12 3 2 7 2 3" xfId="49175" xr:uid="{FED1D1FD-C55C-4E25-B20D-8B50355E617A}"/>
    <cellStyle name="Normal 12 3 2 7 3" xfId="24036" xr:uid="{A276BCCC-2A29-4CB6-A6BF-FF2E06F546C9}"/>
    <cellStyle name="Normal 12 3 2 7 4" xfId="40795" xr:uid="{DE81E9C9-367D-4160-A99C-3F852AC90017}"/>
    <cellStyle name="Normal 12 3 2 8" xfId="7682" xr:uid="{AF1925BF-FE35-460F-A461-CB5A53FF77E5}"/>
    <cellStyle name="Normal 12 3 2 8 2" xfId="16062" xr:uid="{6596F24E-5907-4C6E-8CF0-8C3999BE4CA8}"/>
    <cellStyle name="Normal 12 3 2 8 2 2" xfId="32822" xr:uid="{41A2ACDC-1579-4DFF-8C7F-243D595C8BE9}"/>
    <cellStyle name="Normal 12 3 2 8 2 3" xfId="49581" xr:uid="{C3C4FD48-8E02-4FE5-8065-B1497524AF3A}"/>
    <cellStyle name="Normal 12 3 2 8 3" xfId="24442" xr:uid="{EA7EEEB9-E599-42DF-B775-72DA6820C5F3}"/>
    <cellStyle name="Normal 12 3 2 8 4" xfId="41201" xr:uid="{729960B3-8727-48C6-A4BB-66FE1B252854}"/>
    <cellStyle name="Normal 12 3 2 9" xfId="8088" xr:uid="{87F73689-F6B8-468A-BCB4-BE0859E39CB3}"/>
    <cellStyle name="Normal 12 3 2 9 2" xfId="16468" xr:uid="{8FA0B2D7-D5A0-419D-AC77-E99CB1BB2D5F}"/>
    <cellStyle name="Normal 12 3 2 9 2 2" xfId="33228" xr:uid="{DBAD6EEC-77E8-435F-A03B-3CE8DA0E1270}"/>
    <cellStyle name="Normal 12 3 2 9 2 3" xfId="49987" xr:uid="{ED8328B4-8E06-4BE7-8668-E6F6188D298C}"/>
    <cellStyle name="Normal 12 3 2 9 3" xfId="24848" xr:uid="{A1E9408A-0C84-4635-9C34-87364D82A136}"/>
    <cellStyle name="Normal 12 3 2 9 4" xfId="41607" xr:uid="{E7E59581-F750-4743-B7C2-54839AB69E3F}"/>
    <cellStyle name="Normal 12 3 3" xfId="527" xr:uid="{EA1B8EF0-C040-43D4-A70C-4146240DC7F6}"/>
    <cellStyle name="Normal 12 3 3 10" xfId="8636" xr:uid="{AA6FDE96-2793-426A-9164-2BBE4B77DB8F}"/>
    <cellStyle name="Normal 12 3 3 10 2" xfId="17016" xr:uid="{6E7D15C9-B03E-459D-AC97-371F4DBB32FB}"/>
    <cellStyle name="Normal 12 3 3 10 2 2" xfId="33776" xr:uid="{2C3D8947-B26B-4CB9-B89B-847DC11EBBB7}"/>
    <cellStyle name="Normal 12 3 3 10 2 3" xfId="50535" xr:uid="{8D2DD455-E613-41C5-A1C2-FEA374E7FB71}"/>
    <cellStyle name="Normal 12 3 3 10 3" xfId="25396" xr:uid="{033505CF-CD4C-4BAD-8384-1A82DCE806FD}"/>
    <cellStyle name="Normal 12 3 3 10 4" xfId="42155" xr:uid="{7F7B608A-ED1D-42AA-A1FE-206DE8D6F3B9}"/>
    <cellStyle name="Normal 12 3 3 11" xfId="2359" xr:uid="{1E0714B0-9BA3-4EDF-A4C1-7F67DA6E30F5}"/>
    <cellStyle name="Normal 12 3 3 11 2" xfId="10741" xr:uid="{BC01EC08-3769-46B2-B6BE-59BC88F17EF0}"/>
    <cellStyle name="Normal 12 3 3 11 2 2" xfId="27501" xr:uid="{D903F6A7-A99E-445D-9F12-4FE3C714E1D4}"/>
    <cellStyle name="Normal 12 3 3 11 2 3" xfId="44260" xr:uid="{CA5E4C53-7D29-4957-866F-A2CEC7866E0B}"/>
    <cellStyle name="Normal 12 3 3 11 3" xfId="19121" xr:uid="{348EEDB4-41D4-4F27-8E98-E907B2F09AC7}"/>
    <cellStyle name="Normal 12 3 3 11 4" xfId="35880" xr:uid="{0725AF1B-4419-42A6-9460-724E2E392E12}"/>
    <cellStyle name="Normal 12 3 3 12" xfId="8938" xr:uid="{319B7788-E7A5-46D9-86DE-24F8ACD75624}"/>
    <cellStyle name="Normal 12 3 3 12 2" xfId="25698" xr:uid="{9D4E013E-F115-45DF-8712-443E2085CA64}"/>
    <cellStyle name="Normal 12 3 3 12 3" xfId="42457" xr:uid="{68A2A9E9-D921-434E-86DE-5A94FC727634}"/>
    <cellStyle name="Normal 12 3 3 13" xfId="17318" xr:uid="{E5543955-22A9-494F-AB6B-E9E0FFDFCE93}"/>
    <cellStyle name="Normal 12 3 3 14" xfId="34077" xr:uid="{AE969133-D19C-4171-BC36-6DBCC9AE4528}"/>
    <cellStyle name="Normal 12 3 3 2" xfId="969" xr:uid="{11A2DAA2-E892-4709-8302-4E21DC5CDA6A}"/>
    <cellStyle name="Normal 12 3 3 2 2" xfId="4364" xr:uid="{25C05C26-3A7D-4EA3-AAE1-42FD33BE87FC}"/>
    <cellStyle name="Normal 12 3 3 2 2 2" xfId="12744" xr:uid="{4E6BF487-C0C6-450E-8631-9CA5DA65B830}"/>
    <cellStyle name="Normal 12 3 3 2 2 2 2" xfId="29504" xr:uid="{5E657F83-2AB0-43B7-9457-BBA190D747DB}"/>
    <cellStyle name="Normal 12 3 3 2 2 2 3" xfId="46263" xr:uid="{7B0D48A0-88EC-4044-A568-DF3EA7D2C1A0}"/>
    <cellStyle name="Normal 12 3 3 2 2 3" xfId="21124" xr:uid="{6775DF0D-F759-4E7B-B06C-6FE8D4DF14FD}"/>
    <cellStyle name="Normal 12 3 3 2 2 4" xfId="37883" xr:uid="{0988BBE6-F664-4387-AC85-CE28806CB745}"/>
    <cellStyle name="Normal 12 3 3 2 3" xfId="6051" xr:uid="{A170CB58-FE38-4FFD-9932-F72E411A78F4}"/>
    <cellStyle name="Normal 12 3 3 2 3 2" xfId="14431" xr:uid="{E6F63C4A-155B-43DB-966D-E5D90F5A3E51}"/>
    <cellStyle name="Normal 12 3 3 2 3 2 2" xfId="31191" xr:uid="{46C9778C-7FC4-4F53-A7D5-6D764E0E2F5D}"/>
    <cellStyle name="Normal 12 3 3 2 3 2 3" xfId="47950" xr:uid="{74F3D435-3036-44BB-BC77-573C0139280F}"/>
    <cellStyle name="Normal 12 3 3 2 3 3" xfId="22811" xr:uid="{D9AAA0E9-CFA4-4847-8657-FF7B2885787A}"/>
    <cellStyle name="Normal 12 3 3 2 3 4" xfId="39570" xr:uid="{22306EC4-75A0-4624-A4D9-F674439F10FF}"/>
    <cellStyle name="Normal 12 3 3 2 4" xfId="2787" xr:uid="{3F5F913C-9636-40EB-808A-69A47BAEFF3A}"/>
    <cellStyle name="Normal 12 3 3 2 4 2" xfId="11167" xr:uid="{ADEB350D-A24D-4E94-8905-DC7F2304E92C}"/>
    <cellStyle name="Normal 12 3 3 2 4 2 2" xfId="27927" xr:uid="{3923130B-B1FA-484E-B677-70636D2AF87E}"/>
    <cellStyle name="Normal 12 3 3 2 4 2 3" xfId="44686" xr:uid="{78FDFB5C-26C4-42E6-93DC-C4D3B51788C5}"/>
    <cellStyle name="Normal 12 3 3 2 4 3" xfId="19547" xr:uid="{AEBC8BE6-ACCF-4215-88AA-9FE57CFE889F}"/>
    <cellStyle name="Normal 12 3 3 2 4 4" xfId="36306" xr:uid="{3A5DA0F2-E5A4-481A-B594-62F2DBDA5ACE}"/>
    <cellStyle name="Normal 12 3 3 2 5" xfId="9364" xr:uid="{09B7784E-B179-4A1A-B219-E3809F8F65E3}"/>
    <cellStyle name="Normal 12 3 3 2 5 2" xfId="26124" xr:uid="{BEDD6B96-D9A6-4830-8AE8-1A366D59695F}"/>
    <cellStyle name="Normal 12 3 3 2 5 3" xfId="42883" xr:uid="{85BCE49A-0CEA-40CD-8B11-E5F518EF8262}"/>
    <cellStyle name="Normal 12 3 3 2 6" xfId="17744" xr:uid="{41CC5C8C-B01F-419B-B1EE-4B473BBAFF88}"/>
    <cellStyle name="Normal 12 3 3 2 7" xfId="34503" xr:uid="{972AEFFA-BEA6-4EFA-AF82-4E6BF8884D56}"/>
    <cellStyle name="Normal 12 3 3 3" xfId="1403" xr:uid="{C5E4637D-B0D9-48D1-A1ED-0D9899EA64E5}"/>
    <cellStyle name="Normal 12 3 3 3 2" xfId="4792" xr:uid="{3D873718-0971-4F11-8E07-4D99F77AE0FE}"/>
    <cellStyle name="Normal 12 3 3 3 2 2" xfId="13172" xr:uid="{B03C485D-9063-46F4-86A8-E652FAC3DEFD}"/>
    <cellStyle name="Normal 12 3 3 3 2 2 2" xfId="29932" xr:uid="{31A8B0D1-8420-4FC8-802A-F27EC70D5B16}"/>
    <cellStyle name="Normal 12 3 3 3 2 2 3" xfId="46691" xr:uid="{A72C2322-782F-4897-A0BC-19F9722A504A}"/>
    <cellStyle name="Normal 12 3 3 3 2 3" xfId="21552" xr:uid="{D1DB5EF6-A6B8-4CDC-A69D-C2E6330B7CB0}"/>
    <cellStyle name="Normal 12 3 3 3 2 4" xfId="38311" xr:uid="{00277724-C44A-4840-9AAE-7BEC8F706775}"/>
    <cellStyle name="Normal 12 3 3 3 3" xfId="6479" xr:uid="{9B9208D2-1C85-4CC2-B2E9-4D4AFBB88982}"/>
    <cellStyle name="Normal 12 3 3 3 3 2" xfId="14859" xr:uid="{0B9E3F03-52CB-49FC-B2D4-F1393176B6E5}"/>
    <cellStyle name="Normal 12 3 3 3 3 2 2" xfId="31619" xr:uid="{097E4265-ED1F-4A4A-8A0B-39846AF0127E}"/>
    <cellStyle name="Normal 12 3 3 3 3 2 3" xfId="48378" xr:uid="{275F6708-DFEF-48EC-997E-968D1B18A560}"/>
    <cellStyle name="Normal 12 3 3 3 3 3" xfId="23239" xr:uid="{475670E4-6FDE-4E25-81B8-D0012584026C}"/>
    <cellStyle name="Normal 12 3 3 3 3 4" xfId="39998" xr:uid="{4F34CC19-3232-40F4-8EE8-1A41FA7D7DD4}"/>
    <cellStyle name="Normal 12 3 3 3 4" xfId="3215" xr:uid="{8FDB37FC-E31D-47AF-84AF-4B2C28EE71EF}"/>
    <cellStyle name="Normal 12 3 3 3 4 2" xfId="11595" xr:uid="{5855858F-9BC9-4FD3-B48D-BFEDB10C18A6}"/>
    <cellStyle name="Normal 12 3 3 3 4 2 2" xfId="28355" xr:uid="{576F94CD-EBE0-4958-A0C6-FF4DD21F0AB8}"/>
    <cellStyle name="Normal 12 3 3 3 4 2 3" xfId="45114" xr:uid="{3F8E3785-42FD-4EC9-A046-03E262115FAF}"/>
    <cellStyle name="Normal 12 3 3 3 4 3" xfId="19975" xr:uid="{6560AC94-21FF-4614-B7F0-E14618617B52}"/>
    <cellStyle name="Normal 12 3 3 3 4 4" xfId="36734" xr:uid="{E1B49775-9FAB-41F3-B5D2-1279B4C417F6}"/>
    <cellStyle name="Normal 12 3 3 3 5" xfId="9792" xr:uid="{E1184EFA-D36F-4AAB-BCBA-AEC541620295}"/>
    <cellStyle name="Normal 12 3 3 3 5 2" xfId="26552" xr:uid="{F348C878-15B3-437A-85CB-2DE5E8D88030}"/>
    <cellStyle name="Normal 12 3 3 3 5 3" xfId="43311" xr:uid="{C007EADD-0A56-40F4-948A-8B422BD15E4E}"/>
    <cellStyle name="Normal 12 3 3 3 6" xfId="18172" xr:uid="{E9DBE574-361F-46C5-B9DD-E2CFB230DBC2}"/>
    <cellStyle name="Normal 12 3 3 3 7" xfId="34931" xr:uid="{11507DEC-6271-4119-8A9D-BC206F6CF4BC}"/>
    <cellStyle name="Normal 12 3 3 4" xfId="1936" xr:uid="{C06D26D0-4FD2-411B-80C4-DA709BDA0DFC}"/>
    <cellStyle name="Normal 12 3 3 4 2" xfId="5325" xr:uid="{98454D2D-FE6C-41F5-A84C-22E4DA316AA9}"/>
    <cellStyle name="Normal 12 3 3 4 2 2" xfId="13705" xr:uid="{159E0156-202D-47A2-A6A9-8459DD7088C7}"/>
    <cellStyle name="Normal 12 3 3 4 2 2 2" xfId="30465" xr:uid="{96F65F9B-70D2-4004-BD30-1D25900AEC4E}"/>
    <cellStyle name="Normal 12 3 3 4 2 2 3" xfId="47224" xr:uid="{6019F384-E83D-43AF-AFCA-4BA627F0F09B}"/>
    <cellStyle name="Normal 12 3 3 4 2 3" xfId="22085" xr:uid="{58C3A813-BF65-4F42-B918-EFFD0FC7A849}"/>
    <cellStyle name="Normal 12 3 3 4 2 4" xfId="38844" xr:uid="{48BD1DEC-741C-487D-9F29-CC29481CFCF1}"/>
    <cellStyle name="Normal 12 3 3 4 3" xfId="7012" xr:uid="{EDFE92A3-AADF-4FBF-AF11-9845DF48169F}"/>
    <cellStyle name="Normal 12 3 3 4 3 2" xfId="15392" xr:uid="{6B30FC07-23FE-44BC-B475-A3047A77E32D}"/>
    <cellStyle name="Normal 12 3 3 4 3 2 2" xfId="32152" xr:uid="{9E0576C2-B7BC-4168-BDE9-8BCA4E001209}"/>
    <cellStyle name="Normal 12 3 3 4 3 2 3" xfId="48911" xr:uid="{B78319D5-2058-4544-9C41-016DE19E6A75}"/>
    <cellStyle name="Normal 12 3 3 4 3 3" xfId="23772" xr:uid="{D46BF0C2-75CD-4588-BC60-719DEE120F39}"/>
    <cellStyle name="Normal 12 3 3 4 3 4" xfId="40531" xr:uid="{C91C3305-3D76-4658-AD9B-9BCBDE45F0DF}"/>
    <cellStyle name="Normal 12 3 3 4 4" xfId="3635" xr:uid="{7ED66716-8754-4167-940C-4618B994218D}"/>
    <cellStyle name="Normal 12 3 3 4 4 2" xfId="12015" xr:uid="{A7F428B2-4D6D-44D4-A9E9-DF8B4BEA5228}"/>
    <cellStyle name="Normal 12 3 3 4 4 2 2" xfId="28775" xr:uid="{417388C9-95B4-47E7-9F73-F5BF85ED15AF}"/>
    <cellStyle name="Normal 12 3 3 4 4 2 3" xfId="45534" xr:uid="{486686F0-91DC-4901-8582-1D09BC7808E0}"/>
    <cellStyle name="Normal 12 3 3 4 4 3" xfId="20395" xr:uid="{BA087EB2-D85B-4DB6-8145-AAADCEDC9A38}"/>
    <cellStyle name="Normal 12 3 3 4 4 4" xfId="37154" xr:uid="{E614130D-6AF1-484F-BE63-A0140C58A926}"/>
    <cellStyle name="Normal 12 3 3 4 5" xfId="10325" xr:uid="{6C45E633-D194-45A6-9C92-B241D869E248}"/>
    <cellStyle name="Normal 12 3 3 4 5 2" xfId="27085" xr:uid="{46BD96B8-E386-4D7F-8308-8E322FA7DE38}"/>
    <cellStyle name="Normal 12 3 3 4 5 3" xfId="43844" xr:uid="{A373351E-4E39-4395-A53C-879E534580B9}"/>
    <cellStyle name="Normal 12 3 3 4 6" xfId="18705" xr:uid="{E76F18F7-0DC9-428B-9D23-D4FA10054B69}"/>
    <cellStyle name="Normal 12 3 3 4 7" xfId="35464" xr:uid="{AAAA80EE-1390-4776-BC46-F75AE6D727EC}"/>
    <cellStyle name="Normal 12 3 3 5" xfId="4055" xr:uid="{432600FB-48AB-4B87-B05A-840346601B02}"/>
    <cellStyle name="Normal 12 3 3 5 2" xfId="12435" xr:uid="{EF65412D-FD42-4812-BDF8-656D8E290A6D}"/>
    <cellStyle name="Normal 12 3 3 5 2 2" xfId="29195" xr:uid="{01B6BE42-E346-4F26-834A-7A7794895FCE}"/>
    <cellStyle name="Normal 12 3 3 5 2 3" xfId="45954" xr:uid="{D03C8ECA-DEE9-4D5B-BB8C-EA511CB76BE5}"/>
    <cellStyle name="Normal 12 3 3 5 3" xfId="20815" xr:uid="{DFE96A2C-ABB6-457B-A9FD-A2E0C9A6DC75}"/>
    <cellStyle name="Normal 12 3 3 5 4" xfId="37574" xr:uid="{457A8625-C25B-4D20-B1E8-7F67CFB6CB31}"/>
    <cellStyle name="Normal 12 3 3 6" xfId="5625" xr:uid="{0BC6E801-FA81-4A8E-B9B5-09A27B00D8F4}"/>
    <cellStyle name="Normal 12 3 3 6 2" xfId="14005" xr:uid="{0313DE38-DCA4-4B2D-B84C-47AB50D10D90}"/>
    <cellStyle name="Normal 12 3 3 6 2 2" xfId="30765" xr:uid="{092CA20E-D8C4-4300-8CC8-3A4EE8041873}"/>
    <cellStyle name="Normal 12 3 3 6 2 3" xfId="47524" xr:uid="{A2EA0B10-A7CA-4CF1-A0E7-3FC8A553552E}"/>
    <cellStyle name="Normal 12 3 3 6 3" xfId="22385" xr:uid="{BB53417A-8B14-4298-89F6-DE0E47EEDBD0}"/>
    <cellStyle name="Normal 12 3 3 6 4" xfId="39144" xr:uid="{9BA5FEB6-9FFD-4C6A-A667-85782CB72394}"/>
    <cellStyle name="Normal 12 3 3 7" xfId="7418" xr:uid="{590D122B-5540-440E-91FB-0241264D28D7}"/>
    <cellStyle name="Normal 12 3 3 7 2" xfId="15798" xr:uid="{3C50CE07-42B3-4C6F-A213-FB4C79E5E5FD}"/>
    <cellStyle name="Normal 12 3 3 7 2 2" xfId="32558" xr:uid="{31CE3BBA-1647-4B65-B2C9-C246347A3995}"/>
    <cellStyle name="Normal 12 3 3 7 2 3" xfId="49317" xr:uid="{8FCC70D9-CD50-4BE4-8864-C86AFCEEEBC6}"/>
    <cellStyle name="Normal 12 3 3 7 3" xfId="24178" xr:uid="{8A1540E2-E252-43BB-BCEA-378F71709B52}"/>
    <cellStyle name="Normal 12 3 3 7 4" xfId="40937" xr:uid="{60A5AA14-806F-41B0-AA61-3B1C84B1E29A}"/>
    <cellStyle name="Normal 12 3 3 8" xfId="7824" xr:uid="{2F0D3575-5BC3-43B9-B1CA-9073A9F33CA7}"/>
    <cellStyle name="Normal 12 3 3 8 2" xfId="16204" xr:uid="{CCAA22D6-2BD4-4E89-AE32-4D092B13056B}"/>
    <cellStyle name="Normal 12 3 3 8 2 2" xfId="32964" xr:uid="{BE7ECCF1-6698-4C80-8977-3430447DBF81}"/>
    <cellStyle name="Normal 12 3 3 8 2 3" xfId="49723" xr:uid="{E606E350-E77D-4F55-AA4D-FEA41130247C}"/>
    <cellStyle name="Normal 12 3 3 8 3" xfId="24584" xr:uid="{4E38F09C-AB86-4412-8E0E-DE08EF281941}"/>
    <cellStyle name="Normal 12 3 3 8 4" xfId="41343" xr:uid="{212E06B8-529E-4C81-BD6B-426B3DB7FA77}"/>
    <cellStyle name="Normal 12 3 3 9" xfId="8230" xr:uid="{52B05715-9D22-4E46-B143-BE3B5A9EC8B4}"/>
    <cellStyle name="Normal 12 3 3 9 2" xfId="16610" xr:uid="{850B2396-21C3-446B-887E-1E3C620A9B95}"/>
    <cellStyle name="Normal 12 3 3 9 2 2" xfId="33370" xr:uid="{9AD54531-7ADE-403E-B35E-4D10F3CB5912}"/>
    <cellStyle name="Normal 12 3 3 9 2 3" xfId="50129" xr:uid="{60356EE2-AC62-4E41-8CE8-D6F82A61509D}"/>
    <cellStyle name="Normal 12 3 3 9 3" xfId="24990" xr:uid="{62A79D31-2A1E-4528-A492-5AA49A0B660D}"/>
    <cellStyle name="Normal 12 3 3 9 4" xfId="41749" xr:uid="{252FFA81-C1B3-4157-AE42-592EB4CCE847}"/>
    <cellStyle name="Normal 12 3 4" xfId="837" xr:uid="{2F27D054-EE14-4851-B3B3-F8A33AB976EB}"/>
    <cellStyle name="Normal 12 3 4 2" xfId="4232" xr:uid="{3ECADD58-F988-4FAA-997C-980A5E761A64}"/>
    <cellStyle name="Normal 12 3 4 2 2" xfId="12612" xr:uid="{16191EF3-AB1F-4068-BA91-C38C7E5A1ED0}"/>
    <cellStyle name="Normal 12 3 4 2 2 2" xfId="29372" xr:uid="{77D10D3B-403A-4439-89B7-6AC3F9A9E471}"/>
    <cellStyle name="Normal 12 3 4 2 2 3" xfId="46131" xr:uid="{7A66DE43-384A-49E4-A03F-528CE9BE8E8B}"/>
    <cellStyle name="Normal 12 3 4 2 3" xfId="20992" xr:uid="{ABBCBBCC-B602-4244-B3D9-988531EF9941}"/>
    <cellStyle name="Normal 12 3 4 2 4" xfId="37751" xr:uid="{60F8D086-99F0-459C-8F67-132A977E60F0}"/>
    <cellStyle name="Normal 12 3 4 3" xfId="5919" xr:uid="{E47FA152-874B-441C-A5D4-E7C72383147C}"/>
    <cellStyle name="Normal 12 3 4 3 2" xfId="14299" xr:uid="{4F9E00B7-F0C0-4BA0-A373-A3017B3CB43F}"/>
    <cellStyle name="Normal 12 3 4 3 2 2" xfId="31059" xr:uid="{583DC03D-41B8-4687-8B8C-888F26E52C7C}"/>
    <cellStyle name="Normal 12 3 4 3 2 3" xfId="47818" xr:uid="{ED797FED-FC6D-431A-A35A-99C8A8F90EB0}"/>
    <cellStyle name="Normal 12 3 4 3 3" xfId="22679" xr:uid="{082452EE-6201-4E67-ACE0-DD820EE5E61F}"/>
    <cellStyle name="Normal 12 3 4 3 4" xfId="39438" xr:uid="{CDF3B041-5F65-4ACF-B32B-BAE1FE3CCCA1}"/>
    <cellStyle name="Normal 12 3 4 4" xfId="2655" xr:uid="{2909189C-47DF-4A0D-8161-3F95B02545F2}"/>
    <cellStyle name="Normal 12 3 4 4 2" xfId="11035" xr:uid="{57DD6779-6FE8-4654-A057-D31A91F8B480}"/>
    <cellStyle name="Normal 12 3 4 4 2 2" xfId="27795" xr:uid="{1DF48DAD-F420-4313-B21D-70BCA538C643}"/>
    <cellStyle name="Normal 12 3 4 4 2 3" xfId="44554" xr:uid="{45DAC3E9-FAB0-4943-BE00-3B1556CD152D}"/>
    <cellStyle name="Normal 12 3 4 4 3" xfId="19415" xr:uid="{987DED3F-9F2F-41E7-A4F9-BE8ED98016D0}"/>
    <cellStyle name="Normal 12 3 4 4 4" xfId="36174" xr:uid="{2DC323BC-E707-4BB9-946D-1007B9156AB8}"/>
    <cellStyle name="Normal 12 3 4 5" xfId="9232" xr:uid="{FA19E2C8-667D-4D8B-8FFD-436D05E1EF81}"/>
    <cellStyle name="Normal 12 3 4 5 2" xfId="25992" xr:uid="{93856BC9-00D5-4473-80F6-DC53A9C804DA}"/>
    <cellStyle name="Normal 12 3 4 5 3" xfId="42751" xr:uid="{E0D0D6C4-7FAF-4E74-8D81-1C1465D87947}"/>
    <cellStyle name="Normal 12 3 4 6" xfId="17612" xr:uid="{DA847460-3D45-4E00-B917-82ED2C721122}"/>
    <cellStyle name="Normal 12 3 4 7" xfId="34371" xr:uid="{252EA93F-BCFC-4805-8AE0-B2123BCF5062}"/>
    <cellStyle name="Normal 12 3 5" xfId="1271" xr:uid="{6D9C3573-0831-4595-AA8E-CFBA2191EC42}"/>
    <cellStyle name="Normal 12 3 5 2" xfId="4660" xr:uid="{9EC27A1A-D094-4B91-9B49-A16061EA145D}"/>
    <cellStyle name="Normal 12 3 5 2 2" xfId="13040" xr:uid="{EB0A35F2-AD63-42A6-86B9-21777A30DC04}"/>
    <cellStyle name="Normal 12 3 5 2 2 2" xfId="29800" xr:uid="{1F4EAD2D-8854-4236-8C40-83897A99AC6F}"/>
    <cellStyle name="Normal 12 3 5 2 2 3" xfId="46559" xr:uid="{146133A6-7D38-4493-9A3C-08E464DE9393}"/>
    <cellStyle name="Normal 12 3 5 2 3" xfId="21420" xr:uid="{09B543A3-5AA4-4F55-B97A-B678B3EBEE2C}"/>
    <cellStyle name="Normal 12 3 5 2 4" xfId="38179" xr:uid="{F3CF396F-A1E3-4B9B-B897-35E8C0DD2863}"/>
    <cellStyle name="Normal 12 3 5 3" xfId="6347" xr:uid="{45A42E15-9B34-4A6D-93EA-3FD5F6F17F09}"/>
    <cellStyle name="Normal 12 3 5 3 2" xfId="14727" xr:uid="{8EB9D5DB-5993-4E6C-ADB7-0F7F1C527D02}"/>
    <cellStyle name="Normal 12 3 5 3 2 2" xfId="31487" xr:uid="{48D79CE1-E03B-4D04-8A20-1AD182D9389C}"/>
    <cellStyle name="Normal 12 3 5 3 2 3" xfId="48246" xr:uid="{206D8EC0-FFE3-4477-83EB-807E91C27311}"/>
    <cellStyle name="Normal 12 3 5 3 3" xfId="23107" xr:uid="{61511300-0176-4366-BED2-D5386BAD8E67}"/>
    <cellStyle name="Normal 12 3 5 3 4" xfId="39866" xr:uid="{1A2C83DA-DE9B-4436-90BC-FEF222674631}"/>
    <cellStyle name="Normal 12 3 5 4" xfId="3083" xr:uid="{7C090BC4-7BBB-42F4-B48C-719974CF99AA}"/>
    <cellStyle name="Normal 12 3 5 4 2" xfId="11463" xr:uid="{56234EA2-641E-492D-8C29-4CD5DD93BAD8}"/>
    <cellStyle name="Normal 12 3 5 4 2 2" xfId="28223" xr:uid="{811712A3-3C6B-4457-8F01-D648B68EB1BA}"/>
    <cellStyle name="Normal 12 3 5 4 2 3" xfId="44982" xr:uid="{0A75396F-4179-4C56-B8E6-3D30AAC40118}"/>
    <cellStyle name="Normal 12 3 5 4 3" xfId="19843" xr:uid="{A7EBB139-3610-4BB2-A243-5E95813A1C4C}"/>
    <cellStyle name="Normal 12 3 5 4 4" xfId="36602" xr:uid="{3837F755-D0CF-46B7-9FAA-D011FB61E201}"/>
    <cellStyle name="Normal 12 3 5 5" xfId="9660" xr:uid="{AB741CE3-B820-436A-A0C1-6D350BF5024E}"/>
    <cellStyle name="Normal 12 3 5 5 2" xfId="26420" xr:uid="{5C9BA2C9-F3DC-4D73-A414-C25746E49AB4}"/>
    <cellStyle name="Normal 12 3 5 5 3" xfId="43179" xr:uid="{75B512C6-43BB-4BDE-B58F-5BE2A6E2FA4F}"/>
    <cellStyle name="Normal 12 3 5 6" xfId="18040" xr:uid="{2C2B8801-B42E-4C63-83EC-3374136C331D}"/>
    <cellStyle name="Normal 12 3 5 7" xfId="34799" xr:uid="{80ADC8DA-F522-4215-8207-056A2950E497}"/>
    <cellStyle name="Normal 12 3 6" xfId="1665" xr:uid="{12C5FE60-B096-4461-9B7A-77EE1141C886}"/>
    <cellStyle name="Normal 12 3 6 2" xfId="5054" xr:uid="{32B2D694-3F7F-4CF6-B786-84719B3F804A}"/>
    <cellStyle name="Normal 12 3 6 2 2" xfId="13434" xr:uid="{6DBFEF8E-6214-4FB9-96A7-07B3C16F4361}"/>
    <cellStyle name="Normal 12 3 6 2 2 2" xfId="30194" xr:uid="{8233FA05-C89C-41B4-8C8E-665C6530A403}"/>
    <cellStyle name="Normal 12 3 6 2 2 3" xfId="46953" xr:uid="{30ED68FE-0D36-4769-9E26-800D512C80A2}"/>
    <cellStyle name="Normal 12 3 6 2 3" xfId="21814" xr:uid="{6344822D-C148-4CC3-851A-224F092A2A1B}"/>
    <cellStyle name="Normal 12 3 6 2 4" xfId="38573" xr:uid="{FD537D99-37DA-4AA0-9DB2-BEB974C42056}"/>
    <cellStyle name="Normal 12 3 6 3" xfId="6741" xr:uid="{4B90D7F4-406D-4052-9F33-7B2DF3580A6E}"/>
    <cellStyle name="Normal 12 3 6 3 2" xfId="15121" xr:uid="{23F72A20-F414-4CE1-B5DA-A1A2984115C4}"/>
    <cellStyle name="Normal 12 3 6 3 2 2" xfId="31881" xr:uid="{6B016000-B609-4FD5-AED5-45CD79DC50D7}"/>
    <cellStyle name="Normal 12 3 6 3 2 3" xfId="48640" xr:uid="{7C6717F7-F8B5-464E-BD53-9A4734A39C1D}"/>
    <cellStyle name="Normal 12 3 6 3 3" xfId="23501" xr:uid="{35939D7E-E68C-4C5D-A2E9-40DA34B4D077}"/>
    <cellStyle name="Normal 12 3 6 3 4" xfId="40260" xr:uid="{AAE47446-FE4A-4004-B0E4-1ED1B16B8218}"/>
    <cellStyle name="Normal 12 3 6 4" xfId="2225" xr:uid="{5831BE4A-09C8-437D-96FE-4ED6F87482A2}"/>
    <cellStyle name="Normal 12 3 6 4 2" xfId="10609" xr:uid="{B7AA30CB-47C5-4AC6-967E-43C243E881CC}"/>
    <cellStyle name="Normal 12 3 6 4 2 2" xfId="27369" xr:uid="{4D1FC4F8-2047-4D53-AB01-C5B740DC2902}"/>
    <cellStyle name="Normal 12 3 6 4 2 3" xfId="44128" xr:uid="{2CA5464D-00BE-497E-80CE-3D7BE1622522}"/>
    <cellStyle name="Normal 12 3 6 4 3" xfId="18989" xr:uid="{A51D3BE9-98FC-4978-BF9A-3E86C98B2FFC}"/>
    <cellStyle name="Normal 12 3 6 4 4" xfId="35748" xr:uid="{E47F5551-E155-4AB9-9A2C-EFE0DE3DE0CB}"/>
    <cellStyle name="Normal 12 3 6 5" xfId="10054" xr:uid="{34AD28BF-C578-402B-AAF4-883B53D5CE3F}"/>
    <cellStyle name="Normal 12 3 6 5 2" xfId="26814" xr:uid="{E01EF941-4EBB-4B66-B8E1-E547E5B8ACB8}"/>
    <cellStyle name="Normal 12 3 6 5 3" xfId="43573" xr:uid="{029FDA41-F4A6-47BE-85F9-E287F1A679C0}"/>
    <cellStyle name="Normal 12 3 6 6" xfId="18434" xr:uid="{7A5113BD-0AB2-43F4-B2FC-B6CBA6297C14}"/>
    <cellStyle name="Normal 12 3 6 7" xfId="35193" xr:uid="{F369E544-2DF9-495A-BD5C-87C38916554D}"/>
    <cellStyle name="Normal 12 3 7" xfId="3783" xr:uid="{87D85DFE-51DA-4580-A894-81B69E5B86C8}"/>
    <cellStyle name="Normal 12 3 7 2" xfId="12163" xr:uid="{58BF598B-C99F-4505-96C1-CF9626679586}"/>
    <cellStyle name="Normal 12 3 7 2 2" xfId="28923" xr:uid="{94126169-E9A1-43DF-8EA9-AFB866341106}"/>
    <cellStyle name="Normal 12 3 7 2 3" xfId="45682" xr:uid="{89DA4603-6DC2-4679-AE44-1C847388832C}"/>
    <cellStyle name="Normal 12 3 7 3" xfId="20543" xr:uid="{A2561259-6329-4B96-9848-F50A3BAE210E}"/>
    <cellStyle name="Normal 12 3 7 4" xfId="37302" xr:uid="{76321D66-0FAB-46BF-9500-8EBD7F9E269E}"/>
    <cellStyle name="Normal 12 3 8" xfId="5493" xr:uid="{1C17D41A-1213-4351-B005-46C0141140CE}"/>
    <cellStyle name="Normal 12 3 8 2" xfId="13873" xr:uid="{EF58B0F3-6AC3-4055-9256-AA6666C2BC0A}"/>
    <cellStyle name="Normal 12 3 8 2 2" xfId="30633" xr:uid="{1F9F58DB-5D6A-4E3C-AE03-47F7A24C3368}"/>
    <cellStyle name="Normal 12 3 8 2 3" xfId="47392" xr:uid="{9F97FB30-39B1-41AB-9B56-D4A56D4E1E33}"/>
    <cellStyle name="Normal 12 3 8 3" xfId="22253" xr:uid="{0EDCF7B0-2D78-4AE3-A07B-57B904EC7DAC}"/>
    <cellStyle name="Normal 12 3 8 4" xfId="39012" xr:uid="{02CD3754-A46B-486E-9B13-860A993A45B4}"/>
    <cellStyle name="Normal 12 3 9" xfId="7147" xr:uid="{A1305F73-E6DE-434C-B25F-0617A6AA0B5A}"/>
    <cellStyle name="Normal 12 3 9 2" xfId="15527" xr:uid="{A94E386A-B66D-4092-ACCD-F5F11930A0AA}"/>
    <cellStyle name="Normal 12 3 9 2 2" xfId="32287" xr:uid="{B7FD1BBD-27CC-47F0-98BD-65D3F48BF5DC}"/>
    <cellStyle name="Normal 12 3 9 2 3" xfId="49046" xr:uid="{846BEA60-DF9B-4C12-9F4A-0FF51853A4A8}"/>
    <cellStyle name="Normal 12 3 9 3" xfId="23907" xr:uid="{7C987CA0-0786-4C00-9779-684AA48D1CD7}"/>
    <cellStyle name="Normal 12 3 9 4" xfId="40666" xr:uid="{BDB1DC79-298C-45A6-AB32-F2C0F765A231}"/>
    <cellStyle name="Normal 12 4" xfId="335" xr:uid="{F7DBE471-2501-46F1-A91B-ED9F9DD444C9}"/>
    <cellStyle name="Normal 12 4 10" xfId="7554" xr:uid="{34C447D8-A64E-4AF0-A8B2-8A9063D46D40}"/>
    <cellStyle name="Normal 12 4 10 2" xfId="15934" xr:uid="{9D16EB58-3074-49E1-9E54-B14C1F858315}"/>
    <cellStyle name="Normal 12 4 10 2 2" xfId="32694" xr:uid="{7C19C753-F24B-4C49-A663-CCBCCAC0876E}"/>
    <cellStyle name="Normal 12 4 10 2 3" xfId="49453" xr:uid="{ED3DD25E-54F9-4FB3-A18E-52BC70263976}"/>
    <cellStyle name="Normal 12 4 10 3" xfId="24314" xr:uid="{D61C285C-3520-4487-8B8A-BBEFAD38B6F4}"/>
    <cellStyle name="Normal 12 4 10 4" xfId="41073" xr:uid="{2CEEF9B1-10EE-45EF-AB91-2B9BB1947D13}"/>
    <cellStyle name="Normal 12 4 11" xfId="7960" xr:uid="{B4F04D8A-BA0A-4F14-9301-7224BDD68832}"/>
    <cellStyle name="Normal 12 4 11 2" xfId="16340" xr:uid="{91D61477-D215-4D8D-A0B5-5F71E3757FE3}"/>
    <cellStyle name="Normal 12 4 11 2 2" xfId="33100" xr:uid="{3703ACC4-716C-4EBA-835F-3787AC9BFED9}"/>
    <cellStyle name="Normal 12 4 11 2 3" xfId="49859" xr:uid="{9C25978C-2DD2-4A7F-B6E6-A8C5A4904A66}"/>
    <cellStyle name="Normal 12 4 11 3" xfId="24720" xr:uid="{E3525EE7-CF7F-4008-8471-D44E1849B5EF}"/>
    <cellStyle name="Normal 12 4 11 4" xfId="41479" xr:uid="{E57661F9-8E85-4914-A32B-69D1C86D8C3D}"/>
    <cellStyle name="Normal 12 4 12" xfId="8366" xr:uid="{C112E72D-1C56-446A-981D-051909B93CEA}"/>
    <cellStyle name="Normal 12 4 12 2" xfId="16746" xr:uid="{9A5A6A97-052E-457A-BEFF-8E0FF2123E16}"/>
    <cellStyle name="Normal 12 4 12 2 2" xfId="33506" xr:uid="{EEABCB9C-2401-4232-BB98-8563ED17BDD4}"/>
    <cellStyle name="Normal 12 4 12 2 3" xfId="50265" xr:uid="{BA1BBC47-941C-4FDA-9B10-BBB52DF9B30E}"/>
    <cellStyle name="Normal 12 4 12 3" xfId="25126" xr:uid="{7C09327D-19A2-46D6-9D91-DFCD43E41B44}"/>
    <cellStyle name="Normal 12 4 12 4" xfId="41885" xr:uid="{86BE3973-BE4B-492E-BE26-37BC580EFD0A}"/>
    <cellStyle name="Normal 12 4 13" xfId="2100" xr:uid="{E7B259A2-789E-41D7-857A-045B475148BE}"/>
    <cellStyle name="Normal 12 4 13 2" xfId="10488" xr:uid="{3FAAD4B4-68A8-4032-B175-8E5EED9007A6}"/>
    <cellStyle name="Normal 12 4 13 2 2" xfId="27248" xr:uid="{9D8CE64F-B4CD-4A0E-A86B-15AD8E747DBD}"/>
    <cellStyle name="Normal 12 4 13 2 3" xfId="44007" xr:uid="{67754F02-E594-43D0-8167-253C3F674DBA}"/>
    <cellStyle name="Normal 12 4 13 3" xfId="18868" xr:uid="{9BE311E8-1713-476C-AC2F-4B9E709ECBFB}"/>
    <cellStyle name="Normal 12 4 13 4" xfId="35627" xr:uid="{449426F6-7DD4-4EE5-9969-23212FAF5FCC}"/>
    <cellStyle name="Normal 12 4 14" xfId="8805" xr:uid="{D85F0B40-DA01-4458-A643-D6AFAA5BB9DF}"/>
    <cellStyle name="Normal 12 4 14 2" xfId="25565" xr:uid="{B6DF849C-8FE5-45D9-9C20-1AC595A6D428}"/>
    <cellStyle name="Normal 12 4 14 3" xfId="42324" xr:uid="{51F9F522-06FE-4EE7-B704-80552510E1A0}"/>
    <cellStyle name="Normal 12 4 15" xfId="17185" xr:uid="{F4315BC3-C439-4F4C-A672-0A51AB9EFB40}"/>
    <cellStyle name="Normal 12 4 16" xfId="33944" xr:uid="{AFC20E39-51F6-42CF-9140-2DFE2542E8DE}"/>
    <cellStyle name="Normal 12 4 2" xfId="528" xr:uid="{320B2111-E869-4644-A640-D8A5B32DA79F}"/>
    <cellStyle name="Normal 12 4 2 10" xfId="8495" xr:uid="{B5572AAB-75E7-43CB-9D96-92A0BD9453C2}"/>
    <cellStyle name="Normal 12 4 2 10 2" xfId="16875" xr:uid="{B5E7F9A0-3551-4DD8-B90C-794E85BF9596}"/>
    <cellStyle name="Normal 12 4 2 10 2 2" xfId="33635" xr:uid="{F7E5F058-F233-4B02-B08B-DB135B3533E9}"/>
    <cellStyle name="Normal 12 4 2 10 2 3" xfId="50394" xr:uid="{3DE946F0-51C8-4482-A493-06668F17DFB0}"/>
    <cellStyle name="Normal 12 4 2 10 3" xfId="25255" xr:uid="{F66D4325-D076-4798-B2B1-EBED7F8D705E}"/>
    <cellStyle name="Normal 12 4 2 10 4" xfId="42014" xr:uid="{694E223C-A920-4180-BA71-D76316B73754}"/>
    <cellStyle name="Normal 12 4 2 11" xfId="2360" xr:uid="{0319E92E-EB9F-4259-A051-7B5B27AA267A}"/>
    <cellStyle name="Normal 12 4 2 11 2" xfId="10742" xr:uid="{CCF7F61D-36F3-4C17-AA47-424DBE56859F}"/>
    <cellStyle name="Normal 12 4 2 11 2 2" xfId="27502" xr:uid="{B243C355-2391-4EE0-ADC1-214CF1D302A0}"/>
    <cellStyle name="Normal 12 4 2 11 2 3" xfId="44261" xr:uid="{AD7E42DB-2899-4728-9823-8E7465A378B6}"/>
    <cellStyle name="Normal 12 4 2 11 3" xfId="19122" xr:uid="{C8674D98-1553-441A-BFAD-1AFE5DAA5EF1}"/>
    <cellStyle name="Normal 12 4 2 11 4" xfId="35881" xr:uid="{DDEC19DF-5A03-4FC8-BF07-CC206568BAED}"/>
    <cellStyle name="Normal 12 4 2 12" xfId="8939" xr:uid="{2330DA2D-A988-4301-97C0-FC0D660B1068}"/>
    <cellStyle name="Normal 12 4 2 12 2" xfId="25699" xr:uid="{4AB81743-052D-4CDE-8C9C-845CFD8C24F5}"/>
    <cellStyle name="Normal 12 4 2 12 3" xfId="42458" xr:uid="{9ECE91CF-C56D-49D2-BDDA-05A8293D5B20}"/>
    <cellStyle name="Normal 12 4 2 13" xfId="17319" xr:uid="{D33D9512-1F38-46B3-84ED-77552194F0E1}"/>
    <cellStyle name="Normal 12 4 2 14" xfId="34078" xr:uid="{99CA800D-BDFA-4A6C-8548-C254F46AE055}"/>
    <cellStyle name="Normal 12 4 2 2" xfId="970" xr:uid="{EBEC155F-088A-48D5-A124-260D3260174D}"/>
    <cellStyle name="Normal 12 4 2 2 2" xfId="4365" xr:uid="{730AB5F5-90ED-43D5-B561-4B06A98B0081}"/>
    <cellStyle name="Normal 12 4 2 2 2 2" xfId="12745" xr:uid="{20EA9D68-3CB9-4DFA-AAE9-5507E6366910}"/>
    <cellStyle name="Normal 12 4 2 2 2 2 2" xfId="29505" xr:uid="{5BF0EE44-2853-4FB8-B7F8-20BBC393A695}"/>
    <cellStyle name="Normal 12 4 2 2 2 2 3" xfId="46264" xr:uid="{86D00BDF-E977-4B66-9EB2-99A6014CBA5E}"/>
    <cellStyle name="Normal 12 4 2 2 2 3" xfId="21125" xr:uid="{0B134DE3-F43E-4D73-9F6C-50680E41FB15}"/>
    <cellStyle name="Normal 12 4 2 2 2 4" xfId="37884" xr:uid="{5EA0ED4E-DAAA-4211-BA51-B3BC7C7BDB69}"/>
    <cellStyle name="Normal 12 4 2 2 3" xfId="6052" xr:uid="{862D5274-AEDD-48FA-8A50-6A412B08B542}"/>
    <cellStyle name="Normal 12 4 2 2 3 2" xfId="14432" xr:uid="{DB0133DE-8681-4EEE-8EA5-05372D742757}"/>
    <cellStyle name="Normal 12 4 2 2 3 2 2" xfId="31192" xr:uid="{C2143106-448A-4745-BE09-CD22D7272590}"/>
    <cellStyle name="Normal 12 4 2 2 3 2 3" xfId="47951" xr:uid="{AFFC4FBE-305A-4CE2-B46A-4635EDC7A9E2}"/>
    <cellStyle name="Normal 12 4 2 2 3 3" xfId="22812" xr:uid="{8C600106-725A-4294-B45E-703813908895}"/>
    <cellStyle name="Normal 12 4 2 2 3 4" xfId="39571" xr:uid="{019FE407-FA11-40AF-A958-2F4A9C1B44BF}"/>
    <cellStyle name="Normal 12 4 2 2 4" xfId="2788" xr:uid="{ACA50C6A-7982-4999-987C-77664C33AF71}"/>
    <cellStyle name="Normal 12 4 2 2 4 2" xfId="11168" xr:uid="{FB740FAB-72E0-47AD-BF08-4A6D20D3668D}"/>
    <cellStyle name="Normal 12 4 2 2 4 2 2" xfId="27928" xr:uid="{ED00FEC9-8826-44FC-811A-85FAEB343175}"/>
    <cellStyle name="Normal 12 4 2 2 4 2 3" xfId="44687" xr:uid="{7C4D770E-2284-4A7E-8D32-6C0CB6C027F0}"/>
    <cellStyle name="Normal 12 4 2 2 4 3" xfId="19548" xr:uid="{94A51326-58FC-4E9C-B38A-0168CB09B409}"/>
    <cellStyle name="Normal 12 4 2 2 4 4" xfId="36307" xr:uid="{3ED8923D-500E-4D77-98A7-A2D449F9FAF2}"/>
    <cellStyle name="Normal 12 4 2 2 5" xfId="9365" xr:uid="{6AE684CB-3EE6-4761-8EF1-D277EB2181C0}"/>
    <cellStyle name="Normal 12 4 2 2 5 2" xfId="26125" xr:uid="{8C41B676-D5F3-430F-971D-D4599DA1603C}"/>
    <cellStyle name="Normal 12 4 2 2 5 3" xfId="42884" xr:uid="{3BA0E1F6-1D25-4AB5-A40E-A2092CFDC716}"/>
    <cellStyle name="Normal 12 4 2 2 6" xfId="17745" xr:uid="{30BF8CEA-955B-4A68-8392-DC10CC090CFB}"/>
    <cellStyle name="Normal 12 4 2 2 7" xfId="34504" xr:uid="{0A1396F8-1F22-418E-A643-190F5D004D58}"/>
    <cellStyle name="Normal 12 4 2 3" xfId="1404" xr:uid="{42081150-89CB-43BB-B53C-D96A226EE223}"/>
    <cellStyle name="Normal 12 4 2 3 2" xfId="4793" xr:uid="{DAD8ADFA-F8E6-4249-A320-DB74DF2E375D}"/>
    <cellStyle name="Normal 12 4 2 3 2 2" xfId="13173" xr:uid="{5401E84F-4322-4C6A-92A9-1A8CA6C8181D}"/>
    <cellStyle name="Normal 12 4 2 3 2 2 2" xfId="29933" xr:uid="{5F97ECC6-5415-4A27-ACFD-C60ADB5CC1C3}"/>
    <cellStyle name="Normal 12 4 2 3 2 2 3" xfId="46692" xr:uid="{BA74827C-DCED-4E2E-9454-14CB085F55EF}"/>
    <cellStyle name="Normal 12 4 2 3 2 3" xfId="21553" xr:uid="{38DB14B9-9A22-48B5-9582-046D8219297D}"/>
    <cellStyle name="Normal 12 4 2 3 2 4" xfId="38312" xr:uid="{5A37A270-73EF-4D84-8032-DC38946E0D29}"/>
    <cellStyle name="Normal 12 4 2 3 3" xfId="6480" xr:uid="{AB67FAFF-49C8-4258-944D-A78732D9F0A1}"/>
    <cellStyle name="Normal 12 4 2 3 3 2" xfId="14860" xr:uid="{93CFCC79-D701-404A-A4F2-9B914546C120}"/>
    <cellStyle name="Normal 12 4 2 3 3 2 2" xfId="31620" xr:uid="{FBA51B60-987A-4A58-9ABA-5C299772EB48}"/>
    <cellStyle name="Normal 12 4 2 3 3 2 3" xfId="48379" xr:uid="{972A8563-4D82-4448-A1F7-7E8C2423FB44}"/>
    <cellStyle name="Normal 12 4 2 3 3 3" xfId="23240" xr:uid="{787CEAA4-34AB-4BB2-9495-887D6616BD7E}"/>
    <cellStyle name="Normal 12 4 2 3 3 4" xfId="39999" xr:uid="{6D541046-4A0C-4616-89F4-0A34DF3D75D6}"/>
    <cellStyle name="Normal 12 4 2 3 4" xfId="3216" xr:uid="{29946C8B-8071-42FF-866D-6FA2D205E72F}"/>
    <cellStyle name="Normal 12 4 2 3 4 2" xfId="11596" xr:uid="{63F95DD1-D552-4569-96E8-62566D26F29E}"/>
    <cellStyle name="Normal 12 4 2 3 4 2 2" xfId="28356" xr:uid="{F5D21896-133F-4E56-AF3E-3B9B248678A8}"/>
    <cellStyle name="Normal 12 4 2 3 4 2 3" xfId="45115" xr:uid="{990EA10F-EFAB-4E6C-9831-B79F4ED69A04}"/>
    <cellStyle name="Normal 12 4 2 3 4 3" xfId="19976" xr:uid="{C51C6BE1-835F-495F-9EC0-37B3BAE63181}"/>
    <cellStyle name="Normal 12 4 2 3 4 4" xfId="36735" xr:uid="{3391CAEE-50D3-49EA-BAD8-4222762B93CF}"/>
    <cellStyle name="Normal 12 4 2 3 5" xfId="9793" xr:uid="{AE280E88-5227-4459-B575-C00FAFF01A74}"/>
    <cellStyle name="Normal 12 4 2 3 5 2" xfId="26553" xr:uid="{16ED7D98-D0EF-4CE8-B5D9-466FB082D66F}"/>
    <cellStyle name="Normal 12 4 2 3 5 3" xfId="43312" xr:uid="{08D96B46-A290-4F92-BB28-8ADAEB4B015D}"/>
    <cellStyle name="Normal 12 4 2 3 6" xfId="18173" xr:uid="{C3BE0879-FAE1-48E4-B1BD-79F328F9D935}"/>
    <cellStyle name="Normal 12 4 2 3 7" xfId="34932" xr:uid="{06341D0C-7389-4959-8FD7-D66522AF7CBE}"/>
    <cellStyle name="Normal 12 4 2 4" xfId="1795" xr:uid="{18F14F0E-5595-454B-9908-2F70D79CBF44}"/>
    <cellStyle name="Normal 12 4 2 4 2" xfId="5184" xr:uid="{71F8E0A0-45D6-4C59-B765-0E66B1578913}"/>
    <cellStyle name="Normal 12 4 2 4 2 2" xfId="13564" xr:uid="{844B8902-0006-423A-BCAF-8661100F0BF2}"/>
    <cellStyle name="Normal 12 4 2 4 2 2 2" xfId="30324" xr:uid="{9623006D-C4E5-46F6-92B8-911B55A3EE5E}"/>
    <cellStyle name="Normal 12 4 2 4 2 2 3" xfId="47083" xr:uid="{9BC73938-6BF8-453E-9ED2-D72DD6BC3F86}"/>
    <cellStyle name="Normal 12 4 2 4 2 3" xfId="21944" xr:uid="{0CA0F253-F6B7-460D-996B-BEC4DFBACCCE}"/>
    <cellStyle name="Normal 12 4 2 4 2 4" xfId="38703" xr:uid="{50828C52-B64C-4D81-B554-E1E991ABFA24}"/>
    <cellStyle name="Normal 12 4 2 4 3" xfId="6871" xr:uid="{FDBC38A3-6E5B-4B6D-88B5-CF656A2FCE06}"/>
    <cellStyle name="Normal 12 4 2 4 3 2" xfId="15251" xr:uid="{8D649386-6172-49C0-8066-53323FF7EAA1}"/>
    <cellStyle name="Normal 12 4 2 4 3 2 2" xfId="32011" xr:uid="{5B3396D5-2D9B-482F-9440-0E0F5E64883A}"/>
    <cellStyle name="Normal 12 4 2 4 3 2 3" xfId="48770" xr:uid="{76C9FECD-E846-4B22-B829-25478A423CBB}"/>
    <cellStyle name="Normal 12 4 2 4 3 3" xfId="23631" xr:uid="{DD88364C-7787-46E4-A041-27EC592FF8AD}"/>
    <cellStyle name="Normal 12 4 2 4 3 4" xfId="40390" xr:uid="{9880B506-F3E7-46BB-93E7-4348679983C9}"/>
    <cellStyle name="Normal 12 4 2 4 4" xfId="3495" xr:uid="{767ABDE9-010D-4B4F-90E1-A9B528E73197}"/>
    <cellStyle name="Normal 12 4 2 4 4 2" xfId="11875" xr:uid="{C1C92B5F-4F07-4835-9593-F3DC8D3F3002}"/>
    <cellStyle name="Normal 12 4 2 4 4 2 2" xfId="28635" xr:uid="{031AB1BE-5478-46DF-AFDF-8DA51BB6FE7B}"/>
    <cellStyle name="Normal 12 4 2 4 4 2 3" xfId="45394" xr:uid="{CC2D0130-87F6-45E0-AC1C-0DF6AE8F4549}"/>
    <cellStyle name="Normal 12 4 2 4 4 3" xfId="20255" xr:uid="{EBB3EA38-1FDD-4768-B158-5A356B8C75F3}"/>
    <cellStyle name="Normal 12 4 2 4 4 4" xfId="37014" xr:uid="{174F2685-497D-4B3E-8ACA-4AA530A76812}"/>
    <cellStyle name="Normal 12 4 2 4 5" xfId="10184" xr:uid="{276C313B-0446-4346-8578-F0218E22FF55}"/>
    <cellStyle name="Normal 12 4 2 4 5 2" xfId="26944" xr:uid="{189BBDD4-3B62-478A-BE4A-D36F807B64C9}"/>
    <cellStyle name="Normal 12 4 2 4 5 3" xfId="43703" xr:uid="{9771F1F9-02F2-418B-B517-9FD20F98878C}"/>
    <cellStyle name="Normal 12 4 2 4 6" xfId="18564" xr:uid="{133447F4-AA32-4FB2-8387-2D2155B21F04}"/>
    <cellStyle name="Normal 12 4 2 4 7" xfId="35323" xr:uid="{3A0A9C4A-F1F8-42DD-9531-079F0BA1EA0B}"/>
    <cellStyle name="Normal 12 4 2 5" xfId="3914" xr:uid="{A3E67F51-5146-4BEE-A9FB-640D5499F1B5}"/>
    <cellStyle name="Normal 12 4 2 5 2" xfId="12294" xr:uid="{3A0519AA-AC5A-466C-8E35-002E148A7FFC}"/>
    <cellStyle name="Normal 12 4 2 5 2 2" xfId="29054" xr:uid="{0C424C15-C148-4E68-B729-E60ADDE31A70}"/>
    <cellStyle name="Normal 12 4 2 5 2 3" xfId="45813" xr:uid="{5DC702AB-3B90-4042-B748-F01A495E1FA8}"/>
    <cellStyle name="Normal 12 4 2 5 3" xfId="20674" xr:uid="{B28F13EA-047F-4171-8002-6989929CD161}"/>
    <cellStyle name="Normal 12 4 2 5 4" xfId="37433" xr:uid="{51E2AF45-8341-4CE1-87D8-D08BD7ADB2AB}"/>
    <cellStyle name="Normal 12 4 2 6" xfId="5626" xr:uid="{5C19B50F-EFD9-4378-8516-0037BE2D1372}"/>
    <cellStyle name="Normal 12 4 2 6 2" xfId="14006" xr:uid="{08BA46AF-A8A7-413D-971A-089A9506D02D}"/>
    <cellStyle name="Normal 12 4 2 6 2 2" xfId="30766" xr:uid="{3970A8D7-9DC1-4AEB-8929-877433AF2F32}"/>
    <cellStyle name="Normal 12 4 2 6 2 3" xfId="47525" xr:uid="{4FADF28B-D3E3-4505-AC5D-13883BB29E86}"/>
    <cellStyle name="Normal 12 4 2 6 3" xfId="22386" xr:uid="{D968AFAD-CEB5-4B6D-AD4D-CCF9BD90C171}"/>
    <cellStyle name="Normal 12 4 2 6 4" xfId="39145" xr:uid="{202378B5-0A24-4FDB-8C91-3D3D4A72153D}"/>
    <cellStyle name="Normal 12 4 2 7" xfId="7277" xr:uid="{A09E1E2E-51FA-41F5-B105-EC9D12D8733F}"/>
    <cellStyle name="Normal 12 4 2 7 2" xfId="15657" xr:uid="{74622F6C-166B-4520-98AD-08D510A4DD55}"/>
    <cellStyle name="Normal 12 4 2 7 2 2" xfId="32417" xr:uid="{1DC698DB-8B54-4797-8427-77E4AE3BD5FF}"/>
    <cellStyle name="Normal 12 4 2 7 2 3" xfId="49176" xr:uid="{2ADED1CA-DCCA-49AF-96F0-2B5900DB18F8}"/>
    <cellStyle name="Normal 12 4 2 7 3" xfId="24037" xr:uid="{7E9BDCB4-3F80-4BBC-A132-89EC32986D1E}"/>
    <cellStyle name="Normal 12 4 2 7 4" xfId="40796" xr:uid="{650C26E5-EADB-44BC-B690-8EF13D0BCFA2}"/>
    <cellStyle name="Normal 12 4 2 8" xfId="7683" xr:uid="{B356135C-40B9-41A6-9488-854D5D203FCB}"/>
    <cellStyle name="Normal 12 4 2 8 2" xfId="16063" xr:uid="{7DC98941-043F-477B-8516-34C38298E06F}"/>
    <cellStyle name="Normal 12 4 2 8 2 2" xfId="32823" xr:uid="{76430ED1-68E4-4C84-B9D5-0954B5CBFB3C}"/>
    <cellStyle name="Normal 12 4 2 8 2 3" xfId="49582" xr:uid="{C33FCA97-A30B-43C4-A21E-0FCBCB8442AA}"/>
    <cellStyle name="Normal 12 4 2 8 3" xfId="24443" xr:uid="{F2BB2CB9-13AF-44CA-9A79-4DBD40C1B871}"/>
    <cellStyle name="Normal 12 4 2 8 4" xfId="41202" xr:uid="{1853CC7F-42EB-4431-80BE-18F2FFC0CFB7}"/>
    <cellStyle name="Normal 12 4 2 9" xfId="8089" xr:uid="{7BD8493B-BEBE-40EC-97DD-8994BED4F35E}"/>
    <cellStyle name="Normal 12 4 2 9 2" xfId="16469" xr:uid="{EBF842CC-2BC0-4CD9-9681-F20EB81850EC}"/>
    <cellStyle name="Normal 12 4 2 9 2 2" xfId="33229" xr:uid="{32491D4E-C49A-40B2-A3EA-6B4F29AD8AD4}"/>
    <cellStyle name="Normal 12 4 2 9 2 3" xfId="49988" xr:uid="{A69BA6F7-1348-4B33-8BEC-9877721BD14E}"/>
    <cellStyle name="Normal 12 4 2 9 3" xfId="24849" xr:uid="{FDC37D37-364F-4F48-8B49-81F72713EDA5}"/>
    <cellStyle name="Normal 12 4 2 9 4" xfId="41608" xr:uid="{5AE1CFC0-279F-4DCA-9CAF-B0910516C599}"/>
    <cellStyle name="Normal 12 4 3" xfId="529" xr:uid="{83AF7023-7FCE-46C8-A828-FD130AE90634}"/>
    <cellStyle name="Normal 12 4 3 10" xfId="8637" xr:uid="{4984011E-A97F-488D-BC99-A3BB84EB3903}"/>
    <cellStyle name="Normal 12 4 3 10 2" xfId="17017" xr:uid="{2607B380-CAD1-4EEE-B702-D9DC70550B0E}"/>
    <cellStyle name="Normal 12 4 3 10 2 2" xfId="33777" xr:uid="{12AA2940-D5F6-4F43-B919-CF9E37749A63}"/>
    <cellStyle name="Normal 12 4 3 10 2 3" xfId="50536" xr:uid="{BFC349F2-16C0-42A2-861A-D36E65A7C73E}"/>
    <cellStyle name="Normal 12 4 3 10 3" xfId="25397" xr:uid="{121E6C62-8A7F-49C4-AEC1-A8D55989CEC1}"/>
    <cellStyle name="Normal 12 4 3 10 4" xfId="42156" xr:uid="{2C540FB5-E900-4A3E-A0DB-591081194489}"/>
    <cellStyle name="Normal 12 4 3 11" xfId="2361" xr:uid="{B0AB5A9C-42A0-4B6A-8AC1-1270073A9A3F}"/>
    <cellStyle name="Normal 12 4 3 11 2" xfId="10743" xr:uid="{78DBD31E-CDAE-4865-AB0C-D0000C2FC753}"/>
    <cellStyle name="Normal 12 4 3 11 2 2" xfId="27503" xr:uid="{79091430-050B-46FA-AB42-15BC2E897D75}"/>
    <cellStyle name="Normal 12 4 3 11 2 3" xfId="44262" xr:uid="{43A19428-68D7-4F59-9C8E-CDC61795D811}"/>
    <cellStyle name="Normal 12 4 3 11 3" xfId="19123" xr:uid="{D626873C-03A0-43D7-B0F2-4B39298486D0}"/>
    <cellStyle name="Normal 12 4 3 11 4" xfId="35882" xr:uid="{60E32010-5A63-4AC7-8DEE-C8B82DDA99D6}"/>
    <cellStyle name="Normal 12 4 3 12" xfId="8940" xr:uid="{C97057AA-F51A-4C1D-AD5E-98A2330A7B50}"/>
    <cellStyle name="Normal 12 4 3 12 2" xfId="25700" xr:uid="{7D146A10-053E-4E97-A591-2A7807C57E66}"/>
    <cellStyle name="Normal 12 4 3 12 3" xfId="42459" xr:uid="{C664ADC7-D168-4526-A9CF-8CA10A59B6B1}"/>
    <cellStyle name="Normal 12 4 3 13" xfId="17320" xr:uid="{10472B35-7E6C-4390-A966-D60EF2C4736F}"/>
    <cellStyle name="Normal 12 4 3 14" xfId="34079" xr:uid="{B3CF8DE2-8B1F-4AE4-B14B-BD3819B390D9}"/>
    <cellStyle name="Normal 12 4 3 2" xfId="971" xr:uid="{64FA2734-5558-4B2D-B91D-FD946BC182EA}"/>
    <cellStyle name="Normal 12 4 3 2 2" xfId="4366" xr:uid="{FA3344E8-97C2-4F7C-9F09-71B1EE1F91F1}"/>
    <cellStyle name="Normal 12 4 3 2 2 2" xfId="12746" xr:uid="{DD3C17BD-E2CF-4099-8846-517465F6E218}"/>
    <cellStyle name="Normal 12 4 3 2 2 2 2" xfId="29506" xr:uid="{6F089EA4-BDEF-4EC5-BEC4-C6B20074706A}"/>
    <cellStyle name="Normal 12 4 3 2 2 2 3" xfId="46265" xr:uid="{54CCF4BB-314E-4DD3-B17A-782F2E604423}"/>
    <cellStyle name="Normal 12 4 3 2 2 3" xfId="21126" xr:uid="{32632124-ECF6-480D-9CEB-CECB1A124382}"/>
    <cellStyle name="Normal 12 4 3 2 2 4" xfId="37885" xr:uid="{B21A4123-E3CB-45F5-BABC-6666006C77E4}"/>
    <cellStyle name="Normal 12 4 3 2 3" xfId="6053" xr:uid="{FB64E99D-62E0-4922-BE58-159163F75DC9}"/>
    <cellStyle name="Normal 12 4 3 2 3 2" xfId="14433" xr:uid="{FC3D7F9A-1354-4838-86C0-4FD53253E875}"/>
    <cellStyle name="Normal 12 4 3 2 3 2 2" xfId="31193" xr:uid="{7BC29DB3-BDF5-465E-81C3-B9DB21CC62D6}"/>
    <cellStyle name="Normal 12 4 3 2 3 2 3" xfId="47952" xr:uid="{92D6384E-C367-4141-8D1A-8C596F00CD2E}"/>
    <cellStyle name="Normal 12 4 3 2 3 3" xfId="22813" xr:uid="{68A51015-8A40-4EFC-8B5E-207EB1DEB8AC}"/>
    <cellStyle name="Normal 12 4 3 2 3 4" xfId="39572" xr:uid="{8419E8C9-6FA6-4B02-A7D2-9CEE7E1563DD}"/>
    <cellStyle name="Normal 12 4 3 2 4" xfId="2789" xr:uid="{230B8F82-9C12-4E7C-85B8-1E0D6C15C520}"/>
    <cellStyle name="Normal 12 4 3 2 4 2" xfId="11169" xr:uid="{9F64F393-6821-4DED-A7E0-A9B7767360E4}"/>
    <cellStyle name="Normal 12 4 3 2 4 2 2" xfId="27929" xr:uid="{1E2680FE-12A3-41E3-949C-426C260FE69B}"/>
    <cellStyle name="Normal 12 4 3 2 4 2 3" xfId="44688" xr:uid="{175E526F-132C-4D38-827E-12F8D6743324}"/>
    <cellStyle name="Normal 12 4 3 2 4 3" xfId="19549" xr:uid="{7478F7B4-46CF-4575-93C7-6C1761374007}"/>
    <cellStyle name="Normal 12 4 3 2 4 4" xfId="36308" xr:uid="{49467040-8394-4CFE-9813-B69E2A0DAB5E}"/>
    <cellStyle name="Normal 12 4 3 2 5" xfId="9366" xr:uid="{DF3066F5-497A-4F76-BFA3-170B063C0FF8}"/>
    <cellStyle name="Normal 12 4 3 2 5 2" xfId="26126" xr:uid="{8CECBC44-F724-4E40-B467-95A286E023CE}"/>
    <cellStyle name="Normal 12 4 3 2 5 3" xfId="42885" xr:uid="{F914E952-8C16-4A16-9041-1471B6DB07DF}"/>
    <cellStyle name="Normal 12 4 3 2 6" xfId="17746" xr:uid="{9D769A26-C457-4406-97EC-3959B5FD6D1C}"/>
    <cellStyle name="Normal 12 4 3 2 7" xfId="34505" xr:uid="{2ED16DD7-4BE6-41B6-8FB8-BE98CD75D52E}"/>
    <cellStyle name="Normal 12 4 3 3" xfId="1405" xr:uid="{08C2D507-E148-4453-9BCC-3B74C5FFB45A}"/>
    <cellStyle name="Normal 12 4 3 3 2" xfId="4794" xr:uid="{F1547290-44EE-4F11-8C79-AD58E80FFBEA}"/>
    <cellStyle name="Normal 12 4 3 3 2 2" xfId="13174" xr:uid="{0D124E93-A444-4862-9639-970A7889AB8B}"/>
    <cellStyle name="Normal 12 4 3 3 2 2 2" xfId="29934" xr:uid="{89EE89BC-735A-4A2B-81BF-7DBDCC6F3267}"/>
    <cellStyle name="Normal 12 4 3 3 2 2 3" xfId="46693" xr:uid="{9DA54762-EF64-4EE8-B949-8B6D02BA3276}"/>
    <cellStyle name="Normal 12 4 3 3 2 3" xfId="21554" xr:uid="{CF6A1B7A-CB98-4095-A8B9-2A8E6992D113}"/>
    <cellStyle name="Normal 12 4 3 3 2 4" xfId="38313" xr:uid="{ECD9FE83-1DE7-44EE-AEC6-8404C3E6C9C9}"/>
    <cellStyle name="Normal 12 4 3 3 3" xfId="6481" xr:uid="{94BD64C8-5F00-402F-B7F6-948F96FEF711}"/>
    <cellStyle name="Normal 12 4 3 3 3 2" xfId="14861" xr:uid="{FA2F7F1F-3CB6-4007-914D-8938F80A2CFD}"/>
    <cellStyle name="Normal 12 4 3 3 3 2 2" xfId="31621" xr:uid="{E368AC92-493A-4023-88C4-55674D462F32}"/>
    <cellStyle name="Normal 12 4 3 3 3 2 3" xfId="48380" xr:uid="{1684E0B8-0AB2-44AF-81D4-9EA4EAA17698}"/>
    <cellStyle name="Normal 12 4 3 3 3 3" xfId="23241" xr:uid="{FF2C18EB-5A75-43BF-8975-F7B344578DDB}"/>
    <cellStyle name="Normal 12 4 3 3 3 4" xfId="40000" xr:uid="{1159D4DF-8B4C-48B0-B733-29A6FE4BA144}"/>
    <cellStyle name="Normal 12 4 3 3 4" xfId="3217" xr:uid="{5EDC5522-E32D-47FB-A3EB-772E8433CA9F}"/>
    <cellStyle name="Normal 12 4 3 3 4 2" xfId="11597" xr:uid="{44C46E19-5187-424A-90E4-CD837069CB39}"/>
    <cellStyle name="Normal 12 4 3 3 4 2 2" xfId="28357" xr:uid="{394B6504-9FE4-4610-8F71-884C6158E6F2}"/>
    <cellStyle name="Normal 12 4 3 3 4 2 3" xfId="45116" xr:uid="{F3762E1C-32D9-4534-8CE8-F165E8E11C86}"/>
    <cellStyle name="Normal 12 4 3 3 4 3" xfId="19977" xr:uid="{8BB70F45-FA50-4897-A140-4E83332D1261}"/>
    <cellStyle name="Normal 12 4 3 3 4 4" xfId="36736" xr:uid="{0BA8A76A-2D8C-4CAC-92C4-B213BD2294DF}"/>
    <cellStyle name="Normal 12 4 3 3 5" xfId="9794" xr:uid="{35233EE5-7152-4233-AD6C-3B5402DB168B}"/>
    <cellStyle name="Normal 12 4 3 3 5 2" xfId="26554" xr:uid="{217620E1-5AF2-4CE9-B7C7-1897D3DE21A8}"/>
    <cellStyle name="Normal 12 4 3 3 5 3" xfId="43313" xr:uid="{4FE36C18-50AF-4320-AA5C-ABC8FB1A1B14}"/>
    <cellStyle name="Normal 12 4 3 3 6" xfId="18174" xr:uid="{58310653-EC73-4DB4-B576-642880561F68}"/>
    <cellStyle name="Normal 12 4 3 3 7" xfId="34933" xr:uid="{694D3199-83D6-4E9F-8F30-D586165F7955}"/>
    <cellStyle name="Normal 12 4 3 4" xfId="1937" xr:uid="{62357CB2-A04B-4FDB-AFD8-56BF30AE20C7}"/>
    <cellStyle name="Normal 12 4 3 4 2" xfId="5326" xr:uid="{3ABF5D02-CC30-4A8F-9C06-4A2BA1D68855}"/>
    <cellStyle name="Normal 12 4 3 4 2 2" xfId="13706" xr:uid="{68E19FD1-E51D-460E-B12A-A0FF3ACCABDD}"/>
    <cellStyle name="Normal 12 4 3 4 2 2 2" xfId="30466" xr:uid="{AB3DD781-B55D-4D2B-A267-9B609C774032}"/>
    <cellStyle name="Normal 12 4 3 4 2 2 3" xfId="47225" xr:uid="{65C3A9F2-6E08-4630-89FE-0FBBBE0D0BBC}"/>
    <cellStyle name="Normal 12 4 3 4 2 3" xfId="22086" xr:uid="{7220C6B9-C1A7-4B6D-99B8-AE959C67DF46}"/>
    <cellStyle name="Normal 12 4 3 4 2 4" xfId="38845" xr:uid="{9F1CDA28-D7A2-4B79-93FD-07E160DD39E1}"/>
    <cellStyle name="Normal 12 4 3 4 3" xfId="7013" xr:uid="{A8C26DC4-06D0-4156-A412-CC4623A9B287}"/>
    <cellStyle name="Normal 12 4 3 4 3 2" xfId="15393" xr:uid="{39033E5C-F534-4F7D-A4A7-EA8E1124E858}"/>
    <cellStyle name="Normal 12 4 3 4 3 2 2" xfId="32153" xr:uid="{8330687F-EC7E-4EB8-B54D-A4B7A3EBFC28}"/>
    <cellStyle name="Normal 12 4 3 4 3 2 3" xfId="48912" xr:uid="{2BAF5F6E-A26F-410A-89A8-AA378E6D45CF}"/>
    <cellStyle name="Normal 12 4 3 4 3 3" xfId="23773" xr:uid="{5FB54F05-9919-4B10-AC64-68531DF27BE0}"/>
    <cellStyle name="Normal 12 4 3 4 3 4" xfId="40532" xr:uid="{B3ADEA4E-3FAC-4194-8AAF-796100819404}"/>
    <cellStyle name="Normal 12 4 3 4 4" xfId="3636" xr:uid="{525548F2-9BA0-4017-9FFD-3A3C35CC91E7}"/>
    <cellStyle name="Normal 12 4 3 4 4 2" xfId="12016" xr:uid="{FEA0875C-9C64-4EA5-B018-99A6405E30E5}"/>
    <cellStyle name="Normal 12 4 3 4 4 2 2" xfId="28776" xr:uid="{CDD7381F-F94D-4761-B3E0-7B44818B166C}"/>
    <cellStyle name="Normal 12 4 3 4 4 2 3" xfId="45535" xr:uid="{5CBD5FA1-E957-426C-AD50-B0D7B7824A16}"/>
    <cellStyle name="Normal 12 4 3 4 4 3" xfId="20396" xr:uid="{B4BAF7CF-F7A8-41CF-A61C-7125CE066BD2}"/>
    <cellStyle name="Normal 12 4 3 4 4 4" xfId="37155" xr:uid="{B27CCBC5-F31E-4ECF-9A5B-C66B263802F6}"/>
    <cellStyle name="Normal 12 4 3 4 5" xfId="10326" xr:uid="{F613882F-72D4-47C4-AA6F-7F9F148049CE}"/>
    <cellStyle name="Normal 12 4 3 4 5 2" xfId="27086" xr:uid="{90951A82-0E9B-4EE5-9CCE-3BFF5D5339CD}"/>
    <cellStyle name="Normal 12 4 3 4 5 3" xfId="43845" xr:uid="{9CF37BCD-75F4-4EBE-9C39-FFBF8F745E42}"/>
    <cellStyle name="Normal 12 4 3 4 6" xfId="18706" xr:uid="{EC4497C5-1650-4FF7-B380-A04B221172F3}"/>
    <cellStyle name="Normal 12 4 3 4 7" xfId="35465" xr:uid="{DD3264F1-E4F4-4CA0-92FF-298BC8C061FD}"/>
    <cellStyle name="Normal 12 4 3 5" xfId="4056" xr:uid="{E6EB6951-5E37-4971-9CD0-022F121E5A6B}"/>
    <cellStyle name="Normal 12 4 3 5 2" xfId="12436" xr:uid="{96C92FF6-C6E9-43DC-A600-A34A38CBA9AC}"/>
    <cellStyle name="Normal 12 4 3 5 2 2" xfId="29196" xr:uid="{35474AF7-2556-49F2-A446-DB4594314013}"/>
    <cellStyle name="Normal 12 4 3 5 2 3" xfId="45955" xr:uid="{A19C4EEF-DA17-416F-93B5-AAF9E2FD4C20}"/>
    <cellStyle name="Normal 12 4 3 5 3" xfId="20816" xr:uid="{1BE403BD-E28C-4D31-93B7-F5F97D2FA001}"/>
    <cellStyle name="Normal 12 4 3 5 4" xfId="37575" xr:uid="{7DA9EE22-3EC4-43BD-8BFA-7DE0E927D237}"/>
    <cellStyle name="Normal 12 4 3 6" xfId="5627" xr:uid="{CFBA3422-66B3-4B28-A939-B6FEDE33B29D}"/>
    <cellStyle name="Normal 12 4 3 6 2" xfId="14007" xr:uid="{22926BFB-2B14-4D17-8BC2-B3D02CDB4D61}"/>
    <cellStyle name="Normal 12 4 3 6 2 2" xfId="30767" xr:uid="{F8543C5E-54B3-4962-94B0-99CD58162911}"/>
    <cellStyle name="Normal 12 4 3 6 2 3" xfId="47526" xr:uid="{5FA86C10-98FC-4ECF-A80D-7D9AAF2E9327}"/>
    <cellStyle name="Normal 12 4 3 6 3" xfId="22387" xr:uid="{24CC6784-773D-445B-9B4D-93D17D3BE494}"/>
    <cellStyle name="Normal 12 4 3 6 4" xfId="39146" xr:uid="{D28A22DD-EF90-48DD-9E6B-01068635A4BA}"/>
    <cellStyle name="Normal 12 4 3 7" xfId="7419" xr:uid="{C24A05D8-665B-4386-9AD6-68F5F923B492}"/>
    <cellStyle name="Normal 12 4 3 7 2" xfId="15799" xr:uid="{E5B0343E-8733-4821-BEA8-FC51B52D4D98}"/>
    <cellStyle name="Normal 12 4 3 7 2 2" xfId="32559" xr:uid="{46826F85-6CBE-4181-AF14-10941D0E82E7}"/>
    <cellStyle name="Normal 12 4 3 7 2 3" xfId="49318" xr:uid="{324E69F8-D4B1-4F73-B366-86CFE532D58F}"/>
    <cellStyle name="Normal 12 4 3 7 3" xfId="24179" xr:uid="{5E9235BB-724F-455A-9124-BAA3BC4EDD9E}"/>
    <cellStyle name="Normal 12 4 3 7 4" xfId="40938" xr:uid="{97E979AA-EA01-4EF0-9F07-3519C5E359BC}"/>
    <cellStyle name="Normal 12 4 3 8" xfId="7825" xr:uid="{EE58CDA2-1815-4A9A-8558-80F0350FE53E}"/>
    <cellStyle name="Normal 12 4 3 8 2" xfId="16205" xr:uid="{1A862B91-E5BD-4ED4-952E-00358F455075}"/>
    <cellStyle name="Normal 12 4 3 8 2 2" xfId="32965" xr:uid="{06D73F6C-AEFC-428B-9FAD-1991CF20945A}"/>
    <cellStyle name="Normal 12 4 3 8 2 3" xfId="49724" xr:uid="{95211EE0-A8FB-4824-9AFD-F5914B466BA6}"/>
    <cellStyle name="Normal 12 4 3 8 3" xfId="24585" xr:uid="{498A5A04-8040-47CA-8436-3A8AC39A2EBB}"/>
    <cellStyle name="Normal 12 4 3 8 4" xfId="41344" xr:uid="{4A19E099-8A08-48FD-9A30-399481AABA93}"/>
    <cellStyle name="Normal 12 4 3 9" xfId="8231" xr:uid="{1587A94B-403E-4889-B2A8-EB211E62295F}"/>
    <cellStyle name="Normal 12 4 3 9 2" xfId="16611" xr:uid="{5679F9A4-5443-4655-9344-DDCB76E9D6EE}"/>
    <cellStyle name="Normal 12 4 3 9 2 2" xfId="33371" xr:uid="{B9A14B93-3280-45F5-8C7A-57E1C79A0EBE}"/>
    <cellStyle name="Normal 12 4 3 9 2 3" xfId="50130" xr:uid="{50D33491-6D2E-42E6-9EA2-E819EE698B94}"/>
    <cellStyle name="Normal 12 4 3 9 3" xfId="24991" xr:uid="{7B244F10-E1F4-4E32-99C0-C6A016FDBA3B}"/>
    <cellStyle name="Normal 12 4 3 9 4" xfId="41750" xr:uid="{D61CF9FC-7E14-4532-A85F-C997C9DFC295}"/>
    <cellStyle name="Normal 12 4 4" xfId="836" xr:uid="{BCCE3CFE-DFEA-478A-A3E1-3E7CEA94F216}"/>
    <cellStyle name="Normal 12 4 4 2" xfId="4231" xr:uid="{9E419419-E2B1-4397-8840-EE55963F606B}"/>
    <cellStyle name="Normal 12 4 4 2 2" xfId="12611" xr:uid="{566D455D-DABE-4254-B2A0-2562F23630FF}"/>
    <cellStyle name="Normal 12 4 4 2 2 2" xfId="29371" xr:uid="{42AD9CB7-AD2E-45B1-A205-B7A984FAAAB1}"/>
    <cellStyle name="Normal 12 4 4 2 2 3" xfId="46130" xr:uid="{707A60E4-47CF-4225-8558-2E78EF7A7D73}"/>
    <cellStyle name="Normal 12 4 4 2 3" xfId="20991" xr:uid="{69C9EBA2-A487-4789-9E38-F776783A2D06}"/>
    <cellStyle name="Normal 12 4 4 2 4" xfId="37750" xr:uid="{D4244380-65CA-4CB6-9DEF-C942E3A49B72}"/>
    <cellStyle name="Normal 12 4 4 3" xfId="5918" xr:uid="{1624D800-86C7-4CE5-9313-61BCE6887AF3}"/>
    <cellStyle name="Normal 12 4 4 3 2" xfId="14298" xr:uid="{D3B1D117-0D24-4111-A043-3796E9B8D767}"/>
    <cellStyle name="Normal 12 4 4 3 2 2" xfId="31058" xr:uid="{9FE0906A-4719-43C8-950C-26BA6FD1B9D6}"/>
    <cellStyle name="Normal 12 4 4 3 2 3" xfId="47817" xr:uid="{6F11F177-156F-445B-86E4-DE61C25FAD1E}"/>
    <cellStyle name="Normal 12 4 4 3 3" xfId="22678" xr:uid="{6E6B66D2-C612-4027-B1EB-D1A3AF8A3EE3}"/>
    <cellStyle name="Normal 12 4 4 3 4" xfId="39437" xr:uid="{EE1CC058-27E8-4367-A152-3DB7C6222C39}"/>
    <cellStyle name="Normal 12 4 4 4" xfId="2654" xr:uid="{B3939105-532A-4C1B-8DE2-4BF6C64EB374}"/>
    <cellStyle name="Normal 12 4 4 4 2" xfId="11034" xr:uid="{6B0840E1-A650-477E-B9A3-2EE3221C7F31}"/>
    <cellStyle name="Normal 12 4 4 4 2 2" xfId="27794" xr:uid="{AD3BC3A1-CA41-4785-81DC-A3B806CB5CB5}"/>
    <cellStyle name="Normal 12 4 4 4 2 3" xfId="44553" xr:uid="{D6C20AF1-3981-4D51-AD3A-51CE5DF69597}"/>
    <cellStyle name="Normal 12 4 4 4 3" xfId="19414" xr:uid="{C3FB650A-D9CD-44CB-8B31-02685B507029}"/>
    <cellStyle name="Normal 12 4 4 4 4" xfId="36173" xr:uid="{B4DBE966-BDDA-4FD2-A7F3-EE6BC2BA662B}"/>
    <cellStyle name="Normal 12 4 4 5" xfId="9231" xr:uid="{7AE200D7-9FBC-407A-9794-17CCA7B0DBCF}"/>
    <cellStyle name="Normal 12 4 4 5 2" xfId="25991" xr:uid="{AC4BE5F8-8885-4AD0-B99B-8F17D2BDAF66}"/>
    <cellStyle name="Normal 12 4 4 5 3" xfId="42750" xr:uid="{65417D5E-7EA3-403E-80B9-8751D8B8B00D}"/>
    <cellStyle name="Normal 12 4 4 6" xfId="17611" xr:uid="{303C3983-0DBF-4489-8A64-6B1C2D74E193}"/>
    <cellStyle name="Normal 12 4 4 7" xfId="34370" xr:uid="{55B74D5A-B88D-4F50-AE61-DB9D49A54FA7}"/>
    <cellStyle name="Normal 12 4 5" xfId="1270" xr:uid="{85C30F62-1CC1-4557-B973-619287C91BAA}"/>
    <cellStyle name="Normal 12 4 5 2" xfId="4659" xr:uid="{FFAB5B11-6D71-454F-9085-C800E1AC65E7}"/>
    <cellStyle name="Normal 12 4 5 2 2" xfId="13039" xr:uid="{C6F3485F-B589-42B2-BD47-998EA1098C9B}"/>
    <cellStyle name="Normal 12 4 5 2 2 2" xfId="29799" xr:uid="{F2BBDA6A-36EA-4877-9A2B-24C361D36D80}"/>
    <cellStyle name="Normal 12 4 5 2 2 3" xfId="46558" xr:uid="{5F264FC4-1793-462A-9497-776820F87512}"/>
    <cellStyle name="Normal 12 4 5 2 3" xfId="21419" xr:uid="{A17F23B7-2EED-4ACB-8294-77E8C694E711}"/>
    <cellStyle name="Normal 12 4 5 2 4" xfId="38178" xr:uid="{099F1ABD-A691-4555-8F36-6210BB4EAD2D}"/>
    <cellStyle name="Normal 12 4 5 3" xfId="6346" xr:uid="{40F896C8-CFD7-477C-8BA5-A61121ED4373}"/>
    <cellStyle name="Normal 12 4 5 3 2" xfId="14726" xr:uid="{91BACC60-4A83-4362-8A32-E597C91BB0A8}"/>
    <cellStyle name="Normal 12 4 5 3 2 2" xfId="31486" xr:uid="{00771CAF-2990-44C5-B12A-195C98C5251C}"/>
    <cellStyle name="Normal 12 4 5 3 2 3" xfId="48245" xr:uid="{ECC0290E-DCDE-4D51-9487-EEC5B3509F55}"/>
    <cellStyle name="Normal 12 4 5 3 3" xfId="23106" xr:uid="{8D098FFE-B183-4733-B23B-7B5FC94A9B0D}"/>
    <cellStyle name="Normal 12 4 5 3 4" xfId="39865" xr:uid="{FC8ADEC6-BAD8-458E-B586-68461E334033}"/>
    <cellStyle name="Normal 12 4 5 4" xfId="3082" xr:uid="{60B13110-5BF3-4648-88D5-FED09F2BE52D}"/>
    <cellStyle name="Normal 12 4 5 4 2" xfId="11462" xr:uid="{815E6220-DFA7-44C2-8B5F-2954E9B198B9}"/>
    <cellStyle name="Normal 12 4 5 4 2 2" xfId="28222" xr:uid="{29219C74-8CCB-411D-BC4A-25A37354DB97}"/>
    <cellStyle name="Normal 12 4 5 4 2 3" xfId="44981" xr:uid="{5E8AE341-F053-4A77-BEFB-67C0F2988935}"/>
    <cellStyle name="Normal 12 4 5 4 3" xfId="19842" xr:uid="{6B46EDEF-DA09-40F4-A5A5-1F10DCA51027}"/>
    <cellStyle name="Normal 12 4 5 4 4" xfId="36601" xr:uid="{FE1ADC43-FF3D-4345-8F6A-58B07C892847}"/>
    <cellStyle name="Normal 12 4 5 5" xfId="9659" xr:uid="{4887A6B9-3C27-4386-B596-14B520479A30}"/>
    <cellStyle name="Normal 12 4 5 5 2" xfId="26419" xr:uid="{CE89BE7D-C0A6-48A8-BF82-F12987430175}"/>
    <cellStyle name="Normal 12 4 5 5 3" xfId="43178" xr:uid="{E70A77B9-8DC2-48EF-AED2-9015684D07EB}"/>
    <cellStyle name="Normal 12 4 5 6" xfId="18039" xr:uid="{4D4247F7-5D5B-44AE-B094-6CD465BDB5CC}"/>
    <cellStyle name="Normal 12 4 5 7" xfId="34798" xr:uid="{AB91917F-9DF0-4A63-BD86-C65D4A0C39A6}"/>
    <cellStyle name="Normal 12 4 6" xfId="1666" xr:uid="{377412E6-9DFB-4D5F-BC66-C1557A42CDF6}"/>
    <cellStyle name="Normal 12 4 6 2" xfId="5055" xr:uid="{521C7944-F714-426F-B085-E8AAC3A45DC9}"/>
    <cellStyle name="Normal 12 4 6 2 2" xfId="13435" xr:uid="{3C9F957D-C41B-4E19-9B16-01F2D0C77DB1}"/>
    <cellStyle name="Normal 12 4 6 2 2 2" xfId="30195" xr:uid="{FD05AC0D-B27B-43FE-8E2B-8A435CEFB79A}"/>
    <cellStyle name="Normal 12 4 6 2 2 3" xfId="46954" xr:uid="{0B1577FC-2137-4BA0-B3B1-5FA9D4333005}"/>
    <cellStyle name="Normal 12 4 6 2 3" xfId="21815" xr:uid="{55749A31-A8F4-4FBA-911A-BE54C32F6A65}"/>
    <cellStyle name="Normal 12 4 6 2 4" xfId="38574" xr:uid="{704CD1AD-9D30-4649-A211-817E6C2A054F}"/>
    <cellStyle name="Normal 12 4 6 3" xfId="6742" xr:uid="{16E2CEC3-EDC8-42A5-A66A-9776831E43DF}"/>
    <cellStyle name="Normal 12 4 6 3 2" xfId="15122" xr:uid="{55C17D1C-8528-47B4-BE45-68628C0DEA4E}"/>
    <cellStyle name="Normal 12 4 6 3 2 2" xfId="31882" xr:uid="{D914A35A-9F4B-455A-A3AE-7E45908C617C}"/>
    <cellStyle name="Normal 12 4 6 3 2 3" xfId="48641" xr:uid="{FC070E29-5F4A-4C1E-8738-99C05583F503}"/>
    <cellStyle name="Normal 12 4 6 3 3" xfId="23502" xr:uid="{781D7E4B-1D4E-4964-A08A-5A25C8D6CB6F}"/>
    <cellStyle name="Normal 12 4 6 3 4" xfId="40261" xr:uid="{3C8EC9E8-8742-44F9-A44D-784177B7E80D}"/>
    <cellStyle name="Normal 12 4 6 4" xfId="2224" xr:uid="{67B63BD7-0756-4480-B156-44D300167D94}"/>
    <cellStyle name="Normal 12 4 6 4 2" xfId="10608" xr:uid="{ACA2E469-7FE6-41BF-B0E2-A0CD8D6C5403}"/>
    <cellStyle name="Normal 12 4 6 4 2 2" xfId="27368" xr:uid="{E74F7EF6-B15A-472D-AE0B-527B15A55616}"/>
    <cellStyle name="Normal 12 4 6 4 2 3" xfId="44127" xr:uid="{3BCFA70C-176C-4BAD-A9FE-AF013A32C76E}"/>
    <cellStyle name="Normal 12 4 6 4 3" xfId="18988" xr:uid="{61E59453-5E46-4687-A543-D601CD6DC515}"/>
    <cellStyle name="Normal 12 4 6 4 4" xfId="35747" xr:uid="{B01229B0-56C0-4C43-9C74-E4199DFC60DE}"/>
    <cellStyle name="Normal 12 4 6 5" xfId="10055" xr:uid="{E5543B4B-79E1-4D05-964B-F48FD2D9569B}"/>
    <cellStyle name="Normal 12 4 6 5 2" xfId="26815" xr:uid="{32F451CF-1D20-4B21-8AB1-728CA30A421C}"/>
    <cellStyle name="Normal 12 4 6 5 3" xfId="43574" xr:uid="{40A06872-0640-447E-AA6F-C1C55ABAB7B9}"/>
    <cellStyle name="Normal 12 4 6 6" xfId="18435" xr:uid="{C237DFA8-DECA-484C-BC30-F1AA863EDA3F}"/>
    <cellStyle name="Normal 12 4 6 7" xfId="35194" xr:uid="{24E6EB9D-303D-45D5-A077-38AEC9748A04}"/>
    <cellStyle name="Normal 12 4 7" xfId="3784" xr:uid="{E5918901-ED4E-4BAC-859C-EEDE542DFE6F}"/>
    <cellStyle name="Normal 12 4 7 2" xfId="12164" xr:uid="{D8CCC0D1-036D-4864-8A64-1A154F321471}"/>
    <cellStyle name="Normal 12 4 7 2 2" xfId="28924" xr:uid="{FF7BED1C-7A78-427A-80AA-5BCC491A21BA}"/>
    <cellStyle name="Normal 12 4 7 2 3" xfId="45683" xr:uid="{4345920F-086E-4949-A9E0-88F6B032A32C}"/>
    <cellStyle name="Normal 12 4 7 3" xfId="20544" xr:uid="{39F2AEA0-D95A-4603-B00B-0208377ECDF9}"/>
    <cellStyle name="Normal 12 4 7 4" xfId="37303" xr:uid="{87C55E9D-95D6-4932-AA36-E5D1744D8D13}"/>
    <cellStyle name="Normal 12 4 8" xfId="5492" xr:uid="{F8D2892F-4AA7-4B9B-84C7-9736CC50E7B2}"/>
    <cellStyle name="Normal 12 4 8 2" xfId="13872" xr:uid="{6557E1DA-1D3A-4B2F-90B1-D701262469D2}"/>
    <cellStyle name="Normal 12 4 8 2 2" xfId="30632" xr:uid="{3E78C804-9812-4296-BF7B-7FEE385AD9EC}"/>
    <cellStyle name="Normal 12 4 8 2 3" xfId="47391" xr:uid="{E7D88F0A-D585-4FB6-9590-6F6F6FA66236}"/>
    <cellStyle name="Normal 12 4 8 3" xfId="22252" xr:uid="{5AB415C0-4AB6-4E6F-9017-5B9CCAAFBDA9}"/>
    <cellStyle name="Normal 12 4 8 4" xfId="39011" xr:uid="{D1C73AF8-31CD-4FA7-9890-DDC7D41F29D4}"/>
    <cellStyle name="Normal 12 4 9" xfId="7148" xr:uid="{5AB77B0E-4DB8-4BE5-8B97-6A27722C972F}"/>
    <cellStyle name="Normal 12 4 9 2" xfId="15528" xr:uid="{40F9A6DE-2937-4979-8651-EE4B19188E37}"/>
    <cellStyle name="Normal 12 4 9 2 2" xfId="32288" xr:uid="{41F21861-3E41-407B-B13A-57B8E768FF36}"/>
    <cellStyle name="Normal 12 4 9 2 3" xfId="49047" xr:uid="{EB8FC81E-1509-42F9-9548-6238910822CA}"/>
    <cellStyle name="Normal 12 4 9 3" xfId="23908" xr:uid="{68925E07-04BC-4FFF-A433-810FEF8704ED}"/>
    <cellStyle name="Normal 12 4 9 4" xfId="40667" xr:uid="{D0F2A3A6-510F-405D-901E-320B77F9A97D}"/>
    <cellStyle name="Normal 12 5" xfId="530" xr:uid="{417BC46E-43DD-4205-A003-0E9B03A93250}"/>
    <cellStyle name="Normal 12 5 10" xfId="7623" xr:uid="{D58651C1-77A7-4455-969D-E236A098CB05}"/>
    <cellStyle name="Normal 12 5 10 2" xfId="16003" xr:uid="{76A2376D-7214-47B1-A055-26E4EAD8A404}"/>
    <cellStyle name="Normal 12 5 10 2 2" xfId="32763" xr:uid="{320C84A8-453F-43BC-9805-727013C05FC6}"/>
    <cellStyle name="Normal 12 5 10 2 3" xfId="49522" xr:uid="{9AB756D4-389B-40E2-91A6-3FB9BCF0661C}"/>
    <cellStyle name="Normal 12 5 10 3" xfId="24383" xr:uid="{0F125AB7-221B-4EE3-B2CD-687A3307EBAC}"/>
    <cellStyle name="Normal 12 5 10 4" xfId="41142" xr:uid="{377384FD-9554-4BD8-920E-F23920EC31E0}"/>
    <cellStyle name="Normal 12 5 11" xfId="8029" xr:uid="{9C2A5BA3-CF70-4741-B5AB-4989344B43E2}"/>
    <cellStyle name="Normal 12 5 11 2" xfId="16409" xr:uid="{BAC6E8C9-FCD0-407A-8E64-8E4DD587217F}"/>
    <cellStyle name="Normal 12 5 11 2 2" xfId="33169" xr:uid="{1D00A7F5-5023-4FE3-BDB0-23B947BB1394}"/>
    <cellStyle name="Normal 12 5 11 2 3" xfId="49928" xr:uid="{6B81B1BF-9E65-4946-A28D-DC994C0BADD1}"/>
    <cellStyle name="Normal 12 5 11 3" xfId="24789" xr:uid="{C9129A29-6E71-45BE-B635-7FCAFD8493AA}"/>
    <cellStyle name="Normal 12 5 11 4" xfId="41548" xr:uid="{4CA76C63-91E4-4E5A-917D-2424268FFA2F}"/>
    <cellStyle name="Normal 12 5 12" xfId="8435" xr:uid="{3A0978BA-7A38-463C-BA69-A13C31F8DB4D}"/>
    <cellStyle name="Normal 12 5 12 2" xfId="16815" xr:uid="{DDEB6483-27B6-4E4E-B4DB-79DF48ECC632}"/>
    <cellStyle name="Normal 12 5 12 2 2" xfId="33575" xr:uid="{EA8CF77A-B160-49DE-9756-CE8803F309BE}"/>
    <cellStyle name="Normal 12 5 12 2 3" xfId="50334" xr:uid="{971914FB-AD5B-46EB-AB94-1F4B7389431C}"/>
    <cellStyle name="Normal 12 5 12 3" xfId="25195" xr:uid="{D5034AFC-8831-447A-9E18-0915D1AE96CA}"/>
    <cellStyle name="Normal 12 5 12 4" xfId="41954" xr:uid="{92AC8592-CD74-4ADE-99BE-53DA7D661773}"/>
    <cellStyle name="Normal 12 5 13" xfId="2122" xr:uid="{30A4E46F-EF78-47D1-8125-5757716C3321}"/>
    <cellStyle name="Normal 12 5 13 2" xfId="10510" xr:uid="{755043DD-C7CB-4E66-93EA-4DEF7D3D5B7E}"/>
    <cellStyle name="Normal 12 5 13 2 2" xfId="27270" xr:uid="{0BC8A459-9C3C-4641-834E-AB4C624D5EDE}"/>
    <cellStyle name="Normal 12 5 13 2 3" xfId="44029" xr:uid="{DB32187E-CD94-4972-BE3A-90946ED130B3}"/>
    <cellStyle name="Normal 12 5 13 3" xfId="18890" xr:uid="{7420B39C-6F23-4DA3-8655-B413F0B4480C}"/>
    <cellStyle name="Normal 12 5 13 4" xfId="35649" xr:uid="{D575BA5F-556A-4605-A7F1-01401EA643B7}"/>
    <cellStyle name="Normal 12 5 14" xfId="8941" xr:uid="{B009E919-9554-4331-9AF1-033B6288AE69}"/>
    <cellStyle name="Normal 12 5 14 2" xfId="25701" xr:uid="{429E6F35-F040-40AE-905E-9E8FA1FC8BFB}"/>
    <cellStyle name="Normal 12 5 14 3" xfId="42460" xr:uid="{F0607BE4-8C42-41F0-9029-B15F657EAF13}"/>
    <cellStyle name="Normal 12 5 15" xfId="17321" xr:uid="{9EFCBBFC-2A5E-4092-8CD0-BE87E960205A}"/>
    <cellStyle name="Normal 12 5 16" xfId="34080" xr:uid="{0237E760-ADC1-4340-ACB8-190EF9669963}"/>
    <cellStyle name="Normal 12 5 2" xfId="531" xr:uid="{61264EFC-9CFF-4A0D-8868-13174DD78318}"/>
    <cellStyle name="Normal 12 5 2 10" xfId="8496" xr:uid="{668DA3D4-3EC6-4426-8DD9-F1AF036EA014}"/>
    <cellStyle name="Normal 12 5 2 10 2" xfId="16876" xr:uid="{32A4873F-9356-48C0-8F7D-69733B236C62}"/>
    <cellStyle name="Normal 12 5 2 10 2 2" xfId="33636" xr:uid="{703DF27D-93FE-4096-B1F2-0DA0D864C4D9}"/>
    <cellStyle name="Normal 12 5 2 10 2 3" xfId="50395" xr:uid="{06D99116-57C8-4C20-98C6-176A5939AD7A}"/>
    <cellStyle name="Normal 12 5 2 10 3" xfId="25256" xr:uid="{1097495D-4E12-411C-BBE1-FBBDA0A12A3C}"/>
    <cellStyle name="Normal 12 5 2 10 4" xfId="42015" xr:uid="{EA08F33C-92CD-456B-9223-2CE2F8CFF97F}"/>
    <cellStyle name="Normal 12 5 2 11" xfId="2363" xr:uid="{4DDBC2F4-3DEB-4559-808D-4DED0351CBA8}"/>
    <cellStyle name="Normal 12 5 2 11 2" xfId="10745" xr:uid="{E886A1F4-99AA-4F7D-BD24-EE2F8127C384}"/>
    <cellStyle name="Normal 12 5 2 11 2 2" xfId="27505" xr:uid="{E626C28A-C07D-4EBD-A017-DDEC82D3978E}"/>
    <cellStyle name="Normal 12 5 2 11 2 3" xfId="44264" xr:uid="{DCC228E9-2008-4A6E-BAB6-1BDAEF3D198A}"/>
    <cellStyle name="Normal 12 5 2 11 3" xfId="19125" xr:uid="{BBBE9961-4B41-4564-AC28-50B1C8F03A03}"/>
    <cellStyle name="Normal 12 5 2 11 4" xfId="35884" xr:uid="{4E6E6717-1967-48C6-899D-494C9D413C80}"/>
    <cellStyle name="Normal 12 5 2 12" xfId="8942" xr:uid="{35BC1A5D-BEC5-49DF-B25B-7651730F0A95}"/>
    <cellStyle name="Normal 12 5 2 12 2" xfId="25702" xr:uid="{0D9DF7FC-811F-4D40-8513-D03A534CE1AA}"/>
    <cellStyle name="Normal 12 5 2 12 3" xfId="42461" xr:uid="{1F022B44-4DDB-4A66-82AB-3FF5B0DF438F}"/>
    <cellStyle name="Normal 12 5 2 13" xfId="17322" xr:uid="{984B3772-D6DA-4393-9404-6BDAE4AA8CEC}"/>
    <cellStyle name="Normal 12 5 2 14" xfId="34081" xr:uid="{EA2873BA-5B4F-4108-BCBB-6F602C812C32}"/>
    <cellStyle name="Normal 12 5 2 2" xfId="973" xr:uid="{6DC34AEC-E77C-4AD7-8777-AC8612941CE1}"/>
    <cellStyle name="Normal 12 5 2 2 2" xfId="4368" xr:uid="{6E9DC82D-F2B1-4AB8-8A7A-9FFA5A25A104}"/>
    <cellStyle name="Normal 12 5 2 2 2 2" xfId="12748" xr:uid="{BE3444B7-7C23-4B78-9F94-829E7A60076A}"/>
    <cellStyle name="Normal 12 5 2 2 2 2 2" xfId="29508" xr:uid="{DB489551-D786-4028-9863-E4B374341EF1}"/>
    <cellStyle name="Normal 12 5 2 2 2 2 3" xfId="46267" xr:uid="{E857AD0D-07A8-40F7-8DDF-BAE554CFC0D8}"/>
    <cellStyle name="Normal 12 5 2 2 2 3" xfId="21128" xr:uid="{04637D7D-D781-49B1-A395-605D7788AF6B}"/>
    <cellStyle name="Normal 12 5 2 2 2 4" xfId="37887" xr:uid="{1E058F90-D164-4BCA-8D77-FE164D1FA75A}"/>
    <cellStyle name="Normal 12 5 2 2 3" xfId="6055" xr:uid="{03F6988C-0951-4EB5-8C77-C0D5B1543D25}"/>
    <cellStyle name="Normal 12 5 2 2 3 2" xfId="14435" xr:uid="{05A1D7EF-9918-4270-95B8-E3CBD694AA05}"/>
    <cellStyle name="Normal 12 5 2 2 3 2 2" xfId="31195" xr:uid="{AE18E41F-D78A-44B2-8436-DF6F576585F3}"/>
    <cellStyle name="Normal 12 5 2 2 3 2 3" xfId="47954" xr:uid="{642A3F82-F478-40B6-A9E2-8D292A285699}"/>
    <cellStyle name="Normal 12 5 2 2 3 3" xfId="22815" xr:uid="{501C2294-E533-4738-BE65-C9DAEAB6440B}"/>
    <cellStyle name="Normal 12 5 2 2 3 4" xfId="39574" xr:uid="{33C925C7-C5B4-4B9C-A0D3-AE73D9D62056}"/>
    <cellStyle name="Normal 12 5 2 2 4" xfId="2791" xr:uid="{3D0E0627-AEC8-4DE5-8A2F-A4FB3BBCCB8E}"/>
    <cellStyle name="Normal 12 5 2 2 4 2" xfId="11171" xr:uid="{B3AEA473-EEC9-4A99-87F6-0BC9D7D618E6}"/>
    <cellStyle name="Normal 12 5 2 2 4 2 2" xfId="27931" xr:uid="{330B7D0E-6005-4A8A-8E1E-3547704A6205}"/>
    <cellStyle name="Normal 12 5 2 2 4 2 3" xfId="44690" xr:uid="{66670219-7EFF-4F78-BF4F-9CCE26A6FB0D}"/>
    <cellStyle name="Normal 12 5 2 2 4 3" xfId="19551" xr:uid="{7D3AA9E9-9A63-4970-9C20-D29FA37FCAF5}"/>
    <cellStyle name="Normal 12 5 2 2 4 4" xfId="36310" xr:uid="{A77B2C7E-C4EF-4372-A951-28CE63FAE1E1}"/>
    <cellStyle name="Normal 12 5 2 2 5" xfId="9368" xr:uid="{C5EDD783-BE78-435F-9E12-F11C0E132F15}"/>
    <cellStyle name="Normal 12 5 2 2 5 2" xfId="26128" xr:uid="{6A09E9B7-E7BB-4CFE-A79A-4264D8F95041}"/>
    <cellStyle name="Normal 12 5 2 2 5 3" xfId="42887" xr:uid="{C5FE4C55-895B-454B-B2FB-E29B566DBC2A}"/>
    <cellStyle name="Normal 12 5 2 2 6" xfId="17748" xr:uid="{68801433-6D38-4783-92EA-C8A08A64DB97}"/>
    <cellStyle name="Normal 12 5 2 2 7" xfId="34507" xr:uid="{D273904E-D8E8-43BB-A205-CB9FF55A602B}"/>
    <cellStyle name="Normal 12 5 2 3" xfId="1407" xr:uid="{340ED236-26CC-42BB-A939-8BA1E9CF730F}"/>
    <cellStyle name="Normal 12 5 2 3 2" xfId="4796" xr:uid="{BF0E77CC-4481-4E2C-B6D0-8520D83B7A1E}"/>
    <cellStyle name="Normal 12 5 2 3 2 2" xfId="13176" xr:uid="{7AB0AF91-1BD6-489A-8383-47D9B9375FB2}"/>
    <cellStyle name="Normal 12 5 2 3 2 2 2" xfId="29936" xr:uid="{642A021F-8A73-473E-B2A5-F889025ECE1C}"/>
    <cellStyle name="Normal 12 5 2 3 2 2 3" xfId="46695" xr:uid="{0FEABB5E-A2F2-4013-ABA3-F67B4107966B}"/>
    <cellStyle name="Normal 12 5 2 3 2 3" xfId="21556" xr:uid="{000CE4CF-88C0-4436-ADED-AD98750078A2}"/>
    <cellStyle name="Normal 12 5 2 3 2 4" xfId="38315" xr:uid="{26B5CFC9-3FA6-436B-AC97-47A9738BBA04}"/>
    <cellStyle name="Normal 12 5 2 3 3" xfId="6483" xr:uid="{076E02BD-CC06-4148-A0F0-138C4B6FAE0F}"/>
    <cellStyle name="Normal 12 5 2 3 3 2" xfId="14863" xr:uid="{74114E71-0FC7-4B59-BF2D-7E3168BD2F02}"/>
    <cellStyle name="Normal 12 5 2 3 3 2 2" xfId="31623" xr:uid="{206AABC8-E5F9-46D1-ADB6-99E0121B3DA5}"/>
    <cellStyle name="Normal 12 5 2 3 3 2 3" xfId="48382" xr:uid="{D3E6F1ED-3EBE-43A5-95EA-9C02007651F9}"/>
    <cellStyle name="Normal 12 5 2 3 3 3" xfId="23243" xr:uid="{D126B0EF-2776-40ED-817F-C982B81EBA77}"/>
    <cellStyle name="Normal 12 5 2 3 3 4" xfId="40002" xr:uid="{DAB8463F-F8DC-44BC-B5F2-C70F0BC20ECB}"/>
    <cellStyle name="Normal 12 5 2 3 4" xfId="3219" xr:uid="{CB357F37-5944-49EB-B5E3-2C1C5E85B763}"/>
    <cellStyle name="Normal 12 5 2 3 4 2" xfId="11599" xr:uid="{E5942F8E-58F4-4D53-8664-9AAAB3A632BD}"/>
    <cellStyle name="Normal 12 5 2 3 4 2 2" xfId="28359" xr:uid="{CDB62883-FD01-4F8A-96FD-F7956A478B13}"/>
    <cellStyle name="Normal 12 5 2 3 4 2 3" xfId="45118" xr:uid="{AED9292C-E41F-4799-8CD4-5524527BBC9C}"/>
    <cellStyle name="Normal 12 5 2 3 4 3" xfId="19979" xr:uid="{BBBCD59F-8C30-436E-9CAD-28288E7CC3C7}"/>
    <cellStyle name="Normal 12 5 2 3 4 4" xfId="36738" xr:uid="{F24EB89F-F8AC-4B56-8475-42DD456ACD1E}"/>
    <cellStyle name="Normal 12 5 2 3 5" xfId="9796" xr:uid="{41DFB464-49CB-41AA-AB3D-FCCC8E2CF350}"/>
    <cellStyle name="Normal 12 5 2 3 5 2" xfId="26556" xr:uid="{6947FC3B-E93D-410E-B707-58A2DC5CE566}"/>
    <cellStyle name="Normal 12 5 2 3 5 3" xfId="43315" xr:uid="{F236DACF-4FD8-4549-A309-1CDAE962700D}"/>
    <cellStyle name="Normal 12 5 2 3 6" xfId="18176" xr:uid="{23037D2B-9134-43B5-AFAB-A08182CF6FF3}"/>
    <cellStyle name="Normal 12 5 2 3 7" xfId="34935" xr:uid="{5DF711A7-D31F-4A35-9BD6-828CDB0E4D13}"/>
    <cellStyle name="Normal 12 5 2 4" xfId="1796" xr:uid="{43893AC3-BF1B-49F5-B00D-6F30904D5469}"/>
    <cellStyle name="Normal 12 5 2 4 2" xfId="5185" xr:uid="{6BDF2687-C9F1-46DA-9644-AB7973D2C063}"/>
    <cellStyle name="Normal 12 5 2 4 2 2" xfId="13565" xr:uid="{41BCA620-EA75-45BA-A1A8-0CCD49BD5191}"/>
    <cellStyle name="Normal 12 5 2 4 2 2 2" xfId="30325" xr:uid="{56DEF25B-B5C9-4FDC-800D-0AE405B86A8F}"/>
    <cellStyle name="Normal 12 5 2 4 2 2 3" xfId="47084" xr:uid="{68B65E4A-8F42-4311-B420-65409293B255}"/>
    <cellStyle name="Normal 12 5 2 4 2 3" xfId="21945" xr:uid="{FF87BFDE-69AD-4E59-BA0C-5A6510DB3345}"/>
    <cellStyle name="Normal 12 5 2 4 2 4" xfId="38704" xr:uid="{7BAC5312-1216-43DC-A369-BEA871AC4724}"/>
    <cellStyle name="Normal 12 5 2 4 3" xfId="6872" xr:uid="{AF872BFE-5467-4BBF-B2BD-551F14FB9F15}"/>
    <cellStyle name="Normal 12 5 2 4 3 2" xfId="15252" xr:uid="{E4C7C38A-9296-4E20-B827-0DEA75DC834F}"/>
    <cellStyle name="Normal 12 5 2 4 3 2 2" xfId="32012" xr:uid="{51E00C82-B268-4E52-A8EF-C98EE6EC5449}"/>
    <cellStyle name="Normal 12 5 2 4 3 2 3" xfId="48771" xr:uid="{0980DF5F-18B9-4823-8FEE-901069F00B99}"/>
    <cellStyle name="Normal 12 5 2 4 3 3" xfId="23632" xr:uid="{CF596B06-E8BE-4DE0-ACC2-96BEF1C4F364}"/>
    <cellStyle name="Normal 12 5 2 4 3 4" xfId="40391" xr:uid="{4CED6C2A-BF05-4D77-94E3-2A42DF21FC33}"/>
    <cellStyle name="Normal 12 5 2 4 4" xfId="3496" xr:uid="{BC748279-8DAF-497D-AE2E-BCCDA7EC5B52}"/>
    <cellStyle name="Normal 12 5 2 4 4 2" xfId="11876" xr:uid="{B6BAC2E9-1E15-45DA-9D3E-87AA5D670EBB}"/>
    <cellStyle name="Normal 12 5 2 4 4 2 2" xfId="28636" xr:uid="{A1312562-17FF-4DB0-9AFF-15026E31E48E}"/>
    <cellStyle name="Normal 12 5 2 4 4 2 3" xfId="45395" xr:uid="{D9EF1847-0E44-4A28-A2CE-95A9D8AC70DA}"/>
    <cellStyle name="Normal 12 5 2 4 4 3" xfId="20256" xr:uid="{2DEE7EE8-0CFF-4DCC-BF69-2B4C985B43A4}"/>
    <cellStyle name="Normal 12 5 2 4 4 4" xfId="37015" xr:uid="{84D40788-5B34-460E-9FA3-320DA8D70BAD}"/>
    <cellStyle name="Normal 12 5 2 4 5" xfId="10185" xr:uid="{9933DC5D-7504-465F-964C-44746C68AB3C}"/>
    <cellStyle name="Normal 12 5 2 4 5 2" xfId="26945" xr:uid="{8FE768EA-F0FD-4D69-BDCE-FEB4CA30F45F}"/>
    <cellStyle name="Normal 12 5 2 4 5 3" xfId="43704" xr:uid="{EB4D3285-7C55-4068-8999-2D3AF0DBD62D}"/>
    <cellStyle name="Normal 12 5 2 4 6" xfId="18565" xr:uid="{74EB6691-3EDA-4250-B753-3D4EA6537898}"/>
    <cellStyle name="Normal 12 5 2 4 7" xfId="35324" xr:uid="{A2758ECA-7870-4129-B6CA-F55B2811C267}"/>
    <cellStyle name="Normal 12 5 2 5" xfId="3915" xr:uid="{FE986F96-75B6-4836-AE89-126C3B683BA3}"/>
    <cellStyle name="Normal 12 5 2 5 2" xfId="12295" xr:uid="{CD7B527E-C8FE-4131-9582-AF597A92D47D}"/>
    <cellStyle name="Normal 12 5 2 5 2 2" xfId="29055" xr:uid="{CF4A0828-B874-4C7C-8712-D7C617DF0F2C}"/>
    <cellStyle name="Normal 12 5 2 5 2 3" xfId="45814" xr:uid="{04F3311E-D617-48D5-B9EF-B5531997ED45}"/>
    <cellStyle name="Normal 12 5 2 5 3" xfId="20675" xr:uid="{AE2F90B4-B4B3-4C31-897F-846EBA7421EE}"/>
    <cellStyle name="Normal 12 5 2 5 4" xfId="37434" xr:uid="{349465D0-ED43-46BA-BCB4-173EE7B031AF}"/>
    <cellStyle name="Normal 12 5 2 6" xfId="5629" xr:uid="{D3696445-7C23-4710-8DA5-C7345498CE40}"/>
    <cellStyle name="Normal 12 5 2 6 2" xfId="14009" xr:uid="{5D4B5495-C5CF-4CAA-BD94-F4D8CFCEDF4C}"/>
    <cellStyle name="Normal 12 5 2 6 2 2" xfId="30769" xr:uid="{6AAB40AC-B049-4D7F-9685-0D31D531B2E5}"/>
    <cellStyle name="Normal 12 5 2 6 2 3" xfId="47528" xr:uid="{78A2355A-2B81-4565-B8B4-C72BD9B0609A}"/>
    <cellStyle name="Normal 12 5 2 6 3" xfId="22389" xr:uid="{E651DABC-DD87-435F-BB90-386D14FEDBD6}"/>
    <cellStyle name="Normal 12 5 2 6 4" xfId="39148" xr:uid="{8A2081C5-870A-4F8C-B551-692DB4002424}"/>
    <cellStyle name="Normal 12 5 2 7" xfId="7278" xr:uid="{79DDFFDE-C354-48D2-98EC-C098D498471C}"/>
    <cellStyle name="Normal 12 5 2 7 2" xfId="15658" xr:uid="{D582F85F-A007-4735-9454-E3BE1928EB30}"/>
    <cellStyle name="Normal 12 5 2 7 2 2" xfId="32418" xr:uid="{F2AE568F-9EFB-40F9-8EA8-27F45EB746B3}"/>
    <cellStyle name="Normal 12 5 2 7 2 3" xfId="49177" xr:uid="{15A27963-428C-4006-8422-9FD063DEBE44}"/>
    <cellStyle name="Normal 12 5 2 7 3" xfId="24038" xr:uid="{20AB7B82-F95B-4F54-BEA8-B524DD48FE97}"/>
    <cellStyle name="Normal 12 5 2 7 4" xfId="40797" xr:uid="{B388FBAD-4B1E-4B65-8A63-5566A100F4EC}"/>
    <cellStyle name="Normal 12 5 2 8" xfId="7684" xr:uid="{8B821FC9-A692-44ED-B56C-B7DDF4F2EE41}"/>
    <cellStyle name="Normal 12 5 2 8 2" xfId="16064" xr:uid="{8843CC1B-DD3D-417E-928A-857EC73839DE}"/>
    <cellStyle name="Normal 12 5 2 8 2 2" xfId="32824" xr:uid="{67A23462-6C3A-4E08-A9D8-E11C2F37B3DF}"/>
    <cellStyle name="Normal 12 5 2 8 2 3" xfId="49583" xr:uid="{203E3B91-4661-4478-9C01-7E82B8300914}"/>
    <cellStyle name="Normal 12 5 2 8 3" xfId="24444" xr:uid="{1AD796DB-C2F5-4BFC-BC10-E1CEE463B57D}"/>
    <cellStyle name="Normal 12 5 2 8 4" xfId="41203" xr:uid="{60DB06AF-A69D-476F-ABA4-39364CF17C22}"/>
    <cellStyle name="Normal 12 5 2 9" xfId="8090" xr:uid="{FB58B84A-2B20-41EC-B743-EA3DC5CF9EFD}"/>
    <cellStyle name="Normal 12 5 2 9 2" xfId="16470" xr:uid="{FF51ED20-E75C-4A6D-8792-A1874114AFD6}"/>
    <cellStyle name="Normal 12 5 2 9 2 2" xfId="33230" xr:uid="{AE69DAD1-B8AB-4231-AEA3-85CB984359A6}"/>
    <cellStyle name="Normal 12 5 2 9 2 3" xfId="49989" xr:uid="{184E0B06-C43A-4ECE-8399-7D0DBD195955}"/>
    <cellStyle name="Normal 12 5 2 9 3" xfId="24850" xr:uid="{C69A34D9-A51C-4F4F-9A3A-AD6E57D3DC0F}"/>
    <cellStyle name="Normal 12 5 2 9 4" xfId="41609" xr:uid="{1EDC0CA9-9E38-4CEF-8929-2456CB026A3C}"/>
    <cellStyle name="Normal 12 5 3" xfId="532" xr:uid="{A09D1B26-463E-4C00-A55C-1B99CFD0709D}"/>
    <cellStyle name="Normal 12 5 3 10" xfId="8706" xr:uid="{AF24AA1A-7781-4119-AD06-B237303D9B08}"/>
    <cellStyle name="Normal 12 5 3 10 2" xfId="17086" xr:uid="{24920E79-9EEE-46D9-81B5-64A7F7B79F0B}"/>
    <cellStyle name="Normal 12 5 3 10 2 2" xfId="33846" xr:uid="{5C241112-2B13-4D14-8C37-BB911317CFFA}"/>
    <cellStyle name="Normal 12 5 3 10 2 3" xfId="50605" xr:uid="{063C5F00-E65C-43AD-8A31-89FEDBABA3D3}"/>
    <cellStyle name="Normal 12 5 3 10 3" xfId="25466" xr:uid="{04A6A439-5B48-4835-8D45-7BE961F1AC66}"/>
    <cellStyle name="Normal 12 5 3 10 4" xfId="42225" xr:uid="{2084B8E1-CB26-4D69-A44B-ED90EE5D46FF}"/>
    <cellStyle name="Normal 12 5 3 11" xfId="2364" xr:uid="{2801A32F-AA72-4304-A5A3-4FE4E5BFDD16}"/>
    <cellStyle name="Normal 12 5 3 11 2" xfId="10746" xr:uid="{67585077-B877-408A-99AD-1A1830B47D90}"/>
    <cellStyle name="Normal 12 5 3 11 2 2" xfId="27506" xr:uid="{F6D39957-3AA0-42C5-B310-5969D6AB8324}"/>
    <cellStyle name="Normal 12 5 3 11 2 3" xfId="44265" xr:uid="{F8AC8887-3AAC-42DF-9D0C-96FE3B7283FC}"/>
    <cellStyle name="Normal 12 5 3 11 3" xfId="19126" xr:uid="{D02D3FDD-CCC3-4DB0-BDED-0A9CA2077E89}"/>
    <cellStyle name="Normal 12 5 3 11 4" xfId="35885" xr:uid="{6C0A5680-153E-4F01-BFF0-CF637154B3A5}"/>
    <cellStyle name="Normal 12 5 3 12" xfId="8943" xr:uid="{14CA61D0-E446-4E52-AA08-999FFDE24636}"/>
    <cellStyle name="Normal 12 5 3 12 2" xfId="25703" xr:uid="{933F8139-410D-4DEC-A2EF-6BA2BE19828D}"/>
    <cellStyle name="Normal 12 5 3 12 3" xfId="42462" xr:uid="{96998B13-64BD-44BB-9C0F-F23624DB789F}"/>
    <cellStyle name="Normal 12 5 3 13" xfId="17323" xr:uid="{C754B1B2-9B8E-4A18-A7C9-38F639B90FF6}"/>
    <cellStyle name="Normal 12 5 3 14" xfId="34082" xr:uid="{D1F4634C-7DB0-47C6-8797-6A5500977361}"/>
    <cellStyle name="Normal 12 5 3 2" xfId="974" xr:uid="{3BBAE514-13A0-4F40-B4C4-874639D26EEC}"/>
    <cellStyle name="Normal 12 5 3 2 2" xfId="4369" xr:uid="{B1147F36-F3B0-4886-A4EB-BA770BCB9442}"/>
    <cellStyle name="Normal 12 5 3 2 2 2" xfId="12749" xr:uid="{D34417C8-3540-4716-9349-514D46995087}"/>
    <cellStyle name="Normal 12 5 3 2 2 2 2" xfId="29509" xr:uid="{55E1376F-CA43-4345-B446-C258C7AB3F8B}"/>
    <cellStyle name="Normal 12 5 3 2 2 2 3" xfId="46268" xr:uid="{14D83A07-FA75-43FA-B9D2-4D5FE588B4AE}"/>
    <cellStyle name="Normal 12 5 3 2 2 3" xfId="21129" xr:uid="{CA91510C-D5B9-46DD-8C43-4BCBB9B9579F}"/>
    <cellStyle name="Normal 12 5 3 2 2 4" xfId="37888" xr:uid="{AFE9506A-A232-4AC0-921E-6DE7F54E0019}"/>
    <cellStyle name="Normal 12 5 3 2 3" xfId="6056" xr:uid="{578A3309-8B84-4F31-95F6-F058B7A312A4}"/>
    <cellStyle name="Normal 12 5 3 2 3 2" xfId="14436" xr:uid="{DCFC56B1-B3A6-413A-8D9B-BA71C26C78C3}"/>
    <cellStyle name="Normal 12 5 3 2 3 2 2" xfId="31196" xr:uid="{0F04B598-D544-4865-B5EA-792F66356C03}"/>
    <cellStyle name="Normal 12 5 3 2 3 2 3" xfId="47955" xr:uid="{38EFA350-6B8F-45E5-8DAE-167DF14BF441}"/>
    <cellStyle name="Normal 12 5 3 2 3 3" xfId="22816" xr:uid="{70988E38-19D9-4450-BF07-573E274A434B}"/>
    <cellStyle name="Normal 12 5 3 2 3 4" xfId="39575" xr:uid="{D8E8C9CF-8BF9-4798-B78E-A98ED633B486}"/>
    <cellStyle name="Normal 12 5 3 2 4" xfId="2792" xr:uid="{81FF7ED0-0301-478A-8D80-A5CD383E3A52}"/>
    <cellStyle name="Normal 12 5 3 2 4 2" xfId="11172" xr:uid="{9664E10A-1C1B-4786-B615-699C895D9578}"/>
    <cellStyle name="Normal 12 5 3 2 4 2 2" xfId="27932" xr:uid="{78B64CF4-0CB3-4FF5-9C1F-57313EFAE027}"/>
    <cellStyle name="Normal 12 5 3 2 4 2 3" xfId="44691" xr:uid="{6E200388-9409-4855-94D1-C74E0CCBCED6}"/>
    <cellStyle name="Normal 12 5 3 2 4 3" xfId="19552" xr:uid="{6999584B-E92A-45B2-A074-B16E8E75657B}"/>
    <cellStyle name="Normal 12 5 3 2 4 4" xfId="36311" xr:uid="{8C7BC9B2-3C09-4232-B467-1BA21603BCE9}"/>
    <cellStyle name="Normal 12 5 3 2 5" xfId="9369" xr:uid="{2E089198-5E86-4D99-8F5C-2F53D3FAFB19}"/>
    <cellStyle name="Normal 12 5 3 2 5 2" xfId="26129" xr:uid="{F4327CB7-5A6F-4B8E-B402-6E7EB3EC06F0}"/>
    <cellStyle name="Normal 12 5 3 2 5 3" xfId="42888" xr:uid="{A6F6BF3C-D900-48AF-86BE-2AADCB3FE7CF}"/>
    <cellStyle name="Normal 12 5 3 2 6" xfId="17749" xr:uid="{E7CF8FBE-3122-456F-A125-78E1A9128D7D}"/>
    <cellStyle name="Normal 12 5 3 2 7" xfId="34508" xr:uid="{D24AE58C-1614-4FE3-ACE6-FC0707ED3D03}"/>
    <cellStyle name="Normal 12 5 3 3" xfId="1408" xr:uid="{6BE8A677-351A-4D75-AD2C-B5D17A6C01D0}"/>
    <cellStyle name="Normal 12 5 3 3 2" xfId="4797" xr:uid="{C72568A3-2F48-49B5-BF1A-29E3AFF7B851}"/>
    <cellStyle name="Normal 12 5 3 3 2 2" xfId="13177" xr:uid="{8AA97DF7-D0F4-49A6-B2BE-892929D53D66}"/>
    <cellStyle name="Normal 12 5 3 3 2 2 2" xfId="29937" xr:uid="{FAC0D583-6A09-48B2-B0DC-ACB708371BF9}"/>
    <cellStyle name="Normal 12 5 3 3 2 2 3" xfId="46696" xr:uid="{0A527BDD-61F4-4FDA-B6F1-E8C9D8ACD8BB}"/>
    <cellStyle name="Normal 12 5 3 3 2 3" xfId="21557" xr:uid="{400D1512-C433-4BE1-9070-05A6E073950D}"/>
    <cellStyle name="Normal 12 5 3 3 2 4" xfId="38316" xr:uid="{821B8738-5182-49D0-97F7-A0148052F381}"/>
    <cellStyle name="Normal 12 5 3 3 3" xfId="6484" xr:uid="{B949B5C5-2F5F-4AE8-920A-73D739142935}"/>
    <cellStyle name="Normal 12 5 3 3 3 2" xfId="14864" xr:uid="{C1D7E49B-9CE0-4BBC-8275-FFD6F5E1E1A6}"/>
    <cellStyle name="Normal 12 5 3 3 3 2 2" xfId="31624" xr:uid="{60CACD9A-41AC-4D9F-BBC4-204D60B1C964}"/>
    <cellStyle name="Normal 12 5 3 3 3 2 3" xfId="48383" xr:uid="{5DE6AC2A-7E0B-468C-B0C3-46FF98DBE9EA}"/>
    <cellStyle name="Normal 12 5 3 3 3 3" xfId="23244" xr:uid="{24B4233A-0E17-4750-9FDE-FD9B61461881}"/>
    <cellStyle name="Normal 12 5 3 3 3 4" xfId="40003" xr:uid="{AACE40DC-3857-4F6B-BA50-11FACF7D08F0}"/>
    <cellStyle name="Normal 12 5 3 3 4" xfId="3220" xr:uid="{AC1C75BA-6D33-4FD1-9321-E0488EB3A980}"/>
    <cellStyle name="Normal 12 5 3 3 4 2" xfId="11600" xr:uid="{5EE91CD8-BA07-46F8-9AD5-A81694399E7D}"/>
    <cellStyle name="Normal 12 5 3 3 4 2 2" xfId="28360" xr:uid="{FD82788B-4FC4-4464-9DB3-EB410A95BA22}"/>
    <cellStyle name="Normal 12 5 3 3 4 2 3" xfId="45119" xr:uid="{EE85F11F-F881-4B42-B1CA-9145E2DD79FE}"/>
    <cellStyle name="Normal 12 5 3 3 4 3" xfId="19980" xr:uid="{DD17A414-ED99-46E4-901B-7A1F6A888106}"/>
    <cellStyle name="Normal 12 5 3 3 4 4" xfId="36739" xr:uid="{6E634D51-969A-413B-B896-35A55C4F2AEC}"/>
    <cellStyle name="Normal 12 5 3 3 5" xfId="9797" xr:uid="{BA58DFEB-523F-4A5F-8BCB-FFEE9A0419C9}"/>
    <cellStyle name="Normal 12 5 3 3 5 2" xfId="26557" xr:uid="{C1E7C0DA-8594-40E7-9873-353496506F1D}"/>
    <cellStyle name="Normal 12 5 3 3 5 3" xfId="43316" xr:uid="{0D44CE45-FA03-4342-9459-2F1AFD0B4A97}"/>
    <cellStyle name="Normal 12 5 3 3 6" xfId="18177" xr:uid="{670D439C-AB3D-425F-B044-432342457169}"/>
    <cellStyle name="Normal 12 5 3 3 7" xfId="34936" xr:uid="{DE374426-0179-429A-BC8B-988C6159E9B1}"/>
    <cellStyle name="Normal 12 5 3 4" xfId="2006" xr:uid="{51629717-8553-45EE-939C-2150951D05C2}"/>
    <cellStyle name="Normal 12 5 3 4 2" xfId="5395" xr:uid="{29AB2769-0E3A-424B-8C62-A7A3979BE3EE}"/>
    <cellStyle name="Normal 12 5 3 4 2 2" xfId="13775" xr:uid="{B28DF733-85ED-4D7A-BF33-A74D8642240D}"/>
    <cellStyle name="Normal 12 5 3 4 2 2 2" xfId="30535" xr:uid="{C738B6B5-5C4D-47EE-97AB-DCD44026451E}"/>
    <cellStyle name="Normal 12 5 3 4 2 2 3" xfId="47294" xr:uid="{ECF63406-2851-4E7F-8C6F-8AA91DB300C3}"/>
    <cellStyle name="Normal 12 5 3 4 2 3" xfId="22155" xr:uid="{C99E337E-DBED-4B37-8A89-3207F65CA431}"/>
    <cellStyle name="Normal 12 5 3 4 2 4" xfId="38914" xr:uid="{35271B8C-8E52-4F6E-9A74-BCC887DBD84A}"/>
    <cellStyle name="Normal 12 5 3 4 3" xfId="7082" xr:uid="{D3B86DCA-EDAB-4A70-B113-D0DE4525541C}"/>
    <cellStyle name="Normal 12 5 3 4 3 2" xfId="15462" xr:uid="{A3CA5AF2-BFB8-4B80-A10C-751F92AAF043}"/>
    <cellStyle name="Normal 12 5 3 4 3 2 2" xfId="32222" xr:uid="{CF60C6C2-4E82-42EE-9869-B99C343E4BA3}"/>
    <cellStyle name="Normal 12 5 3 4 3 2 3" xfId="48981" xr:uid="{58A683D9-A95B-45C6-802C-6749078D52D0}"/>
    <cellStyle name="Normal 12 5 3 4 3 3" xfId="23842" xr:uid="{2FE59D47-7611-4175-B5D2-2301CB43B238}"/>
    <cellStyle name="Normal 12 5 3 4 3 4" xfId="40601" xr:uid="{8A28C6B3-3FDE-4555-9169-093AC26C568E}"/>
    <cellStyle name="Normal 12 5 3 4 4" xfId="3705" xr:uid="{012D26AD-D9C8-447E-989D-09BADB8D3B46}"/>
    <cellStyle name="Normal 12 5 3 4 4 2" xfId="12085" xr:uid="{BC6BCE0D-C7FF-4548-BAD4-F4888FFBAD0E}"/>
    <cellStyle name="Normal 12 5 3 4 4 2 2" xfId="28845" xr:uid="{97562190-DC23-412C-9340-DE551555B220}"/>
    <cellStyle name="Normal 12 5 3 4 4 2 3" xfId="45604" xr:uid="{9CF79E3A-0D27-438A-8315-DAC882343799}"/>
    <cellStyle name="Normal 12 5 3 4 4 3" xfId="20465" xr:uid="{3F6B2818-760B-4C20-A4DA-5BC08E9F944D}"/>
    <cellStyle name="Normal 12 5 3 4 4 4" xfId="37224" xr:uid="{C97CA278-881A-42DF-9652-8D2420885F31}"/>
    <cellStyle name="Normal 12 5 3 4 5" xfId="10395" xr:uid="{E29941F8-D14F-430D-A356-5096B110F543}"/>
    <cellStyle name="Normal 12 5 3 4 5 2" xfId="27155" xr:uid="{16B13F53-970E-402F-BEE3-D39B2463E714}"/>
    <cellStyle name="Normal 12 5 3 4 5 3" xfId="43914" xr:uid="{959FC686-CE3A-49DD-A4CA-4284B3636800}"/>
    <cellStyle name="Normal 12 5 3 4 6" xfId="18775" xr:uid="{3445D68B-C267-4F1A-AB5B-20B19EAD5A26}"/>
    <cellStyle name="Normal 12 5 3 4 7" xfId="35534" xr:uid="{E9385946-0E8E-459F-BAD0-ABBC4DD259BA}"/>
    <cellStyle name="Normal 12 5 3 5" xfId="4125" xr:uid="{6803CD28-1636-43D2-966B-09958E4FCBC3}"/>
    <cellStyle name="Normal 12 5 3 5 2" xfId="12505" xr:uid="{95FAE8FE-D063-41CA-9889-B17A89DB205F}"/>
    <cellStyle name="Normal 12 5 3 5 2 2" xfId="29265" xr:uid="{2DFBEDE3-B9E4-40F1-B573-501F0E6C6949}"/>
    <cellStyle name="Normal 12 5 3 5 2 3" xfId="46024" xr:uid="{F057315F-3D04-4531-AF20-5B3A940BC630}"/>
    <cellStyle name="Normal 12 5 3 5 3" xfId="20885" xr:uid="{3D0A268B-4D22-48B7-8E70-8E108AA3D2CB}"/>
    <cellStyle name="Normal 12 5 3 5 4" xfId="37644" xr:uid="{4A564445-3F86-4FD1-A8C0-B98B09E59D34}"/>
    <cellStyle name="Normal 12 5 3 6" xfId="5630" xr:uid="{9E7B7F0A-268C-46E1-8211-20AB75770EA9}"/>
    <cellStyle name="Normal 12 5 3 6 2" xfId="14010" xr:uid="{93C2F943-104A-46F2-8D1C-358D79627818}"/>
    <cellStyle name="Normal 12 5 3 6 2 2" xfId="30770" xr:uid="{8FE121DD-B80E-4A7C-95C2-4E44770ED416}"/>
    <cellStyle name="Normal 12 5 3 6 2 3" xfId="47529" xr:uid="{7DE98608-6C8A-4A3F-A670-BD7254859068}"/>
    <cellStyle name="Normal 12 5 3 6 3" xfId="22390" xr:uid="{1F96A51C-B836-4777-985F-144C1A0D6C3A}"/>
    <cellStyle name="Normal 12 5 3 6 4" xfId="39149" xr:uid="{56AA5B47-E0DF-4645-B70C-62B80AC848B9}"/>
    <cellStyle name="Normal 12 5 3 7" xfId="7488" xr:uid="{69D6DA64-1676-4123-A4CB-D86DB56E3D73}"/>
    <cellStyle name="Normal 12 5 3 7 2" xfId="15868" xr:uid="{3E9DA305-498E-4B5E-94C7-705A6861DF64}"/>
    <cellStyle name="Normal 12 5 3 7 2 2" xfId="32628" xr:uid="{CD085A0B-AB8D-4C51-A4E8-766A1F918265}"/>
    <cellStyle name="Normal 12 5 3 7 2 3" xfId="49387" xr:uid="{916C8B54-7049-40A0-9F96-0F3D7E4EE04F}"/>
    <cellStyle name="Normal 12 5 3 7 3" xfId="24248" xr:uid="{25A43C97-4E8E-4E5C-9EAE-07E2FE2F5FDD}"/>
    <cellStyle name="Normal 12 5 3 7 4" xfId="41007" xr:uid="{48923CCF-2399-4B40-A533-83463B7FBE6F}"/>
    <cellStyle name="Normal 12 5 3 8" xfId="7894" xr:uid="{998A241C-9A67-40CE-84B2-B78C3171AD10}"/>
    <cellStyle name="Normal 12 5 3 8 2" xfId="16274" xr:uid="{9EBEEF12-AE2E-4784-98DE-431E7A58A5B2}"/>
    <cellStyle name="Normal 12 5 3 8 2 2" xfId="33034" xr:uid="{269C3A63-CC95-47D3-A236-29943A9CAC37}"/>
    <cellStyle name="Normal 12 5 3 8 2 3" xfId="49793" xr:uid="{9CADD399-2DD9-46E6-958E-EBC3AB1960F7}"/>
    <cellStyle name="Normal 12 5 3 8 3" xfId="24654" xr:uid="{D7C48411-E006-45E6-A604-ED96C9DE5CB0}"/>
    <cellStyle name="Normal 12 5 3 8 4" xfId="41413" xr:uid="{1CDCFD3E-11F4-4BB6-A21F-F49054536AAF}"/>
    <cellStyle name="Normal 12 5 3 9" xfId="8300" xr:uid="{F5CE60E4-79DF-443D-A9A3-BB00A61279F0}"/>
    <cellStyle name="Normal 12 5 3 9 2" xfId="16680" xr:uid="{A6C0D090-4F2F-4D9E-B94D-9715FC8AB097}"/>
    <cellStyle name="Normal 12 5 3 9 2 2" xfId="33440" xr:uid="{2B08CF9A-62AD-4678-8219-61173DD2E99D}"/>
    <cellStyle name="Normal 12 5 3 9 2 3" xfId="50199" xr:uid="{82D79FB8-65D1-450A-A870-ACA0AAF53060}"/>
    <cellStyle name="Normal 12 5 3 9 3" xfId="25060" xr:uid="{F8C98B24-9EBC-4F51-B188-1A744F26AAAF}"/>
    <cellStyle name="Normal 12 5 3 9 4" xfId="41819" xr:uid="{2300D29C-3507-419A-BFCE-7FEB5CB4F347}"/>
    <cellStyle name="Normal 12 5 4" xfId="972" xr:uid="{F2A6EC09-CDB7-4977-8557-2B324AD891D5}"/>
    <cellStyle name="Normal 12 5 4 2" xfId="4367" xr:uid="{2ACE6FC0-B026-48DB-BF63-B19F8CEF58E0}"/>
    <cellStyle name="Normal 12 5 4 2 2" xfId="12747" xr:uid="{45048B95-2652-4DE5-8623-73474B3B8A46}"/>
    <cellStyle name="Normal 12 5 4 2 2 2" xfId="29507" xr:uid="{6902679C-8E7D-45A0-AF35-89B939E36FEA}"/>
    <cellStyle name="Normal 12 5 4 2 2 3" xfId="46266" xr:uid="{26DE2D8C-FAEC-4DD5-B761-C4CD119DD62E}"/>
    <cellStyle name="Normal 12 5 4 2 3" xfId="21127" xr:uid="{F477E6DD-021B-4283-8EC2-76082F753C4A}"/>
    <cellStyle name="Normal 12 5 4 2 4" xfId="37886" xr:uid="{69890383-AFDE-47ED-8E02-41A042D5A36C}"/>
    <cellStyle name="Normal 12 5 4 3" xfId="6054" xr:uid="{551C9412-BCAB-466E-8B42-CE04D80EAC06}"/>
    <cellStyle name="Normal 12 5 4 3 2" xfId="14434" xr:uid="{F1A1501E-54C7-4ABD-8D3B-8490BD69CBAA}"/>
    <cellStyle name="Normal 12 5 4 3 2 2" xfId="31194" xr:uid="{86B2AC6C-C2DB-4D87-BFB2-DC02B322CE69}"/>
    <cellStyle name="Normal 12 5 4 3 2 3" xfId="47953" xr:uid="{1FEF58BA-9394-474B-9A11-EADBE7708F5B}"/>
    <cellStyle name="Normal 12 5 4 3 3" xfId="22814" xr:uid="{9B08FA46-A68E-4768-A087-CB44773EF253}"/>
    <cellStyle name="Normal 12 5 4 3 4" xfId="39573" xr:uid="{621D5923-6D81-489C-88C9-CBB8F39D9CD3}"/>
    <cellStyle name="Normal 12 5 4 4" xfId="2790" xr:uid="{96FF3CCF-56E8-45FD-9DF3-944797F482EA}"/>
    <cellStyle name="Normal 12 5 4 4 2" xfId="11170" xr:uid="{C5A0D2F0-DD0F-401A-BC47-7EB9A30835DD}"/>
    <cellStyle name="Normal 12 5 4 4 2 2" xfId="27930" xr:uid="{CABFA38F-B481-4024-B1D0-A38D002D9396}"/>
    <cellStyle name="Normal 12 5 4 4 2 3" xfId="44689" xr:uid="{672131D8-4C6C-4FE2-8C3E-6B4C9A4559BB}"/>
    <cellStyle name="Normal 12 5 4 4 3" xfId="19550" xr:uid="{FD0907D3-B1CF-4175-B058-1F4CF435A9A4}"/>
    <cellStyle name="Normal 12 5 4 4 4" xfId="36309" xr:uid="{AC26B9B9-9602-44F4-84F1-DC618787AC3A}"/>
    <cellStyle name="Normal 12 5 4 5" xfId="9367" xr:uid="{5CFD1A85-37DD-44C2-850A-06C7626951D2}"/>
    <cellStyle name="Normal 12 5 4 5 2" xfId="26127" xr:uid="{EA287B2D-21B2-4684-B3D5-3927D72B2C7F}"/>
    <cellStyle name="Normal 12 5 4 5 3" xfId="42886" xr:uid="{81010D19-4A0C-41A9-B0AA-DE04B3C0BDD0}"/>
    <cellStyle name="Normal 12 5 4 6" xfId="17747" xr:uid="{4F57F447-2B2D-4BA7-A774-5532A6F653C0}"/>
    <cellStyle name="Normal 12 5 4 7" xfId="34506" xr:uid="{00A8651B-015A-4D6E-8C38-F3D8AB75B6D8}"/>
    <cellStyle name="Normal 12 5 5" xfId="1406" xr:uid="{1182513B-31B7-4C46-A335-C66C912A4C2C}"/>
    <cellStyle name="Normal 12 5 5 2" xfId="4795" xr:uid="{AD23FA60-48EE-4111-9D94-60F75195F4B0}"/>
    <cellStyle name="Normal 12 5 5 2 2" xfId="13175" xr:uid="{187EDC4B-B939-4439-8CC8-5F49104CE13E}"/>
    <cellStyle name="Normal 12 5 5 2 2 2" xfId="29935" xr:uid="{2C0FC05F-6B5A-427E-AFEF-4BDF21FD5693}"/>
    <cellStyle name="Normal 12 5 5 2 2 3" xfId="46694" xr:uid="{D423B045-F8C3-44B9-A065-19AA58EE1AC0}"/>
    <cellStyle name="Normal 12 5 5 2 3" xfId="21555" xr:uid="{1BEA4763-DC00-4334-8CAF-981219A60115}"/>
    <cellStyle name="Normal 12 5 5 2 4" xfId="38314" xr:uid="{BF7AC67B-AAF4-4EA3-B455-10864496B5FB}"/>
    <cellStyle name="Normal 12 5 5 3" xfId="6482" xr:uid="{7540CF4B-C7A8-456D-B0BD-DDA8BBCFF276}"/>
    <cellStyle name="Normal 12 5 5 3 2" xfId="14862" xr:uid="{75FD19F7-7145-4E1C-AEFD-30EAF5F86F72}"/>
    <cellStyle name="Normal 12 5 5 3 2 2" xfId="31622" xr:uid="{A00DB7F8-F853-42B1-842E-C47FB0833618}"/>
    <cellStyle name="Normal 12 5 5 3 2 3" xfId="48381" xr:uid="{C622A476-E80E-400B-9384-4D8E08046C39}"/>
    <cellStyle name="Normal 12 5 5 3 3" xfId="23242" xr:uid="{091D492B-B333-41E2-A391-9F7E2551D705}"/>
    <cellStyle name="Normal 12 5 5 3 4" xfId="40001" xr:uid="{CA7B2FDD-2BF7-405F-B0E3-ED09E6D99214}"/>
    <cellStyle name="Normal 12 5 5 4" xfId="3218" xr:uid="{1F235047-0094-4CC7-B921-D75BB8C2F734}"/>
    <cellStyle name="Normal 12 5 5 4 2" xfId="11598" xr:uid="{3F7F3CC4-3A2C-41C4-9BFB-B03883812103}"/>
    <cellStyle name="Normal 12 5 5 4 2 2" xfId="28358" xr:uid="{ABDE1EA7-5589-4070-99F9-D586FA1043E0}"/>
    <cellStyle name="Normal 12 5 5 4 2 3" xfId="45117" xr:uid="{CC22A3F8-48AC-4DAA-AEE4-1BE1DC7F214F}"/>
    <cellStyle name="Normal 12 5 5 4 3" xfId="19978" xr:uid="{E5AA9188-06CA-4EDC-9561-2092DA55DD6C}"/>
    <cellStyle name="Normal 12 5 5 4 4" xfId="36737" xr:uid="{229CBE4E-DE04-490D-80A8-0CF6361D09A0}"/>
    <cellStyle name="Normal 12 5 5 5" xfId="9795" xr:uid="{978B7467-440D-4CD1-A808-D9D7AA4FA681}"/>
    <cellStyle name="Normal 12 5 5 5 2" xfId="26555" xr:uid="{647416A4-541B-4F87-8FCE-266A0F5663AE}"/>
    <cellStyle name="Normal 12 5 5 5 3" xfId="43314" xr:uid="{D54EE4AE-7C63-467D-81FC-E017E65BAFC7}"/>
    <cellStyle name="Normal 12 5 5 6" xfId="18175" xr:uid="{DC312C6E-B0A8-4DB5-91EF-3ECC9E69D876}"/>
    <cellStyle name="Normal 12 5 5 7" xfId="34934" xr:uid="{4447AB8E-01F5-4600-B4D7-8F89EF78ADFE}"/>
    <cellStyle name="Normal 12 5 6" xfId="1735" xr:uid="{32688F0B-8F6C-4CDF-80C4-97EC7FDA65B4}"/>
    <cellStyle name="Normal 12 5 6 2" xfId="5124" xr:uid="{7D28B022-F44B-4D72-9DDC-484FBB55E626}"/>
    <cellStyle name="Normal 12 5 6 2 2" xfId="13504" xr:uid="{807A7765-7432-49CE-98AF-2358B2899F28}"/>
    <cellStyle name="Normal 12 5 6 2 2 2" xfId="30264" xr:uid="{1A0BEA23-1665-4F31-A33B-3940F75DD210}"/>
    <cellStyle name="Normal 12 5 6 2 2 3" xfId="47023" xr:uid="{445B080A-39FC-42C7-BC7C-F0B8FB3489C4}"/>
    <cellStyle name="Normal 12 5 6 2 3" xfId="21884" xr:uid="{62276EC6-A020-4584-B79B-B4F2284BC07E}"/>
    <cellStyle name="Normal 12 5 6 2 4" xfId="38643" xr:uid="{CABADF0C-F644-40E6-920B-E5299DEA03E8}"/>
    <cellStyle name="Normal 12 5 6 3" xfId="6811" xr:uid="{F3B51F62-DE14-4B6F-94DA-EE2E7162CFCC}"/>
    <cellStyle name="Normal 12 5 6 3 2" xfId="15191" xr:uid="{EED30AF0-0924-49AB-83B0-EDBA4651F52B}"/>
    <cellStyle name="Normal 12 5 6 3 2 2" xfId="31951" xr:uid="{801D02B6-F3DD-4F29-B48F-31E42C17770D}"/>
    <cellStyle name="Normal 12 5 6 3 2 3" xfId="48710" xr:uid="{3A9EA177-FD2C-42B0-9AEF-28D351F24487}"/>
    <cellStyle name="Normal 12 5 6 3 3" xfId="23571" xr:uid="{7BFA5404-7FD8-4981-92FA-8E680C0D1E28}"/>
    <cellStyle name="Normal 12 5 6 3 4" xfId="40330" xr:uid="{5C4011EB-24A6-4F1E-86B5-D617015F8C2D}"/>
    <cellStyle name="Normal 12 5 6 4" xfId="2362" xr:uid="{D4360A4A-E7DC-4A7D-93E9-B25749D0FE17}"/>
    <cellStyle name="Normal 12 5 6 4 2" xfId="10744" xr:uid="{08F44574-5CB9-4F15-9E3A-64ED21AE8A23}"/>
    <cellStyle name="Normal 12 5 6 4 2 2" xfId="27504" xr:uid="{29A7C5E8-69F1-4AFE-BFA3-6CA695552393}"/>
    <cellStyle name="Normal 12 5 6 4 2 3" xfId="44263" xr:uid="{3F41A9E4-EEF6-4619-9A8E-DB700FF6E81F}"/>
    <cellStyle name="Normal 12 5 6 4 3" xfId="19124" xr:uid="{FD552B76-84B5-432A-A5C8-B8B6CEE83F55}"/>
    <cellStyle name="Normal 12 5 6 4 4" xfId="35883" xr:uid="{08460643-EAF8-493E-9BFC-44EE9A7E2047}"/>
    <cellStyle name="Normal 12 5 6 5" xfId="10124" xr:uid="{721FAECB-6226-419E-BC80-F1A6A75C9988}"/>
    <cellStyle name="Normal 12 5 6 5 2" xfId="26884" xr:uid="{C11D24E8-8924-4622-BBE7-0D3FC8D18940}"/>
    <cellStyle name="Normal 12 5 6 5 3" xfId="43643" xr:uid="{FE87A7D9-4DB5-4638-AA8D-B74C83941208}"/>
    <cellStyle name="Normal 12 5 6 6" xfId="18504" xr:uid="{FB2E8D82-DB51-4922-BFB1-08027E92867C}"/>
    <cellStyle name="Normal 12 5 6 7" xfId="35263" xr:uid="{78C956C8-376F-45B5-97B6-D7C4319631BB}"/>
    <cellStyle name="Normal 12 5 7" xfId="3854" xr:uid="{1F0C8C12-9C3E-4D84-8564-ACDC18379377}"/>
    <cellStyle name="Normal 12 5 7 2" xfId="12234" xr:uid="{33F40485-EE53-4B58-998A-A21A4FCE49E5}"/>
    <cellStyle name="Normal 12 5 7 2 2" xfId="28994" xr:uid="{864A9A66-0FCD-414E-847D-A9B77C5666FA}"/>
    <cellStyle name="Normal 12 5 7 2 3" xfId="45753" xr:uid="{2F2FEF67-3985-4BCE-AB82-1F688D45BC54}"/>
    <cellStyle name="Normal 12 5 7 3" xfId="20614" xr:uid="{852F1C21-FA24-474A-A13B-B21125802120}"/>
    <cellStyle name="Normal 12 5 7 4" xfId="37373" xr:uid="{80DBDED8-205D-47E7-92E9-B116FDF943A0}"/>
    <cellStyle name="Normal 12 5 8" xfId="5628" xr:uid="{591C424A-0FD5-4E28-8503-74773F265B7B}"/>
    <cellStyle name="Normal 12 5 8 2" xfId="14008" xr:uid="{15772153-3148-4939-AA38-0E9BEC903EDE}"/>
    <cellStyle name="Normal 12 5 8 2 2" xfId="30768" xr:uid="{254CD20F-841F-4A89-9884-808B84555A3B}"/>
    <cellStyle name="Normal 12 5 8 2 3" xfId="47527" xr:uid="{AFD91D39-B19D-48D2-AE29-A677A46D26C4}"/>
    <cellStyle name="Normal 12 5 8 3" xfId="22388" xr:uid="{8791CD4D-B5D1-4CD1-A081-8CE8A7C1C9B4}"/>
    <cellStyle name="Normal 12 5 8 4" xfId="39147" xr:uid="{8A1C5B4D-9F16-4FF0-8121-4001684012C7}"/>
    <cellStyle name="Normal 12 5 9" xfId="7217" xr:uid="{0549F363-B323-4749-A987-0ADC15EC606E}"/>
    <cellStyle name="Normal 12 5 9 2" xfId="15597" xr:uid="{AC2A8BC9-E769-4600-A1D8-0A0519E5AA4E}"/>
    <cellStyle name="Normal 12 5 9 2 2" xfId="32357" xr:uid="{66FFE0B3-F03B-452C-8202-F67D84AA9A6B}"/>
    <cellStyle name="Normal 12 5 9 2 3" xfId="49116" xr:uid="{12A992BE-8F06-453D-99E6-26F13ABC1B58}"/>
    <cellStyle name="Normal 12 5 9 3" xfId="23977" xr:uid="{B4484B7C-B963-420D-A4FC-8E5C18BA6106}"/>
    <cellStyle name="Normal 12 5 9 4" xfId="40736" xr:uid="{B68F8DAE-7B83-4901-A0F6-0ACC3E4FAFD6}"/>
    <cellStyle name="Normal 12 6" xfId="533" xr:uid="{F94F9DE4-95FA-40EE-845F-E31186FE5C9C}"/>
    <cellStyle name="Normal 12 6 10" xfId="8491" xr:uid="{B7D0CEC5-C2AE-4907-97B4-4A61F6D5CF93}"/>
    <cellStyle name="Normal 12 6 10 2" xfId="16871" xr:uid="{2F2D5DC5-9076-4B2D-B081-09CC8A30FC6C}"/>
    <cellStyle name="Normal 12 6 10 2 2" xfId="33631" xr:uid="{1E51283A-980E-4537-99DD-1068B869B178}"/>
    <cellStyle name="Normal 12 6 10 2 3" xfId="50390" xr:uid="{D70A0135-F035-4BE8-A763-D07FD3F4A08D}"/>
    <cellStyle name="Normal 12 6 10 3" xfId="25251" xr:uid="{2CA4F65B-A6C6-4054-ADF1-71BB70069FC3}"/>
    <cellStyle name="Normal 12 6 10 4" xfId="42010" xr:uid="{2CBB927F-1897-427F-8648-6D0D75A4A393}"/>
    <cellStyle name="Normal 12 6 11" xfId="2365" xr:uid="{A41A0665-95D1-49BB-A95C-C4B6F7DEE570}"/>
    <cellStyle name="Normal 12 6 11 2" xfId="10747" xr:uid="{64E6A66D-6171-4D98-BDAF-F9D536B03934}"/>
    <cellStyle name="Normal 12 6 11 2 2" xfId="27507" xr:uid="{0E29B8AC-5ED0-40DC-83E3-37EC4182520C}"/>
    <cellStyle name="Normal 12 6 11 2 3" xfId="44266" xr:uid="{84E8D562-97F7-40E6-81DD-5A03220D8D16}"/>
    <cellStyle name="Normal 12 6 11 3" xfId="19127" xr:uid="{2CED45D4-46DF-49DF-8335-ADB480EB147A}"/>
    <cellStyle name="Normal 12 6 11 4" xfId="35886" xr:uid="{011DE23F-5DA3-424C-9FB4-60F3C9D440B9}"/>
    <cellStyle name="Normal 12 6 12" xfId="8944" xr:uid="{D38F3CD6-752A-4336-BE98-C9826A15CDAC}"/>
    <cellStyle name="Normal 12 6 12 2" xfId="25704" xr:uid="{8C0E5BA8-B793-4903-887B-6B9B93F52DE1}"/>
    <cellStyle name="Normal 12 6 12 3" xfId="42463" xr:uid="{08935A74-5A9F-4BF5-98FE-12046DB326B4}"/>
    <cellStyle name="Normal 12 6 13" xfId="17324" xr:uid="{9FC3D9C2-374E-45A7-862F-A9C4D86D29F7}"/>
    <cellStyle name="Normal 12 6 14" xfId="34083" xr:uid="{DA8EED61-E8BC-4D82-A9F9-E5CE1F7F70CE}"/>
    <cellStyle name="Normal 12 6 2" xfId="975" xr:uid="{9993128D-30E0-4B9A-87DA-BAA57B4F7E66}"/>
    <cellStyle name="Normal 12 6 2 2" xfId="4370" xr:uid="{43447C7E-0C9D-48CD-8F79-C1079B71749C}"/>
    <cellStyle name="Normal 12 6 2 2 2" xfId="12750" xr:uid="{2ABD7243-7987-4159-90B3-BF7B148A9C4B}"/>
    <cellStyle name="Normal 12 6 2 2 2 2" xfId="29510" xr:uid="{69BB18BF-F0FC-4E49-8EB9-048E564A8A62}"/>
    <cellStyle name="Normal 12 6 2 2 2 3" xfId="46269" xr:uid="{13775305-330E-4C80-B438-B0C27689F132}"/>
    <cellStyle name="Normal 12 6 2 2 3" xfId="21130" xr:uid="{EE154F6D-F18C-415E-A2EF-BA1D91A592CB}"/>
    <cellStyle name="Normal 12 6 2 2 4" xfId="37889" xr:uid="{559B365C-31CC-49DA-A3A2-EFC5659F5E99}"/>
    <cellStyle name="Normal 12 6 2 3" xfId="6057" xr:uid="{511E62DD-D246-48A5-B6C4-B42D52743650}"/>
    <cellStyle name="Normal 12 6 2 3 2" xfId="14437" xr:uid="{46FE785E-438F-4A91-90F3-FA875027F5EE}"/>
    <cellStyle name="Normal 12 6 2 3 2 2" xfId="31197" xr:uid="{8008BCF3-16AE-4318-883A-BB38B281DC9E}"/>
    <cellStyle name="Normal 12 6 2 3 2 3" xfId="47956" xr:uid="{9E92061D-34A3-4A7F-9AF8-3E3E08892CBF}"/>
    <cellStyle name="Normal 12 6 2 3 3" xfId="22817" xr:uid="{599C69E9-7305-4A20-98E8-29ADA0413FA9}"/>
    <cellStyle name="Normal 12 6 2 3 4" xfId="39576" xr:uid="{E054327A-2B84-4E85-8A17-E21C5D33C019}"/>
    <cellStyle name="Normal 12 6 2 4" xfId="2793" xr:uid="{84999A96-A80A-4B06-A0FF-1E90E80114D4}"/>
    <cellStyle name="Normal 12 6 2 4 2" xfId="11173" xr:uid="{2A52C29A-3EFA-4194-AFCE-757C6BE4B1BC}"/>
    <cellStyle name="Normal 12 6 2 4 2 2" xfId="27933" xr:uid="{435201AA-2664-4A7A-A736-06E1F6DB8014}"/>
    <cellStyle name="Normal 12 6 2 4 2 3" xfId="44692" xr:uid="{7764A572-6F5B-4A01-94D3-15DBADCA704B}"/>
    <cellStyle name="Normal 12 6 2 4 3" xfId="19553" xr:uid="{44BCD691-07DB-49AD-B5FC-45E50F84C554}"/>
    <cellStyle name="Normal 12 6 2 4 4" xfId="36312" xr:uid="{D2E87664-5CFB-4829-A677-2A7D8833715B}"/>
    <cellStyle name="Normal 12 6 2 5" xfId="9370" xr:uid="{DC10CAD7-A0B3-4135-AA98-F5D638DA1B73}"/>
    <cellStyle name="Normal 12 6 2 5 2" xfId="26130" xr:uid="{52EBEDF5-1808-4FC3-A193-33B5FCB61BE6}"/>
    <cellStyle name="Normal 12 6 2 5 3" xfId="42889" xr:uid="{E7F58DC8-06CA-4C4F-BA0B-1DEB8CF029D4}"/>
    <cellStyle name="Normal 12 6 2 6" xfId="17750" xr:uid="{BE24138F-714A-4E99-9036-BFD3990294E1}"/>
    <cellStyle name="Normal 12 6 2 7" xfId="34509" xr:uid="{5BF7D7D6-9E9E-4306-B50C-BC9D30C4F56D}"/>
    <cellStyle name="Normal 12 6 3" xfId="1409" xr:uid="{E6BF26CE-688D-4693-BBDD-1199CFFBBD4D}"/>
    <cellStyle name="Normal 12 6 3 2" xfId="4798" xr:uid="{B0AECC60-F5E8-45F5-B0A4-76A439F803EA}"/>
    <cellStyle name="Normal 12 6 3 2 2" xfId="13178" xr:uid="{7BFA9060-EF76-453B-84BD-59EBF182240B}"/>
    <cellStyle name="Normal 12 6 3 2 2 2" xfId="29938" xr:uid="{3B38FCC0-34E1-463D-AC1B-E6FA0DFFEF93}"/>
    <cellStyle name="Normal 12 6 3 2 2 3" xfId="46697" xr:uid="{4095D16D-82BC-4AD9-A891-72C4FB1E4341}"/>
    <cellStyle name="Normal 12 6 3 2 3" xfId="21558" xr:uid="{944AC783-5336-4F7B-9C87-C037D1E24FEB}"/>
    <cellStyle name="Normal 12 6 3 2 4" xfId="38317" xr:uid="{32DFF95D-E80B-4540-B9ED-9F1649E1A2B5}"/>
    <cellStyle name="Normal 12 6 3 3" xfId="6485" xr:uid="{F8F1FCD6-9A89-43BC-A9A0-91004273F0FF}"/>
    <cellStyle name="Normal 12 6 3 3 2" xfId="14865" xr:uid="{204FA008-E111-4311-85C6-41DCAE1DF59B}"/>
    <cellStyle name="Normal 12 6 3 3 2 2" xfId="31625" xr:uid="{F76C656B-0849-4E2D-8AE3-4F7E55648BFD}"/>
    <cellStyle name="Normal 12 6 3 3 2 3" xfId="48384" xr:uid="{AFFF63BF-0F8E-422D-86D0-1F95674C6BDB}"/>
    <cellStyle name="Normal 12 6 3 3 3" xfId="23245" xr:uid="{AE3946E7-7EEE-4C12-AF56-96933568EB17}"/>
    <cellStyle name="Normal 12 6 3 3 4" xfId="40004" xr:uid="{E0B5FA0D-316E-4DF8-8E40-A4480A44602C}"/>
    <cellStyle name="Normal 12 6 3 4" xfId="3221" xr:uid="{328B3577-8BDD-4448-A161-DDD23320E200}"/>
    <cellStyle name="Normal 12 6 3 4 2" xfId="11601" xr:uid="{B6118971-F2D1-49C0-9C80-A33E508C35A9}"/>
    <cellStyle name="Normal 12 6 3 4 2 2" xfId="28361" xr:uid="{C4CFBDCF-5F17-4F76-8BED-BB47A5ADFE78}"/>
    <cellStyle name="Normal 12 6 3 4 2 3" xfId="45120" xr:uid="{2F39AD7F-F64D-455D-89FD-7FAA36AF44E1}"/>
    <cellStyle name="Normal 12 6 3 4 3" xfId="19981" xr:uid="{0B2389C9-D280-4908-9140-61FCF4AB2586}"/>
    <cellStyle name="Normal 12 6 3 4 4" xfId="36740" xr:uid="{CB53F9CA-AB12-4967-B76A-C0C3AD7ECDDF}"/>
    <cellStyle name="Normal 12 6 3 5" xfId="9798" xr:uid="{E567628E-7D82-487D-BA2A-D3DA34AD8CD6}"/>
    <cellStyle name="Normal 12 6 3 5 2" xfId="26558" xr:uid="{9E9FD9D2-D9F5-4560-9ED3-70473D02FB52}"/>
    <cellStyle name="Normal 12 6 3 5 3" xfId="43317" xr:uid="{0073334C-0567-47FF-9F84-C0E4F7F9ADB9}"/>
    <cellStyle name="Normal 12 6 3 6" xfId="18178" xr:uid="{016C9682-8DD8-4033-BDBD-1F744430A2DF}"/>
    <cellStyle name="Normal 12 6 3 7" xfId="34937" xr:uid="{374A08B7-F0D9-4E70-A070-3795598276BD}"/>
    <cellStyle name="Normal 12 6 4" xfId="1791" xr:uid="{D7ACB651-2D5C-4C7E-B2E2-0D033BF90E8A}"/>
    <cellStyle name="Normal 12 6 4 2" xfId="5180" xr:uid="{4301EE80-6EB5-4E75-ACAB-F88D91AD9782}"/>
    <cellStyle name="Normal 12 6 4 2 2" xfId="13560" xr:uid="{03410FDD-AA9C-4437-97D1-66E9442C61C1}"/>
    <cellStyle name="Normal 12 6 4 2 2 2" xfId="30320" xr:uid="{71B26F0E-8BF1-4DBD-B466-086B9A101159}"/>
    <cellStyle name="Normal 12 6 4 2 2 3" xfId="47079" xr:uid="{EF336FD7-189F-4842-88BF-1A2441616F9D}"/>
    <cellStyle name="Normal 12 6 4 2 3" xfId="21940" xr:uid="{D397A2AB-0D78-421D-A945-6523BD3F8355}"/>
    <cellStyle name="Normal 12 6 4 2 4" xfId="38699" xr:uid="{0BCF3238-D79D-4164-9F4F-A516A9B7007C}"/>
    <cellStyle name="Normal 12 6 4 3" xfId="6867" xr:uid="{F0C448E5-1F7D-4031-869E-635BF15FF1F4}"/>
    <cellStyle name="Normal 12 6 4 3 2" xfId="15247" xr:uid="{1C055431-23D9-4775-8472-7E15BC172787}"/>
    <cellStyle name="Normal 12 6 4 3 2 2" xfId="32007" xr:uid="{199B0FD5-12D2-4607-A69D-F759B846D1EF}"/>
    <cellStyle name="Normal 12 6 4 3 2 3" xfId="48766" xr:uid="{50803801-3A8B-4237-BA52-AB7EBE72C6C0}"/>
    <cellStyle name="Normal 12 6 4 3 3" xfId="23627" xr:uid="{C5CD22FA-7229-4F4C-8903-CDD2785033EA}"/>
    <cellStyle name="Normal 12 6 4 3 4" xfId="40386" xr:uid="{7F523B8A-7C32-49B3-A8A0-A873AF700811}"/>
    <cellStyle name="Normal 12 6 4 4" xfId="3491" xr:uid="{590AFE1C-02D6-427F-8EA3-D6B109FEB857}"/>
    <cellStyle name="Normal 12 6 4 4 2" xfId="11871" xr:uid="{FE27F4DB-E530-4550-910D-C7BD00F06E05}"/>
    <cellStyle name="Normal 12 6 4 4 2 2" xfId="28631" xr:uid="{CA07F4DE-D3B7-44FA-8FA6-7974791EDE98}"/>
    <cellStyle name="Normal 12 6 4 4 2 3" xfId="45390" xr:uid="{9470E64D-8371-454B-B9BC-4F12E9C1DB5E}"/>
    <cellStyle name="Normal 12 6 4 4 3" xfId="20251" xr:uid="{9BDFE2D1-B1BE-45E6-885F-E9AC047C0836}"/>
    <cellStyle name="Normal 12 6 4 4 4" xfId="37010" xr:uid="{9A172719-8E0E-4733-8E84-E24DF436A8E9}"/>
    <cellStyle name="Normal 12 6 4 5" xfId="10180" xr:uid="{5A7DD001-7E8A-4A66-9B69-98BC4C994794}"/>
    <cellStyle name="Normal 12 6 4 5 2" xfId="26940" xr:uid="{AA7A8B1A-FA34-464C-9657-AB21AD417190}"/>
    <cellStyle name="Normal 12 6 4 5 3" xfId="43699" xr:uid="{EAB7ADF6-B2C4-4D05-8392-4BC7D520C1DC}"/>
    <cellStyle name="Normal 12 6 4 6" xfId="18560" xr:uid="{69307DEB-34D1-483D-B44E-77D14C1E885F}"/>
    <cellStyle name="Normal 12 6 4 7" xfId="35319" xr:uid="{7AEE6D14-C671-4D2A-9694-920F9583641C}"/>
    <cellStyle name="Normal 12 6 5" xfId="3910" xr:uid="{2542F7DF-6C20-4E44-B6BB-0D2328ECF33B}"/>
    <cellStyle name="Normal 12 6 5 2" xfId="12290" xr:uid="{F01A154C-D8C5-47F7-AA2B-31C96337BDDA}"/>
    <cellStyle name="Normal 12 6 5 2 2" xfId="29050" xr:uid="{C38DFEDC-18B0-43F8-9CAE-AD98D1664D0D}"/>
    <cellStyle name="Normal 12 6 5 2 3" xfId="45809" xr:uid="{F0EE4FB5-B446-49C1-A065-A983EDE45360}"/>
    <cellStyle name="Normal 12 6 5 3" xfId="20670" xr:uid="{1C58FCC5-6C12-41BB-B95A-A609987DB395}"/>
    <cellStyle name="Normal 12 6 5 4" xfId="37429" xr:uid="{62EDA76F-F954-482F-90D9-1E81D425A285}"/>
    <cellStyle name="Normal 12 6 6" xfId="5631" xr:uid="{F7EFCD78-43B7-4B4E-ABC0-B6EAF3E22874}"/>
    <cellStyle name="Normal 12 6 6 2" xfId="14011" xr:uid="{EC73A039-1ED9-4671-A850-B14E2ECC53A5}"/>
    <cellStyle name="Normal 12 6 6 2 2" xfId="30771" xr:uid="{448281EA-B9B2-43E4-96FE-A4CA83DC87DC}"/>
    <cellStyle name="Normal 12 6 6 2 3" xfId="47530" xr:uid="{D09B5925-2F16-49A9-BED7-870C0A30041D}"/>
    <cellStyle name="Normal 12 6 6 3" xfId="22391" xr:uid="{E60A3B1F-4F97-4611-9DAC-142D056A4291}"/>
    <cellStyle name="Normal 12 6 6 4" xfId="39150" xr:uid="{8D468D1B-CC4C-405C-B050-FADE8F2863E3}"/>
    <cellStyle name="Normal 12 6 7" xfId="7273" xr:uid="{0AFA1AFB-6AA4-4D02-961A-33C133F3F003}"/>
    <cellStyle name="Normal 12 6 7 2" xfId="15653" xr:uid="{10CE4379-8349-4900-B89E-6569B3F82D91}"/>
    <cellStyle name="Normal 12 6 7 2 2" xfId="32413" xr:uid="{BE84173E-68FD-4253-ACF1-53EC747E8FAB}"/>
    <cellStyle name="Normal 12 6 7 2 3" xfId="49172" xr:uid="{051A53FC-4779-4E5F-9D2B-445014A21C01}"/>
    <cellStyle name="Normal 12 6 7 3" xfId="24033" xr:uid="{47904FBB-821C-4300-B8C8-09596306F59C}"/>
    <cellStyle name="Normal 12 6 7 4" xfId="40792" xr:uid="{5E99B8E7-7088-41CD-8313-A81026197261}"/>
    <cellStyle name="Normal 12 6 8" xfId="7679" xr:uid="{2AFA8628-7898-46AF-BEB2-BD09BE7AC39F}"/>
    <cellStyle name="Normal 12 6 8 2" xfId="16059" xr:uid="{5AB37008-E21B-4935-9A05-F39F495A1785}"/>
    <cellStyle name="Normal 12 6 8 2 2" xfId="32819" xr:uid="{02207EE4-AF2F-4B35-83D4-AE4EB01B36C1}"/>
    <cellStyle name="Normal 12 6 8 2 3" xfId="49578" xr:uid="{AEA17FCE-46D2-4C12-988D-A0C88F86AE16}"/>
    <cellStyle name="Normal 12 6 8 3" xfId="24439" xr:uid="{B263F5E8-BA3F-4DF9-AC8D-01F31FD5AF05}"/>
    <cellStyle name="Normal 12 6 8 4" xfId="41198" xr:uid="{25BBAA2B-AEAA-49AF-A147-E42E732F190D}"/>
    <cellStyle name="Normal 12 6 9" xfId="8085" xr:uid="{683F65E6-77EB-4397-8F27-713ADBF4EE6C}"/>
    <cellStyle name="Normal 12 6 9 2" xfId="16465" xr:uid="{3E1C81A2-46F9-4E14-94BF-9B2D8A50073C}"/>
    <cellStyle name="Normal 12 6 9 2 2" xfId="33225" xr:uid="{FAED6C0C-C852-45B5-90A2-D74F7874C000}"/>
    <cellStyle name="Normal 12 6 9 2 3" xfId="49984" xr:uid="{81013AF7-2A7D-4F8B-B5CA-334CCA7E5842}"/>
    <cellStyle name="Normal 12 6 9 3" xfId="24845" xr:uid="{ACC66291-2FC5-4652-9ECC-6BEED3A57D1F}"/>
    <cellStyle name="Normal 12 6 9 4" xfId="41604" xr:uid="{8F5A1A82-38EB-4951-80FB-BF12D0E21ED0}"/>
    <cellStyle name="Normal 12 7" xfId="534" xr:uid="{0F764824-A7DF-4AF6-98BB-64B65C9B898C}"/>
    <cellStyle name="Normal 12 7 10" xfId="8603" xr:uid="{36536704-4681-4FF0-9AED-CF003E14B3D6}"/>
    <cellStyle name="Normal 12 7 10 2" xfId="16983" xr:uid="{9CDB0A81-5C02-44EB-B815-6B2B44F8AD9A}"/>
    <cellStyle name="Normal 12 7 10 2 2" xfId="33743" xr:uid="{4709634D-D920-4188-AB11-2A5DD538AB43}"/>
    <cellStyle name="Normal 12 7 10 2 3" xfId="50502" xr:uid="{31749642-1375-4931-B392-291F57811FA3}"/>
    <cellStyle name="Normal 12 7 10 3" xfId="25363" xr:uid="{44CD1913-77E9-4999-BFB7-F86559539653}"/>
    <cellStyle name="Normal 12 7 10 4" xfId="42122" xr:uid="{FD6312C2-833C-4E28-8CF4-BCD7DA00C3CA}"/>
    <cellStyle name="Normal 12 7 11" xfId="2366" xr:uid="{B2EA7689-FAC5-45BB-838B-3BFDCD051785}"/>
    <cellStyle name="Normal 12 7 11 2" xfId="10748" xr:uid="{3EF37109-1C83-402A-967C-46454FC41CEE}"/>
    <cellStyle name="Normal 12 7 11 2 2" xfId="27508" xr:uid="{8FE46DF7-DA8D-4A71-8A5D-B382A05524D8}"/>
    <cellStyle name="Normal 12 7 11 2 3" xfId="44267" xr:uid="{E09CE54A-4CC3-463A-B943-56609489CB13}"/>
    <cellStyle name="Normal 12 7 11 3" xfId="19128" xr:uid="{C49A0CDD-D78D-4C27-8BDD-2CAEBD2BBBEF}"/>
    <cellStyle name="Normal 12 7 11 4" xfId="35887" xr:uid="{B61600D2-D459-48A1-80F6-18262EC020AC}"/>
    <cellStyle name="Normal 12 7 12" xfId="8945" xr:uid="{A16BF3FF-3051-450A-ADF8-5F77F831B7EF}"/>
    <cellStyle name="Normal 12 7 12 2" xfId="25705" xr:uid="{AF7A82DD-A714-4393-8284-0C1A7596D74A}"/>
    <cellStyle name="Normal 12 7 12 3" xfId="42464" xr:uid="{5448E9BB-B4C3-4F0E-8BEB-3BEE5299B198}"/>
    <cellStyle name="Normal 12 7 13" xfId="17325" xr:uid="{816FF21A-75AB-4D67-8E61-D9392F8D7BB9}"/>
    <cellStyle name="Normal 12 7 14" xfId="34084" xr:uid="{C211C244-DF51-41E7-A6CA-1EB4F84D6E04}"/>
    <cellStyle name="Normal 12 7 2" xfId="976" xr:uid="{5941A004-347D-47CB-966C-E354452392A1}"/>
    <cellStyle name="Normal 12 7 2 2" xfId="4371" xr:uid="{47520B2A-A096-4417-9CC1-8FEBF8B0B28C}"/>
    <cellStyle name="Normal 12 7 2 2 2" xfId="12751" xr:uid="{9454DF84-9112-42B8-AB8D-AE3FBEDE5EB9}"/>
    <cellStyle name="Normal 12 7 2 2 2 2" xfId="29511" xr:uid="{84B10E26-8ABD-439D-A627-10C065482E68}"/>
    <cellStyle name="Normal 12 7 2 2 2 3" xfId="46270" xr:uid="{DC9047BB-9051-4AE8-9B60-1EE5BD0EDF09}"/>
    <cellStyle name="Normal 12 7 2 2 3" xfId="21131" xr:uid="{92B8C14A-D20A-47CD-846D-2A47CBE0B495}"/>
    <cellStyle name="Normal 12 7 2 2 4" xfId="37890" xr:uid="{95698DAA-BB90-4D9E-9CD8-D220FA1B4420}"/>
    <cellStyle name="Normal 12 7 2 3" xfId="6058" xr:uid="{F55D1623-CFBD-41B7-B09D-61A21DCD08E6}"/>
    <cellStyle name="Normal 12 7 2 3 2" xfId="14438" xr:uid="{48629F33-179B-4AD2-BA50-8140184A87BB}"/>
    <cellStyle name="Normal 12 7 2 3 2 2" xfId="31198" xr:uid="{4EA2F656-5C2B-4E57-BA3B-CFC4806DAF53}"/>
    <cellStyle name="Normal 12 7 2 3 2 3" xfId="47957" xr:uid="{07237260-199A-42DD-AB34-CD7873DA4FF8}"/>
    <cellStyle name="Normal 12 7 2 3 3" xfId="22818" xr:uid="{6826C901-735A-47E1-A6A9-4CBAF1013A70}"/>
    <cellStyle name="Normal 12 7 2 3 4" xfId="39577" xr:uid="{DEA51559-E305-4D3B-90EC-B32D8D372FD5}"/>
    <cellStyle name="Normal 12 7 2 4" xfId="2794" xr:uid="{6F2899B1-C9C8-4AB9-8F64-265EB67EDE57}"/>
    <cellStyle name="Normal 12 7 2 4 2" xfId="11174" xr:uid="{D4557470-8C90-473F-8D17-9506108157A6}"/>
    <cellStyle name="Normal 12 7 2 4 2 2" xfId="27934" xr:uid="{95E3C84F-CA93-433B-A268-FF2EF1C18FA2}"/>
    <cellStyle name="Normal 12 7 2 4 2 3" xfId="44693" xr:uid="{51150AB8-8E49-44C6-9DBF-9BA19262DB4B}"/>
    <cellStyle name="Normal 12 7 2 4 3" xfId="19554" xr:uid="{B0843F6B-0A34-46C7-9575-3A2C3DC4D7EB}"/>
    <cellStyle name="Normal 12 7 2 4 4" xfId="36313" xr:uid="{5D2B6F29-B30D-42B8-85CA-540D54179AF1}"/>
    <cellStyle name="Normal 12 7 2 5" xfId="9371" xr:uid="{68172CAE-0312-48FE-AFFF-E7722B548744}"/>
    <cellStyle name="Normal 12 7 2 5 2" xfId="26131" xr:uid="{D6200BD9-1FD1-415F-A841-500985F965B9}"/>
    <cellStyle name="Normal 12 7 2 5 3" xfId="42890" xr:uid="{4C311D38-1D90-4C2F-A07B-57C2075BCF2E}"/>
    <cellStyle name="Normal 12 7 2 6" xfId="17751" xr:uid="{80A0FF45-43B4-4C51-A6EA-E4F17BE00E4D}"/>
    <cellStyle name="Normal 12 7 2 7" xfId="34510" xr:uid="{A1545F7D-0BB1-438F-92D5-A24574CA9ACB}"/>
    <cellStyle name="Normal 12 7 3" xfId="1410" xr:uid="{EB1EC3DE-6C6A-414A-9851-8AF46F6619D2}"/>
    <cellStyle name="Normal 12 7 3 2" xfId="4799" xr:uid="{3F408662-6A3D-42D3-98D8-2FBC286FEF05}"/>
    <cellStyle name="Normal 12 7 3 2 2" xfId="13179" xr:uid="{A3E64EF6-E055-4D6F-A2C6-271022874329}"/>
    <cellStyle name="Normal 12 7 3 2 2 2" xfId="29939" xr:uid="{F3808C97-9BFB-416A-B39C-EDD5741A32AF}"/>
    <cellStyle name="Normal 12 7 3 2 2 3" xfId="46698" xr:uid="{9EAF8F31-B1D5-4CA5-A512-C84259677DB7}"/>
    <cellStyle name="Normal 12 7 3 2 3" xfId="21559" xr:uid="{8C310064-7E09-4151-A4C7-0AA6977F90D0}"/>
    <cellStyle name="Normal 12 7 3 2 4" xfId="38318" xr:uid="{57B38E75-6DB8-4191-BE5F-E0EE1383468B}"/>
    <cellStyle name="Normal 12 7 3 3" xfId="6486" xr:uid="{7A2F19D6-C17D-4B9E-9BE3-F4268374AEC2}"/>
    <cellStyle name="Normal 12 7 3 3 2" xfId="14866" xr:uid="{3A328F2C-E2B8-4D86-86D4-478AA6DBFBBF}"/>
    <cellStyle name="Normal 12 7 3 3 2 2" xfId="31626" xr:uid="{BB756CEB-68A2-4F69-BEC2-4F0E0299EB3F}"/>
    <cellStyle name="Normal 12 7 3 3 2 3" xfId="48385" xr:uid="{510C9888-015A-4EA5-B8B5-6999010A435D}"/>
    <cellStyle name="Normal 12 7 3 3 3" xfId="23246" xr:uid="{B86416CB-45D6-454C-A6B0-3DF82E7DF98E}"/>
    <cellStyle name="Normal 12 7 3 3 4" xfId="40005" xr:uid="{C4B92E85-0ADD-4AAE-9866-AF03F9AB7917}"/>
    <cellStyle name="Normal 12 7 3 4" xfId="3222" xr:uid="{47E3A9AC-061F-473B-9927-C34DD1F63CFC}"/>
    <cellStyle name="Normal 12 7 3 4 2" xfId="11602" xr:uid="{71AE2A10-C6DB-49BF-BDFD-8EDD408183E8}"/>
    <cellStyle name="Normal 12 7 3 4 2 2" xfId="28362" xr:uid="{57A9CD56-F03A-4C9D-94AF-3B39CAECDB5B}"/>
    <cellStyle name="Normal 12 7 3 4 2 3" xfId="45121" xr:uid="{69F22B07-4DFD-4650-9338-9FF51081B20C}"/>
    <cellStyle name="Normal 12 7 3 4 3" xfId="19982" xr:uid="{59A6804F-93C4-40AF-A5F5-30B51E006A5B}"/>
    <cellStyle name="Normal 12 7 3 4 4" xfId="36741" xr:uid="{A1CCBF10-3DB0-4683-A928-3629E5EFAC16}"/>
    <cellStyle name="Normal 12 7 3 5" xfId="9799" xr:uid="{C6B2EB6B-4848-4878-92FD-6CCCEC5CC40F}"/>
    <cellStyle name="Normal 12 7 3 5 2" xfId="26559" xr:uid="{2431260C-84F8-4DE6-814F-BB5235173D9C}"/>
    <cellStyle name="Normal 12 7 3 5 3" xfId="43318" xr:uid="{FDB05F10-1781-4661-9BED-C0646F8E3F33}"/>
    <cellStyle name="Normal 12 7 3 6" xfId="18179" xr:uid="{DE27F748-DA11-4CEB-BFCD-8CDBE25BA80A}"/>
    <cellStyle name="Normal 12 7 3 7" xfId="34938" xr:uid="{665B02FC-2E05-4546-B598-83EE8718D803}"/>
    <cellStyle name="Normal 12 7 4" xfId="1903" xr:uid="{C101C253-64BB-4031-9209-3BF20D8D2F12}"/>
    <cellStyle name="Normal 12 7 4 2" xfId="5292" xr:uid="{88A82AAF-3D67-4942-ABB2-9392FFA22573}"/>
    <cellStyle name="Normal 12 7 4 2 2" xfId="13672" xr:uid="{8936D534-E218-4D34-ABAD-9A89ADBA266C}"/>
    <cellStyle name="Normal 12 7 4 2 2 2" xfId="30432" xr:uid="{44A1B829-0F90-4052-809D-5283660B9147}"/>
    <cellStyle name="Normal 12 7 4 2 2 3" xfId="47191" xr:uid="{2D45E8A9-8AFF-47D6-A5B9-F39AF93DB54D}"/>
    <cellStyle name="Normal 12 7 4 2 3" xfId="22052" xr:uid="{9890CF4E-4C69-49EF-843B-A0DAD62DEE1C}"/>
    <cellStyle name="Normal 12 7 4 2 4" xfId="38811" xr:uid="{8EE91A49-CF2F-4E70-A6A0-DF30843A6B0B}"/>
    <cellStyle name="Normal 12 7 4 3" xfId="6979" xr:uid="{A82F5CD4-82B4-4310-8C46-898DA30CBD7C}"/>
    <cellStyle name="Normal 12 7 4 3 2" xfId="15359" xr:uid="{60150B24-D600-4C45-8BD7-CF0D4A3DCEEB}"/>
    <cellStyle name="Normal 12 7 4 3 2 2" xfId="32119" xr:uid="{23A9B45B-6F6B-4909-9332-60948C1FA49B}"/>
    <cellStyle name="Normal 12 7 4 3 2 3" xfId="48878" xr:uid="{28A2B3ED-2734-4667-AAF3-20E5B8C78A6A}"/>
    <cellStyle name="Normal 12 7 4 3 3" xfId="23739" xr:uid="{3D75669A-7AF0-4751-A24C-DB1489236AEF}"/>
    <cellStyle name="Normal 12 7 4 3 4" xfId="40498" xr:uid="{275ECEBF-DA85-4632-93B1-AF2D7A193908}"/>
    <cellStyle name="Normal 12 7 4 4" xfId="3602" xr:uid="{01FD6DB8-5694-4388-A718-CD08521D93C1}"/>
    <cellStyle name="Normal 12 7 4 4 2" xfId="11982" xr:uid="{472EAD31-6D89-481A-9C67-E17659BD2B2E}"/>
    <cellStyle name="Normal 12 7 4 4 2 2" xfId="28742" xr:uid="{AA7FE154-15D1-45C8-B074-DFF7540F25A2}"/>
    <cellStyle name="Normal 12 7 4 4 2 3" xfId="45501" xr:uid="{E02A6D89-E9B5-427C-BA12-829B97A13E34}"/>
    <cellStyle name="Normal 12 7 4 4 3" xfId="20362" xr:uid="{263BB8FB-7E3B-40E4-B7FB-959EBBDFF373}"/>
    <cellStyle name="Normal 12 7 4 4 4" xfId="37121" xr:uid="{F4241B39-B3C7-4AE6-B6AC-4E76D654CDC0}"/>
    <cellStyle name="Normal 12 7 4 5" xfId="10292" xr:uid="{723140C8-31FD-45F3-BEC1-B2E18D9A92A2}"/>
    <cellStyle name="Normal 12 7 4 5 2" xfId="27052" xr:uid="{EF5FC1F8-5C9A-4CD6-BD64-AF24B186FD3C}"/>
    <cellStyle name="Normal 12 7 4 5 3" xfId="43811" xr:uid="{7A3C01AF-AFFF-4EAF-82ED-0E7C13E99C2B}"/>
    <cellStyle name="Normal 12 7 4 6" xfId="18672" xr:uid="{AC36C482-4FA0-47CF-A3F1-586BC725A255}"/>
    <cellStyle name="Normal 12 7 4 7" xfId="35431" xr:uid="{B84D3C8F-E66D-42E3-AF24-5C42793DAE90}"/>
    <cellStyle name="Normal 12 7 5" xfId="4022" xr:uid="{52FC617D-8003-4C21-8125-091FF2272AAA}"/>
    <cellStyle name="Normal 12 7 5 2" xfId="12402" xr:uid="{14905545-87D2-4C17-B1F3-987817D7C70C}"/>
    <cellStyle name="Normal 12 7 5 2 2" xfId="29162" xr:uid="{741FDC41-C9BD-4072-AF44-B332F629AAED}"/>
    <cellStyle name="Normal 12 7 5 2 3" xfId="45921" xr:uid="{350988CE-73DD-45D1-A199-39B29043117D}"/>
    <cellStyle name="Normal 12 7 5 3" xfId="20782" xr:uid="{F6ED723B-B559-40D4-BF71-75DFA206CB34}"/>
    <cellStyle name="Normal 12 7 5 4" xfId="37541" xr:uid="{00600B4C-E55E-4017-9016-D5F5FA638ADE}"/>
    <cellStyle name="Normal 12 7 6" xfId="5632" xr:uid="{A29937BD-9E6B-4039-8330-60D1324B9B8D}"/>
    <cellStyle name="Normal 12 7 6 2" xfId="14012" xr:uid="{30D90552-D6D4-49CE-BBE2-94A3A24E640B}"/>
    <cellStyle name="Normal 12 7 6 2 2" xfId="30772" xr:uid="{97E6D048-609E-4BDA-91E4-75757A73EA93}"/>
    <cellStyle name="Normal 12 7 6 2 3" xfId="47531" xr:uid="{FE212BDB-FCCA-4843-B16C-C3832A2A6CB3}"/>
    <cellStyle name="Normal 12 7 6 3" xfId="22392" xr:uid="{2CC8BE94-EA78-4556-9370-1F341BCE0DC9}"/>
    <cellStyle name="Normal 12 7 6 4" xfId="39151" xr:uid="{6143260A-5533-490F-8B3A-9C48CC08DCFB}"/>
    <cellStyle name="Normal 12 7 7" xfId="7385" xr:uid="{282A8C4C-9BE4-46AE-A43D-3E0F81383E17}"/>
    <cellStyle name="Normal 12 7 7 2" xfId="15765" xr:uid="{21A8C4BC-7F9B-4F89-A44A-91B9A988674C}"/>
    <cellStyle name="Normal 12 7 7 2 2" xfId="32525" xr:uid="{123BFAC7-8ABC-4940-AF62-C6E746824FF4}"/>
    <cellStyle name="Normal 12 7 7 2 3" xfId="49284" xr:uid="{CD72F643-5F18-4D22-9752-183A00494D94}"/>
    <cellStyle name="Normal 12 7 7 3" xfId="24145" xr:uid="{5FCF50AC-698E-4149-ABBC-F9CD210753E5}"/>
    <cellStyle name="Normal 12 7 7 4" xfId="40904" xr:uid="{21F5D683-6BFC-4B66-98D4-A53E9E6A3667}"/>
    <cellStyle name="Normal 12 7 8" xfId="7791" xr:uid="{0A36459D-16A0-435F-97D2-FECD13CB91C3}"/>
    <cellStyle name="Normal 12 7 8 2" xfId="16171" xr:uid="{F8F78811-CE95-4463-94E0-E762A0F4E25E}"/>
    <cellStyle name="Normal 12 7 8 2 2" xfId="32931" xr:uid="{93E06C09-975D-48F9-8149-17871E7131C6}"/>
    <cellStyle name="Normal 12 7 8 2 3" xfId="49690" xr:uid="{1939BD58-A21E-4F9F-9A74-982D7663B2B3}"/>
    <cellStyle name="Normal 12 7 8 3" xfId="24551" xr:uid="{EC2E7CE8-6E03-4DED-BAFE-FA5EE86D0745}"/>
    <cellStyle name="Normal 12 7 8 4" xfId="41310" xr:uid="{798A8124-0EBD-47BA-9253-2EFBBE18AEF0}"/>
    <cellStyle name="Normal 12 7 9" xfId="8197" xr:uid="{FF2DCFAF-B300-425A-AB3B-0C972E2E756E}"/>
    <cellStyle name="Normal 12 7 9 2" xfId="16577" xr:uid="{2A4A2B09-4F62-4257-8E18-3527D5CB4739}"/>
    <cellStyle name="Normal 12 7 9 2 2" xfId="33337" xr:uid="{2BF3C718-12CA-4AE6-BA14-78F454CB92B0}"/>
    <cellStyle name="Normal 12 7 9 2 3" xfId="50096" xr:uid="{E302862C-F6F1-45DC-8611-DE0F5A52D162}"/>
    <cellStyle name="Normal 12 7 9 3" xfId="24957" xr:uid="{6555E1B6-E41C-443C-B3DF-1ACF90F5E317}"/>
    <cellStyle name="Normal 12 7 9 4" xfId="41716" xr:uid="{9089374F-8B38-48C9-A545-2A71A93BB3FE}"/>
    <cellStyle name="Normal 12 8" xfId="763" xr:uid="{FA325DE5-0C18-4BED-9A45-9D2A8EAB9CCE}"/>
    <cellStyle name="Normal 12 8 2" xfId="4158" xr:uid="{C2F7D24B-EB9F-4B42-90CD-76085439D39A}"/>
    <cellStyle name="Normal 12 8 2 2" xfId="12538" xr:uid="{2585706F-E6C6-4DC0-AA6A-C6816A529499}"/>
    <cellStyle name="Normal 12 8 2 2 2" xfId="29298" xr:uid="{DDCF9B13-A12D-4477-8BCD-EACB3C393B13}"/>
    <cellStyle name="Normal 12 8 2 2 3" xfId="46057" xr:uid="{24909346-D335-4571-9150-462BB206E92D}"/>
    <cellStyle name="Normal 12 8 2 3" xfId="20918" xr:uid="{D340611B-F786-4463-9851-DCCBBE42002D}"/>
    <cellStyle name="Normal 12 8 2 4" xfId="37677" xr:uid="{A2614D4E-19A6-44BB-A5AA-D8EE3FB0731B}"/>
    <cellStyle name="Normal 12 8 3" xfId="5845" xr:uid="{EF87F147-5248-4E80-8D4F-7D648C22CEC9}"/>
    <cellStyle name="Normal 12 8 3 2" xfId="14225" xr:uid="{1C5802C3-EFEA-4E7B-8093-17A0FD4294D0}"/>
    <cellStyle name="Normal 12 8 3 2 2" xfId="30985" xr:uid="{91C52425-F0EE-45A2-BBA0-292EAB4AC074}"/>
    <cellStyle name="Normal 12 8 3 2 3" xfId="47744" xr:uid="{857FA070-E25F-49B3-A601-E252468F55A5}"/>
    <cellStyle name="Normal 12 8 3 3" xfId="22605" xr:uid="{A1AD0ABC-41A4-4A9A-97CD-E285832272D8}"/>
    <cellStyle name="Normal 12 8 3 4" xfId="39364" xr:uid="{91F4FA95-109E-4BAA-8E62-234F8DC46FB8}"/>
    <cellStyle name="Normal 12 8 4" xfId="2581" xr:uid="{92D6C7D6-0A4D-455B-9926-26C9EEBC7A0B}"/>
    <cellStyle name="Normal 12 8 4 2" xfId="10961" xr:uid="{C6DC08CC-E3CF-42DD-8F4C-EA9FA0358742}"/>
    <cellStyle name="Normal 12 8 4 2 2" xfId="27721" xr:uid="{10503F81-4240-4342-857E-7BB4F956A257}"/>
    <cellStyle name="Normal 12 8 4 2 3" xfId="44480" xr:uid="{2499C8A1-5AC7-4257-B23F-BD2ED2C0DE29}"/>
    <cellStyle name="Normal 12 8 4 3" xfId="19341" xr:uid="{D3CEA139-B4C4-4CA6-A9B4-22A7CAE899FF}"/>
    <cellStyle name="Normal 12 8 4 4" xfId="36100" xr:uid="{470BD4AB-2CCE-4D82-B176-591CC46DBC8A}"/>
    <cellStyle name="Normal 12 8 5" xfId="9158" xr:uid="{3709C25B-89D9-45EC-9DB1-73F6D88FEFF4}"/>
    <cellStyle name="Normal 12 8 5 2" xfId="25918" xr:uid="{E682F4C3-D368-4548-BBDF-2ECBE9957AF7}"/>
    <cellStyle name="Normal 12 8 5 3" xfId="42677" xr:uid="{D8C2F2FE-3011-42D5-B0EF-82B48B7E2970}"/>
    <cellStyle name="Normal 12 8 6" xfId="17538" xr:uid="{8EA6F674-DCEF-4BE1-A3C7-ECD967B2BCF0}"/>
    <cellStyle name="Normal 12 8 7" xfId="34297" xr:uid="{B438609E-15EB-43AE-AFE1-8C814A17948A}"/>
    <cellStyle name="Normal 12 9" xfId="1197" xr:uid="{7EF369B3-E6CC-48B2-AF09-5DC18D113146}"/>
    <cellStyle name="Normal 12 9 2" xfId="4586" xr:uid="{585BE3EC-1FA0-4EB5-9FBA-98A775CB553E}"/>
    <cellStyle name="Normal 12 9 2 2" xfId="12966" xr:uid="{4BB2C914-7875-4AD4-BCC9-1DA2CF6DE1DF}"/>
    <cellStyle name="Normal 12 9 2 2 2" xfId="29726" xr:uid="{AFBBB057-B958-4368-85C0-CB95786B0469}"/>
    <cellStyle name="Normal 12 9 2 2 3" xfId="46485" xr:uid="{3F73EA17-30F0-4A06-AD2D-D023F693410A}"/>
    <cellStyle name="Normal 12 9 2 3" xfId="21346" xr:uid="{391ABB2C-4038-4BE2-9A2B-E94FFF38FBE2}"/>
    <cellStyle name="Normal 12 9 2 4" xfId="38105" xr:uid="{EEC900DE-D472-4088-8D0C-60102705D009}"/>
    <cellStyle name="Normal 12 9 3" xfId="6273" xr:uid="{227B9E7A-214B-49E6-866E-F2C0A465E5B9}"/>
    <cellStyle name="Normal 12 9 3 2" xfId="14653" xr:uid="{708A1CD1-ACDF-457D-A8B7-83B4A3D7D9B9}"/>
    <cellStyle name="Normal 12 9 3 2 2" xfId="31413" xr:uid="{4CD519B7-3A87-43F3-B599-B71AD18C9E8F}"/>
    <cellStyle name="Normal 12 9 3 2 3" xfId="48172" xr:uid="{2C3A3E01-F4A8-4777-8EF6-6C7C88402BBC}"/>
    <cellStyle name="Normal 12 9 3 3" xfId="23033" xr:uid="{B433A8BE-D518-4641-8F76-6365EAC8A2A0}"/>
    <cellStyle name="Normal 12 9 3 4" xfId="39792" xr:uid="{C04655D3-FF7C-447A-9C27-AEEA26D2B12C}"/>
    <cellStyle name="Normal 12 9 4" xfId="3009" xr:uid="{CAC0E338-3236-42C4-9959-E237DEE39722}"/>
    <cellStyle name="Normal 12 9 4 2" xfId="11389" xr:uid="{DC73C561-6121-40AB-B774-F40B98D945B0}"/>
    <cellStyle name="Normal 12 9 4 2 2" xfId="28149" xr:uid="{E3F81852-CEF2-4863-B723-DA1C17CFB2A9}"/>
    <cellStyle name="Normal 12 9 4 2 3" xfId="44908" xr:uid="{640F9873-8A45-492F-81D1-07FBB647A224}"/>
    <cellStyle name="Normal 12 9 4 3" xfId="19769" xr:uid="{92DB4A92-B761-49D0-BC22-D419F8E5D1B8}"/>
    <cellStyle name="Normal 12 9 4 4" xfId="36528" xr:uid="{561DA07C-FCF8-43EA-B722-92EFDE669491}"/>
    <cellStyle name="Normal 12 9 5" xfId="9586" xr:uid="{10032A97-166D-45B0-9509-29A048053D1D}"/>
    <cellStyle name="Normal 12 9 5 2" xfId="26346" xr:uid="{4597B1C4-9419-4512-A7F5-9860C4605429}"/>
    <cellStyle name="Normal 12 9 5 3" xfId="43105" xr:uid="{FE7BDF1B-789F-42F7-AB01-3189A849833C}"/>
    <cellStyle name="Normal 12 9 6" xfId="17966" xr:uid="{C5AE633E-3441-4798-887A-3645D860A8B4}"/>
    <cellStyle name="Normal 12 9 7" xfId="34725" xr:uid="{1E0002C2-9F9D-4AC8-A9E6-88E6020E25E3}"/>
    <cellStyle name="Normal 13" xfId="150" xr:uid="{0242911D-4DBF-43EF-BD82-12CD52B1CE8D}"/>
    <cellStyle name="Normal 13 10" xfId="1633" xr:uid="{611F79FC-4FEF-4F80-B79B-F07B81D3B3B0}"/>
    <cellStyle name="Normal 13 10 2" xfId="5022" xr:uid="{4521810C-398F-4CE0-8C4E-8694F09E193A}"/>
    <cellStyle name="Normal 13 10 2 2" xfId="13402" xr:uid="{FFE126AD-D35C-4557-AB9E-E064B9EDFD6A}"/>
    <cellStyle name="Normal 13 10 2 2 2" xfId="30162" xr:uid="{9ED02EB1-2237-49F7-A04A-FDAB7AAEFCF2}"/>
    <cellStyle name="Normal 13 10 2 2 3" xfId="46921" xr:uid="{19084CCF-B2BE-494B-A9FE-9E16D71213BF}"/>
    <cellStyle name="Normal 13 10 2 3" xfId="21782" xr:uid="{1BDB015E-719A-47DA-AE3A-004ADE7876B4}"/>
    <cellStyle name="Normal 13 10 2 4" xfId="38541" xr:uid="{E03DF305-21CE-46E4-86B5-D79F73C7EC5A}"/>
    <cellStyle name="Normal 13 10 3" xfId="6709" xr:uid="{BED9E8A3-A751-4D06-A10E-9AA4BBE3F6B7}"/>
    <cellStyle name="Normal 13 10 3 2" xfId="15089" xr:uid="{224E00DB-0962-48B9-866E-976D4CB19B75}"/>
    <cellStyle name="Normal 13 10 3 2 2" xfId="31849" xr:uid="{4606279C-A61F-4803-BDFE-539B6C80BA29}"/>
    <cellStyle name="Normal 13 10 3 2 3" xfId="48608" xr:uid="{16E899CC-EF7C-4734-AEFA-B7A5DC9FC656}"/>
    <cellStyle name="Normal 13 10 3 3" xfId="23469" xr:uid="{ED3EC8A5-697C-488B-BB5B-0D8E4478D203}"/>
    <cellStyle name="Normal 13 10 3 4" xfId="40228" xr:uid="{8E6627F5-E112-4EDD-B5AC-C308A125A609}"/>
    <cellStyle name="Normal 13 10 4" xfId="2154" xr:uid="{0BD83C39-7CAD-4BED-95C3-D5BC537A692D}"/>
    <cellStyle name="Normal 13 10 4 2" xfId="10542" xr:uid="{9A135262-FFB4-41F5-984D-23ED2371F5FE}"/>
    <cellStyle name="Normal 13 10 4 2 2" xfId="27302" xr:uid="{61FE1BF5-94AD-4C10-A03F-254627967073}"/>
    <cellStyle name="Normal 13 10 4 2 3" xfId="44061" xr:uid="{4D36639B-F4AF-4F6E-ACA1-6C6B17AE29FD}"/>
    <cellStyle name="Normal 13 10 4 3" xfId="18922" xr:uid="{0411BAA9-9AA1-4672-9699-D5DD5F3BB1C6}"/>
    <cellStyle name="Normal 13 10 4 4" xfId="35681" xr:uid="{1927E7DB-6110-44B7-BA9D-C5D72C69410D}"/>
    <cellStyle name="Normal 13 10 5" xfId="10022" xr:uid="{F327423C-06ED-412B-8B96-E04EB4E6BE32}"/>
    <cellStyle name="Normal 13 10 5 2" xfId="26782" xr:uid="{4D7DCCF9-732E-4B07-9D3D-CB0CFABE2B39}"/>
    <cellStyle name="Normal 13 10 5 3" xfId="43541" xr:uid="{A4349FD2-A81A-47AB-B2CF-80B108DC8A16}"/>
    <cellStyle name="Normal 13 10 6" xfId="18402" xr:uid="{E49BCD50-A465-4F6D-AEA8-6CDF47B6DF59}"/>
    <cellStyle name="Normal 13 10 7" xfId="35161" xr:uid="{2EF781D8-C8B6-467D-829B-D37F22D518C9}"/>
    <cellStyle name="Normal 13 11" xfId="3738" xr:uid="{FC66BE2F-5D24-49C4-AED0-5F18C5E71E74}"/>
    <cellStyle name="Normal 13 11 2" xfId="12118" xr:uid="{17107C63-0006-4342-AF6D-B9E4D9D8A058}"/>
    <cellStyle name="Normal 13 11 2 2" xfId="28878" xr:uid="{74F477E8-A856-48A2-B456-00BE690C4053}"/>
    <cellStyle name="Normal 13 11 2 3" xfId="45637" xr:uid="{36F6A68C-D7B5-4792-9D8A-92C3E26F70B7}"/>
    <cellStyle name="Normal 13 11 3" xfId="20498" xr:uid="{19C92F13-53CD-413C-9309-DD879B349EA2}"/>
    <cellStyle name="Normal 13 11 4" xfId="37257" xr:uid="{71EDBC30-7215-4B16-8B3F-0DDBC77DD41A}"/>
    <cellStyle name="Normal 13 12" xfId="5426" xr:uid="{28C7D297-286A-4E1B-A1A1-F7350C67C0CE}"/>
    <cellStyle name="Normal 13 12 2" xfId="13806" xr:uid="{A94F6BE1-3135-405A-B85A-BAF619F3896F}"/>
    <cellStyle name="Normal 13 12 2 2" xfId="30566" xr:uid="{89F37A6F-E7AA-4643-AAAF-60E3A420898C}"/>
    <cellStyle name="Normal 13 12 2 3" xfId="47325" xr:uid="{ED0DA93A-877F-4578-848D-CB55248AEA05}"/>
    <cellStyle name="Normal 13 12 3" xfId="22186" xr:uid="{74B8D903-AD00-4C69-BA20-BA608AB0EAAB}"/>
    <cellStyle name="Normal 13 12 4" xfId="38945" xr:uid="{51B7AC1B-5FA8-47F7-AE49-46C38EBDF72B}"/>
    <cellStyle name="Normal 13 13" xfId="7115" xr:uid="{A8DF8A39-4959-4091-BFB5-9D1CFADE3240}"/>
    <cellStyle name="Normal 13 13 2" xfId="15495" xr:uid="{22BBC767-8140-4E34-B25A-CA819B00455E}"/>
    <cellStyle name="Normal 13 13 2 2" xfId="32255" xr:uid="{F59CB9B7-AA07-42B7-8E62-9B5B7AA3D51F}"/>
    <cellStyle name="Normal 13 13 2 3" xfId="49014" xr:uid="{81BF87AF-6813-4B90-81E4-ED945FBF424A}"/>
    <cellStyle name="Normal 13 13 3" xfId="23875" xr:uid="{4FEEA2E0-2F06-4B02-854F-D50913D57175}"/>
    <cellStyle name="Normal 13 13 4" xfId="40634" xr:uid="{2343D1F1-F13A-4AC8-822C-4545E6040280}"/>
    <cellStyle name="Normal 13 14" xfId="7521" xr:uid="{9105E3C7-CFA7-4C87-8821-3F12FF9AA569}"/>
    <cellStyle name="Normal 13 14 2" xfId="15901" xr:uid="{EB24FC15-0BF5-496F-BEA5-67A8A55AC485}"/>
    <cellStyle name="Normal 13 14 2 2" xfId="32661" xr:uid="{DF47BD0D-B89E-4106-A34D-A8E820B8ACE2}"/>
    <cellStyle name="Normal 13 14 2 3" xfId="49420" xr:uid="{83FA9F98-2BD3-4FFB-9867-C61424DBFE67}"/>
    <cellStyle name="Normal 13 14 3" xfId="24281" xr:uid="{FB1B9F73-9D72-467A-A103-E565C23AE66B}"/>
    <cellStyle name="Normal 13 14 4" xfId="41040" xr:uid="{8AC4ED15-114F-46D0-9E7C-65A7AC876E24}"/>
    <cellStyle name="Normal 13 15" xfId="7927" xr:uid="{25E02F74-C428-45D0-AAAE-17B73F3F8303}"/>
    <cellStyle name="Normal 13 15 2" xfId="16307" xr:uid="{8157A08F-DD1F-4C1C-BB7E-101C0D5C3723}"/>
    <cellStyle name="Normal 13 15 2 2" xfId="33067" xr:uid="{913AB6B5-57E9-4996-B4FD-570FDA1147E3}"/>
    <cellStyle name="Normal 13 15 2 3" xfId="49826" xr:uid="{46FF77D8-FFFE-4841-B67B-35707AF521C3}"/>
    <cellStyle name="Normal 13 15 3" xfId="24687" xr:uid="{8EC72E7D-3FF9-4B20-BB1F-6745E25D0DCB}"/>
    <cellStyle name="Normal 13 15 4" xfId="41446" xr:uid="{3B6A729C-CDAB-4BDA-9630-BB92D69DECF0}"/>
    <cellStyle name="Normal 13 16" xfId="8333" xr:uid="{B6B10BDC-3BEF-4C31-9778-D4A25F290708}"/>
    <cellStyle name="Normal 13 16 2" xfId="16713" xr:uid="{1B845ECE-2266-471A-9232-BC935B705F4A}"/>
    <cellStyle name="Normal 13 16 2 2" xfId="33473" xr:uid="{C8DB6BC4-B2E1-4E68-B71F-F40A89D0851E}"/>
    <cellStyle name="Normal 13 16 2 3" xfId="50232" xr:uid="{3EB57966-EB27-4DE3-B390-D38482DDF473}"/>
    <cellStyle name="Normal 13 16 3" xfId="25093" xr:uid="{81956E78-235A-4890-91D5-371226B42025}"/>
    <cellStyle name="Normal 13 16 4" xfId="41852" xr:uid="{5C85876D-4CAE-4829-9756-1BAE5A2ED9C5}"/>
    <cellStyle name="Normal 13 17" xfId="2042" xr:uid="{A0E4E4D9-C826-4867-89F5-A8D1B17B4A80}"/>
    <cellStyle name="Normal 13 17 2" xfId="10430" xr:uid="{AA99D8F8-6E67-44E7-859B-BA76AA3F4B86}"/>
    <cellStyle name="Normal 13 17 2 2" xfId="27190" xr:uid="{B12354FA-3138-4D5D-BDF3-F5A8CE560EE5}"/>
    <cellStyle name="Normal 13 17 2 3" xfId="43949" xr:uid="{5DED4226-AB36-40EC-A845-EC9C2ED5147F}"/>
    <cellStyle name="Normal 13 17 3" xfId="18810" xr:uid="{19B6DCF0-FBE4-44F4-BAB8-94557D18E5D0}"/>
    <cellStyle name="Normal 13 17 4" xfId="35569" xr:uid="{F36C82BE-72F0-40BF-8654-3BFABD5A7208}"/>
    <cellStyle name="Normal 13 18" xfId="8739" xr:uid="{CFADC24C-58C8-4D31-A51A-BCC2F931619C}"/>
    <cellStyle name="Normal 13 18 2" xfId="25499" xr:uid="{C696DABA-1740-4075-A823-BB0734F41EF4}"/>
    <cellStyle name="Normal 13 18 3" xfId="42258" xr:uid="{88C6EFD9-D5EB-4DBE-94B7-9A5F68758892}"/>
    <cellStyle name="Normal 13 19" xfId="17119" xr:uid="{FADC14BF-6FD1-4DEA-88BB-350764B844C1}"/>
    <cellStyle name="Normal 13 2" xfId="224" xr:uid="{97A9147F-3CBD-4AA5-8ACA-6F40EBDE40B5}"/>
    <cellStyle name="Normal 13 2 10" xfId="7149" xr:uid="{60AA13A1-8967-48FC-9B6D-9332FF9F7B8A}"/>
    <cellStyle name="Normal 13 2 10 2" xfId="15529" xr:uid="{0A611BFA-F8BE-40D4-9169-E3016B8E82A8}"/>
    <cellStyle name="Normal 13 2 10 2 2" xfId="32289" xr:uid="{AD6281E7-39AC-42B8-B46B-7996F9DE93F1}"/>
    <cellStyle name="Normal 13 2 10 2 3" xfId="49048" xr:uid="{CF5753BE-B3A1-4EF7-8E48-48820B4E99B0}"/>
    <cellStyle name="Normal 13 2 10 3" xfId="23909" xr:uid="{92F7BC22-78ED-4EF7-93D5-1C256DB160BA}"/>
    <cellStyle name="Normal 13 2 10 4" xfId="40668" xr:uid="{0FF8134B-D0D0-45FC-A969-8B7874698A52}"/>
    <cellStyle name="Normal 13 2 11" xfId="7555" xr:uid="{F53299D6-BCDB-489A-AAD0-B552FCDE9D7A}"/>
    <cellStyle name="Normal 13 2 11 2" xfId="15935" xr:uid="{33CA3BEA-6DD1-4861-8854-BD23E91C3A62}"/>
    <cellStyle name="Normal 13 2 11 2 2" xfId="32695" xr:uid="{F9226B83-72FF-49E0-990B-08FE2B57B4B8}"/>
    <cellStyle name="Normal 13 2 11 2 3" xfId="49454" xr:uid="{DAD2F2A1-F930-4815-AD5C-6B1A470F95E3}"/>
    <cellStyle name="Normal 13 2 11 3" xfId="24315" xr:uid="{AA64E61D-135A-4A6F-BD12-0BF520626A93}"/>
    <cellStyle name="Normal 13 2 11 4" xfId="41074" xr:uid="{795D46AF-95A2-43EE-AE4E-E540D5956D9F}"/>
    <cellStyle name="Normal 13 2 12" xfId="7961" xr:uid="{4BBF8763-C648-48A6-903D-28CF9937A006}"/>
    <cellStyle name="Normal 13 2 12 2" xfId="16341" xr:uid="{B61E7119-7C54-4E89-A4A0-EF615511DDA4}"/>
    <cellStyle name="Normal 13 2 12 2 2" xfId="33101" xr:uid="{385AFBC9-707C-4D14-B5F0-A5B2801774EF}"/>
    <cellStyle name="Normal 13 2 12 2 3" xfId="49860" xr:uid="{5CF43622-8A6E-4784-9F31-E0E9E69A0D5B}"/>
    <cellStyle name="Normal 13 2 12 3" xfId="24721" xr:uid="{2CAB858E-7398-49A5-9DD8-67D8A0168A99}"/>
    <cellStyle name="Normal 13 2 12 4" xfId="41480" xr:uid="{AE6FE9FB-41E1-47F5-BFB8-24ED9A0D9211}"/>
    <cellStyle name="Normal 13 2 13" xfId="8367" xr:uid="{4F2C33A7-6BE8-4A25-B35B-366FE9F469F6}"/>
    <cellStyle name="Normal 13 2 13 2" xfId="16747" xr:uid="{95D4D5A9-50A9-4A29-8DB3-208A62F48CB1}"/>
    <cellStyle name="Normal 13 2 13 2 2" xfId="33507" xr:uid="{D0C34E5A-5328-4E32-93B9-A68DBFDFC083}"/>
    <cellStyle name="Normal 13 2 13 2 3" xfId="50266" xr:uid="{2E5D616C-70F1-47FB-AB44-FE505092AFB0}"/>
    <cellStyle name="Normal 13 2 13 3" xfId="25127" xr:uid="{06A7E08E-578F-4E18-B7B7-C4B8307F0AAA}"/>
    <cellStyle name="Normal 13 2 13 4" xfId="41886" xr:uid="{99B5B7F6-50D8-46CF-BF5A-7BC88CD2FF10}"/>
    <cellStyle name="Normal 13 2 14" xfId="2060" xr:uid="{D99C5099-B801-4634-B421-497308581602}"/>
    <cellStyle name="Normal 13 2 14 2" xfId="10448" xr:uid="{D9DFA8E1-DCD3-4E02-8D9B-5EBDEB2F25F2}"/>
    <cellStyle name="Normal 13 2 14 2 2" xfId="27208" xr:uid="{1ABF8C9F-1472-41E7-BC96-CB6D59CDF576}"/>
    <cellStyle name="Normal 13 2 14 2 3" xfId="43967" xr:uid="{50CE59D3-2D6C-4B64-B2F1-CD17289BB366}"/>
    <cellStyle name="Normal 13 2 14 3" xfId="18828" xr:uid="{9DB4F3B9-1E2B-45B3-A907-C3ACA21FED10}"/>
    <cellStyle name="Normal 13 2 14 4" xfId="35587" xr:uid="{1BCF361F-A382-44FC-AE96-562D91217731}"/>
    <cellStyle name="Normal 13 2 15" xfId="8767" xr:uid="{0D3BFFDF-A04A-464C-96B7-E7A31F72BAA3}"/>
    <cellStyle name="Normal 13 2 15 2" xfId="25527" xr:uid="{32889C37-1E98-4E7A-966B-2091C941D127}"/>
    <cellStyle name="Normal 13 2 15 3" xfId="42286" xr:uid="{D50C9C86-1109-44DA-8897-17540804B32E}"/>
    <cellStyle name="Normal 13 2 16" xfId="17147" xr:uid="{0E0960B1-0BDB-47DF-9E0E-8B71420EC4BB}"/>
    <cellStyle name="Normal 13 2 17" xfId="33906" xr:uid="{1D5065AE-A433-492E-938E-DDDB5A8BC4B6}"/>
    <cellStyle name="Normal 13 2 18" xfId="294" xr:uid="{C99FF3AC-56EF-4F0B-AD2C-6101AD9111A4}"/>
    <cellStyle name="Normal 13 2 2" xfId="377" xr:uid="{E48ADF4F-79F6-4F35-A535-615ACC53567F}"/>
    <cellStyle name="Normal 13 2 2 10" xfId="7609" xr:uid="{99C665AA-4ED5-4A4E-9014-D0781587006C}"/>
    <cellStyle name="Normal 13 2 2 10 2" xfId="15989" xr:uid="{78C4BCD7-BA72-423F-B1EE-BC0BB756FFF7}"/>
    <cellStyle name="Normal 13 2 2 10 2 2" xfId="32749" xr:uid="{87AB008A-4FF4-4332-A7FC-3D6BF40E41CF}"/>
    <cellStyle name="Normal 13 2 2 10 2 3" xfId="49508" xr:uid="{72BEAA24-7752-49C1-B366-03650F5F965F}"/>
    <cellStyle name="Normal 13 2 2 10 3" xfId="24369" xr:uid="{3DCDE207-C6A8-470B-B33A-BD51856915DB}"/>
    <cellStyle name="Normal 13 2 2 10 4" xfId="41128" xr:uid="{237281F2-3CD8-403B-880F-CF9BD4F4F5A0}"/>
    <cellStyle name="Normal 13 2 2 11" xfId="8015" xr:uid="{F11B6272-C5EA-4B74-B929-61D89FBDC232}"/>
    <cellStyle name="Normal 13 2 2 11 2" xfId="16395" xr:uid="{C7879445-8639-431B-885C-4E92764F398C}"/>
    <cellStyle name="Normal 13 2 2 11 2 2" xfId="33155" xr:uid="{D793C010-59A4-4682-B1FA-3635131CFDB2}"/>
    <cellStyle name="Normal 13 2 2 11 2 3" xfId="49914" xr:uid="{1E167A50-3F11-417B-B7FF-FEC0218B3790}"/>
    <cellStyle name="Normal 13 2 2 11 3" xfId="24775" xr:uid="{F5406AFF-A9B5-4A41-AF39-A62E0B29B5D9}"/>
    <cellStyle name="Normal 13 2 2 11 4" xfId="41534" xr:uid="{91B827A0-A375-4982-AE5E-7FB039FD458F}"/>
    <cellStyle name="Normal 13 2 2 12" xfId="8421" xr:uid="{4B68DF7A-75A2-4607-847D-6096107FF518}"/>
    <cellStyle name="Normal 13 2 2 12 2" xfId="16801" xr:uid="{02FBE509-66A3-4666-A08C-0FA92794DD33}"/>
    <cellStyle name="Normal 13 2 2 12 2 2" xfId="33561" xr:uid="{76BF2C46-EB0A-4C50-B5B7-F3C5E939A484}"/>
    <cellStyle name="Normal 13 2 2 12 2 3" xfId="50320" xr:uid="{7144DA37-5A9A-453E-9642-9AEF3D9F2072}"/>
    <cellStyle name="Normal 13 2 2 12 3" xfId="25181" xr:uid="{A6472C51-E328-42A0-A50A-680F1872E4FE}"/>
    <cellStyle name="Normal 13 2 2 12 4" xfId="41940" xr:uid="{F2BEA89D-5CE4-4849-8EDB-CBDA0BBFDCCB}"/>
    <cellStyle name="Normal 13 2 2 13" xfId="2260" xr:uid="{AE268608-B234-433D-A149-8B14B79454CD}"/>
    <cellStyle name="Normal 13 2 2 13 2" xfId="10644" xr:uid="{4CEFE87B-6E29-4E7F-9FCD-409C54C3098A}"/>
    <cellStyle name="Normal 13 2 2 13 2 2" xfId="27404" xr:uid="{3C1E4786-28B3-4643-9444-C7DB80CE79CA}"/>
    <cellStyle name="Normal 13 2 2 13 2 3" xfId="44163" xr:uid="{3ED13EEA-AAB0-4297-86FE-4AA1D9E4E174}"/>
    <cellStyle name="Normal 13 2 2 13 3" xfId="19024" xr:uid="{62E54C20-2774-4970-9C4F-21778D5AE03B}"/>
    <cellStyle name="Normal 13 2 2 13 4" xfId="35783" xr:uid="{5DB42E30-B645-4A0D-AF92-87B1E10A14B4}"/>
    <cellStyle name="Normal 13 2 2 14" xfId="8841" xr:uid="{907348B1-CCC9-4BF2-BACB-B0808134E93E}"/>
    <cellStyle name="Normal 13 2 2 14 2" xfId="25601" xr:uid="{AD06EA1B-6D18-4DAE-ACF2-AFD345AC23DE}"/>
    <cellStyle name="Normal 13 2 2 14 3" xfId="42360" xr:uid="{5424FD78-9178-4C52-BE12-063941A9EBCB}"/>
    <cellStyle name="Normal 13 2 2 15" xfId="17221" xr:uid="{C378FD2D-7F28-413A-9A19-B64B3EA9006D}"/>
    <cellStyle name="Normal 13 2 2 16" xfId="33980" xr:uid="{F69D9543-B560-42D9-8EA7-A886BAEE819A}"/>
    <cellStyle name="Normal 13 2 2 2" xfId="535" xr:uid="{01BD4F17-3E06-4384-9A66-535B0471C364}"/>
    <cellStyle name="Normal 13 2 2 2 10" xfId="8499" xr:uid="{AA5DFA36-C3BB-4597-B4EE-DFF337A017C6}"/>
    <cellStyle name="Normal 13 2 2 2 10 2" xfId="16879" xr:uid="{B86BA865-33D5-4CE5-B360-BECE74BEC107}"/>
    <cellStyle name="Normal 13 2 2 2 10 2 2" xfId="33639" xr:uid="{25384797-8DBF-4478-A62A-841B6F0DC7E1}"/>
    <cellStyle name="Normal 13 2 2 2 10 2 3" xfId="50398" xr:uid="{98508E9B-214E-4B13-B695-8DB2548DA0CC}"/>
    <cellStyle name="Normal 13 2 2 2 10 3" xfId="25259" xr:uid="{9E2CD258-C591-412E-9967-3216210B2460}"/>
    <cellStyle name="Normal 13 2 2 2 10 4" xfId="42018" xr:uid="{240AEE2F-FF61-4CFD-8BC8-98BF26D3C0F1}"/>
    <cellStyle name="Normal 13 2 2 2 11" xfId="2367" xr:uid="{25C05552-9E25-4410-85D2-A3818CDB4DE2}"/>
    <cellStyle name="Normal 13 2 2 2 11 2" xfId="10749" xr:uid="{28FD42D6-E756-413B-A969-936B677D2A41}"/>
    <cellStyle name="Normal 13 2 2 2 11 2 2" xfId="27509" xr:uid="{3958F07A-333C-4CA4-8B90-719AC398745E}"/>
    <cellStyle name="Normal 13 2 2 2 11 2 3" xfId="44268" xr:uid="{143BF2DC-6A33-4CF5-A896-D6225D2FBBD5}"/>
    <cellStyle name="Normal 13 2 2 2 11 3" xfId="19129" xr:uid="{F9281EE4-CFD0-466B-80A3-265FE8E9578B}"/>
    <cellStyle name="Normal 13 2 2 2 11 4" xfId="35888" xr:uid="{EA33C350-CA70-4AE4-A812-5FC982B7CE37}"/>
    <cellStyle name="Normal 13 2 2 2 12" xfId="8946" xr:uid="{60EE9C56-69F4-428B-8224-4783873C042F}"/>
    <cellStyle name="Normal 13 2 2 2 12 2" xfId="25706" xr:uid="{C4B8046B-06C1-45DB-A0BA-3C48E343804B}"/>
    <cellStyle name="Normal 13 2 2 2 12 3" xfId="42465" xr:uid="{D7DEDD61-605B-4FC2-AB99-686684212366}"/>
    <cellStyle name="Normal 13 2 2 2 13" xfId="17326" xr:uid="{A1CC4EDD-695A-4E0E-824A-0FF714D2752D}"/>
    <cellStyle name="Normal 13 2 2 2 14" xfId="34085" xr:uid="{FEBF456C-744A-4D15-9EB6-F0FDC4D5B84A}"/>
    <cellStyle name="Normal 13 2 2 2 2" xfId="977" xr:uid="{9AF7E902-D07B-420F-9348-464AD717236E}"/>
    <cellStyle name="Normal 13 2 2 2 2 2" xfId="4372" xr:uid="{FC3EBB2D-2890-4EAB-BD39-BDE591A7FCA8}"/>
    <cellStyle name="Normal 13 2 2 2 2 2 2" xfId="12752" xr:uid="{BD8BE763-709F-49B1-8E4C-AB8FC5E971B9}"/>
    <cellStyle name="Normal 13 2 2 2 2 2 2 2" xfId="29512" xr:uid="{0FAE8531-DCF5-4B38-B592-D6C93A88E022}"/>
    <cellStyle name="Normal 13 2 2 2 2 2 2 3" xfId="46271" xr:uid="{00E70276-FCEE-45CD-B6D6-8C880E49E187}"/>
    <cellStyle name="Normal 13 2 2 2 2 2 3" xfId="21132" xr:uid="{1CE7C87D-5C77-4A58-81DC-A90E73D89313}"/>
    <cellStyle name="Normal 13 2 2 2 2 2 4" xfId="37891" xr:uid="{316DD398-FF85-421F-BBEF-187EA4FE0B43}"/>
    <cellStyle name="Normal 13 2 2 2 2 3" xfId="6059" xr:uid="{8589FFFC-3270-48CB-BF1F-41C811133B0E}"/>
    <cellStyle name="Normal 13 2 2 2 2 3 2" xfId="14439" xr:uid="{9EB57A42-369F-44C7-948F-004BC4409B88}"/>
    <cellStyle name="Normal 13 2 2 2 2 3 2 2" xfId="31199" xr:uid="{CE26DDDD-BBA8-494C-9DB9-0F8D2CC9B79B}"/>
    <cellStyle name="Normal 13 2 2 2 2 3 2 3" xfId="47958" xr:uid="{6213FB47-1CCB-43A9-A6AF-2B3C68498633}"/>
    <cellStyle name="Normal 13 2 2 2 2 3 3" xfId="22819" xr:uid="{42E06189-F8D2-49BC-A822-CA7D6BA377D2}"/>
    <cellStyle name="Normal 13 2 2 2 2 3 4" xfId="39578" xr:uid="{A86D5166-37E7-40C9-99BD-673AA198F7BD}"/>
    <cellStyle name="Normal 13 2 2 2 2 4" xfId="2795" xr:uid="{9B01025C-9229-4FA3-9EE1-FCC119524F37}"/>
    <cellStyle name="Normal 13 2 2 2 2 4 2" xfId="11175" xr:uid="{0F9CE914-7CBF-4333-A91F-9464A9AAFBE2}"/>
    <cellStyle name="Normal 13 2 2 2 2 4 2 2" xfId="27935" xr:uid="{DF8B2151-0E17-4382-B7C7-D51579240EF3}"/>
    <cellStyle name="Normal 13 2 2 2 2 4 2 3" xfId="44694" xr:uid="{F8577E8A-EC79-4A89-B273-950BBFB834CD}"/>
    <cellStyle name="Normal 13 2 2 2 2 4 3" xfId="19555" xr:uid="{35A2A70B-2493-40FD-90C2-FB9F60C160E0}"/>
    <cellStyle name="Normal 13 2 2 2 2 4 4" xfId="36314" xr:uid="{409177D4-05BC-467D-8112-1FB790198A2F}"/>
    <cellStyle name="Normal 13 2 2 2 2 5" xfId="9372" xr:uid="{C9DE4089-8F9B-4329-BB1D-1CA715A91922}"/>
    <cellStyle name="Normal 13 2 2 2 2 5 2" xfId="26132" xr:uid="{40CBF500-4D1F-489A-A267-DE0ABC7C7F19}"/>
    <cellStyle name="Normal 13 2 2 2 2 5 3" xfId="42891" xr:uid="{3A7F3C74-B33F-4B13-BA13-93B1A3E29B2D}"/>
    <cellStyle name="Normal 13 2 2 2 2 6" xfId="17752" xr:uid="{A128F89C-BE44-4682-A311-934FA872CFF5}"/>
    <cellStyle name="Normal 13 2 2 2 2 7" xfId="34511" xr:uid="{79330543-F5AF-4470-8D84-D5BBD5B031E3}"/>
    <cellStyle name="Normal 13 2 2 2 3" xfId="1411" xr:uid="{BAFAB133-53D6-421C-856E-2AE8F30167C8}"/>
    <cellStyle name="Normal 13 2 2 2 3 2" xfId="4800" xr:uid="{3720D52B-A990-4F60-835D-82FF74184398}"/>
    <cellStyle name="Normal 13 2 2 2 3 2 2" xfId="13180" xr:uid="{AB887F12-C7EB-467E-8AAC-980CC4658535}"/>
    <cellStyle name="Normal 13 2 2 2 3 2 2 2" xfId="29940" xr:uid="{7D7EF998-3D8D-48D4-AC5F-128222242487}"/>
    <cellStyle name="Normal 13 2 2 2 3 2 2 3" xfId="46699" xr:uid="{3C71F4BE-7037-4E2B-85BD-C3706B6D9BCF}"/>
    <cellStyle name="Normal 13 2 2 2 3 2 3" xfId="21560" xr:uid="{1560F46B-DB97-435B-9661-E0AF3E9C9A48}"/>
    <cellStyle name="Normal 13 2 2 2 3 2 4" xfId="38319" xr:uid="{1E97B985-469B-4A94-BE4E-96685CBFE97A}"/>
    <cellStyle name="Normal 13 2 2 2 3 3" xfId="6487" xr:uid="{CDF42CAC-286E-4A47-A97B-3FC04B9BCBC1}"/>
    <cellStyle name="Normal 13 2 2 2 3 3 2" xfId="14867" xr:uid="{832DD11D-5C71-45FD-89B2-A63BC939A2B1}"/>
    <cellStyle name="Normal 13 2 2 2 3 3 2 2" xfId="31627" xr:uid="{129D1EFA-C637-445D-AE91-EB8BA5A2267F}"/>
    <cellStyle name="Normal 13 2 2 2 3 3 2 3" xfId="48386" xr:uid="{E59EB616-8B5C-4A99-AB8B-73273779BF12}"/>
    <cellStyle name="Normal 13 2 2 2 3 3 3" xfId="23247" xr:uid="{21AB0196-9F2B-4589-8A64-A0A90E604F9E}"/>
    <cellStyle name="Normal 13 2 2 2 3 3 4" xfId="40006" xr:uid="{48731880-5046-46AC-A648-3275E9D9ADD8}"/>
    <cellStyle name="Normal 13 2 2 2 3 4" xfId="3223" xr:uid="{509F6050-623D-4F0D-8BA3-AEB247E99F72}"/>
    <cellStyle name="Normal 13 2 2 2 3 4 2" xfId="11603" xr:uid="{835E422A-512A-42BB-8F3E-459CA9186350}"/>
    <cellStyle name="Normal 13 2 2 2 3 4 2 2" xfId="28363" xr:uid="{3FC7853A-675D-489E-9D63-81CEA1128D48}"/>
    <cellStyle name="Normal 13 2 2 2 3 4 2 3" xfId="45122" xr:uid="{C72BC6BD-1387-4E19-98C5-E9DA374579E6}"/>
    <cellStyle name="Normal 13 2 2 2 3 4 3" xfId="19983" xr:uid="{CB67EF15-5DDC-4E50-A0D3-ACADFCB4EB3D}"/>
    <cellStyle name="Normal 13 2 2 2 3 4 4" xfId="36742" xr:uid="{948C6A99-8788-4FEC-93F9-29049D6300C7}"/>
    <cellStyle name="Normal 13 2 2 2 3 5" xfId="9800" xr:uid="{C2003BFF-B6C3-47AC-B96B-B9385081D266}"/>
    <cellStyle name="Normal 13 2 2 2 3 5 2" xfId="26560" xr:uid="{35619C7D-81FC-4205-871A-7A0EE4306C9D}"/>
    <cellStyle name="Normal 13 2 2 2 3 5 3" xfId="43319" xr:uid="{3E4D90C5-966F-4F8B-A9B0-5D7E60531EC0}"/>
    <cellStyle name="Normal 13 2 2 2 3 6" xfId="18180" xr:uid="{B0E7DF2C-BE27-4D46-BF70-696AF3669101}"/>
    <cellStyle name="Normal 13 2 2 2 3 7" xfId="34939" xr:uid="{3A73C4E8-FE3F-41E9-9AA0-AF9F5F61DCD5}"/>
    <cellStyle name="Normal 13 2 2 2 4" xfId="1799" xr:uid="{351D6B24-CAC8-476F-A804-9B299AA5BDE9}"/>
    <cellStyle name="Normal 13 2 2 2 4 2" xfId="5188" xr:uid="{4320F63B-4527-4E7D-A78B-96FD3AF8D334}"/>
    <cellStyle name="Normal 13 2 2 2 4 2 2" xfId="13568" xr:uid="{EB521ACE-4E96-4F30-8315-6E0470399698}"/>
    <cellStyle name="Normal 13 2 2 2 4 2 2 2" xfId="30328" xr:uid="{0B9C6394-BDBE-410D-8533-0708E7E59B2C}"/>
    <cellStyle name="Normal 13 2 2 2 4 2 2 3" xfId="47087" xr:uid="{E8431B9A-F5F0-4B68-A1C8-850A78981AFA}"/>
    <cellStyle name="Normal 13 2 2 2 4 2 3" xfId="21948" xr:uid="{E867B433-B2DC-4BD6-AFEC-4AA49201D6B2}"/>
    <cellStyle name="Normal 13 2 2 2 4 2 4" xfId="38707" xr:uid="{343F664F-026A-46E1-A5FE-B34AA46C7A84}"/>
    <cellStyle name="Normal 13 2 2 2 4 3" xfId="6875" xr:uid="{0044E798-57B1-495A-94C5-9C1744D43974}"/>
    <cellStyle name="Normal 13 2 2 2 4 3 2" xfId="15255" xr:uid="{29B46FDA-9114-4748-B3D1-55E3C53BDD8E}"/>
    <cellStyle name="Normal 13 2 2 2 4 3 2 2" xfId="32015" xr:uid="{503F45EB-2CB5-4089-A76C-EA6160C8CA16}"/>
    <cellStyle name="Normal 13 2 2 2 4 3 2 3" xfId="48774" xr:uid="{3BBCDF89-9543-4D19-AF49-BDE2D375ACBF}"/>
    <cellStyle name="Normal 13 2 2 2 4 3 3" xfId="23635" xr:uid="{27852839-0E3F-485F-BEEB-F9B1EDAC26ED}"/>
    <cellStyle name="Normal 13 2 2 2 4 3 4" xfId="40394" xr:uid="{02AA951E-8D8F-40B3-9D2E-02571FD5E640}"/>
    <cellStyle name="Normal 13 2 2 2 4 4" xfId="3499" xr:uid="{322FBB18-A634-4835-AB08-2CE9437D54AE}"/>
    <cellStyle name="Normal 13 2 2 2 4 4 2" xfId="11879" xr:uid="{2FD05A20-45A2-4226-89A2-B1301FBAA2F6}"/>
    <cellStyle name="Normal 13 2 2 2 4 4 2 2" xfId="28639" xr:uid="{BDA25ECA-161E-4DD3-8517-0A6C706C339D}"/>
    <cellStyle name="Normal 13 2 2 2 4 4 2 3" xfId="45398" xr:uid="{A2C8D996-EF80-4501-B7C1-DBFF3A6636CD}"/>
    <cellStyle name="Normal 13 2 2 2 4 4 3" xfId="20259" xr:uid="{5109580B-5B78-4D2B-9C06-BBF8B1117A57}"/>
    <cellStyle name="Normal 13 2 2 2 4 4 4" xfId="37018" xr:uid="{6CDAA8B1-61E8-435D-8E20-E48B452E3D79}"/>
    <cellStyle name="Normal 13 2 2 2 4 5" xfId="10188" xr:uid="{CA6EB2E1-D30F-4857-8FF7-908678581E10}"/>
    <cellStyle name="Normal 13 2 2 2 4 5 2" xfId="26948" xr:uid="{52CC5602-55E8-4937-8503-5686FD902C37}"/>
    <cellStyle name="Normal 13 2 2 2 4 5 3" xfId="43707" xr:uid="{449C0CA6-A03E-44BD-97C8-E1E55DD60BDB}"/>
    <cellStyle name="Normal 13 2 2 2 4 6" xfId="18568" xr:uid="{FEB662DA-E0BE-429C-8294-811177755B11}"/>
    <cellStyle name="Normal 13 2 2 2 4 7" xfId="35327" xr:uid="{C93EF9BC-6E14-4339-B62C-24872CD46CBA}"/>
    <cellStyle name="Normal 13 2 2 2 5" xfId="3918" xr:uid="{42AF48EB-90FC-4780-946F-9040AC32B96D}"/>
    <cellStyle name="Normal 13 2 2 2 5 2" xfId="12298" xr:uid="{D7D16324-D643-4FE3-8776-5F805CA00D56}"/>
    <cellStyle name="Normal 13 2 2 2 5 2 2" xfId="29058" xr:uid="{827FD24D-98D1-49D1-B1A2-1B862CAD00B3}"/>
    <cellStyle name="Normal 13 2 2 2 5 2 3" xfId="45817" xr:uid="{5214A8D5-472B-4880-B0BC-76CE66ED854B}"/>
    <cellStyle name="Normal 13 2 2 2 5 3" xfId="20678" xr:uid="{ED15CCB8-D8ED-4C9B-B48F-8957626C4E93}"/>
    <cellStyle name="Normal 13 2 2 2 5 4" xfId="37437" xr:uid="{95D46DEF-C4A1-4126-8F5F-40668ADEDBF3}"/>
    <cellStyle name="Normal 13 2 2 2 6" xfId="5633" xr:uid="{343236E0-BF50-4BFA-8C1F-E113DE8F244C}"/>
    <cellStyle name="Normal 13 2 2 2 6 2" xfId="14013" xr:uid="{7BC82F7F-CB3E-4CC1-AAC1-847CF951B7A6}"/>
    <cellStyle name="Normal 13 2 2 2 6 2 2" xfId="30773" xr:uid="{657221BE-44D6-45F8-B064-45E50CC1DB79}"/>
    <cellStyle name="Normal 13 2 2 2 6 2 3" xfId="47532" xr:uid="{73DD7706-ADCF-48C0-AD29-7C2C3A5EEFC6}"/>
    <cellStyle name="Normal 13 2 2 2 6 3" xfId="22393" xr:uid="{03AF030E-EBF8-45C6-B7BC-C7F93403B125}"/>
    <cellStyle name="Normal 13 2 2 2 6 4" xfId="39152" xr:uid="{5F858FB9-1A90-48E2-84A4-9EB06D7E1E73}"/>
    <cellStyle name="Normal 13 2 2 2 7" xfId="7281" xr:uid="{7D01B8F3-0780-45B7-9234-943297181B8C}"/>
    <cellStyle name="Normal 13 2 2 2 7 2" xfId="15661" xr:uid="{B03BB7D0-94BD-48F5-B643-81145F75D68B}"/>
    <cellStyle name="Normal 13 2 2 2 7 2 2" xfId="32421" xr:uid="{52ECE02C-70C6-404B-8FBF-ECF4EABDA2B6}"/>
    <cellStyle name="Normal 13 2 2 2 7 2 3" xfId="49180" xr:uid="{992E9089-6C83-4E5B-9A8F-229597171F8A}"/>
    <cellStyle name="Normal 13 2 2 2 7 3" xfId="24041" xr:uid="{8AEF9760-0F3B-4DDA-9A93-10C62611C409}"/>
    <cellStyle name="Normal 13 2 2 2 7 4" xfId="40800" xr:uid="{90A7C6AF-BFD0-402F-985C-46B2E4AB2200}"/>
    <cellStyle name="Normal 13 2 2 2 8" xfId="7687" xr:uid="{9EE4701E-297B-4D69-A6DD-ABFD4D240D48}"/>
    <cellStyle name="Normal 13 2 2 2 8 2" xfId="16067" xr:uid="{F8F3E2BD-1DFC-4558-AB3A-ED44A78CCDCD}"/>
    <cellStyle name="Normal 13 2 2 2 8 2 2" xfId="32827" xr:uid="{2793DE57-5F35-47AB-840D-2CFCC771FCEC}"/>
    <cellStyle name="Normal 13 2 2 2 8 2 3" xfId="49586" xr:uid="{1B108BFA-39B2-4D3A-82AE-71BB0E9932CF}"/>
    <cellStyle name="Normal 13 2 2 2 8 3" xfId="24447" xr:uid="{BD227BCA-47E7-418D-9F4A-74A1AAEA0D17}"/>
    <cellStyle name="Normal 13 2 2 2 8 4" xfId="41206" xr:uid="{B2433BCF-79EB-405C-AA38-B6FB5ACD3740}"/>
    <cellStyle name="Normal 13 2 2 2 9" xfId="8093" xr:uid="{4AC64A9E-21A0-4087-98AF-C900F4411DD0}"/>
    <cellStyle name="Normal 13 2 2 2 9 2" xfId="16473" xr:uid="{11201465-A941-45FD-B27A-4088E5F63750}"/>
    <cellStyle name="Normal 13 2 2 2 9 2 2" xfId="33233" xr:uid="{A39A08D7-9CFB-4CEF-A80B-8D890EF0FD7A}"/>
    <cellStyle name="Normal 13 2 2 2 9 2 3" xfId="49992" xr:uid="{D2B61F7B-1302-448F-8797-400456B072AE}"/>
    <cellStyle name="Normal 13 2 2 2 9 3" xfId="24853" xr:uid="{508FA60F-2171-4284-A0EE-BE3BB15FEFBF}"/>
    <cellStyle name="Normal 13 2 2 2 9 4" xfId="41612" xr:uid="{098F9F56-D784-4C89-97FF-72BD67AB70A3}"/>
    <cellStyle name="Normal 13 2 2 3" xfId="536" xr:uid="{268EFD56-4069-4C6E-B9D6-33022F94481F}"/>
    <cellStyle name="Normal 13 2 2 3 10" xfId="8692" xr:uid="{034C0FCF-0D9F-41A0-B4BB-0804488C0E7B}"/>
    <cellStyle name="Normal 13 2 2 3 10 2" xfId="17072" xr:uid="{78415EA6-2F04-452E-8550-C84561BD4025}"/>
    <cellStyle name="Normal 13 2 2 3 10 2 2" xfId="33832" xr:uid="{1B1EC515-7137-45E9-86FB-0C1EFF3F4B65}"/>
    <cellStyle name="Normal 13 2 2 3 10 2 3" xfId="50591" xr:uid="{2A5EDB5F-09F8-4625-AE7E-6960780FF625}"/>
    <cellStyle name="Normal 13 2 2 3 10 3" xfId="25452" xr:uid="{C89A71E7-EBDA-44F3-8DFB-21365BE77F25}"/>
    <cellStyle name="Normal 13 2 2 3 10 4" xfId="42211" xr:uid="{199B03E3-E6E5-4B8C-9F41-D92DA8E4C9D6}"/>
    <cellStyle name="Normal 13 2 2 3 11" xfId="2368" xr:uid="{4ECA8D86-0ACF-4CBE-A17D-3DB146EE4B8B}"/>
    <cellStyle name="Normal 13 2 2 3 11 2" xfId="10750" xr:uid="{210FF68E-C7AB-4AC4-A9FF-FDD0CF8A57AF}"/>
    <cellStyle name="Normal 13 2 2 3 11 2 2" xfId="27510" xr:uid="{29D1ADC8-DAE0-48A4-B866-B44B36021EC4}"/>
    <cellStyle name="Normal 13 2 2 3 11 2 3" xfId="44269" xr:uid="{7F3A0944-31B8-4C15-AA3E-3996CC509BF6}"/>
    <cellStyle name="Normal 13 2 2 3 11 3" xfId="19130" xr:uid="{C957C0B3-7525-4581-9DB9-33A40F613A1D}"/>
    <cellStyle name="Normal 13 2 2 3 11 4" xfId="35889" xr:uid="{B05ADAE1-4C69-4A5A-996D-DEC91FF749A9}"/>
    <cellStyle name="Normal 13 2 2 3 12" xfId="8947" xr:uid="{2CEFF0FE-DDA9-4C54-9A56-23855D073CD3}"/>
    <cellStyle name="Normal 13 2 2 3 12 2" xfId="25707" xr:uid="{F8C16796-C653-4B38-BC59-F4415F9465D7}"/>
    <cellStyle name="Normal 13 2 2 3 12 3" xfId="42466" xr:uid="{BE4B858A-B072-4E9A-89C0-0925CDC0B415}"/>
    <cellStyle name="Normal 13 2 2 3 13" xfId="17327" xr:uid="{F25A02CE-1099-4EFD-89D7-7ED5A20E30A3}"/>
    <cellStyle name="Normal 13 2 2 3 14" xfId="34086" xr:uid="{8485FCBF-3614-4354-80E6-2BC016FFC898}"/>
    <cellStyle name="Normal 13 2 2 3 2" xfId="978" xr:uid="{C01A6C0D-BE75-43BC-84D2-26332E2DDE76}"/>
    <cellStyle name="Normal 13 2 2 3 2 2" xfId="4373" xr:uid="{FCD8C1DC-9131-4416-8AC8-3E16BAB4F74A}"/>
    <cellStyle name="Normal 13 2 2 3 2 2 2" xfId="12753" xr:uid="{753781EB-C372-47B5-BDEF-64341A685359}"/>
    <cellStyle name="Normal 13 2 2 3 2 2 2 2" xfId="29513" xr:uid="{3B59EEF0-CF50-4272-BDC1-3EA750FDD3DF}"/>
    <cellStyle name="Normal 13 2 2 3 2 2 2 3" xfId="46272" xr:uid="{7A86F88E-3FBB-4190-871A-84900E8BEA8B}"/>
    <cellStyle name="Normal 13 2 2 3 2 2 3" xfId="21133" xr:uid="{5754BD45-7A4A-4579-A53F-33761E9C87FD}"/>
    <cellStyle name="Normal 13 2 2 3 2 2 4" xfId="37892" xr:uid="{19094559-D38D-4F0D-AC01-8A22A65DD3A8}"/>
    <cellStyle name="Normal 13 2 2 3 2 3" xfId="6060" xr:uid="{D48C1C0E-CE9D-4648-9CF5-5113ADDF94E1}"/>
    <cellStyle name="Normal 13 2 2 3 2 3 2" xfId="14440" xr:uid="{6684C909-F5D3-4F03-806D-9DEE72902399}"/>
    <cellStyle name="Normal 13 2 2 3 2 3 2 2" xfId="31200" xr:uid="{DF8317F3-F8EB-40DE-92B4-C22D9798AD0F}"/>
    <cellStyle name="Normal 13 2 2 3 2 3 2 3" xfId="47959" xr:uid="{121D8AA1-DFA8-45EA-8D9D-705A912F9AD8}"/>
    <cellStyle name="Normal 13 2 2 3 2 3 3" xfId="22820" xr:uid="{82DA0E36-05D4-4CD5-A501-49EDBC98CADE}"/>
    <cellStyle name="Normal 13 2 2 3 2 3 4" xfId="39579" xr:uid="{BEBA1BBC-2855-4B94-911C-C9F7989B07DF}"/>
    <cellStyle name="Normal 13 2 2 3 2 4" xfId="2796" xr:uid="{FE17EB85-0769-41A1-9FF1-76849306E465}"/>
    <cellStyle name="Normal 13 2 2 3 2 4 2" xfId="11176" xr:uid="{31D3FB7A-4DB8-41D4-838A-628FE734F285}"/>
    <cellStyle name="Normal 13 2 2 3 2 4 2 2" xfId="27936" xr:uid="{294C6170-D29D-4B98-B6A0-0E673128B4AD}"/>
    <cellStyle name="Normal 13 2 2 3 2 4 2 3" xfId="44695" xr:uid="{35FBCE62-69B6-424E-A555-2F522A96A63C}"/>
    <cellStyle name="Normal 13 2 2 3 2 4 3" xfId="19556" xr:uid="{E79B8856-9CB7-4163-A1AE-432533860E6B}"/>
    <cellStyle name="Normal 13 2 2 3 2 4 4" xfId="36315" xr:uid="{84DFC5C7-25C8-4FE0-AA2E-B9AD690C048D}"/>
    <cellStyle name="Normal 13 2 2 3 2 5" xfId="9373" xr:uid="{B1B3E12F-6530-4CF9-83C6-83793EE926FA}"/>
    <cellStyle name="Normal 13 2 2 3 2 5 2" xfId="26133" xr:uid="{D561EC54-CF2E-45F1-9523-8B9D8EE06EA0}"/>
    <cellStyle name="Normal 13 2 2 3 2 5 3" xfId="42892" xr:uid="{2FC5302C-0634-4C0E-A15E-9470765F1845}"/>
    <cellStyle name="Normal 13 2 2 3 2 6" xfId="17753" xr:uid="{B929D13B-54EE-4FEC-A06F-1C7BF3C7C42B}"/>
    <cellStyle name="Normal 13 2 2 3 2 7" xfId="34512" xr:uid="{A6202247-756C-46B6-9C54-03641DAFFB99}"/>
    <cellStyle name="Normal 13 2 2 3 3" xfId="1412" xr:uid="{FE94A321-C2CD-46E5-87B5-0C6F5D9B16D2}"/>
    <cellStyle name="Normal 13 2 2 3 3 2" xfId="4801" xr:uid="{2D852D0C-68CB-4D9B-9108-08F45D0954E1}"/>
    <cellStyle name="Normal 13 2 2 3 3 2 2" xfId="13181" xr:uid="{EA968FB0-E905-47E8-962D-449C0C3AA933}"/>
    <cellStyle name="Normal 13 2 2 3 3 2 2 2" xfId="29941" xr:uid="{82CA8181-CAA6-47DE-8B77-F74F0FF3FFAD}"/>
    <cellStyle name="Normal 13 2 2 3 3 2 2 3" xfId="46700" xr:uid="{B0999612-9E11-43E9-9598-43A06947CC4C}"/>
    <cellStyle name="Normal 13 2 2 3 3 2 3" xfId="21561" xr:uid="{357513B6-EB00-4AB9-9DF7-6AF334604A3A}"/>
    <cellStyle name="Normal 13 2 2 3 3 2 4" xfId="38320" xr:uid="{01317FC3-D4CB-4C6E-BB3A-E65500433F79}"/>
    <cellStyle name="Normal 13 2 2 3 3 3" xfId="6488" xr:uid="{52D1A4B1-9529-45C5-922A-0C75F90777C0}"/>
    <cellStyle name="Normal 13 2 2 3 3 3 2" xfId="14868" xr:uid="{4205640B-C719-44A0-ACBE-EA55E0531001}"/>
    <cellStyle name="Normal 13 2 2 3 3 3 2 2" xfId="31628" xr:uid="{463F6C93-1807-4673-BD24-B1BD20CA7C57}"/>
    <cellStyle name="Normal 13 2 2 3 3 3 2 3" xfId="48387" xr:uid="{932DB55A-88F3-4453-8AEF-193EDD15B84A}"/>
    <cellStyle name="Normal 13 2 2 3 3 3 3" xfId="23248" xr:uid="{C49335D8-1CD5-4089-9CD6-FFEC61DEC471}"/>
    <cellStyle name="Normal 13 2 2 3 3 3 4" xfId="40007" xr:uid="{E616C758-28CE-4B82-81D7-70700269298D}"/>
    <cellStyle name="Normal 13 2 2 3 3 4" xfId="3224" xr:uid="{623C55CE-0C35-40F8-8D03-7366C4A307DE}"/>
    <cellStyle name="Normal 13 2 2 3 3 4 2" xfId="11604" xr:uid="{2E74FE95-3CC7-4C52-93B7-C54E35C87122}"/>
    <cellStyle name="Normal 13 2 2 3 3 4 2 2" xfId="28364" xr:uid="{1066F553-7609-4F99-A9BB-9AD1D115F98F}"/>
    <cellStyle name="Normal 13 2 2 3 3 4 2 3" xfId="45123" xr:uid="{9E355B01-35DE-42A4-A87F-099ADF515338}"/>
    <cellStyle name="Normal 13 2 2 3 3 4 3" xfId="19984" xr:uid="{E836B851-C1C1-412F-8B0B-EC2868F9FFB3}"/>
    <cellStyle name="Normal 13 2 2 3 3 4 4" xfId="36743" xr:uid="{A3124B3C-4177-4AEF-AA65-2EA7FB33FAB8}"/>
    <cellStyle name="Normal 13 2 2 3 3 5" xfId="9801" xr:uid="{BE4A33D2-0FBA-46A1-B58B-A886F95DEC60}"/>
    <cellStyle name="Normal 13 2 2 3 3 5 2" xfId="26561" xr:uid="{B77700C9-E714-4167-9376-3C8B18876D82}"/>
    <cellStyle name="Normal 13 2 2 3 3 5 3" xfId="43320" xr:uid="{B1FAE87D-8937-4C9F-9465-BE45609458D0}"/>
    <cellStyle name="Normal 13 2 2 3 3 6" xfId="18181" xr:uid="{19317FD2-EDAE-4B3E-8EF8-24E29654112A}"/>
    <cellStyle name="Normal 13 2 2 3 3 7" xfId="34940" xr:uid="{5883301F-112F-47AF-986D-0BDFAE1F0965}"/>
    <cellStyle name="Normal 13 2 2 3 4" xfId="1992" xr:uid="{3C4DEF1B-D5F6-4430-AC80-E6F121244ECB}"/>
    <cellStyle name="Normal 13 2 2 3 4 2" xfId="5381" xr:uid="{3BCDA64B-3771-49BC-B19F-E3E9725C6159}"/>
    <cellStyle name="Normal 13 2 2 3 4 2 2" xfId="13761" xr:uid="{137C8B78-AB08-40A3-A0BD-1BF4C7BEB589}"/>
    <cellStyle name="Normal 13 2 2 3 4 2 2 2" xfId="30521" xr:uid="{06DEAC1F-153D-44D5-9A77-599FF4E827A8}"/>
    <cellStyle name="Normal 13 2 2 3 4 2 2 3" xfId="47280" xr:uid="{19D33196-446C-4239-BEBB-F9C81E0F6906}"/>
    <cellStyle name="Normal 13 2 2 3 4 2 3" xfId="22141" xr:uid="{C7CFE6DB-50D6-4CDD-AB02-B2B7BBBB1E92}"/>
    <cellStyle name="Normal 13 2 2 3 4 2 4" xfId="38900" xr:uid="{37475C3A-52A4-4F6A-AD47-48D7A4F1A639}"/>
    <cellStyle name="Normal 13 2 2 3 4 3" xfId="7068" xr:uid="{A79D6707-1849-4BE7-9B58-AFDDFDFDE23D}"/>
    <cellStyle name="Normal 13 2 2 3 4 3 2" xfId="15448" xr:uid="{8172E4ED-D6F7-4660-9F71-F5CBEF4A67E9}"/>
    <cellStyle name="Normal 13 2 2 3 4 3 2 2" xfId="32208" xr:uid="{AA4B350C-A925-4220-BC78-CD23346E7F23}"/>
    <cellStyle name="Normal 13 2 2 3 4 3 2 3" xfId="48967" xr:uid="{D5E7C1A4-F0CA-4FAB-AB05-AAB15F024FE5}"/>
    <cellStyle name="Normal 13 2 2 3 4 3 3" xfId="23828" xr:uid="{89253588-ABFD-4BB5-9A7A-7D0860A69151}"/>
    <cellStyle name="Normal 13 2 2 3 4 3 4" xfId="40587" xr:uid="{3262DEA6-0B44-4BA1-998A-8255A50995F6}"/>
    <cellStyle name="Normal 13 2 2 3 4 4" xfId="3691" xr:uid="{5BEE0A94-114F-4950-9D63-524ADC2E42B6}"/>
    <cellStyle name="Normal 13 2 2 3 4 4 2" xfId="12071" xr:uid="{9772487F-2A17-4FA4-9C6F-7B954BFF0684}"/>
    <cellStyle name="Normal 13 2 2 3 4 4 2 2" xfId="28831" xr:uid="{ABE5ABEF-A124-4575-AFF4-151DA6B36B08}"/>
    <cellStyle name="Normal 13 2 2 3 4 4 2 3" xfId="45590" xr:uid="{650EB7B1-BFDC-422A-A29D-C650F46BFE44}"/>
    <cellStyle name="Normal 13 2 2 3 4 4 3" xfId="20451" xr:uid="{2CE0615E-7AB5-4451-850D-89CD9738C6BC}"/>
    <cellStyle name="Normal 13 2 2 3 4 4 4" xfId="37210" xr:uid="{5A582666-C0C6-4E49-9F40-D44D0B694C32}"/>
    <cellStyle name="Normal 13 2 2 3 4 5" xfId="10381" xr:uid="{0E37B013-7232-42D3-B081-92CA65D67A13}"/>
    <cellStyle name="Normal 13 2 2 3 4 5 2" xfId="27141" xr:uid="{AE206A8F-1E2C-4631-90C1-D79229DDB83C}"/>
    <cellStyle name="Normal 13 2 2 3 4 5 3" xfId="43900" xr:uid="{36718E9F-2BAE-465B-A64C-6E397B0874DF}"/>
    <cellStyle name="Normal 13 2 2 3 4 6" xfId="18761" xr:uid="{55812A08-1EF0-4364-BA36-C0847AFB4E95}"/>
    <cellStyle name="Normal 13 2 2 3 4 7" xfId="35520" xr:uid="{0EEB25B6-2EF0-4C57-9E47-ABB646C7A32B}"/>
    <cellStyle name="Normal 13 2 2 3 5" xfId="4111" xr:uid="{5F0D0487-C0AE-4919-913D-C42E5B020DD8}"/>
    <cellStyle name="Normal 13 2 2 3 5 2" xfId="12491" xr:uid="{5412AC34-9108-4521-BDE1-52D9ACE0B9FD}"/>
    <cellStyle name="Normal 13 2 2 3 5 2 2" xfId="29251" xr:uid="{AB69A4FB-25CA-4B9D-BC53-AE1615A472EE}"/>
    <cellStyle name="Normal 13 2 2 3 5 2 3" xfId="46010" xr:uid="{5BEE794A-ACC5-453C-864C-4F51D7B0CFD7}"/>
    <cellStyle name="Normal 13 2 2 3 5 3" xfId="20871" xr:uid="{1AAEA2C1-5A74-4AC8-BC10-4E7613EF9300}"/>
    <cellStyle name="Normal 13 2 2 3 5 4" xfId="37630" xr:uid="{E52720F2-400B-46D6-8ABF-DE7A257F0A02}"/>
    <cellStyle name="Normal 13 2 2 3 6" xfId="5634" xr:uid="{9EC3411F-0C93-4AAF-A060-D1E857A7EC44}"/>
    <cellStyle name="Normal 13 2 2 3 6 2" xfId="14014" xr:uid="{66FAB36C-5F54-4F77-92BF-A4637BB7ED68}"/>
    <cellStyle name="Normal 13 2 2 3 6 2 2" xfId="30774" xr:uid="{D8087D5A-9C46-4FF5-8230-A25DF0489DA5}"/>
    <cellStyle name="Normal 13 2 2 3 6 2 3" xfId="47533" xr:uid="{F8241E48-D16C-47BD-A241-13F1B85D4FE4}"/>
    <cellStyle name="Normal 13 2 2 3 6 3" xfId="22394" xr:uid="{E0DCAFC5-6617-488E-8122-B25B5BDC9EA6}"/>
    <cellStyle name="Normal 13 2 2 3 6 4" xfId="39153" xr:uid="{CB50EEA0-B554-4E4E-9BAC-1528AE361F52}"/>
    <cellStyle name="Normal 13 2 2 3 7" xfId="7474" xr:uid="{ED199BFB-06B9-4DD5-AEC7-502A6F3A6BC9}"/>
    <cellStyle name="Normal 13 2 2 3 7 2" xfId="15854" xr:uid="{4FA27E29-494A-4A1B-A7BB-C337DFFEA46F}"/>
    <cellStyle name="Normal 13 2 2 3 7 2 2" xfId="32614" xr:uid="{D310D8E0-89A8-4BBE-9923-D380D5281D2D}"/>
    <cellStyle name="Normal 13 2 2 3 7 2 3" xfId="49373" xr:uid="{DC6B2BFA-44B9-4C64-8E2B-F4F5389E4EFE}"/>
    <cellStyle name="Normal 13 2 2 3 7 3" xfId="24234" xr:uid="{47E76954-BCBA-453B-9FB7-C3715759FCE2}"/>
    <cellStyle name="Normal 13 2 2 3 7 4" xfId="40993" xr:uid="{FDEA0C9D-15B7-4DB2-A378-FC7B5EF3A864}"/>
    <cellStyle name="Normal 13 2 2 3 8" xfId="7880" xr:uid="{84042D47-069D-4374-9277-459DF471C9F6}"/>
    <cellStyle name="Normal 13 2 2 3 8 2" xfId="16260" xr:uid="{5CC0302D-B055-4068-A094-70C24698C522}"/>
    <cellStyle name="Normal 13 2 2 3 8 2 2" xfId="33020" xr:uid="{7FE8FD11-9D42-4DBC-B078-1A4195F87E49}"/>
    <cellStyle name="Normal 13 2 2 3 8 2 3" xfId="49779" xr:uid="{A32D3111-FD99-4F88-9078-5A61218D49D8}"/>
    <cellStyle name="Normal 13 2 2 3 8 3" xfId="24640" xr:uid="{75459DF1-F9D4-4ECB-8FA6-4EA4C4275071}"/>
    <cellStyle name="Normal 13 2 2 3 8 4" xfId="41399" xr:uid="{CC011431-8F4D-4CE8-BC17-4572ADA7BEB9}"/>
    <cellStyle name="Normal 13 2 2 3 9" xfId="8286" xr:uid="{BBEF7E12-C214-4DC3-B101-5CDAB82E7E7E}"/>
    <cellStyle name="Normal 13 2 2 3 9 2" xfId="16666" xr:uid="{D82FF0B3-D30F-48AD-9A76-5B74EF8E7F67}"/>
    <cellStyle name="Normal 13 2 2 3 9 2 2" xfId="33426" xr:uid="{7A5E6A6F-816D-4ABA-BDED-1A155474DB09}"/>
    <cellStyle name="Normal 13 2 2 3 9 2 3" xfId="50185" xr:uid="{02F60468-9134-4733-891D-6ADEB20EADFC}"/>
    <cellStyle name="Normal 13 2 2 3 9 3" xfId="25046" xr:uid="{BE44B473-BE1C-4D45-A7D7-E74304489C8C}"/>
    <cellStyle name="Normal 13 2 2 3 9 4" xfId="41805" xr:uid="{9E7E86E0-A690-4B03-B31B-AC62E237586E}"/>
    <cellStyle name="Normal 13 2 2 4" xfId="872" xr:uid="{332E5EEC-90A7-4F95-8DAB-0A71A9A492FD}"/>
    <cellStyle name="Normal 13 2 2 4 2" xfId="4267" xr:uid="{ACF5428B-94C1-4BB3-8CE9-BFC8274C977E}"/>
    <cellStyle name="Normal 13 2 2 4 2 2" xfId="12647" xr:uid="{54AF1FF0-6F6F-4E47-AA14-373C3981ACAA}"/>
    <cellStyle name="Normal 13 2 2 4 2 2 2" xfId="29407" xr:uid="{A290920A-6954-4FB7-98FA-E548F15A4F92}"/>
    <cellStyle name="Normal 13 2 2 4 2 2 3" xfId="46166" xr:uid="{F8207359-6F3B-4556-9B2F-A1589E465760}"/>
    <cellStyle name="Normal 13 2 2 4 2 3" xfId="21027" xr:uid="{06D49791-A867-41C2-B693-002F7F8604EC}"/>
    <cellStyle name="Normal 13 2 2 4 2 4" xfId="37786" xr:uid="{0D0AC645-C143-4DFF-8258-74F300D75E90}"/>
    <cellStyle name="Normal 13 2 2 4 3" xfId="5954" xr:uid="{1AA17DEF-BEDC-4A25-B005-2C1DCBEF4D2D}"/>
    <cellStyle name="Normal 13 2 2 4 3 2" xfId="14334" xr:uid="{E0194923-BEEE-450C-83A6-0838F5AFB202}"/>
    <cellStyle name="Normal 13 2 2 4 3 2 2" xfId="31094" xr:uid="{DC3B26BE-9C47-4A58-97E0-F4B875D09523}"/>
    <cellStyle name="Normal 13 2 2 4 3 2 3" xfId="47853" xr:uid="{CE928588-C01A-4649-BCCC-0F3083738673}"/>
    <cellStyle name="Normal 13 2 2 4 3 3" xfId="22714" xr:uid="{104D0043-09C6-4919-9029-8C83B1249D92}"/>
    <cellStyle name="Normal 13 2 2 4 3 4" xfId="39473" xr:uid="{622804D1-047C-4F8C-B7B3-3B60AA2E09BE}"/>
    <cellStyle name="Normal 13 2 2 4 4" xfId="2690" xr:uid="{784B8C62-1F30-444B-A17E-622CFF70AEEE}"/>
    <cellStyle name="Normal 13 2 2 4 4 2" xfId="11070" xr:uid="{254EC0B2-872E-4A9D-916A-0180DF939ECE}"/>
    <cellStyle name="Normal 13 2 2 4 4 2 2" xfId="27830" xr:uid="{52395F64-0E50-4616-99C9-285FAD84C36E}"/>
    <cellStyle name="Normal 13 2 2 4 4 2 3" xfId="44589" xr:uid="{6F24690B-A4A7-462D-BC71-34F9E656C64F}"/>
    <cellStyle name="Normal 13 2 2 4 4 3" xfId="19450" xr:uid="{8640655B-D231-44C5-A5DC-2F58E14D71E4}"/>
    <cellStyle name="Normal 13 2 2 4 4 4" xfId="36209" xr:uid="{FA439A61-0A24-4F97-ACEF-FC62E98FAC71}"/>
    <cellStyle name="Normal 13 2 2 4 5" xfId="9267" xr:uid="{882C201E-BE69-4B4D-AEDE-50EE2E71775E}"/>
    <cellStyle name="Normal 13 2 2 4 5 2" xfId="26027" xr:uid="{05D1313D-8B9B-436B-AB2C-C8358D0443C6}"/>
    <cellStyle name="Normal 13 2 2 4 5 3" xfId="42786" xr:uid="{1E0E1439-D296-4E83-9DCE-AAB979C670C3}"/>
    <cellStyle name="Normal 13 2 2 4 6" xfId="17647" xr:uid="{4D611234-D90D-4ADE-B0AD-0BC26A780643}"/>
    <cellStyle name="Normal 13 2 2 4 7" xfId="34406" xr:uid="{092D09FC-7599-47C3-B6F5-E2648B75C3B9}"/>
    <cellStyle name="Normal 13 2 2 5" xfId="1306" xr:uid="{DCAA6A00-E2FD-4BC8-A558-7D21AB6F2EC0}"/>
    <cellStyle name="Normal 13 2 2 5 2" xfId="4695" xr:uid="{6E916308-D5E7-4E5A-997C-D63480881C81}"/>
    <cellStyle name="Normal 13 2 2 5 2 2" xfId="13075" xr:uid="{CF823FE6-34AE-4088-B0DF-38814846280F}"/>
    <cellStyle name="Normal 13 2 2 5 2 2 2" xfId="29835" xr:uid="{67596D59-8F76-4DC8-9A1A-73CB31622A90}"/>
    <cellStyle name="Normal 13 2 2 5 2 2 3" xfId="46594" xr:uid="{146577E5-21E7-485B-A5C1-6BD0FF07DF75}"/>
    <cellStyle name="Normal 13 2 2 5 2 3" xfId="21455" xr:uid="{DB498F3A-1BC5-41E2-A4AD-F1A696445807}"/>
    <cellStyle name="Normal 13 2 2 5 2 4" xfId="38214" xr:uid="{0670404F-0DD3-4136-8609-9D0E2449D6A0}"/>
    <cellStyle name="Normal 13 2 2 5 3" xfId="6382" xr:uid="{D78AA53D-C63C-4E9B-8644-05575BBB6924}"/>
    <cellStyle name="Normal 13 2 2 5 3 2" xfId="14762" xr:uid="{EC2D2C95-D32F-47E2-A4DD-4E3B9C0DADB5}"/>
    <cellStyle name="Normal 13 2 2 5 3 2 2" xfId="31522" xr:uid="{B7E52731-5142-4C73-9498-EFD31EB06222}"/>
    <cellStyle name="Normal 13 2 2 5 3 2 3" xfId="48281" xr:uid="{2C2D60C8-3111-4C58-ACBB-6B3B97BE224A}"/>
    <cellStyle name="Normal 13 2 2 5 3 3" xfId="23142" xr:uid="{C61B26EA-46DB-4D43-9F09-45DB429899CD}"/>
    <cellStyle name="Normal 13 2 2 5 3 4" xfId="39901" xr:uid="{47724BD2-69DF-40B1-8B1C-58783DD74DD1}"/>
    <cellStyle name="Normal 13 2 2 5 4" xfId="3118" xr:uid="{47700B58-9556-4B32-8B12-35EA91B6B13D}"/>
    <cellStyle name="Normal 13 2 2 5 4 2" xfId="11498" xr:uid="{B731C6F0-7E82-4B99-B4F2-AEA187DAE411}"/>
    <cellStyle name="Normal 13 2 2 5 4 2 2" xfId="28258" xr:uid="{031DAC92-763D-4A65-856F-6041F10F3468}"/>
    <cellStyle name="Normal 13 2 2 5 4 2 3" xfId="45017" xr:uid="{8EE93958-F308-415F-A8E2-40F6DC728C2E}"/>
    <cellStyle name="Normal 13 2 2 5 4 3" xfId="19878" xr:uid="{7130E59B-5E71-4225-90B5-034354F2A43E}"/>
    <cellStyle name="Normal 13 2 2 5 4 4" xfId="36637" xr:uid="{BE8F8E3B-3909-48E5-A23B-441A6CD703C7}"/>
    <cellStyle name="Normal 13 2 2 5 5" xfId="9695" xr:uid="{C4EBB7CD-790D-462B-A482-15116ABB9514}"/>
    <cellStyle name="Normal 13 2 2 5 5 2" xfId="26455" xr:uid="{ED38C7AE-B3BC-4351-8264-784F85134D4E}"/>
    <cellStyle name="Normal 13 2 2 5 5 3" xfId="43214" xr:uid="{101FEBE4-86C6-4295-A280-1BA0222495D2}"/>
    <cellStyle name="Normal 13 2 2 5 6" xfId="18075" xr:uid="{1ABD6E32-A650-43F3-8797-8CE179DB738A}"/>
    <cellStyle name="Normal 13 2 2 5 7" xfId="34834" xr:uid="{1AB6B927-FD01-4CC9-83FA-7A2E31BD07CB}"/>
    <cellStyle name="Normal 13 2 2 6" xfId="1721" xr:uid="{89C54C3F-0ED7-402B-90BC-79770BA6A338}"/>
    <cellStyle name="Normal 13 2 2 6 2" xfId="5110" xr:uid="{11ADAAF5-233A-4ED3-9B7F-6D07E957ED5A}"/>
    <cellStyle name="Normal 13 2 2 6 2 2" xfId="13490" xr:uid="{0406222B-F7E4-4630-BB78-94A76F2B984C}"/>
    <cellStyle name="Normal 13 2 2 6 2 2 2" xfId="30250" xr:uid="{14792527-8D5D-4A2D-9033-16BC3B8749D9}"/>
    <cellStyle name="Normal 13 2 2 6 2 2 3" xfId="47009" xr:uid="{ACE12B88-2F50-4D19-9938-70191ED25529}"/>
    <cellStyle name="Normal 13 2 2 6 2 3" xfId="21870" xr:uid="{2195395D-F8C2-4A1B-B3E6-6DE50BE9F669}"/>
    <cellStyle name="Normal 13 2 2 6 2 4" xfId="38629" xr:uid="{200CB2D7-4C1D-4B85-B62E-0E61EB48A000}"/>
    <cellStyle name="Normal 13 2 2 6 3" xfId="6797" xr:uid="{3DB4B0DE-DEAC-4817-921C-93406F747B9A}"/>
    <cellStyle name="Normal 13 2 2 6 3 2" xfId="15177" xr:uid="{6E3E87CA-8533-42CE-A080-5E8000B07612}"/>
    <cellStyle name="Normal 13 2 2 6 3 2 2" xfId="31937" xr:uid="{5C726252-5066-4BD7-B17F-DE9E566DF1B3}"/>
    <cellStyle name="Normal 13 2 2 6 3 2 3" xfId="48696" xr:uid="{644C5634-3D8A-4DA8-B730-08FDF9255AA2}"/>
    <cellStyle name="Normal 13 2 2 6 3 3" xfId="23557" xr:uid="{6799332E-70B7-4E8E-B4C6-886B531A1ABF}"/>
    <cellStyle name="Normal 13 2 2 6 3 4" xfId="40316" xr:uid="{B711BD85-A78C-4DFB-B664-0941CC5D44D2}"/>
    <cellStyle name="Normal 13 2 2 6 4" xfId="3444" xr:uid="{BDA7CA4B-F08B-4FF6-AFC6-D123A1D40F1E}"/>
    <cellStyle name="Normal 13 2 2 6 4 2" xfId="11824" xr:uid="{DD14EBF2-3D43-4760-963A-BB302F37680F}"/>
    <cellStyle name="Normal 13 2 2 6 4 2 2" xfId="28584" xr:uid="{8A0D8371-94AC-4FDB-9CA7-8ED876E89AC6}"/>
    <cellStyle name="Normal 13 2 2 6 4 2 3" xfId="45343" xr:uid="{BBA6A460-8BDF-4F08-A126-BEC20DCB3E82}"/>
    <cellStyle name="Normal 13 2 2 6 4 3" xfId="20204" xr:uid="{2C4AF736-D66D-468E-B794-224585D10B48}"/>
    <cellStyle name="Normal 13 2 2 6 4 4" xfId="36963" xr:uid="{A0B51C0D-75F8-4C0E-BC06-1D4F04881ABC}"/>
    <cellStyle name="Normal 13 2 2 6 5" xfId="10110" xr:uid="{02465316-28DD-47FB-B9E2-D81007028C3F}"/>
    <cellStyle name="Normal 13 2 2 6 5 2" xfId="26870" xr:uid="{EC7188FE-2598-4E5C-93B8-FDA454273BA6}"/>
    <cellStyle name="Normal 13 2 2 6 5 3" xfId="43629" xr:uid="{54342958-31F7-4642-80D9-4DDF68C201A2}"/>
    <cellStyle name="Normal 13 2 2 6 6" xfId="18490" xr:uid="{CE695462-83FE-425A-B69A-4816A68FEB54}"/>
    <cellStyle name="Normal 13 2 2 6 7" xfId="35249" xr:uid="{C064FF9C-BB1A-447D-B66E-D36F18179DB7}"/>
    <cellStyle name="Normal 13 2 2 7" xfId="3840" xr:uid="{89EE75CA-D42E-4F39-87A0-6B554F767E55}"/>
    <cellStyle name="Normal 13 2 2 7 2" xfId="12220" xr:uid="{487AE229-EEE1-4913-BDE1-6213D6CEA7D7}"/>
    <cellStyle name="Normal 13 2 2 7 2 2" xfId="28980" xr:uid="{3339C9E3-D59F-4D8C-A958-E496F64C8B4C}"/>
    <cellStyle name="Normal 13 2 2 7 2 3" xfId="45739" xr:uid="{ED80B520-D8E6-40F2-A8D7-E4705FF9434D}"/>
    <cellStyle name="Normal 13 2 2 7 3" xfId="20600" xr:uid="{E97AFCF7-110C-4373-8DCB-CC7730FEFF93}"/>
    <cellStyle name="Normal 13 2 2 7 4" xfId="37359" xr:uid="{9A2BBC49-F2F7-422A-918B-996890749016}"/>
    <cellStyle name="Normal 13 2 2 8" xfId="5528" xr:uid="{DCB13321-B3F5-4DE2-A5CF-32A8731E00EF}"/>
    <cellStyle name="Normal 13 2 2 8 2" xfId="13908" xr:uid="{2AC55A92-7E3A-452C-B964-0D2DD00D39E5}"/>
    <cellStyle name="Normal 13 2 2 8 2 2" xfId="30668" xr:uid="{FF4CA7D0-FCA0-4909-B7F1-C5B7CD662FE3}"/>
    <cellStyle name="Normal 13 2 2 8 2 3" xfId="47427" xr:uid="{185BCAEB-B557-45D4-9ED2-3F889C4FA86C}"/>
    <cellStyle name="Normal 13 2 2 8 3" xfId="22288" xr:uid="{1F0A9A1D-07F9-48C2-825C-E5BFA0EDA695}"/>
    <cellStyle name="Normal 13 2 2 8 4" xfId="39047" xr:uid="{173353BA-46EE-4875-A154-D446E6E301D8}"/>
    <cellStyle name="Normal 13 2 2 9" xfId="7203" xr:uid="{CC28A49C-D7E3-433F-AE1E-26ADEFE21FC7}"/>
    <cellStyle name="Normal 13 2 2 9 2" xfId="15583" xr:uid="{4DDF11EB-9DCE-4B6E-8F31-0094F0827F19}"/>
    <cellStyle name="Normal 13 2 2 9 2 2" xfId="32343" xr:uid="{A38BDE93-CD60-4390-B522-F877D6CCEDB5}"/>
    <cellStyle name="Normal 13 2 2 9 2 3" xfId="49102" xr:uid="{062E9CA9-F8CE-45D1-ACF0-5F7F53C861DB}"/>
    <cellStyle name="Normal 13 2 2 9 3" xfId="23963" xr:uid="{87607028-9A4A-44E0-B8DE-D8606614FDB3}"/>
    <cellStyle name="Normal 13 2 2 9 4" xfId="40722" xr:uid="{077A4ADD-24E4-4D19-82C9-49240FD0A46C}"/>
    <cellStyle name="Normal 13 2 3" xfId="537" xr:uid="{54169E99-C02A-4AC7-97F0-B1AD38E39FC1}"/>
    <cellStyle name="Normal 13 2 3 10" xfId="8498" xr:uid="{9D08260A-41F2-4F8C-9186-2CFA46BAE005}"/>
    <cellStyle name="Normal 13 2 3 10 2" xfId="16878" xr:uid="{B4426AA6-3272-46EB-9DA8-44ADBA0F8372}"/>
    <cellStyle name="Normal 13 2 3 10 2 2" xfId="33638" xr:uid="{00FE50F2-543A-4020-B366-8BDD7E71024C}"/>
    <cellStyle name="Normal 13 2 3 10 2 3" xfId="50397" xr:uid="{2E657E1C-A969-4897-AD30-A2632285B94C}"/>
    <cellStyle name="Normal 13 2 3 10 3" xfId="25258" xr:uid="{C99CD385-8880-4AAC-AAA3-B248C3FAF06F}"/>
    <cellStyle name="Normal 13 2 3 10 4" xfId="42017" xr:uid="{694DA387-3978-414A-93A0-2CFFA4BE2EDF}"/>
    <cellStyle name="Normal 13 2 3 11" xfId="2369" xr:uid="{BFBCFAC4-F18A-4482-849F-36A0745604FE}"/>
    <cellStyle name="Normal 13 2 3 11 2" xfId="10751" xr:uid="{F6EBEA1F-6EDD-4CE5-848F-B9151F39D7BA}"/>
    <cellStyle name="Normal 13 2 3 11 2 2" xfId="27511" xr:uid="{69F9EA3C-94CA-44ED-95BA-802F7E5A8F1C}"/>
    <cellStyle name="Normal 13 2 3 11 2 3" xfId="44270" xr:uid="{07002484-1AD3-4ED5-9DB4-857989825B50}"/>
    <cellStyle name="Normal 13 2 3 11 3" xfId="19131" xr:uid="{A62AAA34-7C6C-425C-9567-0AC450BCF112}"/>
    <cellStyle name="Normal 13 2 3 11 4" xfId="35890" xr:uid="{9E6AB64B-C7BC-4351-BED0-6B786B81A38E}"/>
    <cellStyle name="Normal 13 2 3 12" xfId="8948" xr:uid="{C8E9A27A-2A6E-400F-9D7B-B53AB838ECC1}"/>
    <cellStyle name="Normal 13 2 3 12 2" xfId="25708" xr:uid="{1495DFD6-D7B9-470B-BCA6-BB1157AF2847}"/>
    <cellStyle name="Normal 13 2 3 12 3" xfId="42467" xr:uid="{91140EC2-9390-4418-8657-7DB401ED85D4}"/>
    <cellStyle name="Normal 13 2 3 13" xfId="17328" xr:uid="{D3CC8066-4E3F-402A-BFAA-EE492D7A1619}"/>
    <cellStyle name="Normal 13 2 3 14" xfId="34087" xr:uid="{287D10F5-580E-401B-A5B0-E5AC0FEBCC38}"/>
    <cellStyle name="Normal 13 2 3 2" xfId="979" xr:uid="{463F7C84-352B-474A-9DC4-E10D16D27BF1}"/>
    <cellStyle name="Normal 13 2 3 2 2" xfId="4374" xr:uid="{3206D128-0ABE-4DA8-BE17-C71D3433A760}"/>
    <cellStyle name="Normal 13 2 3 2 2 2" xfId="12754" xr:uid="{E44D8FFC-81C9-42E4-BE8A-CB3511980846}"/>
    <cellStyle name="Normal 13 2 3 2 2 2 2" xfId="29514" xr:uid="{715A0261-F7B5-4E15-8060-A0FFD6E0CC2B}"/>
    <cellStyle name="Normal 13 2 3 2 2 2 3" xfId="46273" xr:uid="{5309D661-E0EE-4FEE-873B-864EA8C33862}"/>
    <cellStyle name="Normal 13 2 3 2 2 3" xfId="21134" xr:uid="{11B3126A-5030-4C9B-8005-CCFBF7004798}"/>
    <cellStyle name="Normal 13 2 3 2 2 4" xfId="37893" xr:uid="{A4CE5F9C-CEAD-4633-809A-120001A67697}"/>
    <cellStyle name="Normal 13 2 3 2 3" xfId="6061" xr:uid="{34D211C3-8BA7-4FDA-9911-D5582F113CCD}"/>
    <cellStyle name="Normal 13 2 3 2 3 2" xfId="14441" xr:uid="{BB9DB1A4-A803-4EEC-9B1B-A64FA50378E3}"/>
    <cellStyle name="Normal 13 2 3 2 3 2 2" xfId="31201" xr:uid="{12FEC6A4-3A10-4B15-901B-7C6B4FA5F879}"/>
    <cellStyle name="Normal 13 2 3 2 3 2 3" xfId="47960" xr:uid="{9EB99BA5-3E14-41CA-9A9B-08C22B2BC776}"/>
    <cellStyle name="Normal 13 2 3 2 3 3" xfId="22821" xr:uid="{D3E38192-7900-467B-9F66-5729F1CF6570}"/>
    <cellStyle name="Normal 13 2 3 2 3 4" xfId="39580" xr:uid="{DE3886A9-1911-4BF9-A95B-828C31D3D591}"/>
    <cellStyle name="Normal 13 2 3 2 4" xfId="2797" xr:uid="{7640C72B-C341-4CF9-B6E9-68AB3D36FDAD}"/>
    <cellStyle name="Normal 13 2 3 2 4 2" xfId="11177" xr:uid="{40A9128F-828C-4BD2-BADF-109C8E897438}"/>
    <cellStyle name="Normal 13 2 3 2 4 2 2" xfId="27937" xr:uid="{C755D0A3-9932-4C91-B88A-4C2202AF923C}"/>
    <cellStyle name="Normal 13 2 3 2 4 2 3" xfId="44696" xr:uid="{E0EDECC9-EE6F-4CFB-98EF-318C3D18AAB2}"/>
    <cellStyle name="Normal 13 2 3 2 4 3" xfId="19557" xr:uid="{A89D0D92-4CEF-4D5B-B282-8FEF67155BFB}"/>
    <cellStyle name="Normal 13 2 3 2 4 4" xfId="36316" xr:uid="{DCDAC17B-67B5-4329-94F9-161B6D94F396}"/>
    <cellStyle name="Normal 13 2 3 2 5" xfId="9374" xr:uid="{C30C4130-1CAF-4FD9-A84B-7E17C93B0568}"/>
    <cellStyle name="Normal 13 2 3 2 5 2" xfId="26134" xr:uid="{CC240A54-1E5B-4611-8087-96F7F87DC397}"/>
    <cellStyle name="Normal 13 2 3 2 5 3" xfId="42893" xr:uid="{1E7F8D8F-15E1-4536-93EB-616F6871EDF4}"/>
    <cellStyle name="Normal 13 2 3 2 6" xfId="17754" xr:uid="{AD011580-FBC9-4001-A45B-F59C1D4D059B}"/>
    <cellStyle name="Normal 13 2 3 2 7" xfId="34513" xr:uid="{2B9015EB-1CF3-4A37-AEC0-0412B3A37E0E}"/>
    <cellStyle name="Normal 13 2 3 3" xfId="1413" xr:uid="{BE373667-5166-4793-97A7-06D184BCDD2C}"/>
    <cellStyle name="Normal 13 2 3 3 2" xfId="4802" xr:uid="{D467E0EC-127A-4836-AC30-AE619F098AB1}"/>
    <cellStyle name="Normal 13 2 3 3 2 2" xfId="13182" xr:uid="{4756A9E2-24F5-499D-93FA-FB5334CAFF5A}"/>
    <cellStyle name="Normal 13 2 3 3 2 2 2" xfId="29942" xr:uid="{F0B02713-12BB-4FBE-B261-41792FF00037}"/>
    <cellStyle name="Normal 13 2 3 3 2 2 3" xfId="46701" xr:uid="{281603B3-1365-454C-AA62-1B6C9B703281}"/>
    <cellStyle name="Normal 13 2 3 3 2 3" xfId="21562" xr:uid="{8841DB25-A240-4708-AA9F-9F45DA5CB7CE}"/>
    <cellStyle name="Normal 13 2 3 3 2 4" xfId="38321" xr:uid="{55A569E1-9CE3-4B6A-B35E-0549384B2715}"/>
    <cellStyle name="Normal 13 2 3 3 3" xfId="6489" xr:uid="{036F9078-2EDC-4F7E-B996-AFB013A248C0}"/>
    <cellStyle name="Normal 13 2 3 3 3 2" xfId="14869" xr:uid="{4862FD73-967E-46C8-931A-1630737918A6}"/>
    <cellStyle name="Normal 13 2 3 3 3 2 2" xfId="31629" xr:uid="{00F8AFE2-0F49-43D5-9C57-3EAAA70B21B7}"/>
    <cellStyle name="Normal 13 2 3 3 3 2 3" xfId="48388" xr:uid="{E843A26F-A840-4A08-9848-6A94ADA1EDE2}"/>
    <cellStyle name="Normal 13 2 3 3 3 3" xfId="23249" xr:uid="{5AA127B1-2C6D-4CA9-BC56-1496FA08F50E}"/>
    <cellStyle name="Normal 13 2 3 3 3 4" xfId="40008" xr:uid="{C62ED0CD-CAB9-4811-8253-C3CB597C68BC}"/>
    <cellStyle name="Normal 13 2 3 3 4" xfId="3225" xr:uid="{8875B480-DB71-4CEE-9C58-30420C7A02C3}"/>
    <cellStyle name="Normal 13 2 3 3 4 2" xfId="11605" xr:uid="{E90DA375-FC28-4C08-AD25-11371746249A}"/>
    <cellStyle name="Normal 13 2 3 3 4 2 2" xfId="28365" xr:uid="{9ACF2DE2-5C98-4694-9639-AA06ADEC42C5}"/>
    <cellStyle name="Normal 13 2 3 3 4 2 3" xfId="45124" xr:uid="{6209E357-DCA7-4C74-86F2-738A0E5BAA84}"/>
    <cellStyle name="Normal 13 2 3 3 4 3" xfId="19985" xr:uid="{C0AC3471-D5F9-4014-83A7-30E791BF2AA3}"/>
    <cellStyle name="Normal 13 2 3 3 4 4" xfId="36744" xr:uid="{114822DD-83C9-4E13-9310-AB95CBD3306B}"/>
    <cellStyle name="Normal 13 2 3 3 5" xfId="9802" xr:uid="{D93E3F1E-DE38-44C2-B8C9-AC384CF29FAC}"/>
    <cellStyle name="Normal 13 2 3 3 5 2" xfId="26562" xr:uid="{EA6463CE-349A-43BE-8EFA-ADBF78CEF272}"/>
    <cellStyle name="Normal 13 2 3 3 5 3" xfId="43321" xr:uid="{594E6B9E-DD6D-4604-9209-42CB615C6C06}"/>
    <cellStyle name="Normal 13 2 3 3 6" xfId="18182" xr:uid="{0794BC0F-4886-4209-BE28-C2C5FB24D8F5}"/>
    <cellStyle name="Normal 13 2 3 3 7" xfId="34941" xr:uid="{E0897B5C-6153-4BFE-9A61-46B865665AC5}"/>
    <cellStyle name="Normal 13 2 3 4" xfId="1798" xr:uid="{78D2DB85-AE53-4871-884E-115504597C7A}"/>
    <cellStyle name="Normal 13 2 3 4 2" xfId="5187" xr:uid="{596FE8A1-35F5-4040-A510-659766ED9204}"/>
    <cellStyle name="Normal 13 2 3 4 2 2" xfId="13567" xr:uid="{09198842-CCF3-4A14-82DA-E4BB43FADAD4}"/>
    <cellStyle name="Normal 13 2 3 4 2 2 2" xfId="30327" xr:uid="{61B7A8D8-B588-4A4A-B6D5-DD5D6013D6CF}"/>
    <cellStyle name="Normal 13 2 3 4 2 2 3" xfId="47086" xr:uid="{6612B494-C471-4BC6-AA31-7929B1A84EBF}"/>
    <cellStyle name="Normal 13 2 3 4 2 3" xfId="21947" xr:uid="{5CFE8E5F-FA05-4954-9FE9-D0F0C05318E1}"/>
    <cellStyle name="Normal 13 2 3 4 2 4" xfId="38706" xr:uid="{D53FEE0F-5AC3-4F40-BDB4-2DB0A166A551}"/>
    <cellStyle name="Normal 13 2 3 4 3" xfId="6874" xr:uid="{992679BF-B3E4-41B8-AEC4-BF1BE7F1E81B}"/>
    <cellStyle name="Normal 13 2 3 4 3 2" xfId="15254" xr:uid="{A2B15064-A6FA-4550-9856-3E3F6C3BCE7C}"/>
    <cellStyle name="Normal 13 2 3 4 3 2 2" xfId="32014" xr:uid="{F4BB990D-9F2C-424D-8ABE-66312E6F52C7}"/>
    <cellStyle name="Normal 13 2 3 4 3 2 3" xfId="48773" xr:uid="{5C21AB29-8484-4C96-8A1C-C7315ACF36E5}"/>
    <cellStyle name="Normal 13 2 3 4 3 3" xfId="23634" xr:uid="{0E1A5A39-DC2E-4F0D-84B0-00DB82BC40CC}"/>
    <cellStyle name="Normal 13 2 3 4 3 4" xfId="40393" xr:uid="{40443842-9E7B-400D-B7C9-D18DB692C19D}"/>
    <cellStyle name="Normal 13 2 3 4 4" xfId="3498" xr:uid="{3D4B6CDB-D75C-4B34-92D4-917E78262C9A}"/>
    <cellStyle name="Normal 13 2 3 4 4 2" xfId="11878" xr:uid="{65CD76EF-26FA-4DB0-B0ED-DB07E1A58035}"/>
    <cellStyle name="Normal 13 2 3 4 4 2 2" xfId="28638" xr:uid="{B567DC9D-10E7-424E-B1FF-DE57B064B946}"/>
    <cellStyle name="Normal 13 2 3 4 4 2 3" xfId="45397" xr:uid="{20560545-F881-45C4-AA02-B1931CE51293}"/>
    <cellStyle name="Normal 13 2 3 4 4 3" xfId="20258" xr:uid="{4C7229C4-F0E2-4570-A34A-EF6749C4CEB5}"/>
    <cellStyle name="Normal 13 2 3 4 4 4" xfId="37017" xr:uid="{44EA6CDC-C865-44D4-8F92-3FF00058AA14}"/>
    <cellStyle name="Normal 13 2 3 4 5" xfId="10187" xr:uid="{8C8A8AE1-7563-4FB2-A833-281D4FD23BFA}"/>
    <cellStyle name="Normal 13 2 3 4 5 2" xfId="26947" xr:uid="{FDF303CA-AE4F-494D-8C45-5D4D6AC4E194}"/>
    <cellStyle name="Normal 13 2 3 4 5 3" xfId="43706" xr:uid="{6D4EA6C3-2D98-4CE9-9CDD-B687C74E7137}"/>
    <cellStyle name="Normal 13 2 3 4 6" xfId="18567" xr:uid="{ADF482B0-925D-455C-A719-550B7F77B50D}"/>
    <cellStyle name="Normal 13 2 3 4 7" xfId="35326" xr:uid="{FA8D9804-B4AD-42F1-9E7E-DCEFA8DE8060}"/>
    <cellStyle name="Normal 13 2 3 5" xfId="3917" xr:uid="{ED1BE8DB-EED3-4A57-A87E-BD0FC96BD8E9}"/>
    <cellStyle name="Normal 13 2 3 5 2" xfId="12297" xr:uid="{0B10FC50-6277-458A-982D-1DD866EF4AC0}"/>
    <cellStyle name="Normal 13 2 3 5 2 2" xfId="29057" xr:uid="{D9220CDB-454E-4C1C-B9BC-C3E3140C4F7C}"/>
    <cellStyle name="Normal 13 2 3 5 2 3" xfId="45816" xr:uid="{E6721B3F-2023-4485-A48B-0D8B22169621}"/>
    <cellStyle name="Normal 13 2 3 5 3" xfId="20677" xr:uid="{DB30D71A-6D4C-4C6A-B46B-064197AE2442}"/>
    <cellStyle name="Normal 13 2 3 5 4" xfId="37436" xr:uid="{0B455AD7-4F25-4AC4-93BE-BF63346F6FAC}"/>
    <cellStyle name="Normal 13 2 3 6" xfId="5635" xr:uid="{A332D3AB-06AF-4519-A1CE-609B1AB17947}"/>
    <cellStyle name="Normal 13 2 3 6 2" xfId="14015" xr:uid="{DB688438-2D54-4030-B9E4-5A3190E50840}"/>
    <cellStyle name="Normal 13 2 3 6 2 2" xfId="30775" xr:uid="{203E0791-E25F-49BC-8B95-10408B3F8B79}"/>
    <cellStyle name="Normal 13 2 3 6 2 3" xfId="47534" xr:uid="{660646E8-FBAC-429C-9CB2-8020443930A7}"/>
    <cellStyle name="Normal 13 2 3 6 3" xfId="22395" xr:uid="{01ECA672-5305-465F-9ECE-E6C36AC7071C}"/>
    <cellStyle name="Normal 13 2 3 6 4" xfId="39154" xr:uid="{EBB203B5-B4A0-4FEC-A270-C908AB2C2E1A}"/>
    <cellStyle name="Normal 13 2 3 7" xfId="7280" xr:uid="{78AD11C0-ACBF-4A26-9537-8694DB4C68FD}"/>
    <cellStyle name="Normal 13 2 3 7 2" xfId="15660" xr:uid="{25D3A2D7-726B-4A4B-BB4D-7800A28456BE}"/>
    <cellStyle name="Normal 13 2 3 7 2 2" xfId="32420" xr:uid="{8EA205A4-FB54-46E0-AA0D-B6E7B579767A}"/>
    <cellStyle name="Normal 13 2 3 7 2 3" xfId="49179" xr:uid="{0C82F52F-D10F-4D46-AE62-92E529ECBDBB}"/>
    <cellStyle name="Normal 13 2 3 7 3" xfId="24040" xr:uid="{FC505643-FC06-4B05-A551-DDBDAD3391AD}"/>
    <cellStyle name="Normal 13 2 3 7 4" xfId="40799" xr:uid="{1FC5C550-4E27-4E38-8DE3-42D4E45904AB}"/>
    <cellStyle name="Normal 13 2 3 8" xfId="7686" xr:uid="{8C38CDFA-0887-4EB9-9FD5-6072BB3B9619}"/>
    <cellStyle name="Normal 13 2 3 8 2" xfId="16066" xr:uid="{FCF3D7FC-4D5C-4916-B1EB-D234760CAB97}"/>
    <cellStyle name="Normal 13 2 3 8 2 2" xfId="32826" xr:uid="{2F4C0FD2-CB1F-4DC1-BE29-D1A2600A7D62}"/>
    <cellStyle name="Normal 13 2 3 8 2 3" xfId="49585" xr:uid="{2DDFB900-DBE7-475B-A5E1-48697E6A846D}"/>
    <cellStyle name="Normal 13 2 3 8 3" xfId="24446" xr:uid="{7AFDC938-2A91-4538-A794-BCCB3F1972B4}"/>
    <cellStyle name="Normal 13 2 3 8 4" xfId="41205" xr:uid="{83313408-FECF-4F3B-AFDF-59BA8D8AF286}"/>
    <cellStyle name="Normal 13 2 3 9" xfId="8092" xr:uid="{35ACE8E2-9E98-47D0-9224-7B2334CD57A6}"/>
    <cellStyle name="Normal 13 2 3 9 2" xfId="16472" xr:uid="{7ECAA2D3-03C0-4931-A4BB-5FDFB394D5D9}"/>
    <cellStyle name="Normal 13 2 3 9 2 2" xfId="33232" xr:uid="{CE6F1280-B3ED-420E-BE51-C9BE3395D0B2}"/>
    <cellStyle name="Normal 13 2 3 9 2 3" xfId="49991" xr:uid="{25EBB81D-CD21-4DCE-B41A-A1E7863747A8}"/>
    <cellStyle name="Normal 13 2 3 9 3" xfId="24852" xr:uid="{34F0C552-D242-4C9A-8B18-FCA4D9AD9184}"/>
    <cellStyle name="Normal 13 2 3 9 4" xfId="41611" xr:uid="{4652ED3F-97AE-4DA1-88C6-9EB679436E82}"/>
    <cellStyle name="Normal 13 2 4" xfId="538" xr:uid="{598599F3-189F-4F9F-A4E4-6580123614C7}"/>
    <cellStyle name="Normal 13 2 4 10" xfId="8638" xr:uid="{E518A3A9-33BE-4F90-B38E-987BB6149500}"/>
    <cellStyle name="Normal 13 2 4 10 2" xfId="17018" xr:uid="{8E267812-7A26-4B24-B0BE-AB22BA681BC3}"/>
    <cellStyle name="Normal 13 2 4 10 2 2" xfId="33778" xr:uid="{0BB99F48-DA1D-4D18-B52E-97014834B8EB}"/>
    <cellStyle name="Normal 13 2 4 10 2 3" xfId="50537" xr:uid="{402374A7-F264-4D3F-BD0F-F47490A08104}"/>
    <cellStyle name="Normal 13 2 4 10 3" xfId="25398" xr:uid="{6137CD08-28A2-4A06-A598-622FFF330D90}"/>
    <cellStyle name="Normal 13 2 4 10 4" xfId="42157" xr:uid="{A6DB35EF-7FF3-4861-A28C-77EEBD11A12D}"/>
    <cellStyle name="Normal 13 2 4 11" xfId="2370" xr:uid="{6FE47159-F19F-4B94-82BF-8005F5546842}"/>
    <cellStyle name="Normal 13 2 4 11 2" xfId="10752" xr:uid="{75DC2EED-7D54-4BDA-AC4E-787213BDE476}"/>
    <cellStyle name="Normal 13 2 4 11 2 2" xfId="27512" xr:uid="{9BC77DE3-E60A-41A3-BFD8-51FBF8162140}"/>
    <cellStyle name="Normal 13 2 4 11 2 3" xfId="44271" xr:uid="{6EA26E52-F676-491D-AA84-8DB4D29EE4B8}"/>
    <cellStyle name="Normal 13 2 4 11 3" xfId="19132" xr:uid="{962224D4-06E0-4425-A2CD-2E027BA123D9}"/>
    <cellStyle name="Normal 13 2 4 11 4" xfId="35891" xr:uid="{C4BAA512-9619-4129-B60E-55FEF19A0E40}"/>
    <cellStyle name="Normal 13 2 4 12" xfId="8949" xr:uid="{3E3D2B88-B884-4618-920B-99AFADED6CF9}"/>
    <cellStyle name="Normal 13 2 4 12 2" xfId="25709" xr:uid="{DFB8E896-E34B-40FC-B845-09C97329AC4C}"/>
    <cellStyle name="Normal 13 2 4 12 3" xfId="42468" xr:uid="{4519CEAF-5996-48C7-B7B4-28E1E268BEEB}"/>
    <cellStyle name="Normal 13 2 4 13" xfId="17329" xr:uid="{5481E1F8-B8AA-4CEB-BC30-A79D13A1BBE2}"/>
    <cellStyle name="Normal 13 2 4 14" xfId="34088" xr:uid="{E5EEF463-1610-4209-B54F-D0EB57FB1C35}"/>
    <cellStyle name="Normal 13 2 4 2" xfId="980" xr:uid="{63B185CC-D3A6-4B30-8F65-11740BD1F2E2}"/>
    <cellStyle name="Normal 13 2 4 2 2" xfId="4375" xr:uid="{152CE435-EE56-4E46-8FF0-B494292643FA}"/>
    <cellStyle name="Normal 13 2 4 2 2 2" xfId="12755" xr:uid="{A58C0D26-67F9-41F5-87C1-327DCCE2F457}"/>
    <cellStyle name="Normal 13 2 4 2 2 2 2" xfId="29515" xr:uid="{A4BAC99A-539C-4E4C-B050-D32277827550}"/>
    <cellStyle name="Normal 13 2 4 2 2 2 3" xfId="46274" xr:uid="{EBFD8606-D94F-47E4-A2D2-6B78FCC35296}"/>
    <cellStyle name="Normal 13 2 4 2 2 3" xfId="21135" xr:uid="{DC159476-8CB2-4067-8D50-DAFC119D68D6}"/>
    <cellStyle name="Normal 13 2 4 2 2 4" xfId="37894" xr:uid="{50970C52-FF06-43BD-9D52-5741133DA3E1}"/>
    <cellStyle name="Normal 13 2 4 2 3" xfId="6062" xr:uid="{BD1329FE-BF86-4881-82F8-DD1F0D8939D6}"/>
    <cellStyle name="Normal 13 2 4 2 3 2" xfId="14442" xr:uid="{97D1B2FF-B686-4AE5-BA19-429DCCBF4A9E}"/>
    <cellStyle name="Normal 13 2 4 2 3 2 2" xfId="31202" xr:uid="{9A23BA52-D64C-49D3-ACC0-539C60EEABD0}"/>
    <cellStyle name="Normal 13 2 4 2 3 2 3" xfId="47961" xr:uid="{C7F4FA9A-4DA2-4C28-8BB5-4C4B46C4286D}"/>
    <cellStyle name="Normal 13 2 4 2 3 3" xfId="22822" xr:uid="{30114E98-6D06-41AE-801D-6BD753C3DEB5}"/>
    <cellStyle name="Normal 13 2 4 2 3 4" xfId="39581" xr:uid="{7ED2FEC5-3D1C-4042-B052-146CB1B24A14}"/>
    <cellStyle name="Normal 13 2 4 2 4" xfId="2798" xr:uid="{90B1A7BF-B2F3-4802-AF20-5037018DB1EE}"/>
    <cellStyle name="Normal 13 2 4 2 4 2" xfId="11178" xr:uid="{071349B0-FB3F-4605-8234-00F79C3DA299}"/>
    <cellStyle name="Normal 13 2 4 2 4 2 2" xfId="27938" xr:uid="{3AAED9B5-FCC6-4BB2-8572-7B293396B10F}"/>
    <cellStyle name="Normal 13 2 4 2 4 2 3" xfId="44697" xr:uid="{CF6C2649-EF7B-4C30-B597-8AF61CDFE7BC}"/>
    <cellStyle name="Normal 13 2 4 2 4 3" xfId="19558" xr:uid="{941D1AA5-1932-47DA-A85A-A2C875CAA772}"/>
    <cellStyle name="Normal 13 2 4 2 4 4" xfId="36317" xr:uid="{CEDFC8CD-234C-4405-99EC-E40F3E6A4886}"/>
    <cellStyle name="Normal 13 2 4 2 5" xfId="9375" xr:uid="{749ACD79-8C8E-4358-9383-5EB43CF2E46D}"/>
    <cellStyle name="Normal 13 2 4 2 5 2" xfId="26135" xr:uid="{8553B741-E417-4A4C-AC51-BDD3EA25E414}"/>
    <cellStyle name="Normal 13 2 4 2 5 3" xfId="42894" xr:uid="{6D4D4431-7059-4115-A8B4-6959078AB41A}"/>
    <cellStyle name="Normal 13 2 4 2 6" xfId="17755" xr:uid="{556642B5-D58C-41A8-B9B2-A58AFEEB7E4F}"/>
    <cellStyle name="Normal 13 2 4 2 7" xfId="34514" xr:uid="{B6896F12-7304-4466-AD3C-47A5D069D3E0}"/>
    <cellStyle name="Normal 13 2 4 3" xfId="1414" xr:uid="{C16E6BD7-0CAD-40FA-9A0C-06DF1A33BE34}"/>
    <cellStyle name="Normal 13 2 4 3 2" xfId="4803" xr:uid="{7BBB754D-A821-4E54-B229-4EB16E0780AE}"/>
    <cellStyle name="Normal 13 2 4 3 2 2" xfId="13183" xr:uid="{C9B77D6E-39B4-4979-9E20-6598434FEAF3}"/>
    <cellStyle name="Normal 13 2 4 3 2 2 2" xfId="29943" xr:uid="{368FDAA9-63DC-4E7C-A7F3-D1BA07DC9DE9}"/>
    <cellStyle name="Normal 13 2 4 3 2 2 3" xfId="46702" xr:uid="{57D16EBB-39A2-462F-8BE7-D4A043F1E67F}"/>
    <cellStyle name="Normal 13 2 4 3 2 3" xfId="21563" xr:uid="{5AE8697C-1E5F-49D5-9A56-72B59B836596}"/>
    <cellStyle name="Normal 13 2 4 3 2 4" xfId="38322" xr:uid="{EDA7E5B9-74ED-4331-BEC5-3FA1BFA67B12}"/>
    <cellStyle name="Normal 13 2 4 3 3" xfId="6490" xr:uid="{BCED9935-7CCC-4B19-BB92-926A3FB2FC68}"/>
    <cellStyle name="Normal 13 2 4 3 3 2" xfId="14870" xr:uid="{C5F67F04-A4D7-4000-BB3C-6CB1AD7AC7AD}"/>
    <cellStyle name="Normal 13 2 4 3 3 2 2" xfId="31630" xr:uid="{1E4D753C-2F7E-4DFB-9981-F3F16E58F969}"/>
    <cellStyle name="Normal 13 2 4 3 3 2 3" xfId="48389" xr:uid="{2ADD9E26-F3E1-490F-96FE-B310B8D163FE}"/>
    <cellStyle name="Normal 13 2 4 3 3 3" xfId="23250" xr:uid="{C438B252-15DF-476E-A10D-879F670777BA}"/>
    <cellStyle name="Normal 13 2 4 3 3 4" xfId="40009" xr:uid="{03A2BD3F-EA05-4EA6-B0B1-9CEAFE1FE1B6}"/>
    <cellStyle name="Normal 13 2 4 3 4" xfId="3226" xr:uid="{6F132B8E-453B-4C0D-B720-69E9459DB296}"/>
    <cellStyle name="Normal 13 2 4 3 4 2" xfId="11606" xr:uid="{EF589863-BBC9-4E38-8C78-8102A395F917}"/>
    <cellStyle name="Normal 13 2 4 3 4 2 2" xfId="28366" xr:uid="{85818051-121D-4E04-A62E-CE7A8E316B69}"/>
    <cellStyle name="Normal 13 2 4 3 4 2 3" xfId="45125" xr:uid="{3EB4C666-4651-48AF-BA7C-4623F4D405AB}"/>
    <cellStyle name="Normal 13 2 4 3 4 3" xfId="19986" xr:uid="{5B6319DD-38DC-4741-AA26-4A6D0FE12B74}"/>
    <cellStyle name="Normal 13 2 4 3 4 4" xfId="36745" xr:uid="{5C4786F1-2114-455E-AF3F-DC3BC79F81F2}"/>
    <cellStyle name="Normal 13 2 4 3 5" xfId="9803" xr:uid="{AC32E18E-A2AA-4E69-93C8-733A2DC83129}"/>
    <cellStyle name="Normal 13 2 4 3 5 2" xfId="26563" xr:uid="{B5CE0968-26BC-4AA3-9CC7-113B2AB7F89D}"/>
    <cellStyle name="Normal 13 2 4 3 5 3" xfId="43322" xr:uid="{0AC902A1-0115-4489-B506-96B5BE484534}"/>
    <cellStyle name="Normal 13 2 4 3 6" xfId="18183" xr:uid="{0839B009-7004-4733-9530-AE07641205F6}"/>
    <cellStyle name="Normal 13 2 4 3 7" xfId="34942" xr:uid="{637FB0A1-E209-4453-AF13-DE2821AC2538}"/>
    <cellStyle name="Normal 13 2 4 4" xfId="1938" xr:uid="{B80442A4-8D8F-4B60-958B-2C72EC0348E6}"/>
    <cellStyle name="Normal 13 2 4 4 2" xfId="5327" xr:uid="{9561F9E8-8D9A-440A-982A-CB73BE853867}"/>
    <cellStyle name="Normal 13 2 4 4 2 2" xfId="13707" xr:uid="{67FDC4E8-2131-4405-83E2-0E902B69511F}"/>
    <cellStyle name="Normal 13 2 4 4 2 2 2" xfId="30467" xr:uid="{F6CE82B2-A727-47D7-B626-5E064B2FC77B}"/>
    <cellStyle name="Normal 13 2 4 4 2 2 3" xfId="47226" xr:uid="{E8A00DFA-B68A-4D6E-BCF2-5BE0FAF89445}"/>
    <cellStyle name="Normal 13 2 4 4 2 3" xfId="22087" xr:uid="{D3F4A7A5-777E-4A02-A493-375D1479CBE6}"/>
    <cellStyle name="Normal 13 2 4 4 2 4" xfId="38846" xr:uid="{BC6F93AE-D25A-43E5-A0D4-337858CC72ED}"/>
    <cellStyle name="Normal 13 2 4 4 3" xfId="7014" xr:uid="{007DADC8-B0E8-4DBE-B9E8-E97539C1DAD4}"/>
    <cellStyle name="Normal 13 2 4 4 3 2" xfId="15394" xr:uid="{E229C93F-F4AD-4765-A85C-0681B15B001D}"/>
    <cellStyle name="Normal 13 2 4 4 3 2 2" xfId="32154" xr:uid="{81CB5058-CC6A-48B8-9DD5-3A52A5750A45}"/>
    <cellStyle name="Normal 13 2 4 4 3 2 3" xfId="48913" xr:uid="{29EC6E7B-70F8-4914-ACF0-61B6BC6D117A}"/>
    <cellStyle name="Normal 13 2 4 4 3 3" xfId="23774" xr:uid="{5FA06EB1-D7C9-4B1D-A7B5-C64CF6569B59}"/>
    <cellStyle name="Normal 13 2 4 4 3 4" xfId="40533" xr:uid="{9FDC0EE4-F713-4E9B-BFBD-38E672E843EE}"/>
    <cellStyle name="Normal 13 2 4 4 4" xfId="3637" xr:uid="{493D019E-C515-48F6-A610-D938A0EF00F1}"/>
    <cellStyle name="Normal 13 2 4 4 4 2" xfId="12017" xr:uid="{30D78122-7712-40A5-8A34-26671C7ABDCA}"/>
    <cellStyle name="Normal 13 2 4 4 4 2 2" xfId="28777" xr:uid="{BCA005DF-25A5-4BF3-AA5D-E3D39DC2A762}"/>
    <cellStyle name="Normal 13 2 4 4 4 2 3" xfId="45536" xr:uid="{F12CB5EB-FADA-4D20-8285-BB32363C7D33}"/>
    <cellStyle name="Normal 13 2 4 4 4 3" xfId="20397" xr:uid="{B15E3DD8-D3A3-49B2-AA96-51C4EF57E721}"/>
    <cellStyle name="Normal 13 2 4 4 4 4" xfId="37156" xr:uid="{046A93A3-4496-4E58-ADAE-0FF64572ADEB}"/>
    <cellStyle name="Normal 13 2 4 4 5" xfId="10327" xr:uid="{3FACBD8F-1067-485F-9D02-772280BD0851}"/>
    <cellStyle name="Normal 13 2 4 4 5 2" xfId="27087" xr:uid="{63D428C6-2519-4E8C-9B62-EFE2BC659BE2}"/>
    <cellStyle name="Normal 13 2 4 4 5 3" xfId="43846" xr:uid="{1C940725-61B8-4170-9B3B-3F7364717A94}"/>
    <cellStyle name="Normal 13 2 4 4 6" xfId="18707" xr:uid="{CBDCE901-F7B1-4346-8399-1F8CE33ACA55}"/>
    <cellStyle name="Normal 13 2 4 4 7" xfId="35466" xr:uid="{88B6B5E7-E87B-456D-910B-4CEC372C8F24}"/>
    <cellStyle name="Normal 13 2 4 5" xfId="4057" xr:uid="{400A0D96-C9F2-4C4D-AFD3-DCACA5AE8626}"/>
    <cellStyle name="Normal 13 2 4 5 2" xfId="12437" xr:uid="{BD2F5C98-B7FB-48FB-A973-7799EEDDD36D}"/>
    <cellStyle name="Normal 13 2 4 5 2 2" xfId="29197" xr:uid="{88B90F68-1014-4065-ABF8-ED463A76FA43}"/>
    <cellStyle name="Normal 13 2 4 5 2 3" xfId="45956" xr:uid="{DB399AD6-F042-430E-92BF-BEE7C8EAB1C5}"/>
    <cellStyle name="Normal 13 2 4 5 3" xfId="20817" xr:uid="{938AF7A1-B807-4AAD-AD0B-F8A23B1D2D9F}"/>
    <cellStyle name="Normal 13 2 4 5 4" xfId="37576" xr:uid="{321B9E31-5B8F-41B5-AE30-8A0A8E2CE7DF}"/>
    <cellStyle name="Normal 13 2 4 6" xfId="5636" xr:uid="{0AB746A1-4CCF-4AD0-955E-2DC47B5C9E22}"/>
    <cellStyle name="Normal 13 2 4 6 2" xfId="14016" xr:uid="{332929CD-9297-40BB-9EDA-8871E0B144D4}"/>
    <cellStyle name="Normal 13 2 4 6 2 2" xfId="30776" xr:uid="{3EA5247A-E23F-4E09-AB8D-C8EC42FEC14D}"/>
    <cellStyle name="Normal 13 2 4 6 2 3" xfId="47535" xr:uid="{35BE76BE-C5D9-46E5-8EF5-C7F191E2B536}"/>
    <cellStyle name="Normal 13 2 4 6 3" xfId="22396" xr:uid="{09CC7C13-20AE-413B-9BE6-67CBE2264E11}"/>
    <cellStyle name="Normal 13 2 4 6 4" xfId="39155" xr:uid="{E5C2B1AC-3DDA-4A65-9570-3A8E639307E0}"/>
    <cellStyle name="Normal 13 2 4 7" xfId="7420" xr:uid="{5EDD4374-191D-4BF7-8D16-F01667B15E64}"/>
    <cellStyle name="Normal 13 2 4 7 2" xfId="15800" xr:uid="{A1D8AA9A-AEF3-4250-8B9F-AC4EA4E019A7}"/>
    <cellStyle name="Normal 13 2 4 7 2 2" xfId="32560" xr:uid="{92A25413-DAA5-4D09-ABD7-5E3589345358}"/>
    <cellStyle name="Normal 13 2 4 7 2 3" xfId="49319" xr:uid="{EF1F6081-1361-40FF-A440-343DF88202E2}"/>
    <cellStyle name="Normal 13 2 4 7 3" xfId="24180" xr:uid="{C7BED720-6203-4A46-BB9A-DDDA2A54A215}"/>
    <cellStyle name="Normal 13 2 4 7 4" xfId="40939" xr:uid="{7C89A4D2-0029-4961-88FB-5188AA5A10DF}"/>
    <cellStyle name="Normal 13 2 4 8" xfId="7826" xr:uid="{BA7B689F-D89A-4139-978A-68063F356424}"/>
    <cellStyle name="Normal 13 2 4 8 2" xfId="16206" xr:uid="{E5535E46-3B19-4498-AB5A-7751810C6F4B}"/>
    <cellStyle name="Normal 13 2 4 8 2 2" xfId="32966" xr:uid="{F8DD5E95-F34D-41A7-97B5-861DA0497C45}"/>
    <cellStyle name="Normal 13 2 4 8 2 3" xfId="49725" xr:uid="{9BC0DD11-CF92-49F7-B7D9-0A7A76F01BE7}"/>
    <cellStyle name="Normal 13 2 4 8 3" xfId="24586" xr:uid="{0D2C2E89-BF55-4300-9433-EEB895CB11F4}"/>
    <cellStyle name="Normal 13 2 4 8 4" xfId="41345" xr:uid="{093C4CBE-7E91-4ACB-8D9E-A94BA9054D1F}"/>
    <cellStyle name="Normal 13 2 4 9" xfId="8232" xr:uid="{51AFF3EC-6383-4C70-8F54-736CA0D515F7}"/>
    <cellStyle name="Normal 13 2 4 9 2" xfId="16612" xr:uid="{11C70056-ECE2-445B-AF4E-09FF9CA748C4}"/>
    <cellStyle name="Normal 13 2 4 9 2 2" xfId="33372" xr:uid="{FEC1D5CF-7570-4522-8779-4AFD195B07C6}"/>
    <cellStyle name="Normal 13 2 4 9 2 3" xfId="50131" xr:uid="{04293126-06BC-49FF-A6E8-C6285AD2D445}"/>
    <cellStyle name="Normal 13 2 4 9 3" xfId="24992" xr:uid="{0DDF13FB-6629-46C1-9DDA-41E11D3B3AF4}"/>
    <cellStyle name="Normal 13 2 4 9 4" xfId="41751" xr:uid="{3D3CBD29-46FF-45F5-82DE-3FD69BB3C56F}"/>
    <cellStyle name="Normal 13 2 5" xfId="798" xr:uid="{0004DB25-24CA-4F36-ACCD-EA6F1E0E92FE}"/>
    <cellStyle name="Normal 13 2 5 2" xfId="4193" xr:uid="{D8723BD1-D00E-4F69-88BF-BEC34B889626}"/>
    <cellStyle name="Normal 13 2 5 2 2" xfId="12573" xr:uid="{AC800231-0839-4464-8391-C2B845D7F819}"/>
    <cellStyle name="Normal 13 2 5 2 2 2" xfId="29333" xr:uid="{0C639CBD-7340-4184-90B2-6E7D77D14470}"/>
    <cellStyle name="Normal 13 2 5 2 2 3" xfId="46092" xr:uid="{E05A04FA-29F1-46D7-9BBF-96F5EDDD17B0}"/>
    <cellStyle name="Normal 13 2 5 2 3" xfId="20953" xr:uid="{0A0314C6-35E2-4EAC-BC11-D4A3B632A643}"/>
    <cellStyle name="Normal 13 2 5 2 4" xfId="37712" xr:uid="{A257E4E1-0706-42E0-BCD8-2E1E1F8944E5}"/>
    <cellStyle name="Normal 13 2 5 3" xfId="5880" xr:uid="{0EB0276E-9AD6-48CC-A4C3-FFFDBE4EC85F}"/>
    <cellStyle name="Normal 13 2 5 3 2" xfId="14260" xr:uid="{BDD2B62A-FA45-4E2F-8F1C-B6740BBEFEF7}"/>
    <cellStyle name="Normal 13 2 5 3 2 2" xfId="31020" xr:uid="{CF5AA8AB-C051-4F60-A35E-E0C42A9D609B}"/>
    <cellStyle name="Normal 13 2 5 3 2 3" xfId="47779" xr:uid="{668CE2A3-BDEC-4A88-918D-6FFFC4432A48}"/>
    <cellStyle name="Normal 13 2 5 3 3" xfId="22640" xr:uid="{0A6136AB-5E2F-4CA8-9D6D-1DAFDCEC14E8}"/>
    <cellStyle name="Normal 13 2 5 3 4" xfId="39399" xr:uid="{BC45E2BF-9886-43C2-B121-89CF0C0B21DB}"/>
    <cellStyle name="Normal 13 2 5 4" xfId="2616" xr:uid="{DCF794E7-B8BD-4EEC-A94B-D94ECFCE5279}"/>
    <cellStyle name="Normal 13 2 5 4 2" xfId="10996" xr:uid="{165A8030-BD40-45BD-9F48-7BB23BF67C83}"/>
    <cellStyle name="Normal 13 2 5 4 2 2" xfId="27756" xr:uid="{B1C62530-6D9D-4CA7-AC69-59B819BD6919}"/>
    <cellStyle name="Normal 13 2 5 4 2 3" xfId="44515" xr:uid="{CE791B75-4139-4CE8-B836-E24ED716B639}"/>
    <cellStyle name="Normal 13 2 5 4 3" xfId="19376" xr:uid="{90EFAFF0-2620-47D6-A35F-A76A239AF8C1}"/>
    <cellStyle name="Normal 13 2 5 4 4" xfId="36135" xr:uid="{EA58E057-FC1F-4820-88F5-2EEA4D6A0D6C}"/>
    <cellStyle name="Normal 13 2 5 5" xfId="9193" xr:uid="{A37CBF44-3904-4829-A446-0585BE0DF5F7}"/>
    <cellStyle name="Normal 13 2 5 5 2" xfId="25953" xr:uid="{59EAB508-3541-459E-97FC-017C49D3BFEB}"/>
    <cellStyle name="Normal 13 2 5 5 3" xfId="42712" xr:uid="{6E22C681-F034-4E78-B7C3-0D2C692D9B2B}"/>
    <cellStyle name="Normal 13 2 5 6" xfId="17573" xr:uid="{11C9BBD3-E9F4-4CBB-A860-DEDA1D952ED3}"/>
    <cellStyle name="Normal 13 2 5 7" xfId="34332" xr:uid="{C6B131CE-3FD6-4B06-A44C-BDD65DF88EE8}"/>
    <cellStyle name="Normal 13 2 6" xfId="1232" xr:uid="{1775938F-4BA2-435B-8DFA-FEFA6F61D274}"/>
    <cellStyle name="Normal 13 2 6 2" xfId="4621" xr:uid="{4261DB02-20DF-49BD-A8B8-7B37239A706E}"/>
    <cellStyle name="Normal 13 2 6 2 2" xfId="13001" xr:uid="{C89F90A9-CB65-4221-8DBC-8B52CBEBF8E7}"/>
    <cellStyle name="Normal 13 2 6 2 2 2" xfId="29761" xr:uid="{4F4C2F24-8FE2-4EB7-B591-C47303CE9E04}"/>
    <cellStyle name="Normal 13 2 6 2 2 3" xfId="46520" xr:uid="{3B07517D-04F0-4E8C-AA81-CA238AACD791}"/>
    <cellStyle name="Normal 13 2 6 2 3" xfId="21381" xr:uid="{FC6B83EC-CB12-4D3E-BE1A-9F3D682AAFC5}"/>
    <cellStyle name="Normal 13 2 6 2 4" xfId="38140" xr:uid="{5F1D1963-B4E4-42BD-A3BD-F92D5C8B2B96}"/>
    <cellStyle name="Normal 13 2 6 3" xfId="6308" xr:uid="{19EFBA64-780A-46AC-BBEF-52FA81E50974}"/>
    <cellStyle name="Normal 13 2 6 3 2" xfId="14688" xr:uid="{1577FBB0-1361-47DE-A933-B3F108AAD4EF}"/>
    <cellStyle name="Normal 13 2 6 3 2 2" xfId="31448" xr:uid="{04329C1F-7092-47D7-83EB-9BC01DF64EDF}"/>
    <cellStyle name="Normal 13 2 6 3 2 3" xfId="48207" xr:uid="{B653664D-E7B0-44C8-988A-DBA73F419CCB}"/>
    <cellStyle name="Normal 13 2 6 3 3" xfId="23068" xr:uid="{0441FB27-0284-4C34-87CD-F27B392BF9A4}"/>
    <cellStyle name="Normal 13 2 6 3 4" xfId="39827" xr:uid="{93D58A02-83B0-47D7-8EEB-3A2BA5BF63BC}"/>
    <cellStyle name="Normal 13 2 6 4" xfId="3044" xr:uid="{8389C5DF-2B0A-4F12-A82E-39767020BF41}"/>
    <cellStyle name="Normal 13 2 6 4 2" xfId="11424" xr:uid="{E712B89C-F7C0-46C5-B905-FD08064AD550}"/>
    <cellStyle name="Normal 13 2 6 4 2 2" xfId="28184" xr:uid="{21A026D9-E643-4EE5-A67D-BA4DFD2A1A1B}"/>
    <cellStyle name="Normal 13 2 6 4 2 3" xfId="44943" xr:uid="{9FE28F09-4083-473E-819E-039741890786}"/>
    <cellStyle name="Normal 13 2 6 4 3" xfId="19804" xr:uid="{43A8CD22-1A83-4A34-B094-DD8EAEFEDDE9}"/>
    <cellStyle name="Normal 13 2 6 4 4" xfId="36563" xr:uid="{47A5C4C4-A215-471D-9E98-8296BDCB9A14}"/>
    <cellStyle name="Normal 13 2 6 5" xfId="9621" xr:uid="{079D588C-F35B-4B26-9108-7638758475D6}"/>
    <cellStyle name="Normal 13 2 6 5 2" xfId="26381" xr:uid="{90D9A0B1-CA49-4AFD-9A36-09F95C4EDA87}"/>
    <cellStyle name="Normal 13 2 6 5 3" xfId="43140" xr:uid="{296A6A6D-9361-4E5B-93E8-83E81570B7A3}"/>
    <cellStyle name="Normal 13 2 6 6" xfId="18001" xr:uid="{320BBE0C-3203-415A-867B-03CDE4E71890}"/>
    <cellStyle name="Normal 13 2 6 7" xfId="34760" xr:uid="{AA8124B3-5F4F-49A5-B255-27F462FA4D50}"/>
    <cellStyle name="Normal 13 2 7" xfId="1667" xr:uid="{5589EBD6-A578-41E3-A70E-CBF359B4EA93}"/>
    <cellStyle name="Normal 13 2 7 2" xfId="5056" xr:uid="{725EB466-F423-427E-A587-89AE2D53E178}"/>
    <cellStyle name="Normal 13 2 7 2 2" xfId="13436" xr:uid="{836AC796-ABD6-4E48-90BE-B0759AC5CCE1}"/>
    <cellStyle name="Normal 13 2 7 2 2 2" xfId="30196" xr:uid="{C361E892-49F7-4D86-B9A8-22ECE2AF4921}"/>
    <cellStyle name="Normal 13 2 7 2 2 3" xfId="46955" xr:uid="{ACA54FC1-AD15-40B3-AC44-D23676DC7E16}"/>
    <cellStyle name="Normal 13 2 7 2 3" xfId="21816" xr:uid="{C5DB0710-3234-45B0-A2AF-C5FF5EFCCE4B}"/>
    <cellStyle name="Normal 13 2 7 2 4" xfId="38575" xr:uid="{048E0C5A-1F0E-4367-B508-9832569942B8}"/>
    <cellStyle name="Normal 13 2 7 3" xfId="6743" xr:uid="{B06D621F-C840-4870-898F-E3017C3AC6F2}"/>
    <cellStyle name="Normal 13 2 7 3 2" xfId="15123" xr:uid="{367191CF-B922-4668-8D36-747A94D8A4E0}"/>
    <cellStyle name="Normal 13 2 7 3 2 2" xfId="31883" xr:uid="{DB516BD7-2279-438B-927E-4CED75495A6B}"/>
    <cellStyle name="Normal 13 2 7 3 2 3" xfId="48642" xr:uid="{BC6FA4A0-EBE5-4835-9B9F-264BC7A8D4ED}"/>
    <cellStyle name="Normal 13 2 7 3 3" xfId="23503" xr:uid="{0440032D-FA1C-4527-9683-C31AB7FFD0BD}"/>
    <cellStyle name="Normal 13 2 7 3 4" xfId="40262" xr:uid="{F19F23A5-CBF9-4EC9-9DA5-073FED048A5A}"/>
    <cellStyle name="Normal 13 2 7 4" xfId="2183" xr:uid="{10989B15-69B8-4CF3-8710-FF8388906731}"/>
    <cellStyle name="Normal 13 2 7 4 2" xfId="10570" xr:uid="{FE659D51-8E78-4006-A04B-AC843573B5C8}"/>
    <cellStyle name="Normal 13 2 7 4 2 2" xfId="27330" xr:uid="{4D4AD9A1-82A2-4376-9C47-6DF54DAFF2C9}"/>
    <cellStyle name="Normal 13 2 7 4 2 3" xfId="44089" xr:uid="{848C3DEB-B2D5-49C6-AC9B-AAE64B593CDE}"/>
    <cellStyle name="Normal 13 2 7 4 3" xfId="18950" xr:uid="{66EDB036-D875-4C0A-8C81-5DD705DEE065}"/>
    <cellStyle name="Normal 13 2 7 4 4" xfId="35709" xr:uid="{DDA0D960-8949-428D-A0E0-C81F214DCD88}"/>
    <cellStyle name="Normal 13 2 7 5" xfId="10056" xr:uid="{049239B5-3B8A-46D3-AABF-67006C0C7BC8}"/>
    <cellStyle name="Normal 13 2 7 5 2" xfId="26816" xr:uid="{2634AAB0-929A-4521-BA3B-8F50C4382018}"/>
    <cellStyle name="Normal 13 2 7 5 3" xfId="43575" xr:uid="{E2371B71-2445-4CF5-952F-C8AF40B021D7}"/>
    <cellStyle name="Normal 13 2 7 6" xfId="18436" xr:uid="{8E09FC80-48E2-4D22-86D9-F444B6A643C0}"/>
    <cellStyle name="Normal 13 2 7 7" xfId="35195" xr:uid="{5F8A3AAE-98D8-4249-A151-048B4D8F0F7D}"/>
    <cellStyle name="Normal 13 2 8" xfId="3785" xr:uid="{7BBDDDEA-316D-4A41-8341-D2ECDF8EBE53}"/>
    <cellStyle name="Normal 13 2 8 2" xfId="12165" xr:uid="{C9C7F7FB-3BDF-452B-BAE7-AA61C0BEC31A}"/>
    <cellStyle name="Normal 13 2 8 2 2" xfId="28925" xr:uid="{B109E588-9604-4F72-B5D6-9170A8B08B1C}"/>
    <cellStyle name="Normal 13 2 8 2 3" xfId="45684" xr:uid="{7E6EF789-A6F8-4BF3-ABFC-2287F4D2181C}"/>
    <cellStyle name="Normal 13 2 8 3" xfId="20545" xr:uid="{736D1A88-3A70-4D92-8002-D1276D4BF70E}"/>
    <cellStyle name="Normal 13 2 8 4" xfId="37304" xr:uid="{A7FAB980-B0C0-43B6-9390-999B0B408516}"/>
    <cellStyle name="Normal 13 2 9" xfId="5454" xr:uid="{C5DE3CC2-45B5-43C3-8866-1BFD6FF3E441}"/>
    <cellStyle name="Normal 13 2 9 2" xfId="13834" xr:uid="{1D6AB8EB-75CC-48CE-B3A4-2D75594C4F6C}"/>
    <cellStyle name="Normal 13 2 9 2 2" xfId="30594" xr:uid="{31587468-EF87-4F88-B463-BB84457B7512}"/>
    <cellStyle name="Normal 13 2 9 2 3" xfId="47353" xr:uid="{9FD9D9AA-9D4D-4D41-92C3-85FDB99BA98B}"/>
    <cellStyle name="Normal 13 2 9 3" xfId="22214" xr:uid="{D24305F9-7D64-4DE4-A0B7-36A644686D87}"/>
    <cellStyle name="Normal 13 2 9 4" xfId="38973" xr:uid="{D91A5989-DB9D-4C42-B5FB-401E9AC97362}"/>
    <cellStyle name="Normal 13 20" xfId="33878" xr:uid="{CFCFFBE6-26F3-4DC5-8C89-684A66D5ADCF}"/>
    <cellStyle name="Normal 13 21" xfId="50934" xr:uid="{108FE39C-9550-4A7B-927B-DF160F8ABAD7}"/>
    <cellStyle name="Normal 13 22" xfId="265" xr:uid="{C0B12F2A-E779-4108-86C8-34C6E20B727B}"/>
    <cellStyle name="Normal 13 3" xfId="349" xr:uid="{14671C95-6123-4EC2-B151-F05E23620EE8}"/>
    <cellStyle name="Normal 13 3 10" xfId="7556" xr:uid="{208E6720-12B0-4A83-AEC4-BB29F9F4D2BE}"/>
    <cellStyle name="Normal 13 3 10 2" xfId="15936" xr:uid="{B45D1DB8-11F9-4A90-8C25-246309F35C31}"/>
    <cellStyle name="Normal 13 3 10 2 2" xfId="32696" xr:uid="{D24FBB87-4E61-4126-861E-857748D3D411}"/>
    <cellStyle name="Normal 13 3 10 2 3" xfId="49455" xr:uid="{77DD26C4-8CBA-4AB3-9AEC-C3C32F1215D5}"/>
    <cellStyle name="Normal 13 3 10 3" xfId="24316" xr:uid="{AED306BC-4A32-4DFC-8DFB-3757407FB13E}"/>
    <cellStyle name="Normal 13 3 10 4" xfId="41075" xr:uid="{2518A293-E60A-4267-9D6A-887E5C2CCE8B}"/>
    <cellStyle name="Normal 13 3 11" xfId="7962" xr:uid="{2B7B5D53-FA59-4E84-B57F-CF67C03F243D}"/>
    <cellStyle name="Normal 13 3 11 2" xfId="16342" xr:uid="{7B40A395-C8E2-4F68-98E8-BE6BF7DB277D}"/>
    <cellStyle name="Normal 13 3 11 2 2" xfId="33102" xr:uid="{E8E04A19-C758-4AE2-B26E-D7527AD0EEEC}"/>
    <cellStyle name="Normal 13 3 11 2 3" xfId="49861" xr:uid="{CE15C335-6CF1-42ED-A60E-624F1203B2CC}"/>
    <cellStyle name="Normal 13 3 11 3" xfId="24722" xr:uid="{D71BD861-70BE-4447-85D4-63C685ABE1E9}"/>
    <cellStyle name="Normal 13 3 11 4" xfId="41481" xr:uid="{A912CE18-314A-4873-8202-D45501DABEE2}"/>
    <cellStyle name="Normal 13 3 12" xfId="8368" xr:uid="{9E725FBA-D35D-404D-A8E6-F3A70799D67F}"/>
    <cellStyle name="Normal 13 3 12 2" xfId="16748" xr:uid="{81088AD8-D4DF-4CF7-AC85-49E33FB756CD}"/>
    <cellStyle name="Normal 13 3 12 2 2" xfId="33508" xr:uid="{40E8C44B-C6FB-4104-9740-21B9D48EAD3D}"/>
    <cellStyle name="Normal 13 3 12 2 3" xfId="50267" xr:uid="{FB0974C4-FE1D-42CA-8595-F263907CF309}"/>
    <cellStyle name="Normal 13 3 12 3" xfId="25128" xr:uid="{202A3B3E-206A-4373-8ECC-C601681E2C7A}"/>
    <cellStyle name="Normal 13 3 12 4" xfId="41887" xr:uid="{4C0EA2F5-9864-4A9B-B995-009398905F93}"/>
    <cellStyle name="Normal 13 3 13" xfId="2079" xr:uid="{6FA255C1-AE1D-4B91-ABF7-BAD6721A5638}"/>
    <cellStyle name="Normal 13 3 13 2" xfId="10467" xr:uid="{4603CA66-07D4-43B3-BAD8-EE642538B89D}"/>
    <cellStyle name="Normal 13 3 13 2 2" xfId="27227" xr:uid="{C4F0C5DC-BF8C-41C5-83C6-EA4F4EAD83C8}"/>
    <cellStyle name="Normal 13 3 13 2 3" xfId="43986" xr:uid="{756C7847-6696-4FAB-BA88-AF73B730BD36}"/>
    <cellStyle name="Normal 13 3 13 3" xfId="18847" xr:uid="{9284976D-948E-4898-99AC-B3EE38DD6C06}"/>
    <cellStyle name="Normal 13 3 13 4" xfId="35606" xr:uid="{6115B998-2E94-43C3-8CD9-4E1CB9D56CD5}"/>
    <cellStyle name="Normal 13 3 14" xfId="8813" xr:uid="{EE0F4273-4573-451F-B9E3-93A2680ACCAB}"/>
    <cellStyle name="Normal 13 3 14 2" xfId="25573" xr:uid="{DC299600-187D-43B3-9E46-960779C45884}"/>
    <cellStyle name="Normal 13 3 14 3" xfId="42332" xr:uid="{96E273B1-2659-4220-9439-7FB2641CD135}"/>
    <cellStyle name="Normal 13 3 15" xfId="17193" xr:uid="{7A0D763D-B2AC-47D2-8D42-D8E2DD7A07C6}"/>
    <cellStyle name="Normal 13 3 16" xfId="33952" xr:uid="{A3AD2582-F5A0-4A5A-A6F8-6392EB920A1A}"/>
    <cellStyle name="Normal 13 3 2" xfId="539" xr:uid="{12D70AEC-9B9C-4C94-9A70-69667B95EADD}"/>
    <cellStyle name="Normal 13 3 2 10" xfId="8500" xr:uid="{DE87E7CF-F814-4FA0-B340-E23050C93993}"/>
    <cellStyle name="Normal 13 3 2 10 2" xfId="16880" xr:uid="{5E7B1763-A4EE-4DC3-B111-BA0910A4F290}"/>
    <cellStyle name="Normal 13 3 2 10 2 2" xfId="33640" xr:uid="{F0734E6E-3AFE-453F-9038-7F33E222E18C}"/>
    <cellStyle name="Normal 13 3 2 10 2 3" xfId="50399" xr:uid="{8F3B526E-CB6D-456E-9164-7975AC60A6C2}"/>
    <cellStyle name="Normal 13 3 2 10 3" xfId="25260" xr:uid="{502DDE2F-E5B8-48FA-99A6-4E76DB95A4F6}"/>
    <cellStyle name="Normal 13 3 2 10 4" xfId="42019" xr:uid="{DF976F2A-865A-406D-B7B7-4F024BCA0B85}"/>
    <cellStyle name="Normal 13 3 2 11" xfId="2371" xr:uid="{75FED5BF-B369-4A6D-8E0B-FFE64D2076B8}"/>
    <cellStyle name="Normal 13 3 2 11 2" xfId="10753" xr:uid="{ECB810F8-0F55-44E4-B1AB-E6B4F05788CB}"/>
    <cellStyle name="Normal 13 3 2 11 2 2" xfId="27513" xr:uid="{76982B3D-180C-4782-895E-4396F0A7D11C}"/>
    <cellStyle name="Normal 13 3 2 11 2 3" xfId="44272" xr:uid="{CB73D6A8-9144-492F-975C-5E567C19C890}"/>
    <cellStyle name="Normal 13 3 2 11 3" xfId="19133" xr:uid="{7DEA1B99-C0AD-4E52-9283-FFEC927B6B54}"/>
    <cellStyle name="Normal 13 3 2 11 4" xfId="35892" xr:uid="{FADBE681-45A4-46BD-893D-89676A9C4319}"/>
    <cellStyle name="Normal 13 3 2 12" xfId="8950" xr:uid="{A7620F08-DD88-42DA-9C52-A510740D971F}"/>
    <cellStyle name="Normal 13 3 2 12 2" xfId="25710" xr:uid="{1E522A85-5BB9-436F-A4DF-442B43F2BC96}"/>
    <cellStyle name="Normal 13 3 2 12 3" xfId="42469" xr:uid="{E99B7734-A61D-4008-B706-EB2567BF5776}"/>
    <cellStyle name="Normal 13 3 2 13" xfId="17330" xr:uid="{51618606-748D-4E5D-9172-ED3A89E4F524}"/>
    <cellStyle name="Normal 13 3 2 14" xfId="34089" xr:uid="{92D875BC-AF72-4939-AD77-28E41CB68962}"/>
    <cellStyle name="Normal 13 3 2 2" xfId="981" xr:uid="{72C04FC1-11C7-4FFA-9441-9A33F3086637}"/>
    <cellStyle name="Normal 13 3 2 2 2" xfId="4376" xr:uid="{CE2C1DA7-6084-4233-B85A-6B8459866F5A}"/>
    <cellStyle name="Normal 13 3 2 2 2 2" xfId="12756" xr:uid="{C223E6FD-BDC1-4E5C-9424-538798E96550}"/>
    <cellStyle name="Normal 13 3 2 2 2 2 2" xfId="29516" xr:uid="{3DDA262A-B7AF-49FE-911A-9D6A736682B1}"/>
    <cellStyle name="Normal 13 3 2 2 2 2 3" xfId="46275" xr:uid="{19249035-9BD5-455B-82EE-9CFE688819DC}"/>
    <cellStyle name="Normal 13 3 2 2 2 3" xfId="21136" xr:uid="{C1A17D11-0FB6-4E34-ACF5-197FA7B2EE77}"/>
    <cellStyle name="Normal 13 3 2 2 2 4" xfId="37895" xr:uid="{073E6FF2-388F-4303-8E1A-8F406D928480}"/>
    <cellStyle name="Normal 13 3 2 2 3" xfId="6063" xr:uid="{B2026BF3-2C74-4C08-BE3F-716CB89F8AFC}"/>
    <cellStyle name="Normal 13 3 2 2 3 2" xfId="14443" xr:uid="{19802F6B-34D0-4A65-86B8-A076B56B5DFB}"/>
    <cellStyle name="Normal 13 3 2 2 3 2 2" xfId="31203" xr:uid="{D2F2E222-4A98-4A82-915A-9181F2AE9E71}"/>
    <cellStyle name="Normal 13 3 2 2 3 2 3" xfId="47962" xr:uid="{8C91E90E-934D-4F8B-8E20-83F28B349793}"/>
    <cellStyle name="Normal 13 3 2 2 3 3" xfId="22823" xr:uid="{CC386F3D-2DF3-475B-A5A0-E5AB1A6CF675}"/>
    <cellStyle name="Normal 13 3 2 2 3 4" xfId="39582" xr:uid="{FF8AE095-F2EF-456C-93FF-220DD39CB894}"/>
    <cellStyle name="Normal 13 3 2 2 4" xfId="2799" xr:uid="{98A04141-A6A8-4616-B45C-4000B48845F6}"/>
    <cellStyle name="Normal 13 3 2 2 4 2" xfId="11179" xr:uid="{1D76C984-0684-4C8C-9F5C-B0B3DF575D4F}"/>
    <cellStyle name="Normal 13 3 2 2 4 2 2" xfId="27939" xr:uid="{AA3EDF1E-7680-4110-90BB-93A7BD8EE5EB}"/>
    <cellStyle name="Normal 13 3 2 2 4 2 3" xfId="44698" xr:uid="{9C9F196A-CD83-4DC5-8BEF-F5F6B3FC64D4}"/>
    <cellStyle name="Normal 13 3 2 2 4 3" xfId="19559" xr:uid="{9A101251-F188-4548-9BAF-CA384DD885F6}"/>
    <cellStyle name="Normal 13 3 2 2 4 4" xfId="36318" xr:uid="{F8CA1C40-D996-466B-BDE9-F63DE02ADB3A}"/>
    <cellStyle name="Normal 13 3 2 2 5" xfId="9376" xr:uid="{71DBAC5A-4769-4C5A-A3E6-9BFC732C94D1}"/>
    <cellStyle name="Normal 13 3 2 2 5 2" xfId="26136" xr:uid="{C4BEEBEE-EEF8-41CB-A32D-300C10D8DA0B}"/>
    <cellStyle name="Normal 13 3 2 2 5 3" xfId="42895" xr:uid="{0C6229CB-3163-4C6A-9668-C518D13782A3}"/>
    <cellStyle name="Normal 13 3 2 2 6" xfId="17756" xr:uid="{2C61E085-CB71-4862-A903-523F0F20FC29}"/>
    <cellStyle name="Normal 13 3 2 2 7" xfId="34515" xr:uid="{C82A1EA8-EC6C-4BE9-986A-F67291AB5694}"/>
    <cellStyle name="Normal 13 3 2 3" xfId="1415" xr:uid="{832D9947-E71C-4839-B21B-272339F4BF66}"/>
    <cellStyle name="Normal 13 3 2 3 2" xfId="4804" xr:uid="{149CE0D5-8A54-4265-A749-B3BEC5F70202}"/>
    <cellStyle name="Normal 13 3 2 3 2 2" xfId="13184" xr:uid="{777054DD-1356-48FA-B6EC-CA1A90774754}"/>
    <cellStyle name="Normal 13 3 2 3 2 2 2" xfId="29944" xr:uid="{3BA95B2A-CF10-4397-AED9-DF4CF8B6A630}"/>
    <cellStyle name="Normal 13 3 2 3 2 2 3" xfId="46703" xr:uid="{FB160EDC-1F91-43D1-AB47-BFCE746D1038}"/>
    <cellStyle name="Normal 13 3 2 3 2 3" xfId="21564" xr:uid="{EC901F28-E4F9-46D0-84B1-6BDB143A4246}"/>
    <cellStyle name="Normal 13 3 2 3 2 4" xfId="38323" xr:uid="{53E926C7-F82E-48F5-A0BD-62512D3D679B}"/>
    <cellStyle name="Normal 13 3 2 3 3" xfId="6491" xr:uid="{1977D24A-695C-43E5-90A1-5DF4169F93AA}"/>
    <cellStyle name="Normal 13 3 2 3 3 2" xfId="14871" xr:uid="{CAA70C4D-BEE7-4E53-866A-FE864EDCC8ED}"/>
    <cellStyle name="Normal 13 3 2 3 3 2 2" xfId="31631" xr:uid="{B0D58E7D-E085-4C4B-A83D-7D0A84DD9790}"/>
    <cellStyle name="Normal 13 3 2 3 3 2 3" xfId="48390" xr:uid="{C19AFC61-9918-4C5F-8134-E7758FCC5ABF}"/>
    <cellStyle name="Normal 13 3 2 3 3 3" xfId="23251" xr:uid="{199E5304-C80A-4296-9182-B1C4B7CADF94}"/>
    <cellStyle name="Normal 13 3 2 3 3 4" xfId="40010" xr:uid="{10FFD209-1AA9-44AC-976D-3341D9D84F27}"/>
    <cellStyle name="Normal 13 3 2 3 4" xfId="3227" xr:uid="{D242A041-F50D-423C-AFE6-42E1FB6B4B61}"/>
    <cellStyle name="Normal 13 3 2 3 4 2" xfId="11607" xr:uid="{7FEBAB98-98D0-4F78-98FC-27EEF9DF1EC7}"/>
    <cellStyle name="Normal 13 3 2 3 4 2 2" xfId="28367" xr:uid="{F3EF2CDF-0C52-4CDD-9D0E-284324ABC52F}"/>
    <cellStyle name="Normal 13 3 2 3 4 2 3" xfId="45126" xr:uid="{EC393E6A-BD8D-4BCE-A064-13F30BFDC271}"/>
    <cellStyle name="Normal 13 3 2 3 4 3" xfId="19987" xr:uid="{4AC6C960-2BCC-4CD0-99BC-FF3B205BB05A}"/>
    <cellStyle name="Normal 13 3 2 3 4 4" xfId="36746" xr:uid="{C75E1C4B-CF07-4848-85F5-A61A7B928B09}"/>
    <cellStyle name="Normal 13 3 2 3 5" xfId="9804" xr:uid="{9699E8D4-58F7-4594-995E-0775A97D662B}"/>
    <cellStyle name="Normal 13 3 2 3 5 2" xfId="26564" xr:uid="{2E640FA4-4270-47DA-9CA3-850B63A97EA1}"/>
    <cellStyle name="Normal 13 3 2 3 5 3" xfId="43323" xr:uid="{AE3481EF-A2F1-4C89-BB4C-B8E6E96B2DE9}"/>
    <cellStyle name="Normal 13 3 2 3 6" xfId="18184" xr:uid="{994F540F-C1CF-4921-8BB9-DE69133F9AFA}"/>
    <cellStyle name="Normal 13 3 2 3 7" xfId="34943" xr:uid="{4CF5A881-8009-40DC-918F-28891920CDB5}"/>
    <cellStyle name="Normal 13 3 2 4" xfId="1800" xr:uid="{A1EC62F5-FB2E-40CF-BDCA-5000275E4909}"/>
    <cellStyle name="Normal 13 3 2 4 2" xfId="5189" xr:uid="{9F0442A6-11F0-43FC-B7A7-F8233A77476F}"/>
    <cellStyle name="Normal 13 3 2 4 2 2" xfId="13569" xr:uid="{6F154515-E206-49B4-8C64-E7FBC0AE775E}"/>
    <cellStyle name="Normal 13 3 2 4 2 2 2" xfId="30329" xr:uid="{5775A5C5-26DA-431D-9F60-247B10320B2F}"/>
    <cellStyle name="Normal 13 3 2 4 2 2 3" xfId="47088" xr:uid="{D72FBF6B-7BAB-4540-A8B2-C0382C59EF26}"/>
    <cellStyle name="Normal 13 3 2 4 2 3" xfId="21949" xr:uid="{67E2741C-7FD5-4F15-B126-FAFB1ADBFFB3}"/>
    <cellStyle name="Normal 13 3 2 4 2 4" xfId="38708" xr:uid="{3B56D5AF-9D7C-4DB4-96EB-3730A253161E}"/>
    <cellStyle name="Normal 13 3 2 4 3" xfId="6876" xr:uid="{83907054-F8B2-412C-A502-26ABFA601BE4}"/>
    <cellStyle name="Normal 13 3 2 4 3 2" xfId="15256" xr:uid="{BE67406B-5DD7-472B-9E08-071B317FC5A0}"/>
    <cellStyle name="Normal 13 3 2 4 3 2 2" xfId="32016" xr:uid="{DE1F9F2B-6ABC-4A31-86B5-E13BDE1CE582}"/>
    <cellStyle name="Normal 13 3 2 4 3 2 3" xfId="48775" xr:uid="{7C16BEF9-7D0E-4032-8D3D-D10C1B1737B1}"/>
    <cellStyle name="Normal 13 3 2 4 3 3" xfId="23636" xr:uid="{0789BD6E-7239-4074-A83A-34DD0405FCA1}"/>
    <cellStyle name="Normal 13 3 2 4 3 4" xfId="40395" xr:uid="{00D27032-5935-4F09-AA9B-15C8D79F96EF}"/>
    <cellStyle name="Normal 13 3 2 4 4" xfId="3500" xr:uid="{85C8D6EB-3D39-42B8-822C-6B7C856A08B4}"/>
    <cellStyle name="Normal 13 3 2 4 4 2" xfId="11880" xr:uid="{CFBC6411-A4E5-4E76-922A-543FB23DD9DE}"/>
    <cellStyle name="Normal 13 3 2 4 4 2 2" xfId="28640" xr:uid="{5E84F1FF-230D-4675-9A79-10C3E4D056DB}"/>
    <cellStyle name="Normal 13 3 2 4 4 2 3" xfId="45399" xr:uid="{1268649F-CEED-4E2A-A6E3-1F98BF363299}"/>
    <cellStyle name="Normal 13 3 2 4 4 3" xfId="20260" xr:uid="{AC643306-11A5-420F-A0FE-F43905ECB7D0}"/>
    <cellStyle name="Normal 13 3 2 4 4 4" xfId="37019" xr:uid="{BBA05994-55B6-4CF1-8F46-B7F6EE84B0E0}"/>
    <cellStyle name="Normal 13 3 2 4 5" xfId="10189" xr:uid="{2975CC87-2D79-4759-AA36-8750B29C591F}"/>
    <cellStyle name="Normal 13 3 2 4 5 2" xfId="26949" xr:uid="{14CCCBBA-8F5B-4A3E-9C62-5B8F40764C0E}"/>
    <cellStyle name="Normal 13 3 2 4 5 3" xfId="43708" xr:uid="{E4205CCF-17AA-4D19-8176-EAD1C8399D1C}"/>
    <cellStyle name="Normal 13 3 2 4 6" xfId="18569" xr:uid="{E678427B-77B9-408E-A762-F58758C29880}"/>
    <cellStyle name="Normal 13 3 2 4 7" xfId="35328" xr:uid="{F1A6307A-F5C0-4ADF-96AA-37634AF7C997}"/>
    <cellStyle name="Normal 13 3 2 5" xfId="3919" xr:uid="{34624829-5398-45C1-9320-6548A861ADEE}"/>
    <cellStyle name="Normal 13 3 2 5 2" xfId="12299" xr:uid="{CB0B2CF7-5D0C-4279-B86E-51E345E4B299}"/>
    <cellStyle name="Normal 13 3 2 5 2 2" xfId="29059" xr:uid="{3CA5A830-49BB-4CB8-8A6B-C5DFF544AA7C}"/>
    <cellStyle name="Normal 13 3 2 5 2 3" xfId="45818" xr:uid="{CB02BEE9-7DD5-41CC-BE47-E3BE12A5ACAD}"/>
    <cellStyle name="Normal 13 3 2 5 3" xfId="20679" xr:uid="{941E63C3-3467-4288-98FF-A2C5B568DEAA}"/>
    <cellStyle name="Normal 13 3 2 5 4" xfId="37438" xr:uid="{F8A54960-3E70-405E-9081-56314B3E23C5}"/>
    <cellStyle name="Normal 13 3 2 6" xfId="5637" xr:uid="{12C3800A-4C00-43B6-9DBD-F43B9F16AB48}"/>
    <cellStyle name="Normal 13 3 2 6 2" xfId="14017" xr:uid="{9510CB6B-192E-4800-B9E8-3C597A441F23}"/>
    <cellStyle name="Normal 13 3 2 6 2 2" xfId="30777" xr:uid="{F050FB4C-02AA-4E21-BA26-CF7A5CCDF317}"/>
    <cellStyle name="Normal 13 3 2 6 2 3" xfId="47536" xr:uid="{161DE314-011A-4254-AC6C-8608C4899EAD}"/>
    <cellStyle name="Normal 13 3 2 6 3" xfId="22397" xr:uid="{27117A1C-1513-450F-ADD4-71B43105219F}"/>
    <cellStyle name="Normal 13 3 2 6 4" xfId="39156" xr:uid="{83B9FBD4-3213-4C16-A451-5EF2E860D311}"/>
    <cellStyle name="Normal 13 3 2 7" xfId="7282" xr:uid="{7F3CCF06-3E2D-4DB1-A9B3-5ADC9119D165}"/>
    <cellStyle name="Normal 13 3 2 7 2" xfId="15662" xr:uid="{111AA0FF-8E92-4277-B986-9B4449B93187}"/>
    <cellStyle name="Normal 13 3 2 7 2 2" xfId="32422" xr:uid="{F1CF1E50-103D-4663-B837-89800D4A0E71}"/>
    <cellStyle name="Normal 13 3 2 7 2 3" xfId="49181" xr:uid="{FED6BC76-46F2-4A66-82E6-F7886D37CF37}"/>
    <cellStyle name="Normal 13 3 2 7 3" xfId="24042" xr:uid="{0C9D37C0-7C49-45F1-8B45-350977292253}"/>
    <cellStyle name="Normal 13 3 2 7 4" xfId="40801" xr:uid="{032FCDB8-1F8D-4453-A2FB-BBE890124593}"/>
    <cellStyle name="Normal 13 3 2 8" xfId="7688" xr:uid="{29B9D1BB-AA05-4EBF-9E1F-F6D29BC38DD7}"/>
    <cellStyle name="Normal 13 3 2 8 2" xfId="16068" xr:uid="{F0339274-EB3A-48D0-8ACA-C6695DE7E3E6}"/>
    <cellStyle name="Normal 13 3 2 8 2 2" xfId="32828" xr:uid="{6237D854-497C-4CEB-AE9E-BC9C455FBF51}"/>
    <cellStyle name="Normal 13 3 2 8 2 3" xfId="49587" xr:uid="{025AED53-033B-4F77-8534-F479EFBBD9BD}"/>
    <cellStyle name="Normal 13 3 2 8 3" xfId="24448" xr:uid="{762B7C8C-1FAA-434B-B89F-85EA39CE6BFE}"/>
    <cellStyle name="Normal 13 3 2 8 4" xfId="41207" xr:uid="{E09269AF-9DEE-4307-A6DA-2ED2E5C4AEA0}"/>
    <cellStyle name="Normal 13 3 2 9" xfId="8094" xr:uid="{56F6E00D-B58D-4702-A8DF-3F9D7928843E}"/>
    <cellStyle name="Normal 13 3 2 9 2" xfId="16474" xr:uid="{8F329399-4C0A-4502-9AEC-FBE0F0AFAA0E}"/>
    <cellStyle name="Normal 13 3 2 9 2 2" xfId="33234" xr:uid="{0D77F8EC-BC9A-4E17-9A79-9D320AC9CB4D}"/>
    <cellStyle name="Normal 13 3 2 9 2 3" xfId="49993" xr:uid="{DAF6004E-876D-4E10-A4C1-22E29E240243}"/>
    <cellStyle name="Normal 13 3 2 9 3" xfId="24854" xr:uid="{D715DB28-3AFF-4376-8BBD-0DC32845CD19}"/>
    <cellStyle name="Normal 13 3 2 9 4" xfId="41613" xr:uid="{7CE9A4D8-436E-46FA-8B1F-03BE5F7E06A5}"/>
    <cellStyle name="Normal 13 3 3" xfId="540" xr:uid="{4B23DEFB-98C1-454A-818C-F2C074BF0B1D}"/>
    <cellStyle name="Normal 13 3 3 10" xfId="8639" xr:uid="{A10607D1-37AB-4D6F-B937-A6B3C91EAAC3}"/>
    <cellStyle name="Normal 13 3 3 10 2" xfId="17019" xr:uid="{7FDFBFAE-61C5-4162-B769-DD4B8CB18F1C}"/>
    <cellStyle name="Normal 13 3 3 10 2 2" xfId="33779" xr:uid="{62A9F251-07BE-44C0-84E0-B7C97D3D8692}"/>
    <cellStyle name="Normal 13 3 3 10 2 3" xfId="50538" xr:uid="{BC134D3D-DC67-4756-8C7E-34156FC49A0A}"/>
    <cellStyle name="Normal 13 3 3 10 3" xfId="25399" xr:uid="{EFBAE797-5474-45EC-85D0-99592D7F8411}"/>
    <cellStyle name="Normal 13 3 3 10 4" xfId="42158" xr:uid="{AAA7AD8D-F375-4F05-B71C-79D8055B07E6}"/>
    <cellStyle name="Normal 13 3 3 11" xfId="2372" xr:uid="{9D43EAEC-5FE2-471F-B33C-C839A7995B44}"/>
    <cellStyle name="Normal 13 3 3 11 2" xfId="10754" xr:uid="{6A3FFB9F-AB4D-4643-8324-599B53F0A733}"/>
    <cellStyle name="Normal 13 3 3 11 2 2" xfId="27514" xr:uid="{7435A11F-5430-4ECF-9D13-FE7EB9E1EB59}"/>
    <cellStyle name="Normal 13 3 3 11 2 3" xfId="44273" xr:uid="{23031D7C-6358-4DCE-ACF6-5270FAD7131E}"/>
    <cellStyle name="Normal 13 3 3 11 3" xfId="19134" xr:uid="{00280C6E-154D-4AB9-8233-DAF6CE6BAD9C}"/>
    <cellStyle name="Normal 13 3 3 11 4" xfId="35893" xr:uid="{3044BB47-71B3-4799-93D3-0AF8BBC91BE4}"/>
    <cellStyle name="Normal 13 3 3 12" xfId="8951" xr:uid="{2B48D994-50B2-4A88-9819-6A515E632A85}"/>
    <cellStyle name="Normal 13 3 3 12 2" xfId="25711" xr:uid="{B4259A1F-2DEA-49B1-A183-87F1868DB154}"/>
    <cellStyle name="Normal 13 3 3 12 3" xfId="42470" xr:uid="{A03276C4-38B0-4CF0-BC9C-FCF724C65AC1}"/>
    <cellStyle name="Normal 13 3 3 13" xfId="17331" xr:uid="{8A9246A8-D7D3-4659-BBCD-1EC5822173D8}"/>
    <cellStyle name="Normal 13 3 3 14" xfId="34090" xr:uid="{42739FD6-9BD8-47C7-A088-5B45DC452973}"/>
    <cellStyle name="Normal 13 3 3 2" xfId="982" xr:uid="{166071A8-16EF-4C28-BF8A-0C87E4580E2E}"/>
    <cellStyle name="Normal 13 3 3 2 2" xfId="4377" xr:uid="{6B7DF8EE-5566-488A-B4AA-E0AAAEE9C327}"/>
    <cellStyle name="Normal 13 3 3 2 2 2" xfId="12757" xr:uid="{991CA429-A0D1-466A-926C-B4BAC567963F}"/>
    <cellStyle name="Normal 13 3 3 2 2 2 2" xfId="29517" xr:uid="{B78EC2FA-BE07-418B-AAF3-49215B65FEFC}"/>
    <cellStyle name="Normal 13 3 3 2 2 2 3" xfId="46276" xr:uid="{27E39291-7D63-43ED-8792-7C8D1C5B29C5}"/>
    <cellStyle name="Normal 13 3 3 2 2 3" xfId="21137" xr:uid="{6F67E9E3-9B02-4739-9037-3195CA1217C6}"/>
    <cellStyle name="Normal 13 3 3 2 2 4" xfId="37896" xr:uid="{B92B586A-0E37-4662-9064-8DE5285A8061}"/>
    <cellStyle name="Normal 13 3 3 2 3" xfId="6064" xr:uid="{4548EFBC-DBB2-462F-BC3F-FDE6696ADE82}"/>
    <cellStyle name="Normal 13 3 3 2 3 2" xfId="14444" xr:uid="{EACED63E-2A6F-44C6-93E7-BAAEA7851D36}"/>
    <cellStyle name="Normal 13 3 3 2 3 2 2" xfId="31204" xr:uid="{9908C018-86FF-44B8-8A06-7F3C8D596496}"/>
    <cellStyle name="Normal 13 3 3 2 3 2 3" xfId="47963" xr:uid="{7C3352E0-6E10-40CE-B412-EBC4D7BC7E17}"/>
    <cellStyle name="Normal 13 3 3 2 3 3" xfId="22824" xr:uid="{C1981599-2B77-4041-AE03-4F38516AF2B8}"/>
    <cellStyle name="Normal 13 3 3 2 3 4" xfId="39583" xr:uid="{3B46D1D0-7A26-4025-84C9-BC394C37B911}"/>
    <cellStyle name="Normal 13 3 3 2 4" xfId="2800" xr:uid="{DBF62443-2584-4BD4-9718-A1691282D19A}"/>
    <cellStyle name="Normal 13 3 3 2 4 2" xfId="11180" xr:uid="{EA3B3586-DF99-4C51-B416-01F4DAE2C707}"/>
    <cellStyle name="Normal 13 3 3 2 4 2 2" xfId="27940" xr:uid="{E87DEA35-F3FD-42C4-B9B6-3D42E26C1C0C}"/>
    <cellStyle name="Normal 13 3 3 2 4 2 3" xfId="44699" xr:uid="{76C1BFC7-4FC6-4BB2-BCBA-586430D12157}"/>
    <cellStyle name="Normal 13 3 3 2 4 3" xfId="19560" xr:uid="{315FFC97-5C66-476C-823D-3862AB1701EF}"/>
    <cellStyle name="Normal 13 3 3 2 4 4" xfId="36319" xr:uid="{51A40ED8-0561-4501-A1DC-470BDCA32099}"/>
    <cellStyle name="Normal 13 3 3 2 5" xfId="9377" xr:uid="{6941D313-5350-49C1-96B2-0904478DA815}"/>
    <cellStyle name="Normal 13 3 3 2 5 2" xfId="26137" xr:uid="{A35E5CA3-BAD4-411C-855C-26743FE40D61}"/>
    <cellStyle name="Normal 13 3 3 2 5 3" xfId="42896" xr:uid="{8006AC58-74DD-4C75-A5F8-3769B5BBDFFE}"/>
    <cellStyle name="Normal 13 3 3 2 6" xfId="17757" xr:uid="{8763B5C8-E065-42F4-9134-1CAAAB739E90}"/>
    <cellStyle name="Normal 13 3 3 2 7" xfId="34516" xr:uid="{78BE18A4-1F7F-4713-B274-875E4D1C9339}"/>
    <cellStyle name="Normal 13 3 3 3" xfId="1416" xr:uid="{04482694-3CA4-49EF-AD2F-13B8EE876054}"/>
    <cellStyle name="Normal 13 3 3 3 2" xfId="4805" xr:uid="{009642B6-F5ED-4270-9418-4D315BF26567}"/>
    <cellStyle name="Normal 13 3 3 3 2 2" xfId="13185" xr:uid="{531597A3-17F6-4C9A-9915-99C774597CC8}"/>
    <cellStyle name="Normal 13 3 3 3 2 2 2" xfId="29945" xr:uid="{E036C414-7F21-40EF-8F9E-E610F2CDF88A}"/>
    <cellStyle name="Normal 13 3 3 3 2 2 3" xfId="46704" xr:uid="{B72C0731-1878-41EB-8E69-BF5C985383D5}"/>
    <cellStyle name="Normal 13 3 3 3 2 3" xfId="21565" xr:uid="{B63C66E2-A73A-4072-91A1-C362D2E9EB48}"/>
    <cellStyle name="Normal 13 3 3 3 2 4" xfId="38324" xr:uid="{EC82A550-E3AF-4CF6-B564-31F33CB193C8}"/>
    <cellStyle name="Normal 13 3 3 3 3" xfId="6492" xr:uid="{1049C929-D8C9-4B07-B002-1DFB726BB53D}"/>
    <cellStyle name="Normal 13 3 3 3 3 2" xfId="14872" xr:uid="{7E0E7A81-53AF-43BD-8FFC-5F68D45CAF85}"/>
    <cellStyle name="Normal 13 3 3 3 3 2 2" xfId="31632" xr:uid="{223F5923-7564-49AA-88C6-128ADB0CA962}"/>
    <cellStyle name="Normal 13 3 3 3 3 2 3" xfId="48391" xr:uid="{BCEA6411-31EC-4DE0-BD89-DF1A45648165}"/>
    <cellStyle name="Normal 13 3 3 3 3 3" xfId="23252" xr:uid="{80704B1E-CCA3-43C4-988A-068D0DFE7AD1}"/>
    <cellStyle name="Normal 13 3 3 3 3 4" xfId="40011" xr:uid="{1875DA46-BC1D-4CEC-8F56-48A9038C072B}"/>
    <cellStyle name="Normal 13 3 3 3 4" xfId="3228" xr:uid="{8F6F9451-54C7-4F8D-8A57-0B5892BF5381}"/>
    <cellStyle name="Normal 13 3 3 3 4 2" xfId="11608" xr:uid="{6E2D02DD-D8B4-4F8D-B6FF-423A61AFA1F6}"/>
    <cellStyle name="Normal 13 3 3 3 4 2 2" xfId="28368" xr:uid="{AB372741-E12F-451C-B8A8-7E497FDB264E}"/>
    <cellStyle name="Normal 13 3 3 3 4 2 3" xfId="45127" xr:uid="{1394EF9D-F2F5-4402-82BF-CC43DABA1BB3}"/>
    <cellStyle name="Normal 13 3 3 3 4 3" xfId="19988" xr:uid="{338913FE-0695-41B2-B8E1-3118A39BFD60}"/>
    <cellStyle name="Normal 13 3 3 3 4 4" xfId="36747" xr:uid="{20B13632-C555-4D45-A1D5-0AE725CB2237}"/>
    <cellStyle name="Normal 13 3 3 3 5" xfId="9805" xr:uid="{F3DE7D8C-E4EC-49D3-B061-A288B8F713B6}"/>
    <cellStyle name="Normal 13 3 3 3 5 2" xfId="26565" xr:uid="{A2EB4D8C-80B1-41F6-8CEB-9D6BACA8CF88}"/>
    <cellStyle name="Normal 13 3 3 3 5 3" xfId="43324" xr:uid="{94C6D5FD-1932-451E-B0F9-5541CEDF3602}"/>
    <cellStyle name="Normal 13 3 3 3 6" xfId="18185" xr:uid="{B9BC773D-6365-4EBD-B212-382520F3D56F}"/>
    <cellStyle name="Normal 13 3 3 3 7" xfId="34944" xr:uid="{775E35C2-F525-4AA6-96C9-C7C6C3FFEF5E}"/>
    <cellStyle name="Normal 13 3 3 4" xfId="1939" xr:uid="{A36F3E4D-9AB3-4564-8B76-8B72CD4931BD}"/>
    <cellStyle name="Normal 13 3 3 4 2" xfId="5328" xr:uid="{3B280E00-FEA8-4A14-B117-BA2AD5404CCC}"/>
    <cellStyle name="Normal 13 3 3 4 2 2" xfId="13708" xr:uid="{6EF2FDFB-9214-4046-A484-3CB92AF2B546}"/>
    <cellStyle name="Normal 13 3 3 4 2 2 2" xfId="30468" xr:uid="{4F79DED3-B41E-46BB-9035-96C378636C94}"/>
    <cellStyle name="Normal 13 3 3 4 2 2 3" xfId="47227" xr:uid="{123FB5AE-49F0-44FA-85CB-F86F97F9723D}"/>
    <cellStyle name="Normal 13 3 3 4 2 3" xfId="22088" xr:uid="{AC1F1C1B-F955-44D0-A77F-39A885C4A74E}"/>
    <cellStyle name="Normal 13 3 3 4 2 4" xfId="38847" xr:uid="{9D6BE127-A33E-4A6E-9F76-03E3E882EE1A}"/>
    <cellStyle name="Normal 13 3 3 4 3" xfId="7015" xr:uid="{EE8986AA-B428-497D-8163-4EBFA0094ACA}"/>
    <cellStyle name="Normal 13 3 3 4 3 2" xfId="15395" xr:uid="{C462EDA3-2C06-4E96-B315-49D696FCE461}"/>
    <cellStyle name="Normal 13 3 3 4 3 2 2" xfId="32155" xr:uid="{A4F52C79-F293-4690-AB89-462A3D99A100}"/>
    <cellStyle name="Normal 13 3 3 4 3 2 3" xfId="48914" xr:uid="{80A30264-868E-446F-A49E-4C75E6A2DEFF}"/>
    <cellStyle name="Normal 13 3 3 4 3 3" xfId="23775" xr:uid="{62ACE6B8-0DCA-4934-AEE5-797AD7180F23}"/>
    <cellStyle name="Normal 13 3 3 4 3 4" xfId="40534" xr:uid="{B9B5E98B-CB6A-4932-BEA4-77232F40D337}"/>
    <cellStyle name="Normal 13 3 3 4 4" xfId="3638" xr:uid="{34BFDA1A-7861-48D3-9770-8D7D6A41149E}"/>
    <cellStyle name="Normal 13 3 3 4 4 2" xfId="12018" xr:uid="{4ECC501C-A615-4BF4-B504-E48C30CE0284}"/>
    <cellStyle name="Normal 13 3 3 4 4 2 2" xfId="28778" xr:uid="{7B5090A4-50A3-4A63-83E8-8FA28E374BDD}"/>
    <cellStyle name="Normal 13 3 3 4 4 2 3" xfId="45537" xr:uid="{82E47188-1C1F-48B3-AAB0-C3F7B88B0EE5}"/>
    <cellStyle name="Normal 13 3 3 4 4 3" xfId="20398" xr:uid="{31ED406E-C58A-4302-8493-85621082453B}"/>
    <cellStyle name="Normal 13 3 3 4 4 4" xfId="37157" xr:uid="{2320DE9E-FE8B-4149-BD44-BD1C6C38EACC}"/>
    <cellStyle name="Normal 13 3 3 4 5" xfId="10328" xr:uid="{8BC8D99A-DC98-4184-B7A6-7BFDC8633049}"/>
    <cellStyle name="Normal 13 3 3 4 5 2" xfId="27088" xr:uid="{9F3437C6-5DAA-400C-B505-D516A5CD8016}"/>
    <cellStyle name="Normal 13 3 3 4 5 3" xfId="43847" xr:uid="{BAFDB9CD-347E-49C0-B31E-80FD2809B871}"/>
    <cellStyle name="Normal 13 3 3 4 6" xfId="18708" xr:uid="{33360870-40CB-4623-9689-2B860FB21426}"/>
    <cellStyle name="Normal 13 3 3 4 7" xfId="35467" xr:uid="{C6DD6132-AFEB-4CCB-BEA4-9C756E279D1A}"/>
    <cellStyle name="Normal 13 3 3 5" xfId="4058" xr:uid="{4E7C7E65-84D6-42D0-89BD-F7FD7CFFCBDB}"/>
    <cellStyle name="Normal 13 3 3 5 2" xfId="12438" xr:uid="{FBD4DAA0-DD97-4DC0-9A37-85000AD47E5B}"/>
    <cellStyle name="Normal 13 3 3 5 2 2" xfId="29198" xr:uid="{E39F4716-DD1F-4492-8973-7277FA11FDC2}"/>
    <cellStyle name="Normal 13 3 3 5 2 3" xfId="45957" xr:uid="{0C9FDC60-0041-43D8-B174-88395F8CBF9B}"/>
    <cellStyle name="Normal 13 3 3 5 3" xfId="20818" xr:uid="{3EBB36AC-4A71-4B60-ADEB-A7EA5C7D7238}"/>
    <cellStyle name="Normal 13 3 3 5 4" xfId="37577" xr:uid="{5F03B49E-6B44-4B13-9FBE-B81CBB8C0D9E}"/>
    <cellStyle name="Normal 13 3 3 6" xfId="5638" xr:uid="{3DB25EED-8065-442A-8B25-32EACDAC6FDB}"/>
    <cellStyle name="Normal 13 3 3 6 2" xfId="14018" xr:uid="{43287ACC-D1D7-472E-9D95-B3FDDDF87841}"/>
    <cellStyle name="Normal 13 3 3 6 2 2" xfId="30778" xr:uid="{F665A66C-25ED-442A-A27E-9303A6A332DA}"/>
    <cellStyle name="Normal 13 3 3 6 2 3" xfId="47537" xr:uid="{8DB0325F-C3C5-4C27-A5D3-97A1FE0FC03B}"/>
    <cellStyle name="Normal 13 3 3 6 3" xfId="22398" xr:uid="{2981A3DC-0F80-472C-AC0A-C0A1DB995139}"/>
    <cellStyle name="Normal 13 3 3 6 4" xfId="39157" xr:uid="{C63C58F4-8EA3-408B-A27E-0477063D6B87}"/>
    <cellStyle name="Normal 13 3 3 7" xfId="7421" xr:uid="{FAFE70FE-9BC2-4164-8203-CF52686804E1}"/>
    <cellStyle name="Normal 13 3 3 7 2" xfId="15801" xr:uid="{ECB58CC1-3182-4BD4-B296-DA9A467247FA}"/>
    <cellStyle name="Normal 13 3 3 7 2 2" xfId="32561" xr:uid="{B74E6A64-47ED-46F0-8D04-D87C6E9031F6}"/>
    <cellStyle name="Normal 13 3 3 7 2 3" xfId="49320" xr:uid="{27E1AB70-2F02-4766-9ECF-D87DF6B0F5C9}"/>
    <cellStyle name="Normal 13 3 3 7 3" xfId="24181" xr:uid="{B179FDF2-5A3A-4FED-9E2E-23CED1D00734}"/>
    <cellStyle name="Normal 13 3 3 7 4" xfId="40940" xr:uid="{4BA285F3-17A6-4891-B6E7-249C1D9C2AA8}"/>
    <cellStyle name="Normal 13 3 3 8" xfId="7827" xr:uid="{841DB9DE-4CDF-40D1-988C-8B8C948F260A}"/>
    <cellStyle name="Normal 13 3 3 8 2" xfId="16207" xr:uid="{949C964A-BCEC-4044-A30F-54A5A0E8100B}"/>
    <cellStyle name="Normal 13 3 3 8 2 2" xfId="32967" xr:uid="{20E681C2-244F-4354-8594-62E5C4EEAF2B}"/>
    <cellStyle name="Normal 13 3 3 8 2 3" xfId="49726" xr:uid="{41991EB1-7E1C-4324-8798-B383196DA7F0}"/>
    <cellStyle name="Normal 13 3 3 8 3" xfId="24587" xr:uid="{A79D8873-362E-4876-A0C2-C6DD112E4E1D}"/>
    <cellStyle name="Normal 13 3 3 8 4" xfId="41346" xr:uid="{9B5E3005-A100-4B2E-B1F5-3CDDA6A3A7E5}"/>
    <cellStyle name="Normal 13 3 3 9" xfId="8233" xr:uid="{66BA5409-DA59-48FE-8D1F-EEB6B9605876}"/>
    <cellStyle name="Normal 13 3 3 9 2" xfId="16613" xr:uid="{F3432C79-BF1D-4872-B950-824FACD7E795}"/>
    <cellStyle name="Normal 13 3 3 9 2 2" xfId="33373" xr:uid="{8DAB1426-4D2B-48DB-8C70-2FBBDF06A2F5}"/>
    <cellStyle name="Normal 13 3 3 9 2 3" xfId="50132" xr:uid="{060C6C20-199E-4302-8D8A-0118828F1DE7}"/>
    <cellStyle name="Normal 13 3 3 9 3" xfId="24993" xr:uid="{88EE8709-B86A-4EAC-8D25-EC0CBFDF4838}"/>
    <cellStyle name="Normal 13 3 3 9 4" xfId="41752" xr:uid="{2F132819-F100-4A17-B008-52BCF4E51546}"/>
    <cellStyle name="Normal 13 3 4" xfId="844" xr:uid="{587CE60D-3542-41A1-B3FD-B453FBBFD342}"/>
    <cellStyle name="Normal 13 3 4 2" xfId="4239" xr:uid="{D41659F8-F71F-4B2E-81E2-3AF142922B29}"/>
    <cellStyle name="Normal 13 3 4 2 2" xfId="12619" xr:uid="{A3689EAB-B6CE-491D-9690-4783534CAABC}"/>
    <cellStyle name="Normal 13 3 4 2 2 2" xfId="29379" xr:uid="{9EAC032C-951F-4427-9A49-6C51155272A4}"/>
    <cellStyle name="Normal 13 3 4 2 2 3" xfId="46138" xr:uid="{DE6411AA-7D0B-49F5-93D1-95560307CEAD}"/>
    <cellStyle name="Normal 13 3 4 2 3" xfId="20999" xr:uid="{C67FD588-6812-4ACC-B41A-3465EE1AC805}"/>
    <cellStyle name="Normal 13 3 4 2 4" xfId="37758" xr:uid="{810D774E-1EA1-41E7-93FA-7F30D0C06F10}"/>
    <cellStyle name="Normal 13 3 4 3" xfId="5926" xr:uid="{411772CA-9FAC-4144-832A-90202E17CC55}"/>
    <cellStyle name="Normal 13 3 4 3 2" xfId="14306" xr:uid="{C4583F15-CFE1-498F-98D4-22E31C4F85FD}"/>
    <cellStyle name="Normal 13 3 4 3 2 2" xfId="31066" xr:uid="{D5951E22-5317-4658-B35B-A141F6E3866B}"/>
    <cellStyle name="Normal 13 3 4 3 2 3" xfId="47825" xr:uid="{25A5D857-7E97-4BDC-B0F6-B1EF2765E044}"/>
    <cellStyle name="Normal 13 3 4 3 3" xfId="22686" xr:uid="{603CCA77-02C9-4A4D-8698-75D8E2B570DE}"/>
    <cellStyle name="Normal 13 3 4 3 4" xfId="39445" xr:uid="{67D91653-0995-4D2D-816A-96F3A773C4F6}"/>
    <cellStyle name="Normal 13 3 4 4" xfId="2662" xr:uid="{FC67EBE5-A605-4274-9D71-F6AE27092637}"/>
    <cellStyle name="Normal 13 3 4 4 2" xfId="11042" xr:uid="{FD37DD26-4A49-418B-8EEA-6203C07BF251}"/>
    <cellStyle name="Normal 13 3 4 4 2 2" xfId="27802" xr:uid="{4A024C1B-F80D-4DA6-817C-5C8847F9E706}"/>
    <cellStyle name="Normal 13 3 4 4 2 3" xfId="44561" xr:uid="{3A0BD704-12C1-4196-8633-E60AF26211AC}"/>
    <cellStyle name="Normal 13 3 4 4 3" xfId="19422" xr:uid="{DC64709E-66C7-4BD8-9763-AFE226C099CB}"/>
    <cellStyle name="Normal 13 3 4 4 4" xfId="36181" xr:uid="{DD8136FD-D87C-465D-99C2-F66D00371C9A}"/>
    <cellStyle name="Normal 13 3 4 5" xfId="9239" xr:uid="{E29F625A-562A-4AF3-9C8B-C871E7C26CB1}"/>
    <cellStyle name="Normal 13 3 4 5 2" xfId="25999" xr:uid="{99D7F7B5-0A68-47BB-AC1A-E54133FA9202}"/>
    <cellStyle name="Normal 13 3 4 5 3" xfId="42758" xr:uid="{D231EB4A-0697-49BD-8957-C94C6D4DC965}"/>
    <cellStyle name="Normal 13 3 4 6" xfId="17619" xr:uid="{EE6DAFC6-9083-421A-8FB7-21BC157C8A25}"/>
    <cellStyle name="Normal 13 3 4 7" xfId="34378" xr:uid="{8C508820-2F33-4127-AEA4-F478B223A85B}"/>
    <cellStyle name="Normal 13 3 5" xfId="1278" xr:uid="{DD10A673-1DB2-446A-B74F-F753E3B47EA0}"/>
    <cellStyle name="Normal 13 3 5 2" xfId="4667" xr:uid="{DFCC1E87-B0A2-41A9-8250-E734569BDEBA}"/>
    <cellStyle name="Normal 13 3 5 2 2" xfId="13047" xr:uid="{91E0076E-FD25-4571-9A5D-363607C2C236}"/>
    <cellStyle name="Normal 13 3 5 2 2 2" xfId="29807" xr:uid="{EBF53D01-7B50-4035-9E9F-ABE4982809DC}"/>
    <cellStyle name="Normal 13 3 5 2 2 3" xfId="46566" xr:uid="{322A88E8-F0BB-4E7D-B898-D4930604E0C3}"/>
    <cellStyle name="Normal 13 3 5 2 3" xfId="21427" xr:uid="{2BA57672-7416-43F7-8F70-F47F25F422E8}"/>
    <cellStyle name="Normal 13 3 5 2 4" xfId="38186" xr:uid="{A551BDEF-BFE3-49AA-936D-EDECF250617A}"/>
    <cellStyle name="Normal 13 3 5 3" xfId="6354" xr:uid="{0A9B7BB6-FA68-43A7-BE28-F4D65D151E65}"/>
    <cellStyle name="Normal 13 3 5 3 2" xfId="14734" xr:uid="{7EFAF930-CE88-42D7-A48B-11C417C21CE2}"/>
    <cellStyle name="Normal 13 3 5 3 2 2" xfId="31494" xr:uid="{A63ED058-1E1D-4F18-B6C3-7F6373E9B7D4}"/>
    <cellStyle name="Normal 13 3 5 3 2 3" xfId="48253" xr:uid="{4D542D6B-660F-480A-AA26-538FDF8602F8}"/>
    <cellStyle name="Normal 13 3 5 3 3" xfId="23114" xr:uid="{7C5939ED-B13F-4E6B-BC30-4D41BEE871A0}"/>
    <cellStyle name="Normal 13 3 5 3 4" xfId="39873" xr:uid="{AA67F7E7-DAEC-4F62-B425-C0BD2ECCCD85}"/>
    <cellStyle name="Normal 13 3 5 4" xfId="3090" xr:uid="{9911D258-E22E-4B42-8100-A4B6E6E25044}"/>
    <cellStyle name="Normal 13 3 5 4 2" xfId="11470" xr:uid="{84CE8F43-F66A-4A61-982C-9D8882CA1F0C}"/>
    <cellStyle name="Normal 13 3 5 4 2 2" xfId="28230" xr:uid="{089BC475-C9F3-4D6F-8BD6-00F020FF63F6}"/>
    <cellStyle name="Normal 13 3 5 4 2 3" xfId="44989" xr:uid="{E8DB3302-8E45-4C5F-B330-AA2BE415620D}"/>
    <cellStyle name="Normal 13 3 5 4 3" xfId="19850" xr:uid="{AACD472D-3857-4141-A6F9-7EFD01FDE483}"/>
    <cellStyle name="Normal 13 3 5 4 4" xfId="36609" xr:uid="{2F9E055E-042E-4635-8437-EE03DC7085AC}"/>
    <cellStyle name="Normal 13 3 5 5" xfId="9667" xr:uid="{88C916F9-832A-4264-8CF4-418495AC65B3}"/>
    <cellStyle name="Normal 13 3 5 5 2" xfId="26427" xr:uid="{27000A12-D900-4E7A-AEB8-0A7D7768D2ED}"/>
    <cellStyle name="Normal 13 3 5 5 3" xfId="43186" xr:uid="{9F5B1CDA-D75A-4C5B-8CC1-B552ED5C249A}"/>
    <cellStyle name="Normal 13 3 5 6" xfId="18047" xr:uid="{F8698762-3499-48D7-84A6-C926EF6EB859}"/>
    <cellStyle name="Normal 13 3 5 7" xfId="34806" xr:uid="{7FDFE81C-3014-4B81-B029-6FC3CEB6D871}"/>
    <cellStyle name="Normal 13 3 6" xfId="1668" xr:uid="{BA47A275-0195-4EE2-8AEF-BF198B8D942D}"/>
    <cellStyle name="Normal 13 3 6 2" xfId="5057" xr:uid="{4FB44D56-DF31-4468-9749-B1C898154A9E}"/>
    <cellStyle name="Normal 13 3 6 2 2" xfId="13437" xr:uid="{401274F7-9F3C-4D8C-87CA-8E8DFDB6DB17}"/>
    <cellStyle name="Normal 13 3 6 2 2 2" xfId="30197" xr:uid="{F55374A2-A61D-48FA-975E-9344CE8F096A}"/>
    <cellStyle name="Normal 13 3 6 2 2 3" xfId="46956" xr:uid="{46C6EEC3-40D6-4C69-B0E2-C5BC54D291B9}"/>
    <cellStyle name="Normal 13 3 6 2 3" xfId="21817" xr:uid="{EE7439C4-C1B3-4856-B632-AC9BEF3F21C8}"/>
    <cellStyle name="Normal 13 3 6 2 4" xfId="38576" xr:uid="{833505F5-02A8-445E-9B3C-2E358744C489}"/>
    <cellStyle name="Normal 13 3 6 3" xfId="6744" xr:uid="{445CE088-C0F5-4EFE-A270-6FCD67EAF896}"/>
    <cellStyle name="Normal 13 3 6 3 2" xfId="15124" xr:uid="{0C14FD1F-D7F8-4914-9465-526B9C62AE3E}"/>
    <cellStyle name="Normal 13 3 6 3 2 2" xfId="31884" xr:uid="{182DCB55-FF0E-43BC-8544-B52EDDB50FC5}"/>
    <cellStyle name="Normal 13 3 6 3 2 3" xfId="48643" xr:uid="{7D3F9B9C-A33C-4F8F-A650-BF3AE911370A}"/>
    <cellStyle name="Normal 13 3 6 3 3" xfId="23504" xr:uid="{B8DF6C8F-0F66-45B6-A202-1DF5B44C378D}"/>
    <cellStyle name="Normal 13 3 6 3 4" xfId="40263" xr:uid="{6CF6587D-112B-49EC-A8AD-8F69BCAEBECE}"/>
    <cellStyle name="Normal 13 3 6 4" xfId="2232" xr:uid="{13898B4B-44E8-4B06-99F1-AE6FC4A7BD10}"/>
    <cellStyle name="Normal 13 3 6 4 2" xfId="10616" xr:uid="{E3B45C66-936B-43DB-B615-C3D96AB5B087}"/>
    <cellStyle name="Normal 13 3 6 4 2 2" xfId="27376" xr:uid="{50E5C2FE-722F-4E1B-A9B4-54785D47BA24}"/>
    <cellStyle name="Normal 13 3 6 4 2 3" xfId="44135" xr:uid="{6E8F3875-CE42-4ABE-91B4-57312242E4B4}"/>
    <cellStyle name="Normal 13 3 6 4 3" xfId="18996" xr:uid="{B15BD3C2-1717-42B4-8532-D7A535E374AE}"/>
    <cellStyle name="Normal 13 3 6 4 4" xfId="35755" xr:uid="{1DD34EBB-1127-4196-8CD6-43E8A01B997A}"/>
    <cellStyle name="Normal 13 3 6 5" xfId="10057" xr:uid="{1FBA8188-1213-4B3A-A1CB-67FC14E65FB8}"/>
    <cellStyle name="Normal 13 3 6 5 2" xfId="26817" xr:uid="{244A2860-C047-4BFB-99FC-7AF1BE36AC3B}"/>
    <cellStyle name="Normal 13 3 6 5 3" xfId="43576" xr:uid="{5AB2CDE7-6F15-461F-80E4-27A6D8E1E210}"/>
    <cellStyle name="Normal 13 3 6 6" xfId="18437" xr:uid="{9D52A79B-3029-4419-815D-AD9B607EA4AF}"/>
    <cellStyle name="Normal 13 3 6 7" xfId="35196" xr:uid="{93FA7619-C942-473D-A55D-36041A44D042}"/>
    <cellStyle name="Normal 13 3 7" xfId="3786" xr:uid="{67E779B9-5895-498D-83DB-98558DD5670A}"/>
    <cellStyle name="Normal 13 3 7 2" xfId="12166" xr:uid="{775A5B15-37E8-4AC5-9CC9-BDFCD9471245}"/>
    <cellStyle name="Normal 13 3 7 2 2" xfId="28926" xr:uid="{95BABA94-1E6A-47F4-8862-2B519AB98F51}"/>
    <cellStyle name="Normal 13 3 7 2 3" xfId="45685" xr:uid="{15D1450B-04F7-4614-BA83-0C156D8A0F11}"/>
    <cellStyle name="Normal 13 3 7 3" xfId="20546" xr:uid="{9250B17B-B921-4129-BA31-8C4B592D7B54}"/>
    <cellStyle name="Normal 13 3 7 4" xfId="37305" xr:uid="{468BA929-7144-49E4-96A6-9406DD6E9041}"/>
    <cellStyle name="Normal 13 3 8" xfId="5500" xr:uid="{1F8E4F76-906C-4D84-AB4E-1A0A897A2F98}"/>
    <cellStyle name="Normal 13 3 8 2" xfId="13880" xr:uid="{A40048E8-4001-4C13-AF72-67CA3CDF3496}"/>
    <cellStyle name="Normal 13 3 8 2 2" xfId="30640" xr:uid="{98AA3498-051A-47C8-8973-10D0F74BEE15}"/>
    <cellStyle name="Normal 13 3 8 2 3" xfId="47399" xr:uid="{9166CA2D-7CA9-4FDD-9AEB-BD5AC490BEF7}"/>
    <cellStyle name="Normal 13 3 8 3" xfId="22260" xr:uid="{C85D89EB-D270-4ACD-A2C0-D5E5D6019595}"/>
    <cellStyle name="Normal 13 3 8 4" xfId="39019" xr:uid="{A688B25C-2776-459F-B1EE-25739AF3481E}"/>
    <cellStyle name="Normal 13 3 9" xfId="7150" xr:uid="{5B634E72-EA24-4709-9B86-91BDE3E0B5D3}"/>
    <cellStyle name="Normal 13 3 9 2" xfId="15530" xr:uid="{90FC3FFA-F293-43F5-820D-F66A78CD2379}"/>
    <cellStyle name="Normal 13 3 9 2 2" xfId="32290" xr:uid="{7512EC3F-0059-44D8-94A7-79C5708D2ABA}"/>
    <cellStyle name="Normal 13 3 9 2 3" xfId="49049" xr:uid="{EB94CCA2-5911-4F68-A04C-BB310AB7212B}"/>
    <cellStyle name="Normal 13 3 9 3" xfId="23910" xr:uid="{BDBA5427-0731-4193-99F4-8FDB43900A3A}"/>
    <cellStyle name="Normal 13 3 9 4" xfId="40669" xr:uid="{9FB51A4B-6353-4956-AC50-71F65BCC847A}"/>
    <cellStyle name="Normal 13 4" xfId="541" xr:uid="{632E05AC-AEF0-4C90-B676-A6963910BA16}"/>
    <cellStyle name="Normal 13 4 10" xfId="7557" xr:uid="{D148FEA2-CFB3-474F-866B-7E946190B4F8}"/>
    <cellStyle name="Normal 13 4 10 2" xfId="15937" xr:uid="{51E3E3A9-DCE5-48B7-9761-E95C694CEB62}"/>
    <cellStyle name="Normal 13 4 10 2 2" xfId="32697" xr:uid="{9DCE906C-DA74-4B04-8D49-238714E3377F}"/>
    <cellStyle name="Normal 13 4 10 2 3" xfId="49456" xr:uid="{EDBE3464-5B45-4A51-BDE9-5408B34D13E3}"/>
    <cellStyle name="Normal 13 4 10 3" xfId="24317" xr:uid="{6266D07A-6ECA-401E-B0DE-176A6C1DD520}"/>
    <cellStyle name="Normal 13 4 10 4" xfId="41076" xr:uid="{6F30DD5D-FDA3-4D03-B975-5252EF032611}"/>
    <cellStyle name="Normal 13 4 11" xfId="7963" xr:uid="{347DEFE4-3226-495F-8CAF-64CF51441609}"/>
    <cellStyle name="Normal 13 4 11 2" xfId="16343" xr:uid="{17BD4B69-9313-433A-A8D2-EF4702318D95}"/>
    <cellStyle name="Normal 13 4 11 2 2" xfId="33103" xr:uid="{9C323DFA-17BE-4434-A4BB-A463EB660D5C}"/>
    <cellStyle name="Normal 13 4 11 2 3" xfId="49862" xr:uid="{5EB61C71-B1D7-43CE-AA9D-B456806FB9B6}"/>
    <cellStyle name="Normal 13 4 11 3" xfId="24723" xr:uid="{B72CBC93-EE36-421F-84C8-1443933F31B0}"/>
    <cellStyle name="Normal 13 4 11 4" xfId="41482" xr:uid="{7ABE7227-76F1-46EE-B1A8-CD07D90A635E}"/>
    <cellStyle name="Normal 13 4 12" xfId="8369" xr:uid="{975BF0B9-1FD2-4015-87C0-ECDD5C2C5DDD}"/>
    <cellStyle name="Normal 13 4 12 2" xfId="16749" xr:uid="{B2DF1128-2C8D-4F22-9BB0-6281D9060284}"/>
    <cellStyle name="Normal 13 4 12 2 2" xfId="33509" xr:uid="{E7337B2D-3CA9-48F6-B95C-93A464353AFE}"/>
    <cellStyle name="Normal 13 4 12 2 3" xfId="50268" xr:uid="{852FF9EA-5CA6-400F-B6F4-99D4378D3526}"/>
    <cellStyle name="Normal 13 4 12 3" xfId="25129" xr:uid="{E7FB6274-96B2-4F66-A689-64AA5B37759F}"/>
    <cellStyle name="Normal 13 4 12 4" xfId="41888" xr:uid="{6C7EBDCB-5938-45D7-AA8B-475C323017CF}"/>
    <cellStyle name="Normal 13 4 13" xfId="2107" xr:uid="{2A08A224-628E-422E-84CD-73121961E32E}"/>
    <cellStyle name="Normal 13 4 13 2" xfId="10495" xr:uid="{8B0FE5FC-9FD3-470B-BD23-491A92721095}"/>
    <cellStyle name="Normal 13 4 13 2 2" xfId="27255" xr:uid="{3A0801FF-2983-4259-A348-D0A5F95C71CC}"/>
    <cellStyle name="Normal 13 4 13 2 3" xfId="44014" xr:uid="{D665FD52-CC5C-4E63-90F3-533F8BB27E84}"/>
    <cellStyle name="Normal 13 4 13 3" xfId="18875" xr:uid="{A2681DD7-5A26-4142-AA85-F40DD372F26E}"/>
    <cellStyle name="Normal 13 4 13 4" xfId="35634" xr:uid="{E208D098-0570-4BAF-ACB5-3A54303CE3F8}"/>
    <cellStyle name="Normal 13 4 14" xfId="8952" xr:uid="{39E10E3B-C60C-47B9-B3BC-232519E54618}"/>
    <cellStyle name="Normal 13 4 14 2" xfId="25712" xr:uid="{93CA7DFF-BAF4-4B4B-AF72-FE61E296EAC7}"/>
    <cellStyle name="Normal 13 4 14 3" xfId="42471" xr:uid="{3C871144-F667-4994-8B8B-0254B80B14AC}"/>
    <cellStyle name="Normal 13 4 15" xfId="17332" xr:uid="{1F1B57E5-0474-4E87-840D-38E6D641046D}"/>
    <cellStyle name="Normal 13 4 16" xfId="34091" xr:uid="{4BFDF79A-31BE-4B6F-AD30-53C0EC2514D4}"/>
    <cellStyle name="Normal 13 4 2" xfId="542" xr:uid="{4A6D1CEE-08C4-43E9-ADC2-958E5920D759}"/>
    <cellStyle name="Normal 13 4 2 10" xfId="8501" xr:uid="{DA66E72F-55E8-478F-AACB-F34C3A220607}"/>
    <cellStyle name="Normal 13 4 2 10 2" xfId="16881" xr:uid="{3574CD97-35D5-47FD-AC5F-157EDBC5A6BA}"/>
    <cellStyle name="Normal 13 4 2 10 2 2" xfId="33641" xr:uid="{0193CD58-1F0F-43B2-AC9A-8208F530814F}"/>
    <cellStyle name="Normal 13 4 2 10 2 3" xfId="50400" xr:uid="{1C5D514B-92FC-4AFC-83F6-5D331D5092F5}"/>
    <cellStyle name="Normal 13 4 2 10 3" xfId="25261" xr:uid="{ED9A74BD-2FC0-418D-BE47-EB616C98ACC8}"/>
    <cellStyle name="Normal 13 4 2 10 4" xfId="42020" xr:uid="{78770E47-9F36-453C-A742-5A3DCE60137A}"/>
    <cellStyle name="Normal 13 4 2 11" xfId="2374" xr:uid="{3F78E35D-0BA5-4506-B905-B268C9766C6F}"/>
    <cellStyle name="Normal 13 4 2 11 2" xfId="10756" xr:uid="{BB1C644C-8245-4CC5-9540-628E8120912D}"/>
    <cellStyle name="Normal 13 4 2 11 2 2" xfId="27516" xr:uid="{B3DA3076-E92C-4CAA-B57D-5B2C48A91C01}"/>
    <cellStyle name="Normal 13 4 2 11 2 3" xfId="44275" xr:uid="{80C2C78E-8563-4442-90E8-FE782E6B7113}"/>
    <cellStyle name="Normal 13 4 2 11 3" xfId="19136" xr:uid="{7DBC95AC-0580-4CB0-82CD-5E388A3D3F59}"/>
    <cellStyle name="Normal 13 4 2 11 4" xfId="35895" xr:uid="{241D5E85-B09C-4639-B4D6-7B019F6E454A}"/>
    <cellStyle name="Normal 13 4 2 12" xfId="8953" xr:uid="{27858413-A640-458C-94C8-D3FC2BE4D2B5}"/>
    <cellStyle name="Normal 13 4 2 12 2" xfId="25713" xr:uid="{755B75E9-70F7-4581-B6C2-CC5F4D16CEA0}"/>
    <cellStyle name="Normal 13 4 2 12 3" xfId="42472" xr:uid="{748A0E8E-55F4-44D2-A142-0CADADB03AF1}"/>
    <cellStyle name="Normal 13 4 2 13" xfId="17333" xr:uid="{FAE588AE-021F-46C4-97CA-D93F17C651EA}"/>
    <cellStyle name="Normal 13 4 2 14" xfId="34092" xr:uid="{9ABDD832-C391-4BBF-B0C9-B0BA0C114D83}"/>
    <cellStyle name="Normal 13 4 2 2" xfId="984" xr:uid="{0629F6D2-C190-4DF3-B5E4-C222166C0F04}"/>
    <cellStyle name="Normal 13 4 2 2 2" xfId="4379" xr:uid="{E67B1898-B2E3-4E5C-90A5-513742438216}"/>
    <cellStyle name="Normal 13 4 2 2 2 2" xfId="12759" xr:uid="{B887E834-757C-49BD-8AC2-440D1F76AAA7}"/>
    <cellStyle name="Normal 13 4 2 2 2 2 2" xfId="29519" xr:uid="{76738406-0012-4F32-B1FE-1A8A5843CCA9}"/>
    <cellStyle name="Normal 13 4 2 2 2 2 3" xfId="46278" xr:uid="{60C77277-C876-4EAD-AC8F-1016417C034C}"/>
    <cellStyle name="Normal 13 4 2 2 2 3" xfId="21139" xr:uid="{BE1DB121-70ED-4FE4-8362-32CC0BDF61E2}"/>
    <cellStyle name="Normal 13 4 2 2 2 4" xfId="37898" xr:uid="{8428CE78-31F9-489F-B998-1BB950D4C582}"/>
    <cellStyle name="Normal 13 4 2 2 3" xfId="6066" xr:uid="{92C6AA37-C471-4028-802B-DB0223B9EFF2}"/>
    <cellStyle name="Normal 13 4 2 2 3 2" xfId="14446" xr:uid="{7075A8D3-F31A-402A-89A8-42F00A8D885F}"/>
    <cellStyle name="Normal 13 4 2 2 3 2 2" xfId="31206" xr:uid="{D698867E-1EEE-459E-99D5-DA6A87DA298B}"/>
    <cellStyle name="Normal 13 4 2 2 3 2 3" xfId="47965" xr:uid="{8107E1C5-A175-428E-9869-596095F3E534}"/>
    <cellStyle name="Normal 13 4 2 2 3 3" xfId="22826" xr:uid="{07899FEE-A27D-4BD4-9CD6-A3A18319F545}"/>
    <cellStyle name="Normal 13 4 2 2 3 4" xfId="39585" xr:uid="{B1903D21-9F33-497F-9E93-9F5D60B8C588}"/>
    <cellStyle name="Normal 13 4 2 2 4" xfId="2802" xr:uid="{406C6BC8-4C3A-4AAB-B376-FB397E57652A}"/>
    <cellStyle name="Normal 13 4 2 2 4 2" xfId="11182" xr:uid="{B5B548E5-CAD7-48E8-BD20-B6FB59918D72}"/>
    <cellStyle name="Normal 13 4 2 2 4 2 2" xfId="27942" xr:uid="{948CFF44-4936-47B7-B4EB-05133BFA6EE8}"/>
    <cellStyle name="Normal 13 4 2 2 4 2 3" xfId="44701" xr:uid="{C0932619-4167-4176-ADE9-961054BF90AA}"/>
    <cellStyle name="Normal 13 4 2 2 4 3" xfId="19562" xr:uid="{19CC12F7-5D7A-436D-835F-F0FFF28E2E53}"/>
    <cellStyle name="Normal 13 4 2 2 4 4" xfId="36321" xr:uid="{4FD9BC4F-2032-4B8B-A1FB-035F139E1D20}"/>
    <cellStyle name="Normal 13 4 2 2 5" xfId="9379" xr:uid="{DAC8562B-CC0C-4885-8044-077237C02882}"/>
    <cellStyle name="Normal 13 4 2 2 5 2" xfId="26139" xr:uid="{7C4459A2-E735-451E-9A40-9EDB862FC3D1}"/>
    <cellStyle name="Normal 13 4 2 2 5 3" xfId="42898" xr:uid="{19A4A120-3164-473A-AD9A-9431C5B354DA}"/>
    <cellStyle name="Normal 13 4 2 2 6" xfId="17759" xr:uid="{2EA1C3B3-DCC3-4E99-A064-8401D39C79F8}"/>
    <cellStyle name="Normal 13 4 2 2 7" xfId="34518" xr:uid="{162DD0B3-C42C-458A-8627-6129A798766E}"/>
    <cellStyle name="Normal 13 4 2 3" xfId="1418" xr:uid="{36B7D269-4590-4D4F-97E7-DC9158C69D07}"/>
    <cellStyle name="Normal 13 4 2 3 2" xfId="4807" xr:uid="{CB5BB3D6-7536-4742-8911-D3087919CEBB}"/>
    <cellStyle name="Normal 13 4 2 3 2 2" xfId="13187" xr:uid="{454A1BA4-A718-4E56-B615-C85341CAA7FF}"/>
    <cellStyle name="Normal 13 4 2 3 2 2 2" xfId="29947" xr:uid="{0A2AC130-F674-4C62-BF68-A77568F0E921}"/>
    <cellStyle name="Normal 13 4 2 3 2 2 3" xfId="46706" xr:uid="{417AE4E7-3DB3-4BDF-B601-C37F76CFA843}"/>
    <cellStyle name="Normal 13 4 2 3 2 3" xfId="21567" xr:uid="{52E0BEC1-9740-4AD2-B2AD-B7C1991D6EC6}"/>
    <cellStyle name="Normal 13 4 2 3 2 4" xfId="38326" xr:uid="{295DFB4A-F5F5-4D10-813E-251AE204C256}"/>
    <cellStyle name="Normal 13 4 2 3 3" xfId="6494" xr:uid="{484F3838-A300-46F6-AD8A-F2149D6FE241}"/>
    <cellStyle name="Normal 13 4 2 3 3 2" xfId="14874" xr:uid="{6DE6A8BE-04CC-4B69-87F6-BE9E75588E4B}"/>
    <cellStyle name="Normal 13 4 2 3 3 2 2" xfId="31634" xr:uid="{9AECC2AF-C91C-4BBD-92F8-F0F398D3A87E}"/>
    <cellStyle name="Normal 13 4 2 3 3 2 3" xfId="48393" xr:uid="{4E0F493F-B119-4433-931F-83196E393247}"/>
    <cellStyle name="Normal 13 4 2 3 3 3" xfId="23254" xr:uid="{6A3A6B1D-87AC-46C5-9C03-15C834991B87}"/>
    <cellStyle name="Normal 13 4 2 3 3 4" xfId="40013" xr:uid="{6AF768DB-3D7A-46DD-9AEC-A431AD7EFF2E}"/>
    <cellStyle name="Normal 13 4 2 3 4" xfId="3230" xr:uid="{AD1CA056-035E-48C1-8E2F-947033F96344}"/>
    <cellStyle name="Normal 13 4 2 3 4 2" xfId="11610" xr:uid="{1B6DA80A-580F-4EB4-8B6B-A6140DF3F7F7}"/>
    <cellStyle name="Normal 13 4 2 3 4 2 2" xfId="28370" xr:uid="{8B2FE7FF-65B6-4520-B5AB-26C9A52DAD60}"/>
    <cellStyle name="Normal 13 4 2 3 4 2 3" xfId="45129" xr:uid="{99F41AB3-2804-477F-9DEB-99D3A95ECBDF}"/>
    <cellStyle name="Normal 13 4 2 3 4 3" xfId="19990" xr:uid="{EB420A47-0747-4632-8254-6B755A10C5E2}"/>
    <cellStyle name="Normal 13 4 2 3 4 4" xfId="36749" xr:uid="{66860CDB-73E7-4E54-8A38-92570E58E60D}"/>
    <cellStyle name="Normal 13 4 2 3 5" xfId="9807" xr:uid="{E4BA7BF8-F423-41B8-B95C-BC6093F19F83}"/>
    <cellStyle name="Normal 13 4 2 3 5 2" xfId="26567" xr:uid="{4C29F966-F2D2-42E9-91FB-195E3199AC76}"/>
    <cellStyle name="Normal 13 4 2 3 5 3" xfId="43326" xr:uid="{750132AC-11CA-4D00-B6B8-C2C2F05310A3}"/>
    <cellStyle name="Normal 13 4 2 3 6" xfId="18187" xr:uid="{9577ACF2-3E1F-4F65-95CE-110F8E55C425}"/>
    <cellStyle name="Normal 13 4 2 3 7" xfId="34946" xr:uid="{1FD4A5A3-DE7E-48A5-90E3-E5C07461BA21}"/>
    <cellStyle name="Normal 13 4 2 4" xfId="1801" xr:uid="{9F06B30B-DB9D-49E8-8A0F-38A460C975C7}"/>
    <cellStyle name="Normal 13 4 2 4 2" xfId="5190" xr:uid="{9107721C-739D-48B7-9338-5C4615B2A659}"/>
    <cellStyle name="Normal 13 4 2 4 2 2" xfId="13570" xr:uid="{2208652D-C8AB-43FA-96ED-07AC85C7E51C}"/>
    <cellStyle name="Normal 13 4 2 4 2 2 2" xfId="30330" xr:uid="{5D6BFEDA-0720-4FC3-BC9C-136C436F0E2B}"/>
    <cellStyle name="Normal 13 4 2 4 2 2 3" xfId="47089" xr:uid="{DB6151CD-EA10-4DDC-8D87-51835C38E5A3}"/>
    <cellStyle name="Normal 13 4 2 4 2 3" xfId="21950" xr:uid="{C96207D6-9986-44E0-90DC-DF63E9CC51AA}"/>
    <cellStyle name="Normal 13 4 2 4 2 4" xfId="38709" xr:uid="{C3A3D924-8F71-4EAA-9160-3B004EF61864}"/>
    <cellStyle name="Normal 13 4 2 4 3" xfId="6877" xr:uid="{4E3DF899-F817-488C-9C2D-180AC1DC4975}"/>
    <cellStyle name="Normal 13 4 2 4 3 2" xfId="15257" xr:uid="{3C180A99-EB18-4920-B531-98C303F2EE97}"/>
    <cellStyle name="Normal 13 4 2 4 3 2 2" xfId="32017" xr:uid="{DB56DA8D-B27F-4B96-A590-FF772C29AEFD}"/>
    <cellStyle name="Normal 13 4 2 4 3 2 3" xfId="48776" xr:uid="{9AC1961E-DEEE-495C-A214-44D00A0C260C}"/>
    <cellStyle name="Normal 13 4 2 4 3 3" xfId="23637" xr:uid="{2E082803-6A07-407F-A8B2-BC4D099C474E}"/>
    <cellStyle name="Normal 13 4 2 4 3 4" xfId="40396" xr:uid="{F493FBF2-C765-4FFC-A7BD-A0BEC575E08C}"/>
    <cellStyle name="Normal 13 4 2 4 4" xfId="3501" xr:uid="{14F48ACD-B0AD-4BAB-9197-B0B78A3DBF74}"/>
    <cellStyle name="Normal 13 4 2 4 4 2" xfId="11881" xr:uid="{500FF31C-205B-4F51-8E80-FD892215E50E}"/>
    <cellStyle name="Normal 13 4 2 4 4 2 2" xfId="28641" xr:uid="{E58466E4-DE2F-47A5-BAA6-BC635D9F68CE}"/>
    <cellStyle name="Normal 13 4 2 4 4 2 3" xfId="45400" xr:uid="{D07969BE-88B6-4BD9-8180-28A015087A1E}"/>
    <cellStyle name="Normal 13 4 2 4 4 3" xfId="20261" xr:uid="{92D48353-3B43-4C38-B85E-972E38DEF94F}"/>
    <cellStyle name="Normal 13 4 2 4 4 4" xfId="37020" xr:uid="{DCD18889-C8AE-4CA3-A625-5ED69AB98390}"/>
    <cellStyle name="Normal 13 4 2 4 5" xfId="10190" xr:uid="{9FF9B8E1-C7B9-4F77-9A72-9BB013898318}"/>
    <cellStyle name="Normal 13 4 2 4 5 2" xfId="26950" xr:uid="{BFDCC266-DD48-4324-A7C7-575B42B7F27F}"/>
    <cellStyle name="Normal 13 4 2 4 5 3" xfId="43709" xr:uid="{A86CD121-67CE-457C-9AEB-1BA49887B184}"/>
    <cellStyle name="Normal 13 4 2 4 6" xfId="18570" xr:uid="{BDCE9AC9-CDD7-436B-A0F4-69A49266D0EC}"/>
    <cellStyle name="Normal 13 4 2 4 7" xfId="35329" xr:uid="{5FB31003-1C74-4A5D-853B-039FDD53E948}"/>
    <cellStyle name="Normal 13 4 2 5" xfId="3920" xr:uid="{4C41048D-29BE-4F50-995B-77CB9AE48A42}"/>
    <cellStyle name="Normal 13 4 2 5 2" xfId="12300" xr:uid="{05FCE86B-BDC6-48D3-81FE-C26605B44ABA}"/>
    <cellStyle name="Normal 13 4 2 5 2 2" xfId="29060" xr:uid="{B2604F37-BF8F-4BCF-9A9B-AD16E6769795}"/>
    <cellStyle name="Normal 13 4 2 5 2 3" xfId="45819" xr:uid="{D6E8957B-F8F9-4B58-82E6-94ACE0E899D9}"/>
    <cellStyle name="Normal 13 4 2 5 3" xfId="20680" xr:uid="{8F5DAF76-1394-4359-9F03-791CD7A10AFB}"/>
    <cellStyle name="Normal 13 4 2 5 4" xfId="37439" xr:uid="{96647FFC-F887-4BF5-8A12-4E69F2C94502}"/>
    <cellStyle name="Normal 13 4 2 6" xfId="5640" xr:uid="{5FC4409F-BBB1-434E-9631-3865058994C1}"/>
    <cellStyle name="Normal 13 4 2 6 2" xfId="14020" xr:uid="{B2E0E0C0-D3CE-4383-86F0-169BE3F51ABA}"/>
    <cellStyle name="Normal 13 4 2 6 2 2" xfId="30780" xr:uid="{3CE6F00C-1FF3-41B8-B6A3-BADADA250E29}"/>
    <cellStyle name="Normal 13 4 2 6 2 3" xfId="47539" xr:uid="{41F29998-A5B5-40D2-ADA0-CD2805786657}"/>
    <cellStyle name="Normal 13 4 2 6 3" xfId="22400" xr:uid="{5519C814-B878-4333-86C6-F99C8A150B1D}"/>
    <cellStyle name="Normal 13 4 2 6 4" xfId="39159" xr:uid="{A9E99989-320D-4E07-947D-80FFF51A4F1E}"/>
    <cellStyle name="Normal 13 4 2 7" xfId="7283" xr:uid="{6422E0DE-6A9A-4369-9F61-A00BAB2AB25B}"/>
    <cellStyle name="Normal 13 4 2 7 2" xfId="15663" xr:uid="{C2A575B0-78FA-48E2-ADBA-91752D534116}"/>
    <cellStyle name="Normal 13 4 2 7 2 2" xfId="32423" xr:uid="{2B01DA3A-EBE9-4269-9402-E4D3F232F998}"/>
    <cellStyle name="Normal 13 4 2 7 2 3" xfId="49182" xr:uid="{2596467E-07F4-4B46-8B50-F313605F23A9}"/>
    <cellStyle name="Normal 13 4 2 7 3" xfId="24043" xr:uid="{B236B293-A6AB-441F-9EA2-7B481B6562A1}"/>
    <cellStyle name="Normal 13 4 2 7 4" xfId="40802" xr:uid="{EEA83563-845A-4290-9FDC-AAA46336FA1E}"/>
    <cellStyle name="Normal 13 4 2 8" xfId="7689" xr:uid="{E411F529-4D17-4CAC-B487-4B22492D032C}"/>
    <cellStyle name="Normal 13 4 2 8 2" xfId="16069" xr:uid="{1928CD7B-8637-495E-A659-A6DFB6A8CC51}"/>
    <cellStyle name="Normal 13 4 2 8 2 2" xfId="32829" xr:uid="{091E15E8-FE2B-4A99-9F82-67B8564AECC1}"/>
    <cellStyle name="Normal 13 4 2 8 2 3" xfId="49588" xr:uid="{97515E71-AECE-46A3-82FF-3E24F4B03C7E}"/>
    <cellStyle name="Normal 13 4 2 8 3" xfId="24449" xr:uid="{9BC24ADB-CE2E-4B67-8FC7-7D99C96089A9}"/>
    <cellStyle name="Normal 13 4 2 8 4" xfId="41208" xr:uid="{5DF9B685-4223-4E29-9EF0-28FBF9EDD2F0}"/>
    <cellStyle name="Normal 13 4 2 9" xfId="8095" xr:uid="{C7F42A06-B46C-4299-8136-555454ED4DA4}"/>
    <cellStyle name="Normal 13 4 2 9 2" xfId="16475" xr:uid="{16CE09E8-E38B-46A5-A8E0-BBCB53B56150}"/>
    <cellStyle name="Normal 13 4 2 9 2 2" xfId="33235" xr:uid="{411459C7-C295-48C4-8303-2684CDAB0F3C}"/>
    <cellStyle name="Normal 13 4 2 9 2 3" xfId="49994" xr:uid="{A59E4370-04D9-43B6-AEA6-F31AA390BAA1}"/>
    <cellStyle name="Normal 13 4 2 9 3" xfId="24855" xr:uid="{2D3AEF73-B3B4-43E9-801E-FA97B69942D0}"/>
    <cellStyle name="Normal 13 4 2 9 4" xfId="41614" xr:uid="{36760D25-5E0F-43B5-A222-44F430F9E643}"/>
    <cellStyle name="Normal 13 4 3" xfId="543" xr:uid="{717516A7-C934-4EA3-A2BE-4A0C8E8E10EE}"/>
    <cellStyle name="Normal 13 4 3 10" xfId="8640" xr:uid="{F28D4F0F-1397-40CF-AE52-7FCC516C5817}"/>
    <cellStyle name="Normal 13 4 3 10 2" xfId="17020" xr:uid="{B0550A67-6671-423A-B5CC-5D2DC35F5208}"/>
    <cellStyle name="Normal 13 4 3 10 2 2" xfId="33780" xr:uid="{4EBFDCCC-5FBD-494D-913D-1268C896465E}"/>
    <cellStyle name="Normal 13 4 3 10 2 3" xfId="50539" xr:uid="{832F4129-BBA3-49D7-AFDB-6731F93A45A5}"/>
    <cellStyle name="Normal 13 4 3 10 3" xfId="25400" xr:uid="{13E9F509-1470-44D7-A620-460CB11188BF}"/>
    <cellStyle name="Normal 13 4 3 10 4" xfId="42159" xr:uid="{BCC1A433-721F-4770-B155-34A5E94C05EF}"/>
    <cellStyle name="Normal 13 4 3 11" xfId="2375" xr:uid="{90DA2E68-5C55-43FB-A0F2-C794B1741990}"/>
    <cellStyle name="Normal 13 4 3 11 2" xfId="10757" xr:uid="{49609737-CE86-4B70-B4C4-A6F1AB3EA926}"/>
    <cellStyle name="Normal 13 4 3 11 2 2" xfId="27517" xr:uid="{7D6F8C72-3A1F-4931-B59C-126E0A5D3F52}"/>
    <cellStyle name="Normal 13 4 3 11 2 3" xfId="44276" xr:uid="{D7595518-F180-45A5-96C0-CCE767C89C76}"/>
    <cellStyle name="Normal 13 4 3 11 3" xfId="19137" xr:uid="{DE562F65-08F1-4012-91E2-6BEEC67D1241}"/>
    <cellStyle name="Normal 13 4 3 11 4" xfId="35896" xr:uid="{4623B5A8-173D-4515-AE1F-C319349C4EF9}"/>
    <cellStyle name="Normal 13 4 3 12" xfId="8954" xr:uid="{E2346105-0ABB-4DE5-8580-69CFBB6737CD}"/>
    <cellStyle name="Normal 13 4 3 12 2" xfId="25714" xr:uid="{ABA22EBC-D609-4E02-B9D9-203FF546B463}"/>
    <cellStyle name="Normal 13 4 3 12 3" xfId="42473" xr:uid="{AAB13666-E127-4DDD-A49B-E73A40456731}"/>
    <cellStyle name="Normal 13 4 3 13" xfId="17334" xr:uid="{D3236045-1CD7-48D8-90C8-E97A884244B8}"/>
    <cellStyle name="Normal 13 4 3 14" xfId="34093" xr:uid="{7D65549A-765C-4B11-951D-79E32609CA07}"/>
    <cellStyle name="Normal 13 4 3 2" xfId="985" xr:uid="{8BE28D17-BDAE-4BC0-BEB9-126F218C7C63}"/>
    <cellStyle name="Normal 13 4 3 2 2" xfId="4380" xr:uid="{6DCAF122-0C51-49FB-96FE-912F5C2AC982}"/>
    <cellStyle name="Normal 13 4 3 2 2 2" xfId="12760" xr:uid="{13E00672-48DB-4D86-BE32-0EA324781289}"/>
    <cellStyle name="Normal 13 4 3 2 2 2 2" xfId="29520" xr:uid="{7916B990-D6DB-4007-B20A-9D45D0DA92DA}"/>
    <cellStyle name="Normal 13 4 3 2 2 2 3" xfId="46279" xr:uid="{3B7532C8-BFB1-4FF2-9AFD-574D5F7D909E}"/>
    <cellStyle name="Normal 13 4 3 2 2 3" xfId="21140" xr:uid="{9E695A43-D4E9-4A0B-971F-C502ADD0B61D}"/>
    <cellStyle name="Normal 13 4 3 2 2 4" xfId="37899" xr:uid="{3327D129-0F73-4DCE-BB80-C7E9FCC1635C}"/>
    <cellStyle name="Normal 13 4 3 2 3" xfId="6067" xr:uid="{5E3E1FEE-488A-4DE5-A57F-DECEBC11C710}"/>
    <cellStyle name="Normal 13 4 3 2 3 2" xfId="14447" xr:uid="{C54F018B-E907-4F80-A354-21F96CB8FB6C}"/>
    <cellStyle name="Normal 13 4 3 2 3 2 2" xfId="31207" xr:uid="{93E59951-DDC1-43C2-8F44-15BB719B0D40}"/>
    <cellStyle name="Normal 13 4 3 2 3 2 3" xfId="47966" xr:uid="{14A34D6A-9746-4EBB-8F3A-9CC639E66F69}"/>
    <cellStyle name="Normal 13 4 3 2 3 3" xfId="22827" xr:uid="{0E7313DD-3F21-4CC5-A2C3-71C62A2295C7}"/>
    <cellStyle name="Normal 13 4 3 2 3 4" xfId="39586" xr:uid="{9B4B2A3E-C595-4FD1-9238-2294E6DDC680}"/>
    <cellStyle name="Normal 13 4 3 2 4" xfId="2803" xr:uid="{20D686B2-8E94-4783-A7DE-4EFA6E30DF9A}"/>
    <cellStyle name="Normal 13 4 3 2 4 2" xfId="11183" xr:uid="{4B4B8DE7-FE5A-49FE-889D-3CDF250A64D8}"/>
    <cellStyle name="Normal 13 4 3 2 4 2 2" xfId="27943" xr:uid="{9BC1D2B8-AEB3-4F05-B829-15245541140A}"/>
    <cellStyle name="Normal 13 4 3 2 4 2 3" xfId="44702" xr:uid="{47B30F7C-E950-4D17-A167-C8A9F34ACBE7}"/>
    <cellStyle name="Normal 13 4 3 2 4 3" xfId="19563" xr:uid="{8062D899-73A5-4132-A734-BAD39E57D39D}"/>
    <cellStyle name="Normal 13 4 3 2 4 4" xfId="36322" xr:uid="{9992AA97-E1BD-461D-BA04-FE8BDC21BA49}"/>
    <cellStyle name="Normal 13 4 3 2 5" xfId="9380" xr:uid="{0DBFEEAF-B112-4157-817A-91D5DE2E3AF7}"/>
    <cellStyle name="Normal 13 4 3 2 5 2" xfId="26140" xr:uid="{B25D663B-C6E1-4ABD-B86F-739B40072BCC}"/>
    <cellStyle name="Normal 13 4 3 2 5 3" xfId="42899" xr:uid="{0F39F9FB-EE9D-4318-B1FF-76BCF9CFB329}"/>
    <cellStyle name="Normal 13 4 3 2 6" xfId="17760" xr:uid="{E0A3F911-A6A6-4709-965C-D77A7136AF36}"/>
    <cellStyle name="Normal 13 4 3 2 7" xfId="34519" xr:uid="{5DEDBA03-E1B0-4AC0-897E-5E038B59C057}"/>
    <cellStyle name="Normal 13 4 3 3" xfId="1419" xr:uid="{BAB18463-1754-46E4-803D-1192EABA3679}"/>
    <cellStyle name="Normal 13 4 3 3 2" xfId="4808" xr:uid="{5F092C7D-3007-4F06-9D1A-66B9679FF290}"/>
    <cellStyle name="Normal 13 4 3 3 2 2" xfId="13188" xr:uid="{F602D13F-16C5-4BBD-93B5-33EA09C7EEA1}"/>
    <cellStyle name="Normal 13 4 3 3 2 2 2" xfId="29948" xr:uid="{DD48AA9E-2E0B-4284-9CC7-9EBA79C41A6C}"/>
    <cellStyle name="Normal 13 4 3 3 2 2 3" xfId="46707" xr:uid="{67CAA1D5-3FEE-4419-8C7B-686F97F9F62B}"/>
    <cellStyle name="Normal 13 4 3 3 2 3" xfId="21568" xr:uid="{DE0C8CE2-EB7A-4503-A716-4A2071DE0580}"/>
    <cellStyle name="Normal 13 4 3 3 2 4" xfId="38327" xr:uid="{BB06237A-EF0C-4F88-8DEF-23A5BDED0C54}"/>
    <cellStyle name="Normal 13 4 3 3 3" xfId="6495" xr:uid="{EBFD0232-10FD-4C23-BFDA-E9C0740082FD}"/>
    <cellStyle name="Normal 13 4 3 3 3 2" xfId="14875" xr:uid="{78A1F1A0-1289-4D0B-9E6C-DA28E524D7AE}"/>
    <cellStyle name="Normal 13 4 3 3 3 2 2" xfId="31635" xr:uid="{8E1A876B-5CC2-4D54-8C17-E429D56A7F44}"/>
    <cellStyle name="Normal 13 4 3 3 3 2 3" xfId="48394" xr:uid="{96DA8A41-07BE-4466-B6E4-B6F6DDAA27D1}"/>
    <cellStyle name="Normal 13 4 3 3 3 3" xfId="23255" xr:uid="{1DCCC1F2-1FAF-4AFF-AAF2-F53050B23B3A}"/>
    <cellStyle name="Normal 13 4 3 3 3 4" xfId="40014" xr:uid="{04913389-43B2-41F7-8EC9-C29AB920B889}"/>
    <cellStyle name="Normal 13 4 3 3 4" xfId="3231" xr:uid="{490D6471-1CAE-4ED9-AC79-E2D40FF03A29}"/>
    <cellStyle name="Normal 13 4 3 3 4 2" xfId="11611" xr:uid="{10AA8F6B-D637-437F-8513-064DF025C0D4}"/>
    <cellStyle name="Normal 13 4 3 3 4 2 2" xfId="28371" xr:uid="{98BEA7A3-77AD-4612-9B48-C1E1E788C971}"/>
    <cellStyle name="Normal 13 4 3 3 4 2 3" xfId="45130" xr:uid="{A0135580-1684-4054-B341-886F6438706C}"/>
    <cellStyle name="Normal 13 4 3 3 4 3" xfId="19991" xr:uid="{B223BD4B-BC33-45C2-97AD-10EF7C6CBFED}"/>
    <cellStyle name="Normal 13 4 3 3 4 4" xfId="36750" xr:uid="{D95D50EB-738C-4DB3-AA28-5D87AD933E75}"/>
    <cellStyle name="Normal 13 4 3 3 5" xfId="9808" xr:uid="{B1996977-7131-4098-97A4-DD20F31ACD16}"/>
    <cellStyle name="Normal 13 4 3 3 5 2" xfId="26568" xr:uid="{97804168-9E6A-46E6-A08E-25CFCFFC9055}"/>
    <cellStyle name="Normal 13 4 3 3 5 3" xfId="43327" xr:uid="{3340C4D7-E313-4CA0-8320-61E48D9CAF37}"/>
    <cellStyle name="Normal 13 4 3 3 6" xfId="18188" xr:uid="{00B6FBA2-543F-4AB1-B593-3924E8560A19}"/>
    <cellStyle name="Normal 13 4 3 3 7" xfId="34947" xr:uid="{2B366A1C-B8B3-4D13-84C2-322707CD90A4}"/>
    <cellStyle name="Normal 13 4 3 4" xfId="1940" xr:uid="{312649B2-CE62-4136-AF79-407B58773A8B}"/>
    <cellStyle name="Normal 13 4 3 4 2" xfId="5329" xr:uid="{7C054F02-9E97-449F-8CC9-FADD4935CC51}"/>
    <cellStyle name="Normal 13 4 3 4 2 2" xfId="13709" xr:uid="{6F5CAF08-A2F5-4D9D-9370-0B909372D834}"/>
    <cellStyle name="Normal 13 4 3 4 2 2 2" xfId="30469" xr:uid="{F7B68BA0-538A-44C6-A315-DA9679D959C8}"/>
    <cellStyle name="Normal 13 4 3 4 2 2 3" xfId="47228" xr:uid="{6A7C2A7A-FC10-43DA-B5E5-5DDC8EC459B0}"/>
    <cellStyle name="Normal 13 4 3 4 2 3" xfId="22089" xr:uid="{E92E717B-170F-4441-AAE3-3EB04B545049}"/>
    <cellStyle name="Normal 13 4 3 4 2 4" xfId="38848" xr:uid="{0A10FEBF-9641-437D-9478-D2F89B9C9D8D}"/>
    <cellStyle name="Normal 13 4 3 4 3" xfId="7016" xr:uid="{5097F9F8-4684-4947-83D2-8CDEE3256321}"/>
    <cellStyle name="Normal 13 4 3 4 3 2" xfId="15396" xr:uid="{1A4FD294-1206-4A19-9D6B-73974A6441DE}"/>
    <cellStyle name="Normal 13 4 3 4 3 2 2" xfId="32156" xr:uid="{950A8D46-1026-48F4-9D0A-F9477BA5FB12}"/>
    <cellStyle name="Normal 13 4 3 4 3 2 3" xfId="48915" xr:uid="{016A8734-1E16-4F7C-968D-5803B80A2B3A}"/>
    <cellStyle name="Normal 13 4 3 4 3 3" xfId="23776" xr:uid="{E5F6DDDC-023E-4106-9CBC-7D7CD12BAD2D}"/>
    <cellStyle name="Normal 13 4 3 4 3 4" xfId="40535" xr:uid="{58B801D4-FB78-4458-8A06-889431D0E35E}"/>
    <cellStyle name="Normal 13 4 3 4 4" xfId="3639" xr:uid="{AEC7DF73-9BE7-486E-86A6-96BDB95C40F2}"/>
    <cellStyle name="Normal 13 4 3 4 4 2" xfId="12019" xr:uid="{0B2F1FD7-C475-4205-8766-B3999F507529}"/>
    <cellStyle name="Normal 13 4 3 4 4 2 2" xfId="28779" xr:uid="{C1B1BE52-A065-4E03-9887-3D12CBFE078A}"/>
    <cellStyle name="Normal 13 4 3 4 4 2 3" xfId="45538" xr:uid="{F58522A9-53E2-487B-B0C5-C0F9D63888B5}"/>
    <cellStyle name="Normal 13 4 3 4 4 3" xfId="20399" xr:uid="{8E02A6AC-3630-476C-8DCC-F29B68F4A9B1}"/>
    <cellStyle name="Normal 13 4 3 4 4 4" xfId="37158" xr:uid="{65FC0EE5-1C50-4511-828D-225C326B522C}"/>
    <cellStyle name="Normal 13 4 3 4 5" xfId="10329" xr:uid="{AAD549B0-681B-4E39-8473-43C5A36F47B2}"/>
    <cellStyle name="Normal 13 4 3 4 5 2" xfId="27089" xr:uid="{90C24826-42A7-4222-A54A-963D3475CE95}"/>
    <cellStyle name="Normal 13 4 3 4 5 3" xfId="43848" xr:uid="{1F85FE2D-80FB-4290-93BA-D683C4807602}"/>
    <cellStyle name="Normal 13 4 3 4 6" xfId="18709" xr:uid="{C0C2873F-EC52-4883-AF58-EBD8F667CFB3}"/>
    <cellStyle name="Normal 13 4 3 4 7" xfId="35468" xr:uid="{D2634F1A-A3C8-47BA-BCF8-54114CEB6FBD}"/>
    <cellStyle name="Normal 13 4 3 5" xfId="4059" xr:uid="{12018A13-2547-48F7-9A37-74B35F259953}"/>
    <cellStyle name="Normal 13 4 3 5 2" xfId="12439" xr:uid="{B41FFDE2-6B3D-4995-854C-6F93473F4751}"/>
    <cellStyle name="Normal 13 4 3 5 2 2" xfId="29199" xr:uid="{5A347585-BF41-4DF5-94C3-499A080B7409}"/>
    <cellStyle name="Normal 13 4 3 5 2 3" xfId="45958" xr:uid="{A5B508F7-9577-4FA2-8099-CA1DF03FCB77}"/>
    <cellStyle name="Normal 13 4 3 5 3" xfId="20819" xr:uid="{B182E023-1EC8-4492-B557-6E04BB28E9CF}"/>
    <cellStyle name="Normal 13 4 3 5 4" xfId="37578" xr:uid="{1E6F02BB-B891-4630-B507-B5539C99DBD6}"/>
    <cellStyle name="Normal 13 4 3 6" xfId="5641" xr:uid="{CACA8E96-3B06-4902-AC5F-240D01BB57DB}"/>
    <cellStyle name="Normal 13 4 3 6 2" xfId="14021" xr:uid="{E682413F-13E2-4ECB-9E03-9C6FC748769C}"/>
    <cellStyle name="Normal 13 4 3 6 2 2" xfId="30781" xr:uid="{7827F096-066D-4392-8F28-5EC12FAF7ECE}"/>
    <cellStyle name="Normal 13 4 3 6 2 3" xfId="47540" xr:uid="{D73F0EF9-983F-4354-B903-74869BB4A989}"/>
    <cellStyle name="Normal 13 4 3 6 3" xfId="22401" xr:uid="{DD005138-6173-4EA0-A75B-C96B31866BB3}"/>
    <cellStyle name="Normal 13 4 3 6 4" xfId="39160" xr:uid="{252F7CE4-5346-4768-BBB4-51FF2B3EB210}"/>
    <cellStyle name="Normal 13 4 3 7" xfId="7422" xr:uid="{198086CC-A0B8-4D21-8EDE-0E415A6D6DBB}"/>
    <cellStyle name="Normal 13 4 3 7 2" xfId="15802" xr:uid="{98EA8A51-01DD-4B56-9AE5-B57B61282BC1}"/>
    <cellStyle name="Normal 13 4 3 7 2 2" xfId="32562" xr:uid="{A1D0110E-6F2F-4AB6-8D69-32ADA37E8357}"/>
    <cellStyle name="Normal 13 4 3 7 2 3" xfId="49321" xr:uid="{D42BAA03-4C10-4B66-A407-0FEF96B635CB}"/>
    <cellStyle name="Normal 13 4 3 7 3" xfId="24182" xr:uid="{BA530C39-74B6-4348-BC71-2D6FD2DE7F4D}"/>
    <cellStyle name="Normal 13 4 3 7 4" xfId="40941" xr:uid="{41A83C09-23D4-4035-9B41-A5D679EB6FFE}"/>
    <cellStyle name="Normal 13 4 3 8" xfId="7828" xr:uid="{FB29F44B-7104-4358-853A-676C93B5736B}"/>
    <cellStyle name="Normal 13 4 3 8 2" xfId="16208" xr:uid="{2FFA7F45-5A27-4D64-BCCE-5A499564891E}"/>
    <cellStyle name="Normal 13 4 3 8 2 2" xfId="32968" xr:uid="{75D2E6D6-295B-484B-9DA3-C71AD0896528}"/>
    <cellStyle name="Normal 13 4 3 8 2 3" xfId="49727" xr:uid="{9EA582B0-A529-4DAE-BE74-E6EE16D9F44E}"/>
    <cellStyle name="Normal 13 4 3 8 3" xfId="24588" xr:uid="{87A76E83-454D-4478-8C69-8B0EF52BFC8B}"/>
    <cellStyle name="Normal 13 4 3 8 4" xfId="41347" xr:uid="{265CEC27-ADDC-4352-8169-F134C766667F}"/>
    <cellStyle name="Normal 13 4 3 9" xfId="8234" xr:uid="{F96441F8-2CA2-4604-9371-70252EC950F3}"/>
    <cellStyle name="Normal 13 4 3 9 2" xfId="16614" xr:uid="{99FDE3D4-B38C-4B00-9F12-C3388A04384F}"/>
    <cellStyle name="Normal 13 4 3 9 2 2" xfId="33374" xr:uid="{1FB84028-9FC6-4037-8A12-D06F330B6806}"/>
    <cellStyle name="Normal 13 4 3 9 2 3" xfId="50133" xr:uid="{292D1B7C-D8B6-4190-BE34-F3F4C5A88659}"/>
    <cellStyle name="Normal 13 4 3 9 3" xfId="24994" xr:uid="{1D7F6336-3795-4303-95F1-A420FBCA25D7}"/>
    <cellStyle name="Normal 13 4 3 9 4" xfId="41753" xr:uid="{30532C5B-D765-4E66-B1F0-A2B3EA60356B}"/>
    <cellStyle name="Normal 13 4 4" xfId="983" xr:uid="{2E880933-5DBE-455F-A4E9-685FBCD94940}"/>
    <cellStyle name="Normal 13 4 4 2" xfId="4378" xr:uid="{901D0342-5A66-4A51-95A0-2AE05BD48C6F}"/>
    <cellStyle name="Normal 13 4 4 2 2" xfId="12758" xr:uid="{72DFDE44-5DA9-4116-A74B-A965408EA92B}"/>
    <cellStyle name="Normal 13 4 4 2 2 2" xfId="29518" xr:uid="{2356A74E-B949-4547-99CF-9B632925B975}"/>
    <cellStyle name="Normal 13 4 4 2 2 3" xfId="46277" xr:uid="{25003DDA-20B2-4DA9-AAAA-EB69691EEC1C}"/>
    <cellStyle name="Normal 13 4 4 2 3" xfId="21138" xr:uid="{6E84E6A2-8163-4321-A895-E204A9EDC792}"/>
    <cellStyle name="Normal 13 4 4 2 4" xfId="37897" xr:uid="{2219D73F-2EB2-4C63-A915-B5E0E8D54609}"/>
    <cellStyle name="Normal 13 4 4 3" xfId="6065" xr:uid="{82C14521-313F-423C-8040-456039A6246D}"/>
    <cellStyle name="Normal 13 4 4 3 2" xfId="14445" xr:uid="{12F8BCB7-BBB8-4EBD-8DFB-A8F658826DFC}"/>
    <cellStyle name="Normal 13 4 4 3 2 2" xfId="31205" xr:uid="{70EDF850-88CE-4878-8F82-02DB5E6F34C8}"/>
    <cellStyle name="Normal 13 4 4 3 2 3" xfId="47964" xr:uid="{CAC79770-165A-4AD9-8C12-5834F807F6B9}"/>
    <cellStyle name="Normal 13 4 4 3 3" xfId="22825" xr:uid="{E4995536-47D8-4A28-9B40-56F384116DF6}"/>
    <cellStyle name="Normal 13 4 4 3 4" xfId="39584" xr:uid="{1FFABC37-6C11-448C-ADA6-BE5670A9FDB7}"/>
    <cellStyle name="Normal 13 4 4 4" xfId="2801" xr:uid="{FAC8A10F-EC95-4A42-9537-CBE0CF255B54}"/>
    <cellStyle name="Normal 13 4 4 4 2" xfId="11181" xr:uid="{2C6E43BB-D86E-4056-BFCB-5972C1B6B5F3}"/>
    <cellStyle name="Normal 13 4 4 4 2 2" xfId="27941" xr:uid="{2DFCF928-0CED-42E5-84CC-D001A27677C7}"/>
    <cellStyle name="Normal 13 4 4 4 2 3" xfId="44700" xr:uid="{A4D02C44-82D1-4426-A1D2-0CA8C8F9FEBA}"/>
    <cellStyle name="Normal 13 4 4 4 3" xfId="19561" xr:uid="{C3482737-6967-4281-B19C-D3887856CFDE}"/>
    <cellStyle name="Normal 13 4 4 4 4" xfId="36320" xr:uid="{A0756BB1-CB70-46FA-A0B7-B696C63CFF9E}"/>
    <cellStyle name="Normal 13 4 4 5" xfId="9378" xr:uid="{FBFB8774-56C9-4BFD-A035-6A33B2E5197F}"/>
    <cellStyle name="Normal 13 4 4 5 2" xfId="26138" xr:uid="{255373AD-A299-45D2-96B9-D5C55B109AEA}"/>
    <cellStyle name="Normal 13 4 4 5 3" xfId="42897" xr:uid="{497438D7-9EE4-4CDD-B0AB-DD5FD06A5DFB}"/>
    <cellStyle name="Normal 13 4 4 6" xfId="17758" xr:uid="{117221DB-F10C-4756-B175-24DB9675897D}"/>
    <cellStyle name="Normal 13 4 4 7" xfId="34517" xr:uid="{C6727803-DDAA-43D4-BAFA-5E296267AEDD}"/>
    <cellStyle name="Normal 13 4 5" xfId="1417" xr:uid="{7BDE544A-8489-4578-BA92-D7776EE9889E}"/>
    <cellStyle name="Normal 13 4 5 2" xfId="4806" xr:uid="{31D64412-432B-420E-B065-38DDE8320E2A}"/>
    <cellStyle name="Normal 13 4 5 2 2" xfId="13186" xr:uid="{C971BF71-9FDF-4054-91A8-FA47ADC84863}"/>
    <cellStyle name="Normal 13 4 5 2 2 2" xfId="29946" xr:uid="{2BA1A01C-B917-4AB4-AE0D-198A61F02F80}"/>
    <cellStyle name="Normal 13 4 5 2 2 3" xfId="46705" xr:uid="{0B9E75CE-8E03-4057-9D53-F1B7564D62FC}"/>
    <cellStyle name="Normal 13 4 5 2 3" xfId="21566" xr:uid="{8C2B7BDF-171A-4EC6-81AC-1BB61B917946}"/>
    <cellStyle name="Normal 13 4 5 2 4" xfId="38325" xr:uid="{53558E99-7906-4647-A535-C6001897B0F8}"/>
    <cellStyle name="Normal 13 4 5 3" xfId="6493" xr:uid="{F4C6E235-4EBB-498F-AE6C-BD60EA04E145}"/>
    <cellStyle name="Normal 13 4 5 3 2" xfId="14873" xr:uid="{8206EAC4-6035-43B8-B9D8-442C60F55902}"/>
    <cellStyle name="Normal 13 4 5 3 2 2" xfId="31633" xr:uid="{7C188F1C-C0C0-4058-A88B-269DE30573A2}"/>
    <cellStyle name="Normal 13 4 5 3 2 3" xfId="48392" xr:uid="{564F8358-7B99-476B-BD6A-11C0769D6922}"/>
    <cellStyle name="Normal 13 4 5 3 3" xfId="23253" xr:uid="{B9369B70-7D9E-4995-9719-0B60076BD2F1}"/>
    <cellStyle name="Normal 13 4 5 3 4" xfId="40012" xr:uid="{E8AC6290-3CD4-4ABA-9692-D639D932762C}"/>
    <cellStyle name="Normal 13 4 5 4" xfId="3229" xr:uid="{CC3745F3-F376-4ED8-AF0D-580C78234549}"/>
    <cellStyle name="Normal 13 4 5 4 2" xfId="11609" xr:uid="{F55B86DF-79C2-4D2C-9ABE-A6AAEFEFB103}"/>
    <cellStyle name="Normal 13 4 5 4 2 2" xfId="28369" xr:uid="{A96CAA4C-0B65-4315-A029-BFD9C050B573}"/>
    <cellStyle name="Normal 13 4 5 4 2 3" xfId="45128" xr:uid="{29C415E9-200E-428D-B6E5-7CB838DF6B28}"/>
    <cellStyle name="Normal 13 4 5 4 3" xfId="19989" xr:uid="{0CBD0521-D287-425E-977A-A4411CBEAF43}"/>
    <cellStyle name="Normal 13 4 5 4 4" xfId="36748" xr:uid="{9FB876FC-2582-4173-984B-4475A0FF60C4}"/>
    <cellStyle name="Normal 13 4 5 5" xfId="9806" xr:uid="{24753628-F404-40F0-84B5-563191B5655C}"/>
    <cellStyle name="Normal 13 4 5 5 2" xfId="26566" xr:uid="{4DC450E3-DCE5-4256-89A1-F14C7E3DB2BD}"/>
    <cellStyle name="Normal 13 4 5 5 3" xfId="43325" xr:uid="{338F651B-A5CA-46A3-961D-4E379388B169}"/>
    <cellStyle name="Normal 13 4 5 6" xfId="18186" xr:uid="{82F99495-0468-4FC1-A7DF-1F33D8842387}"/>
    <cellStyle name="Normal 13 4 5 7" xfId="34945" xr:uid="{5FB1C5BB-7974-4011-9A1F-34A6AB5E9E2D}"/>
    <cellStyle name="Normal 13 4 6" xfId="1669" xr:uid="{BDC0D0B9-4FFD-459B-BE73-846ED62C3260}"/>
    <cellStyle name="Normal 13 4 6 2" xfId="5058" xr:uid="{D9439A11-181E-4F3E-A66B-C1CE639874F8}"/>
    <cellStyle name="Normal 13 4 6 2 2" xfId="13438" xr:uid="{517825CD-0391-407C-86BA-708A25D4492B}"/>
    <cellStyle name="Normal 13 4 6 2 2 2" xfId="30198" xr:uid="{4342A87F-8D32-462C-A7A1-28BB2DEA6E06}"/>
    <cellStyle name="Normal 13 4 6 2 2 3" xfId="46957" xr:uid="{24592F8C-DB30-4137-8787-3ABDD09BB154}"/>
    <cellStyle name="Normal 13 4 6 2 3" xfId="21818" xr:uid="{024AC9E9-DB51-4BFD-BABC-4CF8FB096925}"/>
    <cellStyle name="Normal 13 4 6 2 4" xfId="38577" xr:uid="{39FDE561-BCE9-4E80-A971-51240C4E304E}"/>
    <cellStyle name="Normal 13 4 6 3" xfId="6745" xr:uid="{B224F97A-4CAB-480A-A86B-3F0F725C78A6}"/>
    <cellStyle name="Normal 13 4 6 3 2" xfId="15125" xr:uid="{6B9EB381-E198-43E8-8EC1-78F55EB04598}"/>
    <cellStyle name="Normal 13 4 6 3 2 2" xfId="31885" xr:uid="{8A51F55A-718B-484D-ABA5-D9EA51DD0757}"/>
    <cellStyle name="Normal 13 4 6 3 2 3" xfId="48644" xr:uid="{F11770D2-477F-4FCE-AC92-E6A6898C5C15}"/>
    <cellStyle name="Normal 13 4 6 3 3" xfId="23505" xr:uid="{DF30FDFE-6230-40F1-B6EC-7B246C542324}"/>
    <cellStyle name="Normal 13 4 6 3 4" xfId="40264" xr:uid="{E7EBBB63-228D-48EF-98D8-E2F21B3D1293}"/>
    <cellStyle name="Normal 13 4 6 4" xfId="2373" xr:uid="{B6CC9A9B-C551-461D-84BA-12DF964EE00A}"/>
    <cellStyle name="Normal 13 4 6 4 2" xfId="10755" xr:uid="{1374B55C-58B3-40B8-9CE2-190DD4F871ED}"/>
    <cellStyle name="Normal 13 4 6 4 2 2" xfId="27515" xr:uid="{176DA050-BBC8-4BF1-BAF8-E798B763D1C0}"/>
    <cellStyle name="Normal 13 4 6 4 2 3" xfId="44274" xr:uid="{9093E71B-1F3A-4962-B08C-27E3A8206E23}"/>
    <cellStyle name="Normal 13 4 6 4 3" xfId="19135" xr:uid="{894FA3F1-C4C6-4011-AA3E-84DD56B9A103}"/>
    <cellStyle name="Normal 13 4 6 4 4" xfId="35894" xr:uid="{24126DF3-D56E-4125-928F-6B857A6EE969}"/>
    <cellStyle name="Normal 13 4 6 5" xfId="10058" xr:uid="{4B3BEDD4-A2F1-465F-A515-813AF8420106}"/>
    <cellStyle name="Normal 13 4 6 5 2" xfId="26818" xr:uid="{9E576E12-81D1-4F5F-BC57-10503B3A6B2C}"/>
    <cellStyle name="Normal 13 4 6 5 3" xfId="43577" xr:uid="{6CBF81E1-FA84-4652-9FB4-77C117353DBC}"/>
    <cellStyle name="Normal 13 4 6 6" xfId="18438" xr:uid="{337E2DBD-D643-40D7-9171-24A798B7BF0A}"/>
    <cellStyle name="Normal 13 4 6 7" xfId="35197" xr:uid="{D56DC698-A4D6-4E2A-966A-3CBD610CD471}"/>
    <cellStyle name="Normal 13 4 7" xfId="3787" xr:uid="{7E0B4223-A044-4F8C-A857-74698E8E99B9}"/>
    <cellStyle name="Normal 13 4 7 2" xfId="12167" xr:uid="{904AFCC4-7BB4-4F83-BBDD-D6FD72CF9BB8}"/>
    <cellStyle name="Normal 13 4 7 2 2" xfId="28927" xr:uid="{768E624B-DCCB-4AE8-B617-4AF3AB16CE4E}"/>
    <cellStyle name="Normal 13 4 7 2 3" xfId="45686" xr:uid="{0CA22D86-D199-4F26-A098-14A5BE00DD58}"/>
    <cellStyle name="Normal 13 4 7 3" xfId="20547" xr:uid="{6CDFAA22-E719-4E8E-B6C1-D2252565986E}"/>
    <cellStyle name="Normal 13 4 7 4" xfId="37306" xr:uid="{584D627E-C0B7-455D-93C1-13B77A9DC3F0}"/>
    <cellStyle name="Normal 13 4 8" xfId="5639" xr:uid="{3D7901D4-4C91-491F-B646-2BDC38F918C3}"/>
    <cellStyle name="Normal 13 4 8 2" xfId="14019" xr:uid="{112CA13F-8AA7-4FCE-A4A4-536BF654F851}"/>
    <cellStyle name="Normal 13 4 8 2 2" xfId="30779" xr:uid="{A4792C2B-B046-4020-9F81-6B2F75F2B063}"/>
    <cellStyle name="Normal 13 4 8 2 3" xfId="47538" xr:uid="{45548455-8743-45F9-A2AD-6E73F914FFD7}"/>
    <cellStyle name="Normal 13 4 8 3" xfId="22399" xr:uid="{F566142D-1839-4A86-9BAE-892118BE8527}"/>
    <cellStyle name="Normal 13 4 8 4" xfId="39158" xr:uid="{DEF44ED5-EC68-43AB-995E-AF4AABD5EE30}"/>
    <cellStyle name="Normal 13 4 9" xfId="7151" xr:uid="{DC16BFD2-E732-4173-97BD-E635E65B5882}"/>
    <cellStyle name="Normal 13 4 9 2" xfId="15531" xr:uid="{0FFF2204-2B7C-4345-8DAB-6835C262B4E3}"/>
    <cellStyle name="Normal 13 4 9 2 2" xfId="32291" xr:uid="{945A53DF-1CEE-4F9D-BEB7-6927368E2C5E}"/>
    <cellStyle name="Normal 13 4 9 2 3" xfId="49050" xr:uid="{DA50C8D6-F1E2-4670-98FA-2EF58B9D19B1}"/>
    <cellStyle name="Normal 13 4 9 3" xfId="23911" xr:uid="{8B1BEE4A-00ED-41B9-8E31-D879562C64BF}"/>
    <cellStyle name="Normal 13 4 9 4" xfId="40670" xr:uid="{4AC2C199-B06F-4156-8C8E-859B7C7CD9CB}"/>
    <cellStyle name="Normal 13 5" xfId="544" xr:uid="{FC7B0355-F974-413D-A19E-65D43EE1B4E2}"/>
    <cellStyle name="Normal 13 5 10" xfId="7630" xr:uid="{D5C3B2F3-D1DC-4EF9-9A6B-8551330251D3}"/>
    <cellStyle name="Normal 13 5 10 2" xfId="16010" xr:uid="{2C969967-5639-4592-9589-010AFFD2CA4A}"/>
    <cellStyle name="Normal 13 5 10 2 2" xfId="32770" xr:uid="{995EE849-7931-4BD4-A694-A285B14E6BA3}"/>
    <cellStyle name="Normal 13 5 10 2 3" xfId="49529" xr:uid="{21CF8205-3EB8-42FB-9813-772C82FF0D93}"/>
    <cellStyle name="Normal 13 5 10 3" xfId="24390" xr:uid="{D52507CA-2541-456D-B5A8-83EC652FCE6A}"/>
    <cellStyle name="Normal 13 5 10 4" xfId="41149" xr:uid="{5A90D665-44A0-4B64-B148-D4440E8EC0BB}"/>
    <cellStyle name="Normal 13 5 11" xfId="8036" xr:uid="{E0A6B710-08AC-4CEE-B6FB-E843EB9FBC35}"/>
    <cellStyle name="Normal 13 5 11 2" xfId="16416" xr:uid="{4C454249-F05E-45F0-BB4C-FFF593DE9748}"/>
    <cellStyle name="Normal 13 5 11 2 2" xfId="33176" xr:uid="{7B9A3E45-53DC-4512-8129-AB6C86D0981D}"/>
    <cellStyle name="Normal 13 5 11 2 3" xfId="49935" xr:uid="{4598BC1E-6481-4198-9C73-376942DDCBDA}"/>
    <cellStyle name="Normal 13 5 11 3" xfId="24796" xr:uid="{15BC77D2-AF83-4ACD-9F5B-676DECA5CA95}"/>
    <cellStyle name="Normal 13 5 11 4" xfId="41555" xr:uid="{5C09D161-96E6-422C-AD3C-2AAB308DFEC1}"/>
    <cellStyle name="Normal 13 5 12" xfId="8442" xr:uid="{17CF4240-91E9-4CEF-8378-43A18DBF3E05}"/>
    <cellStyle name="Normal 13 5 12 2" xfId="16822" xr:uid="{90FB1683-1289-4DB9-9D78-D23DC2CDCC2E}"/>
    <cellStyle name="Normal 13 5 12 2 2" xfId="33582" xr:uid="{B453928F-BBF1-4681-92F5-D8B24F737DC6}"/>
    <cellStyle name="Normal 13 5 12 2 3" xfId="50341" xr:uid="{9EFD63DC-9DE4-46F3-975F-D0FCFCD63F91}"/>
    <cellStyle name="Normal 13 5 12 3" xfId="25202" xr:uid="{C87AE540-7031-46D6-A2DE-8F366FDE2B1C}"/>
    <cellStyle name="Normal 13 5 12 4" xfId="41961" xr:uid="{95CD36B3-364D-43AD-ADC9-EF8012591E93}"/>
    <cellStyle name="Normal 13 5 13" xfId="2129" xr:uid="{BB9A7005-8F17-450B-8F4B-6C2E14ED8E6C}"/>
    <cellStyle name="Normal 13 5 13 2" xfId="10517" xr:uid="{4FA03EE2-8B92-4E28-AEBA-2DD1B7C0860B}"/>
    <cellStyle name="Normal 13 5 13 2 2" xfId="27277" xr:uid="{BD9A0BE2-1345-48C6-A23E-8AA01BF409E0}"/>
    <cellStyle name="Normal 13 5 13 2 3" xfId="44036" xr:uid="{5B8AADFB-22CB-411C-99BC-1B632CE0A4F8}"/>
    <cellStyle name="Normal 13 5 13 3" xfId="18897" xr:uid="{B0CA84EF-EF2E-4EAA-9555-308B14DE1592}"/>
    <cellStyle name="Normal 13 5 13 4" xfId="35656" xr:uid="{98A3D548-BA03-40AE-880E-3AAC7952DDCF}"/>
    <cellStyle name="Normal 13 5 14" xfId="8955" xr:uid="{3CB78406-36AE-4D79-8B0C-BEEB9CAD3A43}"/>
    <cellStyle name="Normal 13 5 14 2" xfId="25715" xr:uid="{4A04209A-2B8F-424A-8389-B26E56CED683}"/>
    <cellStyle name="Normal 13 5 14 3" xfId="42474" xr:uid="{84BA9F2E-65E8-4ED9-BAB7-CF1BA7B4F549}"/>
    <cellStyle name="Normal 13 5 15" xfId="17335" xr:uid="{8BC1202C-08F3-4F1A-B004-92AB9BB08855}"/>
    <cellStyle name="Normal 13 5 16" xfId="34094" xr:uid="{15DB3B03-80AF-428A-8112-3A74F3B15178}"/>
    <cellStyle name="Normal 13 5 2" xfId="545" xr:uid="{D186B118-A3FE-48C0-A777-754BF0F639E2}"/>
    <cellStyle name="Normal 13 5 2 10" xfId="8502" xr:uid="{187E6ECE-C32E-4074-ADAE-AE9AABD55A0C}"/>
    <cellStyle name="Normal 13 5 2 10 2" xfId="16882" xr:uid="{74C5F6DE-A433-4ADE-AB98-1D935496F296}"/>
    <cellStyle name="Normal 13 5 2 10 2 2" xfId="33642" xr:uid="{DCCFC0BD-5863-4CD3-8750-888604F11365}"/>
    <cellStyle name="Normal 13 5 2 10 2 3" xfId="50401" xr:uid="{BD1D7F49-286B-4F6C-A85D-C7A4D7AC17DF}"/>
    <cellStyle name="Normal 13 5 2 10 3" xfId="25262" xr:uid="{16D193A6-B821-4E37-847F-508603CD3539}"/>
    <cellStyle name="Normal 13 5 2 10 4" xfId="42021" xr:uid="{7C42BEE1-7C8C-479D-8277-D9E310AFAEBF}"/>
    <cellStyle name="Normal 13 5 2 11" xfId="2377" xr:uid="{57F98D8C-89A7-4971-8588-7D5E8FBB4BD2}"/>
    <cellStyle name="Normal 13 5 2 11 2" xfId="10759" xr:uid="{F9EF465A-0D98-4086-9EC3-64F3BAB616BE}"/>
    <cellStyle name="Normal 13 5 2 11 2 2" xfId="27519" xr:uid="{343F3B78-8EEB-45A0-B334-EE5877914A45}"/>
    <cellStyle name="Normal 13 5 2 11 2 3" xfId="44278" xr:uid="{73254CB0-5ED7-448D-B858-C988677749C2}"/>
    <cellStyle name="Normal 13 5 2 11 3" xfId="19139" xr:uid="{36ED031A-D63A-4688-814B-4E69D55C4BCE}"/>
    <cellStyle name="Normal 13 5 2 11 4" xfId="35898" xr:uid="{AB36262D-3787-4482-A8B1-60C0D4C99E94}"/>
    <cellStyle name="Normal 13 5 2 12" xfId="8956" xr:uid="{0BE6F6CA-100E-40C1-8296-BFAB72739D38}"/>
    <cellStyle name="Normal 13 5 2 12 2" xfId="25716" xr:uid="{AB3D6C1D-43F8-41A3-A2F9-8FA8F0AE7D61}"/>
    <cellStyle name="Normal 13 5 2 12 3" xfId="42475" xr:uid="{4EC24DD7-D96F-441A-A42E-CF077A4DB9FA}"/>
    <cellStyle name="Normal 13 5 2 13" xfId="17336" xr:uid="{4769C0D7-3FD2-4B8F-93D9-AA8D9664D949}"/>
    <cellStyle name="Normal 13 5 2 14" xfId="34095" xr:uid="{6E9F66CB-24AB-4311-B85E-D4BFFAA59C12}"/>
    <cellStyle name="Normal 13 5 2 2" xfId="987" xr:uid="{279C0FBF-4E35-4963-8903-6B5D61FC89E7}"/>
    <cellStyle name="Normal 13 5 2 2 2" xfId="4382" xr:uid="{AE459E15-F16B-4870-BDAF-D582D994DA28}"/>
    <cellStyle name="Normal 13 5 2 2 2 2" xfId="12762" xr:uid="{EB2E945E-48A6-48F6-B653-576DB63239D6}"/>
    <cellStyle name="Normal 13 5 2 2 2 2 2" xfId="29522" xr:uid="{C64EF8FB-14CB-4379-BAE7-5E5A979B0E1C}"/>
    <cellStyle name="Normal 13 5 2 2 2 2 3" xfId="46281" xr:uid="{341505D8-5B0C-4ECA-A4E1-F0DED5741DD2}"/>
    <cellStyle name="Normal 13 5 2 2 2 3" xfId="21142" xr:uid="{41C0B833-514F-4CBF-9D33-6CFC75BCBAAA}"/>
    <cellStyle name="Normal 13 5 2 2 2 4" xfId="37901" xr:uid="{28D08598-CB34-4EB8-A0C2-8D32C71737B8}"/>
    <cellStyle name="Normal 13 5 2 2 3" xfId="6069" xr:uid="{D31213AE-A07F-49FF-9C8A-219435501FD8}"/>
    <cellStyle name="Normal 13 5 2 2 3 2" xfId="14449" xr:uid="{3570FE38-C514-441C-9276-7F8B5DF24487}"/>
    <cellStyle name="Normal 13 5 2 2 3 2 2" xfId="31209" xr:uid="{BC31FB0C-9F59-4209-9183-B9DB9F649810}"/>
    <cellStyle name="Normal 13 5 2 2 3 2 3" xfId="47968" xr:uid="{DA843933-5D94-43E7-987D-3AC78CB95A21}"/>
    <cellStyle name="Normal 13 5 2 2 3 3" xfId="22829" xr:uid="{BC971AC8-AEF4-444B-9F74-228F2B53BDE2}"/>
    <cellStyle name="Normal 13 5 2 2 3 4" xfId="39588" xr:uid="{F401F436-B580-4D25-9563-94C96F599B8F}"/>
    <cellStyle name="Normal 13 5 2 2 4" xfId="2805" xr:uid="{45481AB8-9687-4797-9372-DA2C62848500}"/>
    <cellStyle name="Normal 13 5 2 2 4 2" xfId="11185" xr:uid="{1A5B8552-E9A1-4AF4-9EB7-50B85759898A}"/>
    <cellStyle name="Normal 13 5 2 2 4 2 2" xfId="27945" xr:uid="{0CFF4D00-7092-42CA-B64D-5DF8AB57488F}"/>
    <cellStyle name="Normal 13 5 2 2 4 2 3" xfId="44704" xr:uid="{72CCBF74-2F26-40FB-8DDE-6FA8144C0492}"/>
    <cellStyle name="Normal 13 5 2 2 4 3" xfId="19565" xr:uid="{9A491234-0E7C-4BDB-8F0F-156E335B29D0}"/>
    <cellStyle name="Normal 13 5 2 2 4 4" xfId="36324" xr:uid="{CDD8B0EB-1E53-4242-AC06-CF8080867262}"/>
    <cellStyle name="Normal 13 5 2 2 5" xfId="9382" xr:uid="{14D5D70F-D7E8-48F3-8B57-56B9EBF5FDFF}"/>
    <cellStyle name="Normal 13 5 2 2 5 2" xfId="26142" xr:uid="{F0DBC1B0-33E2-466D-9BB6-B786DD39D7C8}"/>
    <cellStyle name="Normal 13 5 2 2 5 3" xfId="42901" xr:uid="{2A6491EA-C76C-4534-B028-28EB4FD00C14}"/>
    <cellStyle name="Normal 13 5 2 2 6" xfId="17762" xr:uid="{8CDE89B0-B35D-441E-B776-1696561EA45C}"/>
    <cellStyle name="Normal 13 5 2 2 7" xfId="34521" xr:uid="{C8DA26E8-35E4-49F3-B643-1335EBEEDF7C}"/>
    <cellStyle name="Normal 13 5 2 3" xfId="1421" xr:uid="{CD42C18B-7EC4-4DDB-B815-CC1D87BFC81F}"/>
    <cellStyle name="Normal 13 5 2 3 2" xfId="4810" xr:uid="{FD1F2C0A-59A5-4826-81EF-1E3D8F4919C3}"/>
    <cellStyle name="Normal 13 5 2 3 2 2" xfId="13190" xr:uid="{B3195931-D064-4FDA-96F4-A7CA30728FD7}"/>
    <cellStyle name="Normal 13 5 2 3 2 2 2" xfId="29950" xr:uid="{5AEEEF00-5EB8-43D1-8CCA-E6EBCC660F7B}"/>
    <cellStyle name="Normal 13 5 2 3 2 2 3" xfId="46709" xr:uid="{F8DA8BE4-B0D6-40FB-A696-537358CA4765}"/>
    <cellStyle name="Normal 13 5 2 3 2 3" xfId="21570" xr:uid="{7929DF94-78B7-4F5E-B002-26943AB32ADF}"/>
    <cellStyle name="Normal 13 5 2 3 2 4" xfId="38329" xr:uid="{CA3E3240-2692-42D5-BEAD-970C420EAB70}"/>
    <cellStyle name="Normal 13 5 2 3 3" xfId="6497" xr:uid="{B07C7C34-6E74-4300-AD94-5A56D2526920}"/>
    <cellStyle name="Normal 13 5 2 3 3 2" xfId="14877" xr:uid="{2688F996-47C2-4DE6-AAB5-5F532AE3A66E}"/>
    <cellStyle name="Normal 13 5 2 3 3 2 2" xfId="31637" xr:uid="{528EE797-6CEC-4E39-84AF-40DB04F63842}"/>
    <cellStyle name="Normal 13 5 2 3 3 2 3" xfId="48396" xr:uid="{019D7324-53D3-4C7A-BCD7-3EE35306E26D}"/>
    <cellStyle name="Normal 13 5 2 3 3 3" xfId="23257" xr:uid="{A17B237E-1D18-4761-A841-FD8B9D27A8A2}"/>
    <cellStyle name="Normal 13 5 2 3 3 4" xfId="40016" xr:uid="{DFFA175A-7ADE-46CB-A2A9-005827F1F8FD}"/>
    <cellStyle name="Normal 13 5 2 3 4" xfId="3233" xr:uid="{A0FB4894-627F-4C13-AFF3-D1D24F43F464}"/>
    <cellStyle name="Normal 13 5 2 3 4 2" xfId="11613" xr:uid="{638C6808-3A07-41A9-A93C-9BB5997F88D0}"/>
    <cellStyle name="Normal 13 5 2 3 4 2 2" xfId="28373" xr:uid="{28EC9BC5-7BA5-4036-B144-466C8F2F19C6}"/>
    <cellStyle name="Normal 13 5 2 3 4 2 3" xfId="45132" xr:uid="{3F4379D1-F1BF-4AEE-A192-EAE0798D4C1D}"/>
    <cellStyle name="Normal 13 5 2 3 4 3" xfId="19993" xr:uid="{80F0FA3E-B464-4E58-82F2-8610842F805A}"/>
    <cellStyle name="Normal 13 5 2 3 4 4" xfId="36752" xr:uid="{FDA9E955-9C74-476A-BC3D-5D5A47646182}"/>
    <cellStyle name="Normal 13 5 2 3 5" xfId="9810" xr:uid="{8A0F7158-1DC0-4C62-8B9C-A1182F068175}"/>
    <cellStyle name="Normal 13 5 2 3 5 2" xfId="26570" xr:uid="{7FAD858D-0A28-4298-85F2-52AB04541152}"/>
    <cellStyle name="Normal 13 5 2 3 5 3" xfId="43329" xr:uid="{28453ED3-6DBF-4363-BAFA-F90F8A3E4A6A}"/>
    <cellStyle name="Normal 13 5 2 3 6" xfId="18190" xr:uid="{737B1090-D15F-4300-9320-71B3715F59CB}"/>
    <cellStyle name="Normal 13 5 2 3 7" xfId="34949" xr:uid="{9D1AFD78-1210-4067-9640-4548DD8DA82C}"/>
    <cellStyle name="Normal 13 5 2 4" xfId="1802" xr:uid="{1C56E3B1-0348-4F34-B59C-4CC01506B8FE}"/>
    <cellStyle name="Normal 13 5 2 4 2" xfId="5191" xr:uid="{7A86A05C-5EE9-410E-83CB-4B9089DB451B}"/>
    <cellStyle name="Normal 13 5 2 4 2 2" xfId="13571" xr:uid="{B02EF969-4A00-4862-82B6-28B8E6D7415E}"/>
    <cellStyle name="Normal 13 5 2 4 2 2 2" xfId="30331" xr:uid="{2F8FA3D5-1809-4678-82D8-C5FAC64FB1CA}"/>
    <cellStyle name="Normal 13 5 2 4 2 2 3" xfId="47090" xr:uid="{0DC2E28D-95DE-4BCE-99A1-8D186105DA7A}"/>
    <cellStyle name="Normal 13 5 2 4 2 3" xfId="21951" xr:uid="{72DE3F7F-17B8-4F4C-A29E-7C04752928A2}"/>
    <cellStyle name="Normal 13 5 2 4 2 4" xfId="38710" xr:uid="{315A5FFF-A8C7-4AE6-AE09-D5B18690B71D}"/>
    <cellStyle name="Normal 13 5 2 4 3" xfId="6878" xr:uid="{9DC34AE1-B9BB-4007-BCCA-845A924EC22A}"/>
    <cellStyle name="Normal 13 5 2 4 3 2" xfId="15258" xr:uid="{3FFA6400-0C90-43B9-B334-78AD08FD24ED}"/>
    <cellStyle name="Normal 13 5 2 4 3 2 2" xfId="32018" xr:uid="{FB7B2950-4449-43B5-8B0C-AC1F949626DE}"/>
    <cellStyle name="Normal 13 5 2 4 3 2 3" xfId="48777" xr:uid="{031BAAFF-5926-4603-B17B-FF8874E1E295}"/>
    <cellStyle name="Normal 13 5 2 4 3 3" xfId="23638" xr:uid="{E2628AA6-E937-408B-8F7A-43EF6DA6CF06}"/>
    <cellStyle name="Normal 13 5 2 4 3 4" xfId="40397" xr:uid="{B9B1FE71-2A88-41A9-A1A5-6A538E768C90}"/>
    <cellStyle name="Normal 13 5 2 4 4" xfId="3502" xr:uid="{8EFAB0A8-5017-40F8-B903-4EE411845048}"/>
    <cellStyle name="Normal 13 5 2 4 4 2" xfId="11882" xr:uid="{45FE42BD-26CF-4CC5-BF46-63807D7B823E}"/>
    <cellStyle name="Normal 13 5 2 4 4 2 2" xfId="28642" xr:uid="{DFA57FEF-20CD-410B-8601-C1969630A529}"/>
    <cellStyle name="Normal 13 5 2 4 4 2 3" xfId="45401" xr:uid="{0DF13568-471A-46DE-97C8-AAEC15F78F8E}"/>
    <cellStyle name="Normal 13 5 2 4 4 3" xfId="20262" xr:uid="{09C44A7B-A63D-48CC-82AC-F04EA00F9262}"/>
    <cellStyle name="Normal 13 5 2 4 4 4" xfId="37021" xr:uid="{DADDC481-429A-452A-B45D-4B669B4E35B4}"/>
    <cellStyle name="Normal 13 5 2 4 5" xfId="10191" xr:uid="{FC176C83-7ABE-48FC-9ACB-828572F21823}"/>
    <cellStyle name="Normal 13 5 2 4 5 2" xfId="26951" xr:uid="{8BF8092A-10BD-4736-A5DF-AF4F491B118D}"/>
    <cellStyle name="Normal 13 5 2 4 5 3" xfId="43710" xr:uid="{E35AE08D-B48F-43F6-9CBA-EDFB33A050BB}"/>
    <cellStyle name="Normal 13 5 2 4 6" xfId="18571" xr:uid="{A31701E8-0055-4EDD-8DD2-C3E9A6E874AD}"/>
    <cellStyle name="Normal 13 5 2 4 7" xfId="35330" xr:uid="{C41F1B59-4B49-4EDF-9C3E-780530C5577A}"/>
    <cellStyle name="Normal 13 5 2 5" xfId="3921" xr:uid="{E928C585-7A08-429B-B355-810560BD3A1D}"/>
    <cellStyle name="Normal 13 5 2 5 2" xfId="12301" xr:uid="{BACD57A1-17B4-4B95-8DF6-B31B9E46BE9A}"/>
    <cellStyle name="Normal 13 5 2 5 2 2" xfId="29061" xr:uid="{43AF4CAA-F608-4B06-86D5-FE148B6E1D76}"/>
    <cellStyle name="Normal 13 5 2 5 2 3" xfId="45820" xr:uid="{2121929D-A2D0-45F2-82D3-8CAA5F251FF9}"/>
    <cellStyle name="Normal 13 5 2 5 3" xfId="20681" xr:uid="{482ADA80-EBCE-4DDB-81BE-41DA450B1429}"/>
    <cellStyle name="Normal 13 5 2 5 4" xfId="37440" xr:uid="{D463979E-BD49-4E75-AF01-CF65092CD506}"/>
    <cellStyle name="Normal 13 5 2 6" xfId="5643" xr:uid="{CAADFE2E-253A-4E93-B3BA-60BCA4AE07C1}"/>
    <cellStyle name="Normal 13 5 2 6 2" xfId="14023" xr:uid="{8F63BD5D-B395-4A10-9875-9C24A8BAB00D}"/>
    <cellStyle name="Normal 13 5 2 6 2 2" xfId="30783" xr:uid="{928400A5-0703-4053-975E-29E7A9D62749}"/>
    <cellStyle name="Normal 13 5 2 6 2 3" xfId="47542" xr:uid="{F9058DA4-89C9-4E22-9616-FFB6FDA4FA4F}"/>
    <cellStyle name="Normal 13 5 2 6 3" xfId="22403" xr:uid="{FFCBECB4-041C-4148-B4AB-C4E43F4A6370}"/>
    <cellStyle name="Normal 13 5 2 6 4" xfId="39162" xr:uid="{DB50F6E0-3E0B-4A90-8F07-2B37C728C713}"/>
    <cellStyle name="Normal 13 5 2 7" xfId="7284" xr:uid="{242EB030-985F-41D7-B233-05848469AD6A}"/>
    <cellStyle name="Normal 13 5 2 7 2" xfId="15664" xr:uid="{AFC91DE3-AAF9-4CA0-BDC7-3D80DAA528F0}"/>
    <cellStyle name="Normal 13 5 2 7 2 2" xfId="32424" xr:uid="{3982397A-B952-43C6-B8EA-8CA0C2D1350E}"/>
    <cellStyle name="Normal 13 5 2 7 2 3" xfId="49183" xr:uid="{5C35CC52-965D-48CE-97D4-1D11AFAB1F9E}"/>
    <cellStyle name="Normal 13 5 2 7 3" xfId="24044" xr:uid="{EBB3AC33-F0B1-4A20-9723-0E4FDB155BFF}"/>
    <cellStyle name="Normal 13 5 2 7 4" xfId="40803" xr:uid="{E0B5BBD5-4365-412F-A292-2FC5FCE75CED}"/>
    <cellStyle name="Normal 13 5 2 8" xfId="7690" xr:uid="{755B7726-0C68-47B3-AE96-DBF584BF64E3}"/>
    <cellStyle name="Normal 13 5 2 8 2" xfId="16070" xr:uid="{003CAD8C-83BE-4566-89CD-F18526C2D34D}"/>
    <cellStyle name="Normal 13 5 2 8 2 2" xfId="32830" xr:uid="{600DAE2D-A9B1-4B50-94A4-922179081686}"/>
    <cellStyle name="Normal 13 5 2 8 2 3" xfId="49589" xr:uid="{A7737291-6FC3-480B-AB35-098A4769C464}"/>
    <cellStyle name="Normal 13 5 2 8 3" xfId="24450" xr:uid="{1D2CCCE7-360B-47F2-B1F0-D31D270C3E05}"/>
    <cellStyle name="Normal 13 5 2 8 4" xfId="41209" xr:uid="{A4DCD6A2-5B3D-461A-B640-9B43D768DBAE}"/>
    <cellStyle name="Normal 13 5 2 9" xfId="8096" xr:uid="{C4F3DA95-2522-431D-95AC-59EDD0B9549E}"/>
    <cellStyle name="Normal 13 5 2 9 2" xfId="16476" xr:uid="{8E3CB200-47F2-4EF4-88DC-479558155373}"/>
    <cellStyle name="Normal 13 5 2 9 2 2" xfId="33236" xr:uid="{60BC0CD9-327D-491E-B018-55FEE9FD881B}"/>
    <cellStyle name="Normal 13 5 2 9 2 3" xfId="49995" xr:uid="{E7CA7E3B-ABCC-494A-80E5-76D542E3E470}"/>
    <cellStyle name="Normal 13 5 2 9 3" xfId="24856" xr:uid="{9B9E6F83-5A32-4B48-B50D-2D5E4A28B684}"/>
    <cellStyle name="Normal 13 5 2 9 4" xfId="41615" xr:uid="{C866FFD2-C13E-410C-B5BD-7073B5AAFC27}"/>
    <cellStyle name="Normal 13 5 3" xfId="546" xr:uid="{99E85114-02CE-4311-89D4-019683B48681}"/>
    <cellStyle name="Normal 13 5 3 10" xfId="8713" xr:uid="{75D0EEAB-08E1-41A7-95FB-5986E8E6C4CA}"/>
    <cellStyle name="Normal 13 5 3 10 2" xfId="17093" xr:uid="{149B97A8-6EAA-4BE1-A31F-0078B4DC8834}"/>
    <cellStyle name="Normal 13 5 3 10 2 2" xfId="33853" xr:uid="{1AAB7D6D-B124-4278-A937-026D774C3BC9}"/>
    <cellStyle name="Normal 13 5 3 10 2 3" xfId="50612" xr:uid="{B013B978-8CE7-4108-8F23-A37B73ED6417}"/>
    <cellStyle name="Normal 13 5 3 10 3" xfId="25473" xr:uid="{AE7A3854-77C5-4FC3-B802-442EEE525E90}"/>
    <cellStyle name="Normal 13 5 3 10 4" xfId="42232" xr:uid="{1853126E-471F-4CE5-B142-B2BEC1369E0D}"/>
    <cellStyle name="Normal 13 5 3 11" xfId="2378" xr:uid="{9DB1CA4A-53FA-446D-A1B8-12B003BB8434}"/>
    <cellStyle name="Normal 13 5 3 11 2" xfId="10760" xr:uid="{3DD3D7B5-2EF6-4ED5-B166-0B943BDBDF3A}"/>
    <cellStyle name="Normal 13 5 3 11 2 2" xfId="27520" xr:uid="{12214B61-D6F1-4CB9-A391-7E28DE461773}"/>
    <cellStyle name="Normal 13 5 3 11 2 3" xfId="44279" xr:uid="{37AB839D-97F7-4A3F-843E-568643209496}"/>
    <cellStyle name="Normal 13 5 3 11 3" xfId="19140" xr:uid="{72DBC893-D081-45C0-907E-26548F851D5E}"/>
    <cellStyle name="Normal 13 5 3 11 4" xfId="35899" xr:uid="{4F686B24-62C1-48E8-87B2-42C674A51A71}"/>
    <cellStyle name="Normal 13 5 3 12" xfId="8957" xr:uid="{155F762B-A0CF-4E11-AD82-462CF72C851A}"/>
    <cellStyle name="Normal 13 5 3 12 2" xfId="25717" xr:uid="{C2F6670E-F8D4-4C16-A403-C44C55295547}"/>
    <cellStyle name="Normal 13 5 3 12 3" xfId="42476" xr:uid="{0F97F6CE-78B1-48EC-B8EB-ABBD60AE4CFD}"/>
    <cellStyle name="Normal 13 5 3 13" xfId="17337" xr:uid="{9F3C519F-3B34-424D-9BB0-0854AC1DD126}"/>
    <cellStyle name="Normal 13 5 3 14" xfId="34096" xr:uid="{00B86510-842A-44A3-A6E0-2B1A8173CB74}"/>
    <cellStyle name="Normal 13 5 3 2" xfId="988" xr:uid="{F420A280-6DAF-4FD6-8D52-FEEB60EBDEB9}"/>
    <cellStyle name="Normal 13 5 3 2 2" xfId="4383" xr:uid="{2B20453C-C050-4E82-AE08-0A54A6D591DD}"/>
    <cellStyle name="Normal 13 5 3 2 2 2" xfId="12763" xr:uid="{49356F4B-8977-4EFC-8AA4-BBF185403D3B}"/>
    <cellStyle name="Normal 13 5 3 2 2 2 2" xfId="29523" xr:uid="{D655E271-9842-4277-969B-31DFA7BC94D1}"/>
    <cellStyle name="Normal 13 5 3 2 2 2 3" xfId="46282" xr:uid="{71A55672-9555-4F61-8EBF-214FE1E6EAD8}"/>
    <cellStyle name="Normal 13 5 3 2 2 3" xfId="21143" xr:uid="{0244FD36-5379-462B-B45A-8D0FC5F56862}"/>
    <cellStyle name="Normal 13 5 3 2 2 4" xfId="37902" xr:uid="{EE3D3341-2C0A-4970-A3C0-9B57DE6D1883}"/>
    <cellStyle name="Normal 13 5 3 2 3" xfId="6070" xr:uid="{8AC5A130-6753-4AB1-A17D-766E83F39571}"/>
    <cellStyle name="Normal 13 5 3 2 3 2" xfId="14450" xr:uid="{7A3423CF-98C4-4EC0-9DB8-C57CA30DD0D3}"/>
    <cellStyle name="Normal 13 5 3 2 3 2 2" xfId="31210" xr:uid="{D227FC12-8EA8-484F-8B4D-E8BFB708F6E8}"/>
    <cellStyle name="Normal 13 5 3 2 3 2 3" xfId="47969" xr:uid="{7E9D14EB-D300-48F2-AB1D-22E197CF146D}"/>
    <cellStyle name="Normal 13 5 3 2 3 3" xfId="22830" xr:uid="{CD62087B-918A-47F3-A649-910B5E420F0F}"/>
    <cellStyle name="Normal 13 5 3 2 3 4" xfId="39589" xr:uid="{41A386C8-5F65-4DB9-915E-BCEB49A51A1E}"/>
    <cellStyle name="Normal 13 5 3 2 4" xfId="2806" xr:uid="{F9C847C5-90C9-48CE-AA18-FC53388D9EBA}"/>
    <cellStyle name="Normal 13 5 3 2 4 2" xfId="11186" xr:uid="{3419F409-EC6B-4EB4-9151-3670497EDEE0}"/>
    <cellStyle name="Normal 13 5 3 2 4 2 2" xfId="27946" xr:uid="{E3F1E683-6963-4714-8363-3B97BED3B57E}"/>
    <cellStyle name="Normal 13 5 3 2 4 2 3" xfId="44705" xr:uid="{7D77757B-1EC5-471E-8624-4D6E83F3D115}"/>
    <cellStyle name="Normal 13 5 3 2 4 3" xfId="19566" xr:uid="{2C7AAB0C-8948-478D-82C6-747BA34F67C5}"/>
    <cellStyle name="Normal 13 5 3 2 4 4" xfId="36325" xr:uid="{3F607370-334D-4140-9AAD-BDC457B85386}"/>
    <cellStyle name="Normal 13 5 3 2 5" xfId="9383" xr:uid="{025D1AD8-C5BB-451D-BC7D-A50DDBA45E40}"/>
    <cellStyle name="Normal 13 5 3 2 5 2" xfId="26143" xr:uid="{CF142923-7232-4B43-AA1E-E1DE926D8912}"/>
    <cellStyle name="Normal 13 5 3 2 5 3" xfId="42902" xr:uid="{7F462559-355E-487C-A029-E6C45C34D6C9}"/>
    <cellStyle name="Normal 13 5 3 2 6" xfId="17763" xr:uid="{209438F6-8A5A-4643-ACD0-476FACD51033}"/>
    <cellStyle name="Normal 13 5 3 2 7" xfId="34522" xr:uid="{0AB8EC04-570C-4603-83DE-31797400E05C}"/>
    <cellStyle name="Normal 13 5 3 3" xfId="1422" xr:uid="{DEB02DCE-984C-4574-AF29-9E9983499697}"/>
    <cellStyle name="Normal 13 5 3 3 2" xfId="4811" xr:uid="{E4354FB2-C302-446C-B91B-E2BCC1509D80}"/>
    <cellStyle name="Normal 13 5 3 3 2 2" xfId="13191" xr:uid="{F868EFA4-342B-4EEC-BDEE-C070E4D7266B}"/>
    <cellStyle name="Normal 13 5 3 3 2 2 2" xfId="29951" xr:uid="{18990269-0A6F-4DFF-A187-E9912B0D53AC}"/>
    <cellStyle name="Normal 13 5 3 3 2 2 3" xfId="46710" xr:uid="{BC3E8FC2-7925-48FE-BA1C-8E819C18B29B}"/>
    <cellStyle name="Normal 13 5 3 3 2 3" xfId="21571" xr:uid="{C83A58FF-28F5-412D-B872-3934EB07C724}"/>
    <cellStyle name="Normal 13 5 3 3 2 4" xfId="38330" xr:uid="{CD7F20A1-F22D-4FB9-B3EB-CBE416C067FB}"/>
    <cellStyle name="Normal 13 5 3 3 3" xfId="6498" xr:uid="{036F2D13-AC27-49B7-B439-2967AB4EF28D}"/>
    <cellStyle name="Normal 13 5 3 3 3 2" xfId="14878" xr:uid="{0DFC818E-3271-4530-A73E-42D8BDBD7470}"/>
    <cellStyle name="Normal 13 5 3 3 3 2 2" xfId="31638" xr:uid="{C0E5AE58-8FDB-4047-B499-B740DFDEE20F}"/>
    <cellStyle name="Normal 13 5 3 3 3 2 3" xfId="48397" xr:uid="{63CCCBE9-AF61-4978-B821-BBB97FB2287F}"/>
    <cellStyle name="Normal 13 5 3 3 3 3" xfId="23258" xr:uid="{A72A31C6-EDA8-45B4-842E-ABE81DDD9732}"/>
    <cellStyle name="Normal 13 5 3 3 3 4" xfId="40017" xr:uid="{0AD5917D-EC02-414B-86F4-4F6AD7BA53A7}"/>
    <cellStyle name="Normal 13 5 3 3 4" xfId="3234" xr:uid="{ABAD1429-C29E-481C-9B07-DC3A2054695E}"/>
    <cellStyle name="Normal 13 5 3 3 4 2" xfId="11614" xr:uid="{26EAEDE0-1091-4461-BF01-DEC6CB12111A}"/>
    <cellStyle name="Normal 13 5 3 3 4 2 2" xfId="28374" xr:uid="{EF5F26A3-655F-4B8A-A4A0-4425865DF41D}"/>
    <cellStyle name="Normal 13 5 3 3 4 2 3" xfId="45133" xr:uid="{E8B1C566-A52E-4267-A23F-4453F7C84668}"/>
    <cellStyle name="Normal 13 5 3 3 4 3" xfId="19994" xr:uid="{6095FCD2-252C-4E64-BE86-2CCEFD521320}"/>
    <cellStyle name="Normal 13 5 3 3 4 4" xfId="36753" xr:uid="{8436EF19-F9F1-4FD3-9168-D96EB2422F80}"/>
    <cellStyle name="Normal 13 5 3 3 5" xfId="9811" xr:uid="{25D59C38-CDB0-4B64-9254-969BCEF66E01}"/>
    <cellStyle name="Normal 13 5 3 3 5 2" xfId="26571" xr:uid="{1CAA628C-08C9-4F32-9C98-7E09EDDD6C1A}"/>
    <cellStyle name="Normal 13 5 3 3 5 3" xfId="43330" xr:uid="{284C488E-E896-4FB6-98F6-BCDFBBC70DE5}"/>
    <cellStyle name="Normal 13 5 3 3 6" xfId="18191" xr:uid="{91207046-E450-451E-8039-CCEA927284DC}"/>
    <cellStyle name="Normal 13 5 3 3 7" xfId="34950" xr:uid="{8055F7A8-3D41-43E6-B93E-664F76FC1ABD}"/>
    <cellStyle name="Normal 13 5 3 4" xfId="2013" xr:uid="{A483F5CD-8741-4963-80DE-26DC9577EA4D}"/>
    <cellStyle name="Normal 13 5 3 4 2" xfId="5402" xr:uid="{58994D97-37A4-4E0C-889E-3DA683A04C70}"/>
    <cellStyle name="Normal 13 5 3 4 2 2" xfId="13782" xr:uid="{93F20D5C-D4FA-4FD3-B804-D15D203D4352}"/>
    <cellStyle name="Normal 13 5 3 4 2 2 2" xfId="30542" xr:uid="{EB67B9E0-B8D0-4613-9674-D547D9AD3474}"/>
    <cellStyle name="Normal 13 5 3 4 2 2 3" xfId="47301" xr:uid="{53F7A932-12B2-4A11-9D4C-6F030BE8AC8F}"/>
    <cellStyle name="Normal 13 5 3 4 2 3" xfId="22162" xr:uid="{B56D8430-93C4-4F57-86B6-E3B598AFC2F4}"/>
    <cellStyle name="Normal 13 5 3 4 2 4" xfId="38921" xr:uid="{B80DD0FB-D6BF-416A-BBAF-A7F1E5869F4A}"/>
    <cellStyle name="Normal 13 5 3 4 3" xfId="7089" xr:uid="{75BBD976-C494-41F4-90D6-26226039A8BC}"/>
    <cellStyle name="Normal 13 5 3 4 3 2" xfId="15469" xr:uid="{BD2E8EFD-9061-4861-A3D6-73C64ABCA2B6}"/>
    <cellStyle name="Normal 13 5 3 4 3 2 2" xfId="32229" xr:uid="{48474DA5-BF8F-4CD6-854C-51B95A53895F}"/>
    <cellStyle name="Normal 13 5 3 4 3 2 3" xfId="48988" xr:uid="{F2695576-4C1B-47B7-8268-9980AA145CB1}"/>
    <cellStyle name="Normal 13 5 3 4 3 3" xfId="23849" xr:uid="{055F75F3-DD6B-499C-87D5-BE909B15E065}"/>
    <cellStyle name="Normal 13 5 3 4 3 4" xfId="40608" xr:uid="{98F4AECB-6B87-4D01-9975-54913575F933}"/>
    <cellStyle name="Normal 13 5 3 4 4" xfId="3712" xr:uid="{F5AE3B9B-A612-41A2-B73B-C18D381E5A6D}"/>
    <cellStyle name="Normal 13 5 3 4 4 2" xfId="12092" xr:uid="{6799627C-D1EB-4259-B2DC-A0D9B15669B4}"/>
    <cellStyle name="Normal 13 5 3 4 4 2 2" xfId="28852" xr:uid="{E78AFCA5-EF41-4E87-8059-F72DF12B43CC}"/>
    <cellStyle name="Normal 13 5 3 4 4 2 3" xfId="45611" xr:uid="{2FACD726-7CDD-4C73-8DE8-10A21373F7BD}"/>
    <cellStyle name="Normal 13 5 3 4 4 3" xfId="20472" xr:uid="{9B77A3E6-D34B-4375-BB2D-C3A0C99F444B}"/>
    <cellStyle name="Normal 13 5 3 4 4 4" xfId="37231" xr:uid="{9C35E166-778B-4367-A122-69709ADB3F6E}"/>
    <cellStyle name="Normal 13 5 3 4 5" xfId="10402" xr:uid="{E8AF1042-A540-42D3-ADEA-D68848D0CB0A}"/>
    <cellStyle name="Normal 13 5 3 4 5 2" xfId="27162" xr:uid="{83080921-5C08-4380-80F6-78A7721A41CA}"/>
    <cellStyle name="Normal 13 5 3 4 5 3" xfId="43921" xr:uid="{115852FE-16F4-4FBF-B57E-029CCFAF0BB2}"/>
    <cellStyle name="Normal 13 5 3 4 6" xfId="18782" xr:uid="{1B1D1997-89C9-48F5-BDD0-3C3422C0662A}"/>
    <cellStyle name="Normal 13 5 3 4 7" xfId="35541" xr:uid="{414B2AED-0918-4A2F-B068-B2FB166EE42B}"/>
    <cellStyle name="Normal 13 5 3 5" xfId="4132" xr:uid="{EA8389C2-EA27-4A14-B311-C920C3C3DF33}"/>
    <cellStyle name="Normal 13 5 3 5 2" xfId="12512" xr:uid="{D670451C-E8EB-4748-9376-504151B3348F}"/>
    <cellStyle name="Normal 13 5 3 5 2 2" xfId="29272" xr:uid="{6CDBD532-FC28-4F5F-9918-D6DC0556E99D}"/>
    <cellStyle name="Normal 13 5 3 5 2 3" xfId="46031" xr:uid="{2942A347-FBEF-4559-8BF4-C3185C14BCB9}"/>
    <cellStyle name="Normal 13 5 3 5 3" xfId="20892" xr:uid="{8E74C4E8-372F-451D-8100-6EAB7D89B5CB}"/>
    <cellStyle name="Normal 13 5 3 5 4" xfId="37651" xr:uid="{33C14570-B750-4951-B430-CF1B93787C94}"/>
    <cellStyle name="Normal 13 5 3 6" xfId="5644" xr:uid="{232589CD-D1AA-4369-A824-710A402E6AF5}"/>
    <cellStyle name="Normal 13 5 3 6 2" xfId="14024" xr:uid="{BEFB2D46-3C08-473E-9AE7-FA0C793D2C9A}"/>
    <cellStyle name="Normal 13 5 3 6 2 2" xfId="30784" xr:uid="{224B9D88-9A62-4817-8F35-76F38C626633}"/>
    <cellStyle name="Normal 13 5 3 6 2 3" xfId="47543" xr:uid="{C5B729C4-EDB1-4D89-A415-49953264595A}"/>
    <cellStyle name="Normal 13 5 3 6 3" xfId="22404" xr:uid="{B4A2382B-D9CC-4C78-9BDB-FAEE500CC870}"/>
    <cellStyle name="Normal 13 5 3 6 4" xfId="39163" xr:uid="{2A4E270C-9FE8-4C1A-B33B-34483A8A0A49}"/>
    <cellStyle name="Normal 13 5 3 7" xfId="7495" xr:uid="{756168DA-898B-48BA-9EE7-A64150AC3E49}"/>
    <cellStyle name="Normal 13 5 3 7 2" xfId="15875" xr:uid="{B538F101-49F6-4C98-A910-38B60053A462}"/>
    <cellStyle name="Normal 13 5 3 7 2 2" xfId="32635" xr:uid="{2ECCDBD1-CBDE-4DEC-84BB-C65BC1F3D23A}"/>
    <cellStyle name="Normal 13 5 3 7 2 3" xfId="49394" xr:uid="{42A6AD70-785B-40D0-922D-EBE6C115C4F2}"/>
    <cellStyle name="Normal 13 5 3 7 3" xfId="24255" xr:uid="{52DB942E-C6EE-4622-8FDF-828098F0A5CC}"/>
    <cellStyle name="Normal 13 5 3 7 4" xfId="41014" xr:uid="{8B253FAE-3127-424F-916E-8BE4ACFB0304}"/>
    <cellStyle name="Normal 13 5 3 8" xfId="7901" xr:uid="{D2412ED0-E11E-4586-82DB-E69B80A50C98}"/>
    <cellStyle name="Normal 13 5 3 8 2" xfId="16281" xr:uid="{A2F897D9-346B-416F-868C-F70F6AFBC95D}"/>
    <cellStyle name="Normal 13 5 3 8 2 2" xfId="33041" xr:uid="{FDEB45B2-319D-4CC3-B367-DE668DFE34FA}"/>
    <cellStyle name="Normal 13 5 3 8 2 3" xfId="49800" xr:uid="{87A95110-7583-4E44-B89A-92311DF41A46}"/>
    <cellStyle name="Normal 13 5 3 8 3" xfId="24661" xr:uid="{EB1346B2-FE9C-4907-B39E-529DD2251C42}"/>
    <cellStyle name="Normal 13 5 3 8 4" xfId="41420" xr:uid="{CDC0A232-EA36-462F-83E2-F7B289B68E92}"/>
    <cellStyle name="Normal 13 5 3 9" xfId="8307" xr:uid="{AC2C90BE-C3D9-406E-A48E-6AAE3A09BFD8}"/>
    <cellStyle name="Normal 13 5 3 9 2" xfId="16687" xr:uid="{1C73B9B4-2742-4527-85F0-6244DB2C3DDA}"/>
    <cellStyle name="Normal 13 5 3 9 2 2" xfId="33447" xr:uid="{4B0A0A3E-F82F-493B-B34E-917E81A9E352}"/>
    <cellStyle name="Normal 13 5 3 9 2 3" xfId="50206" xr:uid="{69108DF5-7016-48E1-92F7-32DFBDF893A7}"/>
    <cellStyle name="Normal 13 5 3 9 3" xfId="25067" xr:uid="{3504538B-549E-489C-A621-658A6B0D1A78}"/>
    <cellStyle name="Normal 13 5 3 9 4" xfId="41826" xr:uid="{2876B939-2845-4E55-A3C2-F0D979439463}"/>
    <cellStyle name="Normal 13 5 4" xfId="986" xr:uid="{C7A22B80-2095-413E-B9B6-474F1A4B5E52}"/>
    <cellStyle name="Normal 13 5 4 2" xfId="4381" xr:uid="{887C6F3F-AE67-4A51-91A1-5F5A06EF75C5}"/>
    <cellStyle name="Normal 13 5 4 2 2" xfId="12761" xr:uid="{B3CEE05B-7899-4AEA-A423-524852181136}"/>
    <cellStyle name="Normal 13 5 4 2 2 2" xfId="29521" xr:uid="{88C65EB1-AB97-4CD8-A237-62007FD4FA3D}"/>
    <cellStyle name="Normal 13 5 4 2 2 3" xfId="46280" xr:uid="{07E3D0D4-9C8C-46C0-AC23-6A4BDDE1E8A1}"/>
    <cellStyle name="Normal 13 5 4 2 3" xfId="21141" xr:uid="{55FB0443-8677-41F3-B95D-2AFABC17E413}"/>
    <cellStyle name="Normal 13 5 4 2 4" xfId="37900" xr:uid="{517D9A57-0B9B-47C1-82E7-B01735BAAEE0}"/>
    <cellStyle name="Normal 13 5 4 3" xfId="6068" xr:uid="{66EFB68A-F3A5-471F-B3F8-3D2DF6A64F0C}"/>
    <cellStyle name="Normal 13 5 4 3 2" xfId="14448" xr:uid="{74894246-34DE-42EF-B1C8-98CF4CB33822}"/>
    <cellStyle name="Normal 13 5 4 3 2 2" xfId="31208" xr:uid="{EE66CCEB-5055-4A0B-BE62-EFE0E60FD598}"/>
    <cellStyle name="Normal 13 5 4 3 2 3" xfId="47967" xr:uid="{197A988E-05DA-4226-8CDD-67A11EC1A5A0}"/>
    <cellStyle name="Normal 13 5 4 3 3" xfId="22828" xr:uid="{6E49306B-0353-44FD-BC8C-82A644F2FB4D}"/>
    <cellStyle name="Normal 13 5 4 3 4" xfId="39587" xr:uid="{4E4200FD-D527-4341-B40E-89BC74D6E521}"/>
    <cellStyle name="Normal 13 5 4 4" xfId="2804" xr:uid="{1635BCF3-0B76-4641-9EC1-7725478418E5}"/>
    <cellStyle name="Normal 13 5 4 4 2" xfId="11184" xr:uid="{805FB486-36F1-474B-A163-3784D2A517A2}"/>
    <cellStyle name="Normal 13 5 4 4 2 2" xfId="27944" xr:uid="{B53350EA-CA4B-4607-A844-30EAA5E6C9C3}"/>
    <cellStyle name="Normal 13 5 4 4 2 3" xfId="44703" xr:uid="{8638BE66-3AB0-4A68-83EF-9A35228B8124}"/>
    <cellStyle name="Normal 13 5 4 4 3" xfId="19564" xr:uid="{B6E1716E-ABB3-46EA-954D-305EC86512A5}"/>
    <cellStyle name="Normal 13 5 4 4 4" xfId="36323" xr:uid="{6788F742-0752-4522-BAE1-FFF7567E699A}"/>
    <cellStyle name="Normal 13 5 4 5" xfId="9381" xr:uid="{04E7EDEF-4D46-4B6B-B2A0-D3F7D5505AD5}"/>
    <cellStyle name="Normal 13 5 4 5 2" xfId="26141" xr:uid="{F00D713B-5A00-4D91-BA0A-813BE6D040C6}"/>
    <cellStyle name="Normal 13 5 4 5 3" xfId="42900" xr:uid="{DE8FFE07-2BC3-4F3A-86D5-A2EC0A20D5D6}"/>
    <cellStyle name="Normal 13 5 4 6" xfId="17761" xr:uid="{B92124C1-8725-4833-A148-DE49F59C564E}"/>
    <cellStyle name="Normal 13 5 4 7" xfId="34520" xr:uid="{9344644C-5C63-4920-AF8A-56B71FBDCC57}"/>
    <cellStyle name="Normal 13 5 5" xfId="1420" xr:uid="{37B6AB69-BBBF-4B1E-B204-1AA3FD3FB03C}"/>
    <cellStyle name="Normal 13 5 5 2" xfId="4809" xr:uid="{1E8FA6E9-EA0A-4806-864C-C91187C48E69}"/>
    <cellStyle name="Normal 13 5 5 2 2" xfId="13189" xr:uid="{D3538308-2583-416B-BB4C-6F8F8CE1F437}"/>
    <cellStyle name="Normal 13 5 5 2 2 2" xfId="29949" xr:uid="{CBE19DBD-D806-4A03-B187-14FA5E5A5F9F}"/>
    <cellStyle name="Normal 13 5 5 2 2 3" xfId="46708" xr:uid="{33A28AAB-F052-4B78-A7FB-CE244E7504E7}"/>
    <cellStyle name="Normal 13 5 5 2 3" xfId="21569" xr:uid="{8031CC07-B134-43D5-A078-349C8837A774}"/>
    <cellStyle name="Normal 13 5 5 2 4" xfId="38328" xr:uid="{014C5064-3AAC-43C9-A80A-50ED9341B59E}"/>
    <cellStyle name="Normal 13 5 5 3" xfId="6496" xr:uid="{1C6EA7CF-0051-43F7-863A-07D4DA57B368}"/>
    <cellStyle name="Normal 13 5 5 3 2" xfId="14876" xr:uid="{4CB7D591-D76A-406C-B565-95C78BB78050}"/>
    <cellStyle name="Normal 13 5 5 3 2 2" xfId="31636" xr:uid="{2A810EA9-7188-4532-9459-462D6CD9F203}"/>
    <cellStyle name="Normal 13 5 5 3 2 3" xfId="48395" xr:uid="{0229934B-801F-4348-AF78-9725F8D51A3D}"/>
    <cellStyle name="Normal 13 5 5 3 3" xfId="23256" xr:uid="{A6CDFEDF-B7D3-438E-8A9E-CECB04AE7E10}"/>
    <cellStyle name="Normal 13 5 5 3 4" xfId="40015" xr:uid="{7D4B0349-A168-4220-9DFF-BA4C63976490}"/>
    <cellStyle name="Normal 13 5 5 4" xfId="3232" xr:uid="{9AD0CED9-7983-4C25-B328-A3D12CB6A4C8}"/>
    <cellStyle name="Normal 13 5 5 4 2" xfId="11612" xr:uid="{EFF753CF-0AF7-49A3-B5B6-DDFB4C17A224}"/>
    <cellStyle name="Normal 13 5 5 4 2 2" xfId="28372" xr:uid="{365A53B7-B521-4B9D-A064-264C9BED0167}"/>
    <cellStyle name="Normal 13 5 5 4 2 3" xfId="45131" xr:uid="{363977C7-1BBE-451D-8152-96A20148B20D}"/>
    <cellStyle name="Normal 13 5 5 4 3" xfId="19992" xr:uid="{95073EB4-C9EA-4893-9FAF-9879CB42717D}"/>
    <cellStyle name="Normal 13 5 5 4 4" xfId="36751" xr:uid="{83260AC4-99CF-4C49-B653-D444F576F5DD}"/>
    <cellStyle name="Normal 13 5 5 5" xfId="9809" xr:uid="{FA4DC18B-1551-49E8-803F-28301F77A286}"/>
    <cellStyle name="Normal 13 5 5 5 2" xfId="26569" xr:uid="{EF6BE85B-69F2-492E-A049-1F5776595DC2}"/>
    <cellStyle name="Normal 13 5 5 5 3" xfId="43328" xr:uid="{E8A5EFFC-FD37-481F-8A8A-15018E0833B0}"/>
    <cellStyle name="Normal 13 5 5 6" xfId="18189" xr:uid="{9624D753-91FB-484D-8690-FB7D471E9D01}"/>
    <cellStyle name="Normal 13 5 5 7" xfId="34948" xr:uid="{A3263523-85E1-472E-BB63-C34EE5DCDA47}"/>
    <cellStyle name="Normal 13 5 6" xfId="1742" xr:uid="{CC81B86B-628C-493F-AD82-3FF463FB016A}"/>
    <cellStyle name="Normal 13 5 6 2" xfId="5131" xr:uid="{21699CD8-4C3C-4ED1-B42C-2757855329A4}"/>
    <cellStyle name="Normal 13 5 6 2 2" xfId="13511" xr:uid="{E3990C3E-01E2-4EC5-A4B6-103D3F4EC412}"/>
    <cellStyle name="Normal 13 5 6 2 2 2" xfId="30271" xr:uid="{DCE1D31E-D617-473F-AFB0-CC52C16D24B6}"/>
    <cellStyle name="Normal 13 5 6 2 2 3" xfId="47030" xr:uid="{4A4EC9BB-7B01-438A-BC3B-72DD59F2BBAA}"/>
    <cellStyle name="Normal 13 5 6 2 3" xfId="21891" xr:uid="{1FF47B7F-56FE-49EA-8B04-C2291F4F9122}"/>
    <cellStyle name="Normal 13 5 6 2 4" xfId="38650" xr:uid="{103FF9C4-F646-4E71-A4AB-D13B68D6303C}"/>
    <cellStyle name="Normal 13 5 6 3" xfId="6818" xr:uid="{38D37C55-E2C4-4E42-A88D-83A1212EE5B5}"/>
    <cellStyle name="Normal 13 5 6 3 2" xfId="15198" xr:uid="{FCF4B239-0C9A-4B37-917A-FDDA0AAB3EE4}"/>
    <cellStyle name="Normal 13 5 6 3 2 2" xfId="31958" xr:uid="{D67FA25B-D259-403B-89D6-96405F5F6AF8}"/>
    <cellStyle name="Normal 13 5 6 3 2 3" xfId="48717" xr:uid="{3F3AD088-3F41-4CF2-93BD-57A18A45AF81}"/>
    <cellStyle name="Normal 13 5 6 3 3" xfId="23578" xr:uid="{383AA7B3-FBA6-43FA-BBB6-9D978931BFD7}"/>
    <cellStyle name="Normal 13 5 6 3 4" xfId="40337" xr:uid="{DB54587C-8EB6-45F8-A2E2-C230110ECB21}"/>
    <cellStyle name="Normal 13 5 6 4" xfId="2376" xr:uid="{A0E05B05-1F97-47AF-B248-06919479104C}"/>
    <cellStyle name="Normal 13 5 6 4 2" xfId="10758" xr:uid="{CA460619-9876-4FAF-BCD6-877ED13F14A2}"/>
    <cellStyle name="Normal 13 5 6 4 2 2" xfId="27518" xr:uid="{70B9C85D-DEE4-4DBF-B501-C7A80437A54E}"/>
    <cellStyle name="Normal 13 5 6 4 2 3" xfId="44277" xr:uid="{8143BF54-7BD6-43BD-95FF-D34C225385C7}"/>
    <cellStyle name="Normal 13 5 6 4 3" xfId="19138" xr:uid="{072BFAB4-3767-43CF-AC0A-F778E59033DF}"/>
    <cellStyle name="Normal 13 5 6 4 4" xfId="35897" xr:uid="{F44AF3FE-034E-4244-963E-9650CCACA1E3}"/>
    <cellStyle name="Normal 13 5 6 5" xfId="10131" xr:uid="{1AE2F3C9-2579-48DE-9931-D4C1274943CE}"/>
    <cellStyle name="Normal 13 5 6 5 2" xfId="26891" xr:uid="{2D850542-D541-4A90-8725-8EABFFD72CB9}"/>
    <cellStyle name="Normal 13 5 6 5 3" xfId="43650" xr:uid="{02C742A7-2077-4421-A6F5-F2889D20AEE2}"/>
    <cellStyle name="Normal 13 5 6 6" xfId="18511" xr:uid="{36175FEC-D9DB-4EE0-BB92-A0AFFC43A289}"/>
    <cellStyle name="Normal 13 5 6 7" xfId="35270" xr:uid="{18B3785A-1386-4F5E-A337-B037ACD0686B}"/>
    <cellStyle name="Normal 13 5 7" xfId="3861" xr:uid="{F33EB6FC-F01A-4AC4-812C-72DF91786E50}"/>
    <cellStyle name="Normal 13 5 7 2" xfId="12241" xr:uid="{C2F3628C-597E-4AD7-97D1-29C2DA38EAD6}"/>
    <cellStyle name="Normal 13 5 7 2 2" xfId="29001" xr:uid="{D1F5CE73-6952-462D-8A6A-4C46F8506F60}"/>
    <cellStyle name="Normal 13 5 7 2 3" xfId="45760" xr:uid="{C1362319-B178-432B-B162-47DC5BCAAB2F}"/>
    <cellStyle name="Normal 13 5 7 3" xfId="20621" xr:uid="{7F8A516A-B0C5-4CE7-9580-C0E5DE07A37A}"/>
    <cellStyle name="Normal 13 5 7 4" xfId="37380" xr:uid="{77CD832B-E8EE-4ED8-AD0C-7FEB42557F5D}"/>
    <cellStyle name="Normal 13 5 8" xfId="5642" xr:uid="{DFC5AC77-16CF-40CF-8328-35C407E4C227}"/>
    <cellStyle name="Normal 13 5 8 2" xfId="14022" xr:uid="{5832B739-B7EC-4A7E-989E-E24330A2FBD6}"/>
    <cellStyle name="Normal 13 5 8 2 2" xfId="30782" xr:uid="{C66A130D-EF32-416E-A79F-27B0F23E6E1E}"/>
    <cellStyle name="Normal 13 5 8 2 3" xfId="47541" xr:uid="{A7CF2E3B-0ACF-4D9B-9AC7-99C83E36965C}"/>
    <cellStyle name="Normal 13 5 8 3" xfId="22402" xr:uid="{7BA3B8FA-955A-4CF7-A02C-B0D9C0B571E9}"/>
    <cellStyle name="Normal 13 5 8 4" xfId="39161" xr:uid="{BA6ECFCD-EC58-4FB0-982E-D71083593900}"/>
    <cellStyle name="Normal 13 5 9" xfId="7224" xr:uid="{EC458B68-C221-498A-B453-94BE0CC818FF}"/>
    <cellStyle name="Normal 13 5 9 2" xfId="15604" xr:uid="{BEFDEB4D-C86F-416A-A06C-303FA01EC7AD}"/>
    <cellStyle name="Normal 13 5 9 2 2" xfId="32364" xr:uid="{44D8432B-4341-4E94-AB42-393C7528F728}"/>
    <cellStyle name="Normal 13 5 9 2 3" xfId="49123" xr:uid="{FDE17C4E-8414-4F5E-B726-5CAB29091C15}"/>
    <cellStyle name="Normal 13 5 9 3" xfId="23984" xr:uid="{9F036BA9-883A-4084-AF13-1FB2C9750ACD}"/>
    <cellStyle name="Normal 13 5 9 4" xfId="40743" xr:uid="{23140C83-F98C-43D8-A6C5-3A5241558D47}"/>
    <cellStyle name="Normal 13 6" xfId="547" xr:uid="{8671E647-85FD-4E7E-A21D-9E849C5465E2}"/>
    <cellStyle name="Normal 13 6 10" xfId="8497" xr:uid="{BB466D83-28A0-41DC-ADD0-7434CED81096}"/>
    <cellStyle name="Normal 13 6 10 2" xfId="16877" xr:uid="{354F21E8-CC12-45FC-92AB-0A6F1A2D3677}"/>
    <cellStyle name="Normal 13 6 10 2 2" xfId="33637" xr:uid="{A3D8BC1C-AF43-4D8A-AEC7-5B1680B60FA4}"/>
    <cellStyle name="Normal 13 6 10 2 3" xfId="50396" xr:uid="{72CBC9EB-D54D-477B-8C99-F8C3D7C720DB}"/>
    <cellStyle name="Normal 13 6 10 3" xfId="25257" xr:uid="{2B014330-FFC4-472C-A6AA-54B24284938B}"/>
    <cellStyle name="Normal 13 6 10 4" xfId="42016" xr:uid="{022C4026-E83B-4879-8657-60E4F4DF51C9}"/>
    <cellStyle name="Normal 13 6 11" xfId="2379" xr:uid="{BB278EBE-203F-490D-811C-6DA7C5BCCA6E}"/>
    <cellStyle name="Normal 13 6 11 2" xfId="10761" xr:uid="{13EB74EB-FF87-44A3-9BB1-A14DD375F3F4}"/>
    <cellStyle name="Normal 13 6 11 2 2" xfId="27521" xr:uid="{A9A0BA4A-381F-43E2-91EC-1783440EA9C9}"/>
    <cellStyle name="Normal 13 6 11 2 3" xfId="44280" xr:uid="{D1BC9495-B541-416F-A3F2-0012678E7B9B}"/>
    <cellStyle name="Normal 13 6 11 3" xfId="19141" xr:uid="{D32F9757-3B07-4C82-9E8A-7B2BEEEBC6B8}"/>
    <cellStyle name="Normal 13 6 11 4" xfId="35900" xr:uid="{C3994731-171E-42D9-B5A2-C79DE49BF11B}"/>
    <cellStyle name="Normal 13 6 12" xfId="8958" xr:uid="{83D3FAA3-3447-41DA-B18A-5166E014B899}"/>
    <cellStyle name="Normal 13 6 12 2" xfId="25718" xr:uid="{ADC6BB9F-2321-4391-8D6E-F6B795B9A5DE}"/>
    <cellStyle name="Normal 13 6 12 3" xfId="42477" xr:uid="{4B4BF2EA-1789-4337-BAAB-296A6A639E71}"/>
    <cellStyle name="Normal 13 6 13" xfId="17338" xr:uid="{FCF913D1-F4FF-4BC5-9261-E4C1E4613FBF}"/>
    <cellStyle name="Normal 13 6 14" xfId="34097" xr:uid="{6CC67E6A-DC32-418E-B25B-A96AFCE086AE}"/>
    <cellStyle name="Normal 13 6 2" xfId="989" xr:uid="{8AC441E4-ECFF-4023-8F88-514685520B18}"/>
    <cellStyle name="Normal 13 6 2 2" xfId="4384" xr:uid="{F8605B9B-441D-484F-B594-7108CD1341B4}"/>
    <cellStyle name="Normal 13 6 2 2 2" xfId="12764" xr:uid="{52F0CA7B-6567-4C98-8402-5B6E0AB1D853}"/>
    <cellStyle name="Normal 13 6 2 2 2 2" xfId="29524" xr:uid="{EEDF65FF-B067-4705-9CC4-B6E27AA5B87C}"/>
    <cellStyle name="Normal 13 6 2 2 2 3" xfId="46283" xr:uid="{21310DC8-A4EE-4050-812F-F8530AC343BC}"/>
    <cellStyle name="Normal 13 6 2 2 3" xfId="21144" xr:uid="{F4579027-79C6-4292-A4D3-3B813F97EE8E}"/>
    <cellStyle name="Normal 13 6 2 2 4" xfId="37903" xr:uid="{8F857C01-82EA-4E89-B3DA-03435DD2C04F}"/>
    <cellStyle name="Normal 13 6 2 3" xfId="6071" xr:uid="{3466171D-FB6D-47FA-BDD2-E27E9EF47699}"/>
    <cellStyle name="Normal 13 6 2 3 2" xfId="14451" xr:uid="{2D079F5E-0842-4F12-909E-0309FA12EFAB}"/>
    <cellStyle name="Normal 13 6 2 3 2 2" xfId="31211" xr:uid="{2D33CD22-D0DA-42E3-AEF9-5BA82D0CBE61}"/>
    <cellStyle name="Normal 13 6 2 3 2 3" xfId="47970" xr:uid="{7228E553-A7C5-4739-8083-8640694C68C9}"/>
    <cellStyle name="Normal 13 6 2 3 3" xfId="22831" xr:uid="{0B88769E-423E-4F3D-BD65-7367E1FB4421}"/>
    <cellStyle name="Normal 13 6 2 3 4" xfId="39590" xr:uid="{0BE4DBEB-5F9C-4D1A-9695-EFDE146C357A}"/>
    <cellStyle name="Normal 13 6 2 4" xfId="2807" xr:uid="{AFBB21E3-85CB-48E5-82D2-ACC39932C0D2}"/>
    <cellStyle name="Normal 13 6 2 4 2" xfId="11187" xr:uid="{53491AC1-2EDA-4BED-97EE-D6F4D3156900}"/>
    <cellStyle name="Normal 13 6 2 4 2 2" xfId="27947" xr:uid="{A0F6654C-FB9C-4AF9-80C6-051B03F3956C}"/>
    <cellStyle name="Normal 13 6 2 4 2 3" xfId="44706" xr:uid="{D216FC23-5957-4D86-9BD6-902F5F2E5C9A}"/>
    <cellStyle name="Normal 13 6 2 4 3" xfId="19567" xr:uid="{3F9EC88F-E00D-48CB-B019-3A788FCD298D}"/>
    <cellStyle name="Normal 13 6 2 4 4" xfId="36326" xr:uid="{CB975B41-04B8-420A-BCD9-8FB11F1877F9}"/>
    <cellStyle name="Normal 13 6 2 5" xfId="9384" xr:uid="{F86C4FA7-5D07-4EED-97AA-8587568F7CC8}"/>
    <cellStyle name="Normal 13 6 2 5 2" xfId="26144" xr:uid="{87F60B1B-5384-4CDB-A1B2-715E5B82D742}"/>
    <cellStyle name="Normal 13 6 2 5 3" xfId="42903" xr:uid="{E3180FDE-3111-433B-B3AE-97C6E0F06776}"/>
    <cellStyle name="Normal 13 6 2 6" xfId="17764" xr:uid="{2FEFD479-5182-4593-829E-180FFE427463}"/>
    <cellStyle name="Normal 13 6 2 7" xfId="34523" xr:uid="{86876AB5-A4B7-4E97-9A7E-22E0A0C2D651}"/>
    <cellStyle name="Normal 13 6 3" xfId="1423" xr:uid="{43CE082F-49EA-4D1B-8466-6461FDC5969F}"/>
    <cellStyle name="Normal 13 6 3 2" xfId="4812" xr:uid="{FBC3A8D3-74BF-49B9-8C68-DED6BCA6828D}"/>
    <cellStyle name="Normal 13 6 3 2 2" xfId="13192" xr:uid="{B9969E96-0BE7-4CFF-A2BA-54DBBDB5C1FD}"/>
    <cellStyle name="Normal 13 6 3 2 2 2" xfId="29952" xr:uid="{0F37E0E2-7D45-4A5E-B1B6-78B583BF90C2}"/>
    <cellStyle name="Normal 13 6 3 2 2 3" xfId="46711" xr:uid="{67DCC734-5426-4E38-B37B-4809C946AE4B}"/>
    <cellStyle name="Normal 13 6 3 2 3" xfId="21572" xr:uid="{BEF7B117-2BDB-4521-9716-F7004D8CF8E3}"/>
    <cellStyle name="Normal 13 6 3 2 4" xfId="38331" xr:uid="{4B9D5357-D571-4742-947E-C2E55993342C}"/>
    <cellStyle name="Normal 13 6 3 3" xfId="6499" xr:uid="{07CCD1D2-C2B7-49E9-BEE6-AEF2F33A25D9}"/>
    <cellStyle name="Normal 13 6 3 3 2" xfId="14879" xr:uid="{1448660A-948D-4B86-8545-97D1BD0689C3}"/>
    <cellStyle name="Normal 13 6 3 3 2 2" xfId="31639" xr:uid="{D3727ED7-3DE7-4460-82C4-8669AEBF4E6D}"/>
    <cellStyle name="Normal 13 6 3 3 2 3" xfId="48398" xr:uid="{9AA56080-0156-4D77-9DF9-F608303F70F0}"/>
    <cellStyle name="Normal 13 6 3 3 3" xfId="23259" xr:uid="{489CBE80-F076-42F3-9D34-01B0EDD09A74}"/>
    <cellStyle name="Normal 13 6 3 3 4" xfId="40018" xr:uid="{F6A08AE9-563B-4327-88F6-CA97A34A4CB4}"/>
    <cellStyle name="Normal 13 6 3 4" xfId="3235" xr:uid="{E1CF87AD-B825-456F-9D7D-0584735952F5}"/>
    <cellStyle name="Normal 13 6 3 4 2" xfId="11615" xr:uid="{03CE132B-6DDE-46DC-9461-06A19FCA6001}"/>
    <cellStyle name="Normal 13 6 3 4 2 2" xfId="28375" xr:uid="{888B7BC0-D8D3-421F-BF7B-97D4BA397EF6}"/>
    <cellStyle name="Normal 13 6 3 4 2 3" xfId="45134" xr:uid="{63A23BC8-F6B4-497A-B799-787949DF60F9}"/>
    <cellStyle name="Normal 13 6 3 4 3" xfId="19995" xr:uid="{D6C3A049-219D-4D53-BA73-EF03FCC3A1D3}"/>
    <cellStyle name="Normal 13 6 3 4 4" xfId="36754" xr:uid="{D2A0C8A8-F528-4149-802A-693917E97C79}"/>
    <cellStyle name="Normal 13 6 3 5" xfId="9812" xr:uid="{70611E52-046F-4529-B858-067051774630}"/>
    <cellStyle name="Normal 13 6 3 5 2" xfId="26572" xr:uid="{62CD88DF-E8AF-489E-9169-B91A2D23992A}"/>
    <cellStyle name="Normal 13 6 3 5 3" xfId="43331" xr:uid="{73F2B6A7-9BCA-4F68-A676-06ADF734F773}"/>
    <cellStyle name="Normal 13 6 3 6" xfId="18192" xr:uid="{67912901-D9D8-40BD-9A7A-907E3B17D2BE}"/>
    <cellStyle name="Normal 13 6 3 7" xfId="34951" xr:uid="{4125526C-981B-45E8-80F7-D3CB250E2D03}"/>
    <cellStyle name="Normal 13 6 4" xfId="1797" xr:uid="{61423558-62EB-4E20-8CA1-884F080AD4B0}"/>
    <cellStyle name="Normal 13 6 4 2" xfId="5186" xr:uid="{82120991-5FC7-4E46-8B07-E0B200FE16F7}"/>
    <cellStyle name="Normal 13 6 4 2 2" xfId="13566" xr:uid="{46C0A7DF-F4E4-4D5C-9382-CFE04D3FD854}"/>
    <cellStyle name="Normal 13 6 4 2 2 2" xfId="30326" xr:uid="{6A2B01FA-AB7A-4E78-8EBA-03B1C9BA551A}"/>
    <cellStyle name="Normal 13 6 4 2 2 3" xfId="47085" xr:uid="{60EC3370-E881-4BAF-B30E-018AA2A58C92}"/>
    <cellStyle name="Normal 13 6 4 2 3" xfId="21946" xr:uid="{58FD530B-2B6F-46CE-88FF-F830E84706D3}"/>
    <cellStyle name="Normal 13 6 4 2 4" xfId="38705" xr:uid="{02121D88-E4AB-4F37-A269-6B9DDFFA9D91}"/>
    <cellStyle name="Normal 13 6 4 3" xfId="6873" xr:uid="{8EB99EFB-E8BF-48E5-9F8B-8D18C3BA2FF8}"/>
    <cellStyle name="Normal 13 6 4 3 2" xfId="15253" xr:uid="{435F6177-5074-456B-8B7E-0BBF779424AA}"/>
    <cellStyle name="Normal 13 6 4 3 2 2" xfId="32013" xr:uid="{EDA289F2-944A-4553-A8FE-C229C1922CB6}"/>
    <cellStyle name="Normal 13 6 4 3 2 3" xfId="48772" xr:uid="{ECF4CAA4-5128-4F00-B52E-E0B068BD2EB4}"/>
    <cellStyle name="Normal 13 6 4 3 3" xfId="23633" xr:uid="{48C44BC0-6B75-4F73-9331-2D28D4CCF6C1}"/>
    <cellStyle name="Normal 13 6 4 3 4" xfId="40392" xr:uid="{FBA2F188-1FFF-4D0E-B369-856F2540F557}"/>
    <cellStyle name="Normal 13 6 4 4" xfId="3497" xr:uid="{3A462D21-7E86-4256-AFD5-13D66C818A33}"/>
    <cellStyle name="Normal 13 6 4 4 2" xfId="11877" xr:uid="{92189697-B89D-4702-8677-42584BD9BA44}"/>
    <cellStyle name="Normal 13 6 4 4 2 2" xfId="28637" xr:uid="{16370C41-2C18-4B14-8093-009BB3447AA2}"/>
    <cellStyle name="Normal 13 6 4 4 2 3" xfId="45396" xr:uid="{CBF4B379-F85C-47F2-A27D-074F91DC738B}"/>
    <cellStyle name="Normal 13 6 4 4 3" xfId="20257" xr:uid="{5F0C8442-AAA4-4FA0-98BD-C99FE01C249F}"/>
    <cellStyle name="Normal 13 6 4 4 4" xfId="37016" xr:uid="{AD5A641A-1108-4463-9F06-E3220BDC72A0}"/>
    <cellStyle name="Normal 13 6 4 5" xfId="10186" xr:uid="{D5B8DE44-DCCB-4429-88D0-D5A276A5AFE5}"/>
    <cellStyle name="Normal 13 6 4 5 2" xfId="26946" xr:uid="{15D8E9B4-DAD2-4A33-9E6F-49C240C05FCE}"/>
    <cellStyle name="Normal 13 6 4 5 3" xfId="43705" xr:uid="{467ECB44-F205-423E-842E-7AB43C4C8277}"/>
    <cellStyle name="Normal 13 6 4 6" xfId="18566" xr:uid="{3C991856-4BE0-4244-B13C-BF4A358B53F5}"/>
    <cellStyle name="Normal 13 6 4 7" xfId="35325" xr:uid="{37A13E78-0D22-4539-AEF9-F8BCA354A45A}"/>
    <cellStyle name="Normal 13 6 5" xfId="3916" xr:uid="{C903266F-61AF-4267-9B58-5206C6468FC8}"/>
    <cellStyle name="Normal 13 6 5 2" xfId="12296" xr:uid="{F563808E-8D61-4115-BDDB-897E2D199684}"/>
    <cellStyle name="Normal 13 6 5 2 2" xfId="29056" xr:uid="{D500198D-1436-4214-ACA2-CA48BA937AA9}"/>
    <cellStyle name="Normal 13 6 5 2 3" xfId="45815" xr:uid="{FEBB1F3B-4DB0-423F-B6AA-D5230C9A2EB4}"/>
    <cellStyle name="Normal 13 6 5 3" xfId="20676" xr:uid="{8825906A-88AF-40CD-888A-8E5E432D4E16}"/>
    <cellStyle name="Normal 13 6 5 4" xfId="37435" xr:uid="{F81BA0F8-61E1-4030-A874-3588BD9FE98D}"/>
    <cellStyle name="Normal 13 6 6" xfId="5645" xr:uid="{68494C5C-7984-444C-B534-1C8B3E6AF7D0}"/>
    <cellStyle name="Normal 13 6 6 2" xfId="14025" xr:uid="{182C237B-C863-4953-A114-C29F042EF56E}"/>
    <cellStyle name="Normal 13 6 6 2 2" xfId="30785" xr:uid="{29EA417C-B6FD-42E7-9A10-7C7635537800}"/>
    <cellStyle name="Normal 13 6 6 2 3" xfId="47544" xr:uid="{27CEE580-A4D6-41FF-9065-98F591EE432F}"/>
    <cellStyle name="Normal 13 6 6 3" xfId="22405" xr:uid="{CD8CD12F-17DF-4E6A-9B44-DC5F9FD771B1}"/>
    <cellStyle name="Normal 13 6 6 4" xfId="39164" xr:uid="{90CFCAF4-4AF3-48C7-90E1-E1300F38F543}"/>
    <cellStyle name="Normal 13 6 7" xfId="7279" xr:uid="{50B6FEE1-1E84-4D8B-B2D1-C3D04E63522D}"/>
    <cellStyle name="Normal 13 6 7 2" xfId="15659" xr:uid="{49746798-65B0-4848-9564-0DF1EC80FD11}"/>
    <cellStyle name="Normal 13 6 7 2 2" xfId="32419" xr:uid="{635C1F99-5873-4DED-AC70-DBA4293DACCF}"/>
    <cellStyle name="Normal 13 6 7 2 3" xfId="49178" xr:uid="{67F1D15F-61FB-4598-B966-5F0D4FD33C95}"/>
    <cellStyle name="Normal 13 6 7 3" xfId="24039" xr:uid="{BCC6D049-F2AF-4A59-B285-2ABA8E5B4F05}"/>
    <cellStyle name="Normal 13 6 7 4" xfId="40798" xr:uid="{F83D46BC-8E46-48D9-B1C3-7D9A2BF3719D}"/>
    <cellStyle name="Normal 13 6 8" xfId="7685" xr:uid="{E7CAE845-BA9C-4241-ACD4-9836D7C0C81B}"/>
    <cellStyle name="Normal 13 6 8 2" xfId="16065" xr:uid="{7AB9FBE4-A861-4D56-86A1-13CAF9FE83A0}"/>
    <cellStyle name="Normal 13 6 8 2 2" xfId="32825" xr:uid="{88DDE38F-C2DC-4080-9BFD-230FA73BB8D7}"/>
    <cellStyle name="Normal 13 6 8 2 3" xfId="49584" xr:uid="{54B2F075-D553-4E39-8669-E7E389F7009B}"/>
    <cellStyle name="Normal 13 6 8 3" xfId="24445" xr:uid="{9DD50725-5A57-45BD-A188-ACC7EEAA2C99}"/>
    <cellStyle name="Normal 13 6 8 4" xfId="41204" xr:uid="{FD1F90B4-A128-423A-8071-7415D6BB1B58}"/>
    <cellStyle name="Normal 13 6 9" xfId="8091" xr:uid="{9A52B784-9EC1-4BA0-A64F-C6B946CC6BB7}"/>
    <cellStyle name="Normal 13 6 9 2" xfId="16471" xr:uid="{1B75058A-5108-43F0-A3AC-7EA5E040FC56}"/>
    <cellStyle name="Normal 13 6 9 2 2" xfId="33231" xr:uid="{D26ABACC-7CF8-47E8-BA3D-E8A57CC9C548}"/>
    <cellStyle name="Normal 13 6 9 2 3" xfId="49990" xr:uid="{D94F03D6-133B-4CE9-A8AE-A4992C409332}"/>
    <cellStyle name="Normal 13 6 9 3" xfId="24851" xr:uid="{48B81CF7-C779-469C-AF1D-BDE051191A68}"/>
    <cellStyle name="Normal 13 6 9 4" xfId="41610" xr:uid="{3381CCCC-FEB4-4D91-A665-81CEF3CB4A3A}"/>
    <cellStyle name="Normal 13 7" xfId="548" xr:uid="{931DACE7-DAE5-4DB7-A9AE-098316EA44BA}"/>
    <cellStyle name="Normal 13 7 10" xfId="8604" xr:uid="{0F4CA02A-57F6-4339-809A-33524856B526}"/>
    <cellStyle name="Normal 13 7 10 2" xfId="16984" xr:uid="{179A055C-7E30-412D-A9A2-6A17BA0BF858}"/>
    <cellStyle name="Normal 13 7 10 2 2" xfId="33744" xr:uid="{E18A15AB-01BE-466C-A70A-43F90CAE7236}"/>
    <cellStyle name="Normal 13 7 10 2 3" xfId="50503" xr:uid="{BBE89559-6737-40DC-858F-437CC046DA7C}"/>
    <cellStyle name="Normal 13 7 10 3" xfId="25364" xr:uid="{7E580E65-7267-4B8E-A95D-013097D20FB7}"/>
    <cellStyle name="Normal 13 7 10 4" xfId="42123" xr:uid="{FF36914B-087E-4FD6-86F1-45426EC926FE}"/>
    <cellStyle name="Normal 13 7 11" xfId="2380" xr:uid="{C8344C87-962A-43CE-8606-4E5463813738}"/>
    <cellStyle name="Normal 13 7 11 2" xfId="10762" xr:uid="{AAD5CED5-4486-4B03-9880-A530047330BB}"/>
    <cellStyle name="Normal 13 7 11 2 2" xfId="27522" xr:uid="{758BC08B-8FA9-4FBB-A269-5A4E05A46BD4}"/>
    <cellStyle name="Normal 13 7 11 2 3" xfId="44281" xr:uid="{B730F5C4-BF4A-47BC-AA9C-37D4FCD3401A}"/>
    <cellStyle name="Normal 13 7 11 3" xfId="19142" xr:uid="{2A57639A-D3B0-4E23-AFE4-CD43CBA4575B}"/>
    <cellStyle name="Normal 13 7 11 4" xfId="35901" xr:uid="{0D41F16F-4364-4A67-B390-39D74BD4DD69}"/>
    <cellStyle name="Normal 13 7 12" xfId="8959" xr:uid="{B6903DAA-AAB5-4CC7-BFE1-75F6A409243D}"/>
    <cellStyle name="Normal 13 7 12 2" xfId="25719" xr:uid="{A9A419F3-0E18-4A26-84CE-4B41BBE42281}"/>
    <cellStyle name="Normal 13 7 12 3" xfId="42478" xr:uid="{D113A607-80B8-4B60-A4F7-20263EAAE86D}"/>
    <cellStyle name="Normal 13 7 13" xfId="17339" xr:uid="{75A0E3F8-4B08-47F2-8F99-1D13A6416A53}"/>
    <cellStyle name="Normal 13 7 14" xfId="34098" xr:uid="{2D2349E6-F2CD-4873-BBA2-D51C44486C04}"/>
    <cellStyle name="Normal 13 7 2" xfId="990" xr:uid="{D3B75DBC-2179-4D45-B7C8-C07C0E09639A}"/>
    <cellStyle name="Normal 13 7 2 2" xfId="4385" xr:uid="{A283EFEC-7CD0-4E80-BA1E-B8FA07678320}"/>
    <cellStyle name="Normal 13 7 2 2 2" xfId="12765" xr:uid="{FDF9CDD9-1334-4782-A7E8-7DD3A0C380F6}"/>
    <cellStyle name="Normal 13 7 2 2 2 2" xfId="29525" xr:uid="{3D8A2190-92FB-4769-8A15-C297AE25CA32}"/>
    <cellStyle name="Normal 13 7 2 2 2 3" xfId="46284" xr:uid="{E1F2D89D-0638-436D-AD94-86CBEA3DFF2E}"/>
    <cellStyle name="Normal 13 7 2 2 3" xfId="21145" xr:uid="{E32B9151-0595-463B-B896-40B789096F39}"/>
    <cellStyle name="Normal 13 7 2 2 4" xfId="37904" xr:uid="{9AB8521A-29F5-42B4-9A8C-C838D526BE63}"/>
    <cellStyle name="Normal 13 7 2 3" xfId="6072" xr:uid="{897FDCE9-4F0F-481E-9DC0-9EEC2D50AAE6}"/>
    <cellStyle name="Normal 13 7 2 3 2" xfId="14452" xr:uid="{B41CA478-AA52-4482-AE02-98ECEE5E3817}"/>
    <cellStyle name="Normal 13 7 2 3 2 2" xfId="31212" xr:uid="{47263044-83B2-4844-9080-4BE01C448406}"/>
    <cellStyle name="Normal 13 7 2 3 2 3" xfId="47971" xr:uid="{9A86D7E1-863C-43FC-8569-B7F0D2BA9902}"/>
    <cellStyle name="Normal 13 7 2 3 3" xfId="22832" xr:uid="{6E2BF245-781D-41D5-AEEF-4720F56726D9}"/>
    <cellStyle name="Normal 13 7 2 3 4" xfId="39591" xr:uid="{C9B58D5F-92E1-4B44-983A-46CDA3C5B292}"/>
    <cellStyle name="Normal 13 7 2 4" xfId="2808" xr:uid="{A7E4240F-E470-4ACE-86CA-0F2E5D981A25}"/>
    <cellStyle name="Normal 13 7 2 4 2" xfId="11188" xr:uid="{0B6D7585-0821-48A2-99E9-9EFED22024D8}"/>
    <cellStyle name="Normal 13 7 2 4 2 2" xfId="27948" xr:uid="{9DFB4FB6-981A-4253-B314-F054D03818DF}"/>
    <cellStyle name="Normal 13 7 2 4 2 3" xfId="44707" xr:uid="{F28452B3-989C-4004-B8CB-E05DC8CBC4D6}"/>
    <cellStyle name="Normal 13 7 2 4 3" xfId="19568" xr:uid="{05DA557E-B45E-48FD-BA09-05A3741E1327}"/>
    <cellStyle name="Normal 13 7 2 4 4" xfId="36327" xr:uid="{B45544AF-709F-4EA3-900A-9AB3B749F57F}"/>
    <cellStyle name="Normal 13 7 2 5" xfId="9385" xr:uid="{217247AE-D4AF-42D5-A215-A45BAD119C98}"/>
    <cellStyle name="Normal 13 7 2 5 2" xfId="26145" xr:uid="{FB2B9FA3-C096-42BD-B50F-28B7D5EF1BC4}"/>
    <cellStyle name="Normal 13 7 2 5 3" xfId="42904" xr:uid="{986F08DE-1413-4196-8F88-EDB4BAC625B5}"/>
    <cellStyle name="Normal 13 7 2 6" xfId="17765" xr:uid="{7546FB1A-62F8-4461-9461-C8CF68A18FBF}"/>
    <cellStyle name="Normal 13 7 2 7" xfId="34524" xr:uid="{0E48D586-26C9-4B81-914D-D386969526C1}"/>
    <cellStyle name="Normal 13 7 3" xfId="1424" xr:uid="{06AC16F1-96DE-49DF-9F4C-DD560384279D}"/>
    <cellStyle name="Normal 13 7 3 2" xfId="4813" xr:uid="{6803714A-5294-4BFE-84D6-79846ECC5BA0}"/>
    <cellStyle name="Normal 13 7 3 2 2" xfId="13193" xr:uid="{D4D0B96E-1565-4AD9-93B0-8C671CB11141}"/>
    <cellStyle name="Normal 13 7 3 2 2 2" xfId="29953" xr:uid="{4AF840B3-1855-478C-A96A-35642D6DCB75}"/>
    <cellStyle name="Normal 13 7 3 2 2 3" xfId="46712" xr:uid="{813B958F-7BC5-42BC-9A31-DDF25C88F485}"/>
    <cellStyle name="Normal 13 7 3 2 3" xfId="21573" xr:uid="{DEE86E1E-63E7-422E-BAAD-C037E99133E2}"/>
    <cellStyle name="Normal 13 7 3 2 4" xfId="38332" xr:uid="{DC60EFE0-F80F-46BA-B6B6-0ECBAC572C98}"/>
    <cellStyle name="Normal 13 7 3 3" xfId="6500" xr:uid="{DEA7248C-859C-4632-86E1-A1C360937759}"/>
    <cellStyle name="Normal 13 7 3 3 2" xfId="14880" xr:uid="{0D9A4DD9-CCCD-4ECB-AC1F-1CBCB7CB883A}"/>
    <cellStyle name="Normal 13 7 3 3 2 2" xfId="31640" xr:uid="{1B123AC6-5C68-4AA0-9C57-FE5D849A214B}"/>
    <cellStyle name="Normal 13 7 3 3 2 3" xfId="48399" xr:uid="{216D3525-17A8-49F9-9E74-6FD9068C0749}"/>
    <cellStyle name="Normal 13 7 3 3 3" xfId="23260" xr:uid="{4319B77B-EB67-4327-8902-11CC88B7E7BF}"/>
    <cellStyle name="Normal 13 7 3 3 4" xfId="40019" xr:uid="{85FFA503-F374-4E52-8830-4A2C241DC4B4}"/>
    <cellStyle name="Normal 13 7 3 4" xfId="3236" xr:uid="{036453DB-182B-4081-9833-8139B6579F2A}"/>
    <cellStyle name="Normal 13 7 3 4 2" xfId="11616" xr:uid="{8E2879B8-E44C-4F66-B79B-559F13FB1942}"/>
    <cellStyle name="Normal 13 7 3 4 2 2" xfId="28376" xr:uid="{07D78308-E9A0-404B-8704-D6DE64807602}"/>
    <cellStyle name="Normal 13 7 3 4 2 3" xfId="45135" xr:uid="{344166B4-32AD-492E-AE13-6167CED6A785}"/>
    <cellStyle name="Normal 13 7 3 4 3" xfId="19996" xr:uid="{DFE4A288-2F41-4EB9-AA24-1B217B25F904}"/>
    <cellStyle name="Normal 13 7 3 4 4" xfId="36755" xr:uid="{F2A2D65D-DB44-41C3-96C2-87A300889C16}"/>
    <cellStyle name="Normal 13 7 3 5" xfId="9813" xr:uid="{79A5A7CB-9230-45B4-9832-3A1F22F6A0C7}"/>
    <cellStyle name="Normal 13 7 3 5 2" xfId="26573" xr:uid="{093B2A4F-9E0B-4AFA-AAD9-79516E7E7003}"/>
    <cellStyle name="Normal 13 7 3 5 3" xfId="43332" xr:uid="{349B6F0C-8999-4CD5-AF57-AB37B58F50F6}"/>
    <cellStyle name="Normal 13 7 3 6" xfId="18193" xr:uid="{3A7C7658-ED43-4955-B5B0-4D34A3310A6E}"/>
    <cellStyle name="Normal 13 7 3 7" xfId="34952" xr:uid="{DC2B8E13-3229-4987-BDF3-C2EF1A5DB7A6}"/>
    <cellStyle name="Normal 13 7 4" xfId="1904" xr:uid="{E2D2B3E7-F947-4609-84C9-113D67D32CDF}"/>
    <cellStyle name="Normal 13 7 4 2" xfId="5293" xr:uid="{E0DBBEED-B008-41AD-A238-F44AAFB4C901}"/>
    <cellStyle name="Normal 13 7 4 2 2" xfId="13673" xr:uid="{05E98A3D-5FF9-4271-B9E3-D34838724EED}"/>
    <cellStyle name="Normal 13 7 4 2 2 2" xfId="30433" xr:uid="{8ECCC73F-9785-44BF-82AF-73B40D5C3CDC}"/>
    <cellStyle name="Normal 13 7 4 2 2 3" xfId="47192" xr:uid="{78952DF1-9AD8-4D67-B2C6-24B2AC70281E}"/>
    <cellStyle name="Normal 13 7 4 2 3" xfId="22053" xr:uid="{2C23F96E-FC63-42EB-9ED1-A02DC6863B3A}"/>
    <cellStyle name="Normal 13 7 4 2 4" xfId="38812" xr:uid="{5BB344CC-5F80-4F90-B78A-5B7D4670E6FD}"/>
    <cellStyle name="Normal 13 7 4 3" xfId="6980" xr:uid="{64F1CF27-2026-428F-AEFD-65E8F4CDD022}"/>
    <cellStyle name="Normal 13 7 4 3 2" xfId="15360" xr:uid="{9DF33DC9-76CF-46F1-B476-66A956756727}"/>
    <cellStyle name="Normal 13 7 4 3 2 2" xfId="32120" xr:uid="{0DA7FD2D-3832-4EF9-A7E9-044F4B8BA231}"/>
    <cellStyle name="Normal 13 7 4 3 2 3" xfId="48879" xr:uid="{76467E97-07A7-4CD7-85AF-60A2E3CB3719}"/>
    <cellStyle name="Normal 13 7 4 3 3" xfId="23740" xr:uid="{426DE4A8-5FC0-4D5D-BE13-985816DDB037}"/>
    <cellStyle name="Normal 13 7 4 3 4" xfId="40499" xr:uid="{13F50BB4-125C-47DA-AA78-03C948B7BAF1}"/>
    <cellStyle name="Normal 13 7 4 4" xfId="3603" xr:uid="{DDF9AC32-2B02-4F13-BAB2-A6A062D966D6}"/>
    <cellStyle name="Normal 13 7 4 4 2" xfId="11983" xr:uid="{F6D339EB-4F04-4476-8F2F-F5D5235DA0A1}"/>
    <cellStyle name="Normal 13 7 4 4 2 2" xfId="28743" xr:uid="{DF951D10-D0A9-4342-AA75-136C4004A23F}"/>
    <cellStyle name="Normal 13 7 4 4 2 3" xfId="45502" xr:uid="{E9C99216-0388-4255-97B6-4ADC0B05DEF4}"/>
    <cellStyle name="Normal 13 7 4 4 3" xfId="20363" xr:uid="{7396AC16-9F9C-4E49-AC57-E840CA10E04F}"/>
    <cellStyle name="Normal 13 7 4 4 4" xfId="37122" xr:uid="{63B22685-6334-4310-8D84-FA6416886EE9}"/>
    <cellStyle name="Normal 13 7 4 5" xfId="10293" xr:uid="{4118925F-5F93-47C8-A643-9C641BA47EFA}"/>
    <cellStyle name="Normal 13 7 4 5 2" xfId="27053" xr:uid="{BE9F5AE6-41AC-4CF3-8F57-492308474DE3}"/>
    <cellStyle name="Normal 13 7 4 5 3" xfId="43812" xr:uid="{4DAFEB22-5D14-4223-8ED9-0987A83FBD91}"/>
    <cellStyle name="Normal 13 7 4 6" xfId="18673" xr:uid="{3CC2B228-0A3F-4B4A-B2BF-8D4A6163D5A7}"/>
    <cellStyle name="Normal 13 7 4 7" xfId="35432" xr:uid="{2C9ADC31-3A6D-4970-BAF7-EF634EBE70CF}"/>
    <cellStyle name="Normal 13 7 5" xfId="4023" xr:uid="{6D32FBAF-F718-46D8-BA6A-567376F09877}"/>
    <cellStyle name="Normal 13 7 5 2" xfId="12403" xr:uid="{6472970B-1F32-4259-8883-E25FC3467716}"/>
    <cellStyle name="Normal 13 7 5 2 2" xfId="29163" xr:uid="{DDA2235A-6E07-4013-981D-CA7C19FA15F7}"/>
    <cellStyle name="Normal 13 7 5 2 3" xfId="45922" xr:uid="{EE038D8D-3B9A-4787-A1E2-11CA70D5E79C}"/>
    <cellStyle name="Normal 13 7 5 3" xfId="20783" xr:uid="{62A8D5B9-C40F-43EF-949D-28BB0BFDB737}"/>
    <cellStyle name="Normal 13 7 5 4" xfId="37542" xr:uid="{49CE049B-F4F2-40D7-BD68-83E9A4C23DDE}"/>
    <cellStyle name="Normal 13 7 6" xfId="5646" xr:uid="{7B9F606F-A5E8-4494-BDE7-979BFC59A6BC}"/>
    <cellStyle name="Normal 13 7 6 2" xfId="14026" xr:uid="{25392E70-0DCC-4468-A5EA-405ACF13DED6}"/>
    <cellStyle name="Normal 13 7 6 2 2" xfId="30786" xr:uid="{77A3A19C-15CB-4822-BB81-C986C3A25FE0}"/>
    <cellStyle name="Normal 13 7 6 2 3" xfId="47545" xr:uid="{6B35496B-7AC1-407B-A380-DA30574F76FA}"/>
    <cellStyle name="Normal 13 7 6 3" xfId="22406" xr:uid="{641F6FBF-953B-45EF-80DE-902BD37A8A1A}"/>
    <cellStyle name="Normal 13 7 6 4" xfId="39165" xr:uid="{3452BAE5-C9D4-4B8A-B6B3-B244D80B590C}"/>
    <cellStyle name="Normal 13 7 7" xfId="7386" xr:uid="{D7567AAB-E72C-42FB-8F47-D1A19181B95E}"/>
    <cellStyle name="Normal 13 7 7 2" xfId="15766" xr:uid="{58BCE4E2-ADD3-40F3-BD55-76973754FBE4}"/>
    <cellStyle name="Normal 13 7 7 2 2" xfId="32526" xr:uid="{150EF965-4314-4FFD-95D0-4ECFC936D3C2}"/>
    <cellStyle name="Normal 13 7 7 2 3" xfId="49285" xr:uid="{2FAF6449-DBC7-4DBB-8226-A9075C218AA5}"/>
    <cellStyle name="Normal 13 7 7 3" xfId="24146" xr:uid="{9532A48A-C2A4-4368-9EDB-381EA229EB8C}"/>
    <cellStyle name="Normal 13 7 7 4" xfId="40905" xr:uid="{A03D2DE6-1B6E-4D67-B6FA-134C81B07290}"/>
    <cellStyle name="Normal 13 7 8" xfId="7792" xr:uid="{75F26EED-0AE7-4F59-A932-67C18A8C143B}"/>
    <cellStyle name="Normal 13 7 8 2" xfId="16172" xr:uid="{F0A29826-AF51-4B40-8FDE-CFF793A7865F}"/>
    <cellStyle name="Normal 13 7 8 2 2" xfId="32932" xr:uid="{A8AE680A-B1ED-4824-B1F3-B0B5E2DC9537}"/>
    <cellStyle name="Normal 13 7 8 2 3" xfId="49691" xr:uid="{8E8D34BD-D986-40E5-B7AF-DD2A3BE3127D}"/>
    <cellStyle name="Normal 13 7 8 3" xfId="24552" xr:uid="{47741262-00B3-4546-85DD-DA1DED5BB7D7}"/>
    <cellStyle name="Normal 13 7 8 4" xfId="41311" xr:uid="{12AF17DE-DBA5-48B4-99F1-31CD3BDA283E}"/>
    <cellStyle name="Normal 13 7 9" xfId="8198" xr:uid="{8E2F32CC-FB85-4C03-9C3F-92145FB35F52}"/>
    <cellStyle name="Normal 13 7 9 2" xfId="16578" xr:uid="{2C403969-8258-418F-8865-91AC22967C65}"/>
    <cellStyle name="Normal 13 7 9 2 2" xfId="33338" xr:uid="{CEEFB817-8AF2-44C5-91ED-5629BE7D867B}"/>
    <cellStyle name="Normal 13 7 9 2 3" xfId="50097" xr:uid="{D0402533-745C-40B8-AB62-EAE5183F8BBF}"/>
    <cellStyle name="Normal 13 7 9 3" xfId="24958" xr:uid="{2B8D689C-F727-4BA3-B363-D158EC695A2E}"/>
    <cellStyle name="Normal 13 7 9 4" xfId="41717" xr:uid="{251C4117-6AD7-4360-9943-2788AC4A62D9}"/>
    <cellStyle name="Normal 13 8" xfId="770" xr:uid="{8CC1B735-6154-4759-B13D-F947938CEBAB}"/>
    <cellStyle name="Normal 13 8 2" xfId="4165" xr:uid="{7ECEB3AF-6F34-4F96-92CF-E907ADD46DD1}"/>
    <cellStyle name="Normal 13 8 2 2" xfId="12545" xr:uid="{01E191C1-FEFA-4004-8A3C-EB340A28AF0D}"/>
    <cellStyle name="Normal 13 8 2 2 2" xfId="29305" xr:uid="{73B294C2-98C7-4B31-80F5-DE9F654AABE2}"/>
    <cellStyle name="Normal 13 8 2 2 3" xfId="46064" xr:uid="{43A23A16-1102-42DE-849E-604C29A40E58}"/>
    <cellStyle name="Normal 13 8 2 3" xfId="20925" xr:uid="{55524407-5F54-493F-9F92-50B2DD6B0691}"/>
    <cellStyle name="Normal 13 8 2 4" xfId="37684" xr:uid="{A1511304-1D82-4636-967C-580D97FD5739}"/>
    <cellStyle name="Normal 13 8 3" xfId="5852" xr:uid="{F84DFBB6-52E4-4DF5-8CD5-E2442DCCC61B}"/>
    <cellStyle name="Normal 13 8 3 2" xfId="14232" xr:uid="{67B45C53-26C1-4DD5-B883-D53C30E7E2D3}"/>
    <cellStyle name="Normal 13 8 3 2 2" xfId="30992" xr:uid="{41BB35DA-17E4-4D3A-A70C-E9974A30BE77}"/>
    <cellStyle name="Normal 13 8 3 2 3" xfId="47751" xr:uid="{38A6F764-A8FF-4778-A56C-AF9AE2C8768A}"/>
    <cellStyle name="Normal 13 8 3 3" xfId="22612" xr:uid="{3C278E06-8857-4287-88F2-FF136C382632}"/>
    <cellStyle name="Normal 13 8 3 4" xfId="39371" xr:uid="{7E53D164-38EC-43BB-8B5F-A772C286866C}"/>
    <cellStyle name="Normal 13 8 4" xfId="2588" xr:uid="{71214EE4-64E9-4A4F-A0B8-B7ED2AEF4067}"/>
    <cellStyle name="Normal 13 8 4 2" xfId="10968" xr:uid="{9F49E01C-AAFC-4C64-9423-F9A39E686EEA}"/>
    <cellStyle name="Normal 13 8 4 2 2" xfId="27728" xr:uid="{FE0A53FE-0A67-43D4-8F68-0463F237D9F3}"/>
    <cellStyle name="Normal 13 8 4 2 3" xfId="44487" xr:uid="{7D670CDD-1AD5-4403-A13F-776934A4AD23}"/>
    <cellStyle name="Normal 13 8 4 3" xfId="19348" xr:uid="{EABB103A-6278-49DE-89AA-A1F200000BF2}"/>
    <cellStyle name="Normal 13 8 4 4" xfId="36107" xr:uid="{8C75F09D-1EAC-466A-91E4-EF25944B2210}"/>
    <cellStyle name="Normal 13 8 5" xfId="9165" xr:uid="{883CF2FF-9191-4C62-A275-9FF9625192BF}"/>
    <cellStyle name="Normal 13 8 5 2" xfId="25925" xr:uid="{433E2F72-3A4D-4E5D-A8D5-046D39FD487B}"/>
    <cellStyle name="Normal 13 8 5 3" xfId="42684" xr:uid="{12F63D25-BF93-4F56-BA04-1431CA2E5C65}"/>
    <cellStyle name="Normal 13 8 6" xfId="17545" xr:uid="{B3136957-091E-4D58-88A0-B2ABC38E79CB}"/>
    <cellStyle name="Normal 13 8 7" xfId="34304" xr:uid="{9925BD60-F2C3-4A01-BA10-F692112851E3}"/>
    <cellStyle name="Normal 13 9" xfId="1204" xr:uid="{402A559C-6BBB-4324-AB0F-4923B511ED4C}"/>
    <cellStyle name="Normal 13 9 2" xfId="4593" xr:uid="{892FBEF8-3BCC-4C0C-9C77-517A908FDBC5}"/>
    <cellStyle name="Normal 13 9 2 2" xfId="12973" xr:uid="{E352D439-A218-43D2-BD78-F45EA1D23354}"/>
    <cellStyle name="Normal 13 9 2 2 2" xfId="29733" xr:uid="{B8736B39-A74B-4083-9D7B-2FA20B0C9C3C}"/>
    <cellStyle name="Normal 13 9 2 2 3" xfId="46492" xr:uid="{02467639-82E6-4FCF-BA18-6AB93DE917DC}"/>
    <cellStyle name="Normal 13 9 2 3" xfId="21353" xr:uid="{5C60F941-914B-4FAF-8D2E-EC49875708A1}"/>
    <cellStyle name="Normal 13 9 2 4" xfId="38112" xr:uid="{12D7961C-7FD0-477E-81AA-AA1B87FA2BE0}"/>
    <cellStyle name="Normal 13 9 3" xfId="6280" xr:uid="{DBB1D969-88BA-4938-A0D8-584D2C2D95A7}"/>
    <cellStyle name="Normal 13 9 3 2" xfId="14660" xr:uid="{EE494993-4100-47B3-B029-469FEE2BCC74}"/>
    <cellStyle name="Normal 13 9 3 2 2" xfId="31420" xr:uid="{6354E634-C1D1-4CE2-8EDA-0DD81E3941E6}"/>
    <cellStyle name="Normal 13 9 3 2 3" xfId="48179" xr:uid="{E4D8D09C-6AEE-4D61-89DC-DC6CD0248568}"/>
    <cellStyle name="Normal 13 9 3 3" xfId="23040" xr:uid="{6EE709EF-5F54-4128-BD6A-55A04C49BB02}"/>
    <cellStyle name="Normal 13 9 3 4" xfId="39799" xr:uid="{B4CA0A6B-8F34-4086-84B7-4093EDE1520F}"/>
    <cellStyle name="Normal 13 9 4" xfId="3016" xr:uid="{81040CBC-DFF7-4626-8DD6-B0B92064A8A3}"/>
    <cellStyle name="Normal 13 9 4 2" xfId="11396" xr:uid="{40A8177A-DC12-4ECB-86E0-3EF835AB3652}"/>
    <cellStyle name="Normal 13 9 4 2 2" xfId="28156" xr:uid="{D672EB3D-EC9E-487C-936A-D776A29EAD04}"/>
    <cellStyle name="Normal 13 9 4 2 3" xfId="44915" xr:uid="{E3180A83-6C6C-4869-84FB-0BCD8A8748AE}"/>
    <cellStyle name="Normal 13 9 4 3" xfId="19776" xr:uid="{28713D95-E08E-4917-B993-CBB71A7D08FB}"/>
    <cellStyle name="Normal 13 9 4 4" xfId="36535" xr:uid="{146549C8-A9F4-4602-82E5-5E7D240B821C}"/>
    <cellStyle name="Normal 13 9 5" xfId="9593" xr:uid="{72E6FCE5-D488-4788-A1D3-87D8A7B83098}"/>
    <cellStyle name="Normal 13 9 5 2" xfId="26353" xr:uid="{9686C114-5E67-4412-8274-DCB52E27F5C9}"/>
    <cellStyle name="Normal 13 9 5 3" xfId="43112" xr:uid="{B6B62FD7-5199-492D-A67B-AB1685A00916}"/>
    <cellStyle name="Normal 13 9 6" xfId="17973" xr:uid="{B236CF81-4635-42BE-9B9A-5305A2718E11}"/>
    <cellStyle name="Normal 13 9 7" xfId="34732" xr:uid="{08B64BCC-5941-4B50-8F7A-42BAA6724508}"/>
    <cellStyle name="Normal 14" xfId="151" xr:uid="{042413F7-72D8-4817-B80E-E7D362B12B83}"/>
    <cellStyle name="Normal 14 10" xfId="1634" xr:uid="{0D18F600-54C0-4FD1-8BE4-AFC8A0821F99}"/>
    <cellStyle name="Normal 14 10 2" xfId="5023" xr:uid="{CCDD6D4B-1C3B-4451-8528-C22A523B92AF}"/>
    <cellStyle name="Normal 14 10 2 2" xfId="13403" xr:uid="{24175FFB-26EE-4FAD-9E62-92C921426858}"/>
    <cellStyle name="Normal 14 10 2 2 2" xfId="30163" xr:uid="{B207778A-0711-4C44-858E-7C4E05C6E0AC}"/>
    <cellStyle name="Normal 14 10 2 2 3" xfId="46922" xr:uid="{48000D7F-AF20-47F0-9A98-6AD09C70FF8D}"/>
    <cellStyle name="Normal 14 10 2 3" xfId="21783" xr:uid="{2EA0157C-D1EA-4CD4-86A2-9048A5A019CA}"/>
    <cellStyle name="Normal 14 10 2 4" xfId="38542" xr:uid="{A8A5EC8C-90AB-4928-853B-41E7A8095731}"/>
    <cellStyle name="Normal 14 10 3" xfId="6710" xr:uid="{AF0D8481-BC31-4429-9CF3-440681FC1C87}"/>
    <cellStyle name="Normal 14 10 3 2" xfId="15090" xr:uid="{54A75BF0-1656-4E31-8580-433615697462}"/>
    <cellStyle name="Normal 14 10 3 2 2" xfId="31850" xr:uid="{C3DBF9AA-7BB2-4861-9F72-7F4296CD35B5}"/>
    <cellStyle name="Normal 14 10 3 2 3" xfId="48609" xr:uid="{C4D361EA-7409-4E9C-83AD-3B6B8002E4BE}"/>
    <cellStyle name="Normal 14 10 3 3" xfId="23470" xr:uid="{F9D49517-4466-4B96-98C2-AD97E5424BEE}"/>
    <cellStyle name="Normal 14 10 3 4" xfId="40229" xr:uid="{9D089D8F-4823-4793-B646-7C24EF895E68}"/>
    <cellStyle name="Normal 14 10 4" xfId="2161" xr:uid="{B8E91AF2-2070-4A5A-874C-E2FE505C5FBB}"/>
    <cellStyle name="Normal 14 10 4 2" xfId="10549" xr:uid="{4014BFC3-EAD8-4261-8F4B-7F6ADF13CC55}"/>
    <cellStyle name="Normal 14 10 4 2 2" xfId="27309" xr:uid="{A7493C7C-6E5A-486C-B189-30CA51D2737A}"/>
    <cellStyle name="Normal 14 10 4 2 3" xfId="44068" xr:uid="{FAE033B4-526C-4A17-8F22-B2CA5FAAC009}"/>
    <cellStyle name="Normal 14 10 4 3" xfId="18929" xr:uid="{9EB81BE9-3914-4AE9-898C-009CBB528DE3}"/>
    <cellStyle name="Normal 14 10 4 4" xfId="35688" xr:uid="{87282625-F9C5-4B00-B121-EC71767BB086}"/>
    <cellStyle name="Normal 14 10 5" xfId="10023" xr:uid="{95C18F16-B006-4B8B-B0E7-1649B33F870F}"/>
    <cellStyle name="Normal 14 10 5 2" xfId="26783" xr:uid="{5A229E64-FBA2-469D-8BF7-D4D0B609C25A}"/>
    <cellStyle name="Normal 14 10 5 3" xfId="43542" xr:uid="{8263713D-9C31-4FA7-925B-00D2550A7287}"/>
    <cellStyle name="Normal 14 10 6" xfId="18403" xr:uid="{D5EB28D1-9EF3-4B32-9EFB-4F048520D346}"/>
    <cellStyle name="Normal 14 10 7" xfId="35162" xr:uid="{41BE45FE-1076-494A-8003-5AF60454FD24}"/>
    <cellStyle name="Normal 14 11" xfId="3739" xr:uid="{C4A2F9B6-CDC1-4ECD-BB83-A33683AAFA32}"/>
    <cellStyle name="Normal 14 11 2" xfId="12119" xr:uid="{6EA5D022-C937-4E66-BC13-CA86B86BE9A9}"/>
    <cellStyle name="Normal 14 11 2 2" xfId="28879" xr:uid="{11879DE7-5527-4F5A-9B65-F53575EEA4ED}"/>
    <cellStyle name="Normal 14 11 2 3" xfId="45638" xr:uid="{2A4F62E4-A975-44BB-A268-DA3E1D8261C8}"/>
    <cellStyle name="Normal 14 11 3" xfId="20499" xr:uid="{CD3D5551-3CFC-4E2D-951D-510F5FCCF5B2}"/>
    <cellStyle name="Normal 14 11 4" xfId="37258" xr:uid="{D8171DE8-2167-4807-9A48-EC14F2E2055C}"/>
    <cellStyle name="Normal 14 12" xfId="5433" xr:uid="{A8BAB02B-966C-4508-AE6C-AB38FD4F2911}"/>
    <cellStyle name="Normal 14 12 2" xfId="13813" xr:uid="{EE727803-AD16-478E-A3C1-91503D2E8544}"/>
    <cellStyle name="Normal 14 12 2 2" xfId="30573" xr:uid="{CC628CA0-F792-4D88-8F55-35A901207AAB}"/>
    <cellStyle name="Normal 14 12 2 3" xfId="47332" xr:uid="{CCE5ADAF-1EB1-4304-9EF2-F8D147E92F2D}"/>
    <cellStyle name="Normal 14 12 3" xfId="22193" xr:uid="{26D851DA-9A14-4FE3-BB12-497CFC257B6D}"/>
    <cellStyle name="Normal 14 12 4" xfId="38952" xr:uid="{1F7AD622-11CD-4F78-8AD5-AFB4513321DB}"/>
    <cellStyle name="Normal 14 13" xfId="7116" xr:uid="{08EAC16B-A56D-4A80-83B5-4E415E156DF6}"/>
    <cellStyle name="Normal 14 13 2" xfId="15496" xr:uid="{A065BFD9-AF69-4B7B-8A4B-0D6248A0F0BB}"/>
    <cellStyle name="Normal 14 13 2 2" xfId="32256" xr:uid="{38D8CCA2-B4B6-4173-A2BD-D0410BCAFFDD}"/>
    <cellStyle name="Normal 14 13 2 3" xfId="49015" xr:uid="{8109936A-B130-426B-9F1F-D011F33F13B8}"/>
    <cellStyle name="Normal 14 13 3" xfId="23876" xr:uid="{B699BAB8-CDAD-4D87-999C-EF7C277CB7B8}"/>
    <cellStyle name="Normal 14 13 4" xfId="40635" xr:uid="{2438DF03-08E2-4570-A2E0-9E3BFF11B539}"/>
    <cellStyle name="Normal 14 14" xfId="7522" xr:uid="{729A43EB-C762-48C1-B8AE-BDEBC696D2D0}"/>
    <cellStyle name="Normal 14 14 2" xfId="15902" xr:uid="{308F4FFC-3F99-48CE-85F4-49AA5F5569F2}"/>
    <cellStyle name="Normal 14 14 2 2" xfId="32662" xr:uid="{A420D78D-5090-45FC-8C3A-37C7DBD20883}"/>
    <cellStyle name="Normal 14 14 2 3" xfId="49421" xr:uid="{B01B2DF9-15BB-4086-9E18-E3735D5D2846}"/>
    <cellStyle name="Normal 14 14 3" xfId="24282" xr:uid="{3688E03B-2684-41CD-854E-E10F7E0ABCE7}"/>
    <cellStyle name="Normal 14 14 4" xfId="41041" xr:uid="{7EB12F04-1FC6-4118-8576-502B4A05D12A}"/>
    <cellStyle name="Normal 14 15" xfId="7928" xr:uid="{73E64586-EE64-4CAA-902D-EBA8CF719967}"/>
    <cellStyle name="Normal 14 15 2" xfId="16308" xr:uid="{15DB940C-CC0A-4803-951C-14372E2A42D5}"/>
    <cellStyle name="Normal 14 15 2 2" xfId="33068" xr:uid="{4DCC56FE-CE61-4504-B382-526E5E8C0881}"/>
    <cellStyle name="Normal 14 15 2 3" xfId="49827" xr:uid="{57FC6705-CD0A-43CF-9BF2-4AF08D852C23}"/>
    <cellStyle name="Normal 14 15 3" xfId="24688" xr:uid="{3F02CF59-F84B-4DEC-BDDC-A793C7E2190A}"/>
    <cellStyle name="Normal 14 15 4" xfId="41447" xr:uid="{797F168C-C5B4-4A7C-97DC-F16607418572}"/>
    <cellStyle name="Normal 14 16" xfId="8334" xr:uid="{FC4DBE96-EAB8-4E2E-922C-EAF38BDD1B28}"/>
    <cellStyle name="Normal 14 16 2" xfId="16714" xr:uid="{6C91C71A-F0C7-420A-88D6-F8C19D6FD962}"/>
    <cellStyle name="Normal 14 16 2 2" xfId="33474" xr:uid="{72329396-3AE8-4C58-8FE5-9822520F3B56}"/>
    <cellStyle name="Normal 14 16 2 3" xfId="50233" xr:uid="{895A5E74-1410-424D-AA4D-4799CC6EC569}"/>
    <cellStyle name="Normal 14 16 3" xfId="25094" xr:uid="{D20EBB1A-2F37-4D87-A4D6-0ACEFC02099D}"/>
    <cellStyle name="Normal 14 16 4" xfId="41853" xr:uid="{5670EB5B-2FE2-4499-8A43-82EB4ED84CF2}"/>
    <cellStyle name="Normal 14 17" xfId="2049" xr:uid="{ABAF95C2-5870-45CB-A00D-A1420E75707E}"/>
    <cellStyle name="Normal 14 17 2" xfId="10437" xr:uid="{389A114B-C7AA-443E-8254-BE3EF6D0C7EA}"/>
    <cellStyle name="Normal 14 17 2 2" xfId="27197" xr:uid="{12F6E23F-15C0-4B8B-A503-56E6FD74EDCF}"/>
    <cellStyle name="Normal 14 17 2 3" xfId="43956" xr:uid="{A080D5E5-B856-44D3-B110-E83FF49A5E61}"/>
    <cellStyle name="Normal 14 17 3" xfId="18817" xr:uid="{C9148188-B89B-49BB-9C55-9ADC5B17BAC6}"/>
    <cellStyle name="Normal 14 17 4" xfId="35576" xr:uid="{CFF30807-6983-4AEC-BEDA-ACD9B5AC48BF}"/>
    <cellStyle name="Normal 14 18" xfId="8746" xr:uid="{674E65D2-A4F7-476C-98C6-F7E638D825EF}"/>
    <cellStyle name="Normal 14 18 2" xfId="25506" xr:uid="{428D19B8-3AEE-48CA-AAA7-63F106EBA7BB}"/>
    <cellStyle name="Normal 14 18 3" xfId="42265" xr:uid="{9554569C-133C-4F51-B4A5-7F05389FDB12}"/>
    <cellStyle name="Normal 14 19" xfId="17126" xr:uid="{22129675-B305-420E-9B53-4AFBE8DC83A7}"/>
    <cellStyle name="Normal 14 2" xfId="225" xr:uid="{5E275DAF-12E9-4CAF-A14A-1A44CA20F592}"/>
    <cellStyle name="Normal 14 2 10" xfId="7152" xr:uid="{060AC61C-B626-4F94-A3FA-66B8FE413585}"/>
    <cellStyle name="Normal 14 2 10 2" xfId="15532" xr:uid="{F5B1FC16-F64A-456D-861C-C58E404265C1}"/>
    <cellStyle name="Normal 14 2 10 2 2" xfId="32292" xr:uid="{174DEECF-4CC1-4222-84A7-27BB9D4A4C67}"/>
    <cellStyle name="Normal 14 2 10 2 3" xfId="49051" xr:uid="{10F0E0A4-E60D-4BEA-AACF-64C66667CB0E}"/>
    <cellStyle name="Normal 14 2 10 3" xfId="23912" xr:uid="{60E5E443-85AA-4D51-9C4E-900C6100E941}"/>
    <cellStyle name="Normal 14 2 10 4" xfId="40671" xr:uid="{911E0876-4F24-4DBE-B2E5-79542EEFD86E}"/>
    <cellStyle name="Normal 14 2 11" xfId="7558" xr:uid="{672BB6A4-E5B5-4B87-8CAA-CBFCF52DB633}"/>
    <cellStyle name="Normal 14 2 11 2" xfId="15938" xr:uid="{E518D36B-18D2-43F5-AF1A-6E44308A235B}"/>
    <cellStyle name="Normal 14 2 11 2 2" xfId="32698" xr:uid="{41A050CA-66F5-48C6-B9A4-8BE96CC42665}"/>
    <cellStyle name="Normal 14 2 11 2 3" xfId="49457" xr:uid="{83E12B25-4CCF-4D1A-85A6-BFBCCF30CC53}"/>
    <cellStyle name="Normal 14 2 11 3" xfId="24318" xr:uid="{A56126D2-6CEB-4819-B16A-CA643000237B}"/>
    <cellStyle name="Normal 14 2 11 4" xfId="41077" xr:uid="{69553C27-F762-4F5B-B92A-165C82D6376E}"/>
    <cellStyle name="Normal 14 2 12" xfId="7964" xr:uid="{8257B742-68B2-466F-82FC-6A6775AB3471}"/>
    <cellStyle name="Normal 14 2 12 2" xfId="16344" xr:uid="{6BBE4EBA-8098-4BFD-91BA-426B30815E40}"/>
    <cellStyle name="Normal 14 2 12 2 2" xfId="33104" xr:uid="{C859A36D-D804-4324-BDD2-5730CF25708A}"/>
    <cellStyle name="Normal 14 2 12 2 3" xfId="49863" xr:uid="{90B7DD18-D95F-4729-9E18-5B170D555F82}"/>
    <cellStyle name="Normal 14 2 12 3" xfId="24724" xr:uid="{C26CC8E6-9220-4411-9DD6-70F9FCB75CE4}"/>
    <cellStyle name="Normal 14 2 12 4" xfId="41483" xr:uid="{F709FA08-B7BE-4665-AF10-830F883F757B}"/>
    <cellStyle name="Normal 14 2 13" xfId="8370" xr:uid="{DA0E9620-CF53-4AC4-B5CE-894567112E0C}"/>
    <cellStyle name="Normal 14 2 13 2" xfId="16750" xr:uid="{A4A474C9-F8BC-4146-8B7C-51ADE33BAE7D}"/>
    <cellStyle name="Normal 14 2 13 2 2" xfId="33510" xr:uid="{E08B54CB-D575-4C10-86CA-B086D9F3A46B}"/>
    <cellStyle name="Normal 14 2 13 2 3" xfId="50269" xr:uid="{39F05E81-F0AF-46FF-9BD2-180ACD7D8466}"/>
    <cellStyle name="Normal 14 2 13 3" xfId="25130" xr:uid="{99A6D5F1-FED1-41EB-BD3A-8DBD9ECEABB6}"/>
    <cellStyle name="Normal 14 2 13 4" xfId="41889" xr:uid="{FBFB7558-7AAC-4906-A3C4-856E490BDD1C}"/>
    <cellStyle name="Normal 14 2 14" xfId="2067" xr:uid="{FE008644-26BD-4E4F-9574-E26DBB51895D}"/>
    <cellStyle name="Normal 14 2 14 2" xfId="10455" xr:uid="{64F5CF92-8569-4C96-9575-8337B1579AF8}"/>
    <cellStyle name="Normal 14 2 14 2 2" xfId="27215" xr:uid="{9A06CC7C-E71C-4B13-8C2B-0F87DE6B6427}"/>
    <cellStyle name="Normal 14 2 14 2 3" xfId="43974" xr:uid="{5A899BFA-203A-4199-B0ED-8BF44845F65F}"/>
    <cellStyle name="Normal 14 2 14 3" xfId="18835" xr:uid="{777755E7-0E4D-4550-9624-73FAB8B7F917}"/>
    <cellStyle name="Normal 14 2 14 4" xfId="35594" xr:uid="{2566228A-F324-431C-9F73-5175F5285C3C}"/>
    <cellStyle name="Normal 14 2 15" xfId="8774" xr:uid="{BF967641-8E28-4A78-8419-F77BE8D3718D}"/>
    <cellStyle name="Normal 14 2 15 2" xfId="25534" xr:uid="{69B58D73-96D7-4EB2-BCCB-ECC21C59598E}"/>
    <cellStyle name="Normal 14 2 15 3" xfId="42293" xr:uid="{412999BC-8540-4C86-ADAB-9FAE8AC624C0}"/>
    <cellStyle name="Normal 14 2 16" xfId="17154" xr:uid="{2B0E4A43-0897-401E-9179-42E152E076A9}"/>
    <cellStyle name="Normal 14 2 17" xfId="33913" xr:uid="{ADF4E4D2-8501-44D9-A494-5BFBD940AA0F}"/>
    <cellStyle name="Normal 14 2 18" xfId="301" xr:uid="{03186454-3A96-4BDF-BF31-5B91243402E3}"/>
    <cellStyle name="Normal 14 2 2" xfId="384" xr:uid="{7090F67F-C79E-4035-9897-7B7D8F8B3342}"/>
    <cellStyle name="Normal 14 2 2 10" xfId="7610" xr:uid="{128D0EB5-5F15-4944-9A26-D8BA5E02F347}"/>
    <cellStyle name="Normal 14 2 2 10 2" xfId="15990" xr:uid="{915E237E-CE48-4940-A702-17C5710611EA}"/>
    <cellStyle name="Normal 14 2 2 10 2 2" xfId="32750" xr:uid="{EAE31DAA-7B2F-495E-8698-7090414E7637}"/>
    <cellStyle name="Normal 14 2 2 10 2 3" xfId="49509" xr:uid="{A2C95291-7231-4E23-B104-78ED7DA27345}"/>
    <cellStyle name="Normal 14 2 2 10 3" xfId="24370" xr:uid="{00965324-7B19-4A57-9898-B356576DFCCD}"/>
    <cellStyle name="Normal 14 2 2 10 4" xfId="41129" xr:uid="{3CC94E35-886C-495A-805F-E3CF91451CDF}"/>
    <cellStyle name="Normal 14 2 2 11" xfId="8016" xr:uid="{BF07E0BA-BD42-4A66-AF21-5BFCB92837A5}"/>
    <cellStyle name="Normal 14 2 2 11 2" xfId="16396" xr:uid="{851350E2-0EF3-4D8D-A3AD-951BC1BCF09F}"/>
    <cellStyle name="Normal 14 2 2 11 2 2" xfId="33156" xr:uid="{A1BB9A12-E720-4053-B369-440273C2ABA7}"/>
    <cellStyle name="Normal 14 2 2 11 2 3" xfId="49915" xr:uid="{35F60901-3091-40A2-9BB5-5DF61786AEA6}"/>
    <cellStyle name="Normal 14 2 2 11 3" xfId="24776" xr:uid="{08CBB784-7D9B-4150-AE3F-0E090FB37677}"/>
    <cellStyle name="Normal 14 2 2 11 4" xfId="41535" xr:uid="{221092FA-BE3C-4E56-9DBE-5F2AA8F61408}"/>
    <cellStyle name="Normal 14 2 2 12" xfId="8422" xr:uid="{1720E94C-BB06-4C11-853A-CB0D8C2A217F}"/>
    <cellStyle name="Normal 14 2 2 12 2" xfId="16802" xr:uid="{30E42824-D66E-4B0B-AB23-4321CD2AC7ED}"/>
    <cellStyle name="Normal 14 2 2 12 2 2" xfId="33562" xr:uid="{58960285-C11C-4A88-A804-6C2537D4B2D0}"/>
    <cellStyle name="Normal 14 2 2 12 2 3" xfId="50321" xr:uid="{9E586C49-EAC9-4F03-8866-89F4B1BB77C1}"/>
    <cellStyle name="Normal 14 2 2 12 3" xfId="25182" xr:uid="{B5098718-7581-4037-BB3B-52459C874A70}"/>
    <cellStyle name="Normal 14 2 2 12 4" xfId="41941" xr:uid="{C4E7EC40-B9E7-4923-BC73-6C670D70DF24}"/>
    <cellStyle name="Normal 14 2 2 13" xfId="2267" xr:uid="{EE9C99F5-7320-4335-8FB7-C2DD247DD2BE}"/>
    <cellStyle name="Normal 14 2 2 13 2" xfId="10651" xr:uid="{7733827A-2F76-407C-B617-101E09B63DB2}"/>
    <cellStyle name="Normal 14 2 2 13 2 2" xfId="27411" xr:uid="{D7D231E8-136C-4FC3-847F-EEE1F4DA8802}"/>
    <cellStyle name="Normal 14 2 2 13 2 3" xfId="44170" xr:uid="{23EF4D17-0D62-4AE3-A7D7-804AAEAE96D2}"/>
    <cellStyle name="Normal 14 2 2 13 3" xfId="19031" xr:uid="{C558D93A-4995-4871-BF3F-D3775F6205B4}"/>
    <cellStyle name="Normal 14 2 2 13 4" xfId="35790" xr:uid="{1FC529EE-11D4-479F-B03E-75853317F5E2}"/>
    <cellStyle name="Normal 14 2 2 14" xfId="8848" xr:uid="{59A26582-D1FF-41B2-B618-93ADEE823C9D}"/>
    <cellStyle name="Normal 14 2 2 14 2" xfId="25608" xr:uid="{E2137EF5-F97A-47C6-AE9C-A8C5BA77DE44}"/>
    <cellStyle name="Normal 14 2 2 14 3" xfId="42367" xr:uid="{A875E48A-5596-4423-B260-C257C05152C2}"/>
    <cellStyle name="Normal 14 2 2 15" xfId="17228" xr:uid="{44D9BA6E-9155-4117-AE72-FE866E35DB65}"/>
    <cellStyle name="Normal 14 2 2 16" xfId="33987" xr:uid="{7FF20822-9F71-445A-BCC5-9D2331CFAC4C}"/>
    <cellStyle name="Normal 14 2 2 2" xfId="549" xr:uid="{646A1A09-0BA5-4025-B69E-BCBFD0012433}"/>
    <cellStyle name="Normal 14 2 2 2 10" xfId="8505" xr:uid="{F2B0B820-8EDD-4A31-AC4B-CD4DC3BC380A}"/>
    <cellStyle name="Normal 14 2 2 2 10 2" xfId="16885" xr:uid="{FE05A5D5-6640-464B-A69E-60BC76193A33}"/>
    <cellStyle name="Normal 14 2 2 2 10 2 2" xfId="33645" xr:uid="{91B307F0-618A-42B7-ACFD-27E197F3AF3C}"/>
    <cellStyle name="Normal 14 2 2 2 10 2 3" xfId="50404" xr:uid="{9D7BC750-BCAC-4824-8ACA-69B0999B2FEC}"/>
    <cellStyle name="Normal 14 2 2 2 10 3" xfId="25265" xr:uid="{01B847F5-B4D3-4B53-A403-65668778550B}"/>
    <cellStyle name="Normal 14 2 2 2 10 4" xfId="42024" xr:uid="{B2826D82-84E8-43BE-B04C-4FFF98E6FCB3}"/>
    <cellStyle name="Normal 14 2 2 2 11" xfId="2381" xr:uid="{7FED2158-4537-48AB-AC1C-C4891A962523}"/>
    <cellStyle name="Normal 14 2 2 2 11 2" xfId="10763" xr:uid="{B127C72B-2FD0-41AE-92A9-8074F58D2E5C}"/>
    <cellStyle name="Normal 14 2 2 2 11 2 2" xfId="27523" xr:uid="{B4881213-B816-40C0-BB73-F9EBAFCD3C76}"/>
    <cellStyle name="Normal 14 2 2 2 11 2 3" xfId="44282" xr:uid="{4AFEDDF5-F77D-417C-838E-C17A4D312E8F}"/>
    <cellStyle name="Normal 14 2 2 2 11 3" xfId="19143" xr:uid="{A55DC5E7-970D-450A-B32C-9F409A6F8E05}"/>
    <cellStyle name="Normal 14 2 2 2 11 4" xfId="35902" xr:uid="{659E91D4-30DC-4BC3-895D-703B9C53F121}"/>
    <cellStyle name="Normal 14 2 2 2 12" xfId="8960" xr:uid="{0DDDA28D-F2CC-40B3-9736-E0F9E9BB78BF}"/>
    <cellStyle name="Normal 14 2 2 2 12 2" xfId="25720" xr:uid="{F1C20DDA-B625-4280-AC67-4C82144E20F6}"/>
    <cellStyle name="Normal 14 2 2 2 12 3" xfId="42479" xr:uid="{D1F14FF4-27B4-4115-B88E-99A6A6E85A6D}"/>
    <cellStyle name="Normal 14 2 2 2 13" xfId="17340" xr:uid="{4F9F85F6-2778-4178-A090-A786AB5BA004}"/>
    <cellStyle name="Normal 14 2 2 2 14" xfId="34099" xr:uid="{F612D064-4D6D-4AE1-BC42-1E449BDF4F94}"/>
    <cellStyle name="Normal 14 2 2 2 2" xfId="991" xr:uid="{8D433179-823E-47FE-9079-6F1FD4BB2A82}"/>
    <cellStyle name="Normal 14 2 2 2 2 2" xfId="4386" xr:uid="{FCA22C3F-CBD2-44A5-A5C3-8E5910D4F62D}"/>
    <cellStyle name="Normal 14 2 2 2 2 2 2" xfId="12766" xr:uid="{15919FB4-E421-4FC9-AEBA-0203166C3535}"/>
    <cellStyle name="Normal 14 2 2 2 2 2 2 2" xfId="29526" xr:uid="{86445725-3661-460E-9E1C-FFD8205AAF18}"/>
    <cellStyle name="Normal 14 2 2 2 2 2 2 3" xfId="46285" xr:uid="{250BA14C-6B0D-48F4-8972-8D387E7DEFDB}"/>
    <cellStyle name="Normal 14 2 2 2 2 2 3" xfId="21146" xr:uid="{35929412-B9B0-4DE5-AEDA-E7370DB74BE0}"/>
    <cellStyle name="Normal 14 2 2 2 2 2 4" xfId="37905" xr:uid="{662894D9-219D-45DC-A4AA-CE05404964F5}"/>
    <cellStyle name="Normal 14 2 2 2 2 3" xfId="6073" xr:uid="{332D8DDC-4EC2-4542-9E95-B3CE92BD1A42}"/>
    <cellStyle name="Normal 14 2 2 2 2 3 2" xfId="14453" xr:uid="{86FA4B6D-4509-4CF4-9C6B-1D57E624290D}"/>
    <cellStyle name="Normal 14 2 2 2 2 3 2 2" xfId="31213" xr:uid="{7BCD2483-A350-4F90-988E-A810711C8718}"/>
    <cellStyle name="Normal 14 2 2 2 2 3 2 3" xfId="47972" xr:uid="{3C703CCB-9E10-4CDF-82AF-39DDCA7B4729}"/>
    <cellStyle name="Normal 14 2 2 2 2 3 3" xfId="22833" xr:uid="{CBBC68CC-0252-4850-A0AB-BFF2396647A9}"/>
    <cellStyle name="Normal 14 2 2 2 2 3 4" xfId="39592" xr:uid="{A61590D5-7679-4C9B-857C-A03AC1D856F6}"/>
    <cellStyle name="Normal 14 2 2 2 2 4" xfId="2809" xr:uid="{C58A0480-58B3-4B6C-992F-74146881EEB8}"/>
    <cellStyle name="Normal 14 2 2 2 2 4 2" xfId="11189" xr:uid="{3E7CEC3E-38A5-4B0D-9709-29E586E890EB}"/>
    <cellStyle name="Normal 14 2 2 2 2 4 2 2" xfId="27949" xr:uid="{F876CB53-64BA-43FD-9018-BE0298E886B2}"/>
    <cellStyle name="Normal 14 2 2 2 2 4 2 3" xfId="44708" xr:uid="{4F5009DD-E54E-47C9-A2F9-DBF2F076A060}"/>
    <cellStyle name="Normal 14 2 2 2 2 4 3" xfId="19569" xr:uid="{8AEEEAF7-8CDA-4362-A300-00BC50DF8E74}"/>
    <cellStyle name="Normal 14 2 2 2 2 4 4" xfId="36328" xr:uid="{FAA7037A-42E6-4E6D-B703-DA44F7295243}"/>
    <cellStyle name="Normal 14 2 2 2 2 5" xfId="9386" xr:uid="{13BEE431-46F5-4D6C-9ECF-F5373891CA96}"/>
    <cellStyle name="Normal 14 2 2 2 2 5 2" xfId="26146" xr:uid="{148CC44E-E5AC-4772-A3E8-14F5F2310320}"/>
    <cellStyle name="Normal 14 2 2 2 2 5 3" xfId="42905" xr:uid="{9F98543C-BC51-4EB1-9E4B-945F77F1982C}"/>
    <cellStyle name="Normal 14 2 2 2 2 6" xfId="17766" xr:uid="{48772148-B5F6-4C61-A7CE-3CA0989A151A}"/>
    <cellStyle name="Normal 14 2 2 2 2 7" xfId="34525" xr:uid="{38971157-B61B-4732-9033-08A29399913A}"/>
    <cellStyle name="Normal 14 2 2 2 3" xfId="1425" xr:uid="{CFAD96FA-110B-4E4D-8C62-2CB8F0994D01}"/>
    <cellStyle name="Normal 14 2 2 2 3 2" xfId="4814" xr:uid="{592D5988-B2E3-4AFB-A421-9F980964C984}"/>
    <cellStyle name="Normal 14 2 2 2 3 2 2" xfId="13194" xr:uid="{2C3498ED-9E37-4970-90BF-0A454C650D72}"/>
    <cellStyle name="Normal 14 2 2 2 3 2 2 2" xfId="29954" xr:uid="{0AC29047-344B-4A63-92DE-F650449C8E0D}"/>
    <cellStyle name="Normal 14 2 2 2 3 2 2 3" xfId="46713" xr:uid="{408D415E-D2EF-4F95-A0B6-6CCD14242B64}"/>
    <cellStyle name="Normal 14 2 2 2 3 2 3" xfId="21574" xr:uid="{D4E6AC87-2B34-43D1-BEF0-3B47D309EBF3}"/>
    <cellStyle name="Normal 14 2 2 2 3 2 4" xfId="38333" xr:uid="{C403EB25-8088-4897-8687-26A76AD21BAF}"/>
    <cellStyle name="Normal 14 2 2 2 3 3" xfId="6501" xr:uid="{43E9978D-927D-4125-AFF7-762E37E858BB}"/>
    <cellStyle name="Normal 14 2 2 2 3 3 2" xfId="14881" xr:uid="{358B5D80-CC72-416E-8798-D7A5959AE6B5}"/>
    <cellStyle name="Normal 14 2 2 2 3 3 2 2" xfId="31641" xr:uid="{B8F9176D-ACD3-4F94-9F37-8FC9E8AF916A}"/>
    <cellStyle name="Normal 14 2 2 2 3 3 2 3" xfId="48400" xr:uid="{E790A4AA-2BCA-4249-8D0E-84041DB202EE}"/>
    <cellStyle name="Normal 14 2 2 2 3 3 3" xfId="23261" xr:uid="{3B5FB6DE-6885-4E01-BCC8-C792913FFC41}"/>
    <cellStyle name="Normal 14 2 2 2 3 3 4" xfId="40020" xr:uid="{C3945B54-116C-4581-B30D-890B41C4A76F}"/>
    <cellStyle name="Normal 14 2 2 2 3 4" xfId="3237" xr:uid="{9E2CB0A0-B461-4034-9B3F-A0B290199281}"/>
    <cellStyle name="Normal 14 2 2 2 3 4 2" xfId="11617" xr:uid="{6F60C3FC-E42B-4007-A4B3-53829F36DE69}"/>
    <cellStyle name="Normal 14 2 2 2 3 4 2 2" xfId="28377" xr:uid="{4B56CF5E-C4E6-4A2E-BB4A-072426DA7D64}"/>
    <cellStyle name="Normal 14 2 2 2 3 4 2 3" xfId="45136" xr:uid="{3D3A19F9-E59E-47B2-8F32-C653E6357C4B}"/>
    <cellStyle name="Normal 14 2 2 2 3 4 3" xfId="19997" xr:uid="{7BCCECE6-55FD-4BF3-9EC5-259D82F1362D}"/>
    <cellStyle name="Normal 14 2 2 2 3 4 4" xfId="36756" xr:uid="{A76E36BC-DF96-4DE7-B7BC-2DE6E3B494BB}"/>
    <cellStyle name="Normal 14 2 2 2 3 5" xfId="9814" xr:uid="{D92354C4-EB6F-4EA3-B82C-571040E6FD6E}"/>
    <cellStyle name="Normal 14 2 2 2 3 5 2" xfId="26574" xr:uid="{08FCE0CB-80D8-4857-9515-A594E50FF71F}"/>
    <cellStyle name="Normal 14 2 2 2 3 5 3" xfId="43333" xr:uid="{7320C077-327B-4325-8441-13A0760B74C3}"/>
    <cellStyle name="Normal 14 2 2 2 3 6" xfId="18194" xr:uid="{E33A2965-4882-4700-9AD9-38083E48B40D}"/>
    <cellStyle name="Normal 14 2 2 2 3 7" xfId="34953" xr:uid="{956A9031-4281-4DD3-B51C-E28EFC271604}"/>
    <cellStyle name="Normal 14 2 2 2 4" xfId="1805" xr:uid="{898F06FA-A444-434F-911B-47AE29FCA449}"/>
    <cellStyle name="Normal 14 2 2 2 4 2" xfId="5194" xr:uid="{5BF3C7A2-BF01-4027-8368-09A6CF505F0B}"/>
    <cellStyle name="Normal 14 2 2 2 4 2 2" xfId="13574" xr:uid="{CBDCA71B-CB57-4A59-A986-D425C323D39A}"/>
    <cellStyle name="Normal 14 2 2 2 4 2 2 2" xfId="30334" xr:uid="{5E9BE420-404C-49ED-8793-370FE9214B2C}"/>
    <cellStyle name="Normal 14 2 2 2 4 2 2 3" xfId="47093" xr:uid="{F3D6C90E-6161-4D35-A7E4-F8E300AC9D75}"/>
    <cellStyle name="Normal 14 2 2 2 4 2 3" xfId="21954" xr:uid="{63C13115-25F5-431C-8AE3-A69F19753D2E}"/>
    <cellStyle name="Normal 14 2 2 2 4 2 4" xfId="38713" xr:uid="{E481F90A-DE5E-426B-9FB6-484A5A721BCD}"/>
    <cellStyle name="Normal 14 2 2 2 4 3" xfId="6881" xr:uid="{2DC52D85-6AE1-408B-8063-D2AB83D99DC4}"/>
    <cellStyle name="Normal 14 2 2 2 4 3 2" xfId="15261" xr:uid="{266FCA29-9456-4A7C-A827-F613B2042494}"/>
    <cellStyle name="Normal 14 2 2 2 4 3 2 2" xfId="32021" xr:uid="{03A6ABBE-BCFF-4269-8D9D-B9021FD86DAB}"/>
    <cellStyle name="Normal 14 2 2 2 4 3 2 3" xfId="48780" xr:uid="{C2B2E966-282D-40B7-89E7-CB0F63829A42}"/>
    <cellStyle name="Normal 14 2 2 2 4 3 3" xfId="23641" xr:uid="{B7E2DD7D-1271-4B2A-AC8D-8B855A23CD1F}"/>
    <cellStyle name="Normal 14 2 2 2 4 3 4" xfId="40400" xr:uid="{07898E99-63BE-4F9F-A443-69CB0A2C7FCC}"/>
    <cellStyle name="Normal 14 2 2 2 4 4" xfId="3505" xr:uid="{5DE3C966-AE68-4F7A-9474-914A144978E8}"/>
    <cellStyle name="Normal 14 2 2 2 4 4 2" xfId="11885" xr:uid="{C175DCFA-3662-4DAB-89D8-D9E6FF1A81F2}"/>
    <cellStyle name="Normal 14 2 2 2 4 4 2 2" xfId="28645" xr:uid="{804BBA8C-727C-4F93-818A-D3FED95EF7A7}"/>
    <cellStyle name="Normal 14 2 2 2 4 4 2 3" xfId="45404" xr:uid="{E7EC0F1F-05A9-4C33-A6F8-221961CE66D0}"/>
    <cellStyle name="Normal 14 2 2 2 4 4 3" xfId="20265" xr:uid="{E888DB92-8679-4929-8060-EB4E59F2C0A5}"/>
    <cellStyle name="Normal 14 2 2 2 4 4 4" xfId="37024" xr:uid="{2469569B-ADDB-4302-AEDA-61F158CA8419}"/>
    <cellStyle name="Normal 14 2 2 2 4 5" xfId="10194" xr:uid="{FD4D4B1B-A5DC-4D26-BAD6-27BC7C7A64E8}"/>
    <cellStyle name="Normal 14 2 2 2 4 5 2" xfId="26954" xr:uid="{93E67BD8-6D44-4380-9F72-B9161BB692AF}"/>
    <cellStyle name="Normal 14 2 2 2 4 5 3" xfId="43713" xr:uid="{9F7208AA-D681-4A2C-81F9-78C616D87882}"/>
    <cellStyle name="Normal 14 2 2 2 4 6" xfId="18574" xr:uid="{B99F6837-9CC0-4E19-BF53-0AF486903860}"/>
    <cellStyle name="Normal 14 2 2 2 4 7" xfId="35333" xr:uid="{35E5A728-0C40-4D81-856F-9254F639513D}"/>
    <cellStyle name="Normal 14 2 2 2 5" xfId="3924" xr:uid="{AE66BE0E-36D9-44D5-A8AF-3B719FD3FE9B}"/>
    <cellStyle name="Normal 14 2 2 2 5 2" xfId="12304" xr:uid="{7E8B2543-AA35-4D7F-A1C5-330EF3563331}"/>
    <cellStyle name="Normal 14 2 2 2 5 2 2" xfId="29064" xr:uid="{C897F660-420A-4ABF-A614-A350F667389C}"/>
    <cellStyle name="Normal 14 2 2 2 5 2 3" xfId="45823" xr:uid="{C8DC7806-E013-4E15-8BC8-4BBF96620C52}"/>
    <cellStyle name="Normal 14 2 2 2 5 3" xfId="20684" xr:uid="{F175909B-6924-485B-88FC-EED2A2F5A5AB}"/>
    <cellStyle name="Normal 14 2 2 2 5 4" xfId="37443" xr:uid="{206D0252-DDC8-4B08-9838-4E208F9E23D0}"/>
    <cellStyle name="Normal 14 2 2 2 6" xfId="5647" xr:uid="{4FB6BCFC-61FC-4260-9D27-7439153DBC09}"/>
    <cellStyle name="Normal 14 2 2 2 6 2" xfId="14027" xr:uid="{6F8532A3-E09A-4B02-8180-E635D4CDF337}"/>
    <cellStyle name="Normal 14 2 2 2 6 2 2" xfId="30787" xr:uid="{E3F4A11D-5A82-4C3A-8FE3-834DE407BD5C}"/>
    <cellStyle name="Normal 14 2 2 2 6 2 3" xfId="47546" xr:uid="{83D1BE7B-9936-45EC-AF3B-E662A7D01ADB}"/>
    <cellStyle name="Normal 14 2 2 2 6 3" xfId="22407" xr:uid="{57601063-BF00-4758-905D-5CCDA561ADAF}"/>
    <cellStyle name="Normal 14 2 2 2 6 4" xfId="39166" xr:uid="{E20652F4-AAD8-4C7E-8DB6-83E93E661A87}"/>
    <cellStyle name="Normal 14 2 2 2 7" xfId="7287" xr:uid="{63A08B8B-9E1B-4E87-9F28-0E5726990894}"/>
    <cellStyle name="Normal 14 2 2 2 7 2" xfId="15667" xr:uid="{A7A862A5-4AF1-47B1-A46A-E59147985B2A}"/>
    <cellStyle name="Normal 14 2 2 2 7 2 2" xfId="32427" xr:uid="{77F7D6AE-6E22-481A-A145-56AC10C1E24D}"/>
    <cellStyle name="Normal 14 2 2 2 7 2 3" xfId="49186" xr:uid="{0DD676D3-9371-4E11-90CD-1A196210C4CF}"/>
    <cellStyle name="Normal 14 2 2 2 7 3" xfId="24047" xr:uid="{01B94AC8-B6D8-4151-B68C-D9913B7B1FC2}"/>
    <cellStyle name="Normal 14 2 2 2 7 4" xfId="40806" xr:uid="{97C6BDF4-17A1-4870-AA6E-497BE3B483F4}"/>
    <cellStyle name="Normal 14 2 2 2 8" xfId="7693" xr:uid="{4760B11E-350A-47B2-BEE2-81F05281B15E}"/>
    <cellStyle name="Normal 14 2 2 2 8 2" xfId="16073" xr:uid="{AFEEE462-C215-42C8-93AA-98344760259E}"/>
    <cellStyle name="Normal 14 2 2 2 8 2 2" xfId="32833" xr:uid="{4FEDF21C-1122-4F95-BD03-9182DBA5F796}"/>
    <cellStyle name="Normal 14 2 2 2 8 2 3" xfId="49592" xr:uid="{CBD336FE-B8AA-4AFA-95D9-1214E4277A6D}"/>
    <cellStyle name="Normal 14 2 2 2 8 3" xfId="24453" xr:uid="{796F9C2D-7CFB-4443-9766-D6A99A48F474}"/>
    <cellStyle name="Normal 14 2 2 2 8 4" xfId="41212" xr:uid="{D4F42051-F16D-4FDC-AF47-BE19DAC6B08B}"/>
    <cellStyle name="Normal 14 2 2 2 9" xfId="8099" xr:uid="{F60F3B70-9336-475C-8F22-A672100F0DC1}"/>
    <cellStyle name="Normal 14 2 2 2 9 2" xfId="16479" xr:uid="{B8F4DD0A-6B23-4F07-8208-D6EF919305BB}"/>
    <cellStyle name="Normal 14 2 2 2 9 2 2" xfId="33239" xr:uid="{547D0B42-D05A-4015-9344-1EE037AA8138}"/>
    <cellStyle name="Normal 14 2 2 2 9 2 3" xfId="49998" xr:uid="{8BBE1F3A-3F8D-499D-A6F2-F6BD940A7FD9}"/>
    <cellStyle name="Normal 14 2 2 2 9 3" xfId="24859" xr:uid="{A12C8D60-62C4-447E-AB0D-10E3D0729352}"/>
    <cellStyle name="Normal 14 2 2 2 9 4" xfId="41618" xr:uid="{509DD359-D411-49F4-BF51-5548646E4658}"/>
    <cellStyle name="Normal 14 2 2 3" xfId="550" xr:uid="{CE567A7A-8228-4B9C-A963-208D33C1C701}"/>
    <cellStyle name="Normal 14 2 2 3 10" xfId="8693" xr:uid="{3F0C97BF-12AF-424B-81D2-8AD794496D4C}"/>
    <cellStyle name="Normal 14 2 2 3 10 2" xfId="17073" xr:uid="{0E791247-83B9-4F43-B742-61B17E0BCB54}"/>
    <cellStyle name="Normal 14 2 2 3 10 2 2" xfId="33833" xr:uid="{4D26E733-F1EB-4C91-9027-B38B8EADD66E}"/>
    <cellStyle name="Normal 14 2 2 3 10 2 3" xfId="50592" xr:uid="{8732DE54-D054-451F-9FAF-FE125134F9E1}"/>
    <cellStyle name="Normal 14 2 2 3 10 3" xfId="25453" xr:uid="{673A1FDB-DF52-4BBB-B1DA-07A5AF1F0C4F}"/>
    <cellStyle name="Normal 14 2 2 3 10 4" xfId="42212" xr:uid="{3FBD133C-CD72-4F31-B8BC-FDC3ED473E1C}"/>
    <cellStyle name="Normal 14 2 2 3 11" xfId="2382" xr:uid="{CAE502CA-B729-4D9C-8A83-F438B38408F9}"/>
    <cellStyle name="Normal 14 2 2 3 11 2" xfId="10764" xr:uid="{F2E2E1CE-34FF-479A-9559-7A83960EB37A}"/>
    <cellStyle name="Normal 14 2 2 3 11 2 2" xfId="27524" xr:uid="{C150B476-C0D3-429C-A774-1085B5D7978B}"/>
    <cellStyle name="Normal 14 2 2 3 11 2 3" xfId="44283" xr:uid="{1C519E22-3FC5-414B-ADA6-F8C341058EE5}"/>
    <cellStyle name="Normal 14 2 2 3 11 3" xfId="19144" xr:uid="{1E25F231-1CC6-4E8E-B1D3-4EC21AE0ED2A}"/>
    <cellStyle name="Normal 14 2 2 3 11 4" xfId="35903" xr:uid="{442B629D-5676-4041-8B1B-C467E7FCA78B}"/>
    <cellStyle name="Normal 14 2 2 3 12" xfId="8961" xr:uid="{E42632E2-04A3-4CA0-9C13-823D85620ACF}"/>
    <cellStyle name="Normal 14 2 2 3 12 2" xfId="25721" xr:uid="{E0CA2AE7-3000-48E9-BFF9-DEA103803D32}"/>
    <cellStyle name="Normal 14 2 2 3 12 3" xfId="42480" xr:uid="{C1896EA0-F969-454A-9068-288A1469F2F9}"/>
    <cellStyle name="Normal 14 2 2 3 13" xfId="17341" xr:uid="{FF44FB0B-C7DB-491C-BA9A-3DAE60221093}"/>
    <cellStyle name="Normal 14 2 2 3 14" xfId="34100" xr:uid="{64626113-4A40-44FC-88BD-FC47CC85E931}"/>
    <cellStyle name="Normal 14 2 2 3 2" xfId="992" xr:uid="{3E869B51-094A-411B-AC13-3250AA265118}"/>
    <cellStyle name="Normal 14 2 2 3 2 2" xfId="4387" xr:uid="{47E2FB33-F030-4E71-B0AC-6AF4C649114A}"/>
    <cellStyle name="Normal 14 2 2 3 2 2 2" xfId="12767" xr:uid="{D586AF6F-CB60-444D-AEE0-F5B26B0D67AB}"/>
    <cellStyle name="Normal 14 2 2 3 2 2 2 2" xfId="29527" xr:uid="{9538162F-2866-4E8D-ABEC-40BE6EB50A42}"/>
    <cellStyle name="Normal 14 2 2 3 2 2 2 3" xfId="46286" xr:uid="{06241F1C-74D2-4036-BCE1-9DD74EC37D3D}"/>
    <cellStyle name="Normal 14 2 2 3 2 2 3" xfId="21147" xr:uid="{43CF11C4-7DD5-4866-B41B-732E9C80175B}"/>
    <cellStyle name="Normal 14 2 2 3 2 2 4" xfId="37906" xr:uid="{F3AE677B-5FF3-450A-8D59-3F16AFE9188C}"/>
    <cellStyle name="Normal 14 2 2 3 2 3" xfId="6074" xr:uid="{A7EFA489-E34C-4F72-BA09-C27B7630CCC1}"/>
    <cellStyle name="Normal 14 2 2 3 2 3 2" xfId="14454" xr:uid="{7D6B8084-97ED-4DF6-86C0-D15EB5D21ADD}"/>
    <cellStyle name="Normal 14 2 2 3 2 3 2 2" xfId="31214" xr:uid="{BAEB437D-1A96-40A5-B5AA-59CCC4326C7B}"/>
    <cellStyle name="Normal 14 2 2 3 2 3 2 3" xfId="47973" xr:uid="{CD11C041-D35A-4CF8-A64B-04FDADBDEBFF}"/>
    <cellStyle name="Normal 14 2 2 3 2 3 3" xfId="22834" xr:uid="{48960881-6609-4691-88C6-97E527FFD028}"/>
    <cellStyle name="Normal 14 2 2 3 2 3 4" xfId="39593" xr:uid="{3190FE5C-2267-4940-83CD-756B94556223}"/>
    <cellStyle name="Normal 14 2 2 3 2 4" xfId="2810" xr:uid="{27629BC9-74BE-45DA-A32A-58A07112B7B2}"/>
    <cellStyle name="Normal 14 2 2 3 2 4 2" xfId="11190" xr:uid="{8918B7F2-D619-4F86-B92B-EEA5BF8BEFC4}"/>
    <cellStyle name="Normal 14 2 2 3 2 4 2 2" xfId="27950" xr:uid="{DA116AE3-BDEA-442E-BFC7-1B20BB18F783}"/>
    <cellStyle name="Normal 14 2 2 3 2 4 2 3" xfId="44709" xr:uid="{E88D6D41-4E3C-4FBB-A184-E94884254500}"/>
    <cellStyle name="Normal 14 2 2 3 2 4 3" xfId="19570" xr:uid="{142E7F25-E55A-472C-84AA-9480C50C2A6C}"/>
    <cellStyle name="Normal 14 2 2 3 2 4 4" xfId="36329" xr:uid="{1B442466-B952-4A1F-AF52-846FA058952F}"/>
    <cellStyle name="Normal 14 2 2 3 2 5" xfId="9387" xr:uid="{E649C6D0-4BFF-4DC2-96D0-3F849917A5C1}"/>
    <cellStyle name="Normal 14 2 2 3 2 5 2" xfId="26147" xr:uid="{0B14C986-E1F5-4C4C-850D-CC652C2E9CCA}"/>
    <cellStyle name="Normal 14 2 2 3 2 5 3" xfId="42906" xr:uid="{C58E5B23-8178-4BB6-9B7A-DD0D0E5F81FD}"/>
    <cellStyle name="Normal 14 2 2 3 2 6" xfId="17767" xr:uid="{90B405A7-7303-45FB-9A8B-7C16D7224B1D}"/>
    <cellStyle name="Normal 14 2 2 3 2 7" xfId="34526" xr:uid="{F6837C24-2FDB-474F-907E-16CD68AC3E76}"/>
    <cellStyle name="Normal 14 2 2 3 3" xfId="1426" xr:uid="{5DF8C5A6-23E5-409B-9A86-78FBFABEFDE1}"/>
    <cellStyle name="Normal 14 2 2 3 3 2" xfId="4815" xr:uid="{598882E0-8EE8-4CC6-8BE5-BCF6D1BD96C4}"/>
    <cellStyle name="Normal 14 2 2 3 3 2 2" xfId="13195" xr:uid="{BD1F8811-A5DF-419B-8B88-33AEC5CBC992}"/>
    <cellStyle name="Normal 14 2 2 3 3 2 2 2" xfId="29955" xr:uid="{79B84BA8-899A-4CC3-AEF4-293D5E49FB6C}"/>
    <cellStyle name="Normal 14 2 2 3 3 2 2 3" xfId="46714" xr:uid="{5C7C31BF-EDE6-4A62-B7DC-FC0892B482C4}"/>
    <cellStyle name="Normal 14 2 2 3 3 2 3" xfId="21575" xr:uid="{72FF46CF-D7B3-4BC6-AB3B-D453D585AAFE}"/>
    <cellStyle name="Normal 14 2 2 3 3 2 4" xfId="38334" xr:uid="{E0BF3BB8-66A5-4E7A-A34B-E7E8B0410621}"/>
    <cellStyle name="Normal 14 2 2 3 3 3" xfId="6502" xr:uid="{4BF349D5-722C-4552-9554-0D6A435EBFB2}"/>
    <cellStyle name="Normal 14 2 2 3 3 3 2" xfId="14882" xr:uid="{A9FAB64C-DD66-4270-9252-F9135DE14417}"/>
    <cellStyle name="Normal 14 2 2 3 3 3 2 2" xfId="31642" xr:uid="{39015F90-5F2C-4056-9CD7-843DD355F964}"/>
    <cellStyle name="Normal 14 2 2 3 3 3 2 3" xfId="48401" xr:uid="{73666E84-2560-4541-A85C-5285F83366AC}"/>
    <cellStyle name="Normal 14 2 2 3 3 3 3" xfId="23262" xr:uid="{0958E804-43C0-45A6-A33F-1DC5B2EB3FA3}"/>
    <cellStyle name="Normal 14 2 2 3 3 3 4" xfId="40021" xr:uid="{7ABC322E-E7DF-45A9-BF48-1B623CB0F356}"/>
    <cellStyle name="Normal 14 2 2 3 3 4" xfId="3238" xr:uid="{614A1AA4-69A6-4AF2-9DC0-B38C4B4C0EF3}"/>
    <cellStyle name="Normal 14 2 2 3 3 4 2" xfId="11618" xr:uid="{D51C3662-EA61-4123-B711-951F0EE5206D}"/>
    <cellStyle name="Normal 14 2 2 3 3 4 2 2" xfId="28378" xr:uid="{E485A44D-30D8-4F3C-8FF9-3A1EAD5B996E}"/>
    <cellStyle name="Normal 14 2 2 3 3 4 2 3" xfId="45137" xr:uid="{C262E0B6-EB91-42F1-877D-8D17E1AEDC40}"/>
    <cellStyle name="Normal 14 2 2 3 3 4 3" xfId="19998" xr:uid="{C18CA2F0-7AA7-4F32-852F-C53F2E7790CD}"/>
    <cellStyle name="Normal 14 2 2 3 3 4 4" xfId="36757" xr:uid="{F5468E98-80D4-4683-A11A-1DCA971B8296}"/>
    <cellStyle name="Normal 14 2 2 3 3 5" xfId="9815" xr:uid="{C3866D28-082A-4711-9E4D-42D011342F23}"/>
    <cellStyle name="Normal 14 2 2 3 3 5 2" xfId="26575" xr:uid="{F4FF04D0-418B-4139-9C4A-14EDD41B01EA}"/>
    <cellStyle name="Normal 14 2 2 3 3 5 3" xfId="43334" xr:uid="{82D4BD9F-27D8-42AE-BC69-EA6FB751643B}"/>
    <cellStyle name="Normal 14 2 2 3 3 6" xfId="18195" xr:uid="{2D4532FC-D678-4732-A2FE-4681DC442CD7}"/>
    <cellStyle name="Normal 14 2 2 3 3 7" xfId="34954" xr:uid="{B8801235-1A7E-411D-B887-A8F74F291A21}"/>
    <cellStyle name="Normal 14 2 2 3 4" xfId="1993" xr:uid="{C9AB1CA3-F65F-46FA-8210-FD47370FD630}"/>
    <cellStyle name="Normal 14 2 2 3 4 2" xfId="5382" xr:uid="{F8294FDF-10C6-4B58-800E-A533C9E0FD63}"/>
    <cellStyle name="Normal 14 2 2 3 4 2 2" xfId="13762" xr:uid="{4C77F84C-FD28-4B24-A07F-53DE4B68D20D}"/>
    <cellStyle name="Normal 14 2 2 3 4 2 2 2" xfId="30522" xr:uid="{265D45F2-FA0B-4CF5-A8DE-2E9526029AB0}"/>
    <cellStyle name="Normal 14 2 2 3 4 2 2 3" xfId="47281" xr:uid="{0782C61F-A9B0-45C9-BFF7-FEE5FC8B0E09}"/>
    <cellStyle name="Normal 14 2 2 3 4 2 3" xfId="22142" xr:uid="{09D4C8B7-4599-4B13-80AF-B3709B46968C}"/>
    <cellStyle name="Normal 14 2 2 3 4 2 4" xfId="38901" xr:uid="{C4A09B90-37FB-45CA-AB69-6BAF3E32FFA1}"/>
    <cellStyle name="Normal 14 2 2 3 4 3" xfId="7069" xr:uid="{C1D5D429-B111-43DC-BC2E-5071B6CDA709}"/>
    <cellStyle name="Normal 14 2 2 3 4 3 2" xfId="15449" xr:uid="{AED3A2E9-5045-4A2C-91BA-80CBC09B0FF0}"/>
    <cellStyle name="Normal 14 2 2 3 4 3 2 2" xfId="32209" xr:uid="{E40C12A5-1CE0-41E8-B829-E3B36BCC82D2}"/>
    <cellStyle name="Normal 14 2 2 3 4 3 2 3" xfId="48968" xr:uid="{159A7B5C-756E-4913-A2E9-1E02A93BF715}"/>
    <cellStyle name="Normal 14 2 2 3 4 3 3" xfId="23829" xr:uid="{E9F8BA41-5E80-492A-9326-43BF09DC2CEA}"/>
    <cellStyle name="Normal 14 2 2 3 4 3 4" xfId="40588" xr:uid="{53B656BE-B412-447E-838B-FD0B05B55DB2}"/>
    <cellStyle name="Normal 14 2 2 3 4 4" xfId="3692" xr:uid="{CB60BA1D-42B0-4392-8EC0-646AA17CCD55}"/>
    <cellStyle name="Normal 14 2 2 3 4 4 2" xfId="12072" xr:uid="{5692901D-5A6F-4C9A-A355-52294E1618F0}"/>
    <cellStyle name="Normal 14 2 2 3 4 4 2 2" xfId="28832" xr:uid="{DCFCEE9B-F4BB-4B05-9D49-78879A24815D}"/>
    <cellStyle name="Normal 14 2 2 3 4 4 2 3" xfId="45591" xr:uid="{ADD6A837-330A-4434-8929-0F2A355DB32B}"/>
    <cellStyle name="Normal 14 2 2 3 4 4 3" xfId="20452" xr:uid="{4CCB5117-7F06-4520-8C9C-1A5FB52E0C52}"/>
    <cellStyle name="Normal 14 2 2 3 4 4 4" xfId="37211" xr:uid="{BE8493FF-2BC7-4DBA-A606-4D14B76643E7}"/>
    <cellStyle name="Normal 14 2 2 3 4 5" xfId="10382" xr:uid="{BFF2CA09-5A96-441E-8103-5B52AAF75B5E}"/>
    <cellStyle name="Normal 14 2 2 3 4 5 2" xfId="27142" xr:uid="{F07DFE82-344F-4A6D-9ADB-F79FF8C3C138}"/>
    <cellStyle name="Normal 14 2 2 3 4 5 3" xfId="43901" xr:uid="{3298276F-D0CB-4C93-BFDF-8A4BEB3A4307}"/>
    <cellStyle name="Normal 14 2 2 3 4 6" xfId="18762" xr:uid="{AC2FCFFC-4D53-4016-8AFA-2AF758DA5A34}"/>
    <cellStyle name="Normal 14 2 2 3 4 7" xfId="35521" xr:uid="{5D5C2EBB-0215-4114-B9C7-FFB894A7D201}"/>
    <cellStyle name="Normal 14 2 2 3 5" xfId="4112" xr:uid="{8CD11599-CDF5-4ABF-8DE5-443232E67D42}"/>
    <cellStyle name="Normal 14 2 2 3 5 2" xfId="12492" xr:uid="{541C7C72-531C-428B-B6D3-C7D6252F2792}"/>
    <cellStyle name="Normal 14 2 2 3 5 2 2" xfId="29252" xr:uid="{A750AE17-117C-46BD-A3E2-F52DF91E32AF}"/>
    <cellStyle name="Normal 14 2 2 3 5 2 3" xfId="46011" xr:uid="{D672445D-2C96-437C-A50B-BF1A1D9A615B}"/>
    <cellStyle name="Normal 14 2 2 3 5 3" xfId="20872" xr:uid="{99C9779D-A76B-45D5-90A6-976F27A54392}"/>
    <cellStyle name="Normal 14 2 2 3 5 4" xfId="37631" xr:uid="{62614B87-A0FE-4FAC-A760-489D261C8719}"/>
    <cellStyle name="Normal 14 2 2 3 6" xfId="5648" xr:uid="{E4DE1D0E-83EF-4098-AC4D-11218074425F}"/>
    <cellStyle name="Normal 14 2 2 3 6 2" xfId="14028" xr:uid="{F1D08F5A-EBFF-4519-9384-57FD4704416A}"/>
    <cellStyle name="Normal 14 2 2 3 6 2 2" xfId="30788" xr:uid="{01CB6129-85A4-40EF-A9B3-61988313D9E8}"/>
    <cellStyle name="Normal 14 2 2 3 6 2 3" xfId="47547" xr:uid="{E540AF40-1C3A-4A71-BF3F-824FA72CE000}"/>
    <cellStyle name="Normal 14 2 2 3 6 3" xfId="22408" xr:uid="{E29F9425-3C37-4D00-A52A-7AB04124E673}"/>
    <cellStyle name="Normal 14 2 2 3 6 4" xfId="39167" xr:uid="{6D08BD30-7FE9-448A-AD6E-8E7242E0700A}"/>
    <cellStyle name="Normal 14 2 2 3 7" xfId="7475" xr:uid="{7FBC4B7F-4F36-42F9-B901-7EBC95888390}"/>
    <cellStyle name="Normal 14 2 2 3 7 2" xfId="15855" xr:uid="{9DF49555-1B31-419B-837E-F6B7B35F176F}"/>
    <cellStyle name="Normal 14 2 2 3 7 2 2" xfId="32615" xr:uid="{10747FFE-74CB-4326-8F58-A1D9FD8D3453}"/>
    <cellStyle name="Normal 14 2 2 3 7 2 3" xfId="49374" xr:uid="{9B8D3D0E-14D1-4126-9B40-B47968E602A2}"/>
    <cellStyle name="Normal 14 2 2 3 7 3" xfId="24235" xr:uid="{0B5DDB8C-CD9D-45F6-9609-8C90427A7312}"/>
    <cellStyle name="Normal 14 2 2 3 7 4" xfId="40994" xr:uid="{A05D4C7B-2B7F-470F-B051-612E130EE382}"/>
    <cellStyle name="Normal 14 2 2 3 8" xfId="7881" xr:uid="{28C9B389-E48C-45DD-9108-353671FA6FB3}"/>
    <cellStyle name="Normal 14 2 2 3 8 2" xfId="16261" xr:uid="{7191A4FA-BB87-453B-886A-93AF9EF4D3AA}"/>
    <cellStyle name="Normal 14 2 2 3 8 2 2" xfId="33021" xr:uid="{8E0AD85D-473B-45FB-9082-688E30645B06}"/>
    <cellStyle name="Normal 14 2 2 3 8 2 3" xfId="49780" xr:uid="{5065635D-DFB4-414F-AF00-E574506F6DEA}"/>
    <cellStyle name="Normal 14 2 2 3 8 3" xfId="24641" xr:uid="{50428820-E30C-424A-8F9C-19DF5CEC2E87}"/>
    <cellStyle name="Normal 14 2 2 3 8 4" xfId="41400" xr:uid="{A49296E8-2B45-47E4-93BA-02D6454876A2}"/>
    <cellStyle name="Normal 14 2 2 3 9" xfId="8287" xr:uid="{7F735F24-E53B-4309-9231-BB7E05A92831}"/>
    <cellStyle name="Normal 14 2 2 3 9 2" xfId="16667" xr:uid="{F03D0F46-AC98-412D-A86D-FD5897849279}"/>
    <cellStyle name="Normal 14 2 2 3 9 2 2" xfId="33427" xr:uid="{BE5693E0-EB37-494A-96A8-DCB282C3D0EC}"/>
    <cellStyle name="Normal 14 2 2 3 9 2 3" xfId="50186" xr:uid="{8F289273-0BA8-43D8-9305-2BA0153D1911}"/>
    <cellStyle name="Normal 14 2 2 3 9 3" xfId="25047" xr:uid="{ACCEB03C-6349-4A39-A84E-0B2B0F16DFFE}"/>
    <cellStyle name="Normal 14 2 2 3 9 4" xfId="41806" xr:uid="{A4D78BC4-C9E0-4EE7-B695-A60277935502}"/>
    <cellStyle name="Normal 14 2 2 4" xfId="879" xr:uid="{3D4253BA-607A-4897-99C9-A6C43E58C3D1}"/>
    <cellStyle name="Normal 14 2 2 4 2" xfId="4274" xr:uid="{091F5527-8A63-4D1F-9934-95BAA141CE79}"/>
    <cellStyle name="Normal 14 2 2 4 2 2" xfId="12654" xr:uid="{41574B18-11FF-4F9A-8A51-C4B1D7173DBC}"/>
    <cellStyle name="Normal 14 2 2 4 2 2 2" xfId="29414" xr:uid="{72FB6BF4-3B02-424B-B80B-723CE533FD65}"/>
    <cellStyle name="Normal 14 2 2 4 2 2 3" xfId="46173" xr:uid="{889E68C8-9678-44BD-82E5-C2485A427BEC}"/>
    <cellStyle name="Normal 14 2 2 4 2 3" xfId="21034" xr:uid="{9D0C39F7-AA35-4FF5-BF5E-5121E8D6038A}"/>
    <cellStyle name="Normal 14 2 2 4 2 4" xfId="37793" xr:uid="{2C6B7F1F-5307-416C-9BD8-AD86F46E4E74}"/>
    <cellStyle name="Normal 14 2 2 4 3" xfId="5961" xr:uid="{BBACBB94-669F-4F08-A60B-95DF3702C6F7}"/>
    <cellStyle name="Normal 14 2 2 4 3 2" xfId="14341" xr:uid="{5F0C048E-C552-41C8-B6F5-14BEC1D4D2DA}"/>
    <cellStyle name="Normal 14 2 2 4 3 2 2" xfId="31101" xr:uid="{509EEC0A-ED33-4048-89D2-08608A4E38B7}"/>
    <cellStyle name="Normal 14 2 2 4 3 2 3" xfId="47860" xr:uid="{88A844B9-AAB4-41C0-8731-C61E6DEE832E}"/>
    <cellStyle name="Normal 14 2 2 4 3 3" xfId="22721" xr:uid="{D614674D-5540-413C-880A-D000741403C2}"/>
    <cellStyle name="Normal 14 2 2 4 3 4" xfId="39480" xr:uid="{A60BAD58-A07D-4F88-896F-122B62E8EB2B}"/>
    <cellStyle name="Normal 14 2 2 4 4" xfId="2697" xr:uid="{8F403EA3-6110-405A-BC6C-04046F59FA37}"/>
    <cellStyle name="Normal 14 2 2 4 4 2" xfId="11077" xr:uid="{F4BF6636-D909-4FE1-B742-12D2345560A0}"/>
    <cellStyle name="Normal 14 2 2 4 4 2 2" xfId="27837" xr:uid="{A5FE58AE-BA15-4F17-A07B-AF670589DCF3}"/>
    <cellStyle name="Normal 14 2 2 4 4 2 3" xfId="44596" xr:uid="{94F4FE47-8AFF-49A8-A33F-982A6439181B}"/>
    <cellStyle name="Normal 14 2 2 4 4 3" xfId="19457" xr:uid="{55C657CA-558A-45EE-8BBC-52A97DBFB4EA}"/>
    <cellStyle name="Normal 14 2 2 4 4 4" xfId="36216" xr:uid="{A8C2059A-24AD-4218-841E-52F1010A50E7}"/>
    <cellStyle name="Normal 14 2 2 4 5" xfId="9274" xr:uid="{5E4B2C63-9E33-42D2-90A8-B787ED7A1AB7}"/>
    <cellStyle name="Normal 14 2 2 4 5 2" xfId="26034" xr:uid="{A52C4EF8-2D54-4A4E-82A3-284EA4348017}"/>
    <cellStyle name="Normal 14 2 2 4 5 3" xfId="42793" xr:uid="{B546F969-6243-4684-A6F4-7A572DF8F150}"/>
    <cellStyle name="Normal 14 2 2 4 6" xfId="17654" xr:uid="{9BE0FFBF-733B-4BB7-A690-9B3331414F5A}"/>
    <cellStyle name="Normal 14 2 2 4 7" xfId="34413" xr:uid="{AF2DFB63-BEA1-4ADB-AAA6-B90EE1964AB0}"/>
    <cellStyle name="Normal 14 2 2 5" xfId="1313" xr:uid="{AD52F015-9D0E-4579-9B51-D849854F54C7}"/>
    <cellStyle name="Normal 14 2 2 5 2" xfId="4702" xr:uid="{78D4526E-1C70-4165-B071-E87CEB3463ED}"/>
    <cellStyle name="Normal 14 2 2 5 2 2" xfId="13082" xr:uid="{32429271-F2CD-4AB6-9511-3C6A416CF402}"/>
    <cellStyle name="Normal 14 2 2 5 2 2 2" xfId="29842" xr:uid="{7DA30494-7118-4163-911D-026F8D72C441}"/>
    <cellStyle name="Normal 14 2 2 5 2 2 3" xfId="46601" xr:uid="{697D70F2-F33E-4D78-921A-DFAA2866F54A}"/>
    <cellStyle name="Normal 14 2 2 5 2 3" xfId="21462" xr:uid="{B9DE7397-D5D5-48D1-B670-6F469284E025}"/>
    <cellStyle name="Normal 14 2 2 5 2 4" xfId="38221" xr:uid="{A55E51F3-8029-4282-B91E-C0B5EA91DD6E}"/>
    <cellStyle name="Normal 14 2 2 5 3" xfId="6389" xr:uid="{5164B078-E040-4341-A708-CB2B65C1FC4C}"/>
    <cellStyle name="Normal 14 2 2 5 3 2" xfId="14769" xr:uid="{395728BF-6ADA-45BA-94D9-C4B53CC701A1}"/>
    <cellStyle name="Normal 14 2 2 5 3 2 2" xfId="31529" xr:uid="{EF52B1FB-49D1-47D2-B525-285FE68B3F58}"/>
    <cellStyle name="Normal 14 2 2 5 3 2 3" xfId="48288" xr:uid="{B59DD245-B4FA-4E6E-92EF-3CC4B4EE18FE}"/>
    <cellStyle name="Normal 14 2 2 5 3 3" xfId="23149" xr:uid="{9536B966-26D7-4E35-81A4-C2D04FCDC6FE}"/>
    <cellStyle name="Normal 14 2 2 5 3 4" xfId="39908" xr:uid="{84DD9D05-639B-44CA-8733-04D023AE17B0}"/>
    <cellStyle name="Normal 14 2 2 5 4" xfId="3125" xr:uid="{D60E1A65-2C97-4EC9-A4FD-FDB17529725A}"/>
    <cellStyle name="Normal 14 2 2 5 4 2" xfId="11505" xr:uid="{ADCCFCD7-8DC0-444D-B6EB-68C409CA90CF}"/>
    <cellStyle name="Normal 14 2 2 5 4 2 2" xfId="28265" xr:uid="{12E1C96A-1EDC-4AEE-ACAF-23D6F73C94DA}"/>
    <cellStyle name="Normal 14 2 2 5 4 2 3" xfId="45024" xr:uid="{F0F7562E-F82E-4D74-B9A6-6CC28D64D0C5}"/>
    <cellStyle name="Normal 14 2 2 5 4 3" xfId="19885" xr:uid="{1949C573-5659-4313-A51C-E112C3BCF04C}"/>
    <cellStyle name="Normal 14 2 2 5 4 4" xfId="36644" xr:uid="{AD0D4A00-9EF8-4EE8-B153-788E94DC0C77}"/>
    <cellStyle name="Normal 14 2 2 5 5" xfId="9702" xr:uid="{84AA10A7-8230-4F12-BD6B-3DD5FDFC229B}"/>
    <cellStyle name="Normal 14 2 2 5 5 2" xfId="26462" xr:uid="{D96337D2-CAA9-4F9F-9E82-9B8BF1942382}"/>
    <cellStyle name="Normal 14 2 2 5 5 3" xfId="43221" xr:uid="{14AF899D-5E8D-417D-8BE6-833746177402}"/>
    <cellStyle name="Normal 14 2 2 5 6" xfId="18082" xr:uid="{ED15EEB1-A2B0-4840-AD58-20431991A78D}"/>
    <cellStyle name="Normal 14 2 2 5 7" xfId="34841" xr:uid="{4C7713EA-B0D8-4F12-A164-BA50E8F9FB8D}"/>
    <cellStyle name="Normal 14 2 2 6" xfId="1722" xr:uid="{CB71B84A-3E6E-4DFF-8098-42CB7A89D2C7}"/>
    <cellStyle name="Normal 14 2 2 6 2" xfId="5111" xr:uid="{F1A475BB-7B32-47DA-B434-FE2AA3C1CD1A}"/>
    <cellStyle name="Normal 14 2 2 6 2 2" xfId="13491" xr:uid="{BB2B2235-564F-462B-B8B9-D26887EFBF78}"/>
    <cellStyle name="Normal 14 2 2 6 2 2 2" xfId="30251" xr:uid="{C563FD32-6DB4-4C22-962C-EF69D2851E9E}"/>
    <cellStyle name="Normal 14 2 2 6 2 2 3" xfId="47010" xr:uid="{45EECAED-8DD0-4C44-813E-3D3EA9F4C7D3}"/>
    <cellStyle name="Normal 14 2 2 6 2 3" xfId="21871" xr:uid="{F4E38E72-AAA0-4FAE-A56C-CADFE20C109F}"/>
    <cellStyle name="Normal 14 2 2 6 2 4" xfId="38630" xr:uid="{A393D066-202F-43FD-96FE-BDE3C383F7D0}"/>
    <cellStyle name="Normal 14 2 2 6 3" xfId="6798" xr:uid="{3830FA64-8C9B-4673-A251-DF9BA7469036}"/>
    <cellStyle name="Normal 14 2 2 6 3 2" xfId="15178" xr:uid="{2B7AB7C1-63C4-41EF-8267-C8038F799F9F}"/>
    <cellStyle name="Normal 14 2 2 6 3 2 2" xfId="31938" xr:uid="{25C53EF9-F903-4A17-B52D-5C4A6F65D3E4}"/>
    <cellStyle name="Normal 14 2 2 6 3 2 3" xfId="48697" xr:uid="{590450F6-E41E-4B86-95BB-14FED7A74118}"/>
    <cellStyle name="Normal 14 2 2 6 3 3" xfId="23558" xr:uid="{556B968C-CF7F-4BA3-8F3D-4175B1639276}"/>
    <cellStyle name="Normal 14 2 2 6 3 4" xfId="40317" xr:uid="{9B5EC302-FB1F-4198-89D7-06C65B857D81}"/>
    <cellStyle name="Normal 14 2 2 6 4" xfId="3445" xr:uid="{8D3FE7C0-240A-4D01-91F0-5135B122D7FC}"/>
    <cellStyle name="Normal 14 2 2 6 4 2" xfId="11825" xr:uid="{C79C9714-071E-4DAE-98CC-735FBF83F37B}"/>
    <cellStyle name="Normal 14 2 2 6 4 2 2" xfId="28585" xr:uid="{7A9CED52-1099-4570-8B9A-F4B56FD0442A}"/>
    <cellStyle name="Normal 14 2 2 6 4 2 3" xfId="45344" xr:uid="{11177C13-FE65-4F95-A4DE-416A6F54BD0D}"/>
    <cellStyle name="Normal 14 2 2 6 4 3" xfId="20205" xr:uid="{2007BB9E-32B5-4337-B2BB-CAB9DEBD962B}"/>
    <cellStyle name="Normal 14 2 2 6 4 4" xfId="36964" xr:uid="{04B0C804-E174-4E15-8CB0-1B29C09CD06E}"/>
    <cellStyle name="Normal 14 2 2 6 5" xfId="10111" xr:uid="{90CC70F6-936F-4D25-8951-FBB09FC03F40}"/>
    <cellStyle name="Normal 14 2 2 6 5 2" xfId="26871" xr:uid="{E2C86A2A-955C-43C3-88FD-00B4E777871D}"/>
    <cellStyle name="Normal 14 2 2 6 5 3" xfId="43630" xr:uid="{EE4A4505-496E-4009-8BAC-BA72352A2366}"/>
    <cellStyle name="Normal 14 2 2 6 6" xfId="18491" xr:uid="{B5DEA854-17EB-4ECE-93F6-62642A658F8D}"/>
    <cellStyle name="Normal 14 2 2 6 7" xfId="35250" xr:uid="{9A2770E5-8E00-4FC7-A9D5-03DBF9F5A9C4}"/>
    <cellStyle name="Normal 14 2 2 7" xfId="3841" xr:uid="{A4B89513-38C8-48C2-A999-5A3734AC84BB}"/>
    <cellStyle name="Normal 14 2 2 7 2" xfId="12221" xr:uid="{2CE2BB30-D282-408E-87AF-8DA7BCAE2D16}"/>
    <cellStyle name="Normal 14 2 2 7 2 2" xfId="28981" xr:uid="{1A154705-2891-4377-ACD1-E7E7833BB864}"/>
    <cellStyle name="Normal 14 2 2 7 2 3" xfId="45740" xr:uid="{75401446-BADD-4899-A7C1-5502EB461921}"/>
    <cellStyle name="Normal 14 2 2 7 3" xfId="20601" xr:uid="{0F0AD249-7AAE-499A-A2AD-37770A72E94C}"/>
    <cellStyle name="Normal 14 2 2 7 4" xfId="37360" xr:uid="{79315E5E-82CA-483D-8DD6-ED39CE759AC5}"/>
    <cellStyle name="Normal 14 2 2 8" xfId="5535" xr:uid="{164D2F78-E4B0-4EEC-95C5-70D22610BB03}"/>
    <cellStyle name="Normal 14 2 2 8 2" xfId="13915" xr:uid="{726CACE9-DD41-4B11-AA03-3A980F1004C1}"/>
    <cellStyle name="Normal 14 2 2 8 2 2" xfId="30675" xr:uid="{B927A622-C87E-48D2-8742-9D0DA2D503E8}"/>
    <cellStyle name="Normal 14 2 2 8 2 3" xfId="47434" xr:uid="{6CC23E30-5CCC-4FA4-8D92-E326D9940BDF}"/>
    <cellStyle name="Normal 14 2 2 8 3" xfId="22295" xr:uid="{8B75C0E5-E8A0-4116-BBB0-FAEE19EAA371}"/>
    <cellStyle name="Normal 14 2 2 8 4" xfId="39054" xr:uid="{DC81C9D3-4F4D-4018-8825-01544C971FEA}"/>
    <cellStyle name="Normal 14 2 2 9" xfId="7204" xr:uid="{33BC3CA7-81F3-4248-9A91-05488B1A547D}"/>
    <cellStyle name="Normal 14 2 2 9 2" xfId="15584" xr:uid="{FDEBCBE1-033B-4CEB-8EC2-1756358D4FD8}"/>
    <cellStyle name="Normal 14 2 2 9 2 2" xfId="32344" xr:uid="{C8801769-5AE1-4A60-B9E5-D900A3777DCA}"/>
    <cellStyle name="Normal 14 2 2 9 2 3" xfId="49103" xr:uid="{04F3AE07-4D16-4CEB-B748-B0E5614FC47B}"/>
    <cellStyle name="Normal 14 2 2 9 3" xfId="23964" xr:uid="{79977C2B-8790-4964-AB2E-5F8388F7D3AB}"/>
    <cellStyle name="Normal 14 2 2 9 4" xfId="40723" xr:uid="{6C3CAF4C-F1FD-4D64-9A7B-5B9B3286338A}"/>
    <cellStyle name="Normal 14 2 3" xfId="551" xr:uid="{2C23789A-C402-4BA4-A224-90F2502C3380}"/>
    <cellStyle name="Normal 14 2 3 10" xfId="8504" xr:uid="{EF2979DC-02F5-46B1-8251-336DE0EACDD4}"/>
    <cellStyle name="Normal 14 2 3 10 2" xfId="16884" xr:uid="{4B458755-1DDF-4874-9172-4D001BA31DDD}"/>
    <cellStyle name="Normal 14 2 3 10 2 2" xfId="33644" xr:uid="{7AA3538C-4C9B-4667-AFE6-774B4ED3725A}"/>
    <cellStyle name="Normal 14 2 3 10 2 3" xfId="50403" xr:uid="{02E5ADEC-100C-4589-B666-E0EBB4F6F702}"/>
    <cellStyle name="Normal 14 2 3 10 3" xfId="25264" xr:uid="{E3D88751-9C8B-4F73-9C5D-E5F3E23ECFBC}"/>
    <cellStyle name="Normal 14 2 3 10 4" xfId="42023" xr:uid="{F2E6C14C-0FE4-4FE6-B1FB-389E214B03A0}"/>
    <cellStyle name="Normal 14 2 3 11" xfId="2383" xr:uid="{4A94C48F-C92B-4953-9E2D-F64C9FB3CA7A}"/>
    <cellStyle name="Normal 14 2 3 11 2" xfId="10765" xr:uid="{9040DCED-EC83-4C39-8BA1-DE46057B77ED}"/>
    <cellStyle name="Normal 14 2 3 11 2 2" xfId="27525" xr:uid="{37407EC2-B5EC-4263-9033-9FF0C6B81C72}"/>
    <cellStyle name="Normal 14 2 3 11 2 3" xfId="44284" xr:uid="{22E95A2F-C86A-4931-B6FF-FF2BC922E1BC}"/>
    <cellStyle name="Normal 14 2 3 11 3" xfId="19145" xr:uid="{03B43901-6A8D-4EDD-9B0B-AE0D355F3E2B}"/>
    <cellStyle name="Normal 14 2 3 11 4" xfId="35904" xr:uid="{6ADF6C8A-2734-4429-BD00-160C331C486E}"/>
    <cellStyle name="Normal 14 2 3 12" xfId="8962" xr:uid="{A1CBFC43-F301-4E7C-8BE4-48CB7C2EB6AC}"/>
    <cellStyle name="Normal 14 2 3 12 2" xfId="25722" xr:uid="{8A96209B-0042-422B-BC3C-56C34E55196A}"/>
    <cellStyle name="Normal 14 2 3 12 3" xfId="42481" xr:uid="{35155684-D6A2-4BA9-886B-B2341AA8462E}"/>
    <cellStyle name="Normal 14 2 3 13" xfId="17342" xr:uid="{9EB76B03-D11D-4858-9E89-EB3F8862E617}"/>
    <cellStyle name="Normal 14 2 3 14" xfId="34101" xr:uid="{F7D03E4F-4CFC-4960-ABF7-3D24A88696FA}"/>
    <cellStyle name="Normal 14 2 3 2" xfId="993" xr:uid="{0CE42167-6D1A-4B03-BEC1-5132D1B409E1}"/>
    <cellStyle name="Normal 14 2 3 2 2" xfId="4388" xr:uid="{2CF99A02-0C57-4687-9CD5-4B1B2020AB19}"/>
    <cellStyle name="Normal 14 2 3 2 2 2" xfId="12768" xr:uid="{27F3B359-171D-4E74-A8ED-BF7A8F882CF4}"/>
    <cellStyle name="Normal 14 2 3 2 2 2 2" xfId="29528" xr:uid="{2D9A06BB-88C8-477A-A761-19E954C89083}"/>
    <cellStyle name="Normal 14 2 3 2 2 2 3" xfId="46287" xr:uid="{F22DF035-35BD-4212-BD25-B5C400D411A3}"/>
    <cellStyle name="Normal 14 2 3 2 2 3" xfId="21148" xr:uid="{5288E06A-9550-4786-8DBC-5DDEEA8D653A}"/>
    <cellStyle name="Normal 14 2 3 2 2 4" xfId="37907" xr:uid="{4E5D5B14-29FB-4EC3-B027-166693948547}"/>
    <cellStyle name="Normal 14 2 3 2 3" xfId="6075" xr:uid="{0BB333FE-8B0C-477D-B769-C8552C6EB00E}"/>
    <cellStyle name="Normal 14 2 3 2 3 2" xfId="14455" xr:uid="{86DC90F8-52D4-495F-A56F-A6FB63488B13}"/>
    <cellStyle name="Normal 14 2 3 2 3 2 2" xfId="31215" xr:uid="{94A4E51C-C63F-4826-BC1F-133034D33A3D}"/>
    <cellStyle name="Normal 14 2 3 2 3 2 3" xfId="47974" xr:uid="{C1E28151-5FB8-425C-B890-250761B9F260}"/>
    <cellStyle name="Normal 14 2 3 2 3 3" xfId="22835" xr:uid="{99C3A1AE-70BC-425B-87B3-3108E0E3EAAC}"/>
    <cellStyle name="Normal 14 2 3 2 3 4" xfId="39594" xr:uid="{F64B2B3B-2755-4244-A2E0-DBF2CA5D736C}"/>
    <cellStyle name="Normal 14 2 3 2 4" xfId="2811" xr:uid="{1E37B1F1-56BA-4B0C-A5A8-D462C4907F7B}"/>
    <cellStyle name="Normal 14 2 3 2 4 2" xfId="11191" xr:uid="{4D904904-146B-45EC-9B99-13F99AF07C91}"/>
    <cellStyle name="Normal 14 2 3 2 4 2 2" xfId="27951" xr:uid="{AC602E47-1ED9-4CCD-9229-E9A54B70091E}"/>
    <cellStyle name="Normal 14 2 3 2 4 2 3" xfId="44710" xr:uid="{0720D567-804C-4561-AB22-BEB39379B1E4}"/>
    <cellStyle name="Normal 14 2 3 2 4 3" xfId="19571" xr:uid="{F8A92CB7-4774-4A04-8506-67EBAB13C5E5}"/>
    <cellStyle name="Normal 14 2 3 2 4 4" xfId="36330" xr:uid="{3087F9EF-AE24-4870-BBD5-DFEC26B6DD47}"/>
    <cellStyle name="Normal 14 2 3 2 5" xfId="9388" xr:uid="{3808A08E-186F-4333-8F67-3D7649D5926A}"/>
    <cellStyle name="Normal 14 2 3 2 5 2" xfId="26148" xr:uid="{F6F30B9B-4CDF-4102-9CB1-8DB201E232FB}"/>
    <cellStyle name="Normal 14 2 3 2 5 3" xfId="42907" xr:uid="{0DEDBDA5-F784-4784-8A93-C58A18AFA501}"/>
    <cellStyle name="Normal 14 2 3 2 6" xfId="17768" xr:uid="{62077AD6-0E14-4C1B-8617-30789B8764E0}"/>
    <cellStyle name="Normal 14 2 3 2 7" xfId="34527" xr:uid="{4657BA40-0D62-4945-80F8-3ADD0B9654C9}"/>
    <cellStyle name="Normal 14 2 3 3" xfId="1427" xr:uid="{112E7525-CC65-4B60-BE6E-00623CD4F119}"/>
    <cellStyle name="Normal 14 2 3 3 2" xfId="4816" xr:uid="{532390BA-A867-4744-9D3D-99C25B1FA28F}"/>
    <cellStyle name="Normal 14 2 3 3 2 2" xfId="13196" xr:uid="{9F34B2B8-EB52-4D90-9D77-A961767191F1}"/>
    <cellStyle name="Normal 14 2 3 3 2 2 2" xfId="29956" xr:uid="{2A914805-14C3-4440-B87A-251C9132C552}"/>
    <cellStyle name="Normal 14 2 3 3 2 2 3" xfId="46715" xr:uid="{46289490-2072-4AE1-9C4F-674097CE5B9B}"/>
    <cellStyle name="Normal 14 2 3 3 2 3" xfId="21576" xr:uid="{AACA1AFC-89F6-4238-8AB2-7A1B404DD33F}"/>
    <cellStyle name="Normal 14 2 3 3 2 4" xfId="38335" xr:uid="{EB616036-5B11-4795-A5F1-7FD9C5F2E8E2}"/>
    <cellStyle name="Normal 14 2 3 3 3" xfId="6503" xr:uid="{CAA8B615-FE8B-4D2E-918C-DAEE999234EA}"/>
    <cellStyle name="Normal 14 2 3 3 3 2" xfId="14883" xr:uid="{CAB382CD-97EB-43C3-B560-AC89CCD9DC12}"/>
    <cellStyle name="Normal 14 2 3 3 3 2 2" xfId="31643" xr:uid="{D145DC28-A864-4932-9E03-BE2C8CD10D59}"/>
    <cellStyle name="Normal 14 2 3 3 3 2 3" xfId="48402" xr:uid="{C418858C-7FD3-41F3-9A56-26C1F8CF2C09}"/>
    <cellStyle name="Normal 14 2 3 3 3 3" xfId="23263" xr:uid="{54DFAE8E-B35D-430D-966A-7ED15D23A63D}"/>
    <cellStyle name="Normal 14 2 3 3 3 4" xfId="40022" xr:uid="{E166AB03-FF24-4495-B3E1-BADF5E6EB4B6}"/>
    <cellStyle name="Normal 14 2 3 3 4" xfId="3239" xr:uid="{0504FFFD-587B-41BE-BB19-0E83EC04708B}"/>
    <cellStyle name="Normal 14 2 3 3 4 2" xfId="11619" xr:uid="{A0E11FFE-0592-491D-81F8-C4AE664BAD8C}"/>
    <cellStyle name="Normal 14 2 3 3 4 2 2" xfId="28379" xr:uid="{0AF0B33B-E032-4E70-8C46-F2713561933F}"/>
    <cellStyle name="Normal 14 2 3 3 4 2 3" xfId="45138" xr:uid="{E370DF9D-0188-484B-B8C4-13BF847574B9}"/>
    <cellStyle name="Normal 14 2 3 3 4 3" xfId="19999" xr:uid="{5AA4386B-28FD-4679-9B34-DC48DE0AEA21}"/>
    <cellStyle name="Normal 14 2 3 3 4 4" xfId="36758" xr:uid="{F200C1F9-B3A1-4EE9-99D6-220BA02FD2C8}"/>
    <cellStyle name="Normal 14 2 3 3 5" xfId="9816" xr:uid="{94D0EE7F-9D01-490C-A57D-6B6A4238D02E}"/>
    <cellStyle name="Normal 14 2 3 3 5 2" xfId="26576" xr:uid="{E6453E46-DA9B-4BA2-8B79-2CC7E7B8581A}"/>
    <cellStyle name="Normal 14 2 3 3 5 3" xfId="43335" xr:uid="{B062CD49-D602-4CCE-9404-3C02E99B7DDB}"/>
    <cellStyle name="Normal 14 2 3 3 6" xfId="18196" xr:uid="{C0709EB3-E769-47F6-9870-87FF60864AC0}"/>
    <cellStyle name="Normal 14 2 3 3 7" xfId="34955" xr:uid="{F473CC99-EC84-42F6-A6FE-16957036E124}"/>
    <cellStyle name="Normal 14 2 3 4" xfId="1804" xr:uid="{E73699B6-6EBA-4BF5-8EAC-013B27857615}"/>
    <cellStyle name="Normal 14 2 3 4 2" xfId="5193" xr:uid="{EB31BE69-5C46-4507-98BD-D7536CF1FB0F}"/>
    <cellStyle name="Normal 14 2 3 4 2 2" xfId="13573" xr:uid="{F4D9F991-00D2-43F7-BD76-F14E6B9F5193}"/>
    <cellStyle name="Normal 14 2 3 4 2 2 2" xfId="30333" xr:uid="{A8CAAE35-E67E-4A69-9EB7-A3C95BB3E461}"/>
    <cellStyle name="Normal 14 2 3 4 2 2 3" xfId="47092" xr:uid="{D1186FC4-B9BE-43A3-AE77-C3D7AA561B4A}"/>
    <cellStyle name="Normal 14 2 3 4 2 3" xfId="21953" xr:uid="{4B8B1968-FD36-4361-8B39-6A3B2E2D2F87}"/>
    <cellStyle name="Normal 14 2 3 4 2 4" xfId="38712" xr:uid="{2E587C09-DF55-490D-A9F1-9B69B82F390C}"/>
    <cellStyle name="Normal 14 2 3 4 3" xfId="6880" xr:uid="{5E67E690-1508-4EB7-96F6-0AAD6C16D460}"/>
    <cellStyle name="Normal 14 2 3 4 3 2" xfId="15260" xr:uid="{ED83BA9F-9D1A-4673-83A4-7B034AC6CDF5}"/>
    <cellStyle name="Normal 14 2 3 4 3 2 2" xfId="32020" xr:uid="{C63C774D-83C6-4E76-A729-DED3F2B2BEA2}"/>
    <cellStyle name="Normal 14 2 3 4 3 2 3" xfId="48779" xr:uid="{77E5A4B4-32CA-4B2F-BB0D-D5089A609EE1}"/>
    <cellStyle name="Normal 14 2 3 4 3 3" xfId="23640" xr:uid="{FD160281-C5B0-4C8A-A0CE-1BF9861F3739}"/>
    <cellStyle name="Normal 14 2 3 4 3 4" xfId="40399" xr:uid="{3ACB1098-9A7D-4582-AC5E-6E23856E5392}"/>
    <cellStyle name="Normal 14 2 3 4 4" xfId="3504" xr:uid="{32041662-5488-4F06-97E6-F91E9AA6FFF3}"/>
    <cellStyle name="Normal 14 2 3 4 4 2" xfId="11884" xr:uid="{679DCDE9-C092-4A98-AEC5-303EF8F28475}"/>
    <cellStyle name="Normal 14 2 3 4 4 2 2" xfId="28644" xr:uid="{E89359BF-4F76-4556-8E4E-02792BF6D796}"/>
    <cellStyle name="Normal 14 2 3 4 4 2 3" xfId="45403" xr:uid="{DA75BACA-17FE-4464-8B12-19F97762CF47}"/>
    <cellStyle name="Normal 14 2 3 4 4 3" xfId="20264" xr:uid="{BBBCB483-5045-453F-B9F3-B725DB69B5FD}"/>
    <cellStyle name="Normal 14 2 3 4 4 4" xfId="37023" xr:uid="{E9CB0394-8D27-4EFC-AE8F-AA96320AA185}"/>
    <cellStyle name="Normal 14 2 3 4 5" xfId="10193" xr:uid="{9F93F00F-0001-422E-8F12-84B00BFCD3EE}"/>
    <cellStyle name="Normal 14 2 3 4 5 2" xfId="26953" xr:uid="{75ADE3DB-2625-4B80-B819-D63977AA9794}"/>
    <cellStyle name="Normal 14 2 3 4 5 3" xfId="43712" xr:uid="{51C71C03-E62A-46CC-83A5-CF5358D9BC76}"/>
    <cellStyle name="Normal 14 2 3 4 6" xfId="18573" xr:uid="{CC1A5765-AABA-400D-8D18-8F24023C914A}"/>
    <cellStyle name="Normal 14 2 3 4 7" xfId="35332" xr:uid="{36B972CB-F118-4C00-A4EC-8E4428031CE7}"/>
    <cellStyle name="Normal 14 2 3 5" xfId="3923" xr:uid="{7F9567AE-AAF9-4924-834B-B2F45B260780}"/>
    <cellStyle name="Normal 14 2 3 5 2" xfId="12303" xr:uid="{F8D6F675-6889-4345-AEA6-FAB220437AAF}"/>
    <cellStyle name="Normal 14 2 3 5 2 2" xfId="29063" xr:uid="{A7AE8262-246A-4703-8625-E078DBABE802}"/>
    <cellStyle name="Normal 14 2 3 5 2 3" xfId="45822" xr:uid="{1EEAA8C3-2416-4E22-AC64-F78C549FE6EC}"/>
    <cellStyle name="Normal 14 2 3 5 3" xfId="20683" xr:uid="{8CE030FF-8541-4A60-A08B-16805C66BF8C}"/>
    <cellStyle name="Normal 14 2 3 5 4" xfId="37442" xr:uid="{CD3EBCAD-EB2D-4769-8144-8C725B11687C}"/>
    <cellStyle name="Normal 14 2 3 6" xfId="5649" xr:uid="{B4BB7C2D-79D1-485C-9AAD-B21F734EE7BD}"/>
    <cellStyle name="Normal 14 2 3 6 2" xfId="14029" xr:uid="{D6DBE5BD-277E-4121-8C09-92B5C9004F2C}"/>
    <cellStyle name="Normal 14 2 3 6 2 2" xfId="30789" xr:uid="{C15AA5B7-AA03-46CA-96F7-52DF3608D916}"/>
    <cellStyle name="Normal 14 2 3 6 2 3" xfId="47548" xr:uid="{42E3CDFA-35BA-4A30-AC8C-168B6048A864}"/>
    <cellStyle name="Normal 14 2 3 6 3" xfId="22409" xr:uid="{1E8181AC-11D3-43E0-A239-170D03206A30}"/>
    <cellStyle name="Normal 14 2 3 6 4" xfId="39168" xr:uid="{0331AF6A-8F87-4BCB-AE7B-197E0E59DA38}"/>
    <cellStyle name="Normal 14 2 3 7" xfId="7286" xr:uid="{283F89B8-58E4-47B7-8652-7F9A15D5502B}"/>
    <cellStyle name="Normal 14 2 3 7 2" xfId="15666" xr:uid="{4AB2A679-88C5-4981-9851-715D8DC4A460}"/>
    <cellStyle name="Normal 14 2 3 7 2 2" xfId="32426" xr:uid="{59388D61-24D7-47DF-9450-99DE27FBD89E}"/>
    <cellStyle name="Normal 14 2 3 7 2 3" xfId="49185" xr:uid="{6F886D5F-4BCC-4138-9BEB-A0EF61DE0DFF}"/>
    <cellStyle name="Normal 14 2 3 7 3" xfId="24046" xr:uid="{75DB0D68-5AD1-4EE7-954E-AA8099519C87}"/>
    <cellStyle name="Normal 14 2 3 7 4" xfId="40805" xr:uid="{2D5385D3-0FCA-4C9E-8D71-AE136117DB91}"/>
    <cellStyle name="Normal 14 2 3 8" xfId="7692" xr:uid="{7ED8C904-F47C-4B4D-85E4-9FF979AE0C21}"/>
    <cellStyle name="Normal 14 2 3 8 2" xfId="16072" xr:uid="{A84E4955-1685-4E3A-9D93-F5D47938E2B3}"/>
    <cellStyle name="Normal 14 2 3 8 2 2" xfId="32832" xr:uid="{43758185-505F-4EA2-AA06-C767531FD6B3}"/>
    <cellStyle name="Normal 14 2 3 8 2 3" xfId="49591" xr:uid="{55AB9DA2-F459-4F74-90C2-07F43DF1A4CF}"/>
    <cellStyle name="Normal 14 2 3 8 3" xfId="24452" xr:uid="{E876B738-9BB1-44B6-AE24-6A88B0811D29}"/>
    <cellStyle name="Normal 14 2 3 8 4" xfId="41211" xr:uid="{85D123B0-CA8B-4037-B19A-E1E977610844}"/>
    <cellStyle name="Normal 14 2 3 9" xfId="8098" xr:uid="{0D76104F-3169-49AD-A743-6F927CDCD46B}"/>
    <cellStyle name="Normal 14 2 3 9 2" xfId="16478" xr:uid="{65B21CEB-E020-4B91-BB22-4DB108113D38}"/>
    <cellStyle name="Normal 14 2 3 9 2 2" xfId="33238" xr:uid="{2EA9DDC5-8358-4A98-9790-E836DF882D88}"/>
    <cellStyle name="Normal 14 2 3 9 2 3" xfId="49997" xr:uid="{EF895EBC-6EC3-4884-BC21-D9A0F36CB8A7}"/>
    <cellStyle name="Normal 14 2 3 9 3" xfId="24858" xr:uid="{7CD64B72-B3E2-4ED6-8CEC-4D23E453E844}"/>
    <cellStyle name="Normal 14 2 3 9 4" xfId="41617" xr:uid="{717E23E1-1A0E-41BF-A833-B30683C35414}"/>
    <cellStyle name="Normal 14 2 4" xfId="552" xr:uid="{5A8410BC-B916-45E6-B2EE-4C33B53ACCD6}"/>
    <cellStyle name="Normal 14 2 4 10" xfId="8641" xr:uid="{F8CCFCFF-9CE0-4E00-8ECA-24AE8DC0ECB2}"/>
    <cellStyle name="Normal 14 2 4 10 2" xfId="17021" xr:uid="{D0B8586D-CFA8-4851-A7D6-A6547A4AC8E9}"/>
    <cellStyle name="Normal 14 2 4 10 2 2" xfId="33781" xr:uid="{929D1EC1-7D24-4C51-8C22-0DFC52149932}"/>
    <cellStyle name="Normal 14 2 4 10 2 3" xfId="50540" xr:uid="{3339E3C4-DDAA-4F76-8C67-3EC940F09A10}"/>
    <cellStyle name="Normal 14 2 4 10 3" xfId="25401" xr:uid="{E8FAB9A8-67D8-4E68-853D-9C04124A8B13}"/>
    <cellStyle name="Normal 14 2 4 10 4" xfId="42160" xr:uid="{C7F52D5B-6309-4526-B9C1-DCC0C6E5D639}"/>
    <cellStyle name="Normal 14 2 4 11" xfId="2384" xr:uid="{9DDC1E8B-AF5A-4127-A579-CACA95082463}"/>
    <cellStyle name="Normal 14 2 4 11 2" xfId="10766" xr:uid="{71105267-CAEE-480B-8DDB-9238A2FA5695}"/>
    <cellStyle name="Normal 14 2 4 11 2 2" xfId="27526" xr:uid="{B19422EB-8B88-4F78-83EF-99A2C8DA8EEA}"/>
    <cellStyle name="Normal 14 2 4 11 2 3" xfId="44285" xr:uid="{F9E060D6-82D0-444F-A5DD-C54B5C2FDAC9}"/>
    <cellStyle name="Normal 14 2 4 11 3" xfId="19146" xr:uid="{C7BEAC9C-D16D-45DD-8158-E60CE63A1364}"/>
    <cellStyle name="Normal 14 2 4 11 4" xfId="35905" xr:uid="{3D282EB7-5EAF-4708-BC57-EC97FBE38DEC}"/>
    <cellStyle name="Normal 14 2 4 12" xfId="8963" xr:uid="{B41B76AE-CDBD-4D24-BD21-4E8252F46E9B}"/>
    <cellStyle name="Normal 14 2 4 12 2" xfId="25723" xr:uid="{D345D92F-0D7A-4529-B8EA-A89198910B1D}"/>
    <cellStyle name="Normal 14 2 4 12 3" xfId="42482" xr:uid="{8AB8D0DF-A755-4E93-B486-D1EA215F6AC7}"/>
    <cellStyle name="Normal 14 2 4 13" xfId="17343" xr:uid="{4D46A5C7-5F68-4127-A14E-86C59BF5757D}"/>
    <cellStyle name="Normal 14 2 4 14" xfId="34102" xr:uid="{499A1257-1F92-48DD-A8A9-7E626C7D00BB}"/>
    <cellStyle name="Normal 14 2 4 2" xfId="994" xr:uid="{10B3CE16-BDBB-4FF8-B59A-DAAE90AA010E}"/>
    <cellStyle name="Normal 14 2 4 2 2" xfId="4389" xr:uid="{3EB9D789-958B-4DBA-84B7-9B9EB57327A1}"/>
    <cellStyle name="Normal 14 2 4 2 2 2" xfId="12769" xr:uid="{F585DF65-BCB1-4D22-B01A-F582C90A8148}"/>
    <cellStyle name="Normal 14 2 4 2 2 2 2" xfId="29529" xr:uid="{E732BD76-65D9-49DE-9807-D6390CF3FC78}"/>
    <cellStyle name="Normal 14 2 4 2 2 2 3" xfId="46288" xr:uid="{62079D4D-3290-4976-AC9B-4C56F33B8284}"/>
    <cellStyle name="Normal 14 2 4 2 2 3" xfId="21149" xr:uid="{E94DE6D2-8AC9-40B8-813C-14005648F46E}"/>
    <cellStyle name="Normal 14 2 4 2 2 4" xfId="37908" xr:uid="{88095B26-3195-46C1-B938-50373D2B5F3B}"/>
    <cellStyle name="Normal 14 2 4 2 3" xfId="6076" xr:uid="{3B6FE3ED-C133-4048-8E85-30F593A415C2}"/>
    <cellStyle name="Normal 14 2 4 2 3 2" xfId="14456" xr:uid="{537920B2-557C-46CF-9E16-E71F39748949}"/>
    <cellStyle name="Normal 14 2 4 2 3 2 2" xfId="31216" xr:uid="{14A1E6DA-8FE2-47C1-8D59-FEEB6C86276A}"/>
    <cellStyle name="Normal 14 2 4 2 3 2 3" xfId="47975" xr:uid="{4A1672AA-7BBF-4C84-A974-BF9B9F0EF48F}"/>
    <cellStyle name="Normal 14 2 4 2 3 3" xfId="22836" xr:uid="{89676DEC-5AF5-4876-958E-7DEE824A2F0A}"/>
    <cellStyle name="Normal 14 2 4 2 3 4" xfId="39595" xr:uid="{9D8D0F27-D2CA-4C04-88BD-4BFA21C65A37}"/>
    <cellStyle name="Normal 14 2 4 2 4" xfId="2812" xr:uid="{C7E860E3-5E10-46BF-A517-82D0CF8A5F69}"/>
    <cellStyle name="Normal 14 2 4 2 4 2" xfId="11192" xr:uid="{7EE1449C-1C39-4C00-8324-1CD027960C73}"/>
    <cellStyle name="Normal 14 2 4 2 4 2 2" xfId="27952" xr:uid="{E1A940F5-048F-4861-8A5B-0E7EB0A2D660}"/>
    <cellStyle name="Normal 14 2 4 2 4 2 3" xfId="44711" xr:uid="{FA3F7F3E-2907-4EB9-8294-691B0698E942}"/>
    <cellStyle name="Normal 14 2 4 2 4 3" xfId="19572" xr:uid="{BBBEC211-9748-4830-BF4E-351B69A8DEA3}"/>
    <cellStyle name="Normal 14 2 4 2 4 4" xfId="36331" xr:uid="{1CE1383E-621D-4C09-B95C-9C11BEE82B9C}"/>
    <cellStyle name="Normal 14 2 4 2 5" xfId="9389" xr:uid="{9600A848-C9A7-45F6-8577-3D11260C936C}"/>
    <cellStyle name="Normal 14 2 4 2 5 2" xfId="26149" xr:uid="{4EB5F066-3E4D-4C68-81E5-D3B72512355B}"/>
    <cellStyle name="Normal 14 2 4 2 5 3" xfId="42908" xr:uid="{91DA429B-C3F5-47FB-95F6-4A94B0350268}"/>
    <cellStyle name="Normal 14 2 4 2 6" xfId="17769" xr:uid="{F56EC6DC-07C2-4BDA-962A-FE18AB053CB0}"/>
    <cellStyle name="Normal 14 2 4 2 7" xfId="34528" xr:uid="{2ABCD1DE-A27B-40B7-A7A7-6C44B867BD74}"/>
    <cellStyle name="Normal 14 2 4 3" xfId="1428" xr:uid="{6AFAA0DA-5150-4E1E-B91E-62EC4EF40BF3}"/>
    <cellStyle name="Normal 14 2 4 3 2" xfId="4817" xr:uid="{EA159DE5-212F-43BA-8EA1-D82D5490DFD8}"/>
    <cellStyle name="Normal 14 2 4 3 2 2" xfId="13197" xr:uid="{CC4DD741-FB0C-4C46-A4CE-D6B0E8AB11E9}"/>
    <cellStyle name="Normal 14 2 4 3 2 2 2" xfId="29957" xr:uid="{88B46829-06AD-4918-A144-43328512EFCE}"/>
    <cellStyle name="Normal 14 2 4 3 2 2 3" xfId="46716" xr:uid="{DF498291-CA66-4167-8EA8-7DF4DF4FB1DC}"/>
    <cellStyle name="Normal 14 2 4 3 2 3" xfId="21577" xr:uid="{7258D82C-7DCD-44DD-B304-2FD858351376}"/>
    <cellStyle name="Normal 14 2 4 3 2 4" xfId="38336" xr:uid="{CB08DE5E-D3A9-452F-B3FF-54E0A7F0BB6A}"/>
    <cellStyle name="Normal 14 2 4 3 3" xfId="6504" xr:uid="{D5AD245B-E145-4222-9610-DB695236B36D}"/>
    <cellStyle name="Normal 14 2 4 3 3 2" xfId="14884" xr:uid="{CB490B02-05E9-4CF9-A3B0-70DDBF7A923B}"/>
    <cellStyle name="Normal 14 2 4 3 3 2 2" xfId="31644" xr:uid="{34A61FE9-E4F0-4760-8CC1-6777735D626B}"/>
    <cellStyle name="Normal 14 2 4 3 3 2 3" xfId="48403" xr:uid="{B7DEC205-91B3-48E2-BD69-037B5A530455}"/>
    <cellStyle name="Normal 14 2 4 3 3 3" xfId="23264" xr:uid="{0DA35557-0098-40F4-B4EA-F313B2608CD5}"/>
    <cellStyle name="Normal 14 2 4 3 3 4" xfId="40023" xr:uid="{8B05A9D1-2316-4C42-ACFC-EEFB57B37D49}"/>
    <cellStyle name="Normal 14 2 4 3 4" xfId="3240" xr:uid="{1BAF044D-684F-4C51-96B3-FD568ADBB884}"/>
    <cellStyle name="Normal 14 2 4 3 4 2" xfId="11620" xr:uid="{2AB80D9F-D187-42BA-A53A-8EEFD68C72A3}"/>
    <cellStyle name="Normal 14 2 4 3 4 2 2" xfId="28380" xr:uid="{72ED83DB-4ABF-47E6-A92B-2B9CCEF92FF9}"/>
    <cellStyle name="Normal 14 2 4 3 4 2 3" xfId="45139" xr:uid="{9C55D592-914E-45FC-BAA5-220FCC825BB6}"/>
    <cellStyle name="Normal 14 2 4 3 4 3" xfId="20000" xr:uid="{6680AAE4-A4FF-47F1-BDE3-4D420BB1FAFB}"/>
    <cellStyle name="Normal 14 2 4 3 4 4" xfId="36759" xr:uid="{31706106-1A42-4D29-959C-B7CF4CF22680}"/>
    <cellStyle name="Normal 14 2 4 3 5" xfId="9817" xr:uid="{21792E7D-D418-490C-A26A-9DFD5380490C}"/>
    <cellStyle name="Normal 14 2 4 3 5 2" xfId="26577" xr:uid="{A0E5855C-B6D2-429C-823C-09EB41272240}"/>
    <cellStyle name="Normal 14 2 4 3 5 3" xfId="43336" xr:uid="{AC567913-3539-4A6E-8B06-00144DCF1D40}"/>
    <cellStyle name="Normal 14 2 4 3 6" xfId="18197" xr:uid="{5EEBFAF4-99B6-4A72-8E55-DBA79D6F1EC3}"/>
    <cellStyle name="Normal 14 2 4 3 7" xfId="34956" xr:uid="{BA83BF1C-B2B4-462F-B23A-5D188F192CC6}"/>
    <cellStyle name="Normal 14 2 4 4" xfId="1941" xr:uid="{93B1F5C1-CF89-4994-9243-4A2A14A8E616}"/>
    <cellStyle name="Normal 14 2 4 4 2" xfId="5330" xr:uid="{FFFA332A-2D36-4E3C-9A30-8A8B167ED5F0}"/>
    <cellStyle name="Normal 14 2 4 4 2 2" xfId="13710" xr:uid="{D96E4EE4-7246-4E65-8B28-B1984AF86A28}"/>
    <cellStyle name="Normal 14 2 4 4 2 2 2" xfId="30470" xr:uid="{A115D898-1443-4ED4-9AFB-9FAD6AC288C5}"/>
    <cellStyle name="Normal 14 2 4 4 2 2 3" xfId="47229" xr:uid="{3969C05A-5CEE-4862-89E0-F31D32004C4F}"/>
    <cellStyle name="Normal 14 2 4 4 2 3" xfId="22090" xr:uid="{2A58C8DB-8F5D-4BC2-87CA-4A0241BBDB53}"/>
    <cellStyle name="Normal 14 2 4 4 2 4" xfId="38849" xr:uid="{4DD850D9-D9FB-41D1-AFE4-C8B63304B1E2}"/>
    <cellStyle name="Normal 14 2 4 4 3" xfId="7017" xr:uid="{BDBA0D3C-4B90-4A15-8177-8C5471AE81B1}"/>
    <cellStyle name="Normal 14 2 4 4 3 2" xfId="15397" xr:uid="{C91DAF5A-0ECB-41E7-A763-8E30D4776808}"/>
    <cellStyle name="Normal 14 2 4 4 3 2 2" xfId="32157" xr:uid="{F7B4E58F-4CDA-422D-B5C7-B85689DFC0E8}"/>
    <cellStyle name="Normal 14 2 4 4 3 2 3" xfId="48916" xr:uid="{272E0455-7FAC-4EDB-905B-A83CD66E754C}"/>
    <cellStyle name="Normal 14 2 4 4 3 3" xfId="23777" xr:uid="{F5735E9C-5133-4B80-B68E-E12679C52B12}"/>
    <cellStyle name="Normal 14 2 4 4 3 4" xfId="40536" xr:uid="{A781E8BF-87A2-4D14-A80E-41D40D466DD4}"/>
    <cellStyle name="Normal 14 2 4 4 4" xfId="3640" xr:uid="{A78DA5E6-D288-4A94-BA06-CD58EC3D9665}"/>
    <cellStyle name="Normal 14 2 4 4 4 2" xfId="12020" xr:uid="{4FC23765-9709-40E9-8DBE-1CEA36541CFA}"/>
    <cellStyle name="Normal 14 2 4 4 4 2 2" xfId="28780" xr:uid="{B93D8879-93D6-4445-9635-E3BEF118432D}"/>
    <cellStyle name="Normal 14 2 4 4 4 2 3" xfId="45539" xr:uid="{928F835D-6139-47A4-BB3F-1502FCD279F1}"/>
    <cellStyle name="Normal 14 2 4 4 4 3" xfId="20400" xr:uid="{4D129D31-09A2-44FF-BDF9-CB0873A6C8DD}"/>
    <cellStyle name="Normal 14 2 4 4 4 4" xfId="37159" xr:uid="{262555A1-1E73-4DEE-B54D-A4CD57980699}"/>
    <cellStyle name="Normal 14 2 4 4 5" xfId="10330" xr:uid="{AF27638B-7BA9-409F-9CF6-F205A4295365}"/>
    <cellStyle name="Normal 14 2 4 4 5 2" xfId="27090" xr:uid="{462245F9-405A-4CB8-A12E-7FD5B963F63E}"/>
    <cellStyle name="Normal 14 2 4 4 5 3" xfId="43849" xr:uid="{58C53CE9-301E-4054-B9CB-97D3C2AED6DF}"/>
    <cellStyle name="Normal 14 2 4 4 6" xfId="18710" xr:uid="{F0786E9E-E739-4011-82C2-446572CE3B32}"/>
    <cellStyle name="Normal 14 2 4 4 7" xfId="35469" xr:uid="{051FB786-A829-4ED2-8F34-ABDA936F5136}"/>
    <cellStyle name="Normal 14 2 4 5" xfId="4060" xr:uid="{60B8D3E3-68B9-4C94-8E5C-5A690E4A5908}"/>
    <cellStyle name="Normal 14 2 4 5 2" xfId="12440" xr:uid="{98537184-C969-4078-ABEF-A2458306862C}"/>
    <cellStyle name="Normal 14 2 4 5 2 2" xfId="29200" xr:uid="{CB0395EE-B323-408C-9937-A129697603A1}"/>
    <cellStyle name="Normal 14 2 4 5 2 3" xfId="45959" xr:uid="{88262917-D717-4F46-90C7-97E2EB163A52}"/>
    <cellStyle name="Normal 14 2 4 5 3" xfId="20820" xr:uid="{193AFAEF-603D-4F8A-A821-C50B90209D7C}"/>
    <cellStyle name="Normal 14 2 4 5 4" xfId="37579" xr:uid="{FA66FD9D-D397-4C29-A3FF-A0E708FF66FA}"/>
    <cellStyle name="Normal 14 2 4 6" xfId="5650" xr:uid="{3B655915-935C-47A6-8458-2D7BF37AF916}"/>
    <cellStyle name="Normal 14 2 4 6 2" xfId="14030" xr:uid="{332B7FA1-7D89-4CA6-8AC5-7FA630EFCD5C}"/>
    <cellStyle name="Normal 14 2 4 6 2 2" xfId="30790" xr:uid="{0B4F223C-BF72-4794-82B0-B955FC504F4A}"/>
    <cellStyle name="Normal 14 2 4 6 2 3" xfId="47549" xr:uid="{D4B8B6BE-33ED-40BB-8705-E5F1FF1EAF21}"/>
    <cellStyle name="Normal 14 2 4 6 3" xfId="22410" xr:uid="{6E3C8FEA-CF15-40EA-9139-AE67D47888B2}"/>
    <cellStyle name="Normal 14 2 4 6 4" xfId="39169" xr:uid="{7A5097B9-F0DE-4EFF-A289-05F734714AD1}"/>
    <cellStyle name="Normal 14 2 4 7" xfId="7423" xr:uid="{1CB60D2E-37F5-4EA9-9C7E-07E0A1A70DFA}"/>
    <cellStyle name="Normal 14 2 4 7 2" xfId="15803" xr:uid="{FC5653EA-432F-4B3A-A3F6-165E43757985}"/>
    <cellStyle name="Normal 14 2 4 7 2 2" xfId="32563" xr:uid="{AEAF163B-9D10-480D-82E3-1142CF797685}"/>
    <cellStyle name="Normal 14 2 4 7 2 3" xfId="49322" xr:uid="{CB0E306F-14F9-4DB6-BBAC-543CE58BD4D0}"/>
    <cellStyle name="Normal 14 2 4 7 3" xfId="24183" xr:uid="{6DECFC1A-EDF8-4487-A4C0-D45A1855F071}"/>
    <cellStyle name="Normal 14 2 4 7 4" xfId="40942" xr:uid="{F8382835-F8A5-4D35-B3FE-63E47C7FC2F0}"/>
    <cellStyle name="Normal 14 2 4 8" xfId="7829" xr:uid="{C4183C24-0C0C-4173-9548-ED5880830A67}"/>
    <cellStyle name="Normal 14 2 4 8 2" xfId="16209" xr:uid="{06D5BD02-4039-4E8B-B21D-5693B38408C1}"/>
    <cellStyle name="Normal 14 2 4 8 2 2" xfId="32969" xr:uid="{0517A369-9A1D-4632-959C-FFD63C1986E7}"/>
    <cellStyle name="Normal 14 2 4 8 2 3" xfId="49728" xr:uid="{E4FE45AA-E1F6-4662-8E01-807BF8E97D93}"/>
    <cellStyle name="Normal 14 2 4 8 3" xfId="24589" xr:uid="{BA4F0A78-73BB-4F6D-9FED-6C2861A78582}"/>
    <cellStyle name="Normal 14 2 4 8 4" xfId="41348" xr:uid="{4B0E6301-2DC9-4A35-AF0F-AB2B4139304F}"/>
    <cellStyle name="Normal 14 2 4 9" xfId="8235" xr:uid="{A5336AAA-7E84-469D-8D44-D4180916933B}"/>
    <cellStyle name="Normal 14 2 4 9 2" xfId="16615" xr:uid="{932442F4-1D13-47A2-B90B-B0B0386DBF7E}"/>
    <cellStyle name="Normal 14 2 4 9 2 2" xfId="33375" xr:uid="{1329A32D-C3B4-4821-926D-0E266BE6B102}"/>
    <cellStyle name="Normal 14 2 4 9 2 3" xfId="50134" xr:uid="{7F0BD925-596B-4767-B721-D4897E03BB42}"/>
    <cellStyle name="Normal 14 2 4 9 3" xfId="24995" xr:uid="{2AFDC536-4DBB-4CE1-903E-0404579CDB77}"/>
    <cellStyle name="Normal 14 2 4 9 4" xfId="41754" xr:uid="{51375208-3E21-4FB9-A177-889A822872F8}"/>
    <cellStyle name="Normal 14 2 5" xfId="805" xr:uid="{E53EDDA6-13C5-492D-B43A-514FAC662DC6}"/>
    <cellStyle name="Normal 14 2 5 2" xfId="4200" xr:uid="{50E81FA3-5539-4C66-8335-9D42773902BE}"/>
    <cellStyle name="Normal 14 2 5 2 2" xfId="12580" xr:uid="{D620CD0D-800F-415A-A1B3-70AC0EA5B936}"/>
    <cellStyle name="Normal 14 2 5 2 2 2" xfId="29340" xr:uid="{F4D50FB5-EBDD-46D8-998A-D7DAF639FC04}"/>
    <cellStyle name="Normal 14 2 5 2 2 3" xfId="46099" xr:uid="{C9518EFC-84AD-424D-BE4F-0CDBFBD85F39}"/>
    <cellStyle name="Normal 14 2 5 2 3" xfId="20960" xr:uid="{667AEAE7-AC77-4C1E-B206-BCED7712357C}"/>
    <cellStyle name="Normal 14 2 5 2 4" xfId="37719" xr:uid="{79A09945-D5E9-4EAE-9B39-8A88066E14F7}"/>
    <cellStyle name="Normal 14 2 5 3" xfId="5887" xr:uid="{7ACCC329-ACF4-464B-BB1F-CB51FB000177}"/>
    <cellStyle name="Normal 14 2 5 3 2" xfId="14267" xr:uid="{8B63731A-B705-4D7E-AC91-CA7E82BA8352}"/>
    <cellStyle name="Normal 14 2 5 3 2 2" xfId="31027" xr:uid="{D548746B-FC8F-4F0D-917F-82B249E82D06}"/>
    <cellStyle name="Normal 14 2 5 3 2 3" xfId="47786" xr:uid="{F45C78D1-5A7B-49EF-8528-563DC9569ADC}"/>
    <cellStyle name="Normal 14 2 5 3 3" xfId="22647" xr:uid="{AADA2FE5-8671-4EB0-91CB-A2A4E4DE1A68}"/>
    <cellStyle name="Normal 14 2 5 3 4" xfId="39406" xr:uid="{B9FF70D7-3C20-411C-B7DE-4293053FE73C}"/>
    <cellStyle name="Normal 14 2 5 4" xfId="2623" xr:uid="{C010F339-FB4F-4474-BC8E-03D3E7812EDB}"/>
    <cellStyle name="Normal 14 2 5 4 2" xfId="11003" xr:uid="{8847A12F-EB4F-4B7D-B4B1-DB84B3FCE9A1}"/>
    <cellStyle name="Normal 14 2 5 4 2 2" xfId="27763" xr:uid="{1D73F74D-E6E9-45EC-8098-4B52C408EC02}"/>
    <cellStyle name="Normal 14 2 5 4 2 3" xfId="44522" xr:uid="{99B2EFD1-CFC3-4BAF-B515-AE46676667D3}"/>
    <cellStyle name="Normal 14 2 5 4 3" xfId="19383" xr:uid="{ECBBC9F1-08E7-4BAA-94CD-C47EA68823CF}"/>
    <cellStyle name="Normal 14 2 5 4 4" xfId="36142" xr:uid="{7B899F60-F26F-4F13-B24E-C65930210E62}"/>
    <cellStyle name="Normal 14 2 5 5" xfId="9200" xr:uid="{F6FA577B-BBA6-40C0-87FB-5021EAFB1789}"/>
    <cellStyle name="Normal 14 2 5 5 2" xfId="25960" xr:uid="{52B89600-5992-4817-8C2E-E2AB1D459990}"/>
    <cellStyle name="Normal 14 2 5 5 3" xfId="42719" xr:uid="{8172E216-1D5F-4A28-B4DB-C89543CEF4C8}"/>
    <cellStyle name="Normal 14 2 5 6" xfId="17580" xr:uid="{5B06270F-20F6-43D6-83EA-FD058A73F5F4}"/>
    <cellStyle name="Normal 14 2 5 7" xfId="34339" xr:uid="{02222001-890E-4E39-B40E-8B701860A038}"/>
    <cellStyle name="Normal 14 2 6" xfId="1239" xr:uid="{41AD39B8-EAAF-41E4-970C-C3B54359CFD4}"/>
    <cellStyle name="Normal 14 2 6 2" xfId="4628" xr:uid="{B16EDF76-B1C6-4334-9CF0-FA468AAFFEC5}"/>
    <cellStyle name="Normal 14 2 6 2 2" xfId="13008" xr:uid="{2CD65680-893F-48E7-A432-EDA73E8250E0}"/>
    <cellStyle name="Normal 14 2 6 2 2 2" xfId="29768" xr:uid="{2B4A1411-BA2D-4909-83E7-6F7403379E31}"/>
    <cellStyle name="Normal 14 2 6 2 2 3" xfId="46527" xr:uid="{39E2E89F-C694-4BEE-B98A-955B9D2EC07C}"/>
    <cellStyle name="Normal 14 2 6 2 3" xfId="21388" xr:uid="{7ED0750A-AAEC-472E-9772-661285046979}"/>
    <cellStyle name="Normal 14 2 6 2 4" xfId="38147" xr:uid="{7F66DCD0-0049-4765-B0C3-FEBD3A9A9B1D}"/>
    <cellStyle name="Normal 14 2 6 3" xfId="6315" xr:uid="{FB8D0AD6-37A2-4F50-80A4-91F846DED8DF}"/>
    <cellStyle name="Normal 14 2 6 3 2" xfId="14695" xr:uid="{7B04BF07-ED1C-47BD-AB25-0396B2E78E90}"/>
    <cellStyle name="Normal 14 2 6 3 2 2" xfId="31455" xr:uid="{3D6A49B8-37F1-4246-8A69-278F91C8C8E9}"/>
    <cellStyle name="Normal 14 2 6 3 2 3" xfId="48214" xr:uid="{C4927F6E-7BCC-41AF-8E11-DC6AB0303770}"/>
    <cellStyle name="Normal 14 2 6 3 3" xfId="23075" xr:uid="{5C7D1190-43FD-4ED9-BFCE-E07A0BFAD7C3}"/>
    <cellStyle name="Normal 14 2 6 3 4" xfId="39834" xr:uid="{81B00475-CF38-4113-957B-84E6D7FAFC83}"/>
    <cellStyle name="Normal 14 2 6 4" xfId="3051" xr:uid="{19DB15C6-A136-4C8A-8514-CD3EAD55B0E7}"/>
    <cellStyle name="Normal 14 2 6 4 2" xfId="11431" xr:uid="{581200FD-B688-4C81-BE97-882E3E63A075}"/>
    <cellStyle name="Normal 14 2 6 4 2 2" xfId="28191" xr:uid="{59BAE45A-54DF-43C3-A0E7-DAB01CE1AA70}"/>
    <cellStyle name="Normal 14 2 6 4 2 3" xfId="44950" xr:uid="{65CEFE6A-730E-426A-8E05-8EA49F7DB8CF}"/>
    <cellStyle name="Normal 14 2 6 4 3" xfId="19811" xr:uid="{799CB2B9-D381-4A56-A7E4-0E4EA3C209A5}"/>
    <cellStyle name="Normal 14 2 6 4 4" xfId="36570" xr:uid="{218A5670-1A71-466B-A7D6-C18953D0001D}"/>
    <cellStyle name="Normal 14 2 6 5" xfId="9628" xr:uid="{EEDE7B86-325F-465A-AB1C-E5E6EF4CF63E}"/>
    <cellStyle name="Normal 14 2 6 5 2" xfId="26388" xr:uid="{98804EE9-C278-4A84-BD32-371956F9637F}"/>
    <cellStyle name="Normal 14 2 6 5 3" xfId="43147" xr:uid="{BC26895A-DB27-4546-B5AD-31E31C5B9C50}"/>
    <cellStyle name="Normal 14 2 6 6" xfId="18008" xr:uid="{ABCF2430-9B2F-4F67-81E5-29CC580928DD}"/>
    <cellStyle name="Normal 14 2 6 7" xfId="34767" xr:uid="{F7D8DDF4-CA51-4605-946D-3D476D0A2C7D}"/>
    <cellStyle name="Normal 14 2 7" xfId="1670" xr:uid="{C74BD29D-9608-4073-86E3-887445E0381A}"/>
    <cellStyle name="Normal 14 2 7 2" xfId="5059" xr:uid="{459EF0C3-E41C-4036-A67F-41583ACB1E47}"/>
    <cellStyle name="Normal 14 2 7 2 2" xfId="13439" xr:uid="{5BC9EE47-DEF5-4BBD-BEA8-6FEE9BB1CC3B}"/>
    <cellStyle name="Normal 14 2 7 2 2 2" xfId="30199" xr:uid="{E281F63A-BBD7-4C55-8EE9-8EC9A70A2877}"/>
    <cellStyle name="Normal 14 2 7 2 2 3" xfId="46958" xr:uid="{C6788ED9-0836-4921-908C-F0314A2CF913}"/>
    <cellStyle name="Normal 14 2 7 2 3" xfId="21819" xr:uid="{67014CF9-90F7-4F42-8E84-75BDE1C72B47}"/>
    <cellStyle name="Normal 14 2 7 2 4" xfId="38578" xr:uid="{599189AB-2AA6-4C49-9222-E3B53244E8FF}"/>
    <cellStyle name="Normal 14 2 7 3" xfId="6746" xr:uid="{01D6B081-1981-4978-AB07-BBA700775F14}"/>
    <cellStyle name="Normal 14 2 7 3 2" xfId="15126" xr:uid="{773E7890-526B-40AD-94AD-1E2B09FC0E05}"/>
    <cellStyle name="Normal 14 2 7 3 2 2" xfId="31886" xr:uid="{7818510F-B73C-4F55-AED6-007B7D728FE1}"/>
    <cellStyle name="Normal 14 2 7 3 2 3" xfId="48645" xr:uid="{BC31EFDE-9061-470D-A3D1-18878848F464}"/>
    <cellStyle name="Normal 14 2 7 3 3" xfId="23506" xr:uid="{104CDA1C-884F-4F90-8062-EB6DF3170671}"/>
    <cellStyle name="Normal 14 2 7 3 4" xfId="40265" xr:uid="{DCD7D559-2D8E-474F-AEC2-CEA7A4D55E43}"/>
    <cellStyle name="Normal 14 2 7 4" xfId="2190" xr:uid="{049D1AF1-502A-4A98-B08A-F85CDB570732}"/>
    <cellStyle name="Normal 14 2 7 4 2" xfId="10577" xr:uid="{B119BAC3-8B8D-4C6C-8CD0-1264D2196B57}"/>
    <cellStyle name="Normal 14 2 7 4 2 2" xfId="27337" xr:uid="{A0066AAD-F69A-489D-A353-2C153E374ECD}"/>
    <cellStyle name="Normal 14 2 7 4 2 3" xfId="44096" xr:uid="{9D8FB6DA-7392-45D0-83CF-F82380551FFC}"/>
    <cellStyle name="Normal 14 2 7 4 3" xfId="18957" xr:uid="{CBF50CF1-9DF4-464B-AAB2-AFD13DB573F9}"/>
    <cellStyle name="Normal 14 2 7 4 4" xfId="35716" xr:uid="{8358D53D-110C-4291-9634-34D2E92B5072}"/>
    <cellStyle name="Normal 14 2 7 5" xfId="10059" xr:uid="{3DB333FC-67C7-47B8-8B3A-D68BE1409FC5}"/>
    <cellStyle name="Normal 14 2 7 5 2" xfId="26819" xr:uid="{E8A55F0D-6EF0-49BC-8065-D05261CF3DC5}"/>
    <cellStyle name="Normal 14 2 7 5 3" xfId="43578" xr:uid="{7FD3DDC1-749F-4C42-A03C-46DEB1C41313}"/>
    <cellStyle name="Normal 14 2 7 6" xfId="18439" xr:uid="{88FD455F-A348-4934-9410-D51E1CA5CEC2}"/>
    <cellStyle name="Normal 14 2 7 7" xfId="35198" xr:uid="{A4CEF1CF-978E-4760-AF92-0593DBEBCB72}"/>
    <cellStyle name="Normal 14 2 8" xfId="3788" xr:uid="{F1DF3434-D80D-4D47-803B-34E2ED81C68D}"/>
    <cellStyle name="Normal 14 2 8 2" xfId="12168" xr:uid="{E8C29D58-2474-473C-B155-8ED369121FF5}"/>
    <cellStyle name="Normal 14 2 8 2 2" xfId="28928" xr:uid="{47E4C17B-A8AD-4370-9C9D-65F9BF3FB7BE}"/>
    <cellStyle name="Normal 14 2 8 2 3" xfId="45687" xr:uid="{2DDEBAF5-DFF4-4FE4-82A9-E9BE3238ED1B}"/>
    <cellStyle name="Normal 14 2 8 3" xfId="20548" xr:uid="{E07DE2E5-3282-42B3-8A64-CD3834074279}"/>
    <cellStyle name="Normal 14 2 8 4" xfId="37307" xr:uid="{D65CB2C5-8A25-4CC0-871F-B31504171C3A}"/>
    <cellStyle name="Normal 14 2 9" xfId="5461" xr:uid="{F79744D1-C337-423A-B0E6-5A118C1451D0}"/>
    <cellStyle name="Normal 14 2 9 2" xfId="13841" xr:uid="{E20CFE7B-BCE1-4BD5-B9E3-1B23A938AF50}"/>
    <cellStyle name="Normal 14 2 9 2 2" xfId="30601" xr:uid="{F558F050-A0B4-41AD-BEDD-40281E2F86EC}"/>
    <cellStyle name="Normal 14 2 9 2 3" xfId="47360" xr:uid="{2839BCF3-4A13-4C38-8210-87E0F2D1C06C}"/>
    <cellStyle name="Normal 14 2 9 3" xfId="22221" xr:uid="{D6D97141-6C58-4D7B-AD62-4FB3B83B6844}"/>
    <cellStyle name="Normal 14 2 9 4" xfId="38980" xr:uid="{FBD99DEB-35B1-4A3F-9B63-A900E90D6427}"/>
    <cellStyle name="Normal 14 20" xfId="33885" xr:uid="{0055B5D9-6619-47E0-99E6-06E73108ADE6}"/>
    <cellStyle name="Normal 14 21" xfId="50935" xr:uid="{11ECBDA4-8F40-4EE6-85A3-D914332DCC1A}"/>
    <cellStyle name="Normal 14 22" xfId="272" xr:uid="{C669779E-37DE-41F0-8371-8DF7C07532EA}"/>
    <cellStyle name="Normal 14 3" xfId="356" xr:uid="{98275BEC-5E2B-43BC-9984-3FA855F088AC}"/>
    <cellStyle name="Normal 14 3 10" xfId="7559" xr:uid="{E78D8FA2-2029-4E44-9E38-597BBA11CE00}"/>
    <cellStyle name="Normal 14 3 10 2" xfId="15939" xr:uid="{BFC78D88-5B53-4344-A572-97D4E4461C77}"/>
    <cellStyle name="Normal 14 3 10 2 2" xfId="32699" xr:uid="{8C8D81E8-FDB3-411D-8A6B-CF9948923E47}"/>
    <cellStyle name="Normal 14 3 10 2 3" xfId="49458" xr:uid="{3F8BBBE3-9ED0-4B97-A248-10685956FB9E}"/>
    <cellStyle name="Normal 14 3 10 3" xfId="24319" xr:uid="{5DDAAE92-A911-40D9-856D-390377B3499D}"/>
    <cellStyle name="Normal 14 3 10 4" xfId="41078" xr:uid="{9A38371B-695B-429A-BB6B-1FC86C7ABB36}"/>
    <cellStyle name="Normal 14 3 11" xfId="7965" xr:uid="{1A6E35AF-165F-4277-9272-EC6232981C06}"/>
    <cellStyle name="Normal 14 3 11 2" xfId="16345" xr:uid="{1356FC38-F2FF-4C4E-9A04-546B6424A03B}"/>
    <cellStyle name="Normal 14 3 11 2 2" xfId="33105" xr:uid="{538729EC-795B-4656-9983-C9DC15BDEDFE}"/>
    <cellStyle name="Normal 14 3 11 2 3" xfId="49864" xr:uid="{4A8504FD-DA0C-40FD-BB56-A1E1EBE2A2F5}"/>
    <cellStyle name="Normal 14 3 11 3" xfId="24725" xr:uid="{4C590126-E9B0-4E86-92DA-992805F4C708}"/>
    <cellStyle name="Normal 14 3 11 4" xfId="41484" xr:uid="{5489CCC2-6CEF-4003-8655-3270C18176AC}"/>
    <cellStyle name="Normal 14 3 12" xfId="8371" xr:uid="{2E0F8C8F-0C68-488F-A164-F88036592418}"/>
    <cellStyle name="Normal 14 3 12 2" xfId="16751" xr:uid="{6BCBEA73-33BF-4A22-BD1B-F1E2457EC720}"/>
    <cellStyle name="Normal 14 3 12 2 2" xfId="33511" xr:uid="{64DBECF9-1CCF-4F57-9D0C-E5095144F2EA}"/>
    <cellStyle name="Normal 14 3 12 2 3" xfId="50270" xr:uid="{A5BB7C6F-9ADD-4F23-A2D5-3AB5D6ECDB27}"/>
    <cellStyle name="Normal 14 3 12 3" xfId="25131" xr:uid="{BD11E866-16A4-442C-BF7A-6C7968241090}"/>
    <cellStyle name="Normal 14 3 12 4" xfId="41890" xr:uid="{57DBF961-9FB8-476D-8514-556F21D6D1FB}"/>
    <cellStyle name="Normal 14 3 13" xfId="2086" xr:uid="{203EA5E8-FF3C-4729-AD2F-093DBE420D02}"/>
    <cellStyle name="Normal 14 3 13 2" xfId="10474" xr:uid="{E333A6A0-AAC4-4658-A40E-8BB2116C9E3C}"/>
    <cellStyle name="Normal 14 3 13 2 2" xfId="27234" xr:uid="{65AA5A1B-6F9D-4E7C-983F-9C75BED839E5}"/>
    <cellStyle name="Normal 14 3 13 2 3" xfId="43993" xr:uid="{36F8202E-D6A0-42AB-9E40-2212D34F3E6F}"/>
    <cellStyle name="Normal 14 3 13 3" xfId="18854" xr:uid="{4CAE839E-11DC-4726-A0B8-96D4181964E3}"/>
    <cellStyle name="Normal 14 3 13 4" xfId="35613" xr:uid="{81C3FD4F-ACF5-4E47-8D5E-B1B4B7402415}"/>
    <cellStyle name="Normal 14 3 14" xfId="8820" xr:uid="{01CE304D-327E-45BC-BBB9-55154DE91272}"/>
    <cellStyle name="Normal 14 3 14 2" xfId="25580" xr:uid="{0DE99001-7AF3-44A0-AAF7-13C7C6777D1E}"/>
    <cellStyle name="Normal 14 3 14 3" xfId="42339" xr:uid="{EF6A0000-2057-49DC-AA49-2F55D7559AE6}"/>
    <cellStyle name="Normal 14 3 15" xfId="17200" xr:uid="{34F95CC1-11D2-477E-B6CB-7EAF4F2652A0}"/>
    <cellStyle name="Normal 14 3 16" xfId="33959" xr:uid="{D01B7E48-A27E-40F5-A85A-7126135C4379}"/>
    <cellStyle name="Normal 14 3 2" xfId="553" xr:uid="{F8901D8B-9792-403C-A6AD-A638845FD8DB}"/>
    <cellStyle name="Normal 14 3 2 10" xfId="8506" xr:uid="{6913C20D-0B41-4D9E-AFE6-095AC755A800}"/>
    <cellStyle name="Normal 14 3 2 10 2" xfId="16886" xr:uid="{5AD03068-215F-45F4-BF17-BE8762FFA90C}"/>
    <cellStyle name="Normal 14 3 2 10 2 2" xfId="33646" xr:uid="{024C9724-B1F2-4FA6-A107-8BFDAE2268FE}"/>
    <cellStyle name="Normal 14 3 2 10 2 3" xfId="50405" xr:uid="{DE17A85F-6CF1-4226-9D47-910549534AE0}"/>
    <cellStyle name="Normal 14 3 2 10 3" xfId="25266" xr:uid="{6C7772C4-9BE2-4E97-8E54-BBE47072C042}"/>
    <cellStyle name="Normal 14 3 2 10 4" xfId="42025" xr:uid="{A8DF0B6B-7953-41ED-AE91-7C610156C30F}"/>
    <cellStyle name="Normal 14 3 2 11" xfId="2385" xr:uid="{3655C191-0DE2-4472-A5A7-3963CFCA4AA0}"/>
    <cellStyle name="Normal 14 3 2 11 2" xfId="10767" xr:uid="{118553E5-8F57-488F-8DD1-A1C9515B97D1}"/>
    <cellStyle name="Normal 14 3 2 11 2 2" xfId="27527" xr:uid="{A6507115-D682-4C70-93DB-B59E7F616CD2}"/>
    <cellStyle name="Normal 14 3 2 11 2 3" xfId="44286" xr:uid="{D76171C5-E058-4F9D-A7C4-553F09A0174B}"/>
    <cellStyle name="Normal 14 3 2 11 3" xfId="19147" xr:uid="{1FC57D30-7FA1-46E1-8C71-0BB03943B9B4}"/>
    <cellStyle name="Normal 14 3 2 11 4" xfId="35906" xr:uid="{48F6490C-8976-4123-A7CF-DD524715EDBE}"/>
    <cellStyle name="Normal 14 3 2 12" xfId="8964" xr:uid="{1D39DEFA-F859-4803-BD69-E3B5DEC63526}"/>
    <cellStyle name="Normal 14 3 2 12 2" xfId="25724" xr:uid="{51B199FF-68C2-4E0F-834B-702DA6696182}"/>
    <cellStyle name="Normal 14 3 2 12 3" xfId="42483" xr:uid="{898765B5-DE75-46FB-BFC2-7C41B12D4678}"/>
    <cellStyle name="Normal 14 3 2 13" xfId="17344" xr:uid="{F277A741-504A-4209-88DC-25D6A33A7718}"/>
    <cellStyle name="Normal 14 3 2 14" xfId="34103" xr:uid="{FE9C1DF9-150F-4A38-9ED5-A191F684F500}"/>
    <cellStyle name="Normal 14 3 2 2" xfId="995" xr:uid="{12325AFF-129B-4757-BA54-3C00A09149BD}"/>
    <cellStyle name="Normal 14 3 2 2 2" xfId="4390" xr:uid="{C4FE3CD1-4E85-4135-839A-A36F09DEBD91}"/>
    <cellStyle name="Normal 14 3 2 2 2 2" xfId="12770" xr:uid="{87241086-44B3-439D-B57F-FC2273EDB58F}"/>
    <cellStyle name="Normal 14 3 2 2 2 2 2" xfId="29530" xr:uid="{0A0FE20F-2FB0-4FD0-B44D-C90061603839}"/>
    <cellStyle name="Normal 14 3 2 2 2 2 3" xfId="46289" xr:uid="{D163D54A-1261-41B8-A107-83FBD6F3F0EB}"/>
    <cellStyle name="Normal 14 3 2 2 2 3" xfId="21150" xr:uid="{C96BAE15-CE08-4C5B-9C81-A2657100250E}"/>
    <cellStyle name="Normal 14 3 2 2 2 4" xfId="37909" xr:uid="{875B1CE6-C083-4F6F-BC84-4CF0D20213E6}"/>
    <cellStyle name="Normal 14 3 2 2 3" xfId="6077" xr:uid="{B8EB5FB2-C2EA-4AFF-8735-6A3FB2365870}"/>
    <cellStyle name="Normal 14 3 2 2 3 2" xfId="14457" xr:uid="{6A46BB06-7930-4757-9026-3408708805C7}"/>
    <cellStyle name="Normal 14 3 2 2 3 2 2" xfId="31217" xr:uid="{FB4790C2-B3BF-4B4A-A064-534E078A15AE}"/>
    <cellStyle name="Normal 14 3 2 2 3 2 3" xfId="47976" xr:uid="{465EE6F8-8171-44D2-9F1A-334C7D71EFF6}"/>
    <cellStyle name="Normal 14 3 2 2 3 3" xfId="22837" xr:uid="{3A70A1F9-3D3E-4DCE-9A22-962A0C96E896}"/>
    <cellStyle name="Normal 14 3 2 2 3 4" xfId="39596" xr:uid="{3C5C97D0-BBD4-4EE1-B1DE-6045C3768835}"/>
    <cellStyle name="Normal 14 3 2 2 4" xfId="2813" xr:uid="{E8E9C8F4-CC93-4E39-AFFE-CA09F5AA3CC9}"/>
    <cellStyle name="Normal 14 3 2 2 4 2" xfId="11193" xr:uid="{1BCE960C-7DFF-41DD-B190-3237912A37B1}"/>
    <cellStyle name="Normal 14 3 2 2 4 2 2" xfId="27953" xr:uid="{D5E34B1C-CDA3-4FA2-B9A1-C2D021E129F4}"/>
    <cellStyle name="Normal 14 3 2 2 4 2 3" xfId="44712" xr:uid="{8B0CD377-EB95-42B6-A211-C77B10EA9329}"/>
    <cellStyle name="Normal 14 3 2 2 4 3" xfId="19573" xr:uid="{C6053A24-8F35-4CB0-9699-C358649A40D4}"/>
    <cellStyle name="Normal 14 3 2 2 4 4" xfId="36332" xr:uid="{EEB43595-4F8E-4AB1-B4D8-0F939BCACEA2}"/>
    <cellStyle name="Normal 14 3 2 2 5" xfId="9390" xr:uid="{63BC39A5-09B8-47D2-931A-9E41434FB37B}"/>
    <cellStyle name="Normal 14 3 2 2 5 2" xfId="26150" xr:uid="{44F5CB70-14DC-4CF5-B257-9B42A48096A8}"/>
    <cellStyle name="Normal 14 3 2 2 5 3" xfId="42909" xr:uid="{EFE78783-7189-4272-98F5-8401211BE64E}"/>
    <cellStyle name="Normal 14 3 2 2 6" xfId="17770" xr:uid="{6C08F94D-E34A-465A-97DA-73BDE0A7BB46}"/>
    <cellStyle name="Normal 14 3 2 2 7" xfId="34529" xr:uid="{43D14B12-0B68-4548-ACD1-0F22413C1062}"/>
    <cellStyle name="Normal 14 3 2 3" xfId="1429" xr:uid="{10F9BE8B-C391-4A9D-A323-296A9DE5D1C6}"/>
    <cellStyle name="Normal 14 3 2 3 2" xfId="4818" xr:uid="{080A5193-E918-437A-A3B5-7200146B9EE5}"/>
    <cellStyle name="Normal 14 3 2 3 2 2" xfId="13198" xr:uid="{C1B1B083-7033-49DB-B6E9-0AD82FA8FEC5}"/>
    <cellStyle name="Normal 14 3 2 3 2 2 2" xfId="29958" xr:uid="{495E1F4E-9BA7-4689-885A-6A291AC149A4}"/>
    <cellStyle name="Normal 14 3 2 3 2 2 3" xfId="46717" xr:uid="{7ADD5EF5-CF48-4753-AA03-E5BB5A75E498}"/>
    <cellStyle name="Normal 14 3 2 3 2 3" xfId="21578" xr:uid="{852865E7-3B3E-4CC3-9A90-6F5C5CC1CB40}"/>
    <cellStyle name="Normal 14 3 2 3 2 4" xfId="38337" xr:uid="{785E3BAA-F3F4-420D-9E46-18C4BE239A3F}"/>
    <cellStyle name="Normal 14 3 2 3 3" xfId="6505" xr:uid="{E4DFCCAE-6A14-4FB2-8778-885EEDEB0F48}"/>
    <cellStyle name="Normal 14 3 2 3 3 2" xfId="14885" xr:uid="{75950D2B-D4A2-40F7-9493-8FB186CFC3B8}"/>
    <cellStyle name="Normal 14 3 2 3 3 2 2" xfId="31645" xr:uid="{E06A3EB2-5821-4347-8872-409C126D6100}"/>
    <cellStyle name="Normal 14 3 2 3 3 2 3" xfId="48404" xr:uid="{561DECF5-4CF1-4EE7-B568-430DF1CCABAD}"/>
    <cellStyle name="Normal 14 3 2 3 3 3" xfId="23265" xr:uid="{DD7BF741-485D-4EAB-A363-22CC7B70D36F}"/>
    <cellStyle name="Normal 14 3 2 3 3 4" xfId="40024" xr:uid="{0D46EB89-458D-45C3-B84B-0A6B15D43597}"/>
    <cellStyle name="Normal 14 3 2 3 4" xfId="3241" xr:uid="{41CF3767-B599-460F-9BE9-DEE78BD1DDA1}"/>
    <cellStyle name="Normal 14 3 2 3 4 2" xfId="11621" xr:uid="{EF76A2BF-D688-473E-9A07-CA5658D66BB8}"/>
    <cellStyle name="Normal 14 3 2 3 4 2 2" xfId="28381" xr:uid="{9FA57B32-46BB-4CFC-A2E7-2441511DB90F}"/>
    <cellStyle name="Normal 14 3 2 3 4 2 3" xfId="45140" xr:uid="{719C65E3-62F3-4DFC-8EB7-19DAC72C77CA}"/>
    <cellStyle name="Normal 14 3 2 3 4 3" xfId="20001" xr:uid="{944C707D-5B88-4A00-8918-2427AAF0CA42}"/>
    <cellStyle name="Normal 14 3 2 3 4 4" xfId="36760" xr:uid="{C98F93D5-B210-4459-86C8-9C694AAFECF8}"/>
    <cellStyle name="Normal 14 3 2 3 5" xfId="9818" xr:uid="{25E40F39-D99E-4CEF-9808-2CE956E7784F}"/>
    <cellStyle name="Normal 14 3 2 3 5 2" xfId="26578" xr:uid="{888803DC-148B-4FF8-A792-DF470C9988CE}"/>
    <cellStyle name="Normal 14 3 2 3 5 3" xfId="43337" xr:uid="{87397E4C-2C9B-479D-90B0-6A288EB2E581}"/>
    <cellStyle name="Normal 14 3 2 3 6" xfId="18198" xr:uid="{97AFBB38-C14D-4E77-8F91-B4FA5C324CE8}"/>
    <cellStyle name="Normal 14 3 2 3 7" xfId="34957" xr:uid="{B97D523B-2ADE-4F22-BBCC-9C17C1AE13A9}"/>
    <cellStyle name="Normal 14 3 2 4" xfId="1806" xr:uid="{5EC77B4B-4C6D-4B3F-B0AA-DE107518DFAC}"/>
    <cellStyle name="Normal 14 3 2 4 2" xfId="5195" xr:uid="{248727BF-F688-4CA8-8762-2BA83926FEC9}"/>
    <cellStyle name="Normal 14 3 2 4 2 2" xfId="13575" xr:uid="{907ED1CE-64B7-485D-8CE0-71A6560AA175}"/>
    <cellStyle name="Normal 14 3 2 4 2 2 2" xfId="30335" xr:uid="{1DC88D27-B8DF-45A1-845B-9CA2873A9660}"/>
    <cellStyle name="Normal 14 3 2 4 2 2 3" xfId="47094" xr:uid="{E0EDE2FD-2DE7-4063-886B-C974DAA81E37}"/>
    <cellStyle name="Normal 14 3 2 4 2 3" xfId="21955" xr:uid="{3DCB4ED3-7F09-48AE-8D1F-BE46EECA1033}"/>
    <cellStyle name="Normal 14 3 2 4 2 4" xfId="38714" xr:uid="{6421B6E4-6110-4172-BC61-6AC73ECDC941}"/>
    <cellStyle name="Normal 14 3 2 4 3" xfId="6882" xr:uid="{CDE731D6-2EB9-4F8B-AA2E-E13764F6ED29}"/>
    <cellStyle name="Normal 14 3 2 4 3 2" xfId="15262" xr:uid="{D8AB0353-A52C-4CC1-8AF8-534680BBF2F6}"/>
    <cellStyle name="Normal 14 3 2 4 3 2 2" xfId="32022" xr:uid="{0B38AF8B-F2D9-421D-ADF8-1BA7D0A2BD3E}"/>
    <cellStyle name="Normal 14 3 2 4 3 2 3" xfId="48781" xr:uid="{A200B104-F652-45B3-8BCD-70B261172229}"/>
    <cellStyle name="Normal 14 3 2 4 3 3" xfId="23642" xr:uid="{3BE80A1D-ADCC-4040-9128-1BFD0E2492C8}"/>
    <cellStyle name="Normal 14 3 2 4 3 4" xfId="40401" xr:uid="{EBD58910-52E0-4DDA-A530-A6EFB5B19CF2}"/>
    <cellStyle name="Normal 14 3 2 4 4" xfId="3506" xr:uid="{1281E4B9-C5D8-4163-98F0-3FCDDC554B3E}"/>
    <cellStyle name="Normal 14 3 2 4 4 2" xfId="11886" xr:uid="{1E03DAD7-FD39-4515-B3C3-31174FD052D9}"/>
    <cellStyle name="Normal 14 3 2 4 4 2 2" xfId="28646" xr:uid="{C818E45C-6BA7-4F5C-88CC-959E26DEB59E}"/>
    <cellStyle name="Normal 14 3 2 4 4 2 3" xfId="45405" xr:uid="{67B4DFDD-A62C-44DB-B972-72629539A605}"/>
    <cellStyle name="Normal 14 3 2 4 4 3" xfId="20266" xr:uid="{27B748E5-AB5A-48F8-A0BF-9857EE76C166}"/>
    <cellStyle name="Normal 14 3 2 4 4 4" xfId="37025" xr:uid="{82285604-4F83-4124-97B5-144A5E3487E8}"/>
    <cellStyle name="Normal 14 3 2 4 5" xfId="10195" xr:uid="{0E3BE116-52E7-4BD5-A208-3AD94C61859D}"/>
    <cellStyle name="Normal 14 3 2 4 5 2" xfId="26955" xr:uid="{92A7D7A9-7A95-4A8E-9515-10ED8911F214}"/>
    <cellStyle name="Normal 14 3 2 4 5 3" xfId="43714" xr:uid="{8076C65D-8813-4EA4-BF5E-222D7D03202E}"/>
    <cellStyle name="Normal 14 3 2 4 6" xfId="18575" xr:uid="{43FD6732-A2E2-4722-BB14-17D411AB8C37}"/>
    <cellStyle name="Normal 14 3 2 4 7" xfId="35334" xr:uid="{01C61A92-DAB9-44FE-A337-A9CCE29A8A4F}"/>
    <cellStyle name="Normal 14 3 2 5" xfId="3925" xr:uid="{C900C0B2-A192-47A9-89E7-76EC730A46B4}"/>
    <cellStyle name="Normal 14 3 2 5 2" xfId="12305" xr:uid="{79902012-49B5-4591-BD4D-59ED9B7CBFA9}"/>
    <cellStyle name="Normal 14 3 2 5 2 2" xfId="29065" xr:uid="{F8C08041-7F86-48A7-8E77-9B43164F4EFD}"/>
    <cellStyle name="Normal 14 3 2 5 2 3" xfId="45824" xr:uid="{8F8C3EDD-E90F-4F47-8DD9-7D0A6F32B337}"/>
    <cellStyle name="Normal 14 3 2 5 3" xfId="20685" xr:uid="{DA4925EF-F409-4187-A140-B77DC19E2C8B}"/>
    <cellStyle name="Normal 14 3 2 5 4" xfId="37444" xr:uid="{832F2547-0353-4448-88C0-6DB149C6994A}"/>
    <cellStyle name="Normal 14 3 2 6" xfId="5651" xr:uid="{FCDBAEBF-B5FC-4ACF-BF7B-3979A15DA7C0}"/>
    <cellStyle name="Normal 14 3 2 6 2" xfId="14031" xr:uid="{FFD4B545-66C6-43FF-80BE-FEE5511049A7}"/>
    <cellStyle name="Normal 14 3 2 6 2 2" xfId="30791" xr:uid="{DCFCA5DE-6BFE-4FBB-AA8F-3F06B6BF04B5}"/>
    <cellStyle name="Normal 14 3 2 6 2 3" xfId="47550" xr:uid="{18782C6A-A9D4-46F8-A185-29CD30F9919D}"/>
    <cellStyle name="Normal 14 3 2 6 3" xfId="22411" xr:uid="{B5BCDDFA-BA61-4CDA-A5B9-8BC899E21C36}"/>
    <cellStyle name="Normal 14 3 2 6 4" xfId="39170" xr:uid="{99C15B31-27BF-45EE-ABA2-F2E8D12295C1}"/>
    <cellStyle name="Normal 14 3 2 7" xfId="7288" xr:uid="{98DF3122-7071-4861-89A8-F1A7A687F7D0}"/>
    <cellStyle name="Normal 14 3 2 7 2" xfId="15668" xr:uid="{4D0A14DB-3221-4481-BD38-00B712D141B4}"/>
    <cellStyle name="Normal 14 3 2 7 2 2" xfId="32428" xr:uid="{0C5DCD99-C489-4616-BD94-BF9F60C5AEF2}"/>
    <cellStyle name="Normal 14 3 2 7 2 3" xfId="49187" xr:uid="{BA963BE5-D999-4A49-8E54-CDCC80EF20FB}"/>
    <cellStyle name="Normal 14 3 2 7 3" xfId="24048" xr:uid="{C4144591-DFEB-4CD5-A9EF-851EAFDEB8EB}"/>
    <cellStyle name="Normal 14 3 2 7 4" xfId="40807" xr:uid="{1489E472-CC35-4F82-A56A-92A244FFDBA4}"/>
    <cellStyle name="Normal 14 3 2 8" xfId="7694" xr:uid="{6E5C7760-5208-424A-9D33-0D5A9709B984}"/>
    <cellStyle name="Normal 14 3 2 8 2" xfId="16074" xr:uid="{FEE41EFD-9311-4A22-9CC8-C2AE6B1135A5}"/>
    <cellStyle name="Normal 14 3 2 8 2 2" xfId="32834" xr:uid="{F76D4F87-8E0C-4294-AED3-AC1BBCC32FA4}"/>
    <cellStyle name="Normal 14 3 2 8 2 3" xfId="49593" xr:uid="{3E0F804A-0EC9-4A2D-88B7-C2311C72F0CC}"/>
    <cellStyle name="Normal 14 3 2 8 3" xfId="24454" xr:uid="{D34C7A36-AED0-46A1-9BDD-3F66BE564E72}"/>
    <cellStyle name="Normal 14 3 2 8 4" xfId="41213" xr:uid="{4C2F87F8-9D27-4B7B-BFE0-CA819EEBE469}"/>
    <cellStyle name="Normal 14 3 2 9" xfId="8100" xr:uid="{DDE48A72-7DD9-43E9-80A4-4B8A7D87F99C}"/>
    <cellStyle name="Normal 14 3 2 9 2" xfId="16480" xr:uid="{182CC6C0-818F-4B1B-8A25-A5496574F00D}"/>
    <cellStyle name="Normal 14 3 2 9 2 2" xfId="33240" xr:uid="{3EDE9442-6823-4BD1-B10B-9F504CEF62A7}"/>
    <cellStyle name="Normal 14 3 2 9 2 3" xfId="49999" xr:uid="{5C2D8E8B-BA70-4571-8C37-321A2547FFE5}"/>
    <cellStyle name="Normal 14 3 2 9 3" xfId="24860" xr:uid="{118DE927-F4ED-4E77-A14E-42864E2066DF}"/>
    <cellStyle name="Normal 14 3 2 9 4" xfId="41619" xr:uid="{7FB48D46-3C36-4888-B98F-26766D48C692}"/>
    <cellStyle name="Normal 14 3 3" xfId="554" xr:uid="{838AAEB4-01A7-486F-B21E-3D1152F94A1A}"/>
    <cellStyle name="Normal 14 3 3 10" xfId="8642" xr:uid="{79E757DB-2484-45B4-91A4-58FCD833AABE}"/>
    <cellStyle name="Normal 14 3 3 10 2" xfId="17022" xr:uid="{CAF16EAF-51D1-4D74-ABC7-B4D5BCB3D9A9}"/>
    <cellStyle name="Normal 14 3 3 10 2 2" xfId="33782" xr:uid="{AD5D3E1F-71C0-47FF-9B21-1AFF33D937C2}"/>
    <cellStyle name="Normal 14 3 3 10 2 3" xfId="50541" xr:uid="{C5D6C7E9-07F5-4A60-AFE0-4D025CE42F2B}"/>
    <cellStyle name="Normal 14 3 3 10 3" xfId="25402" xr:uid="{87F819BD-7677-453A-9E88-3AF09BA64D8A}"/>
    <cellStyle name="Normal 14 3 3 10 4" xfId="42161" xr:uid="{CD2778F6-B2EB-40C6-A60D-F02D88F0C8B5}"/>
    <cellStyle name="Normal 14 3 3 11" xfId="2386" xr:uid="{BFAE55C6-6A98-4007-929E-F4ED0E9FFCB8}"/>
    <cellStyle name="Normal 14 3 3 11 2" xfId="10768" xr:uid="{2AAFEFDF-8189-4EB5-BC4A-30E798B546B7}"/>
    <cellStyle name="Normal 14 3 3 11 2 2" xfId="27528" xr:uid="{38288CE2-B634-4890-A75D-EC397E2FAB41}"/>
    <cellStyle name="Normal 14 3 3 11 2 3" xfId="44287" xr:uid="{EAF3952E-46A0-4B4D-87BE-71EC324791B1}"/>
    <cellStyle name="Normal 14 3 3 11 3" xfId="19148" xr:uid="{3A5AAE29-9333-45BC-8EE1-C3D4FF9A285C}"/>
    <cellStyle name="Normal 14 3 3 11 4" xfId="35907" xr:uid="{F3E6185B-A916-4E36-B91F-70D101C64EDC}"/>
    <cellStyle name="Normal 14 3 3 12" xfId="8965" xr:uid="{46DBE408-9FB7-4E47-B2D0-06C7975342F7}"/>
    <cellStyle name="Normal 14 3 3 12 2" xfId="25725" xr:uid="{7B06AC00-87DD-4272-8BEF-65FCB0988011}"/>
    <cellStyle name="Normal 14 3 3 12 3" xfId="42484" xr:uid="{F19993F8-06BA-4562-8083-C61CE4193D7D}"/>
    <cellStyle name="Normal 14 3 3 13" xfId="17345" xr:uid="{EDB3A07A-EAF1-4ED9-A708-394B4D6ACCF7}"/>
    <cellStyle name="Normal 14 3 3 14" xfId="34104" xr:uid="{B7A1490E-53BC-42BD-AB1E-783C46DC9B96}"/>
    <cellStyle name="Normal 14 3 3 2" xfId="996" xr:uid="{61B66E5E-DCB2-4D60-BEE8-3E56B34977BD}"/>
    <cellStyle name="Normal 14 3 3 2 2" xfId="4391" xr:uid="{74C00E51-677A-404E-8DD3-84F4B80C1646}"/>
    <cellStyle name="Normal 14 3 3 2 2 2" xfId="12771" xr:uid="{C82C6A73-1840-4F68-ABAB-49C23FEEB275}"/>
    <cellStyle name="Normal 14 3 3 2 2 2 2" xfId="29531" xr:uid="{B7B6D83C-5DE4-4C8F-AF83-A9210AB1E34D}"/>
    <cellStyle name="Normal 14 3 3 2 2 2 3" xfId="46290" xr:uid="{16C771B6-E96C-4287-B68A-732DA7C9D43E}"/>
    <cellStyle name="Normal 14 3 3 2 2 3" xfId="21151" xr:uid="{542FAD3B-242C-45FE-A160-AD4ED8A9E75A}"/>
    <cellStyle name="Normal 14 3 3 2 2 4" xfId="37910" xr:uid="{D37A726F-7D2C-49AF-96AC-EB15730D48E6}"/>
    <cellStyle name="Normal 14 3 3 2 3" xfId="6078" xr:uid="{96E87489-5D72-4790-A771-6CA3291E777C}"/>
    <cellStyle name="Normal 14 3 3 2 3 2" xfId="14458" xr:uid="{CB2228BF-7BE9-46E8-A03B-BB569800D773}"/>
    <cellStyle name="Normal 14 3 3 2 3 2 2" xfId="31218" xr:uid="{2A29B235-5472-45A6-9BDB-9C72AA8F619A}"/>
    <cellStyle name="Normal 14 3 3 2 3 2 3" xfId="47977" xr:uid="{BA28D4F6-8A5A-4351-B2F1-60FBA00B915E}"/>
    <cellStyle name="Normal 14 3 3 2 3 3" xfId="22838" xr:uid="{EE231725-2076-4234-905C-B48DB6EEE0BA}"/>
    <cellStyle name="Normal 14 3 3 2 3 4" xfId="39597" xr:uid="{F55B377C-8122-432B-B73C-7899F0F72549}"/>
    <cellStyle name="Normal 14 3 3 2 4" xfId="2814" xr:uid="{21CA23AC-D81B-4EBE-BAB6-EB3257DD85D1}"/>
    <cellStyle name="Normal 14 3 3 2 4 2" xfId="11194" xr:uid="{F4993D04-BFD8-4084-AF65-2FACEF5EB37E}"/>
    <cellStyle name="Normal 14 3 3 2 4 2 2" xfId="27954" xr:uid="{6DA5ECF1-4E47-4163-A0D3-09A659E0B2B3}"/>
    <cellStyle name="Normal 14 3 3 2 4 2 3" xfId="44713" xr:uid="{A2D48751-D850-42AE-A3C2-186B6AEA04B3}"/>
    <cellStyle name="Normal 14 3 3 2 4 3" xfId="19574" xr:uid="{1E06E346-EF7B-474B-8E67-A9CB7BA57426}"/>
    <cellStyle name="Normal 14 3 3 2 4 4" xfId="36333" xr:uid="{CED84885-7676-49ED-86A0-3E4911DC8306}"/>
    <cellStyle name="Normal 14 3 3 2 5" xfId="9391" xr:uid="{A8B365F3-64A6-4C47-8B8E-9B477A0C7B7B}"/>
    <cellStyle name="Normal 14 3 3 2 5 2" xfId="26151" xr:uid="{24FCC799-6E1B-4CC8-812D-C6B35F2EF1AA}"/>
    <cellStyle name="Normal 14 3 3 2 5 3" xfId="42910" xr:uid="{535EC571-6F67-4254-AAD4-B9F8CF5EDEEA}"/>
    <cellStyle name="Normal 14 3 3 2 6" xfId="17771" xr:uid="{DD87E936-1066-4425-8DCE-F7857A00133C}"/>
    <cellStyle name="Normal 14 3 3 2 7" xfId="34530" xr:uid="{FF1DF3E9-ECBA-47A4-8D1A-78AAFE03BC08}"/>
    <cellStyle name="Normal 14 3 3 3" xfId="1430" xr:uid="{16BD7227-CE54-489D-86A1-B36167EA28CF}"/>
    <cellStyle name="Normal 14 3 3 3 2" xfId="4819" xr:uid="{3BE51A86-A7D3-47E0-A018-DB876738AE76}"/>
    <cellStyle name="Normal 14 3 3 3 2 2" xfId="13199" xr:uid="{D515FA74-3EE2-42D3-A4BA-4E0F271950D1}"/>
    <cellStyle name="Normal 14 3 3 3 2 2 2" xfId="29959" xr:uid="{D80A87DA-8E3A-4580-97F9-8D298FF5C203}"/>
    <cellStyle name="Normal 14 3 3 3 2 2 3" xfId="46718" xr:uid="{D54532B5-AA9C-4A60-88A3-CEBC97144361}"/>
    <cellStyle name="Normal 14 3 3 3 2 3" xfId="21579" xr:uid="{27DE6C68-E67E-4A2D-9D03-D8FD23CCBF55}"/>
    <cellStyle name="Normal 14 3 3 3 2 4" xfId="38338" xr:uid="{A110F559-E508-41A8-8651-2F060C137ABE}"/>
    <cellStyle name="Normal 14 3 3 3 3" xfId="6506" xr:uid="{FB9CE22F-E81D-40CD-8648-D259747A8CEC}"/>
    <cellStyle name="Normal 14 3 3 3 3 2" xfId="14886" xr:uid="{35692B71-5064-40BE-A505-306706CD605F}"/>
    <cellStyle name="Normal 14 3 3 3 3 2 2" xfId="31646" xr:uid="{2F4973C5-CBA9-497A-88B2-A627C0D88AEF}"/>
    <cellStyle name="Normal 14 3 3 3 3 2 3" xfId="48405" xr:uid="{4FB12CA6-7827-4E17-AD82-0E37670E98E3}"/>
    <cellStyle name="Normal 14 3 3 3 3 3" xfId="23266" xr:uid="{DBE32540-88A3-4C44-912E-4DA23813B8B7}"/>
    <cellStyle name="Normal 14 3 3 3 3 4" xfId="40025" xr:uid="{E57FEBE9-4959-4C61-893E-E83492E2D40F}"/>
    <cellStyle name="Normal 14 3 3 3 4" xfId="3242" xr:uid="{6B64570F-9816-4FA9-9265-614663EBE500}"/>
    <cellStyle name="Normal 14 3 3 3 4 2" xfId="11622" xr:uid="{CA26C89B-05EB-4A70-95CF-1CAE76B4E6C1}"/>
    <cellStyle name="Normal 14 3 3 3 4 2 2" xfId="28382" xr:uid="{11A62433-B259-4B36-89CB-094E4A9CBA73}"/>
    <cellStyle name="Normal 14 3 3 3 4 2 3" xfId="45141" xr:uid="{D6FB7B35-3956-4A50-B56A-E8712833DB3F}"/>
    <cellStyle name="Normal 14 3 3 3 4 3" xfId="20002" xr:uid="{79663D86-F6C3-4276-9620-57D21497E128}"/>
    <cellStyle name="Normal 14 3 3 3 4 4" xfId="36761" xr:uid="{C7D35E47-39E2-4E34-984E-DCC7A64ACE31}"/>
    <cellStyle name="Normal 14 3 3 3 5" xfId="9819" xr:uid="{63687F4C-FF09-4993-AC8A-64E970EF4F78}"/>
    <cellStyle name="Normal 14 3 3 3 5 2" xfId="26579" xr:uid="{1BE810C5-15B8-45D3-A283-004231E66638}"/>
    <cellStyle name="Normal 14 3 3 3 5 3" xfId="43338" xr:uid="{5BF38BAD-32B5-49C6-924C-BD72E170CF2C}"/>
    <cellStyle name="Normal 14 3 3 3 6" xfId="18199" xr:uid="{F42B2FEC-351B-4F47-8C26-E35EBBFAE57C}"/>
    <cellStyle name="Normal 14 3 3 3 7" xfId="34958" xr:uid="{277F2583-0CCB-4BF6-A1C3-6906845FFB92}"/>
    <cellStyle name="Normal 14 3 3 4" xfId="1942" xr:uid="{DF511646-CEE8-431C-935D-9AD07E54D7F6}"/>
    <cellStyle name="Normal 14 3 3 4 2" xfId="5331" xr:uid="{5589A795-07D8-42FC-88BC-F28C8744DEA0}"/>
    <cellStyle name="Normal 14 3 3 4 2 2" xfId="13711" xr:uid="{C0CFB84F-55B4-4B2E-B575-BCD6C9E53244}"/>
    <cellStyle name="Normal 14 3 3 4 2 2 2" xfId="30471" xr:uid="{66B1641B-3234-4885-AD30-74B122121F0B}"/>
    <cellStyle name="Normal 14 3 3 4 2 2 3" xfId="47230" xr:uid="{B369D6F8-3C20-448A-8E88-E16B4D645746}"/>
    <cellStyle name="Normal 14 3 3 4 2 3" xfId="22091" xr:uid="{85D190E8-A07A-489D-8D39-7990AD08ED85}"/>
    <cellStyle name="Normal 14 3 3 4 2 4" xfId="38850" xr:uid="{83648A7C-ECF0-4948-953C-0D326B90ECBB}"/>
    <cellStyle name="Normal 14 3 3 4 3" xfId="7018" xr:uid="{740BCD11-1601-44AF-AF0F-31F185227E11}"/>
    <cellStyle name="Normal 14 3 3 4 3 2" xfId="15398" xr:uid="{2F5D0A30-C151-4B18-BE5B-E0397633E752}"/>
    <cellStyle name="Normal 14 3 3 4 3 2 2" xfId="32158" xr:uid="{5AE7A068-71DE-43FC-A77B-1F153D81E1C7}"/>
    <cellStyle name="Normal 14 3 3 4 3 2 3" xfId="48917" xr:uid="{9DB5F0F9-6E31-44CA-A171-CB4BCB3A4FCE}"/>
    <cellStyle name="Normal 14 3 3 4 3 3" xfId="23778" xr:uid="{0EF1B641-ED61-447D-9415-CA0CCDE4915E}"/>
    <cellStyle name="Normal 14 3 3 4 3 4" xfId="40537" xr:uid="{5EFA7C0C-ABDA-4E74-9D03-28A0295A7EB9}"/>
    <cellStyle name="Normal 14 3 3 4 4" xfId="3641" xr:uid="{B41B338D-3FA7-4136-985C-0D31F1D971BA}"/>
    <cellStyle name="Normal 14 3 3 4 4 2" xfId="12021" xr:uid="{460A070D-C400-4C13-AB05-5CE743C21455}"/>
    <cellStyle name="Normal 14 3 3 4 4 2 2" xfId="28781" xr:uid="{E7C1CFA3-C10F-4EF0-B29B-704AAE31A24B}"/>
    <cellStyle name="Normal 14 3 3 4 4 2 3" xfId="45540" xr:uid="{6AE7A13D-8040-4CA2-9A9B-D896F6EB857F}"/>
    <cellStyle name="Normal 14 3 3 4 4 3" xfId="20401" xr:uid="{3664E559-59CE-4949-B0F9-1667C0A22510}"/>
    <cellStyle name="Normal 14 3 3 4 4 4" xfId="37160" xr:uid="{581CB212-DE0F-4A94-9C93-7A67E2EEA4A7}"/>
    <cellStyle name="Normal 14 3 3 4 5" xfId="10331" xr:uid="{B572D8D3-E20B-4190-9283-75740C6E1F69}"/>
    <cellStyle name="Normal 14 3 3 4 5 2" xfId="27091" xr:uid="{EC71EF58-CDB8-4715-B819-46F6BA96FC37}"/>
    <cellStyle name="Normal 14 3 3 4 5 3" xfId="43850" xr:uid="{5A9007D2-7074-4A86-AB81-E9D04D1D4C33}"/>
    <cellStyle name="Normal 14 3 3 4 6" xfId="18711" xr:uid="{D874B1DC-8807-4479-A44D-D16EF637AEF7}"/>
    <cellStyle name="Normal 14 3 3 4 7" xfId="35470" xr:uid="{749BC359-4243-4A9A-9A9F-E01A7F994FD3}"/>
    <cellStyle name="Normal 14 3 3 5" xfId="4061" xr:uid="{9A9B7CEF-F418-47DB-8C74-294793FA4F75}"/>
    <cellStyle name="Normal 14 3 3 5 2" xfId="12441" xr:uid="{31AA7C80-241B-4BFD-97AC-07127B8FBB75}"/>
    <cellStyle name="Normal 14 3 3 5 2 2" xfId="29201" xr:uid="{5F15AAEE-1DC6-470E-B2AC-6F7DB50880F9}"/>
    <cellStyle name="Normal 14 3 3 5 2 3" xfId="45960" xr:uid="{35CCAF53-E23C-478A-A19C-EBB6BD7DFDC3}"/>
    <cellStyle name="Normal 14 3 3 5 3" xfId="20821" xr:uid="{D0037AA8-3B60-4EFA-B05C-A8DBAAEDBCEC}"/>
    <cellStyle name="Normal 14 3 3 5 4" xfId="37580" xr:uid="{F4BB5437-6A18-4995-ACFC-4D3A37471D9F}"/>
    <cellStyle name="Normal 14 3 3 6" xfId="5652" xr:uid="{89DC8FF8-6F60-4DDF-8BEE-A665543D99B8}"/>
    <cellStyle name="Normal 14 3 3 6 2" xfId="14032" xr:uid="{46326A51-7BC6-40D2-BEA3-DA0E715AC6B5}"/>
    <cellStyle name="Normal 14 3 3 6 2 2" xfId="30792" xr:uid="{87FE3AFE-3D6A-4EA5-B821-E78602E56480}"/>
    <cellStyle name="Normal 14 3 3 6 2 3" xfId="47551" xr:uid="{BAC2C709-0764-4DB6-A94E-646DD413C1BD}"/>
    <cellStyle name="Normal 14 3 3 6 3" xfId="22412" xr:uid="{71214DBA-5E0D-4ECC-9C22-389F847E420D}"/>
    <cellStyle name="Normal 14 3 3 6 4" xfId="39171" xr:uid="{5644226E-75C6-4AA8-95DC-770FF6A08576}"/>
    <cellStyle name="Normal 14 3 3 7" xfId="7424" xr:uid="{E2D3B63E-0B27-4F9B-A9FA-90FDBECE288F}"/>
    <cellStyle name="Normal 14 3 3 7 2" xfId="15804" xr:uid="{DE4BDB6D-CF3C-4246-B777-39B037415588}"/>
    <cellStyle name="Normal 14 3 3 7 2 2" xfId="32564" xr:uid="{1EFB2C20-3399-409F-A997-DDF7CAAB73E4}"/>
    <cellStyle name="Normal 14 3 3 7 2 3" xfId="49323" xr:uid="{E370B74E-9774-4F1E-B3E9-A76FB2BEAE5D}"/>
    <cellStyle name="Normal 14 3 3 7 3" xfId="24184" xr:uid="{B54D8121-1665-4EBC-8501-C5A109452B8D}"/>
    <cellStyle name="Normal 14 3 3 7 4" xfId="40943" xr:uid="{8D4CF4F8-4229-4395-BAAD-FEFCDD0167F2}"/>
    <cellStyle name="Normal 14 3 3 8" xfId="7830" xr:uid="{713BC3D5-467A-4D8C-AF4F-43EE55078287}"/>
    <cellStyle name="Normal 14 3 3 8 2" xfId="16210" xr:uid="{5210F69A-C681-4E01-9C67-ABB00042647B}"/>
    <cellStyle name="Normal 14 3 3 8 2 2" xfId="32970" xr:uid="{67CB7630-E18B-4B2B-8576-686A174F8EC9}"/>
    <cellStyle name="Normal 14 3 3 8 2 3" xfId="49729" xr:uid="{4C81F482-DBFD-41A3-BFBF-E0C97ABD352A}"/>
    <cellStyle name="Normal 14 3 3 8 3" xfId="24590" xr:uid="{15F31CDA-5081-4312-A2EF-3B3EEAB12898}"/>
    <cellStyle name="Normal 14 3 3 8 4" xfId="41349" xr:uid="{3E30C401-2ED9-4BD3-9B15-1EAD3D0BB6C9}"/>
    <cellStyle name="Normal 14 3 3 9" xfId="8236" xr:uid="{EEE7603D-DDB0-4B29-B6EA-83BB70E6E090}"/>
    <cellStyle name="Normal 14 3 3 9 2" xfId="16616" xr:uid="{C104E4DE-8489-474E-AB28-148732509A84}"/>
    <cellStyle name="Normal 14 3 3 9 2 2" xfId="33376" xr:uid="{F4DEF8B5-8FD4-416D-9B6D-7CE0195AC094}"/>
    <cellStyle name="Normal 14 3 3 9 2 3" xfId="50135" xr:uid="{8A602948-C7BC-41A4-880A-A986E9E9F4FB}"/>
    <cellStyle name="Normal 14 3 3 9 3" xfId="24996" xr:uid="{CE8ADEA1-980E-425D-80FD-E30B6A2E7152}"/>
    <cellStyle name="Normal 14 3 3 9 4" xfId="41755" xr:uid="{D9E71C61-F28F-4107-869E-BF536EFEF7EF}"/>
    <cellStyle name="Normal 14 3 4" xfId="851" xr:uid="{AFF5C415-6379-4DD2-BA05-2B5786090CB2}"/>
    <cellStyle name="Normal 14 3 4 2" xfId="4246" xr:uid="{91D3E707-BDEA-4EFB-A2D5-42F7CFD06A34}"/>
    <cellStyle name="Normal 14 3 4 2 2" xfId="12626" xr:uid="{E7D72ECF-A7D2-431D-9739-1B6AB8F46325}"/>
    <cellStyle name="Normal 14 3 4 2 2 2" xfId="29386" xr:uid="{A7F96C85-63DD-4B56-ADF1-F9D96EE12818}"/>
    <cellStyle name="Normal 14 3 4 2 2 3" xfId="46145" xr:uid="{570E820B-D656-4D95-881C-94536678D8D4}"/>
    <cellStyle name="Normal 14 3 4 2 3" xfId="21006" xr:uid="{C2D8AB30-7E48-4981-9CEF-14A391FD60E1}"/>
    <cellStyle name="Normal 14 3 4 2 4" xfId="37765" xr:uid="{1D7CA808-7206-4281-AB57-5C113017F127}"/>
    <cellStyle name="Normal 14 3 4 3" xfId="5933" xr:uid="{9305B774-EB90-49F4-9BCD-CFADB3887973}"/>
    <cellStyle name="Normal 14 3 4 3 2" xfId="14313" xr:uid="{F78B00C9-B24A-4710-837B-F391EF5D93EF}"/>
    <cellStyle name="Normal 14 3 4 3 2 2" xfId="31073" xr:uid="{3372D616-BFF7-4909-8CB2-980A5A20B81B}"/>
    <cellStyle name="Normal 14 3 4 3 2 3" xfId="47832" xr:uid="{DE23A0CC-B34C-4E56-AFD6-5DA559F11742}"/>
    <cellStyle name="Normal 14 3 4 3 3" xfId="22693" xr:uid="{3B50E805-8B9C-4745-8587-311FB3796D4B}"/>
    <cellStyle name="Normal 14 3 4 3 4" xfId="39452" xr:uid="{2A81F72C-50FB-412E-8B1E-615B7824C3D1}"/>
    <cellStyle name="Normal 14 3 4 4" xfId="2669" xr:uid="{E8971194-6A18-4095-8575-2D52557B5FD5}"/>
    <cellStyle name="Normal 14 3 4 4 2" xfId="11049" xr:uid="{802E5C6E-4891-4E63-9F26-DB2160C8E4B7}"/>
    <cellStyle name="Normal 14 3 4 4 2 2" xfId="27809" xr:uid="{07C58A68-FD1E-45F7-BAF4-90F13B97C58F}"/>
    <cellStyle name="Normal 14 3 4 4 2 3" xfId="44568" xr:uid="{5D136C5D-2BD0-4F8E-B9B7-A344E3F3A3FC}"/>
    <cellStyle name="Normal 14 3 4 4 3" xfId="19429" xr:uid="{5828F299-441E-44A6-AFAD-031EAFF94E36}"/>
    <cellStyle name="Normal 14 3 4 4 4" xfId="36188" xr:uid="{144FF355-1979-4B9B-9FBD-C6766C893A1B}"/>
    <cellStyle name="Normal 14 3 4 5" xfId="9246" xr:uid="{E3CE98B9-05B2-4A2A-9A52-CAA50141B5C9}"/>
    <cellStyle name="Normal 14 3 4 5 2" xfId="26006" xr:uid="{4D4AFE4D-95F8-4949-888E-41E72E7D8834}"/>
    <cellStyle name="Normal 14 3 4 5 3" xfId="42765" xr:uid="{8A141B70-3F16-4499-B433-24670E64E2B6}"/>
    <cellStyle name="Normal 14 3 4 6" xfId="17626" xr:uid="{93BD9BEC-6C13-4C15-802C-9F9036349A8A}"/>
    <cellStyle name="Normal 14 3 4 7" xfId="34385" xr:uid="{93F720E3-B77E-480B-89AE-33E6467D9858}"/>
    <cellStyle name="Normal 14 3 5" xfId="1285" xr:uid="{2F9A120B-77AF-4449-9EA7-6CBFE7688736}"/>
    <cellStyle name="Normal 14 3 5 2" xfId="4674" xr:uid="{1B4DA79D-E8AA-4E67-8FB6-5B9C0FE8393A}"/>
    <cellStyle name="Normal 14 3 5 2 2" xfId="13054" xr:uid="{E811D4C4-F447-4A07-B6BF-7260270084C5}"/>
    <cellStyle name="Normal 14 3 5 2 2 2" xfId="29814" xr:uid="{056696A1-BD8E-4B5D-9A8B-30AF88880B43}"/>
    <cellStyle name="Normal 14 3 5 2 2 3" xfId="46573" xr:uid="{77E2D2C6-8F5B-4B30-B0ED-C7198BB1FA5E}"/>
    <cellStyle name="Normal 14 3 5 2 3" xfId="21434" xr:uid="{D95FC008-F17E-4551-AD50-F4DBC8C6D62E}"/>
    <cellStyle name="Normal 14 3 5 2 4" xfId="38193" xr:uid="{F158CE31-7939-4A16-BDEA-FE9BD6873A14}"/>
    <cellStyle name="Normal 14 3 5 3" xfId="6361" xr:uid="{9745B835-93C5-4EEC-88A4-BE4E82D14CCE}"/>
    <cellStyle name="Normal 14 3 5 3 2" xfId="14741" xr:uid="{6C09790A-95FA-4D32-8F60-77802E18865C}"/>
    <cellStyle name="Normal 14 3 5 3 2 2" xfId="31501" xr:uid="{07CC3492-CCC0-4F76-B107-8A26420EF65B}"/>
    <cellStyle name="Normal 14 3 5 3 2 3" xfId="48260" xr:uid="{561D29DA-C1BE-4E7B-BE4F-BE9B92BCD5EC}"/>
    <cellStyle name="Normal 14 3 5 3 3" xfId="23121" xr:uid="{CB781E0B-153A-44EB-9C68-64F92C4D2537}"/>
    <cellStyle name="Normal 14 3 5 3 4" xfId="39880" xr:uid="{B2EEB127-A238-4AA3-AA9C-311AD890DF3B}"/>
    <cellStyle name="Normal 14 3 5 4" xfId="3097" xr:uid="{AA2C8540-281B-4CBD-ACEA-3AB74665DC1E}"/>
    <cellStyle name="Normal 14 3 5 4 2" xfId="11477" xr:uid="{00DEFE65-E28B-4577-BE01-ABADEDE0F4AC}"/>
    <cellStyle name="Normal 14 3 5 4 2 2" xfId="28237" xr:uid="{56EAAFAF-9F81-47AF-AA92-B1BA7FDEB28A}"/>
    <cellStyle name="Normal 14 3 5 4 2 3" xfId="44996" xr:uid="{DB6C689B-E25C-40C6-BC1D-EE19AEE07081}"/>
    <cellStyle name="Normal 14 3 5 4 3" xfId="19857" xr:uid="{A0A49CFA-F20E-4000-8383-C7DEF86802B2}"/>
    <cellStyle name="Normal 14 3 5 4 4" xfId="36616" xr:uid="{D98A0E55-8B36-41E1-A876-3F64FF0EC09E}"/>
    <cellStyle name="Normal 14 3 5 5" xfId="9674" xr:uid="{99B53AF2-5009-4893-A148-C0FB7F891FC6}"/>
    <cellStyle name="Normal 14 3 5 5 2" xfId="26434" xr:uid="{3BA67BCC-313B-4470-BFD4-34CDD3229AFD}"/>
    <cellStyle name="Normal 14 3 5 5 3" xfId="43193" xr:uid="{F195F8E6-3100-43AB-AD75-36EA767D56E2}"/>
    <cellStyle name="Normal 14 3 5 6" xfId="18054" xr:uid="{98ED412C-4EA1-4BEC-9D80-083DB2D17B3E}"/>
    <cellStyle name="Normal 14 3 5 7" xfId="34813" xr:uid="{F0E423DA-D1A9-46A8-81D4-FEE83BFDE77E}"/>
    <cellStyle name="Normal 14 3 6" xfId="1671" xr:uid="{F98A8818-D22A-415D-B50A-2DEB0ABB7DB1}"/>
    <cellStyle name="Normal 14 3 6 2" xfId="5060" xr:uid="{B36B168B-565A-4A72-82EB-BC6299C40A07}"/>
    <cellStyle name="Normal 14 3 6 2 2" xfId="13440" xr:uid="{17B7B903-9E19-48D8-B29A-13841636ED3D}"/>
    <cellStyle name="Normal 14 3 6 2 2 2" xfId="30200" xr:uid="{A1F8B950-7136-4A31-84AC-588D3696BABC}"/>
    <cellStyle name="Normal 14 3 6 2 2 3" xfId="46959" xr:uid="{59C08FCC-3C27-4892-9A1B-3A8E90FFBBF8}"/>
    <cellStyle name="Normal 14 3 6 2 3" xfId="21820" xr:uid="{F7801047-98EA-427A-B453-6545FEBE939C}"/>
    <cellStyle name="Normal 14 3 6 2 4" xfId="38579" xr:uid="{4B7FA3A6-906B-497B-94B8-75D1E1CF3E1C}"/>
    <cellStyle name="Normal 14 3 6 3" xfId="6747" xr:uid="{09BF4196-0F2B-4465-9661-506AAF5F979E}"/>
    <cellStyle name="Normal 14 3 6 3 2" xfId="15127" xr:uid="{A0DDE613-EB44-452C-BCC3-6895E8059848}"/>
    <cellStyle name="Normal 14 3 6 3 2 2" xfId="31887" xr:uid="{A251E43C-8416-4012-9590-026A47FE497D}"/>
    <cellStyle name="Normal 14 3 6 3 2 3" xfId="48646" xr:uid="{A5169BF0-4BE1-4C44-BB2A-F754357E4FB4}"/>
    <cellStyle name="Normal 14 3 6 3 3" xfId="23507" xr:uid="{FE48D781-816C-45B2-AED4-33AF4FB3A1AF}"/>
    <cellStyle name="Normal 14 3 6 3 4" xfId="40266" xr:uid="{9C471F6C-538E-4E6E-A605-CBDF3AADE0BB}"/>
    <cellStyle name="Normal 14 3 6 4" xfId="2239" xr:uid="{5759BAD3-003A-4D07-AE89-B957612A9E65}"/>
    <cellStyle name="Normal 14 3 6 4 2" xfId="10623" xr:uid="{CD9FFEB9-FEAF-49A9-BA50-140A3A1F3EC1}"/>
    <cellStyle name="Normal 14 3 6 4 2 2" xfId="27383" xr:uid="{AAC596F7-16D7-43BD-A047-D972BF4B5D6A}"/>
    <cellStyle name="Normal 14 3 6 4 2 3" xfId="44142" xr:uid="{616D73DF-442A-41EC-BD48-A389AC1F8AAD}"/>
    <cellStyle name="Normal 14 3 6 4 3" xfId="19003" xr:uid="{61B365BE-5A1C-4070-92BD-3DC450544279}"/>
    <cellStyle name="Normal 14 3 6 4 4" xfId="35762" xr:uid="{1587193C-A55F-4D74-B7E7-CCB3CE524ACB}"/>
    <cellStyle name="Normal 14 3 6 5" xfId="10060" xr:uid="{64CE4EE4-614D-4912-8084-EF9EAB68B855}"/>
    <cellStyle name="Normal 14 3 6 5 2" xfId="26820" xr:uid="{1B23BC97-9A70-45E6-A58A-7CB378C34D75}"/>
    <cellStyle name="Normal 14 3 6 5 3" xfId="43579" xr:uid="{3DDDFE95-964B-4274-AA14-F7808771E9C2}"/>
    <cellStyle name="Normal 14 3 6 6" xfId="18440" xr:uid="{469492A1-8A0C-4C0B-97B6-F333EA456724}"/>
    <cellStyle name="Normal 14 3 6 7" xfId="35199" xr:uid="{AC5D2D09-AB70-4189-8DBC-5B650BA48759}"/>
    <cellStyle name="Normal 14 3 7" xfId="3789" xr:uid="{F19537F6-2FFD-408E-A597-D930B3F7A47C}"/>
    <cellStyle name="Normal 14 3 7 2" xfId="12169" xr:uid="{4FD8C525-C300-460B-ABD1-460C893D8E21}"/>
    <cellStyle name="Normal 14 3 7 2 2" xfId="28929" xr:uid="{5D87454A-325C-4772-A3C1-7DF94DFE812C}"/>
    <cellStyle name="Normal 14 3 7 2 3" xfId="45688" xr:uid="{C8F2ECCA-9D0A-40F1-8599-8C73782E7AF8}"/>
    <cellStyle name="Normal 14 3 7 3" xfId="20549" xr:uid="{492F5D67-BBE2-4C46-906E-D5E6D1C7E90D}"/>
    <cellStyle name="Normal 14 3 7 4" xfId="37308" xr:uid="{60A09F90-07CB-44E2-BFD2-27EF7DF5E573}"/>
    <cellStyle name="Normal 14 3 8" xfId="5507" xr:uid="{4F7582D3-E534-4466-AB8A-C279E6562ABA}"/>
    <cellStyle name="Normal 14 3 8 2" xfId="13887" xr:uid="{87AA27DB-CE6B-4F63-86B1-BBC215E0F593}"/>
    <cellStyle name="Normal 14 3 8 2 2" xfId="30647" xr:uid="{33989DAD-3D98-4D3B-A948-D06643A8A0BB}"/>
    <cellStyle name="Normal 14 3 8 2 3" xfId="47406" xr:uid="{DC527852-A707-4315-9F92-57213D3E3F46}"/>
    <cellStyle name="Normal 14 3 8 3" xfId="22267" xr:uid="{A60FC456-1E86-4D69-90FA-CEA79598F4AA}"/>
    <cellStyle name="Normal 14 3 8 4" xfId="39026" xr:uid="{748E77C2-90F0-42FC-B40B-41E8C324CDB8}"/>
    <cellStyle name="Normal 14 3 9" xfId="7153" xr:uid="{39082B6C-23AE-41E4-9E58-7985F5A37DA9}"/>
    <cellStyle name="Normal 14 3 9 2" xfId="15533" xr:uid="{D4E582AA-5E91-4E25-B98B-D0D396C023DF}"/>
    <cellStyle name="Normal 14 3 9 2 2" xfId="32293" xr:uid="{DEF2288E-59EF-45FA-947E-788997C80CCF}"/>
    <cellStyle name="Normal 14 3 9 2 3" xfId="49052" xr:uid="{D464BA58-61F6-481C-9767-288986143D1F}"/>
    <cellStyle name="Normal 14 3 9 3" xfId="23913" xr:uid="{C9A24DF1-8776-4E31-9B78-1A4EFFCF1ADB}"/>
    <cellStyle name="Normal 14 3 9 4" xfId="40672" xr:uid="{03D3402F-8121-43E6-B84F-6C672B0B2EA0}"/>
    <cellStyle name="Normal 14 4" xfId="555" xr:uid="{5FDD77FB-CC4F-4127-942A-5A2813F467B1}"/>
    <cellStyle name="Normal 14 4 10" xfId="7560" xr:uid="{0F7F2D50-EEE2-4987-BF90-A1064A48F50A}"/>
    <cellStyle name="Normal 14 4 10 2" xfId="15940" xr:uid="{84B5DF94-EDD4-442F-B0F2-4E8D2B477421}"/>
    <cellStyle name="Normal 14 4 10 2 2" xfId="32700" xr:uid="{4F502EF3-A686-4EA1-89E6-996F9165D6AD}"/>
    <cellStyle name="Normal 14 4 10 2 3" xfId="49459" xr:uid="{F08261DA-EAAB-4B54-819B-A063ACD9BB74}"/>
    <cellStyle name="Normal 14 4 10 3" xfId="24320" xr:uid="{4CF999BE-50B3-4345-BBAB-C8E19F330FE4}"/>
    <cellStyle name="Normal 14 4 10 4" xfId="41079" xr:uid="{80924304-25AE-4107-B6B5-29A2EBAFF119}"/>
    <cellStyle name="Normal 14 4 11" xfId="7966" xr:uid="{097C5CA3-9E5C-4F6F-BD66-EF78D88ECD1D}"/>
    <cellStyle name="Normal 14 4 11 2" xfId="16346" xr:uid="{E0133ADE-8CDD-4A85-898A-FBD6DBB4AC2C}"/>
    <cellStyle name="Normal 14 4 11 2 2" xfId="33106" xr:uid="{5BF6C215-9154-4CCD-8327-8309249BD4A0}"/>
    <cellStyle name="Normal 14 4 11 2 3" xfId="49865" xr:uid="{52E900E7-D73B-4A2D-8887-E99586A7F014}"/>
    <cellStyle name="Normal 14 4 11 3" xfId="24726" xr:uid="{3DDF1ED1-00AA-4554-8A37-C400FEE38A44}"/>
    <cellStyle name="Normal 14 4 11 4" xfId="41485" xr:uid="{96B6228E-9D3F-4AE4-B644-C0B4E81B7930}"/>
    <cellStyle name="Normal 14 4 12" xfId="8372" xr:uid="{1C8D6BFA-E256-46BB-91A0-6FD5150AE4D8}"/>
    <cellStyle name="Normal 14 4 12 2" xfId="16752" xr:uid="{6F8EC6A8-B70D-4F1B-9435-F16F249509FE}"/>
    <cellStyle name="Normal 14 4 12 2 2" xfId="33512" xr:uid="{43BF0E02-D186-4EB7-AFA2-86B51AA04E34}"/>
    <cellStyle name="Normal 14 4 12 2 3" xfId="50271" xr:uid="{19AA0CD4-0734-440C-A648-EC042E2489D4}"/>
    <cellStyle name="Normal 14 4 12 3" xfId="25132" xr:uid="{4EF70978-EA0A-44D4-BFF7-05E9025F9395}"/>
    <cellStyle name="Normal 14 4 12 4" xfId="41891" xr:uid="{F7ACD280-C2B6-4F49-8FE6-F0F2F29B9884}"/>
    <cellStyle name="Normal 14 4 13" xfId="2112" xr:uid="{E953E22E-D745-4BA1-AC15-49C37DAD0196}"/>
    <cellStyle name="Normal 14 4 13 2" xfId="10500" xr:uid="{DB0EE5DD-9EA7-4103-B5F1-F352AA3788AF}"/>
    <cellStyle name="Normal 14 4 13 2 2" xfId="27260" xr:uid="{AE94B44C-579A-49EB-ADD2-2DAE6B96BC31}"/>
    <cellStyle name="Normal 14 4 13 2 3" xfId="44019" xr:uid="{9C708EEB-3ACC-4A16-84C6-4E9069A6EFB0}"/>
    <cellStyle name="Normal 14 4 13 3" xfId="18880" xr:uid="{9DEFB985-1E74-4B60-B19B-764C8D0D102A}"/>
    <cellStyle name="Normal 14 4 13 4" xfId="35639" xr:uid="{F1834217-C3F9-4C9E-BC45-CE0513069B23}"/>
    <cellStyle name="Normal 14 4 14" xfId="8966" xr:uid="{2095CF4E-87C3-45C8-979F-7149A175D586}"/>
    <cellStyle name="Normal 14 4 14 2" xfId="25726" xr:uid="{08A22F7D-A638-4731-A99A-B2D520A265C5}"/>
    <cellStyle name="Normal 14 4 14 3" xfId="42485" xr:uid="{947C5CB6-28E2-4E11-9DE9-745618D727D5}"/>
    <cellStyle name="Normal 14 4 15" xfId="17346" xr:uid="{CA28DC4F-056C-432B-9AEE-880690A0C5F0}"/>
    <cellStyle name="Normal 14 4 16" xfId="34105" xr:uid="{945DD094-69A7-46BB-9387-6C75FB026697}"/>
    <cellStyle name="Normal 14 4 2" xfId="556" xr:uid="{A28C3CB6-D19B-478B-A817-1A37277F79C6}"/>
    <cellStyle name="Normal 14 4 2 10" xfId="8507" xr:uid="{1148031C-161A-406E-9AB3-82DEC6BACE39}"/>
    <cellStyle name="Normal 14 4 2 10 2" xfId="16887" xr:uid="{3CB7A70F-BA51-4E6C-8001-DB8BC1FF2233}"/>
    <cellStyle name="Normal 14 4 2 10 2 2" xfId="33647" xr:uid="{B526EAB9-2677-4DD4-9B1F-49D4F4800472}"/>
    <cellStyle name="Normal 14 4 2 10 2 3" xfId="50406" xr:uid="{0D94778A-CB12-416B-AADC-6EB6B4A0FDE8}"/>
    <cellStyle name="Normal 14 4 2 10 3" xfId="25267" xr:uid="{328ACE09-BBAE-4A8B-8903-14588F3D3FDA}"/>
    <cellStyle name="Normal 14 4 2 10 4" xfId="42026" xr:uid="{4A280539-5081-44FE-9910-BC353DEE85EE}"/>
    <cellStyle name="Normal 14 4 2 11" xfId="2388" xr:uid="{D8128E57-F6E7-4E48-97FB-2D432ECD27D4}"/>
    <cellStyle name="Normal 14 4 2 11 2" xfId="10770" xr:uid="{7EA4CB06-D5B3-477B-BBD2-F6620AB4F169}"/>
    <cellStyle name="Normal 14 4 2 11 2 2" xfId="27530" xr:uid="{94C2B93A-4157-4207-AFE0-703FB25DAF51}"/>
    <cellStyle name="Normal 14 4 2 11 2 3" xfId="44289" xr:uid="{1BA6ECF8-9928-40A9-BFB4-C66EBF441892}"/>
    <cellStyle name="Normal 14 4 2 11 3" xfId="19150" xr:uid="{7F5731AF-EB85-4CE8-B524-46330F3720B3}"/>
    <cellStyle name="Normal 14 4 2 11 4" xfId="35909" xr:uid="{0E02934C-CF3F-4328-8562-0E6333FAB635}"/>
    <cellStyle name="Normal 14 4 2 12" xfId="8967" xr:uid="{2290D1F3-CDE3-42C3-AEAB-CB2AA3109AA6}"/>
    <cellStyle name="Normal 14 4 2 12 2" xfId="25727" xr:uid="{B1C9BEE4-E603-4EBA-B5EC-0DA7841440DF}"/>
    <cellStyle name="Normal 14 4 2 12 3" xfId="42486" xr:uid="{D133524B-5146-43CE-B572-2DB13CF89AE3}"/>
    <cellStyle name="Normal 14 4 2 13" xfId="17347" xr:uid="{F3D16C79-8D60-4F52-A6A6-11E5371D5FF0}"/>
    <cellStyle name="Normal 14 4 2 14" xfId="34106" xr:uid="{06B67646-6F4D-4F4A-AD5D-30889FA1A96C}"/>
    <cellStyle name="Normal 14 4 2 2" xfId="998" xr:uid="{28722EA5-75A0-4F36-BD8B-05F6CBDEC9E5}"/>
    <cellStyle name="Normal 14 4 2 2 2" xfId="4393" xr:uid="{46347B2A-6ED6-4FFC-85ED-63CA73C93D67}"/>
    <cellStyle name="Normal 14 4 2 2 2 2" xfId="12773" xr:uid="{702095FB-68C0-4F71-8B0B-A1556DC1261B}"/>
    <cellStyle name="Normal 14 4 2 2 2 2 2" xfId="29533" xr:uid="{C3B96FA0-8C9D-4B08-9D46-B65EC2A8B1D1}"/>
    <cellStyle name="Normal 14 4 2 2 2 2 3" xfId="46292" xr:uid="{D16EBC6C-CBD7-4764-BC36-299FF0AA2E7C}"/>
    <cellStyle name="Normal 14 4 2 2 2 3" xfId="21153" xr:uid="{73E02AE2-C928-4073-B5B8-B6076F15908E}"/>
    <cellStyle name="Normal 14 4 2 2 2 4" xfId="37912" xr:uid="{67716C43-F3A3-4C08-93EC-6B73F9637F96}"/>
    <cellStyle name="Normal 14 4 2 2 3" xfId="6080" xr:uid="{3D3EC8A5-0307-4205-918F-837EBAE2D8EA}"/>
    <cellStyle name="Normal 14 4 2 2 3 2" xfId="14460" xr:uid="{F88BA792-AB74-4729-86AD-AADB724961C3}"/>
    <cellStyle name="Normal 14 4 2 2 3 2 2" xfId="31220" xr:uid="{A502F09D-4AEE-41EA-8DE0-9C34DD319776}"/>
    <cellStyle name="Normal 14 4 2 2 3 2 3" xfId="47979" xr:uid="{393D922F-F1DE-4F47-BCE3-F0F215C5DF1D}"/>
    <cellStyle name="Normal 14 4 2 2 3 3" xfId="22840" xr:uid="{A42C236B-965B-488C-96B0-59D917FB50FF}"/>
    <cellStyle name="Normal 14 4 2 2 3 4" xfId="39599" xr:uid="{DEA69F65-730D-4850-A48D-D444AAC22E3C}"/>
    <cellStyle name="Normal 14 4 2 2 4" xfId="2816" xr:uid="{527E754E-1225-4C03-AD0F-6BF56D86B6A1}"/>
    <cellStyle name="Normal 14 4 2 2 4 2" xfId="11196" xr:uid="{C6AD596E-B6E8-470E-AD1C-B59A430AE0A4}"/>
    <cellStyle name="Normal 14 4 2 2 4 2 2" xfId="27956" xr:uid="{795EAE5F-B857-4863-BD92-12AD243E4184}"/>
    <cellStyle name="Normal 14 4 2 2 4 2 3" xfId="44715" xr:uid="{8B7F2318-E510-4488-A4F1-D2FC0D6F93BB}"/>
    <cellStyle name="Normal 14 4 2 2 4 3" xfId="19576" xr:uid="{3E43390E-3322-4AE4-A198-8A02D8557281}"/>
    <cellStyle name="Normal 14 4 2 2 4 4" xfId="36335" xr:uid="{CAA0F790-B71E-4AD2-AF5F-88E18F1B3ECD}"/>
    <cellStyle name="Normal 14 4 2 2 5" xfId="9393" xr:uid="{E044BE3E-7FEE-4DFE-9858-006ED39AA891}"/>
    <cellStyle name="Normal 14 4 2 2 5 2" xfId="26153" xr:uid="{4D0F6E6B-0E5D-4E8A-879B-989D35AF4544}"/>
    <cellStyle name="Normal 14 4 2 2 5 3" xfId="42912" xr:uid="{6750F941-F894-4A3C-8458-776431B603D1}"/>
    <cellStyle name="Normal 14 4 2 2 6" xfId="17773" xr:uid="{8E201CC4-BBF6-4C8B-9926-0836639E4536}"/>
    <cellStyle name="Normal 14 4 2 2 7" xfId="34532" xr:uid="{9ACA67DA-B70A-4623-9842-AB2D98724BD8}"/>
    <cellStyle name="Normal 14 4 2 3" xfId="1432" xr:uid="{EB6A9ABC-58C6-4ACE-8EA9-254E7A005D34}"/>
    <cellStyle name="Normal 14 4 2 3 2" xfId="4821" xr:uid="{071DE963-B061-4A6B-BA7B-5A89242AAA09}"/>
    <cellStyle name="Normal 14 4 2 3 2 2" xfId="13201" xr:uid="{F43346B4-4F14-48D9-90C8-7DC92CDE44C4}"/>
    <cellStyle name="Normal 14 4 2 3 2 2 2" xfId="29961" xr:uid="{7618BE27-C5C3-4710-882C-C054E8903917}"/>
    <cellStyle name="Normal 14 4 2 3 2 2 3" xfId="46720" xr:uid="{5C053093-9C43-42F9-90C1-A9B9EF7F6AC1}"/>
    <cellStyle name="Normal 14 4 2 3 2 3" xfId="21581" xr:uid="{1F18FA55-FE70-4B20-947F-FDB83A9BE5AF}"/>
    <cellStyle name="Normal 14 4 2 3 2 4" xfId="38340" xr:uid="{95F9334A-ABEF-4297-96E6-CB84E0ECD634}"/>
    <cellStyle name="Normal 14 4 2 3 3" xfId="6508" xr:uid="{5734D60C-0F8F-4827-9BDF-1C503A2F9AED}"/>
    <cellStyle name="Normal 14 4 2 3 3 2" xfId="14888" xr:uid="{6A596A99-CB4B-48FB-B928-4215E59535CC}"/>
    <cellStyle name="Normal 14 4 2 3 3 2 2" xfId="31648" xr:uid="{ED888406-76EA-4523-B744-B0691249BE61}"/>
    <cellStyle name="Normal 14 4 2 3 3 2 3" xfId="48407" xr:uid="{E15FBB60-535C-4768-B93F-30913F308E7D}"/>
    <cellStyle name="Normal 14 4 2 3 3 3" xfId="23268" xr:uid="{026EA118-7661-4E21-9D71-D628FBBCF3C6}"/>
    <cellStyle name="Normal 14 4 2 3 3 4" xfId="40027" xr:uid="{A4EDB090-854E-4C63-B620-FAF337913535}"/>
    <cellStyle name="Normal 14 4 2 3 4" xfId="3244" xr:uid="{66485396-CA24-4519-869D-199499BFC44B}"/>
    <cellStyle name="Normal 14 4 2 3 4 2" xfId="11624" xr:uid="{4164F0D8-86D1-4355-8EB6-3393B61E1E04}"/>
    <cellStyle name="Normal 14 4 2 3 4 2 2" xfId="28384" xr:uid="{48B40EDF-BE70-4B01-89DE-41C4E94BC40E}"/>
    <cellStyle name="Normal 14 4 2 3 4 2 3" xfId="45143" xr:uid="{BFE39907-134A-4D8F-B23B-E796A85E02AC}"/>
    <cellStyle name="Normal 14 4 2 3 4 3" xfId="20004" xr:uid="{EC8F054D-3BCE-4B86-80CB-F789F15B5B38}"/>
    <cellStyle name="Normal 14 4 2 3 4 4" xfId="36763" xr:uid="{D2261082-70C6-47DF-9660-24D8687E5294}"/>
    <cellStyle name="Normal 14 4 2 3 5" xfId="9821" xr:uid="{67AD1FA6-56F6-403A-A664-73C025C3C636}"/>
    <cellStyle name="Normal 14 4 2 3 5 2" xfId="26581" xr:uid="{4D18000B-822E-49C3-9F99-59EDD13D2DD5}"/>
    <cellStyle name="Normal 14 4 2 3 5 3" xfId="43340" xr:uid="{9345F084-C044-4463-BEF5-E7DB7C4BF0A6}"/>
    <cellStyle name="Normal 14 4 2 3 6" xfId="18201" xr:uid="{EFC4F13D-719A-4088-8247-49DF454B0574}"/>
    <cellStyle name="Normal 14 4 2 3 7" xfId="34960" xr:uid="{D22E9C3A-DE92-4490-8928-F8E889D59DC7}"/>
    <cellStyle name="Normal 14 4 2 4" xfId="1807" xr:uid="{D7864729-894F-41E8-900F-61CC4EA5DBEF}"/>
    <cellStyle name="Normal 14 4 2 4 2" xfId="5196" xr:uid="{3B3745A3-F9C8-4DBB-9522-9073458F9114}"/>
    <cellStyle name="Normal 14 4 2 4 2 2" xfId="13576" xr:uid="{9E70390E-2D55-434E-8458-0744485FF770}"/>
    <cellStyle name="Normal 14 4 2 4 2 2 2" xfId="30336" xr:uid="{0626DC09-D517-414E-B99E-A9B4B39DFFCB}"/>
    <cellStyle name="Normal 14 4 2 4 2 2 3" xfId="47095" xr:uid="{EEFA1376-F4B2-41C5-B66E-CBD8C6D2E27F}"/>
    <cellStyle name="Normal 14 4 2 4 2 3" xfId="21956" xr:uid="{9E73A612-B647-43D3-9355-B9BD894F895D}"/>
    <cellStyle name="Normal 14 4 2 4 2 4" xfId="38715" xr:uid="{922C8126-458F-48F4-A94D-4AA8DE7E91D2}"/>
    <cellStyle name="Normal 14 4 2 4 3" xfId="6883" xr:uid="{0A3E12A8-0A98-4039-9B06-B7235941CD45}"/>
    <cellStyle name="Normal 14 4 2 4 3 2" xfId="15263" xr:uid="{2B3D6F91-495A-472D-B25B-C5588DE31794}"/>
    <cellStyle name="Normal 14 4 2 4 3 2 2" xfId="32023" xr:uid="{22A49264-E604-42E9-A144-F0F103FA8DE6}"/>
    <cellStyle name="Normal 14 4 2 4 3 2 3" xfId="48782" xr:uid="{F3FC1777-1A07-4847-A5CB-338AD37C163A}"/>
    <cellStyle name="Normal 14 4 2 4 3 3" xfId="23643" xr:uid="{43E18BCF-CCC9-4816-ACC0-B0860D8CED4F}"/>
    <cellStyle name="Normal 14 4 2 4 3 4" xfId="40402" xr:uid="{DF7EC9A9-7146-4740-A8E6-8FE7A6164CDC}"/>
    <cellStyle name="Normal 14 4 2 4 4" xfId="3507" xr:uid="{CF415AB7-3916-4225-A143-454A50004045}"/>
    <cellStyle name="Normal 14 4 2 4 4 2" xfId="11887" xr:uid="{D449D4F6-FB5F-4122-860B-C8AE9EB12FF5}"/>
    <cellStyle name="Normal 14 4 2 4 4 2 2" xfId="28647" xr:uid="{C9B82251-E0FC-4818-8E88-6F4EDE2176D3}"/>
    <cellStyle name="Normal 14 4 2 4 4 2 3" xfId="45406" xr:uid="{BB790503-C66F-4B5C-A171-604658E3EB3E}"/>
    <cellStyle name="Normal 14 4 2 4 4 3" xfId="20267" xr:uid="{F205D9F8-E835-4E35-861E-9C9F409413B0}"/>
    <cellStyle name="Normal 14 4 2 4 4 4" xfId="37026" xr:uid="{11405C0E-AAA2-47E1-B539-50B422A561C4}"/>
    <cellStyle name="Normal 14 4 2 4 5" xfId="10196" xr:uid="{FD247CC8-8A2A-4A10-BCDE-DCE599CF592B}"/>
    <cellStyle name="Normal 14 4 2 4 5 2" xfId="26956" xr:uid="{EDAC112D-0897-4E22-AFF0-9AD47ECAB012}"/>
    <cellStyle name="Normal 14 4 2 4 5 3" xfId="43715" xr:uid="{A842D357-FDA7-4E34-9506-58CC59693A58}"/>
    <cellStyle name="Normal 14 4 2 4 6" xfId="18576" xr:uid="{BB085FBB-E46B-490E-B39C-B90CEA4D267E}"/>
    <cellStyle name="Normal 14 4 2 4 7" xfId="35335" xr:uid="{13D264AF-59BD-4C00-B54B-B870432A8581}"/>
    <cellStyle name="Normal 14 4 2 5" xfId="3926" xr:uid="{EA93CC11-DF61-44F4-95F2-03BBF2BF4B62}"/>
    <cellStyle name="Normal 14 4 2 5 2" xfId="12306" xr:uid="{1FB058B6-5128-41E1-9355-0D980E6AE5F9}"/>
    <cellStyle name="Normal 14 4 2 5 2 2" xfId="29066" xr:uid="{1AD49282-130F-4598-A324-3380960EDA75}"/>
    <cellStyle name="Normal 14 4 2 5 2 3" xfId="45825" xr:uid="{6B883FA8-E9B7-4E75-B5CD-B325E8CCAB39}"/>
    <cellStyle name="Normal 14 4 2 5 3" xfId="20686" xr:uid="{E28DA7E4-7E20-41BD-892B-D3722ECE326C}"/>
    <cellStyle name="Normal 14 4 2 5 4" xfId="37445" xr:uid="{6B57E1A0-79E7-47E2-9C01-DAFB780ED042}"/>
    <cellStyle name="Normal 14 4 2 6" xfId="5654" xr:uid="{31463AD0-6D2E-4DB7-880E-9B254E6EC66B}"/>
    <cellStyle name="Normal 14 4 2 6 2" xfId="14034" xr:uid="{3C42D7F2-BB31-49C0-AF32-BF94D8AD11B3}"/>
    <cellStyle name="Normal 14 4 2 6 2 2" xfId="30794" xr:uid="{2E459748-4BAE-4DD0-BC7C-EFC2695487F7}"/>
    <cellStyle name="Normal 14 4 2 6 2 3" xfId="47553" xr:uid="{AAA50496-DCB6-4D92-BDFD-A639DB749730}"/>
    <cellStyle name="Normal 14 4 2 6 3" xfId="22414" xr:uid="{F6789C74-340D-41E6-8846-061DE75C0292}"/>
    <cellStyle name="Normal 14 4 2 6 4" xfId="39173" xr:uid="{3191B945-21B9-4303-B0FC-07A803324A2F}"/>
    <cellStyle name="Normal 14 4 2 7" xfId="7289" xr:uid="{766074D0-AFF5-4E52-B6C5-4258DA1AA288}"/>
    <cellStyle name="Normal 14 4 2 7 2" xfId="15669" xr:uid="{9D609048-4563-4417-8DF9-3CB46A7CCC24}"/>
    <cellStyle name="Normal 14 4 2 7 2 2" xfId="32429" xr:uid="{51AF30D6-50AD-443C-8B0B-7ED9425B8451}"/>
    <cellStyle name="Normal 14 4 2 7 2 3" xfId="49188" xr:uid="{737DA601-E140-47D2-A1E0-33FF3EE8169A}"/>
    <cellStyle name="Normal 14 4 2 7 3" xfId="24049" xr:uid="{27D0A4BE-D479-4172-B7BA-61BF18C0A8AF}"/>
    <cellStyle name="Normal 14 4 2 7 4" xfId="40808" xr:uid="{18B3D646-A543-4388-B6C2-C10348C1D83A}"/>
    <cellStyle name="Normal 14 4 2 8" xfId="7695" xr:uid="{02FEAFCD-9156-443C-86B2-B60710C41E1B}"/>
    <cellStyle name="Normal 14 4 2 8 2" xfId="16075" xr:uid="{8FB0756A-7CBD-4DB3-A638-76D89B2771C4}"/>
    <cellStyle name="Normal 14 4 2 8 2 2" xfId="32835" xr:uid="{FAA69B6E-3E56-4728-B8CB-48A8CC12B82E}"/>
    <cellStyle name="Normal 14 4 2 8 2 3" xfId="49594" xr:uid="{B429BCA9-35B3-4971-A3C1-7976E028E7B0}"/>
    <cellStyle name="Normal 14 4 2 8 3" xfId="24455" xr:uid="{72B14A1B-84BE-4012-9609-9B9B8F5FC6C4}"/>
    <cellStyle name="Normal 14 4 2 8 4" xfId="41214" xr:uid="{66DB3662-1032-4CF1-B6DB-4C6E68F592B4}"/>
    <cellStyle name="Normal 14 4 2 9" xfId="8101" xr:uid="{714C74A1-B77F-4112-8670-1C1543B633A7}"/>
    <cellStyle name="Normal 14 4 2 9 2" xfId="16481" xr:uid="{22531FCA-8F4A-4CB7-839D-02FE01C0FE43}"/>
    <cellStyle name="Normal 14 4 2 9 2 2" xfId="33241" xr:uid="{9E883EA0-0D6B-4CAB-A564-0F05FF4543E0}"/>
    <cellStyle name="Normal 14 4 2 9 2 3" xfId="50000" xr:uid="{891F43B2-9E93-4EC6-9FFE-F9B1CF323854}"/>
    <cellStyle name="Normal 14 4 2 9 3" xfId="24861" xr:uid="{2B70E3FB-3C88-476D-87F0-30403E78A8F1}"/>
    <cellStyle name="Normal 14 4 2 9 4" xfId="41620" xr:uid="{C3AEBCD3-D301-463C-974A-8CB6603F004C}"/>
    <cellStyle name="Normal 14 4 3" xfId="557" xr:uid="{52753300-0D1E-4C08-ADA4-3B8AB5698881}"/>
    <cellStyle name="Normal 14 4 3 10" xfId="8643" xr:uid="{1411D7B4-31D8-454D-8526-BD29CE968DE2}"/>
    <cellStyle name="Normal 14 4 3 10 2" xfId="17023" xr:uid="{2C63F547-6AC6-4829-A0E7-018C4BAC6589}"/>
    <cellStyle name="Normal 14 4 3 10 2 2" xfId="33783" xr:uid="{A499F475-097F-4F9C-88EB-ACB2303C2329}"/>
    <cellStyle name="Normal 14 4 3 10 2 3" xfId="50542" xr:uid="{871279D1-6849-489B-9114-5003C7F1B17C}"/>
    <cellStyle name="Normal 14 4 3 10 3" xfId="25403" xr:uid="{C1107AC2-6F5F-40F0-83E1-259EE9BC034A}"/>
    <cellStyle name="Normal 14 4 3 10 4" xfId="42162" xr:uid="{7B95C7A8-CF05-4C85-BAAF-532C05C140C4}"/>
    <cellStyle name="Normal 14 4 3 11" xfId="2389" xr:uid="{61632F2C-019D-4ADE-B1F0-F45F98E3BDE7}"/>
    <cellStyle name="Normal 14 4 3 11 2" xfId="10771" xr:uid="{F9657F05-2C87-4024-831B-9F1E88DA3D2D}"/>
    <cellStyle name="Normal 14 4 3 11 2 2" xfId="27531" xr:uid="{86DA0EF1-08DF-4EC8-8F43-1BED5E280C56}"/>
    <cellStyle name="Normal 14 4 3 11 2 3" xfId="44290" xr:uid="{15A25BC4-F7FF-4A71-AF0A-6B6B782B56A1}"/>
    <cellStyle name="Normal 14 4 3 11 3" xfId="19151" xr:uid="{6106C42D-3AFF-405F-886B-0E7BE193977C}"/>
    <cellStyle name="Normal 14 4 3 11 4" xfId="35910" xr:uid="{43BD31B3-0F12-4DE7-AF20-D39F165CB5F0}"/>
    <cellStyle name="Normal 14 4 3 12" xfId="8968" xr:uid="{736FDADF-02E3-47C7-AD73-F13CC6EC602D}"/>
    <cellStyle name="Normal 14 4 3 12 2" xfId="25728" xr:uid="{DE1C1B0F-F0A6-4BB1-9985-D7C3B7FDEFFF}"/>
    <cellStyle name="Normal 14 4 3 12 3" xfId="42487" xr:uid="{C71ACE71-9C56-4F58-8996-AE91EDE5DFF3}"/>
    <cellStyle name="Normal 14 4 3 13" xfId="17348" xr:uid="{5BE4A4D1-3ADC-43FA-B6B9-FE9651D2CAFD}"/>
    <cellStyle name="Normal 14 4 3 14" xfId="34107" xr:uid="{D740981E-9EEA-4BAE-B176-F6B7821C8061}"/>
    <cellStyle name="Normal 14 4 3 2" xfId="999" xr:uid="{626CAA77-A834-4CBD-B0BC-7E0422C8F709}"/>
    <cellStyle name="Normal 14 4 3 2 2" xfId="4394" xr:uid="{B536010F-C921-4611-8F06-070BDCEE22C5}"/>
    <cellStyle name="Normal 14 4 3 2 2 2" xfId="12774" xr:uid="{D8F2E953-C229-48BF-B62D-557FA6CF3C13}"/>
    <cellStyle name="Normal 14 4 3 2 2 2 2" xfId="29534" xr:uid="{9B746239-4001-4FA2-BB76-0D087D3D06EC}"/>
    <cellStyle name="Normal 14 4 3 2 2 2 3" xfId="46293" xr:uid="{BD1ED014-01C7-4EF4-AA98-96949BB0AF08}"/>
    <cellStyle name="Normal 14 4 3 2 2 3" xfId="21154" xr:uid="{3444E33A-4CAF-4183-9ABB-7811E6A86797}"/>
    <cellStyle name="Normal 14 4 3 2 2 4" xfId="37913" xr:uid="{533DEA51-EDF5-4B86-8111-E27DD5803E1B}"/>
    <cellStyle name="Normal 14 4 3 2 3" xfId="6081" xr:uid="{6B5D8EB3-707C-42DF-8C65-D05E447A0E9F}"/>
    <cellStyle name="Normal 14 4 3 2 3 2" xfId="14461" xr:uid="{7C0FE853-3C71-479E-B8AB-785AED50158D}"/>
    <cellStyle name="Normal 14 4 3 2 3 2 2" xfId="31221" xr:uid="{21099AA4-92EB-4BF6-9D54-E9CF2EE4B8E0}"/>
    <cellStyle name="Normal 14 4 3 2 3 2 3" xfId="47980" xr:uid="{FBB81FD7-DB38-4B1E-AABA-12FF374A0495}"/>
    <cellStyle name="Normal 14 4 3 2 3 3" xfId="22841" xr:uid="{A344CE28-3634-446A-92D0-9A755FF45CB9}"/>
    <cellStyle name="Normal 14 4 3 2 3 4" xfId="39600" xr:uid="{14AF1154-4E34-409D-A374-692F5BEBD468}"/>
    <cellStyle name="Normal 14 4 3 2 4" xfId="2817" xr:uid="{C63672CB-649F-4777-9F19-B74290FD0983}"/>
    <cellStyle name="Normal 14 4 3 2 4 2" xfId="11197" xr:uid="{CF790EDE-9660-445A-BE4B-C1D2B0DAD5D6}"/>
    <cellStyle name="Normal 14 4 3 2 4 2 2" xfId="27957" xr:uid="{06C26C50-5672-4608-AA1D-983CB7811C93}"/>
    <cellStyle name="Normal 14 4 3 2 4 2 3" xfId="44716" xr:uid="{AFE2B706-64CD-4298-9C70-51861842F275}"/>
    <cellStyle name="Normal 14 4 3 2 4 3" xfId="19577" xr:uid="{7587ACD7-6033-4427-81DA-F12B21C5EBE7}"/>
    <cellStyle name="Normal 14 4 3 2 4 4" xfId="36336" xr:uid="{BC143AC7-3B90-4192-B496-E08D3CE881A0}"/>
    <cellStyle name="Normal 14 4 3 2 5" xfId="9394" xr:uid="{871181EC-AF2B-4784-B7F4-A64320D34DE5}"/>
    <cellStyle name="Normal 14 4 3 2 5 2" xfId="26154" xr:uid="{56626D03-3141-4C9E-BDD3-8A1136F0EA11}"/>
    <cellStyle name="Normal 14 4 3 2 5 3" xfId="42913" xr:uid="{68E06913-1BEF-476D-8D86-6B6A810C97CA}"/>
    <cellStyle name="Normal 14 4 3 2 6" xfId="17774" xr:uid="{541DB313-363C-44D5-93C9-7BA68C371D4B}"/>
    <cellStyle name="Normal 14 4 3 2 7" xfId="34533" xr:uid="{3659D1A0-6C93-4088-B4B2-1A3FECF7FCC6}"/>
    <cellStyle name="Normal 14 4 3 3" xfId="1433" xr:uid="{2A33F100-8E43-4134-99C1-DA9615D64D6D}"/>
    <cellStyle name="Normal 14 4 3 3 2" xfId="4822" xr:uid="{BCE0E9CF-2C36-4FBB-8E4D-057BEC09985A}"/>
    <cellStyle name="Normal 14 4 3 3 2 2" xfId="13202" xr:uid="{EAABAB6A-8594-4E9B-BEFB-ADA7F81B8D81}"/>
    <cellStyle name="Normal 14 4 3 3 2 2 2" xfId="29962" xr:uid="{CB6F64F5-B764-4059-9E20-05AAB1D390C5}"/>
    <cellStyle name="Normal 14 4 3 3 2 2 3" xfId="46721" xr:uid="{E9FDFD46-7F6E-4B86-A5FB-856D6347E838}"/>
    <cellStyle name="Normal 14 4 3 3 2 3" xfId="21582" xr:uid="{CC8ACF31-DE3A-4127-9840-09552CD7F69D}"/>
    <cellStyle name="Normal 14 4 3 3 2 4" xfId="38341" xr:uid="{19C21824-0C53-4CFE-8A30-0377A35F6C55}"/>
    <cellStyle name="Normal 14 4 3 3 3" xfId="6509" xr:uid="{772A0499-F759-49E3-B4F2-652927C0CB0C}"/>
    <cellStyle name="Normal 14 4 3 3 3 2" xfId="14889" xr:uid="{0A3015E2-A4A8-422B-AAB7-7F7FECF818FF}"/>
    <cellStyle name="Normal 14 4 3 3 3 2 2" xfId="31649" xr:uid="{98BA2C1F-37E7-4354-BB22-AE0FE91E229F}"/>
    <cellStyle name="Normal 14 4 3 3 3 2 3" xfId="48408" xr:uid="{04962C68-DD3E-4899-8A3E-B9B062658B86}"/>
    <cellStyle name="Normal 14 4 3 3 3 3" xfId="23269" xr:uid="{E9C72850-580C-49F6-B25A-82A2ABDE4CB9}"/>
    <cellStyle name="Normal 14 4 3 3 3 4" xfId="40028" xr:uid="{F241BF32-0F11-4EF0-B037-DC07E30B6D39}"/>
    <cellStyle name="Normal 14 4 3 3 4" xfId="3245" xr:uid="{C2C7EB12-A2C5-49F6-B3AC-6EDB9988C1CA}"/>
    <cellStyle name="Normal 14 4 3 3 4 2" xfId="11625" xr:uid="{11E8F728-6180-4475-BB87-FA715DDA2BB4}"/>
    <cellStyle name="Normal 14 4 3 3 4 2 2" xfId="28385" xr:uid="{EF1831A0-146A-4358-9861-30CDEF964B9E}"/>
    <cellStyle name="Normal 14 4 3 3 4 2 3" xfId="45144" xr:uid="{67BC30FB-5F78-4671-B165-A19EE3B55C49}"/>
    <cellStyle name="Normal 14 4 3 3 4 3" xfId="20005" xr:uid="{C9648C56-9B62-436E-A48E-E25AC36FBD7E}"/>
    <cellStyle name="Normal 14 4 3 3 4 4" xfId="36764" xr:uid="{BFFD9237-F3FD-4367-8788-1B41F7885391}"/>
    <cellStyle name="Normal 14 4 3 3 5" xfId="9822" xr:uid="{5FAF9B7A-C921-4FA1-B26A-85D1B9786ACC}"/>
    <cellStyle name="Normal 14 4 3 3 5 2" xfId="26582" xr:uid="{2DC3F4C0-26F8-460D-B29F-31BB7B717CFE}"/>
    <cellStyle name="Normal 14 4 3 3 5 3" xfId="43341" xr:uid="{969115DB-D97F-4F4F-80A1-876BEF2F47E9}"/>
    <cellStyle name="Normal 14 4 3 3 6" xfId="18202" xr:uid="{4568EB1C-1B25-4ACC-89AB-27587C0218E0}"/>
    <cellStyle name="Normal 14 4 3 3 7" xfId="34961" xr:uid="{423A7DD1-0AB4-4773-A561-F616DACB1D00}"/>
    <cellStyle name="Normal 14 4 3 4" xfId="1943" xr:uid="{21BE2018-59DF-4264-8CF2-5FD8B6F08D58}"/>
    <cellStyle name="Normal 14 4 3 4 2" xfId="5332" xr:uid="{2C52693C-709A-4BA0-935D-C434DE415C5F}"/>
    <cellStyle name="Normal 14 4 3 4 2 2" xfId="13712" xr:uid="{E13FC5FC-71FD-4196-888E-8B6078BF5344}"/>
    <cellStyle name="Normal 14 4 3 4 2 2 2" xfId="30472" xr:uid="{E4ABDC08-9D95-46ED-9A10-729E311AEC45}"/>
    <cellStyle name="Normal 14 4 3 4 2 2 3" xfId="47231" xr:uid="{E01B87B3-857E-4443-A364-B615C3AF8FC2}"/>
    <cellStyle name="Normal 14 4 3 4 2 3" xfId="22092" xr:uid="{5DB09B3F-0CE5-4B3B-8103-9D48772371BB}"/>
    <cellStyle name="Normal 14 4 3 4 2 4" xfId="38851" xr:uid="{3AE29919-E050-44EB-8097-7F58227684C6}"/>
    <cellStyle name="Normal 14 4 3 4 3" xfId="7019" xr:uid="{22B7767B-1910-4938-B9A4-16FC4235F020}"/>
    <cellStyle name="Normal 14 4 3 4 3 2" xfId="15399" xr:uid="{66C4A57E-5B81-4CCA-B6E9-14FA4437FFC9}"/>
    <cellStyle name="Normal 14 4 3 4 3 2 2" xfId="32159" xr:uid="{564CE288-D0B1-44F1-A686-8ADBBCFBB6E4}"/>
    <cellStyle name="Normal 14 4 3 4 3 2 3" xfId="48918" xr:uid="{B23C3AA9-06C2-4056-9CBA-156F36F8A473}"/>
    <cellStyle name="Normal 14 4 3 4 3 3" xfId="23779" xr:uid="{93A15F28-A8F2-42D0-B886-12ADFB5415C4}"/>
    <cellStyle name="Normal 14 4 3 4 3 4" xfId="40538" xr:uid="{EEFAC289-C798-47F0-86C4-2C8D0E8DE084}"/>
    <cellStyle name="Normal 14 4 3 4 4" xfId="3642" xr:uid="{E6876F5B-27C5-4E92-9035-B4D2AD431873}"/>
    <cellStyle name="Normal 14 4 3 4 4 2" xfId="12022" xr:uid="{B50ADD4C-B323-4857-A333-1148B1C52A2C}"/>
    <cellStyle name="Normal 14 4 3 4 4 2 2" xfId="28782" xr:uid="{76EE0A6B-B393-43B5-A782-221176FD65DC}"/>
    <cellStyle name="Normal 14 4 3 4 4 2 3" xfId="45541" xr:uid="{96EA00A8-B0BD-4AE2-A225-FAC9DA71256F}"/>
    <cellStyle name="Normal 14 4 3 4 4 3" xfId="20402" xr:uid="{7BA3FA8C-0D60-462F-BD9F-9F8EE13A6619}"/>
    <cellStyle name="Normal 14 4 3 4 4 4" xfId="37161" xr:uid="{FE642752-DBE8-405F-A537-997768708028}"/>
    <cellStyle name="Normal 14 4 3 4 5" xfId="10332" xr:uid="{B6DD96B9-8107-4543-BF6C-9ECAEA7E5402}"/>
    <cellStyle name="Normal 14 4 3 4 5 2" xfId="27092" xr:uid="{4D20B807-1FBE-48A8-A7BC-392EBA73FA15}"/>
    <cellStyle name="Normal 14 4 3 4 5 3" xfId="43851" xr:uid="{354C45F5-A173-4812-BD93-13F9822A086C}"/>
    <cellStyle name="Normal 14 4 3 4 6" xfId="18712" xr:uid="{CA5479A5-C9DA-4CBE-AE08-6E5783884617}"/>
    <cellStyle name="Normal 14 4 3 4 7" xfId="35471" xr:uid="{ACE6B628-76DA-4153-9D2F-296B5F710BA9}"/>
    <cellStyle name="Normal 14 4 3 5" xfId="4062" xr:uid="{A42F0640-28A1-4F7F-A106-1F03817A1E02}"/>
    <cellStyle name="Normal 14 4 3 5 2" xfId="12442" xr:uid="{08D09B5A-2AC3-4F20-BFE5-18D32E8A5506}"/>
    <cellStyle name="Normal 14 4 3 5 2 2" xfId="29202" xr:uid="{13D85FA5-349D-4826-9AE2-EB3B95DB45A0}"/>
    <cellStyle name="Normal 14 4 3 5 2 3" xfId="45961" xr:uid="{194176E5-5231-4A3B-9894-C4B45AF6829A}"/>
    <cellStyle name="Normal 14 4 3 5 3" xfId="20822" xr:uid="{6BB5B811-9A97-4DD6-846E-801E72067B89}"/>
    <cellStyle name="Normal 14 4 3 5 4" xfId="37581" xr:uid="{DE97BE43-1B58-40EE-BC2E-32C5A9219817}"/>
    <cellStyle name="Normal 14 4 3 6" xfId="5655" xr:uid="{CB4ADD2D-98D9-4560-A1A5-F67E214D93DB}"/>
    <cellStyle name="Normal 14 4 3 6 2" xfId="14035" xr:uid="{833793DE-A5D7-412D-BB58-3B7987A1D4A5}"/>
    <cellStyle name="Normal 14 4 3 6 2 2" xfId="30795" xr:uid="{A7D76644-6B3B-4F07-8075-49212E4265A1}"/>
    <cellStyle name="Normal 14 4 3 6 2 3" xfId="47554" xr:uid="{ED59FE54-588F-47D0-A240-F746470D81A2}"/>
    <cellStyle name="Normal 14 4 3 6 3" xfId="22415" xr:uid="{78CECB59-E6AE-4690-9E52-6F8A3F7C7C00}"/>
    <cellStyle name="Normal 14 4 3 6 4" xfId="39174" xr:uid="{0B245C2E-C8FC-4272-B431-B31253CF7DB0}"/>
    <cellStyle name="Normal 14 4 3 7" xfId="7425" xr:uid="{68F059EB-FEFB-422D-895D-D95FC20EC135}"/>
    <cellStyle name="Normal 14 4 3 7 2" xfId="15805" xr:uid="{EC43BF11-68A1-46AB-8944-9045CD4400AE}"/>
    <cellStyle name="Normal 14 4 3 7 2 2" xfId="32565" xr:uid="{6CC6C6F1-5C61-4558-A244-E0683FAC45D0}"/>
    <cellStyle name="Normal 14 4 3 7 2 3" xfId="49324" xr:uid="{42ED6AD7-49AF-444C-9480-3D4467A4E5D9}"/>
    <cellStyle name="Normal 14 4 3 7 3" xfId="24185" xr:uid="{15A076FC-FDFB-45E2-8FA3-CCAF80FB369E}"/>
    <cellStyle name="Normal 14 4 3 7 4" xfId="40944" xr:uid="{DC1F1486-4832-433A-8800-443E0981ED68}"/>
    <cellStyle name="Normal 14 4 3 8" xfId="7831" xr:uid="{057A89C7-3EE9-47F1-A64D-A4D827D0890D}"/>
    <cellStyle name="Normal 14 4 3 8 2" xfId="16211" xr:uid="{46304BA5-FEA1-43F7-9114-49EE4B2F15C1}"/>
    <cellStyle name="Normal 14 4 3 8 2 2" xfId="32971" xr:uid="{C60F9715-9195-4C60-AB8D-6C32E372556D}"/>
    <cellStyle name="Normal 14 4 3 8 2 3" xfId="49730" xr:uid="{21788F2E-668D-4962-9C3E-01D6A95BC4BB}"/>
    <cellStyle name="Normal 14 4 3 8 3" xfId="24591" xr:uid="{F624DF19-F6FB-40AB-B5A2-9A276839EA37}"/>
    <cellStyle name="Normal 14 4 3 8 4" xfId="41350" xr:uid="{C0B3057A-EAC8-4117-9FD8-154167ECEBF1}"/>
    <cellStyle name="Normal 14 4 3 9" xfId="8237" xr:uid="{BF1C9579-FCCA-42D6-BEAF-39A4F1FF088B}"/>
    <cellStyle name="Normal 14 4 3 9 2" xfId="16617" xr:uid="{B0BE29FC-F3A5-42E3-AC08-92D71B694AA4}"/>
    <cellStyle name="Normal 14 4 3 9 2 2" xfId="33377" xr:uid="{09C18B29-B9D7-44DD-B0FE-EE93BD0995BC}"/>
    <cellStyle name="Normal 14 4 3 9 2 3" xfId="50136" xr:uid="{C43DEBA8-4728-4A30-8191-7B20DFD560EA}"/>
    <cellStyle name="Normal 14 4 3 9 3" xfId="24997" xr:uid="{379751AC-1D62-41B4-BDEC-61E49F16D236}"/>
    <cellStyle name="Normal 14 4 3 9 4" xfId="41756" xr:uid="{DAD1121E-7B19-4A3E-9D45-6C4F27DFA30D}"/>
    <cellStyle name="Normal 14 4 4" xfId="997" xr:uid="{91BA4ABB-D4DD-4A0B-BF4C-C1D882BB033A}"/>
    <cellStyle name="Normal 14 4 4 2" xfId="4392" xr:uid="{2D45DE8F-13D7-4BCA-903E-6C50F1EC47CB}"/>
    <cellStyle name="Normal 14 4 4 2 2" xfId="12772" xr:uid="{BAFD30D2-C2AD-412D-A39D-B8E33E6E817C}"/>
    <cellStyle name="Normal 14 4 4 2 2 2" xfId="29532" xr:uid="{40154CA3-8770-4D51-B76B-1595E202C395}"/>
    <cellStyle name="Normal 14 4 4 2 2 3" xfId="46291" xr:uid="{19023F70-8A8B-4692-95E9-DD24A6DF1C28}"/>
    <cellStyle name="Normal 14 4 4 2 3" xfId="21152" xr:uid="{93876EF9-7CCA-4075-AC5D-AAB1E83C5018}"/>
    <cellStyle name="Normal 14 4 4 2 4" xfId="37911" xr:uid="{262008F1-728E-45C0-8AEE-DDD951D43DE2}"/>
    <cellStyle name="Normal 14 4 4 3" xfId="6079" xr:uid="{544CE754-5BB1-4126-954E-6A1461E63866}"/>
    <cellStyle name="Normal 14 4 4 3 2" xfId="14459" xr:uid="{D7D19063-ED61-485F-B7E9-FD7C15847EF9}"/>
    <cellStyle name="Normal 14 4 4 3 2 2" xfId="31219" xr:uid="{D670A59E-57C3-4A47-A8EF-CE82278A9542}"/>
    <cellStyle name="Normal 14 4 4 3 2 3" xfId="47978" xr:uid="{8FD608C2-7DA0-474F-8ABF-DB62EC21B5D6}"/>
    <cellStyle name="Normal 14 4 4 3 3" xfId="22839" xr:uid="{9B32B27C-981C-44D6-B1DA-76467A039784}"/>
    <cellStyle name="Normal 14 4 4 3 4" xfId="39598" xr:uid="{3419F5D2-B0F6-4ADE-9B72-C7E653DAD9D6}"/>
    <cellStyle name="Normal 14 4 4 4" xfId="2815" xr:uid="{2FC209C3-936A-4FB2-BCBB-E11086D48108}"/>
    <cellStyle name="Normal 14 4 4 4 2" xfId="11195" xr:uid="{A68839C5-00FD-4EF9-82A2-EDF88CABA47B}"/>
    <cellStyle name="Normal 14 4 4 4 2 2" xfId="27955" xr:uid="{F21B9D5A-6F57-4169-8933-5AB0B32C28EA}"/>
    <cellStyle name="Normal 14 4 4 4 2 3" xfId="44714" xr:uid="{722BA20B-22E5-43C3-8958-45131DC63E9C}"/>
    <cellStyle name="Normal 14 4 4 4 3" xfId="19575" xr:uid="{C6C1EDE0-A7C4-46F8-A96B-E8C6A7ADC2DF}"/>
    <cellStyle name="Normal 14 4 4 4 4" xfId="36334" xr:uid="{3377900C-609D-4BD8-B21A-5F7D6BBCC8EB}"/>
    <cellStyle name="Normal 14 4 4 5" xfId="9392" xr:uid="{C364381E-4A23-4528-91A0-F55F3C69027F}"/>
    <cellStyle name="Normal 14 4 4 5 2" xfId="26152" xr:uid="{1FF3EBB1-A840-4EA3-9422-314AD4C833DE}"/>
    <cellStyle name="Normal 14 4 4 5 3" xfId="42911" xr:uid="{37AC796F-FCFC-4541-AB54-38D61095DE2D}"/>
    <cellStyle name="Normal 14 4 4 6" xfId="17772" xr:uid="{4C9B8F8C-883E-421D-AB83-17CD8E83DDDC}"/>
    <cellStyle name="Normal 14 4 4 7" xfId="34531" xr:uid="{6E667277-9889-49A0-9BAC-6122CD8ED2FD}"/>
    <cellStyle name="Normal 14 4 5" xfId="1431" xr:uid="{DB0F3534-4A10-4098-ADBC-9A5900303207}"/>
    <cellStyle name="Normal 14 4 5 2" xfId="4820" xr:uid="{D106F7FA-DDE9-4F26-9015-BFF1729340E3}"/>
    <cellStyle name="Normal 14 4 5 2 2" xfId="13200" xr:uid="{B233EBA8-A8B1-4272-A83D-92D15F6DEC49}"/>
    <cellStyle name="Normal 14 4 5 2 2 2" xfId="29960" xr:uid="{02397A3B-EDC9-451C-9531-89B0586FDB2D}"/>
    <cellStyle name="Normal 14 4 5 2 2 3" xfId="46719" xr:uid="{B9AFCBF7-49C7-4BE3-BF40-709C6722860F}"/>
    <cellStyle name="Normal 14 4 5 2 3" xfId="21580" xr:uid="{886C5143-2027-4108-BAA3-C807E61D5617}"/>
    <cellStyle name="Normal 14 4 5 2 4" xfId="38339" xr:uid="{39270781-36A2-4614-9613-B614D35C3294}"/>
    <cellStyle name="Normal 14 4 5 3" xfId="6507" xr:uid="{AA098B0E-42EE-4E36-8F0B-1583EC62C889}"/>
    <cellStyle name="Normal 14 4 5 3 2" xfId="14887" xr:uid="{1DB46B41-48F2-4C62-9B84-EA50CC886B1B}"/>
    <cellStyle name="Normal 14 4 5 3 2 2" xfId="31647" xr:uid="{5D0D1D6A-BCA3-41DB-B21D-82DBADFBB2B7}"/>
    <cellStyle name="Normal 14 4 5 3 2 3" xfId="48406" xr:uid="{47A5020F-7FF9-42E6-ADE9-19D02D0D062E}"/>
    <cellStyle name="Normal 14 4 5 3 3" xfId="23267" xr:uid="{451F3086-AB6F-4770-8391-C76EB75E2C64}"/>
    <cellStyle name="Normal 14 4 5 3 4" xfId="40026" xr:uid="{EAFEB842-32AC-4883-8031-3DE56611B2E4}"/>
    <cellStyle name="Normal 14 4 5 4" xfId="3243" xr:uid="{2ECAE333-67F3-42F5-8EAE-9708152AC62D}"/>
    <cellStyle name="Normal 14 4 5 4 2" xfId="11623" xr:uid="{ECC30DFD-087E-4B3A-9219-FE4C607862A3}"/>
    <cellStyle name="Normal 14 4 5 4 2 2" xfId="28383" xr:uid="{D79E7C81-0967-4228-B977-ACDBD282CE9C}"/>
    <cellStyle name="Normal 14 4 5 4 2 3" xfId="45142" xr:uid="{1978E4D9-B69D-4C1C-9A76-3FBA5C2773F9}"/>
    <cellStyle name="Normal 14 4 5 4 3" xfId="20003" xr:uid="{5E893930-15D7-44A3-8123-4C656FD7D32F}"/>
    <cellStyle name="Normal 14 4 5 4 4" xfId="36762" xr:uid="{AC7499E3-A21C-4CA1-9D5A-AAB7B89ABBA3}"/>
    <cellStyle name="Normal 14 4 5 5" xfId="9820" xr:uid="{43A1E376-7D41-43E1-8592-E13675EC01F6}"/>
    <cellStyle name="Normal 14 4 5 5 2" xfId="26580" xr:uid="{88F91DD2-34EC-4193-B49D-C7FF0C4E0815}"/>
    <cellStyle name="Normal 14 4 5 5 3" xfId="43339" xr:uid="{1D2C0F03-6D75-48A0-87A0-8AB2BE5F6633}"/>
    <cellStyle name="Normal 14 4 5 6" xfId="18200" xr:uid="{72DDA397-61A1-4A34-A4C2-FE2F380CE14E}"/>
    <cellStyle name="Normal 14 4 5 7" xfId="34959" xr:uid="{B09D88EA-A7C8-437E-AF03-0C8F2695530C}"/>
    <cellStyle name="Normal 14 4 6" xfId="1672" xr:uid="{EFBF3DC5-6EE9-47E5-B4D5-60B560D1E04B}"/>
    <cellStyle name="Normal 14 4 6 2" xfId="5061" xr:uid="{8317D1A4-877D-4F1F-88BB-52C4937C1EC6}"/>
    <cellStyle name="Normal 14 4 6 2 2" xfId="13441" xr:uid="{6744ED1E-EDE6-4501-9092-DB773BBF8163}"/>
    <cellStyle name="Normal 14 4 6 2 2 2" xfId="30201" xr:uid="{CB52D13D-62AA-4773-8087-5ABC6BD85C36}"/>
    <cellStyle name="Normal 14 4 6 2 2 3" xfId="46960" xr:uid="{741747B6-8C06-4C16-93D4-B9577CE23853}"/>
    <cellStyle name="Normal 14 4 6 2 3" xfId="21821" xr:uid="{4AF92EEC-72EB-441F-961D-073DA27DE9CF}"/>
    <cellStyle name="Normal 14 4 6 2 4" xfId="38580" xr:uid="{47FBF770-1777-4311-988B-5434180F1D5C}"/>
    <cellStyle name="Normal 14 4 6 3" xfId="6748" xr:uid="{E3E29BC5-357D-458D-A0B9-27918C253EFC}"/>
    <cellStyle name="Normal 14 4 6 3 2" xfId="15128" xr:uid="{E13EAE7D-7DBA-4448-ABFF-3A019CCBDEB6}"/>
    <cellStyle name="Normal 14 4 6 3 2 2" xfId="31888" xr:uid="{774AA15B-488C-466B-82B8-0BAA67C36418}"/>
    <cellStyle name="Normal 14 4 6 3 2 3" xfId="48647" xr:uid="{9E30C625-BD93-4F7D-8BBA-E06FBE79B8A2}"/>
    <cellStyle name="Normal 14 4 6 3 3" xfId="23508" xr:uid="{2FC00F59-65AC-4587-A682-0F0AA4E76F3E}"/>
    <cellStyle name="Normal 14 4 6 3 4" xfId="40267" xr:uid="{75512D4A-76CA-4D47-BBA5-DE902571462E}"/>
    <cellStyle name="Normal 14 4 6 4" xfId="2387" xr:uid="{BA3613F5-FA4F-42CC-9132-7D638F676A24}"/>
    <cellStyle name="Normal 14 4 6 4 2" xfId="10769" xr:uid="{B53C4852-F44D-4320-AB07-3C61D13DDC29}"/>
    <cellStyle name="Normal 14 4 6 4 2 2" xfId="27529" xr:uid="{B01C1349-6C1C-4000-9A15-AA71F86424F9}"/>
    <cellStyle name="Normal 14 4 6 4 2 3" xfId="44288" xr:uid="{BB145EAA-7829-4776-BD96-993C9E4DF1A3}"/>
    <cellStyle name="Normal 14 4 6 4 3" xfId="19149" xr:uid="{013C9C46-742B-4554-BD0D-5EA9019CAED7}"/>
    <cellStyle name="Normal 14 4 6 4 4" xfId="35908" xr:uid="{F21909A1-7E97-471F-B457-AB41555D4A88}"/>
    <cellStyle name="Normal 14 4 6 5" xfId="10061" xr:uid="{9890DD70-3E21-4E3F-8F95-30A7DBD509DB}"/>
    <cellStyle name="Normal 14 4 6 5 2" xfId="26821" xr:uid="{B272B649-5B7F-4729-9452-D84E2805794D}"/>
    <cellStyle name="Normal 14 4 6 5 3" xfId="43580" xr:uid="{202D340A-9FD4-460D-8782-2F3AE5D11182}"/>
    <cellStyle name="Normal 14 4 6 6" xfId="18441" xr:uid="{2AD72B4E-431A-47F7-8A69-5CD14B23BA91}"/>
    <cellStyle name="Normal 14 4 6 7" xfId="35200" xr:uid="{D77E9F38-876A-48DA-9E28-EBD7118D17D6}"/>
    <cellStyle name="Normal 14 4 7" xfId="3790" xr:uid="{D9DFADD3-98A9-4908-A996-7E2E2EACEB6B}"/>
    <cellStyle name="Normal 14 4 7 2" xfId="12170" xr:uid="{41E9A0BF-68EE-439C-AB5C-5F4FEA379DF8}"/>
    <cellStyle name="Normal 14 4 7 2 2" xfId="28930" xr:uid="{EF46CA0B-41F3-4419-9DC5-2CF029614033}"/>
    <cellStyle name="Normal 14 4 7 2 3" xfId="45689" xr:uid="{7E1046CE-6278-44DB-AB5C-3A0DA1A49A6C}"/>
    <cellStyle name="Normal 14 4 7 3" xfId="20550" xr:uid="{26545207-01C3-4E15-B5DC-39301D099995}"/>
    <cellStyle name="Normal 14 4 7 4" xfId="37309" xr:uid="{0EA460AA-8D15-49FB-8B80-62FE266AA197}"/>
    <cellStyle name="Normal 14 4 8" xfId="5653" xr:uid="{494E4275-9B51-4CBA-858D-3432A11363D3}"/>
    <cellStyle name="Normal 14 4 8 2" xfId="14033" xr:uid="{2EA8911D-998D-4041-9910-6F5DFE2AAC67}"/>
    <cellStyle name="Normal 14 4 8 2 2" xfId="30793" xr:uid="{21E78B9C-D47A-4D1E-8566-3C2C2EA00FAB}"/>
    <cellStyle name="Normal 14 4 8 2 3" xfId="47552" xr:uid="{1DED4735-EB7C-4673-B8EA-6C9377458C50}"/>
    <cellStyle name="Normal 14 4 8 3" xfId="22413" xr:uid="{6385D467-1CC0-4BDB-8C88-9F140EACED6B}"/>
    <cellStyle name="Normal 14 4 8 4" xfId="39172" xr:uid="{CECA80CB-21E2-40DB-A327-BBC39271EB35}"/>
    <cellStyle name="Normal 14 4 9" xfId="7154" xr:uid="{F3E9557D-24E7-4249-BA67-E833C8B0F418}"/>
    <cellStyle name="Normal 14 4 9 2" xfId="15534" xr:uid="{1D5D837C-0151-4BD7-ABC3-12972E0C5AFC}"/>
    <cellStyle name="Normal 14 4 9 2 2" xfId="32294" xr:uid="{88A354A6-84E0-4C33-ACBE-7EC23CFA4FC6}"/>
    <cellStyle name="Normal 14 4 9 2 3" xfId="49053" xr:uid="{41061AFE-B107-48A5-A11F-B12AC38D0A5A}"/>
    <cellStyle name="Normal 14 4 9 3" xfId="23914" xr:uid="{D56F9017-A1AC-48EC-A5F3-BB9B8DA59659}"/>
    <cellStyle name="Normal 14 4 9 4" xfId="40673" xr:uid="{1B29EB16-D91A-4CB1-A7AE-50546285456B}"/>
    <cellStyle name="Normal 14 5" xfId="558" xr:uid="{93CFE4A8-3FC3-4E5C-BB79-EF5A9FC8B32D}"/>
    <cellStyle name="Normal 14 5 10" xfId="7637" xr:uid="{6D36154C-1731-41B8-931B-04D7A2E3946F}"/>
    <cellStyle name="Normal 14 5 10 2" xfId="16017" xr:uid="{741E7E2D-5436-4490-B2DB-98E0206CF753}"/>
    <cellStyle name="Normal 14 5 10 2 2" xfId="32777" xr:uid="{CABCF2DE-FDBC-4689-A8DE-582876F46A27}"/>
    <cellStyle name="Normal 14 5 10 2 3" xfId="49536" xr:uid="{123317CD-D7E4-49D0-BE29-60D6D9F2BB8B}"/>
    <cellStyle name="Normal 14 5 10 3" xfId="24397" xr:uid="{4E5E1198-AB31-4917-B7A9-0CA43E6DCD5D}"/>
    <cellStyle name="Normal 14 5 10 4" xfId="41156" xr:uid="{A5F5E794-8162-47A0-97A2-15B54B4758E2}"/>
    <cellStyle name="Normal 14 5 11" xfId="8043" xr:uid="{ED7C7272-74F6-4C4E-8AF2-3BFC286BF749}"/>
    <cellStyle name="Normal 14 5 11 2" xfId="16423" xr:uid="{9F0E94C3-9263-40E3-B53F-BA2F3E41D991}"/>
    <cellStyle name="Normal 14 5 11 2 2" xfId="33183" xr:uid="{E696098E-ADAF-48EC-87BE-E91145206420}"/>
    <cellStyle name="Normal 14 5 11 2 3" xfId="49942" xr:uid="{6DC855FA-F19B-49AD-9D7D-3782AC4001F5}"/>
    <cellStyle name="Normal 14 5 11 3" xfId="24803" xr:uid="{20322B4C-96E8-4BE3-9970-49CD61BE6BA1}"/>
    <cellStyle name="Normal 14 5 11 4" xfId="41562" xr:uid="{7BFAB667-6BAB-4C02-8218-198CDD1615FE}"/>
    <cellStyle name="Normal 14 5 12" xfId="8449" xr:uid="{856975BF-6D65-4653-9779-454BCB669544}"/>
    <cellStyle name="Normal 14 5 12 2" xfId="16829" xr:uid="{F62A32AA-919B-4ADF-AD56-E6847EF95B79}"/>
    <cellStyle name="Normal 14 5 12 2 2" xfId="33589" xr:uid="{089F953D-02D3-4D31-8FFE-D704D2D34D81}"/>
    <cellStyle name="Normal 14 5 12 2 3" xfId="50348" xr:uid="{7AE164BD-70FF-48DC-92EA-EBF95F58BBAE}"/>
    <cellStyle name="Normal 14 5 12 3" xfId="25209" xr:uid="{2B3D5FD8-9A12-4FA9-950D-56CF580A5E08}"/>
    <cellStyle name="Normal 14 5 12 4" xfId="41968" xr:uid="{269A6CF4-4C49-4246-BF60-E586576C85DC}"/>
    <cellStyle name="Normal 14 5 13" xfId="2136" xr:uid="{0C1E9976-1C5D-48FC-B838-EB73DA0C6AA1}"/>
    <cellStyle name="Normal 14 5 13 2" xfId="10524" xr:uid="{1CDAF6A4-5133-4ED1-BAC7-BE1145A3C762}"/>
    <cellStyle name="Normal 14 5 13 2 2" xfId="27284" xr:uid="{FF80333F-0F01-45F3-A8BD-E98B1ECC5473}"/>
    <cellStyle name="Normal 14 5 13 2 3" xfId="44043" xr:uid="{9A53E341-73B0-42BC-BDD4-7EF2361789A9}"/>
    <cellStyle name="Normal 14 5 13 3" xfId="18904" xr:uid="{2E3B0982-E3E4-4374-97A6-996F0BFCFFE0}"/>
    <cellStyle name="Normal 14 5 13 4" xfId="35663" xr:uid="{397DEC77-E150-4740-80C4-AF30B43E75A1}"/>
    <cellStyle name="Normal 14 5 14" xfId="8969" xr:uid="{6855B83E-E55D-4F70-AF31-2189A49419E9}"/>
    <cellStyle name="Normal 14 5 14 2" xfId="25729" xr:uid="{F58739FC-49C3-4F84-BF65-54CA1A676837}"/>
    <cellStyle name="Normal 14 5 14 3" xfId="42488" xr:uid="{FDBFA6DE-ECC0-4659-8B95-4BD275C46C94}"/>
    <cellStyle name="Normal 14 5 15" xfId="17349" xr:uid="{4D74F12A-18AC-4D4D-B53E-69368D70D41A}"/>
    <cellStyle name="Normal 14 5 16" xfId="34108" xr:uid="{139CDF6E-A3F2-4A92-AF7E-446E06293191}"/>
    <cellStyle name="Normal 14 5 2" xfId="559" xr:uid="{40DC7D9C-F773-41BC-B760-082D21B78948}"/>
    <cellStyle name="Normal 14 5 2 10" xfId="8508" xr:uid="{72F5BD0B-8F8C-413D-8EE2-74E5BCD0E3A3}"/>
    <cellStyle name="Normal 14 5 2 10 2" xfId="16888" xr:uid="{37C6E930-FF86-4FC1-97EE-BEA67D920E11}"/>
    <cellStyle name="Normal 14 5 2 10 2 2" xfId="33648" xr:uid="{4041349B-E3EB-4A40-86AB-A03F13F87812}"/>
    <cellStyle name="Normal 14 5 2 10 2 3" xfId="50407" xr:uid="{A1219879-B3F4-4A57-A005-31F195224701}"/>
    <cellStyle name="Normal 14 5 2 10 3" xfId="25268" xr:uid="{0FBAF736-0D75-46D7-9D8E-EB53E4EAD600}"/>
    <cellStyle name="Normal 14 5 2 10 4" xfId="42027" xr:uid="{35125102-C919-4C75-9DD5-C86F33C002AA}"/>
    <cellStyle name="Normal 14 5 2 11" xfId="2391" xr:uid="{A4CEBCF2-4E7D-4D69-B19E-68BAC4D4262D}"/>
    <cellStyle name="Normal 14 5 2 11 2" xfId="10773" xr:uid="{C975FD37-CFD4-41D9-9386-BF1821DD5939}"/>
    <cellStyle name="Normal 14 5 2 11 2 2" xfId="27533" xr:uid="{B3D71A50-2407-42DC-8979-A5A72988FE94}"/>
    <cellStyle name="Normal 14 5 2 11 2 3" xfId="44292" xr:uid="{AA53E173-5F0D-4ECE-9092-19B01FE87DE3}"/>
    <cellStyle name="Normal 14 5 2 11 3" xfId="19153" xr:uid="{0694B3CE-04BC-46C6-81BC-6A31C5A7B784}"/>
    <cellStyle name="Normal 14 5 2 11 4" xfId="35912" xr:uid="{0E18825A-7BEC-4404-9D12-94AD36DCCE6A}"/>
    <cellStyle name="Normal 14 5 2 12" xfId="8970" xr:uid="{EDCA3D7F-3F55-4313-B3E5-9814C3E074BB}"/>
    <cellStyle name="Normal 14 5 2 12 2" xfId="25730" xr:uid="{934EB4E2-D16E-4612-8F04-9D4A9E563982}"/>
    <cellStyle name="Normal 14 5 2 12 3" xfId="42489" xr:uid="{C83A59DD-607F-48F1-A361-6B78E308ECD9}"/>
    <cellStyle name="Normal 14 5 2 13" xfId="17350" xr:uid="{EE58DC39-7A50-4A25-AE29-B74500FA3B5E}"/>
    <cellStyle name="Normal 14 5 2 14" xfId="34109" xr:uid="{CDBAF3AF-BAF5-4AC1-A460-0FCDEF676267}"/>
    <cellStyle name="Normal 14 5 2 2" xfId="1001" xr:uid="{5A78A54B-17F8-450B-AAAE-2A58F87EF722}"/>
    <cellStyle name="Normal 14 5 2 2 2" xfId="4396" xr:uid="{F450A580-FF6A-4329-AAAD-31EF6FACFF27}"/>
    <cellStyle name="Normal 14 5 2 2 2 2" xfId="12776" xr:uid="{89D2CF4F-7756-48E2-92DA-294680E8EEA0}"/>
    <cellStyle name="Normal 14 5 2 2 2 2 2" xfId="29536" xr:uid="{F6116698-A449-44C9-BF54-4C99D0B4DF33}"/>
    <cellStyle name="Normal 14 5 2 2 2 2 3" xfId="46295" xr:uid="{02ED1D16-0378-4972-AF73-984BFF96F601}"/>
    <cellStyle name="Normal 14 5 2 2 2 3" xfId="21156" xr:uid="{B92DED11-979A-41C9-91A9-FD2B0AD9D11D}"/>
    <cellStyle name="Normal 14 5 2 2 2 4" xfId="37915" xr:uid="{63E384F4-4518-4B0F-8F57-6D1986F1999A}"/>
    <cellStyle name="Normal 14 5 2 2 3" xfId="6083" xr:uid="{9A183C83-D1D7-4687-8E02-5E1ECF005D68}"/>
    <cellStyle name="Normal 14 5 2 2 3 2" xfId="14463" xr:uid="{0B9E940F-A89C-4899-A75E-4A74B43C214A}"/>
    <cellStyle name="Normal 14 5 2 2 3 2 2" xfId="31223" xr:uid="{E2D0C020-3526-4B31-A890-8F8A23A506D7}"/>
    <cellStyle name="Normal 14 5 2 2 3 2 3" xfId="47982" xr:uid="{73103BDF-2429-46F9-988C-5A966A4F8BE1}"/>
    <cellStyle name="Normal 14 5 2 2 3 3" xfId="22843" xr:uid="{D3DE41C7-11D8-4C75-B80A-FF1EE9A5E9F7}"/>
    <cellStyle name="Normal 14 5 2 2 3 4" xfId="39602" xr:uid="{34D44E71-86FD-4EA1-93B4-4B7BC70D7484}"/>
    <cellStyle name="Normal 14 5 2 2 4" xfId="2819" xr:uid="{2B9D8292-7A1E-43DB-8E6D-AAE4EEED2D6B}"/>
    <cellStyle name="Normal 14 5 2 2 4 2" xfId="11199" xr:uid="{F30EFB07-5C8F-41D9-B3C6-4F6C9035D11A}"/>
    <cellStyle name="Normal 14 5 2 2 4 2 2" xfId="27959" xr:uid="{CD6FD7E0-5F36-4DF1-B9F2-9256E87CDD56}"/>
    <cellStyle name="Normal 14 5 2 2 4 2 3" xfId="44718" xr:uid="{93D7764D-A15D-41B9-9FBE-1B7A5864A7D3}"/>
    <cellStyle name="Normal 14 5 2 2 4 3" xfId="19579" xr:uid="{46AEF44A-4F7F-4D56-9A3C-060EC83EF902}"/>
    <cellStyle name="Normal 14 5 2 2 4 4" xfId="36338" xr:uid="{391C056F-F2F9-4251-8E01-F25D0BFEABA5}"/>
    <cellStyle name="Normal 14 5 2 2 5" xfId="9396" xr:uid="{C1C9E879-CDB7-434B-AA6D-C186C4E226E0}"/>
    <cellStyle name="Normal 14 5 2 2 5 2" xfId="26156" xr:uid="{F40C4C64-0F3F-4D84-8DD3-9F46366B6E44}"/>
    <cellStyle name="Normal 14 5 2 2 5 3" xfId="42915" xr:uid="{FFC44856-6CF0-4DDD-AC10-75D9350C3F1A}"/>
    <cellStyle name="Normal 14 5 2 2 6" xfId="17776" xr:uid="{B8B142C8-2F55-4491-B709-B6F737DDA468}"/>
    <cellStyle name="Normal 14 5 2 2 7" xfId="34535" xr:uid="{A592B261-15C4-459B-BF79-8689B4ED989F}"/>
    <cellStyle name="Normal 14 5 2 3" xfId="1435" xr:uid="{EFEAEC47-589B-4B5B-8D5E-A80F05CAB49A}"/>
    <cellStyle name="Normal 14 5 2 3 2" xfId="4824" xr:uid="{9324A24D-F071-4CAC-BF14-38CC6721AFF2}"/>
    <cellStyle name="Normal 14 5 2 3 2 2" xfId="13204" xr:uid="{A8CBEE6C-28AF-477D-A8BC-4801F9C71582}"/>
    <cellStyle name="Normal 14 5 2 3 2 2 2" xfId="29964" xr:uid="{D7CD727F-8ED7-4976-8ADB-74E570904C19}"/>
    <cellStyle name="Normal 14 5 2 3 2 2 3" xfId="46723" xr:uid="{8FE97613-2823-4C57-BA3D-760CFE05863B}"/>
    <cellStyle name="Normal 14 5 2 3 2 3" xfId="21584" xr:uid="{3A8F48B3-590D-4D18-8547-BDE5DAF23E61}"/>
    <cellStyle name="Normal 14 5 2 3 2 4" xfId="38343" xr:uid="{C0B32D5F-03B8-424E-AA9F-BA1B36173B2A}"/>
    <cellStyle name="Normal 14 5 2 3 3" xfId="6511" xr:uid="{1D563368-7226-4772-8A23-D14E1B9843F3}"/>
    <cellStyle name="Normal 14 5 2 3 3 2" xfId="14891" xr:uid="{379C942A-B08F-4E0D-888C-DE35BC97F55A}"/>
    <cellStyle name="Normal 14 5 2 3 3 2 2" xfId="31651" xr:uid="{046F9E4B-7CE7-41F2-B732-7C29C9D96FBC}"/>
    <cellStyle name="Normal 14 5 2 3 3 2 3" xfId="48410" xr:uid="{19536055-445D-4019-B658-62108B6B51ED}"/>
    <cellStyle name="Normal 14 5 2 3 3 3" xfId="23271" xr:uid="{F7817A5B-42A6-4A03-9A0D-E059837FBA5F}"/>
    <cellStyle name="Normal 14 5 2 3 3 4" xfId="40030" xr:uid="{F9E37013-8441-43CE-BB98-DCCFDAA7E0AB}"/>
    <cellStyle name="Normal 14 5 2 3 4" xfId="3247" xr:uid="{DAE0CF9A-9DDE-4414-9353-A1092FE5290E}"/>
    <cellStyle name="Normal 14 5 2 3 4 2" xfId="11627" xr:uid="{9F2E096E-9A03-4128-BF89-FF01A4E7B6D7}"/>
    <cellStyle name="Normal 14 5 2 3 4 2 2" xfId="28387" xr:uid="{DC01AA93-040D-4960-AE18-BA9FA9E85CBE}"/>
    <cellStyle name="Normal 14 5 2 3 4 2 3" xfId="45146" xr:uid="{0DE10DFF-A21C-4EF9-BC4A-841BE68060FC}"/>
    <cellStyle name="Normal 14 5 2 3 4 3" xfId="20007" xr:uid="{7E8C1D75-D59B-40D1-BF25-F335DE656913}"/>
    <cellStyle name="Normal 14 5 2 3 4 4" xfId="36766" xr:uid="{174251D5-9814-4C98-A752-4B7CB13AD06F}"/>
    <cellStyle name="Normal 14 5 2 3 5" xfId="9824" xr:uid="{AD3AA78A-D612-495A-9F5C-C68710EFC53E}"/>
    <cellStyle name="Normal 14 5 2 3 5 2" xfId="26584" xr:uid="{EDE75358-6FA3-4F3D-BA92-2D60300790A7}"/>
    <cellStyle name="Normal 14 5 2 3 5 3" xfId="43343" xr:uid="{172AD0F5-A99B-4BC4-83BA-BB501F78E1E3}"/>
    <cellStyle name="Normal 14 5 2 3 6" xfId="18204" xr:uid="{04091DEA-36E3-4C7D-84B6-DFB98852637E}"/>
    <cellStyle name="Normal 14 5 2 3 7" xfId="34963" xr:uid="{11C3E536-552A-42C8-A2AE-E1101CFD3B3C}"/>
    <cellStyle name="Normal 14 5 2 4" xfId="1808" xr:uid="{090F1719-F282-4E66-8DD6-8D559792F1AC}"/>
    <cellStyle name="Normal 14 5 2 4 2" xfId="5197" xr:uid="{7363D039-CCC5-4DCB-99A1-FF4726B92DB0}"/>
    <cellStyle name="Normal 14 5 2 4 2 2" xfId="13577" xr:uid="{5FFA4491-B219-4A40-8CCA-36C37F863D04}"/>
    <cellStyle name="Normal 14 5 2 4 2 2 2" xfId="30337" xr:uid="{ECD9BED4-8315-46E8-BD86-2D93DA730DDF}"/>
    <cellStyle name="Normal 14 5 2 4 2 2 3" xfId="47096" xr:uid="{25A42D88-6ED6-4D8B-A3C4-C9BBFA18FFE3}"/>
    <cellStyle name="Normal 14 5 2 4 2 3" xfId="21957" xr:uid="{7CBE5A86-6CB2-4B7B-B869-49172A28125E}"/>
    <cellStyle name="Normal 14 5 2 4 2 4" xfId="38716" xr:uid="{61DFE18F-6D79-4111-9396-6FB2F73BF8B4}"/>
    <cellStyle name="Normal 14 5 2 4 3" xfId="6884" xr:uid="{EF406FA3-5933-4D12-9307-39A330975C2E}"/>
    <cellStyle name="Normal 14 5 2 4 3 2" xfId="15264" xr:uid="{C6B5F65B-9519-4200-AF37-65F84CBC6777}"/>
    <cellStyle name="Normal 14 5 2 4 3 2 2" xfId="32024" xr:uid="{0DF33687-D39C-4BB6-B628-A0AC4EE5184D}"/>
    <cellStyle name="Normal 14 5 2 4 3 2 3" xfId="48783" xr:uid="{661658B2-647A-4DA7-9C1B-FE7A8C1E1FDD}"/>
    <cellStyle name="Normal 14 5 2 4 3 3" xfId="23644" xr:uid="{DC76E4FE-F27F-454F-A510-F05F4C4FAA4A}"/>
    <cellStyle name="Normal 14 5 2 4 3 4" xfId="40403" xr:uid="{3EF4932B-A57B-4CE5-BF4A-048C32340DA1}"/>
    <cellStyle name="Normal 14 5 2 4 4" xfId="3508" xr:uid="{0B6C22FF-275D-4203-90EC-66E00FCFBF00}"/>
    <cellStyle name="Normal 14 5 2 4 4 2" xfId="11888" xr:uid="{7B13C591-EBCD-4F75-B424-B82E170FAFD3}"/>
    <cellStyle name="Normal 14 5 2 4 4 2 2" xfId="28648" xr:uid="{C7CA7ADC-9C27-4131-9778-86C1CD79FB66}"/>
    <cellStyle name="Normal 14 5 2 4 4 2 3" xfId="45407" xr:uid="{F7E1BD72-3A58-4855-8EDC-41F747297926}"/>
    <cellStyle name="Normal 14 5 2 4 4 3" xfId="20268" xr:uid="{1F330253-B9B7-466C-8CDA-41BE5522DAC6}"/>
    <cellStyle name="Normal 14 5 2 4 4 4" xfId="37027" xr:uid="{CA86C064-E33D-42E0-807F-043E80A19820}"/>
    <cellStyle name="Normal 14 5 2 4 5" xfId="10197" xr:uid="{5A5C52E3-8B04-456A-A263-FCF2BB42E3B0}"/>
    <cellStyle name="Normal 14 5 2 4 5 2" xfId="26957" xr:uid="{8B1209DA-1925-4C2A-B276-449FBD7A53D0}"/>
    <cellStyle name="Normal 14 5 2 4 5 3" xfId="43716" xr:uid="{ECE3E152-5ADB-467C-990B-FF8FEACEFB0E}"/>
    <cellStyle name="Normal 14 5 2 4 6" xfId="18577" xr:uid="{976057CB-6D22-4D78-ADAE-117673170D37}"/>
    <cellStyle name="Normal 14 5 2 4 7" xfId="35336" xr:uid="{777374E0-267F-4995-B81A-37B52E4AE3BF}"/>
    <cellStyle name="Normal 14 5 2 5" xfId="3927" xr:uid="{58AA750B-8E8B-49FF-874F-DD1AEF2266B4}"/>
    <cellStyle name="Normal 14 5 2 5 2" xfId="12307" xr:uid="{DDCD4C74-F6F0-4710-8B96-61D488FD4BFD}"/>
    <cellStyle name="Normal 14 5 2 5 2 2" xfId="29067" xr:uid="{693FCC14-C716-42B7-84DE-7549E31FE268}"/>
    <cellStyle name="Normal 14 5 2 5 2 3" xfId="45826" xr:uid="{AE4079CF-96CE-41AF-8952-62F77E501BB0}"/>
    <cellStyle name="Normal 14 5 2 5 3" xfId="20687" xr:uid="{85F3ACC3-7843-45FC-BB61-3E79A71F2819}"/>
    <cellStyle name="Normal 14 5 2 5 4" xfId="37446" xr:uid="{F5C8953E-58FD-4E77-8A42-556663950F9D}"/>
    <cellStyle name="Normal 14 5 2 6" xfId="5657" xr:uid="{B22DAF23-383E-4411-92C6-70BDD27C121F}"/>
    <cellStyle name="Normal 14 5 2 6 2" xfId="14037" xr:uid="{86E2FA6A-9EFD-45EB-9A6F-EBEBA09B4402}"/>
    <cellStyle name="Normal 14 5 2 6 2 2" xfId="30797" xr:uid="{2F9513EC-B200-433D-96AA-504090281585}"/>
    <cellStyle name="Normal 14 5 2 6 2 3" xfId="47556" xr:uid="{89514CFF-8519-4547-86C8-7BF3A1D13127}"/>
    <cellStyle name="Normal 14 5 2 6 3" xfId="22417" xr:uid="{157FD37D-B687-4336-BF8C-99E25E408CF1}"/>
    <cellStyle name="Normal 14 5 2 6 4" xfId="39176" xr:uid="{B347C722-141C-4E47-BD96-35235848EBD5}"/>
    <cellStyle name="Normal 14 5 2 7" xfId="7290" xr:uid="{CF9D258B-7539-45D2-9FBD-481378605151}"/>
    <cellStyle name="Normal 14 5 2 7 2" xfId="15670" xr:uid="{518DAEB3-8C1C-435B-BD6F-04E612C3395F}"/>
    <cellStyle name="Normal 14 5 2 7 2 2" xfId="32430" xr:uid="{6E2F4CB3-A48A-425B-9D6C-600473072FD3}"/>
    <cellStyle name="Normal 14 5 2 7 2 3" xfId="49189" xr:uid="{484BC23A-82E9-44E9-8B2F-D398F4A90967}"/>
    <cellStyle name="Normal 14 5 2 7 3" xfId="24050" xr:uid="{A1EFE2D3-E614-4E1C-BEA8-2FD7EC1C24E4}"/>
    <cellStyle name="Normal 14 5 2 7 4" xfId="40809" xr:uid="{D4D0C9D3-C9DA-4000-975D-B53BFAF09C74}"/>
    <cellStyle name="Normal 14 5 2 8" xfId="7696" xr:uid="{1A81195A-FCFB-45A3-9BCD-9A4C54FA69DC}"/>
    <cellStyle name="Normal 14 5 2 8 2" xfId="16076" xr:uid="{1B22D3DB-0382-4300-AD32-8CA33B8B6085}"/>
    <cellStyle name="Normal 14 5 2 8 2 2" xfId="32836" xr:uid="{F2F03213-FB6D-4F3F-B103-C29A12A326E3}"/>
    <cellStyle name="Normal 14 5 2 8 2 3" xfId="49595" xr:uid="{A09181D6-37C7-4469-8354-17E1135CD1D2}"/>
    <cellStyle name="Normal 14 5 2 8 3" xfId="24456" xr:uid="{8AD42E56-F31E-41DB-AA55-6498BE43B6F5}"/>
    <cellStyle name="Normal 14 5 2 8 4" xfId="41215" xr:uid="{6032FC97-4CC5-471C-8D1F-E6E49A004559}"/>
    <cellStyle name="Normal 14 5 2 9" xfId="8102" xr:uid="{285E5DBB-CE25-46F0-B5A8-0760EF137595}"/>
    <cellStyle name="Normal 14 5 2 9 2" xfId="16482" xr:uid="{BB641FDE-65D2-4C00-B8E4-A7E5AA23F5B2}"/>
    <cellStyle name="Normal 14 5 2 9 2 2" xfId="33242" xr:uid="{01F661BC-D867-4E3C-8210-C1A4AB8AB805}"/>
    <cellStyle name="Normal 14 5 2 9 2 3" xfId="50001" xr:uid="{5BA37A53-DF72-43F8-970C-A2868CF95FB9}"/>
    <cellStyle name="Normal 14 5 2 9 3" xfId="24862" xr:uid="{1B652AAA-407E-41AE-94B1-3855E8CF395E}"/>
    <cellStyle name="Normal 14 5 2 9 4" xfId="41621" xr:uid="{03F12834-6F19-4B4F-A3A9-B856FDDEF157}"/>
    <cellStyle name="Normal 14 5 3" xfId="560" xr:uid="{674EAAC0-4B26-44C2-A006-F283BA82C371}"/>
    <cellStyle name="Normal 14 5 3 10" xfId="8720" xr:uid="{3F25A329-19BB-4561-BDE1-A1FDF2AB7D9F}"/>
    <cellStyle name="Normal 14 5 3 10 2" xfId="17100" xr:uid="{A29F1EB3-FDED-471D-83AB-C6A5026EDE42}"/>
    <cellStyle name="Normal 14 5 3 10 2 2" xfId="33860" xr:uid="{F23E975F-03FB-44A3-922F-87F921D71FB6}"/>
    <cellStyle name="Normal 14 5 3 10 2 3" xfId="50619" xr:uid="{0714C7F8-3440-43D6-B122-F711A47E0CB1}"/>
    <cellStyle name="Normal 14 5 3 10 3" xfId="25480" xr:uid="{53EFA2E3-B070-490F-939D-38B2E0CCA900}"/>
    <cellStyle name="Normal 14 5 3 10 4" xfId="42239" xr:uid="{6DD54453-B636-4E8D-9D88-54113763A6D8}"/>
    <cellStyle name="Normal 14 5 3 11" xfId="2392" xr:uid="{09FC37DE-37B1-4F9B-BB55-C57CCBC923A0}"/>
    <cellStyle name="Normal 14 5 3 11 2" xfId="10774" xr:uid="{AA05FACA-F9EC-4CCA-BC65-170822951055}"/>
    <cellStyle name="Normal 14 5 3 11 2 2" xfId="27534" xr:uid="{DAB22268-EBD2-452F-B463-6B545CF34B8B}"/>
    <cellStyle name="Normal 14 5 3 11 2 3" xfId="44293" xr:uid="{697AF829-5D87-4A30-B8F6-B280587566FB}"/>
    <cellStyle name="Normal 14 5 3 11 3" xfId="19154" xr:uid="{E23AF2EE-6804-4BDF-82A0-BFB1ABDE2B69}"/>
    <cellStyle name="Normal 14 5 3 11 4" xfId="35913" xr:uid="{CA947279-D190-4D26-9006-96140CAD8210}"/>
    <cellStyle name="Normal 14 5 3 12" xfId="8971" xr:uid="{6183DBC4-99AE-44F9-A3FB-335942FFD904}"/>
    <cellStyle name="Normal 14 5 3 12 2" xfId="25731" xr:uid="{85410C56-5327-41BF-9281-A0B5781B20BA}"/>
    <cellStyle name="Normal 14 5 3 12 3" xfId="42490" xr:uid="{3B15E3BC-C124-4912-B716-43F040FA20C6}"/>
    <cellStyle name="Normal 14 5 3 13" xfId="17351" xr:uid="{BE0157EB-517B-4C41-916E-965BE4846B1B}"/>
    <cellStyle name="Normal 14 5 3 14" xfId="34110" xr:uid="{F5BCEE71-55AB-4DFA-8B86-6BAB4EDD9F68}"/>
    <cellStyle name="Normal 14 5 3 2" xfId="1002" xr:uid="{B3B441E1-0FDC-4E38-9A78-67C4B4A32EEE}"/>
    <cellStyle name="Normal 14 5 3 2 2" xfId="4397" xr:uid="{CA94757C-6200-4558-96C4-EE82AB6F3E13}"/>
    <cellStyle name="Normal 14 5 3 2 2 2" xfId="12777" xr:uid="{C1487DF5-3517-4DBE-9385-8E9E9A6B95B2}"/>
    <cellStyle name="Normal 14 5 3 2 2 2 2" xfId="29537" xr:uid="{3B884BD4-FB4A-4F98-8806-097E7CC1CE26}"/>
    <cellStyle name="Normal 14 5 3 2 2 2 3" xfId="46296" xr:uid="{414263B0-3D7B-4C05-B7FB-94DAA3E0F627}"/>
    <cellStyle name="Normal 14 5 3 2 2 3" xfId="21157" xr:uid="{59E7ACAE-5F25-413E-85BC-C579538D90F0}"/>
    <cellStyle name="Normal 14 5 3 2 2 4" xfId="37916" xr:uid="{1E9A7902-EA9F-46A9-AE21-B02022743CCF}"/>
    <cellStyle name="Normal 14 5 3 2 3" xfId="6084" xr:uid="{C6B95EED-26BA-4B54-B97B-407B86897859}"/>
    <cellStyle name="Normal 14 5 3 2 3 2" xfId="14464" xr:uid="{55928ED5-E369-460C-BBE5-9CC06158D699}"/>
    <cellStyle name="Normal 14 5 3 2 3 2 2" xfId="31224" xr:uid="{6CF740EC-B5C8-4BB1-BA31-8FE513AB8248}"/>
    <cellStyle name="Normal 14 5 3 2 3 2 3" xfId="47983" xr:uid="{BF4D9711-9F57-4ABD-AD91-BB363395397E}"/>
    <cellStyle name="Normal 14 5 3 2 3 3" xfId="22844" xr:uid="{3E4D192B-0E7D-4AFA-9553-DC9AF9A00B8F}"/>
    <cellStyle name="Normal 14 5 3 2 3 4" xfId="39603" xr:uid="{6F5ED059-1A2F-47A3-8747-0DCCCDA8C7E0}"/>
    <cellStyle name="Normal 14 5 3 2 4" xfId="2820" xr:uid="{753BA202-EA48-451D-8CC7-6B46EA1AFA5E}"/>
    <cellStyle name="Normal 14 5 3 2 4 2" xfId="11200" xr:uid="{6FDE3760-F9CD-47C4-86B9-501F45D5B39C}"/>
    <cellStyle name="Normal 14 5 3 2 4 2 2" xfId="27960" xr:uid="{4CCB01AD-1368-4232-85DB-10D1B7327FB2}"/>
    <cellStyle name="Normal 14 5 3 2 4 2 3" xfId="44719" xr:uid="{C21AE630-73F5-4AE8-B630-7721F22C3C93}"/>
    <cellStyle name="Normal 14 5 3 2 4 3" xfId="19580" xr:uid="{3FC36688-C225-4D38-AD50-9455B823D8CB}"/>
    <cellStyle name="Normal 14 5 3 2 4 4" xfId="36339" xr:uid="{03A2249E-D27B-4110-8A05-EDE5116BE6A1}"/>
    <cellStyle name="Normal 14 5 3 2 5" xfId="9397" xr:uid="{D926B93A-EB71-4984-9DED-2B765D941AB7}"/>
    <cellStyle name="Normal 14 5 3 2 5 2" xfId="26157" xr:uid="{1EF66D03-CCE3-43F1-83AB-B8AF8ADA989D}"/>
    <cellStyle name="Normal 14 5 3 2 5 3" xfId="42916" xr:uid="{889713B7-8A21-43A8-90AD-3048BC85F030}"/>
    <cellStyle name="Normal 14 5 3 2 6" xfId="17777" xr:uid="{AA4BF773-2874-4D1C-97D6-A62DD21E0684}"/>
    <cellStyle name="Normal 14 5 3 2 7" xfId="34536" xr:uid="{1424701B-E41B-4EA0-AB29-62BA3871738C}"/>
    <cellStyle name="Normal 14 5 3 3" xfId="1436" xr:uid="{AFE615E3-CF65-4F40-A33D-3736289B4D6A}"/>
    <cellStyle name="Normal 14 5 3 3 2" xfId="4825" xr:uid="{3D1448A9-16F3-4675-8081-4A81D2BC1945}"/>
    <cellStyle name="Normal 14 5 3 3 2 2" xfId="13205" xr:uid="{7A6CC586-66A2-4AEF-AC41-47663B41C6DC}"/>
    <cellStyle name="Normal 14 5 3 3 2 2 2" xfId="29965" xr:uid="{3F0017CC-DEA1-4A5E-8B31-91FB366B8309}"/>
    <cellStyle name="Normal 14 5 3 3 2 2 3" xfId="46724" xr:uid="{1EF15BC5-26A2-4291-983B-D00A342CB94A}"/>
    <cellStyle name="Normal 14 5 3 3 2 3" xfId="21585" xr:uid="{1F1AF10A-3F7E-4EBB-B01A-76D2AE97A535}"/>
    <cellStyle name="Normal 14 5 3 3 2 4" xfId="38344" xr:uid="{269E43A8-1FF9-4FBC-9D8E-E0148B8C589B}"/>
    <cellStyle name="Normal 14 5 3 3 3" xfId="6512" xr:uid="{63A9C11E-399A-44CB-8387-E654A4533E0A}"/>
    <cellStyle name="Normal 14 5 3 3 3 2" xfId="14892" xr:uid="{67955B28-1F01-4A41-9BCD-A8E519A70CC1}"/>
    <cellStyle name="Normal 14 5 3 3 3 2 2" xfId="31652" xr:uid="{5C98450E-6D53-4525-B359-0CC87EFB8248}"/>
    <cellStyle name="Normal 14 5 3 3 3 2 3" xfId="48411" xr:uid="{FD76A376-B6C0-4B21-BEB0-055F738FAFFE}"/>
    <cellStyle name="Normal 14 5 3 3 3 3" xfId="23272" xr:uid="{3BB55CDB-6BA6-4165-AF71-2CB9338AFCE0}"/>
    <cellStyle name="Normal 14 5 3 3 3 4" xfId="40031" xr:uid="{8F66CBA1-9634-4E63-B043-A9C58133E4D2}"/>
    <cellStyle name="Normal 14 5 3 3 4" xfId="3248" xr:uid="{B4A891DD-79D1-4818-BF78-87985EDB7F45}"/>
    <cellStyle name="Normal 14 5 3 3 4 2" xfId="11628" xr:uid="{A1B41E9E-55D1-4136-8A24-0825E12BF95A}"/>
    <cellStyle name="Normal 14 5 3 3 4 2 2" xfId="28388" xr:uid="{D2619F34-FEB2-4EB9-A324-5C708C7921DC}"/>
    <cellStyle name="Normal 14 5 3 3 4 2 3" xfId="45147" xr:uid="{483396AB-1FB0-4B7C-B132-784A828F3520}"/>
    <cellStyle name="Normal 14 5 3 3 4 3" xfId="20008" xr:uid="{5CCD3174-1C05-4F43-B7B7-BE701890CEB2}"/>
    <cellStyle name="Normal 14 5 3 3 4 4" xfId="36767" xr:uid="{1E661441-30AF-4D8F-9FA9-88E5C272FD40}"/>
    <cellStyle name="Normal 14 5 3 3 5" xfId="9825" xr:uid="{C6B40731-4E57-42ED-8E5E-DC235F68517D}"/>
    <cellStyle name="Normal 14 5 3 3 5 2" xfId="26585" xr:uid="{5048A68B-65CC-47F3-8845-28ACF46991B0}"/>
    <cellStyle name="Normal 14 5 3 3 5 3" xfId="43344" xr:uid="{8FCCBE71-7DBF-43C3-9F15-877BE24276B2}"/>
    <cellStyle name="Normal 14 5 3 3 6" xfId="18205" xr:uid="{A5FA9E70-7966-43AD-9A6B-BD65B56A51F9}"/>
    <cellStyle name="Normal 14 5 3 3 7" xfId="34964" xr:uid="{05D6B3A8-9ECA-4457-B319-0F5EDE6AF761}"/>
    <cellStyle name="Normal 14 5 3 4" xfId="2020" xr:uid="{1656B67B-AE4C-43E6-A5C4-A48A16DA2DBE}"/>
    <cellStyle name="Normal 14 5 3 4 2" xfId="5409" xr:uid="{6D628D49-775B-413C-A6B3-CB0BB1C590C0}"/>
    <cellStyle name="Normal 14 5 3 4 2 2" xfId="13789" xr:uid="{F1EBDF6C-F6CD-46F4-B2B1-C8A0F54CA535}"/>
    <cellStyle name="Normal 14 5 3 4 2 2 2" xfId="30549" xr:uid="{1DC80760-F4FA-4FB0-83D9-21C3D94F6BCF}"/>
    <cellStyle name="Normal 14 5 3 4 2 2 3" xfId="47308" xr:uid="{43FDE7BF-3208-476E-8024-D243699846C7}"/>
    <cellStyle name="Normal 14 5 3 4 2 3" xfId="22169" xr:uid="{79658649-E86B-40D6-B4E8-DA78949B68BD}"/>
    <cellStyle name="Normal 14 5 3 4 2 4" xfId="38928" xr:uid="{8A27D202-E953-4A7C-B268-7A483A17622E}"/>
    <cellStyle name="Normal 14 5 3 4 3" xfId="7096" xr:uid="{2E942255-8AD6-4B8D-8EF4-A10C48644A65}"/>
    <cellStyle name="Normal 14 5 3 4 3 2" xfId="15476" xr:uid="{B9AC2220-E252-4B46-83E7-91B21DB1D8EC}"/>
    <cellStyle name="Normal 14 5 3 4 3 2 2" xfId="32236" xr:uid="{43FCE026-1AEF-4A23-B6B9-2E6BFD0978A7}"/>
    <cellStyle name="Normal 14 5 3 4 3 2 3" xfId="48995" xr:uid="{7E30588F-7001-4693-8ABB-9857315A67F6}"/>
    <cellStyle name="Normal 14 5 3 4 3 3" xfId="23856" xr:uid="{834403F1-A3C4-46A6-A1C0-08C85249AB71}"/>
    <cellStyle name="Normal 14 5 3 4 3 4" xfId="40615" xr:uid="{529004E7-DC21-41BF-9249-3ACD4C80A910}"/>
    <cellStyle name="Normal 14 5 3 4 4" xfId="3719" xr:uid="{280B51E3-86F4-4B5F-827E-5220D8C62EB8}"/>
    <cellStyle name="Normal 14 5 3 4 4 2" xfId="12099" xr:uid="{2E0946BB-D037-4EDF-BF2C-303A08A2233A}"/>
    <cellStyle name="Normal 14 5 3 4 4 2 2" xfId="28859" xr:uid="{6097514B-CF2B-47DC-A932-41B9F51B0CA1}"/>
    <cellStyle name="Normal 14 5 3 4 4 2 3" xfId="45618" xr:uid="{42927175-5A3A-4199-968F-342D7869A93D}"/>
    <cellStyle name="Normal 14 5 3 4 4 3" xfId="20479" xr:uid="{03F5E5E1-4984-4025-B3C4-BE263575F181}"/>
    <cellStyle name="Normal 14 5 3 4 4 4" xfId="37238" xr:uid="{0202FF5E-D868-4760-994B-561C9109FC39}"/>
    <cellStyle name="Normal 14 5 3 4 5" xfId="10409" xr:uid="{D233ADC3-ACFC-4E4F-82D4-EF75829DE4BB}"/>
    <cellStyle name="Normal 14 5 3 4 5 2" xfId="27169" xr:uid="{144525CD-2717-43B6-A5B0-4E70F259B34D}"/>
    <cellStyle name="Normal 14 5 3 4 5 3" xfId="43928" xr:uid="{37583DC2-5685-46FC-A82D-FD11EA716C88}"/>
    <cellStyle name="Normal 14 5 3 4 6" xfId="18789" xr:uid="{4E39555C-6D10-44B7-9094-1BD56260E23E}"/>
    <cellStyle name="Normal 14 5 3 4 7" xfId="35548" xr:uid="{707C02EA-297A-4CA8-B3C9-EC44DBBE0705}"/>
    <cellStyle name="Normal 14 5 3 5" xfId="4139" xr:uid="{307AF62F-71F0-4791-B18B-E057E0A3012F}"/>
    <cellStyle name="Normal 14 5 3 5 2" xfId="12519" xr:uid="{C03754C2-0CF7-4F43-AD8F-EEA963A91051}"/>
    <cellStyle name="Normal 14 5 3 5 2 2" xfId="29279" xr:uid="{0E58A6E0-AB10-489F-96F0-4017B83DC473}"/>
    <cellStyle name="Normal 14 5 3 5 2 3" xfId="46038" xr:uid="{63E68FCF-E8C7-4F78-AD31-E41B50BCCA85}"/>
    <cellStyle name="Normal 14 5 3 5 3" xfId="20899" xr:uid="{F7156A70-B22D-457D-AE8F-4C846E6DDD2A}"/>
    <cellStyle name="Normal 14 5 3 5 4" xfId="37658" xr:uid="{32247E04-4F4C-4C2B-9DF8-4A85D66D2B4C}"/>
    <cellStyle name="Normal 14 5 3 6" xfId="5658" xr:uid="{B3BC3EDB-769C-4F5A-A7D5-E8B959B21DEC}"/>
    <cellStyle name="Normal 14 5 3 6 2" xfId="14038" xr:uid="{6A178454-62A7-4DB5-A547-5E9023B2B307}"/>
    <cellStyle name="Normal 14 5 3 6 2 2" xfId="30798" xr:uid="{5703B1D3-B49B-40DE-87E2-7508E933E054}"/>
    <cellStyle name="Normal 14 5 3 6 2 3" xfId="47557" xr:uid="{414C5029-5759-4673-8191-E9368C05DFEC}"/>
    <cellStyle name="Normal 14 5 3 6 3" xfId="22418" xr:uid="{35E35EBE-1DD0-4CD8-A040-94FDAC1FF43E}"/>
    <cellStyle name="Normal 14 5 3 6 4" xfId="39177" xr:uid="{3F29334D-1D9B-478F-AC77-2D5948087921}"/>
    <cellStyle name="Normal 14 5 3 7" xfId="7502" xr:uid="{ACB23708-D3B8-4E85-8CED-2741609E3FD1}"/>
    <cellStyle name="Normal 14 5 3 7 2" xfId="15882" xr:uid="{4B067955-63E2-4467-BAEE-0D701AE3382C}"/>
    <cellStyle name="Normal 14 5 3 7 2 2" xfId="32642" xr:uid="{891D5F74-3D74-42DE-B8A4-986F22429F1C}"/>
    <cellStyle name="Normal 14 5 3 7 2 3" xfId="49401" xr:uid="{B6943361-22EA-4C28-A16A-79A2148FAD1D}"/>
    <cellStyle name="Normal 14 5 3 7 3" xfId="24262" xr:uid="{53EFD364-0F39-4BE0-BE15-C6AFEEA01646}"/>
    <cellStyle name="Normal 14 5 3 7 4" xfId="41021" xr:uid="{66B2F1C2-4E6E-4A23-8BD5-165A715C6AA1}"/>
    <cellStyle name="Normal 14 5 3 8" xfId="7908" xr:uid="{CCC33A2C-7B98-4C32-93F5-D70A69457161}"/>
    <cellStyle name="Normal 14 5 3 8 2" xfId="16288" xr:uid="{49303700-3AD1-464B-AE14-93DEBE56889E}"/>
    <cellStyle name="Normal 14 5 3 8 2 2" xfId="33048" xr:uid="{D79596A4-A7FE-4D66-98CD-CA1743DAE516}"/>
    <cellStyle name="Normal 14 5 3 8 2 3" xfId="49807" xr:uid="{0E22919E-F965-401E-9267-D2E30D8DA9CE}"/>
    <cellStyle name="Normal 14 5 3 8 3" xfId="24668" xr:uid="{E66AFB79-D944-4946-8C00-CCC7220F4636}"/>
    <cellStyle name="Normal 14 5 3 8 4" xfId="41427" xr:uid="{2AD86A07-6161-45D3-BA41-84FCCC57DC66}"/>
    <cellStyle name="Normal 14 5 3 9" xfId="8314" xr:uid="{EC06276D-7853-4F09-B842-0C701DCFEF6E}"/>
    <cellStyle name="Normal 14 5 3 9 2" xfId="16694" xr:uid="{45F6DE61-8F78-421E-B907-94ECEFF1B0B3}"/>
    <cellStyle name="Normal 14 5 3 9 2 2" xfId="33454" xr:uid="{8258351A-34D5-4E6E-AD05-25587F3B97BA}"/>
    <cellStyle name="Normal 14 5 3 9 2 3" xfId="50213" xr:uid="{CDC4A147-947D-429A-B7BC-F632616F8EA5}"/>
    <cellStyle name="Normal 14 5 3 9 3" xfId="25074" xr:uid="{4DCECD92-5A68-41F9-8653-E0B382950E23}"/>
    <cellStyle name="Normal 14 5 3 9 4" xfId="41833" xr:uid="{BE1E526E-9588-4F49-BEA6-1ADE6F0EE8B8}"/>
    <cellStyle name="Normal 14 5 4" xfId="1000" xr:uid="{1CFEC0D8-2382-43B3-8783-FD0AA10B6269}"/>
    <cellStyle name="Normal 14 5 4 2" xfId="4395" xr:uid="{60DDE952-17F8-42B4-BE69-91DF40BE1A73}"/>
    <cellStyle name="Normal 14 5 4 2 2" xfId="12775" xr:uid="{B1B66E97-4951-4889-AC70-77B926C0ED4D}"/>
    <cellStyle name="Normal 14 5 4 2 2 2" xfId="29535" xr:uid="{0253BE89-6E79-4ACB-84CA-DD07297FBFF2}"/>
    <cellStyle name="Normal 14 5 4 2 2 3" xfId="46294" xr:uid="{354D2244-017E-496F-8518-29A94C8CE176}"/>
    <cellStyle name="Normal 14 5 4 2 3" xfId="21155" xr:uid="{FF822590-179A-44A6-8027-27202B901324}"/>
    <cellStyle name="Normal 14 5 4 2 4" xfId="37914" xr:uid="{74073094-6435-4035-B144-68A8BF93B09E}"/>
    <cellStyle name="Normal 14 5 4 3" xfId="6082" xr:uid="{C47C4F8B-DFE4-4540-AD8A-4291EF1ED46C}"/>
    <cellStyle name="Normal 14 5 4 3 2" xfId="14462" xr:uid="{91FE1A37-6DBF-44D0-81D7-6ED03DACD88E}"/>
    <cellStyle name="Normal 14 5 4 3 2 2" xfId="31222" xr:uid="{C8170CA0-5337-4C17-ACE2-CB21713E632A}"/>
    <cellStyle name="Normal 14 5 4 3 2 3" xfId="47981" xr:uid="{38576045-61B0-4D45-A96E-538A01DA9683}"/>
    <cellStyle name="Normal 14 5 4 3 3" xfId="22842" xr:uid="{18715457-9F9C-4D32-BD7F-9F5B555DAC19}"/>
    <cellStyle name="Normal 14 5 4 3 4" xfId="39601" xr:uid="{9CE02BC3-9463-4CAE-BA74-69A8DEC67964}"/>
    <cellStyle name="Normal 14 5 4 4" xfId="2818" xr:uid="{483C517C-D7CD-4973-8C53-826DF316C6EA}"/>
    <cellStyle name="Normal 14 5 4 4 2" xfId="11198" xr:uid="{64CBA505-D311-4295-9238-0E00CF35276E}"/>
    <cellStyle name="Normal 14 5 4 4 2 2" xfId="27958" xr:uid="{7D3198DF-F412-4E94-A0DE-0650A4AB0356}"/>
    <cellStyle name="Normal 14 5 4 4 2 3" xfId="44717" xr:uid="{5ABB6A1C-8BF9-4CA8-94BE-68ED57191AC9}"/>
    <cellStyle name="Normal 14 5 4 4 3" xfId="19578" xr:uid="{BDF5EFFA-583A-4D2B-B151-BA203DD16AAA}"/>
    <cellStyle name="Normal 14 5 4 4 4" xfId="36337" xr:uid="{3DBD774E-A55D-4984-B829-45280D989595}"/>
    <cellStyle name="Normal 14 5 4 5" xfId="9395" xr:uid="{65F1E0B8-0DAE-478D-A416-C5CD38808667}"/>
    <cellStyle name="Normal 14 5 4 5 2" xfId="26155" xr:uid="{337D5515-8E1A-4A8F-850D-488B457727C7}"/>
    <cellStyle name="Normal 14 5 4 5 3" xfId="42914" xr:uid="{A3424B34-0C99-40AF-A15F-E99AFD4E3F3A}"/>
    <cellStyle name="Normal 14 5 4 6" xfId="17775" xr:uid="{D45D1D0D-AFDA-46FA-808A-56DE48DA1638}"/>
    <cellStyle name="Normal 14 5 4 7" xfId="34534" xr:uid="{EE647446-234A-4737-9A4B-FC51A976D63E}"/>
    <cellStyle name="Normal 14 5 5" xfId="1434" xr:uid="{4F75A82C-E414-4402-9FE4-A7F29DE4934B}"/>
    <cellStyle name="Normal 14 5 5 2" xfId="4823" xr:uid="{FDEAAA3D-78BE-414D-B98A-2E18925B3C00}"/>
    <cellStyle name="Normal 14 5 5 2 2" xfId="13203" xr:uid="{6AB139A1-77F9-4740-B6EC-CB87497D9302}"/>
    <cellStyle name="Normal 14 5 5 2 2 2" xfId="29963" xr:uid="{1E9EAE00-D704-4ED7-937E-48CBB50A942E}"/>
    <cellStyle name="Normal 14 5 5 2 2 3" xfId="46722" xr:uid="{85FA614B-F636-4675-B394-5C1664EAB93B}"/>
    <cellStyle name="Normal 14 5 5 2 3" xfId="21583" xr:uid="{41B7D05F-85FD-4907-935F-36B19D50638C}"/>
    <cellStyle name="Normal 14 5 5 2 4" xfId="38342" xr:uid="{8C047542-CECE-423B-8CBA-4F61ED749C73}"/>
    <cellStyle name="Normal 14 5 5 3" xfId="6510" xr:uid="{B0564AEF-563B-4CF1-98F9-8D00C003886D}"/>
    <cellStyle name="Normal 14 5 5 3 2" xfId="14890" xr:uid="{A4D0CE31-EE0B-48E9-BD36-567C56D44210}"/>
    <cellStyle name="Normal 14 5 5 3 2 2" xfId="31650" xr:uid="{19CF63D6-2411-4CDA-9F06-447CED835BEA}"/>
    <cellStyle name="Normal 14 5 5 3 2 3" xfId="48409" xr:uid="{7DD7F7BF-AFA7-458C-8774-518D14C8E2A7}"/>
    <cellStyle name="Normal 14 5 5 3 3" xfId="23270" xr:uid="{820557DF-11D8-414F-802D-3F36B47F02F5}"/>
    <cellStyle name="Normal 14 5 5 3 4" xfId="40029" xr:uid="{ABC3F717-5448-428E-887E-8D2B7D064830}"/>
    <cellStyle name="Normal 14 5 5 4" xfId="3246" xr:uid="{9A2A9A78-4B3E-4100-A977-4FAAB22E5188}"/>
    <cellStyle name="Normal 14 5 5 4 2" xfId="11626" xr:uid="{A9D28656-6268-4EC6-97F3-81F67BEEDBBC}"/>
    <cellStyle name="Normal 14 5 5 4 2 2" xfId="28386" xr:uid="{4FB1A356-4D9C-455E-B7CF-99E948BE587A}"/>
    <cellStyle name="Normal 14 5 5 4 2 3" xfId="45145" xr:uid="{A9525217-8919-4D8C-8379-D3F924CDBF2C}"/>
    <cellStyle name="Normal 14 5 5 4 3" xfId="20006" xr:uid="{64952E95-E425-4A66-9723-ABC19DDD18DD}"/>
    <cellStyle name="Normal 14 5 5 4 4" xfId="36765" xr:uid="{659E9A7D-1BAD-4ABF-8005-AE241E4C52EC}"/>
    <cellStyle name="Normal 14 5 5 5" xfId="9823" xr:uid="{408A833C-F408-4D51-B9AA-8E5A8BFD853A}"/>
    <cellStyle name="Normal 14 5 5 5 2" xfId="26583" xr:uid="{2E53A43F-BF0D-4178-9635-EA1E3C58ED06}"/>
    <cellStyle name="Normal 14 5 5 5 3" xfId="43342" xr:uid="{B095153D-1F7A-4845-B2B4-A00761CC3F8E}"/>
    <cellStyle name="Normal 14 5 5 6" xfId="18203" xr:uid="{A8969B33-6CE2-4D3C-9DEC-7B5BC68FCBF9}"/>
    <cellStyle name="Normal 14 5 5 7" xfId="34962" xr:uid="{9D08FF9A-1815-4F25-B927-99F597D22A57}"/>
    <cellStyle name="Normal 14 5 6" xfId="1749" xr:uid="{74129834-5C01-411E-B2C0-49160180079D}"/>
    <cellStyle name="Normal 14 5 6 2" xfId="5138" xr:uid="{6715ABBE-2F83-429F-AC1A-EF8B3B3F3394}"/>
    <cellStyle name="Normal 14 5 6 2 2" xfId="13518" xr:uid="{057D4277-F7A0-494B-98AD-60A1A3E8D2CA}"/>
    <cellStyle name="Normal 14 5 6 2 2 2" xfId="30278" xr:uid="{7E935F74-FE29-4852-8050-8F384FC0EBCB}"/>
    <cellStyle name="Normal 14 5 6 2 2 3" xfId="47037" xr:uid="{136BC550-4309-42F2-8F71-7F9EE8033519}"/>
    <cellStyle name="Normal 14 5 6 2 3" xfId="21898" xr:uid="{473800C6-9182-461E-A2D2-A049BA742331}"/>
    <cellStyle name="Normal 14 5 6 2 4" xfId="38657" xr:uid="{82AE0A4D-E6D5-404F-ADEB-502398BDB6E5}"/>
    <cellStyle name="Normal 14 5 6 3" xfId="6825" xr:uid="{C1FD07F2-AFE4-4FF9-B4BF-6F29B359DE35}"/>
    <cellStyle name="Normal 14 5 6 3 2" xfId="15205" xr:uid="{AE412D5C-7A48-4188-BB2D-BBFD85000F7B}"/>
    <cellStyle name="Normal 14 5 6 3 2 2" xfId="31965" xr:uid="{794638F8-865E-4535-B4A2-D26A3141CF11}"/>
    <cellStyle name="Normal 14 5 6 3 2 3" xfId="48724" xr:uid="{492B0850-CFF4-4692-9E9F-FC008C872478}"/>
    <cellStyle name="Normal 14 5 6 3 3" xfId="23585" xr:uid="{A4318969-21EE-4AB7-87A2-B5AE697E7992}"/>
    <cellStyle name="Normal 14 5 6 3 4" xfId="40344" xr:uid="{8C353E35-7A5E-452E-86AA-B0F1DA388EE7}"/>
    <cellStyle name="Normal 14 5 6 4" xfId="2390" xr:uid="{7B077E12-E58B-4149-BEA1-D41128CB1809}"/>
    <cellStyle name="Normal 14 5 6 4 2" xfId="10772" xr:uid="{4BC46BD0-CC7F-4247-AFBD-6C8E6A784042}"/>
    <cellStyle name="Normal 14 5 6 4 2 2" xfId="27532" xr:uid="{975D19A3-148A-4C1C-A76B-6356D00065B3}"/>
    <cellStyle name="Normal 14 5 6 4 2 3" xfId="44291" xr:uid="{CE6E8185-715A-435B-B24E-83379EBADD81}"/>
    <cellStyle name="Normal 14 5 6 4 3" xfId="19152" xr:uid="{E9D44D3D-2A7D-4F46-9822-754C469D20B4}"/>
    <cellStyle name="Normal 14 5 6 4 4" xfId="35911" xr:uid="{A45BE3C8-BF94-4464-A26F-08E5068592CB}"/>
    <cellStyle name="Normal 14 5 6 5" xfId="10138" xr:uid="{F727E1DB-6474-4DA1-9A5F-4F0B46A3FF0D}"/>
    <cellStyle name="Normal 14 5 6 5 2" xfId="26898" xr:uid="{2AC7DBE1-E4FE-4D7F-B260-3B08C32D6016}"/>
    <cellStyle name="Normal 14 5 6 5 3" xfId="43657" xr:uid="{02CD7E03-5CBC-473C-A016-230405BF919A}"/>
    <cellStyle name="Normal 14 5 6 6" xfId="18518" xr:uid="{3E8A1DDE-87FB-4C18-AF6E-824A7905294E}"/>
    <cellStyle name="Normal 14 5 6 7" xfId="35277" xr:uid="{92AEBE0C-F953-4F34-91D4-96E456D3B2AE}"/>
    <cellStyle name="Normal 14 5 7" xfId="3868" xr:uid="{2A94FD92-AFBD-42E4-AEB0-73EF443C8D9F}"/>
    <cellStyle name="Normal 14 5 7 2" xfId="12248" xr:uid="{B03504E7-F371-42A7-B834-5215CD0AFA5E}"/>
    <cellStyle name="Normal 14 5 7 2 2" xfId="29008" xr:uid="{DF55C292-4E75-4FAB-8194-18710C84E7D4}"/>
    <cellStyle name="Normal 14 5 7 2 3" xfId="45767" xr:uid="{423EEC14-704B-43E4-8062-940CA6725F97}"/>
    <cellStyle name="Normal 14 5 7 3" xfId="20628" xr:uid="{0BC20F29-8862-4455-B455-BFBF19971712}"/>
    <cellStyle name="Normal 14 5 7 4" xfId="37387" xr:uid="{994EBAEC-A47F-4144-A479-1F9F4C9A6CC8}"/>
    <cellStyle name="Normal 14 5 8" xfId="5656" xr:uid="{10857F67-1DF6-4801-81DF-A18C22047A62}"/>
    <cellStyle name="Normal 14 5 8 2" xfId="14036" xr:uid="{CB085A51-EEAC-452C-BABC-6A8FC50509B9}"/>
    <cellStyle name="Normal 14 5 8 2 2" xfId="30796" xr:uid="{0E8CF70C-3062-48D7-8BD2-3C3D1AB5DA55}"/>
    <cellStyle name="Normal 14 5 8 2 3" xfId="47555" xr:uid="{7C8438FE-B2FA-4B1D-86CC-FE6E644DE576}"/>
    <cellStyle name="Normal 14 5 8 3" xfId="22416" xr:uid="{CC1DEEDC-D415-409D-8491-8DC015B4ABF9}"/>
    <cellStyle name="Normal 14 5 8 4" xfId="39175" xr:uid="{1CD62967-FC71-4790-BBBA-17AA0A5B0607}"/>
    <cellStyle name="Normal 14 5 9" xfId="7231" xr:uid="{646127D6-90A4-465D-B147-B51B73332264}"/>
    <cellStyle name="Normal 14 5 9 2" xfId="15611" xr:uid="{435DF7CD-669E-4A51-A2D0-F39A96CA1DD1}"/>
    <cellStyle name="Normal 14 5 9 2 2" xfId="32371" xr:uid="{0E85F92A-EE67-4023-A334-39D75D9DA43D}"/>
    <cellStyle name="Normal 14 5 9 2 3" xfId="49130" xr:uid="{265CBEEB-EC51-42E8-AAED-FEE13CAD6F91}"/>
    <cellStyle name="Normal 14 5 9 3" xfId="23991" xr:uid="{C641B479-1B9D-49E2-8E2B-CE2B2DB359B7}"/>
    <cellStyle name="Normal 14 5 9 4" xfId="40750" xr:uid="{BCF101A1-DAC0-48C4-8BDD-0DF10E0E84BD}"/>
    <cellStyle name="Normal 14 6" xfId="561" xr:uid="{CC05584D-1F95-4F2D-8803-0896347CF125}"/>
    <cellStyle name="Normal 14 6 10" xfId="8503" xr:uid="{59085149-F7C6-4224-906A-A47CC791C64E}"/>
    <cellStyle name="Normal 14 6 10 2" xfId="16883" xr:uid="{F7E70679-9BA7-4AC9-8256-5ECFDB65CCEC}"/>
    <cellStyle name="Normal 14 6 10 2 2" xfId="33643" xr:uid="{37EF7AF3-3F88-46BB-A648-C9E94987E0EE}"/>
    <cellStyle name="Normal 14 6 10 2 3" xfId="50402" xr:uid="{20E2D6DF-C408-45E7-B76D-1344FA2BF72B}"/>
    <cellStyle name="Normal 14 6 10 3" xfId="25263" xr:uid="{A493934A-C7E5-444C-A2E2-8FC44E507E30}"/>
    <cellStyle name="Normal 14 6 10 4" xfId="42022" xr:uid="{43C7CF6A-CD9D-4B1C-9D6C-CAAF4FDEB01B}"/>
    <cellStyle name="Normal 14 6 11" xfId="2393" xr:uid="{469805D4-3FBB-4B1E-A73B-1CD3F980BBA7}"/>
    <cellStyle name="Normal 14 6 11 2" xfId="10775" xr:uid="{A0F4A1E0-1429-43DD-B151-5DDB4784264B}"/>
    <cellStyle name="Normal 14 6 11 2 2" xfId="27535" xr:uid="{A4EC38C6-4488-4DE3-A5B3-34EEEE135C2E}"/>
    <cellStyle name="Normal 14 6 11 2 3" xfId="44294" xr:uid="{5DC00E74-6A60-4D36-8428-EEEAB20AD0E1}"/>
    <cellStyle name="Normal 14 6 11 3" xfId="19155" xr:uid="{C016113A-4E97-41F5-9560-7A8D035A4611}"/>
    <cellStyle name="Normal 14 6 11 4" xfId="35914" xr:uid="{AF55DEBE-6E7A-4CD0-92DB-06E7A069DC46}"/>
    <cellStyle name="Normal 14 6 12" xfId="8972" xr:uid="{FBFAFF48-D632-4005-B6A8-2C2B88E90C58}"/>
    <cellStyle name="Normal 14 6 12 2" xfId="25732" xr:uid="{472C7957-D859-4714-BF1C-05429E67BE5B}"/>
    <cellStyle name="Normal 14 6 12 3" xfId="42491" xr:uid="{FE239F52-BB1A-42B4-81D0-0E3AF6B5E461}"/>
    <cellStyle name="Normal 14 6 13" xfId="17352" xr:uid="{E66881AE-283E-457D-A055-7A3D10134F3B}"/>
    <cellStyle name="Normal 14 6 14" xfId="34111" xr:uid="{80567F4E-8FD0-4BB9-9934-3AB1A7C37A17}"/>
    <cellStyle name="Normal 14 6 2" xfId="1003" xr:uid="{2CBCC17E-642F-416D-8678-51F0D8DCD588}"/>
    <cellStyle name="Normal 14 6 2 2" xfId="4398" xr:uid="{2664D734-8E16-4130-A833-A644DA633CA3}"/>
    <cellStyle name="Normal 14 6 2 2 2" xfId="12778" xr:uid="{FFCEFEB7-8F7E-4121-9523-D0C4ABAF7A69}"/>
    <cellStyle name="Normal 14 6 2 2 2 2" xfId="29538" xr:uid="{36E4956C-116A-4A89-9963-975E4C36A8FC}"/>
    <cellStyle name="Normal 14 6 2 2 2 3" xfId="46297" xr:uid="{9D74C2A9-85FF-43B0-99DF-C32914201374}"/>
    <cellStyle name="Normal 14 6 2 2 3" xfId="21158" xr:uid="{A9FC6AC0-8FDA-4DF0-B25E-D6FA45544E68}"/>
    <cellStyle name="Normal 14 6 2 2 4" xfId="37917" xr:uid="{2AF77F89-AD1E-48D1-9FCB-60B398326855}"/>
    <cellStyle name="Normal 14 6 2 3" xfId="6085" xr:uid="{35629DF1-605F-456F-BF58-60C636078ED3}"/>
    <cellStyle name="Normal 14 6 2 3 2" xfId="14465" xr:uid="{5706E964-F33F-4445-8FC4-61464B6A727A}"/>
    <cellStyle name="Normal 14 6 2 3 2 2" xfId="31225" xr:uid="{75107145-DF6A-4E7F-A03A-51B47EA01763}"/>
    <cellStyle name="Normal 14 6 2 3 2 3" xfId="47984" xr:uid="{002DC627-3260-4AF6-AAC8-5C423B30A7E0}"/>
    <cellStyle name="Normal 14 6 2 3 3" xfId="22845" xr:uid="{259C6F80-033F-45EB-A584-5B10625D7472}"/>
    <cellStyle name="Normal 14 6 2 3 4" xfId="39604" xr:uid="{05492FA2-09D7-4897-A601-63AE8B5CBBCA}"/>
    <cellStyle name="Normal 14 6 2 4" xfId="2821" xr:uid="{FEAAA434-D2CA-4B6F-B5CB-DBBA7E16B094}"/>
    <cellStyle name="Normal 14 6 2 4 2" xfId="11201" xr:uid="{98415165-BA98-4BEB-8CC4-38F380A29BBC}"/>
    <cellStyle name="Normal 14 6 2 4 2 2" xfId="27961" xr:uid="{2CBB8EB9-1F73-4871-85F5-271109449D82}"/>
    <cellStyle name="Normal 14 6 2 4 2 3" xfId="44720" xr:uid="{C67D0799-1BC3-4C83-8237-92090F2EFDF4}"/>
    <cellStyle name="Normal 14 6 2 4 3" xfId="19581" xr:uid="{113D4F53-8E87-44E0-A780-3B0804A8E366}"/>
    <cellStyle name="Normal 14 6 2 4 4" xfId="36340" xr:uid="{CE2A6515-7E48-47F1-BB5E-550EA4083A22}"/>
    <cellStyle name="Normal 14 6 2 5" xfId="9398" xr:uid="{E2F59924-861E-4788-B77A-93561673EAE5}"/>
    <cellStyle name="Normal 14 6 2 5 2" xfId="26158" xr:uid="{49866C49-F4B9-48F5-A85A-FE2CC54CC0F2}"/>
    <cellStyle name="Normal 14 6 2 5 3" xfId="42917" xr:uid="{10EBE26A-09DB-4CD8-80C7-5F8A00755BEE}"/>
    <cellStyle name="Normal 14 6 2 6" xfId="17778" xr:uid="{D57DD208-E895-4706-B15A-840085E72D08}"/>
    <cellStyle name="Normal 14 6 2 7" xfId="34537" xr:uid="{BD9E4145-5D05-4AC4-B181-EA2BE75E97F2}"/>
    <cellStyle name="Normal 14 6 3" xfId="1437" xr:uid="{163A4C25-FB06-430A-8102-21546AFFE6E5}"/>
    <cellStyle name="Normal 14 6 3 2" xfId="4826" xr:uid="{5EB76E39-B3E9-4242-937D-99ED601E1200}"/>
    <cellStyle name="Normal 14 6 3 2 2" xfId="13206" xr:uid="{C473777C-31D0-4305-9E84-644EDA9FDBA6}"/>
    <cellStyle name="Normal 14 6 3 2 2 2" xfId="29966" xr:uid="{050CE0D9-F559-43FA-9426-5DDD46F88EA2}"/>
    <cellStyle name="Normal 14 6 3 2 2 3" xfId="46725" xr:uid="{95FCED23-10A4-4F5F-9D25-0BB94794B88F}"/>
    <cellStyle name="Normal 14 6 3 2 3" xfId="21586" xr:uid="{328F7874-092D-43CE-9E9E-D04748AF14F4}"/>
    <cellStyle name="Normal 14 6 3 2 4" xfId="38345" xr:uid="{37C9705E-E7D1-48D8-8A36-F65703B4C680}"/>
    <cellStyle name="Normal 14 6 3 3" xfId="6513" xr:uid="{07BD59AC-C939-489F-8C26-EAF3A9543A8A}"/>
    <cellStyle name="Normal 14 6 3 3 2" xfId="14893" xr:uid="{198850D9-8D33-4890-97F7-2991E8F4FA47}"/>
    <cellStyle name="Normal 14 6 3 3 2 2" xfId="31653" xr:uid="{9F298B8B-C7E7-4DE4-82B9-579BA381CEF0}"/>
    <cellStyle name="Normal 14 6 3 3 2 3" xfId="48412" xr:uid="{28EBA296-0B41-408E-998C-31CE593D4C88}"/>
    <cellStyle name="Normal 14 6 3 3 3" xfId="23273" xr:uid="{25A86808-378B-4BD3-B777-F71ECA194E03}"/>
    <cellStyle name="Normal 14 6 3 3 4" xfId="40032" xr:uid="{80134279-770F-4D60-BAD2-7F2B200C3593}"/>
    <cellStyle name="Normal 14 6 3 4" xfId="3249" xr:uid="{4898C48C-62FD-41BD-855B-58FDA14E79B5}"/>
    <cellStyle name="Normal 14 6 3 4 2" xfId="11629" xr:uid="{324C5E1E-2AC9-44A8-B8BE-EC85AB2A99E7}"/>
    <cellStyle name="Normal 14 6 3 4 2 2" xfId="28389" xr:uid="{0AC6A2AC-0A99-4D36-A076-8FED44D892D7}"/>
    <cellStyle name="Normal 14 6 3 4 2 3" xfId="45148" xr:uid="{38E5DDD0-EEF6-4E51-BA1E-37EAEDAF0920}"/>
    <cellStyle name="Normal 14 6 3 4 3" xfId="20009" xr:uid="{3016D7BC-5CBF-4596-8F42-672A85FCA3A4}"/>
    <cellStyle name="Normal 14 6 3 4 4" xfId="36768" xr:uid="{C81E8B95-93D1-4597-82B9-203F7D3B3EE6}"/>
    <cellStyle name="Normal 14 6 3 5" xfId="9826" xr:uid="{BD5247D7-8AF1-41FB-A59F-FE9EDC2F7530}"/>
    <cellStyle name="Normal 14 6 3 5 2" xfId="26586" xr:uid="{A27D0D30-DEDB-43AC-B0FA-15C5988C7A44}"/>
    <cellStyle name="Normal 14 6 3 5 3" xfId="43345" xr:uid="{20186648-FBBB-4603-AD30-3675DE1C7254}"/>
    <cellStyle name="Normal 14 6 3 6" xfId="18206" xr:uid="{000D0BF6-D938-479D-9F2B-7FBACC146A8F}"/>
    <cellStyle name="Normal 14 6 3 7" xfId="34965" xr:uid="{6B6FF214-A72D-420A-AA59-6A8239ED374D}"/>
    <cellStyle name="Normal 14 6 4" xfId="1803" xr:uid="{69EC6CE6-2DCC-4034-9E16-F8E0C7A369AB}"/>
    <cellStyle name="Normal 14 6 4 2" xfId="5192" xr:uid="{8FF3083B-C47D-4D14-BE77-F9AEA2AE06D9}"/>
    <cellStyle name="Normal 14 6 4 2 2" xfId="13572" xr:uid="{D5120A72-2E88-4D0D-BB12-9CAB2ABF242E}"/>
    <cellStyle name="Normal 14 6 4 2 2 2" xfId="30332" xr:uid="{F2226748-28F3-4863-9AC6-970DC4EF6C2C}"/>
    <cellStyle name="Normal 14 6 4 2 2 3" xfId="47091" xr:uid="{D6964E8C-ECEF-4E04-A8C0-03A6339433A0}"/>
    <cellStyle name="Normal 14 6 4 2 3" xfId="21952" xr:uid="{1E291FD1-CF5F-447B-B0AA-274513BC9AC1}"/>
    <cellStyle name="Normal 14 6 4 2 4" xfId="38711" xr:uid="{D912EEBA-0307-473C-8084-1105E2F68F53}"/>
    <cellStyle name="Normal 14 6 4 3" xfId="6879" xr:uid="{E62C276B-9194-4885-8528-17309650EC73}"/>
    <cellStyle name="Normal 14 6 4 3 2" xfId="15259" xr:uid="{46A4BC29-1A99-4E07-AB92-597075968D4D}"/>
    <cellStyle name="Normal 14 6 4 3 2 2" xfId="32019" xr:uid="{74F0B56D-849D-4AC9-99F4-EF3D8FE32318}"/>
    <cellStyle name="Normal 14 6 4 3 2 3" xfId="48778" xr:uid="{73778687-7EF7-47F6-BD3C-155D7B1DD3CD}"/>
    <cellStyle name="Normal 14 6 4 3 3" xfId="23639" xr:uid="{8325515D-91CC-46A0-AEF3-705CB7778B66}"/>
    <cellStyle name="Normal 14 6 4 3 4" xfId="40398" xr:uid="{A07A920C-4609-4F39-B58B-DA35081F2045}"/>
    <cellStyle name="Normal 14 6 4 4" xfId="3503" xr:uid="{50A8D01B-D227-455C-8686-5D5F7607F661}"/>
    <cellStyle name="Normal 14 6 4 4 2" xfId="11883" xr:uid="{3773E543-2640-40DD-A6D1-F98FC081674C}"/>
    <cellStyle name="Normal 14 6 4 4 2 2" xfId="28643" xr:uid="{9DAE0981-A353-4F24-B717-668C77E05215}"/>
    <cellStyle name="Normal 14 6 4 4 2 3" xfId="45402" xr:uid="{26790705-DE87-476B-95E0-0F0ABF078BB2}"/>
    <cellStyle name="Normal 14 6 4 4 3" xfId="20263" xr:uid="{F51095D7-3014-478C-BAE2-46CB897F0337}"/>
    <cellStyle name="Normal 14 6 4 4 4" xfId="37022" xr:uid="{CF3638E0-3EA6-4F20-8FA0-55938EAF801F}"/>
    <cellStyle name="Normal 14 6 4 5" xfId="10192" xr:uid="{1F634369-DED9-4D8E-A22A-120C98152855}"/>
    <cellStyle name="Normal 14 6 4 5 2" xfId="26952" xr:uid="{C201065B-D668-4467-B139-D3C6834ED997}"/>
    <cellStyle name="Normal 14 6 4 5 3" xfId="43711" xr:uid="{22D8CA83-446B-43C8-BAC1-A6ABC0ED5F7C}"/>
    <cellStyle name="Normal 14 6 4 6" xfId="18572" xr:uid="{DD5B3E2F-C371-40A2-AAE8-BBF805731D8D}"/>
    <cellStyle name="Normal 14 6 4 7" xfId="35331" xr:uid="{C2D406EE-B3DC-445F-8B6B-B2E7EDE3F05F}"/>
    <cellStyle name="Normal 14 6 5" xfId="3922" xr:uid="{B89DCF9A-754A-4E8D-A5CE-194B263D19D8}"/>
    <cellStyle name="Normal 14 6 5 2" xfId="12302" xr:uid="{48BFD6BB-46C6-43F3-8023-3D84DDDFCE35}"/>
    <cellStyle name="Normal 14 6 5 2 2" xfId="29062" xr:uid="{D477906D-61F3-4A33-A1B6-C3EA2953F001}"/>
    <cellStyle name="Normal 14 6 5 2 3" xfId="45821" xr:uid="{C6466550-67DB-4B94-9392-81DA2ECEFF1C}"/>
    <cellStyle name="Normal 14 6 5 3" xfId="20682" xr:uid="{7024BAFE-F392-4BE4-BEEB-3836D336B7F7}"/>
    <cellStyle name="Normal 14 6 5 4" xfId="37441" xr:uid="{456EA560-716B-4D2F-922F-735328BEA9C4}"/>
    <cellStyle name="Normal 14 6 6" xfId="5659" xr:uid="{962932F0-926E-430E-A56C-6FF67B544024}"/>
    <cellStyle name="Normal 14 6 6 2" xfId="14039" xr:uid="{7A7512B3-9FA5-4090-9652-446A6A6EA75A}"/>
    <cellStyle name="Normal 14 6 6 2 2" xfId="30799" xr:uid="{408E4195-75B3-46A0-B981-9EF1EA1190F9}"/>
    <cellStyle name="Normal 14 6 6 2 3" xfId="47558" xr:uid="{B48CEDD0-8613-4DF8-89DD-1DEB0777B23A}"/>
    <cellStyle name="Normal 14 6 6 3" xfId="22419" xr:uid="{23FB4C8B-8575-4CC4-B8C9-0AABAE348B3D}"/>
    <cellStyle name="Normal 14 6 6 4" xfId="39178" xr:uid="{A36F564F-3EBA-4BCD-8866-02BAE6BBD177}"/>
    <cellStyle name="Normal 14 6 7" xfId="7285" xr:uid="{DC8546EF-A703-4CFE-B55C-194658C64E57}"/>
    <cellStyle name="Normal 14 6 7 2" xfId="15665" xr:uid="{C9DF1262-209E-4067-8451-959D66682950}"/>
    <cellStyle name="Normal 14 6 7 2 2" xfId="32425" xr:uid="{1301FBD1-2DB2-428C-BA81-5BCB5A69BEE2}"/>
    <cellStyle name="Normal 14 6 7 2 3" xfId="49184" xr:uid="{4ADD71E2-6F8E-418E-B67E-5388EE9946F0}"/>
    <cellStyle name="Normal 14 6 7 3" xfId="24045" xr:uid="{42A7767D-C740-4895-B92C-76883B3C1E55}"/>
    <cellStyle name="Normal 14 6 7 4" xfId="40804" xr:uid="{07B7BE6D-8B65-41A0-9D51-62E29C2BCB98}"/>
    <cellStyle name="Normal 14 6 8" xfId="7691" xr:uid="{633435D7-3F0D-47E1-AA29-60C341B92CF5}"/>
    <cellStyle name="Normal 14 6 8 2" xfId="16071" xr:uid="{907D2328-499D-4A4B-A853-2FCFCC7067AB}"/>
    <cellStyle name="Normal 14 6 8 2 2" xfId="32831" xr:uid="{77568B68-033F-4F0A-BF96-8671BBF6163E}"/>
    <cellStyle name="Normal 14 6 8 2 3" xfId="49590" xr:uid="{FE19FAD6-F461-410F-9F02-521D616B4E67}"/>
    <cellStyle name="Normal 14 6 8 3" xfId="24451" xr:uid="{F9B5362A-D70C-476D-A2FF-EBFECB10524D}"/>
    <cellStyle name="Normal 14 6 8 4" xfId="41210" xr:uid="{4EA37D17-F623-4481-A806-570E06F91163}"/>
    <cellStyle name="Normal 14 6 9" xfId="8097" xr:uid="{262448BC-B405-4A41-8526-8FA718DEB506}"/>
    <cellStyle name="Normal 14 6 9 2" xfId="16477" xr:uid="{3A841ECA-C95F-4FCE-9BFD-127BD4EE9512}"/>
    <cellStyle name="Normal 14 6 9 2 2" xfId="33237" xr:uid="{F94DD288-C8AB-4965-98FF-802505C25BD9}"/>
    <cellStyle name="Normal 14 6 9 2 3" xfId="49996" xr:uid="{ADE66807-01CF-4E14-A89A-F774C579EE21}"/>
    <cellStyle name="Normal 14 6 9 3" xfId="24857" xr:uid="{BDC45D87-E6DD-4686-A489-933C43E4F4ED}"/>
    <cellStyle name="Normal 14 6 9 4" xfId="41616" xr:uid="{E686DDF5-17AB-4379-9592-10A5B2DF1F70}"/>
    <cellStyle name="Normal 14 7" xfId="562" xr:uid="{D425C2BF-E9C9-49A0-BEA5-0C65B2476B0D}"/>
    <cellStyle name="Normal 14 7 10" xfId="8605" xr:uid="{599E75BB-35E5-4AB9-A4B3-84EB83B46AC4}"/>
    <cellStyle name="Normal 14 7 10 2" xfId="16985" xr:uid="{77D49609-52E6-4BD1-A603-0DB6BF827BB1}"/>
    <cellStyle name="Normal 14 7 10 2 2" xfId="33745" xr:uid="{3CD0DBDD-CA06-4386-8439-8E355A0AEC9A}"/>
    <cellStyle name="Normal 14 7 10 2 3" xfId="50504" xr:uid="{29F23580-81EF-4E2D-A1D1-1BE8AE1953BE}"/>
    <cellStyle name="Normal 14 7 10 3" xfId="25365" xr:uid="{8E95A479-AA49-482C-A61A-AF136B40B6EB}"/>
    <cellStyle name="Normal 14 7 10 4" xfId="42124" xr:uid="{31F7F45C-383A-4049-B26B-E813688A62AF}"/>
    <cellStyle name="Normal 14 7 11" xfId="2394" xr:uid="{2158644C-D8F5-45CC-8583-E6632C18D31B}"/>
    <cellStyle name="Normal 14 7 11 2" xfId="10776" xr:uid="{C4E4D793-2F96-4D25-BD2A-C10C0D82D994}"/>
    <cellStyle name="Normal 14 7 11 2 2" xfId="27536" xr:uid="{32232F79-239D-4BE7-BC8D-F0D065259695}"/>
    <cellStyle name="Normal 14 7 11 2 3" xfId="44295" xr:uid="{1BC95FC4-D177-4B95-AAC9-154AB6DE3555}"/>
    <cellStyle name="Normal 14 7 11 3" xfId="19156" xr:uid="{4BF20936-E7EC-4FC5-BF23-F85F275FB026}"/>
    <cellStyle name="Normal 14 7 11 4" xfId="35915" xr:uid="{6A678950-DDF8-44ED-B0BD-C16F20CE335F}"/>
    <cellStyle name="Normal 14 7 12" xfId="8973" xr:uid="{F70365E0-B1FF-4AB3-BC99-3C9CD54A01D7}"/>
    <cellStyle name="Normal 14 7 12 2" xfId="25733" xr:uid="{E189B588-9242-4B28-8D74-CB51565F6A2A}"/>
    <cellStyle name="Normal 14 7 12 3" xfId="42492" xr:uid="{E43A6CE5-E274-4F64-9FFC-FA0170E0B364}"/>
    <cellStyle name="Normal 14 7 13" xfId="17353" xr:uid="{6CE13DE7-9D44-4D9D-9D6C-51DDE3007673}"/>
    <cellStyle name="Normal 14 7 14" xfId="34112" xr:uid="{B6F25A81-5DAA-4054-89CC-BDD048F1F464}"/>
    <cellStyle name="Normal 14 7 2" xfId="1004" xr:uid="{24C9D885-AE5B-4425-A00C-41877D1F7D28}"/>
    <cellStyle name="Normal 14 7 2 2" xfId="4399" xr:uid="{2349D6CD-2FCB-4DFA-8DA7-728D16D9F428}"/>
    <cellStyle name="Normal 14 7 2 2 2" xfId="12779" xr:uid="{B39B1C61-88EB-41A1-A94E-E21366ACF45B}"/>
    <cellStyle name="Normal 14 7 2 2 2 2" xfId="29539" xr:uid="{E8B2FC1D-7851-4056-B45F-7F7CA5F95ECD}"/>
    <cellStyle name="Normal 14 7 2 2 2 3" xfId="46298" xr:uid="{E4E55DAE-43A3-4D0E-853D-A73DB02A27F3}"/>
    <cellStyle name="Normal 14 7 2 2 3" xfId="21159" xr:uid="{3EB92045-6CFE-4FC0-90C2-95A758FE8787}"/>
    <cellStyle name="Normal 14 7 2 2 4" xfId="37918" xr:uid="{31944E6E-C072-4198-AD61-D6964EAC4D0B}"/>
    <cellStyle name="Normal 14 7 2 3" xfId="6086" xr:uid="{22785BC3-3F1E-45CF-A4C2-20AABCDEB77B}"/>
    <cellStyle name="Normal 14 7 2 3 2" xfId="14466" xr:uid="{CF167C27-BBE9-4A49-A4BC-E6DA7EA120A5}"/>
    <cellStyle name="Normal 14 7 2 3 2 2" xfId="31226" xr:uid="{06A25E4A-74B9-4BC8-9572-5B5ECCBD206C}"/>
    <cellStyle name="Normal 14 7 2 3 2 3" xfId="47985" xr:uid="{2BB37C32-0FBC-44A0-93AF-F10DF4F4B5C7}"/>
    <cellStyle name="Normal 14 7 2 3 3" xfId="22846" xr:uid="{804003EF-B558-4688-A82D-8626FC612BB7}"/>
    <cellStyle name="Normal 14 7 2 3 4" xfId="39605" xr:uid="{0A0FCB6C-4D2B-4062-8F26-F77866CE1BBC}"/>
    <cellStyle name="Normal 14 7 2 4" xfId="2822" xr:uid="{FAC8793B-1527-4658-8A73-24E216F81674}"/>
    <cellStyle name="Normal 14 7 2 4 2" xfId="11202" xr:uid="{B8A9FD43-7DFF-4510-BBEF-0A60F8F9BF4D}"/>
    <cellStyle name="Normal 14 7 2 4 2 2" xfId="27962" xr:uid="{A75398FF-2346-4066-846B-20A177455210}"/>
    <cellStyle name="Normal 14 7 2 4 2 3" xfId="44721" xr:uid="{7C610A6E-29D3-47C1-B4AE-CAF61D125645}"/>
    <cellStyle name="Normal 14 7 2 4 3" xfId="19582" xr:uid="{0B2C24F8-7F67-43FA-A132-F55777FD49BD}"/>
    <cellStyle name="Normal 14 7 2 4 4" xfId="36341" xr:uid="{9F94E014-0E65-4AC1-9920-E5723BD53DD1}"/>
    <cellStyle name="Normal 14 7 2 5" xfId="9399" xr:uid="{72E25CD9-F3FF-48F5-B680-7D326B4A7B3E}"/>
    <cellStyle name="Normal 14 7 2 5 2" xfId="26159" xr:uid="{49F6741B-5357-449C-B1EA-C1A9F4247024}"/>
    <cellStyle name="Normal 14 7 2 5 3" xfId="42918" xr:uid="{997CDBDE-0DC9-460D-9348-9007AAB98F0C}"/>
    <cellStyle name="Normal 14 7 2 6" xfId="17779" xr:uid="{73711F80-F650-46DA-BABE-EDC552260B9A}"/>
    <cellStyle name="Normal 14 7 2 7" xfId="34538" xr:uid="{A73A4BA8-F648-408E-9CE1-8C5B506F7E7E}"/>
    <cellStyle name="Normal 14 7 3" xfId="1438" xr:uid="{4E77D687-686D-498F-8D41-F1D278CE9190}"/>
    <cellStyle name="Normal 14 7 3 2" xfId="4827" xr:uid="{65106DF1-F9D1-4D6B-8798-25D7A25D4AEA}"/>
    <cellStyle name="Normal 14 7 3 2 2" xfId="13207" xr:uid="{71D3CF4B-C02E-4D6F-8272-454CF73EB6F8}"/>
    <cellStyle name="Normal 14 7 3 2 2 2" xfId="29967" xr:uid="{26FAB8D9-D093-443C-85DA-BF88380EAA61}"/>
    <cellStyle name="Normal 14 7 3 2 2 3" xfId="46726" xr:uid="{6F7B9198-572A-437A-BED2-2C8C38CC237B}"/>
    <cellStyle name="Normal 14 7 3 2 3" xfId="21587" xr:uid="{2577881D-AD50-4B35-892E-EA876E29BC32}"/>
    <cellStyle name="Normal 14 7 3 2 4" xfId="38346" xr:uid="{B47A51A8-32BE-481F-9725-EC0B618A2FEB}"/>
    <cellStyle name="Normal 14 7 3 3" xfId="6514" xr:uid="{DFFD346D-A337-42BC-A50B-B95459F7E765}"/>
    <cellStyle name="Normal 14 7 3 3 2" xfId="14894" xr:uid="{62518CDF-0D33-4FE7-ADF9-54A0C1109020}"/>
    <cellStyle name="Normal 14 7 3 3 2 2" xfId="31654" xr:uid="{1F34CBD4-7834-488F-8BDB-949732825378}"/>
    <cellStyle name="Normal 14 7 3 3 2 3" xfId="48413" xr:uid="{01BAF37F-4CCF-4582-8BE6-91B432E16395}"/>
    <cellStyle name="Normal 14 7 3 3 3" xfId="23274" xr:uid="{390D7168-E5CC-47CC-8A1F-65D587C4B167}"/>
    <cellStyle name="Normal 14 7 3 3 4" xfId="40033" xr:uid="{69F920C6-91CB-4D32-812A-83F4E87928A2}"/>
    <cellStyle name="Normal 14 7 3 4" xfId="3250" xr:uid="{BE04B396-B044-4B24-9539-F492EFC6EA0B}"/>
    <cellStyle name="Normal 14 7 3 4 2" xfId="11630" xr:uid="{79EA3295-7BA8-4B2A-B306-DBACBBFE6171}"/>
    <cellStyle name="Normal 14 7 3 4 2 2" xfId="28390" xr:uid="{C8CC935A-7E1C-4ED7-A4C9-F80AFF34C84B}"/>
    <cellStyle name="Normal 14 7 3 4 2 3" xfId="45149" xr:uid="{2B67D039-862B-40C1-9559-659827148496}"/>
    <cellStyle name="Normal 14 7 3 4 3" xfId="20010" xr:uid="{C5AB73F1-FDB6-44E2-B9B8-87E344BEFB30}"/>
    <cellStyle name="Normal 14 7 3 4 4" xfId="36769" xr:uid="{061E31B0-D00D-41B6-A5BC-678C2C16EF15}"/>
    <cellStyle name="Normal 14 7 3 5" xfId="9827" xr:uid="{434D379C-137B-494F-B650-2EB998C055BC}"/>
    <cellStyle name="Normal 14 7 3 5 2" xfId="26587" xr:uid="{FE9D1A1F-9A45-4D18-B974-7CFE6589FB4A}"/>
    <cellStyle name="Normal 14 7 3 5 3" xfId="43346" xr:uid="{8732403E-AF89-47CD-8DBC-BE279064CF0C}"/>
    <cellStyle name="Normal 14 7 3 6" xfId="18207" xr:uid="{742FB871-410F-4900-94CF-2017684E957E}"/>
    <cellStyle name="Normal 14 7 3 7" xfId="34966" xr:uid="{00604813-F90E-4E9A-A4F4-53C1C5E654E4}"/>
    <cellStyle name="Normal 14 7 4" xfId="1905" xr:uid="{9E530C55-BA01-42CD-AC8B-971342BE4C6C}"/>
    <cellStyle name="Normal 14 7 4 2" xfId="5294" xr:uid="{E2D8E18B-C6CD-45FD-8026-6745A9058679}"/>
    <cellStyle name="Normal 14 7 4 2 2" xfId="13674" xr:uid="{D14ACF49-89A1-42DC-87C7-6772D9C11E12}"/>
    <cellStyle name="Normal 14 7 4 2 2 2" xfId="30434" xr:uid="{F51B2D1D-FBC3-4031-BDA4-6D3CE8D5BB6B}"/>
    <cellStyle name="Normal 14 7 4 2 2 3" xfId="47193" xr:uid="{31030145-FBD8-43D9-8ADE-4115076F7630}"/>
    <cellStyle name="Normal 14 7 4 2 3" xfId="22054" xr:uid="{36C31B86-5E1D-4382-AD78-DECEB305B795}"/>
    <cellStyle name="Normal 14 7 4 2 4" xfId="38813" xr:uid="{2CE185EC-F65C-4F42-83D2-31005A903DC8}"/>
    <cellStyle name="Normal 14 7 4 3" xfId="6981" xr:uid="{4005BCF9-EF0B-4CCD-97DD-CBE9950432FC}"/>
    <cellStyle name="Normal 14 7 4 3 2" xfId="15361" xr:uid="{CA1CA11C-CA65-44C5-95ED-181EDD51AB37}"/>
    <cellStyle name="Normal 14 7 4 3 2 2" xfId="32121" xr:uid="{FFF3F3E7-4337-4D27-A18D-08089B3C35F1}"/>
    <cellStyle name="Normal 14 7 4 3 2 3" xfId="48880" xr:uid="{46CC4F91-ACC6-46D6-9C23-81C4B00DEBEF}"/>
    <cellStyle name="Normal 14 7 4 3 3" xfId="23741" xr:uid="{48DA62BA-6C31-4808-9BC4-8AE42273B58F}"/>
    <cellStyle name="Normal 14 7 4 3 4" xfId="40500" xr:uid="{D0DC9D5B-B021-410C-AF1F-C76B21115489}"/>
    <cellStyle name="Normal 14 7 4 4" xfId="3604" xr:uid="{1C9DE2A7-84AF-4DF8-B9A3-8AF0056F30A7}"/>
    <cellStyle name="Normal 14 7 4 4 2" xfId="11984" xr:uid="{0C5185E7-DB90-4EB1-8441-9049E1474C1D}"/>
    <cellStyle name="Normal 14 7 4 4 2 2" xfId="28744" xr:uid="{C8348D79-7D88-4996-BD4F-F301D585D067}"/>
    <cellStyle name="Normal 14 7 4 4 2 3" xfId="45503" xr:uid="{BC419443-50A2-45F6-86DA-D490F8B7449F}"/>
    <cellStyle name="Normal 14 7 4 4 3" xfId="20364" xr:uid="{EF9622A1-0E65-440C-9D15-FF2FDFD78885}"/>
    <cellStyle name="Normal 14 7 4 4 4" xfId="37123" xr:uid="{6D1AA619-FC38-4021-8589-23CD053AD4A9}"/>
    <cellStyle name="Normal 14 7 4 5" xfId="10294" xr:uid="{570DFF54-F65B-4BA9-998B-054AFA3461C9}"/>
    <cellStyle name="Normal 14 7 4 5 2" xfId="27054" xr:uid="{EF5B3490-2A2F-47D7-B777-6F763BCBD43A}"/>
    <cellStyle name="Normal 14 7 4 5 3" xfId="43813" xr:uid="{7E2503BC-1789-4CAA-BD6A-04655EFD42F9}"/>
    <cellStyle name="Normal 14 7 4 6" xfId="18674" xr:uid="{538E183E-810D-44D2-9383-CEF01E74F4D4}"/>
    <cellStyle name="Normal 14 7 4 7" xfId="35433" xr:uid="{52A00FB3-100A-4E7F-8636-16D9733693A9}"/>
    <cellStyle name="Normal 14 7 5" xfId="4024" xr:uid="{AA2AA5D4-C398-4AAE-B430-66A0E0A8834F}"/>
    <cellStyle name="Normal 14 7 5 2" xfId="12404" xr:uid="{3E34C15E-8AAF-4982-BB5E-5304486D4F73}"/>
    <cellStyle name="Normal 14 7 5 2 2" xfId="29164" xr:uid="{95055313-0F8A-4705-8C17-7B3DA2364349}"/>
    <cellStyle name="Normal 14 7 5 2 3" xfId="45923" xr:uid="{407746F0-B4D1-492D-9FDF-8DC93F1EDDAE}"/>
    <cellStyle name="Normal 14 7 5 3" xfId="20784" xr:uid="{15B1B190-4491-43B2-A736-346783D5B056}"/>
    <cellStyle name="Normal 14 7 5 4" xfId="37543" xr:uid="{CBECEFF9-B9FB-422F-B3FA-B6EE35F2A470}"/>
    <cellStyle name="Normal 14 7 6" xfId="5660" xr:uid="{4E036C77-4919-49F5-9A84-BCD5636D8AC0}"/>
    <cellStyle name="Normal 14 7 6 2" xfId="14040" xr:uid="{44E34481-5D2D-40B6-AF8D-5674562E8F8D}"/>
    <cellStyle name="Normal 14 7 6 2 2" xfId="30800" xr:uid="{9F278DEF-501C-4808-BBE4-5A33F3D60206}"/>
    <cellStyle name="Normal 14 7 6 2 3" xfId="47559" xr:uid="{12ACFB81-1F61-4707-88E0-2E0FA5324232}"/>
    <cellStyle name="Normal 14 7 6 3" xfId="22420" xr:uid="{AE62C8B1-504F-46C3-B2F0-DC4DE547B765}"/>
    <cellStyle name="Normal 14 7 6 4" xfId="39179" xr:uid="{B5AC4056-4A9D-47EE-8B7C-97D513C01CA2}"/>
    <cellStyle name="Normal 14 7 7" xfId="7387" xr:uid="{5DCDEDAD-437E-49DE-B597-44817D2820A5}"/>
    <cellStyle name="Normal 14 7 7 2" xfId="15767" xr:uid="{25BB1A55-7E4E-4E5F-B09A-5EF81B7DBEFC}"/>
    <cellStyle name="Normal 14 7 7 2 2" xfId="32527" xr:uid="{69050B1F-9A28-45AB-9F2E-E3509C70E4E6}"/>
    <cellStyle name="Normal 14 7 7 2 3" xfId="49286" xr:uid="{BB650953-6033-4C91-A4D4-C459D160E1B7}"/>
    <cellStyle name="Normal 14 7 7 3" xfId="24147" xr:uid="{7D56B13C-FC58-4698-8865-712508D263D8}"/>
    <cellStyle name="Normal 14 7 7 4" xfId="40906" xr:uid="{F3BE10E6-2997-4E99-ADDA-91D8FC0F7B52}"/>
    <cellStyle name="Normal 14 7 8" xfId="7793" xr:uid="{88E8B98B-B6A9-4B5C-A0B3-5F5A378FB1E7}"/>
    <cellStyle name="Normal 14 7 8 2" xfId="16173" xr:uid="{3B5AAE93-1C67-4F01-A74E-786B5B0C02B4}"/>
    <cellStyle name="Normal 14 7 8 2 2" xfId="32933" xr:uid="{9B5350FB-9735-4F7E-A6F4-64EB4C6B3E44}"/>
    <cellStyle name="Normal 14 7 8 2 3" xfId="49692" xr:uid="{3C091AD3-E8ED-488B-A900-73B837061D29}"/>
    <cellStyle name="Normal 14 7 8 3" xfId="24553" xr:uid="{49E46559-2F82-4583-97E8-5EB4363C5CB4}"/>
    <cellStyle name="Normal 14 7 8 4" xfId="41312" xr:uid="{69A9A147-B4FD-4750-9DF9-3599522D280D}"/>
    <cellStyle name="Normal 14 7 9" xfId="8199" xr:uid="{8C066545-B3BD-4FA7-9596-AA5B66C81E39}"/>
    <cellStyle name="Normal 14 7 9 2" xfId="16579" xr:uid="{CDBD0715-C9F8-4A6E-A40D-59BAA0C803C5}"/>
    <cellStyle name="Normal 14 7 9 2 2" xfId="33339" xr:uid="{0F5921B6-AFC4-4C6C-A52A-B69EE84A9B33}"/>
    <cellStyle name="Normal 14 7 9 2 3" xfId="50098" xr:uid="{4C5A15C9-16A2-4363-BCC9-798D99460E85}"/>
    <cellStyle name="Normal 14 7 9 3" xfId="24959" xr:uid="{1EB2B7CE-0E40-43F6-87E2-1C47240E06D5}"/>
    <cellStyle name="Normal 14 7 9 4" xfId="41718" xr:uid="{B433897A-BB50-41F9-B0D2-71A9927928FB}"/>
    <cellStyle name="Normal 14 8" xfId="777" xr:uid="{01A540C2-77AB-4A49-861D-FF0DDF27CC1F}"/>
    <cellStyle name="Normal 14 8 2" xfId="4172" xr:uid="{55C24415-8033-4E89-8635-3B2BD8F76662}"/>
    <cellStyle name="Normal 14 8 2 2" xfId="12552" xr:uid="{630ADFC8-C5DE-4496-9C8D-8548D12DF19D}"/>
    <cellStyle name="Normal 14 8 2 2 2" xfId="29312" xr:uid="{1D705C4B-0FD9-479E-8673-93B9E6181B09}"/>
    <cellStyle name="Normal 14 8 2 2 3" xfId="46071" xr:uid="{5E62EF7F-6069-4EC4-A559-13A1C8C23685}"/>
    <cellStyle name="Normal 14 8 2 3" xfId="20932" xr:uid="{E4698EA9-20F7-4F81-9ECC-3B097CDC339C}"/>
    <cellStyle name="Normal 14 8 2 4" xfId="37691" xr:uid="{247B71E5-D9D3-4A24-A6DD-D2064F4AEA8D}"/>
    <cellStyle name="Normal 14 8 3" xfId="5859" xr:uid="{12CC538D-80FF-4CD3-9502-6736C06C0D1D}"/>
    <cellStyle name="Normal 14 8 3 2" xfId="14239" xr:uid="{CF545A2C-19E0-4798-AACA-9BFF6C554BD9}"/>
    <cellStyle name="Normal 14 8 3 2 2" xfId="30999" xr:uid="{7E844C73-041B-4521-8170-23354FD4370A}"/>
    <cellStyle name="Normal 14 8 3 2 3" xfId="47758" xr:uid="{BA7EC96F-E60C-45C3-95B9-188A7D9458A6}"/>
    <cellStyle name="Normal 14 8 3 3" xfId="22619" xr:uid="{0D6A0610-EECC-47F3-A20C-328535B2116D}"/>
    <cellStyle name="Normal 14 8 3 4" xfId="39378" xr:uid="{C83A4D0A-E458-4798-9D0D-3852DEF8B481}"/>
    <cellStyle name="Normal 14 8 4" xfId="2595" xr:uid="{46F2AB54-4939-4848-BD4E-71AF32708E5D}"/>
    <cellStyle name="Normal 14 8 4 2" xfId="10975" xr:uid="{2F6211AE-7BCC-4917-92E1-3508F5F8505A}"/>
    <cellStyle name="Normal 14 8 4 2 2" xfId="27735" xr:uid="{206A2FDD-2ECA-464F-BFE3-084BB97BFCF4}"/>
    <cellStyle name="Normal 14 8 4 2 3" xfId="44494" xr:uid="{E4FDE4A5-DA1D-4B55-903B-466436FED9D4}"/>
    <cellStyle name="Normal 14 8 4 3" xfId="19355" xr:uid="{0DC3160B-2B6D-4CA1-8375-09EDE59590BA}"/>
    <cellStyle name="Normal 14 8 4 4" xfId="36114" xr:uid="{6EEB36DD-9554-4DA5-8599-CF13A78F22E4}"/>
    <cellStyle name="Normal 14 8 5" xfId="9172" xr:uid="{F3FB6566-0C68-4C89-BE5B-3D855E650313}"/>
    <cellStyle name="Normal 14 8 5 2" xfId="25932" xr:uid="{B81300A3-89CE-4C82-81F0-C51A0E419D31}"/>
    <cellStyle name="Normal 14 8 5 3" xfId="42691" xr:uid="{BE1D975C-3E3B-4610-8943-736DF98FFCF5}"/>
    <cellStyle name="Normal 14 8 6" xfId="17552" xr:uid="{A1C73B66-BB35-426A-B1EC-301C92A92E48}"/>
    <cellStyle name="Normal 14 8 7" xfId="34311" xr:uid="{19F84571-BF30-4E45-A4A7-3E422B999F80}"/>
    <cellStyle name="Normal 14 9" xfId="1211" xr:uid="{B1A54D3D-F33A-4409-832E-2FE01D8A685F}"/>
    <cellStyle name="Normal 14 9 2" xfId="4600" xr:uid="{8F14CD29-3CF3-4F65-B157-B497FA58EC02}"/>
    <cellStyle name="Normal 14 9 2 2" xfId="12980" xr:uid="{88C60DA7-C0A5-4EAF-943E-B92789B094F9}"/>
    <cellStyle name="Normal 14 9 2 2 2" xfId="29740" xr:uid="{70C57BD5-9157-4AB3-BFAD-26FE5451B62A}"/>
    <cellStyle name="Normal 14 9 2 2 3" xfId="46499" xr:uid="{772FA83E-6670-441C-8FEB-0F2C6E1D85CB}"/>
    <cellStyle name="Normal 14 9 2 3" xfId="21360" xr:uid="{2D7798EE-5C52-4153-A2C6-FAED1EA26F6A}"/>
    <cellStyle name="Normal 14 9 2 4" xfId="38119" xr:uid="{4CB9C820-38F1-489C-A127-6012AA252862}"/>
    <cellStyle name="Normal 14 9 3" xfId="6287" xr:uid="{59AFA042-10EE-422B-8021-4D40F214B137}"/>
    <cellStyle name="Normal 14 9 3 2" xfId="14667" xr:uid="{CBEA31DC-BC0E-458C-8ACF-9D3EEF5437F6}"/>
    <cellStyle name="Normal 14 9 3 2 2" xfId="31427" xr:uid="{8F900E18-5AAC-4129-BA81-A2239CAE29A6}"/>
    <cellStyle name="Normal 14 9 3 2 3" xfId="48186" xr:uid="{98668BCD-1D87-4496-AAA0-7899BD66CC4E}"/>
    <cellStyle name="Normal 14 9 3 3" xfId="23047" xr:uid="{BBA990F0-69E9-4681-A25E-2AE206960F8A}"/>
    <cellStyle name="Normal 14 9 3 4" xfId="39806" xr:uid="{1B811C2F-62DF-44D5-81A1-CC3ACE1BDD11}"/>
    <cellStyle name="Normal 14 9 4" xfId="3023" xr:uid="{11B18CFD-E692-45DE-B851-1391CB55AC9E}"/>
    <cellStyle name="Normal 14 9 4 2" xfId="11403" xr:uid="{48881483-8FED-44FC-B921-F41AAC63500E}"/>
    <cellStyle name="Normal 14 9 4 2 2" xfId="28163" xr:uid="{01AE8FED-9D35-4F42-972F-472AE1C606AB}"/>
    <cellStyle name="Normal 14 9 4 2 3" xfId="44922" xr:uid="{71EF2A5B-7B42-4875-B9BD-8F0C40D736CB}"/>
    <cellStyle name="Normal 14 9 4 3" xfId="19783" xr:uid="{B2023753-AED0-4BA0-A08A-2FF9C2DA018F}"/>
    <cellStyle name="Normal 14 9 4 4" xfId="36542" xr:uid="{01D8724F-F9D5-407E-A933-DF40E2599266}"/>
    <cellStyle name="Normal 14 9 5" xfId="9600" xr:uid="{7E4B727B-ACA0-43D4-B498-FCD37BCEEB3E}"/>
    <cellStyle name="Normal 14 9 5 2" xfId="26360" xr:uid="{14BC0C27-E41E-400F-B72D-8DD6779AD0A1}"/>
    <cellStyle name="Normal 14 9 5 3" xfId="43119" xr:uid="{EC1635B8-0C81-4D1F-B113-70D6DE4C9346}"/>
    <cellStyle name="Normal 14 9 6" xfId="17980" xr:uid="{100B2767-0B28-4EBD-8922-641FB4685009}"/>
    <cellStyle name="Normal 14 9 7" xfId="34739" xr:uid="{1A1645D3-BA0F-46A2-AF86-2411126B5756}"/>
    <cellStyle name="Normal 15" xfId="152" xr:uid="{6E0D0DF9-816B-4691-AE85-5F656896EAA0}"/>
    <cellStyle name="Normal 15 10" xfId="1635" xr:uid="{C1AF9963-9249-4403-94BB-D7D74624B0FA}"/>
    <cellStyle name="Normal 15 10 2" xfId="5024" xr:uid="{D0EC00FE-52C8-416B-B64E-09995412182E}"/>
    <cellStyle name="Normal 15 10 2 2" xfId="13404" xr:uid="{32B87D00-6F23-4496-A7B3-591817BE7AA4}"/>
    <cellStyle name="Normal 15 10 2 2 2" xfId="30164" xr:uid="{ED90D057-E88E-4909-A280-415B07A901E2}"/>
    <cellStyle name="Normal 15 10 2 2 3" xfId="46923" xr:uid="{B2838E4A-F7C7-4A3F-8C29-C6311B6F2D38}"/>
    <cellStyle name="Normal 15 10 2 3" xfId="21784" xr:uid="{B8F17176-70D5-4BAA-8A0A-53BA5197D6A2}"/>
    <cellStyle name="Normal 15 10 2 4" xfId="38543" xr:uid="{6206788F-346E-439D-BDE7-F8440FCD823B}"/>
    <cellStyle name="Normal 15 10 3" xfId="6711" xr:uid="{6645EDBB-E8C1-45F0-A975-E176BF80EB8C}"/>
    <cellStyle name="Normal 15 10 3 2" xfId="15091" xr:uid="{1BA98BC3-A505-483C-BBE1-DAC25F862678}"/>
    <cellStyle name="Normal 15 10 3 2 2" xfId="31851" xr:uid="{5C71DE96-7CA3-4476-B806-B28F3FF98F03}"/>
    <cellStyle name="Normal 15 10 3 2 3" xfId="48610" xr:uid="{F6F16873-61D3-4AD0-A4E7-A74A1F5B4CCC}"/>
    <cellStyle name="Normal 15 10 3 3" xfId="23471" xr:uid="{4FF4FBF4-2E68-46B3-BEA5-1CDA5623E8B4}"/>
    <cellStyle name="Normal 15 10 3 4" xfId="40230" xr:uid="{47326417-1B67-4282-B1A5-223D55CE693E}"/>
    <cellStyle name="Normal 15 10 4" xfId="2162" xr:uid="{EB71DCC1-D475-4F52-A25F-D61BB7EBAD13}"/>
    <cellStyle name="Normal 15 10 4 2" xfId="10550" xr:uid="{038C2D4A-FCAF-4CC3-8D7B-106BE85E0DF7}"/>
    <cellStyle name="Normal 15 10 4 2 2" xfId="27310" xr:uid="{92A01ADF-851B-41D7-B522-22E1E0CA5689}"/>
    <cellStyle name="Normal 15 10 4 2 3" xfId="44069" xr:uid="{88EBF18F-1D29-48D5-8E96-4EE474D2EA73}"/>
    <cellStyle name="Normal 15 10 4 3" xfId="18930" xr:uid="{2D562507-C24A-4AF1-A301-BE2D1D429063}"/>
    <cellStyle name="Normal 15 10 4 4" xfId="35689" xr:uid="{1236BB56-DE5F-49C9-B181-52F8E4291E4D}"/>
    <cellStyle name="Normal 15 10 5" xfId="10024" xr:uid="{22CE2ED0-36E8-4C32-BD65-29E6953A6C10}"/>
    <cellStyle name="Normal 15 10 5 2" xfId="26784" xr:uid="{1E439A11-9903-4105-AAA0-64840CE54D5C}"/>
    <cellStyle name="Normal 15 10 5 3" xfId="43543" xr:uid="{811A4A8E-1C72-4635-B678-E4BF97637DDB}"/>
    <cellStyle name="Normal 15 10 6" xfId="18404" xr:uid="{272F76D9-A323-4CD8-8D98-3518144E3429}"/>
    <cellStyle name="Normal 15 10 7" xfId="35163" xr:uid="{04C086C2-3438-4CA1-9B0C-021BF5F0BFA4}"/>
    <cellStyle name="Normal 15 11" xfId="3740" xr:uid="{6FA8B003-6066-4DE4-9BD5-DEEDF05344ED}"/>
    <cellStyle name="Normal 15 11 2" xfId="12120" xr:uid="{812EBEF4-BA5E-4340-82A2-380AD32FD75B}"/>
    <cellStyle name="Normal 15 11 2 2" xfId="28880" xr:uid="{53D01C4C-60C7-41C8-BF3D-8173265AF940}"/>
    <cellStyle name="Normal 15 11 2 3" xfId="45639" xr:uid="{0224D0E4-14B8-4C23-BC28-E124AD5D8C93}"/>
    <cellStyle name="Normal 15 11 3" xfId="20500" xr:uid="{8262F3B1-B5B2-4659-9DC6-D8CFBE4DC9C5}"/>
    <cellStyle name="Normal 15 11 4" xfId="37259" xr:uid="{6EDB2BFF-D6A0-465F-B7CF-605454463726}"/>
    <cellStyle name="Normal 15 12" xfId="5434" xr:uid="{19213EBC-3C6C-48D7-9F9C-68579B9A8A5F}"/>
    <cellStyle name="Normal 15 12 2" xfId="13814" xr:uid="{DE68580B-EFB3-4E8F-BD57-FFE3B19DC3A0}"/>
    <cellStyle name="Normal 15 12 2 2" xfId="30574" xr:uid="{65A53E5B-F3D4-4561-B362-2C95408709A1}"/>
    <cellStyle name="Normal 15 12 2 3" xfId="47333" xr:uid="{61ED6DED-9F24-42F6-846E-D91B20E2A47C}"/>
    <cellStyle name="Normal 15 12 3" xfId="22194" xr:uid="{DA5A94E1-ADA5-4EBE-9096-DCB5040C3194}"/>
    <cellStyle name="Normal 15 12 4" xfId="38953" xr:uid="{47955E3D-E5F7-43BA-A523-7B70E696ADD6}"/>
    <cellStyle name="Normal 15 13" xfId="7117" xr:uid="{F882EDAD-AE3C-4190-A6DA-2A879F4D63C4}"/>
    <cellStyle name="Normal 15 13 2" xfId="15497" xr:uid="{301E8C51-B37A-4A5B-BAC5-BCDEC5EDED43}"/>
    <cellStyle name="Normal 15 13 2 2" xfId="32257" xr:uid="{1D18A76D-1423-4575-BE71-B672F3E05731}"/>
    <cellStyle name="Normal 15 13 2 3" xfId="49016" xr:uid="{814E1EB3-20A1-4DD0-8A2F-B570869CCF24}"/>
    <cellStyle name="Normal 15 13 3" xfId="23877" xr:uid="{D780D746-41AD-4CF5-A114-FF0F1229C6F9}"/>
    <cellStyle name="Normal 15 13 4" xfId="40636" xr:uid="{673CB9EA-AF9F-4067-91C8-265BB668A49D}"/>
    <cellStyle name="Normal 15 14" xfId="7523" xr:uid="{498C01C6-AB20-4280-99C4-05F748BFA534}"/>
    <cellStyle name="Normal 15 14 2" xfId="15903" xr:uid="{1A18BF64-8631-4C34-AADD-C5102FD3A884}"/>
    <cellStyle name="Normal 15 14 2 2" xfId="32663" xr:uid="{6D3C9783-D5CF-46FD-8C5F-3AC6E5A9D681}"/>
    <cellStyle name="Normal 15 14 2 3" xfId="49422" xr:uid="{D20865A6-4409-40E0-BFC0-28B966D6D31F}"/>
    <cellStyle name="Normal 15 14 3" xfId="24283" xr:uid="{6A9F8DBA-52EC-464D-82EB-5A2454C6AA36}"/>
    <cellStyle name="Normal 15 14 4" xfId="41042" xr:uid="{4E44FC7F-A136-45F9-A042-DB4CBAAF8867}"/>
    <cellStyle name="Normal 15 15" xfId="7929" xr:uid="{CF78C7C0-E189-4325-8467-B354C2C910F1}"/>
    <cellStyle name="Normal 15 15 2" xfId="16309" xr:uid="{1DF01114-3C69-448A-BE29-3CC00F10D634}"/>
    <cellStyle name="Normal 15 15 2 2" xfId="33069" xr:uid="{1E10320F-1271-4D34-8A32-25B08D89D3AF}"/>
    <cellStyle name="Normal 15 15 2 3" xfId="49828" xr:uid="{550B0A04-0094-47C3-92DD-7692C86F74EE}"/>
    <cellStyle name="Normal 15 15 3" xfId="24689" xr:uid="{3000C21E-F8D7-47D5-A890-7BEE500A3E9A}"/>
    <cellStyle name="Normal 15 15 4" xfId="41448" xr:uid="{10176CB9-2895-46E9-B73C-8C49298ACCA6}"/>
    <cellStyle name="Normal 15 16" xfId="8335" xr:uid="{40A760AA-6C8C-4817-B082-E07C6B4D6B92}"/>
    <cellStyle name="Normal 15 16 2" xfId="16715" xr:uid="{479571AF-252F-4523-A57F-48C9C07CBF2C}"/>
    <cellStyle name="Normal 15 16 2 2" xfId="33475" xr:uid="{83DD2143-BE12-455A-AF6F-B12442589323}"/>
    <cellStyle name="Normal 15 16 2 3" xfId="50234" xr:uid="{3EF8E50C-FB67-42D8-850D-AEB7B397A9AC}"/>
    <cellStyle name="Normal 15 16 3" xfId="25095" xr:uid="{CCD8607B-5756-43F8-8D71-119F22185D18}"/>
    <cellStyle name="Normal 15 16 4" xfId="41854" xr:uid="{2597C4B5-5091-412E-9424-CD4855F6086C}"/>
    <cellStyle name="Normal 15 17" xfId="2050" xr:uid="{50C8602B-89B9-492E-93B3-2F511E44833C}"/>
    <cellStyle name="Normal 15 17 2" xfId="10438" xr:uid="{F421A72B-497C-4F77-97C4-5F16FCE6F3E6}"/>
    <cellStyle name="Normal 15 17 2 2" xfId="27198" xr:uid="{30A070A2-4B6F-4E7F-9E32-84B66B9ED38F}"/>
    <cellStyle name="Normal 15 17 2 3" xfId="43957" xr:uid="{C0A769B4-CFD4-4438-8ED9-794048369D73}"/>
    <cellStyle name="Normal 15 17 3" xfId="18818" xr:uid="{BDFD6657-D2EB-4858-BB56-959607079637}"/>
    <cellStyle name="Normal 15 17 4" xfId="35577" xr:uid="{ECC8E0E5-35AC-4134-A4B6-13DDD9B874A9}"/>
    <cellStyle name="Normal 15 18" xfId="8747" xr:uid="{28CCD7D5-C1E3-4145-8096-BFF173CD474D}"/>
    <cellStyle name="Normal 15 18 2" xfId="25507" xr:uid="{32E3824D-F012-446B-BDA6-8BB86D210397}"/>
    <cellStyle name="Normal 15 18 3" xfId="42266" xr:uid="{D95E799D-9A4B-4A72-987E-1BCD1AB411A9}"/>
    <cellStyle name="Normal 15 19" xfId="17127" xr:uid="{C111D04B-A519-4C16-A8BE-EE8DAA797713}"/>
    <cellStyle name="Normal 15 2" xfId="226" xr:uid="{37F08E28-CDB7-49C6-9CCC-59E81788E2CE}"/>
    <cellStyle name="Normal 15 2 10" xfId="7561" xr:uid="{F1855D73-6F32-4482-82EB-460CB51C3A45}"/>
    <cellStyle name="Normal 15 2 10 2" xfId="15941" xr:uid="{87D764AB-06BF-465A-95AB-FDC5850DA96A}"/>
    <cellStyle name="Normal 15 2 10 2 2" xfId="32701" xr:uid="{1DF0F043-6EA8-48A9-8F3C-7CB5554A2B79}"/>
    <cellStyle name="Normal 15 2 10 2 3" xfId="49460" xr:uid="{2E723495-B9BB-49A4-8E8B-CF1037CAE1F6}"/>
    <cellStyle name="Normal 15 2 10 3" xfId="24321" xr:uid="{E1CF9E37-CD52-47FE-A70B-D4DEC8186317}"/>
    <cellStyle name="Normal 15 2 10 4" xfId="41080" xr:uid="{9B1BD24D-0FEB-4772-AC4F-A2F1AD53BC43}"/>
    <cellStyle name="Normal 15 2 11" xfId="7967" xr:uid="{91C3B7C0-5BE7-4351-9F67-EFB1D1F97A86}"/>
    <cellStyle name="Normal 15 2 11 2" xfId="16347" xr:uid="{AD8FCFAD-EC72-490A-A6EF-4741A78AF1EB}"/>
    <cellStyle name="Normal 15 2 11 2 2" xfId="33107" xr:uid="{75D1AD09-49C2-487A-B9B8-F7CD5EF0D70C}"/>
    <cellStyle name="Normal 15 2 11 2 3" xfId="49866" xr:uid="{C204EE1F-377C-4F7A-A324-0BF6C818ACCB}"/>
    <cellStyle name="Normal 15 2 11 3" xfId="24727" xr:uid="{3887B64A-ED1D-4F90-84B0-DD76E34AAD98}"/>
    <cellStyle name="Normal 15 2 11 4" xfId="41486" xr:uid="{13F398AA-C831-4B1F-9AA5-1681BAD9744B}"/>
    <cellStyle name="Normal 15 2 12" xfId="8373" xr:uid="{EBE874E0-9332-4BBF-9A5B-B6A8FCC4CABA}"/>
    <cellStyle name="Normal 15 2 12 2" xfId="16753" xr:uid="{017B3325-924B-4C1C-8525-D0803AE00578}"/>
    <cellStyle name="Normal 15 2 12 2 2" xfId="33513" xr:uid="{D7508815-AF84-44F9-B990-41872D4E0C7D}"/>
    <cellStyle name="Normal 15 2 12 2 3" xfId="50272" xr:uid="{BC6BF713-505C-4DB5-84CB-4C1F35FCB8DB}"/>
    <cellStyle name="Normal 15 2 12 3" xfId="25133" xr:uid="{CC260C34-9CF0-4042-AAED-EFE7F2BBB283}"/>
    <cellStyle name="Normal 15 2 12 4" xfId="41892" xr:uid="{0BC6EC9D-6BD2-4326-8FE1-9AA976F3D66F}"/>
    <cellStyle name="Normal 15 2 13" xfId="2068" xr:uid="{433204F6-FE49-4490-9913-E5DB5123348C}"/>
    <cellStyle name="Normal 15 2 13 2" xfId="10456" xr:uid="{9A58C1E4-3B5E-40A3-961F-32B5D4F88438}"/>
    <cellStyle name="Normal 15 2 13 2 2" xfId="27216" xr:uid="{81EB6705-41B4-4729-9CA3-3F3A5B5C1CE0}"/>
    <cellStyle name="Normal 15 2 13 2 3" xfId="43975" xr:uid="{24B274FF-49D4-4C43-A0A2-05947441C9F1}"/>
    <cellStyle name="Normal 15 2 13 3" xfId="18836" xr:uid="{3901BC41-7413-42FF-BEB8-C6FE3A8BC58A}"/>
    <cellStyle name="Normal 15 2 13 4" xfId="35595" xr:uid="{5C79DF29-0269-46A7-BD2C-EF36BC391E38}"/>
    <cellStyle name="Normal 15 2 14" xfId="8775" xr:uid="{31FF82CD-6CDB-4541-A683-C1D11834A280}"/>
    <cellStyle name="Normal 15 2 14 2" xfId="25535" xr:uid="{44F27ACC-8AF2-459D-BECA-B1E4732B79AB}"/>
    <cellStyle name="Normal 15 2 14 3" xfId="42294" xr:uid="{C157269B-989C-494F-9A20-865AF9974157}"/>
    <cellStyle name="Normal 15 2 15" xfId="17155" xr:uid="{925CBBA0-C920-41BD-B422-7F2B0DA1A32F}"/>
    <cellStyle name="Normal 15 2 16" xfId="33914" xr:uid="{8030342A-FD8A-4AD8-B6B1-32B1E09813CC}"/>
    <cellStyle name="Normal 15 2 17" xfId="302" xr:uid="{F8C7FE1F-EA67-40CD-B823-CDDDE43819FC}"/>
    <cellStyle name="Normal 15 2 2" xfId="385" xr:uid="{D2792E8A-8859-4338-9B38-1022814F76CC}"/>
    <cellStyle name="Normal 15 2 2 10" xfId="8510" xr:uid="{4D2C7597-6279-44A7-B5CD-C91FE96A86CB}"/>
    <cellStyle name="Normal 15 2 2 10 2" xfId="16890" xr:uid="{87F6F71E-F109-4DB4-89D4-F1375FC78C39}"/>
    <cellStyle name="Normal 15 2 2 10 2 2" xfId="33650" xr:uid="{C12DD409-5363-453D-AEAE-679C6B19A995}"/>
    <cellStyle name="Normal 15 2 2 10 2 3" xfId="50409" xr:uid="{9779157A-51B9-4C23-AC88-D409F304436C}"/>
    <cellStyle name="Normal 15 2 2 10 3" xfId="25270" xr:uid="{28DFAAC0-91DB-4684-9987-DB025A6F7865}"/>
    <cellStyle name="Normal 15 2 2 10 4" xfId="42029" xr:uid="{EB8146EE-947F-4BC6-82E8-864E83A683DB}"/>
    <cellStyle name="Normal 15 2 2 11" xfId="2268" xr:uid="{B511CDCF-7DF6-4787-A830-511FD203108D}"/>
    <cellStyle name="Normal 15 2 2 11 2" xfId="10652" xr:uid="{91B75DBE-679D-4B25-846C-909E141C54EB}"/>
    <cellStyle name="Normal 15 2 2 11 2 2" xfId="27412" xr:uid="{9AF41BAD-1CCC-4C41-AC4C-186A5B4C37CF}"/>
    <cellStyle name="Normal 15 2 2 11 2 3" xfId="44171" xr:uid="{49EC2D29-1F23-4307-AC77-0AC9690E21F7}"/>
    <cellStyle name="Normal 15 2 2 11 3" xfId="19032" xr:uid="{CB8DE1F7-BAAA-4385-A4D4-3BAD1F5BCEBF}"/>
    <cellStyle name="Normal 15 2 2 11 4" xfId="35791" xr:uid="{FACAA3CC-0D9E-4756-805B-239132B34B1C}"/>
    <cellStyle name="Normal 15 2 2 12" xfId="8849" xr:uid="{5AAE1616-69E2-4AA6-8502-BE40B5F5C19C}"/>
    <cellStyle name="Normal 15 2 2 12 2" xfId="25609" xr:uid="{0EC3A7E0-B765-4933-8967-711937668FE8}"/>
    <cellStyle name="Normal 15 2 2 12 3" xfId="42368" xr:uid="{4115DDA8-681F-43A0-B929-BD019F3CAD51}"/>
    <cellStyle name="Normal 15 2 2 13" xfId="17229" xr:uid="{7B723E5C-32E7-4D4F-B789-E12431D26149}"/>
    <cellStyle name="Normal 15 2 2 14" xfId="33988" xr:uid="{9DA6DF31-DFBA-41F4-B1D2-A5B95F40741F}"/>
    <cellStyle name="Normal 15 2 2 2" xfId="880" xr:uid="{4BFB8D9A-1547-4B74-B6A1-32B0FB779E60}"/>
    <cellStyle name="Normal 15 2 2 2 2" xfId="4275" xr:uid="{FC8D15B1-16BE-43AC-9B29-7A3E69192A1F}"/>
    <cellStyle name="Normal 15 2 2 2 2 2" xfId="12655" xr:uid="{93A059AE-CB43-48F9-8EFB-8213B774DDE4}"/>
    <cellStyle name="Normal 15 2 2 2 2 2 2" xfId="29415" xr:uid="{B8109705-6265-436E-A82D-E91221065502}"/>
    <cellStyle name="Normal 15 2 2 2 2 2 3" xfId="46174" xr:uid="{0C934EE4-9804-4679-BFDC-53F5DC80C677}"/>
    <cellStyle name="Normal 15 2 2 2 2 3" xfId="21035" xr:uid="{49542C79-078D-45CD-AF62-874F6FAFFDBA}"/>
    <cellStyle name="Normal 15 2 2 2 2 4" xfId="37794" xr:uid="{393A3176-EE43-4885-A775-E353874D85CC}"/>
    <cellStyle name="Normal 15 2 2 2 3" xfId="5962" xr:uid="{73993DF3-0AE7-4E8F-A613-370AD6D42A08}"/>
    <cellStyle name="Normal 15 2 2 2 3 2" xfId="14342" xr:uid="{E1303156-FF09-4EF2-9338-1507CEDA9BF3}"/>
    <cellStyle name="Normal 15 2 2 2 3 2 2" xfId="31102" xr:uid="{EC7D393A-F3E7-4D55-B5BB-2895995D0541}"/>
    <cellStyle name="Normal 15 2 2 2 3 2 3" xfId="47861" xr:uid="{7BFE8E17-DF9B-48F1-831A-662AE9968AA0}"/>
    <cellStyle name="Normal 15 2 2 2 3 3" xfId="22722" xr:uid="{287A7B90-FF7A-4C82-8432-F661E5DC36E1}"/>
    <cellStyle name="Normal 15 2 2 2 3 4" xfId="39481" xr:uid="{C072BC7A-2353-404D-988C-9F983E38C78F}"/>
    <cellStyle name="Normal 15 2 2 2 4" xfId="2698" xr:uid="{BE2C6517-D8DD-4141-BC47-D59E65800C8E}"/>
    <cellStyle name="Normal 15 2 2 2 4 2" xfId="11078" xr:uid="{885644B9-0FF8-481D-BFDB-9B3E5BF8408E}"/>
    <cellStyle name="Normal 15 2 2 2 4 2 2" xfId="27838" xr:uid="{BD025ADF-D0A7-4F94-BFCD-3C4502D6C82E}"/>
    <cellStyle name="Normal 15 2 2 2 4 2 3" xfId="44597" xr:uid="{9C8657A2-73F8-4B09-A867-351972C26DD4}"/>
    <cellStyle name="Normal 15 2 2 2 4 3" xfId="19458" xr:uid="{B5E39E8D-F7B9-42DD-8684-B127239C9D91}"/>
    <cellStyle name="Normal 15 2 2 2 4 4" xfId="36217" xr:uid="{DF04BD0D-29DC-4216-AFF4-01EE5BF5BEEE}"/>
    <cellStyle name="Normal 15 2 2 2 5" xfId="9275" xr:uid="{FEDA7785-F7A2-4091-8C72-90C9BA2BF9C9}"/>
    <cellStyle name="Normal 15 2 2 2 5 2" xfId="26035" xr:uid="{C1338A42-674A-498A-A359-012048D7581A}"/>
    <cellStyle name="Normal 15 2 2 2 5 3" xfId="42794" xr:uid="{17266495-8B46-4E04-ABAE-A63861C03F0B}"/>
    <cellStyle name="Normal 15 2 2 2 6" xfId="17655" xr:uid="{934C6A84-902C-4221-BF2E-61C61C2E0452}"/>
    <cellStyle name="Normal 15 2 2 2 7" xfId="34414" xr:uid="{58AC8A30-6A79-4527-8A9F-9D3370445382}"/>
    <cellStyle name="Normal 15 2 2 3" xfId="1314" xr:uid="{0756DB65-BF3F-4E84-A3E6-51705A34EA3A}"/>
    <cellStyle name="Normal 15 2 2 3 2" xfId="4703" xr:uid="{BA45F2FF-2351-477E-A560-454AE958DA14}"/>
    <cellStyle name="Normal 15 2 2 3 2 2" xfId="13083" xr:uid="{1F973BAB-D943-47C4-97F7-40BB18C3022B}"/>
    <cellStyle name="Normal 15 2 2 3 2 2 2" xfId="29843" xr:uid="{065E5613-FB41-4AFD-94D2-A8446968E4D0}"/>
    <cellStyle name="Normal 15 2 2 3 2 2 3" xfId="46602" xr:uid="{C365B740-01FD-4516-9CE9-1080AB5C0558}"/>
    <cellStyle name="Normal 15 2 2 3 2 3" xfId="21463" xr:uid="{18A9FB64-2E5D-4329-85DF-8A69829A1F4E}"/>
    <cellStyle name="Normal 15 2 2 3 2 4" xfId="38222" xr:uid="{6E9DCCDE-B430-43F7-A5B1-1204C165FA7F}"/>
    <cellStyle name="Normal 15 2 2 3 3" xfId="6390" xr:uid="{4302CA9F-97D9-4252-A493-8797854358D6}"/>
    <cellStyle name="Normal 15 2 2 3 3 2" xfId="14770" xr:uid="{E227CDA6-BC7F-496D-A719-732CE8AB1178}"/>
    <cellStyle name="Normal 15 2 2 3 3 2 2" xfId="31530" xr:uid="{0CC2AA1E-C4F0-46BA-923A-4888742740A2}"/>
    <cellStyle name="Normal 15 2 2 3 3 2 3" xfId="48289" xr:uid="{7DF6AC19-E6FE-44C7-85AD-752D64F0B1BF}"/>
    <cellStyle name="Normal 15 2 2 3 3 3" xfId="23150" xr:uid="{32DD5087-8932-44C4-9110-FB1BC8493FCC}"/>
    <cellStyle name="Normal 15 2 2 3 3 4" xfId="39909" xr:uid="{34A1D866-36C8-4C90-9E32-73568031D2E2}"/>
    <cellStyle name="Normal 15 2 2 3 4" xfId="3126" xr:uid="{0817FC88-5863-433D-B69E-33D21FB66B5F}"/>
    <cellStyle name="Normal 15 2 2 3 4 2" xfId="11506" xr:uid="{AAC5BC8F-DD8D-4499-BFC5-E28DCC04EE7C}"/>
    <cellStyle name="Normal 15 2 2 3 4 2 2" xfId="28266" xr:uid="{654EFFD6-738F-42C0-823F-8250EAD6B535}"/>
    <cellStyle name="Normal 15 2 2 3 4 2 3" xfId="45025" xr:uid="{46C4E950-41D7-42FA-9407-4AD3079008CB}"/>
    <cellStyle name="Normal 15 2 2 3 4 3" xfId="19886" xr:uid="{CB57CC0E-12CB-43A7-A9DC-8D85025E4E8F}"/>
    <cellStyle name="Normal 15 2 2 3 4 4" xfId="36645" xr:uid="{94B0F09B-2DDE-4204-A641-7967E41D0F4A}"/>
    <cellStyle name="Normal 15 2 2 3 5" xfId="9703" xr:uid="{2B8FE0EE-E086-4A8B-A524-EEAAE047278D}"/>
    <cellStyle name="Normal 15 2 2 3 5 2" xfId="26463" xr:uid="{60459564-E46D-4352-A845-57A1099D0DD0}"/>
    <cellStyle name="Normal 15 2 2 3 5 3" xfId="43222" xr:uid="{BDBE18D3-1901-44C3-871C-8A18B6B331E7}"/>
    <cellStyle name="Normal 15 2 2 3 6" xfId="18083" xr:uid="{F1BAFB8F-CAF9-47AA-A6BF-696B51D9ACAE}"/>
    <cellStyle name="Normal 15 2 2 3 7" xfId="34842" xr:uid="{8A498C01-A9C7-4A2A-8DC0-5F9D86C46CF9}"/>
    <cellStyle name="Normal 15 2 2 4" xfId="1810" xr:uid="{5EAB0D44-C7A7-4C02-950F-1CC964001388}"/>
    <cellStyle name="Normal 15 2 2 4 2" xfId="5199" xr:uid="{215581A5-A1F7-4473-BD56-B9293C7CF75D}"/>
    <cellStyle name="Normal 15 2 2 4 2 2" xfId="13579" xr:uid="{908CE080-F339-4210-B603-7A256A70D952}"/>
    <cellStyle name="Normal 15 2 2 4 2 2 2" xfId="30339" xr:uid="{363B1E03-4555-44F2-8319-2145ADEAABA5}"/>
    <cellStyle name="Normal 15 2 2 4 2 2 3" xfId="47098" xr:uid="{6D601DF8-A213-4AB1-85F0-0D5682CFC11C}"/>
    <cellStyle name="Normal 15 2 2 4 2 3" xfId="21959" xr:uid="{F24937BC-0267-4F5F-8CFC-F227F8D2AEA2}"/>
    <cellStyle name="Normal 15 2 2 4 2 4" xfId="38718" xr:uid="{276444CC-8AE2-4A79-9AE8-BDB07F168768}"/>
    <cellStyle name="Normal 15 2 2 4 3" xfId="6886" xr:uid="{12D9CB4D-4B4C-4A48-9E0F-E8C8C26E8BA8}"/>
    <cellStyle name="Normal 15 2 2 4 3 2" xfId="15266" xr:uid="{8B816774-AE96-4A96-9CEC-D3383834BBCA}"/>
    <cellStyle name="Normal 15 2 2 4 3 2 2" xfId="32026" xr:uid="{F0152F37-A915-41F0-8E5C-115EEA5019CE}"/>
    <cellStyle name="Normal 15 2 2 4 3 2 3" xfId="48785" xr:uid="{844D4388-B7D4-4C6A-8503-B33789EF0094}"/>
    <cellStyle name="Normal 15 2 2 4 3 3" xfId="23646" xr:uid="{B2431CFB-6017-4E61-AC44-160725D78B79}"/>
    <cellStyle name="Normal 15 2 2 4 3 4" xfId="40405" xr:uid="{A280FFE6-A222-4F75-A8B7-9AE82A9179CB}"/>
    <cellStyle name="Normal 15 2 2 4 4" xfId="3510" xr:uid="{10155302-6B14-4E8D-84CC-9A23A1E97E38}"/>
    <cellStyle name="Normal 15 2 2 4 4 2" xfId="11890" xr:uid="{474E09EE-F3E7-47CA-92B5-2557DE39999E}"/>
    <cellStyle name="Normal 15 2 2 4 4 2 2" xfId="28650" xr:uid="{1351D015-1A8C-4CB2-A18D-599E5AAA5753}"/>
    <cellStyle name="Normal 15 2 2 4 4 2 3" xfId="45409" xr:uid="{A19717A0-8C27-4ADA-85FA-04DD838095C6}"/>
    <cellStyle name="Normal 15 2 2 4 4 3" xfId="20270" xr:uid="{9995BDA0-D863-4D2E-818E-8FE97541E6AA}"/>
    <cellStyle name="Normal 15 2 2 4 4 4" xfId="37029" xr:uid="{251440AA-A066-443A-8A6F-6FFEB73B3BC1}"/>
    <cellStyle name="Normal 15 2 2 4 5" xfId="10199" xr:uid="{841106FE-97DC-4D17-AF96-E6EC4A9E3153}"/>
    <cellStyle name="Normal 15 2 2 4 5 2" xfId="26959" xr:uid="{51D9C8E1-C958-423B-9555-0E2DF747A666}"/>
    <cellStyle name="Normal 15 2 2 4 5 3" xfId="43718" xr:uid="{BB2486EE-C8F0-40A1-879C-86CB10F0CB20}"/>
    <cellStyle name="Normal 15 2 2 4 6" xfId="18579" xr:uid="{BD660DFE-7060-4E12-B1AB-914F2B91150B}"/>
    <cellStyle name="Normal 15 2 2 4 7" xfId="35338" xr:uid="{ECC6AAED-D3C8-4C7A-A24D-171EAB8DCCC1}"/>
    <cellStyle name="Normal 15 2 2 5" xfId="3929" xr:uid="{AB0E50A2-AA31-407A-8AA5-BB8C84ED00D8}"/>
    <cellStyle name="Normal 15 2 2 5 2" xfId="12309" xr:uid="{11F02170-EB0C-497D-B02F-18D929029A91}"/>
    <cellStyle name="Normal 15 2 2 5 2 2" xfId="29069" xr:uid="{F91639EE-41E2-4598-B3A9-857FB33FA5A9}"/>
    <cellStyle name="Normal 15 2 2 5 2 3" xfId="45828" xr:uid="{EF1E296C-97C8-46ED-8A5B-9313177C4907}"/>
    <cellStyle name="Normal 15 2 2 5 3" xfId="20689" xr:uid="{805CEFDF-BBA7-47DE-A1B4-952CC4FA641B}"/>
    <cellStyle name="Normal 15 2 2 5 4" xfId="37448" xr:uid="{4E3B059D-5C58-40B0-BE90-640EAACEE591}"/>
    <cellStyle name="Normal 15 2 2 6" xfId="5536" xr:uid="{916E2623-C1B6-4AAA-B2C3-16A5CC5EEA46}"/>
    <cellStyle name="Normal 15 2 2 6 2" xfId="13916" xr:uid="{0A28D1BA-A3CA-4EE5-96E7-59EC475F74E7}"/>
    <cellStyle name="Normal 15 2 2 6 2 2" xfId="30676" xr:uid="{5AA1EF5E-B66D-41CB-9B09-616910D7BB11}"/>
    <cellStyle name="Normal 15 2 2 6 2 3" xfId="47435" xr:uid="{FF5AD20D-57B8-4E20-B0AB-8E9FE9898DF2}"/>
    <cellStyle name="Normal 15 2 2 6 3" xfId="22296" xr:uid="{7F51499D-A223-475A-97DF-235F38D0822E}"/>
    <cellStyle name="Normal 15 2 2 6 4" xfId="39055" xr:uid="{F47A76AC-BFDD-4FA5-BAE4-84E744AA72C0}"/>
    <cellStyle name="Normal 15 2 2 7" xfId="7292" xr:uid="{8BC54063-7D58-40BD-88A2-5F0DC9991904}"/>
    <cellStyle name="Normal 15 2 2 7 2" xfId="15672" xr:uid="{D29DD708-C848-4FB8-9E90-C352E358BA50}"/>
    <cellStyle name="Normal 15 2 2 7 2 2" xfId="32432" xr:uid="{F2507391-C192-4A66-A1AB-1CD98A526244}"/>
    <cellStyle name="Normal 15 2 2 7 2 3" xfId="49191" xr:uid="{3C98E175-4BB8-4C6C-921C-04E2934516DB}"/>
    <cellStyle name="Normal 15 2 2 7 3" xfId="24052" xr:uid="{A339FC65-A3BE-4507-8BBA-DC25495C718A}"/>
    <cellStyle name="Normal 15 2 2 7 4" xfId="40811" xr:uid="{DF37470B-825E-4BFA-983F-A4D1A3A0BB14}"/>
    <cellStyle name="Normal 15 2 2 8" xfId="7698" xr:uid="{9CB0A051-EB0E-4465-B1C2-4CFEE2A8FC52}"/>
    <cellStyle name="Normal 15 2 2 8 2" xfId="16078" xr:uid="{F80DE69D-7C1A-45DE-8C4E-68F8F839390A}"/>
    <cellStyle name="Normal 15 2 2 8 2 2" xfId="32838" xr:uid="{2D060996-5C76-4DCB-B78D-04DAEE05C6CB}"/>
    <cellStyle name="Normal 15 2 2 8 2 3" xfId="49597" xr:uid="{0C7C0534-CDC9-4D25-9334-0725B54763B7}"/>
    <cellStyle name="Normal 15 2 2 8 3" xfId="24458" xr:uid="{EA8E3E74-7B6B-4B11-8740-A890D52E161E}"/>
    <cellStyle name="Normal 15 2 2 8 4" xfId="41217" xr:uid="{B7DA1D42-D29B-48D2-80B3-348BC92DE95B}"/>
    <cellStyle name="Normal 15 2 2 9" xfId="8104" xr:uid="{8A98320E-5F48-4B24-889E-CA841A5716DA}"/>
    <cellStyle name="Normal 15 2 2 9 2" xfId="16484" xr:uid="{DAD3A57A-3F08-46BC-871F-5933B680A412}"/>
    <cellStyle name="Normal 15 2 2 9 2 2" xfId="33244" xr:uid="{54F7A55A-0E8B-4997-AA3A-A3F34B1A06A3}"/>
    <cellStyle name="Normal 15 2 2 9 2 3" xfId="50003" xr:uid="{5DCEB747-630B-4000-80E3-278FA8CAB0DF}"/>
    <cellStyle name="Normal 15 2 2 9 3" xfId="24864" xr:uid="{15C08AFE-C2BA-4574-A618-2437A22BDF29}"/>
    <cellStyle name="Normal 15 2 2 9 4" xfId="41623" xr:uid="{3BFB1EE3-8F8F-4DEF-BC08-0A87B626868B}"/>
    <cellStyle name="Normal 15 2 3" xfId="563" xr:uid="{E44A131C-2CFF-4FF2-A6C7-6584434142AD}"/>
    <cellStyle name="Normal 15 2 3 10" xfId="8644" xr:uid="{F05DBA84-5B46-45F2-B95D-BB93F4B9758F}"/>
    <cellStyle name="Normal 15 2 3 10 2" xfId="17024" xr:uid="{407FCF22-5021-4383-B74C-4672024BB40D}"/>
    <cellStyle name="Normal 15 2 3 10 2 2" xfId="33784" xr:uid="{E10CD9F3-3698-4CAB-A316-FC8238D18FB8}"/>
    <cellStyle name="Normal 15 2 3 10 2 3" xfId="50543" xr:uid="{CF957257-0FFA-457E-A9C8-8B724CB4C9AF}"/>
    <cellStyle name="Normal 15 2 3 10 3" xfId="25404" xr:uid="{F1DB24A4-D0B1-403F-B4B7-EF91250CF542}"/>
    <cellStyle name="Normal 15 2 3 10 4" xfId="42163" xr:uid="{95CFA94B-B8AE-4598-9F76-28ECD5AC2B51}"/>
    <cellStyle name="Normal 15 2 3 11" xfId="2395" xr:uid="{1FA434C9-6F08-4837-8AE7-E74BD9CB9A54}"/>
    <cellStyle name="Normal 15 2 3 11 2" xfId="10777" xr:uid="{5C3D7B22-D479-4D3B-899C-48287FEE212A}"/>
    <cellStyle name="Normal 15 2 3 11 2 2" xfId="27537" xr:uid="{BEF4BB9B-2446-4B8E-861A-B5F403F087F0}"/>
    <cellStyle name="Normal 15 2 3 11 2 3" xfId="44296" xr:uid="{F72763F5-0D13-4BB9-9481-542CD274E941}"/>
    <cellStyle name="Normal 15 2 3 11 3" xfId="19157" xr:uid="{9E621693-BC4E-486F-9B07-0F8659587ECC}"/>
    <cellStyle name="Normal 15 2 3 11 4" xfId="35916" xr:uid="{BC5BA0FD-6F51-46D5-8FA7-8C8B93E29F83}"/>
    <cellStyle name="Normal 15 2 3 12" xfId="8974" xr:uid="{6C6C6865-F8B1-451C-ACBA-82396FE9704B}"/>
    <cellStyle name="Normal 15 2 3 12 2" xfId="25734" xr:uid="{830FBD60-C23D-4119-9556-38632386B359}"/>
    <cellStyle name="Normal 15 2 3 12 3" xfId="42493" xr:uid="{4C723778-B563-4A80-8BE7-2E38BD9A850B}"/>
    <cellStyle name="Normal 15 2 3 13" xfId="17354" xr:uid="{FCFB3610-CFCE-430E-8CF4-6AF1ED86776F}"/>
    <cellStyle name="Normal 15 2 3 14" xfId="34113" xr:uid="{10198C3E-E36D-4F0E-A852-DA431F353A6A}"/>
    <cellStyle name="Normal 15 2 3 2" xfId="1005" xr:uid="{C1B028A2-6123-4503-97CC-1C1537CCD141}"/>
    <cellStyle name="Normal 15 2 3 2 2" xfId="4400" xr:uid="{B265A3DA-53AA-4290-9B2E-C08BBDCD5CAA}"/>
    <cellStyle name="Normal 15 2 3 2 2 2" xfId="12780" xr:uid="{C98A258E-A71C-46EF-98DF-4667D4041531}"/>
    <cellStyle name="Normal 15 2 3 2 2 2 2" xfId="29540" xr:uid="{F0EABC74-58D0-4FD9-A959-66AC8FBBC6F3}"/>
    <cellStyle name="Normal 15 2 3 2 2 2 3" xfId="46299" xr:uid="{E59ACC0E-A37D-44BF-9D78-2EAAFAEDC035}"/>
    <cellStyle name="Normal 15 2 3 2 2 3" xfId="21160" xr:uid="{B270929B-7337-4B05-AE2A-B5237724D547}"/>
    <cellStyle name="Normal 15 2 3 2 2 4" xfId="37919" xr:uid="{0923BE96-91B9-4441-BEB2-E2FF8FA3AAF7}"/>
    <cellStyle name="Normal 15 2 3 2 3" xfId="6087" xr:uid="{53F984CF-35E5-4C4F-9F1C-6EF347E1E96A}"/>
    <cellStyle name="Normal 15 2 3 2 3 2" xfId="14467" xr:uid="{1B910E2C-F5F3-4960-B9C8-A8EDDD598CCC}"/>
    <cellStyle name="Normal 15 2 3 2 3 2 2" xfId="31227" xr:uid="{725DACD2-F713-4D42-8E38-52EC00E50232}"/>
    <cellStyle name="Normal 15 2 3 2 3 2 3" xfId="47986" xr:uid="{84F9CBF6-54D4-4DD6-B8E7-DB26BFDF59DE}"/>
    <cellStyle name="Normal 15 2 3 2 3 3" xfId="22847" xr:uid="{A4938FE4-0BB9-4782-8B78-582F194E4DD0}"/>
    <cellStyle name="Normal 15 2 3 2 3 4" xfId="39606" xr:uid="{D825AE15-01FE-4880-BD53-35E93B2286B1}"/>
    <cellStyle name="Normal 15 2 3 2 4" xfId="2823" xr:uid="{635EB1D4-A861-4A0F-826E-905F01522EC2}"/>
    <cellStyle name="Normal 15 2 3 2 4 2" xfId="11203" xr:uid="{C8DD2B9A-4454-41FC-8F24-F9F2FC55BF80}"/>
    <cellStyle name="Normal 15 2 3 2 4 2 2" xfId="27963" xr:uid="{26C8F6D5-98B1-4665-91F6-5F6C96960AA7}"/>
    <cellStyle name="Normal 15 2 3 2 4 2 3" xfId="44722" xr:uid="{827124E2-975D-48A0-8A88-FB46503E56DE}"/>
    <cellStyle name="Normal 15 2 3 2 4 3" xfId="19583" xr:uid="{A3EFAA87-15E7-49FB-8B4D-9DF46688AC8D}"/>
    <cellStyle name="Normal 15 2 3 2 4 4" xfId="36342" xr:uid="{08F07F6E-2A32-43D5-ACE0-1A5B8CEF2D40}"/>
    <cellStyle name="Normal 15 2 3 2 5" xfId="9400" xr:uid="{864899E9-9D72-4C45-8CE3-54C3220752BB}"/>
    <cellStyle name="Normal 15 2 3 2 5 2" xfId="26160" xr:uid="{B7F00EAA-8886-45F0-A7C4-32927A7C838E}"/>
    <cellStyle name="Normal 15 2 3 2 5 3" xfId="42919" xr:uid="{BD0A457D-CBE2-421D-9208-FB751F9F7A5A}"/>
    <cellStyle name="Normal 15 2 3 2 6" xfId="17780" xr:uid="{3E48782D-747E-4B5B-8E0F-CDD22BE002E0}"/>
    <cellStyle name="Normal 15 2 3 2 7" xfId="34539" xr:uid="{B8C58D0E-3FED-4E43-AC7A-376A0F27F59A}"/>
    <cellStyle name="Normal 15 2 3 3" xfId="1439" xr:uid="{525481DD-C400-49AE-8A55-0E5FBB32D37E}"/>
    <cellStyle name="Normal 15 2 3 3 2" xfId="4828" xr:uid="{7C5D2133-730C-493A-B0A2-EF1C18D38D46}"/>
    <cellStyle name="Normal 15 2 3 3 2 2" xfId="13208" xr:uid="{1D023931-FD59-482F-92EC-391B6264619C}"/>
    <cellStyle name="Normal 15 2 3 3 2 2 2" xfId="29968" xr:uid="{BF577ED9-990B-4762-BF2D-21C103002BF0}"/>
    <cellStyle name="Normal 15 2 3 3 2 2 3" xfId="46727" xr:uid="{C9B4ECC2-2E85-4E76-94EB-CDC778B01A7C}"/>
    <cellStyle name="Normal 15 2 3 3 2 3" xfId="21588" xr:uid="{F963DA7F-07E7-4FE8-996B-967E71D2BAA7}"/>
    <cellStyle name="Normal 15 2 3 3 2 4" xfId="38347" xr:uid="{DD4631C2-7698-4744-8AA6-21304368B7B9}"/>
    <cellStyle name="Normal 15 2 3 3 3" xfId="6515" xr:uid="{201C6B4C-7134-438D-8C9E-37E39063F259}"/>
    <cellStyle name="Normal 15 2 3 3 3 2" xfId="14895" xr:uid="{A13F6EC8-C26C-4D7C-AB00-14BCD94462AE}"/>
    <cellStyle name="Normal 15 2 3 3 3 2 2" xfId="31655" xr:uid="{F63B7DF6-0477-4A2E-91D5-67BC0570DA8A}"/>
    <cellStyle name="Normal 15 2 3 3 3 2 3" xfId="48414" xr:uid="{2401743E-DF04-456D-A5BC-1377A7383461}"/>
    <cellStyle name="Normal 15 2 3 3 3 3" xfId="23275" xr:uid="{11E6C41D-C819-4AE1-B841-939A27A8C79F}"/>
    <cellStyle name="Normal 15 2 3 3 3 4" xfId="40034" xr:uid="{92986E2C-AC39-4DBF-B0C3-B3C922EC7D94}"/>
    <cellStyle name="Normal 15 2 3 3 4" xfId="3251" xr:uid="{449B71B1-0F77-4BD6-A142-CD85C64BCA0C}"/>
    <cellStyle name="Normal 15 2 3 3 4 2" xfId="11631" xr:uid="{7E7FF6BF-B2F0-4B29-AC79-ABCBB5CDFBE8}"/>
    <cellStyle name="Normal 15 2 3 3 4 2 2" xfId="28391" xr:uid="{69874C3F-CD28-49B9-AFBA-337FA8B03ACC}"/>
    <cellStyle name="Normal 15 2 3 3 4 2 3" xfId="45150" xr:uid="{F413A8A4-0BCB-4E9C-8E2B-57AE6E1C24C2}"/>
    <cellStyle name="Normal 15 2 3 3 4 3" xfId="20011" xr:uid="{5CDF5788-F05B-4314-B6F0-AD9E467936C2}"/>
    <cellStyle name="Normal 15 2 3 3 4 4" xfId="36770" xr:uid="{88AAFFDA-C4B3-42AA-8855-51DEA41D8613}"/>
    <cellStyle name="Normal 15 2 3 3 5" xfId="9828" xr:uid="{082BA16E-493D-4B08-9AE8-2A0DDF846969}"/>
    <cellStyle name="Normal 15 2 3 3 5 2" xfId="26588" xr:uid="{92C12DE7-084D-4326-811E-4E3EDD4C8CD7}"/>
    <cellStyle name="Normal 15 2 3 3 5 3" xfId="43347" xr:uid="{D746B800-5098-4485-B341-57DB40996CDA}"/>
    <cellStyle name="Normal 15 2 3 3 6" xfId="18208" xr:uid="{F2BCB147-6D85-445E-B6EF-80FE1C53A98C}"/>
    <cellStyle name="Normal 15 2 3 3 7" xfId="34967" xr:uid="{E14667F4-505D-4FCA-A979-3B20B6A4A344}"/>
    <cellStyle name="Normal 15 2 3 4" xfId="1944" xr:uid="{4524AFD7-F86B-4430-B882-2367391FC709}"/>
    <cellStyle name="Normal 15 2 3 4 2" xfId="5333" xr:uid="{8BD6179E-FF5B-4B27-BB44-C5833C240178}"/>
    <cellStyle name="Normal 15 2 3 4 2 2" xfId="13713" xr:uid="{5A51609D-43A5-4BF7-BBD2-3993AE04B733}"/>
    <cellStyle name="Normal 15 2 3 4 2 2 2" xfId="30473" xr:uid="{C9813962-80E4-4CBE-AA77-B48930CDDFD9}"/>
    <cellStyle name="Normal 15 2 3 4 2 2 3" xfId="47232" xr:uid="{5C5CE11A-6BE2-4C22-B493-C553B97D0A22}"/>
    <cellStyle name="Normal 15 2 3 4 2 3" xfId="22093" xr:uid="{84D95A87-B9F7-4C29-9B6C-09CFCF50982C}"/>
    <cellStyle name="Normal 15 2 3 4 2 4" xfId="38852" xr:uid="{1015F0F8-7AD0-4F24-87F6-5958EB5DEE79}"/>
    <cellStyle name="Normal 15 2 3 4 3" xfId="7020" xr:uid="{4C786B57-A4B6-4A7C-AA19-F7AEF9ED7424}"/>
    <cellStyle name="Normal 15 2 3 4 3 2" xfId="15400" xr:uid="{5FF3F15C-6FB8-4637-A1F8-DF6648B4072A}"/>
    <cellStyle name="Normal 15 2 3 4 3 2 2" xfId="32160" xr:uid="{29724419-6370-4401-AC49-43D44264960E}"/>
    <cellStyle name="Normal 15 2 3 4 3 2 3" xfId="48919" xr:uid="{6FF20824-7BCB-40BF-87DF-EFE6DD8E978B}"/>
    <cellStyle name="Normal 15 2 3 4 3 3" xfId="23780" xr:uid="{95ADDF8A-42BA-42C3-929B-15783920EA7C}"/>
    <cellStyle name="Normal 15 2 3 4 3 4" xfId="40539" xr:uid="{643C07D0-EC6A-4100-ACD0-BC31F920D834}"/>
    <cellStyle name="Normal 15 2 3 4 4" xfId="3643" xr:uid="{ADCDAF38-5CFF-4923-A00F-BFB3F37843FB}"/>
    <cellStyle name="Normal 15 2 3 4 4 2" xfId="12023" xr:uid="{1C0E151A-8917-4A05-8B1E-3BAB4D5CAC71}"/>
    <cellStyle name="Normal 15 2 3 4 4 2 2" xfId="28783" xr:uid="{D5B84CEA-C0AA-4BCD-9F0E-74C7FDF13DF8}"/>
    <cellStyle name="Normal 15 2 3 4 4 2 3" xfId="45542" xr:uid="{980745E0-490E-45A2-831B-29FD0E2F1AA7}"/>
    <cellStyle name="Normal 15 2 3 4 4 3" xfId="20403" xr:uid="{5E473D04-4B9F-4AE6-8F40-587E3E160596}"/>
    <cellStyle name="Normal 15 2 3 4 4 4" xfId="37162" xr:uid="{8AEB4C0E-DA5E-45BD-9E14-8F41CA3242B7}"/>
    <cellStyle name="Normal 15 2 3 4 5" xfId="10333" xr:uid="{77416231-E940-4A14-BA4F-C18897037967}"/>
    <cellStyle name="Normal 15 2 3 4 5 2" xfId="27093" xr:uid="{540C4E60-2B78-46EB-8495-FF37AE080A2B}"/>
    <cellStyle name="Normal 15 2 3 4 5 3" xfId="43852" xr:uid="{1E59F8EB-4665-463C-8110-231B3DEBDE05}"/>
    <cellStyle name="Normal 15 2 3 4 6" xfId="18713" xr:uid="{0F8E4AF1-1A42-4596-A7A3-7EE6A0CDB2F2}"/>
    <cellStyle name="Normal 15 2 3 4 7" xfId="35472" xr:uid="{B0F2A5C4-079B-4632-BF77-7AA460275B38}"/>
    <cellStyle name="Normal 15 2 3 5" xfId="4063" xr:uid="{BC9CA1C3-5055-49C9-A794-3553CDF0C1BC}"/>
    <cellStyle name="Normal 15 2 3 5 2" xfId="12443" xr:uid="{478E51A6-490E-4256-B5A2-64018B38F197}"/>
    <cellStyle name="Normal 15 2 3 5 2 2" xfId="29203" xr:uid="{13FB46E7-FBCB-44D8-8BC1-0F50CA9D5C96}"/>
    <cellStyle name="Normal 15 2 3 5 2 3" xfId="45962" xr:uid="{DDDB577D-11CA-41E2-9622-BD8CC3247249}"/>
    <cellStyle name="Normal 15 2 3 5 3" xfId="20823" xr:uid="{039D5971-5BF6-4BD7-A383-AD9A4F513998}"/>
    <cellStyle name="Normal 15 2 3 5 4" xfId="37582" xr:uid="{A81DC9C7-701E-40F0-B3DD-60020EADB605}"/>
    <cellStyle name="Normal 15 2 3 6" xfId="5661" xr:uid="{87190DF9-463A-4E66-AB4C-778BE4382AAF}"/>
    <cellStyle name="Normal 15 2 3 6 2" xfId="14041" xr:uid="{1D8FEFFF-86D0-4321-B0C0-C2921A060B90}"/>
    <cellStyle name="Normal 15 2 3 6 2 2" xfId="30801" xr:uid="{930A3E5A-FF08-4FDC-A3E4-DA1612AB5019}"/>
    <cellStyle name="Normal 15 2 3 6 2 3" xfId="47560" xr:uid="{9AAE82F8-669D-44B8-A6D4-D12F69D236AA}"/>
    <cellStyle name="Normal 15 2 3 6 3" xfId="22421" xr:uid="{F6C617D2-83CE-4F8F-8850-C9A7947E5F96}"/>
    <cellStyle name="Normal 15 2 3 6 4" xfId="39180" xr:uid="{24CA33F4-9E9B-47C0-9687-381B518C971D}"/>
    <cellStyle name="Normal 15 2 3 7" xfId="7426" xr:uid="{09B0B8A3-1144-401C-8FB4-C3624A97FF30}"/>
    <cellStyle name="Normal 15 2 3 7 2" xfId="15806" xr:uid="{6480CE77-F58E-42BE-B33D-E109DA01CA9F}"/>
    <cellStyle name="Normal 15 2 3 7 2 2" xfId="32566" xr:uid="{7693CC45-D03F-47B9-9B18-1D2CBA3025E8}"/>
    <cellStyle name="Normal 15 2 3 7 2 3" xfId="49325" xr:uid="{4CEB2C13-44F8-4780-AE8B-A3411D7E4D34}"/>
    <cellStyle name="Normal 15 2 3 7 3" xfId="24186" xr:uid="{A90AE3C9-5FC6-471D-9F1E-F5B65B644433}"/>
    <cellStyle name="Normal 15 2 3 7 4" xfId="40945" xr:uid="{C0715B8D-8A08-4782-B5D7-D0B0B5EC2C42}"/>
    <cellStyle name="Normal 15 2 3 8" xfId="7832" xr:uid="{E7340E2C-A976-4690-B72F-E4A44D096DFB}"/>
    <cellStyle name="Normal 15 2 3 8 2" xfId="16212" xr:uid="{F2AB1935-B89F-474F-A6CD-28711AAA7881}"/>
    <cellStyle name="Normal 15 2 3 8 2 2" xfId="32972" xr:uid="{A7A661F0-4CAF-4033-AADE-BFDE6386D9BC}"/>
    <cellStyle name="Normal 15 2 3 8 2 3" xfId="49731" xr:uid="{9EAEE7B5-349F-489F-972F-39DEC9125EE5}"/>
    <cellStyle name="Normal 15 2 3 8 3" xfId="24592" xr:uid="{13F32309-C578-4D56-A5F2-4A0C7C9F3B2F}"/>
    <cellStyle name="Normal 15 2 3 8 4" xfId="41351" xr:uid="{1150308B-FE12-45D9-95B1-84A57E871012}"/>
    <cellStyle name="Normal 15 2 3 9" xfId="8238" xr:uid="{3932E551-9CCF-40B9-8AA6-B7BD3CECEC3E}"/>
    <cellStyle name="Normal 15 2 3 9 2" xfId="16618" xr:uid="{DFB22B84-4C25-484D-9C79-3192C33DED2B}"/>
    <cellStyle name="Normal 15 2 3 9 2 2" xfId="33378" xr:uid="{1B95E98C-7509-4EFB-B9CF-EA8F68758FA0}"/>
    <cellStyle name="Normal 15 2 3 9 2 3" xfId="50137" xr:uid="{B898FA0D-96D2-4C45-B06B-EB1936FAA28C}"/>
    <cellStyle name="Normal 15 2 3 9 3" xfId="24998" xr:uid="{FA51A8EA-DEAD-497D-A766-04DCB3531D24}"/>
    <cellStyle name="Normal 15 2 3 9 4" xfId="41757" xr:uid="{75C37391-8178-42C8-9251-52485DF132EF}"/>
    <cellStyle name="Normal 15 2 4" xfId="806" xr:uid="{2D7E8566-ED43-4316-984C-50FAE62E8A8B}"/>
    <cellStyle name="Normal 15 2 4 2" xfId="4201" xr:uid="{0A49F0AF-A5E7-4A28-ABBC-EA15F47F87C4}"/>
    <cellStyle name="Normal 15 2 4 2 2" xfId="12581" xr:uid="{C797B421-1909-45C2-B8F5-06F174A09658}"/>
    <cellStyle name="Normal 15 2 4 2 2 2" xfId="29341" xr:uid="{F5CA5FD3-DF47-445E-A986-49D98217DEC3}"/>
    <cellStyle name="Normal 15 2 4 2 2 3" xfId="46100" xr:uid="{67E23E63-80C6-45D3-B019-ACB4CCAFACAC}"/>
    <cellStyle name="Normal 15 2 4 2 3" xfId="20961" xr:uid="{CDB74E8B-F219-4404-8F32-14DBB5A7A310}"/>
    <cellStyle name="Normal 15 2 4 2 4" xfId="37720" xr:uid="{037F4432-1F25-4D21-A1CD-8FE21B30E293}"/>
    <cellStyle name="Normal 15 2 4 3" xfId="5888" xr:uid="{72516677-8E8F-461B-B926-CA1D1062DCB9}"/>
    <cellStyle name="Normal 15 2 4 3 2" xfId="14268" xr:uid="{CA86A9AC-FEB7-4907-B48B-67F71426CDEB}"/>
    <cellStyle name="Normal 15 2 4 3 2 2" xfId="31028" xr:uid="{9EC1A8F5-AD76-4E50-9B8C-A6418CA56450}"/>
    <cellStyle name="Normal 15 2 4 3 2 3" xfId="47787" xr:uid="{B96E90DE-C2A3-49D9-B8E8-C7EE389D58D7}"/>
    <cellStyle name="Normal 15 2 4 3 3" xfId="22648" xr:uid="{52156B27-7DEE-4032-ACC0-FDF15C667B79}"/>
    <cellStyle name="Normal 15 2 4 3 4" xfId="39407" xr:uid="{F4785FF3-1395-4F5D-87AB-2C681314B952}"/>
    <cellStyle name="Normal 15 2 4 4" xfId="2624" xr:uid="{4A88912E-120F-4191-8A54-38D371BCA685}"/>
    <cellStyle name="Normal 15 2 4 4 2" xfId="11004" xr:uid="{F38578A0-68A4-426B-98DC-86D785EA80AB}"/>
    <cellStyle name="Normal 15 2 4 4 2 2" xfId="27764" xr:uid="{19E47142-1A85-45EC-AA5B-1A51407C16F5}"/>
    <cellStyle name="Normal 15 2 4 4 2 3" xfId="44523" xr:uid="{3F8BE0A1-5273-4496-9B93-6E6974B5ADC8}"/>
    <cellStyle name="Normal 15 2 4 4 3" xfId="19384" xr:uid="{45750A5A-F659-4EA2-91EA-D2517201CD61}"/>
    <cellStyle name="Normal 15 2 4 4 4" xfId="36143" xr:uid="{2D1CF400-FFFE-4733-951B-5594580035F8}"/>
    <cellStyle name="Normal 15 2 4 5" xfId="9201" xr:uid="{28FDA5BC-4460-4BCF-B271-A20548D85281}"/>
    <cellStyle name="Normal 15 2 4 5 2" xfId="25961" xr:uid="{9454EEF0-F85C-4A46-9DC4-ECB219D3F289}"/>
    <cellStyle name="Normal 15 2 4 5 3" xfId="42720" xr:uid="{4598A861-89FF-4CC1-A172-AFA11EB2152B}"/>
    <cellStyle name="Normal 15 2 4 6" xfId="17581" xr:uid="{23FCB089-7AA3-49F2-BA0F-09EB92FC8D69}"/>
    <cellStyle name="Normal 15 2 4 7" xfId="34340" xr:uid="{10CDCFA8-D75E-4296-B097-3BF309CADEB6}"/>
    <cellStyle name="Normal 15 2 5" xfId="1240" xr:uid="{4342B42D-EF60-4E04-B563-532B111C8965}"/>
    <cellStyle name="Normal 15 2 5 2" xfId="4629" xr:uid="{B4BCB1BC-821D-4DC2-A23E-43ACC96A39E0}"/>
    <cellStyle name="Normal 15 2 5 2 2" xfId="13009" xr:uid="{D0AC92B8-FD11-4CE6-A011-D8E1DB2BE1EC}"/>
    <cellStyle name="Normal 15 2 5 2 2 2" xfId="29769" xr:uid="{2EF22D23-15C3-48CA-A752-6E1FE8EE6588}"/>
    <cellStyle name="Normal 15 2 5 2 2 3" xfId="46528" xr:uid="{CD5D0080-3D0A-481E-87CB-80D50CA3EE36}"/>
    <cellStyle name="Normal 15 2 5 2 3" xfId="21389" xr:uid="{6017F83E-80E8-4D50-8E4C-F52627BAF49F}"/>
    <cellStyle name="Normal 15 2 5 2 4" xfId="38148" xr:uid="{F40A8235-0421-48D4-B342-9F6E8D14FDAD}"/>
    <cellStyle name="Normal 15 2 5 3" xfId="6316" xr:uid="{5F99745D-349C-4EA4-ACB8-2C744AFE3538}"/>
    <cellStyle name="Normal 15 2 5 3 2" xfId="14696" xr:uid="{8C8D1961-9918-49C8-9B5D-B4DFAB128728}"/>
    <cellStyle name="Normal 15 2 5 3 2 2" xfId="31456" xr:uid="{35643149-DC3B-4678-B3AD-03E17EE2BA17}"/>
    <cellStyle name="Normal 15 2 5 3 2 3" xfId="48215" xr:uid="{D4CAA025-4F1C-4E89-8468-E397F8FE2FFC}"/>
    <cellStyle name="Normal 15 2 5 3 3" xfId="23076" xr:uid="{654D12B3-4AB7-46F3-92A4-64505E9F7182}"/>
    <cellStyle name="Normal 15 2 5 3 4" xfId="39835" xr:uid="{E4576ED9-6420-41DC-84E1-BF6437AC3FA0}"/>
    <cellStyle name="Normal 15 2 5 4" xfId="3052" xr:uid="{EF3122AE-EAA9-4B32-9A85-74FFD6A9E609}"/>
    <cellStyle name="Normal 15 2 5 4 2" xfId="11432" xr:uid="{2C496457-71FD-4984-99BE-A3082EE670A9}"/>
    <cellStyle name="Normal 15 2 5 4 2 2" xfId="28192" xr:uid="{04CBB8F8-6F1D-4A42-A703-F1A0E100B1C2}"/>
    <cellStyle name="Normal 15 2 5 4 2 3" xfId="44951" xr:uid="{11DB5D4A-6042-457E-A6D8-DCC16D9A8E0B}"/>
    <cellStyle name="Normal 15 2 5 4 3" xfId="19812" xr:uid="{354ED616-7913-4B05-95BD-6238F3534455}"/>
    <cellStyle name="Normal 15 2 5 4 4" xfId="36571" xr:uid="{914415BC-A8A0-41C1-A55B-F4ACA24A1D79}"/>
    <cellStyle name="Normal 15 2 5 5" xfId="9629" xr:uid="{1C83F475-7EA7-46CF-BDF2-3F8CCBB91AEF}"/>
    <cellStyle name="Normal 15 2 5 5 2" xfId="26389" xr:uid="{0BF7E09B-C210-48B4-935F-41DF48709862}"/>
    <cellStyle name="Normal 15 2 5 5 3" xfId="43148" xr:uid="{0411D02E-9810-4750-B4AC-1FAB85C300B6}"/>
    <cellStyle name="Normal 15 2 5 6" xfId="18009" xr:uid="{A1442202-CA8B-41CF-A322-9326E2BB71A9}"/>
    <cellStyle name="Normal 15 2 5 7" xfId="34768" xr:uid="{2FF62F2D-F2A7-488D-AEAE-2A43B61AC1C7}"/>
    <cellStyle name="Normal 15 2 6" xfId="1673" xr:uid="{D9AF9039-F9FD-4F71-8200-5D6A9B063AC5}"/>
    <cellStyle name="Normal 15 2 6 2" xfId="5062" xr:uid="{60764011-974E-4CC6-8C1A-1E2D4A8D8FE3}"/>
    <cellStyle name="Normal 15 2 6 2 2" xfId="13442" xr:uid="{50DEF078-03DB-4615-AC29-14E3D4DF302E}"/>
    <cellStyle name="Normal 15 2 6 2 2 2" xfId="30202" xr:uid="{40CA3E42-8153-4A4E-A579-E2D5E67D1784}"/>
    <cellStyle name="Normal 15 2 6 2 2 3" xfId="46961" xr:uid="{945CD91C-1C0F-41D9-975F-037E70CA4114}"/>
    <cellStyle name="Normal 15 2 6 2 3" xfId="21822" xr:uid="{11DD5C0F-7146-4EED-81C4-D65D7606164A}"/>
    <cellStyle name="Normal 15 2 6 2 4" xfId="38581" xr:uid="{177D6A44-0E89-4F91-B5A1-67AD2B73C9FB}"/>
    <cellStyle name="Normal 15 2 6 3" xfId="6749" xr:uid="{38FC526E-A405-4BE8-9783-9948DB983CB7}"/>
    <cellStyle name="Normal 15 2 6 3 2" xfId="15129" xr:uid="{5AD0B003-B246-49D3-BC34-69DF0A039CAA}"/>
    <cellStyle name="Normal 15 2 6 3 2 2" xfId="31889" xr:uid="{F3BC5CD1-4757-45A3-A46D-04A50583403F}"/>
    <cellStyle name="Normal 15 2 6 3 2 3" xfId="48648" xr:uid="{38E50662-5829-49F3-9266-68BEA49AD7ED}"/>
    <cellStyle name="Normal 15 2 6 3 3" xfId="23509" xr:uid="{7FE6AD56-D0BD-4997-AB78-CDBF65B56F43}"/>
    <cellStyle name="Normal 15 2 6 3 4" xfId="40268" xr:uid="{F37ADA2C-C803-45A8-9637-F0005D4F5E9F}"/>
    <cellStyle name="Normal 15 2 6 4" xfId="2191" xr:uid="{18C72E9D-3AC1-4E18-979E-974DC9673E0E}"/>
    <cellStyle name="Normal 15 2 6 4 2" xfId="10578" xr:uid="{E0204DE4-CA6B-4681-8CC5-8C9BDD380D30}"/>
    <cellStyle name="Normal 15 2 6 4 2 2" xfId="27338" xr:uid="{87369025-5B5B-45A4-B9E4-A56CD6506503}"/>
    <cellStyle name="Normal 15 2 6 4 2 3" xfId="44097" xr:uid="{6ED3C4D3-B12A-48AD-948F-01510AED1014}"/>
    <cellStyle name="Normal 15 2 6 4 3" xfId="18958" xr:uid="{C5FAC251-3A92-432D-A3B2-D9454D4DC5A3}"/>
    <cellStyle name="Normal 15 2 6 4 4" xfId="35717" xr:uid="{B4F3929A-F996-41E4-AFED-1DB3CBA9D3A9}"/>
    <cellStyle name="Normal 15 2 6 5" xfId="10062" xr:uid="{C25DA6BF-4757-4BB7-A8EA-5E9841A17BA3}"/>
    <cellStyle name="Normal 15 2 6 5 2" xfId="26822" xr:uid="{B3AA8D0A-C5DB-42EB-BBD6-1F33FFB5A32F}"/>
    <cellStyle name="Normal 15 2 6 5 3" xfId="43581" xr:uid="{5DE93CC5-5D38-4BB5-A8B9-BB054EC81B4B}"/>
    <cellStyle name="Normal 15 2 6 6" xfId="18442" xr:uid="{76369FB5-6F09-4F3C-A2AA-E8B15E6F911C}"/>
    <cellStyle name="Normal 15 2 6 7" xfId="35201" xr:uid="{0C964BCC-B853-4D40-ABD2-8A7296AB1E2D}"/>
    <cellStyle name="Normal 15 2 7" xfId="3791" xr:uid="{78B3A6B6-A746-4708-8E70-E9530C657FE1}"/>
    <cellStyle name="Normal 15 2 7 2" xfId="12171" xr:uid="{6C7BC5FC-507E-459F-94FC-EB1976ADB4A2}"/>
    <cellStyle name="Normal 15 2 7 2 2" xfId="28931" xr:uid="{0CB56E6F-B192-4BD4-A61D-3B352930B1C4}"/>
    <cellStyle name="Normal 15 2 7 2 3" xfId="45690" xr:uid="{B6275093-CC06-44C7-A32C-5A5911D146FF}"/>
    <cellStyle name="Normal 15 2 7 3" xfId="20551" xr:uid="{0A32932C-E138-4ED0-B04C-D0F6EDDB6B29}"/>
    <cellStyle name="Normal 15 2 7 4" xfId="37310" xr:uid="{31554F2B-B1B9-4C7E-952C-86C2DC57E08C}"/>
    <cellStyle name="Normal 15 2 8" xfId="5462" xr:uid="{5099B620-D29A-439C-88F5-87C2D0B63465}"/>
    <cellStyle name="Normal 15 2 8 2" xfId="13842" xr:uid="{096C76FE-3242-4446-BB81-8AF29808FF2D}"/>
    <cellStyle name="Normal 15 2 8 2 2" xfId="30602" xr:uid="{5BA2B626-E0E6-4031-948C-04F47A9DB336}"/>
    <cellStyle name="Normal 15 2 8 2 3" xfId="47361" xr:uid="{613CD964-C22E-4504-B2B3-49A4AA870311}"/>
    <cellStyle name="Normal 15 2 8 3" xfId="22222" xr:uid="{309252BF-CFE7-41C5-9E84-1849F614B892}"/>
    <cellStyle name="Normal 15 2 8 4" xfId="38981" xr:uid="{E2B08A4A-E63D-465F-A1B6-EC26AF80FECE}"/>
    <cellStyle name="Normal 15 2 9" xfId="7155" xr:uid="{1050F85A-5C37-41BA-9F38-D6883ECE79C4}"/>
    <cellStyle name="Normal 15 2 9 2" xfId="15535" xr:uid="{13AC6C14-367A-46DB-BD47-50A46F75FD19}"/>
    <cellStyle name="Normal 15 2 9 2 2" xfId="32295" xr:uid="{7C2D9A9E-331D-48D7-A57A-3C07A4282135}"/>
    <cellStyle name="Normal 15 2 9 2 3" xfId="49054" xr:uid="{D56B5A1F-2853-4EF4-9A2B-0D819D1474EF}"/>
    <cellStyle name="Normal 15 2 9 3" xfId="23915" xr:uid="{CBEF250A-A61E-414F-A99C-A344345C9D73}"/>
    <cellStyle name="Normal 15 2 9 4" xfId="40674" xr:uid="{40F547AE-8117-41EE-8603-DDA3CD0E8F5A}"/>
    <cellStyle name="Normal 15 20" xfId="33886" xr:uid="{987241C2-D3C4-4EEC-AAB4-593E474B6CBF}"/>
    <cellStyle name="Normal 15 21" xfId="50936" xr:uid="{EE35617E-B120-4964-B3C8-2E71A7E2BE56}"/>
    <cellStyle name="Normal 15 22" xfId="273" xr:uid="{6937641C-7923-4849-98B5-42B69EE2AF43}"/>
    <cellStyle name="Normal 15 3" xfId="357" xr:uid="{919E982C-DC24-4B0E-BC39-210E55E6FDFC}"/>
    <cellStyle name="Normal 15 3 10" xfId="7562" xr:uid="{E32156BE-BED9-4C64-B0C1-25FA14F0BF4A}"/>
    <cellStyle name="Normal 15 3 10 2" xfId="15942" xr:uid="{6C430F69-1577-4B7F-9F50-0D0904FEF15F}"/>
    <cellStyle name="Normal 15 3 10 2 2" xfId="32702" xr:uid="{894D776A-187A-42AF-A059-FA896B7D9C96}"/>
    <cellStyle name="Normal 15 3 10 2 3" xfId="49461" xr:uid="{FA494744-33F8-4280-8A77-D159FDBE7091}"/>
    <cellStyle name="Normal 15 3 10 3" xfId="24322" xr:uid="{551A50E0-F05D-4714-ABB4-26CFED9747AC}"/>
    <cellStyle name="Normal 15 3 10 4" xfId="41081" xr:uid="{C03C44FA-3105-41B0-89C6-CDCF0C2D2728}"/>
    <cellStyle name="Normal 15 3 11" xfId="7968" xr:uid="{D96BFA9E-64D3-4C22-8E34-C90FCC2BBA03}"/>
    <cellStyle name="Normal 15 3 11 2" xfId="16348" xr:uid="{FC941AA9-ACA2-48F7-8C49-EE4802C5277E}"/>
    <cellStyle name="Normal 15 3 11 2 2" xfId="33108" xr:uid="{8958DCD1-1376-4208-BD38-C732F17EEE41}"/>
    <cellStyle name="Normal 15 3 11 2 3" xfId="49867" xr:uid="{FD355211-A587-4991-A4BF-1B123DC48259}"/>
    <cellStyle name="Normal 15 3 11 3" xfId="24728" xr:uid="{6C182C0D-2DFD-4BBF-9BC8-9357B1995DDD}"/>
    <cellStyle name="Normal 15 3 11 4" xfId="41487" xr:uid="{E49FF237-1BE0-4106-A7E3-2C124D58D9FC}"/>
    <cellStyle name="Normal 15 3 12" xfId="8374" xr:uid="{BDE4F9C2-3A3C-4D6A-A037-E47E0098DDBA}"/>
    <cellStyle name="Normal 15 3 12 2" xfId="16754" xr:uid="{9190BAED-6027-4793-BF60-87243C802673}"/>
    <cellStyle name="Normal 15 3 12 2 2" xfId="33514" xr:uid="{D5551086-7538-4CFE-A4F8-3456C1865DB6}"/>
    <cellStyle name="Normal 15 3 12 2 3" xfId="50273" xr:uid="{6147366F-24DF-4BD1-AD99-A52A961337DD}"/>
    <cellStyle name="Normal 15 3 12 3" xfId="25134" xr:uid="{A146D206-2782-4807-8CCF-03128E45006A}"/>
    <cellStyle name="Normal 15 3 12 4" xfId="41893" xr:uid="{2B45A99B-216F-45F9-BCAB-B5595B378A0C}"/>
    <cellStyle name="Normal 15 3 13" xfId="2087" xr:uid="{0456BAC9-B76A-421E-B4F4-3C60C4FF33E5}"/>
    <cellStyle name="Normal 15 3 13 2" xfId="10475" xr:uid="{F718FA8F-B410-42D8-AEB8-12508E488DC1}"/>
    <cellStyle name="Normal 15 3 13 2 2" xfId="27235" xr:uid="{C5E91D7B-2170-45C3-B2E2-463A7D607A9D}"/>
    <cellStyle name="Normal 15 3 13 2 3" xfId="43994" xr:uid="{FD37E9A8-A37C-4EF9-B664-A5D31A9958A2}"/>
    <cellStyle name="Normal 15 3 13 3" xfId="18855" xr:uid="{58F605D7-04A6-4853-B9D1-00EC74529EE7}"/>
    <cellStyle name="Normal 15 3 13 4" xfId="35614" xr:uid="{83C3B403-4ABE-4C71-9728-F4761E725CD8}"/>
    <cellStyle name="Normal 15 3 14" xfId="8821" xr:uid="{8559B60E-255E-4E73-97BB-29D28D771E5B}"/>
    <cellStyle name="Normal 15 3 14 2" xfId="25581" xr:uid="{88850497-009D-4892-9E74-8AFC7D7EB34D}"/>
    <cellStyle name="Normal 15 3 14 3" xfId="42340" xr:uid="{A30686FE-AE8B-4EAE-B25D-4AF301E0B8AE}"/>
    <cellStyle name="Normal 15 3 15" xfId="17201" xr:uid="{DD54A58F-B377-495C-8D22-C378BE2CF24D}"/>
    <cellStyle name="Normal 15 3 16" xfId="33960" xr:uid="{E3AF299A-107C-4072-9726-FE8CCCBB2529}"/>
    <cellStyle name="Normal 15 3 2" xfId="564" xr:uid="{BD42C9BD-23C2-4C63-8142-BE8686F98D3D}"/>
    <cellStyle name="Normal 15 3 2 10" xfId="8511" xr:uid="{3DE93BE7-BA5E-42A4-AACA-924BA353E427}"/>
    <cellStyle name="Normal 15 3 2 10 2" xfId="16891" xr:uid="{C8D28F70-04E4-423F-B526-C10DF0F2129A}"/>
    <cellStyle name="Normal 15 3 2 10 2 2" xfId="33651" xr:uid="{EF85BFFF-027E-4F89-8A41-C83729F60334}"/>
    <cellStyle name="Normal 15 3 2 10 2 3" xfId="50410" xr:uid="{99FA85FF-F549-4F3C-AA13-582127158E69}"/>
    <cellStyle name="Normal 15 3 2 10 3" xfId="25271" xr:uid="{4C4410FD-A92D-4C6F-A2F5-A43B8B044E23}"/>
    <cellStyle name="Normal 15 3 2 10 4" xfId="42030" xr:uid="{86EC8414-89DC-4EFF-A198-EC59957D6239}"/>
    <cellStyle name="Normal 15 3 2 11" xfId="2396" xr:uid="{9519EE8E-6CCD-4405-9D6E-AD35A3B87CE7}"/>
    <cellStyle name="Normal 15 3 2 11 2" xfId="10778" xr:uid="{17F047F4-681D-4772-83D8-D69C22CFE96F}"/>
    <cellStyle name="Normal 15 3 2 11 2 2" xfId="27538" xr:uid="{741C6042-506E-4FD5-AC1F-5E4EFE26F20D}"/>
    <cellStyle name="Normal 15 3 2 11 2 3" xfId="44297" xr:uid="{9409A23A-E008-484E-97F4-09CA35876BCF}"/>
    <cellStyle name="Normal 15 3 2 11 3" xfId="19158" xr:uid="{3D60B6E5-BE4B-4D3E-B044-F4C6D6279852}"/>
    <cellStyle name="Normal 15 3 2 11 4" xfId="35917" xr:uid="{84FE482C-27BB-4D35-B6C5-25676478BEC3}"/>
    <cellStyle name="Normal 15 3 2 12" xfId="8975" xr:uid="{F058EC1C-18EC-45CA-8EB8-2D66B34C1251}"/>
    <cellStyle name="Normal 15 3 2 12 2" xfId="25735" xr:uid="{1F3D72F2-77FB-449E-8B1F-3D7B6A32BD74}"/>
    <cellStyle name="Normal 15 3 2 12 3" xfId="42494" xr:uid="{BB7AEC99-3D1E-404F-BF70-54CE40FDDDCB}"/>
    <cellStyle name="Normal 15 3 2 13" xfId="17355" xr:uid="{A4BF35B3-E267-427C-9F62-DA77267A2677}"/>
    <cellStyle name="Normal 15 3 2 14" xfId="34114" xr:uid="{4F3DD550-CBFA-4D4B-B419-ED4B5EDF0A7B}"/>
    <cellStyle name="Normal 15 3 2 2" xfId="1006" xr:uid="{7D450B50-D96C-473D-B17A-9F7BA5C515A1}"/>
    <cellStyle name="Normal 15 3 2 2 2" xfId="4401" xr:uid="{622FDD90-D4CC-4D9C-AA44-D9C6C5FEC123}"/>
    <cellStyle name="Normal 15 3 2 2 2 2" xfId="12781" xr:uid="{127A3177-2F7E-4BC7-A832-E5710BA7CD4F}"/>
    <cellStyle name="Normal 15 3 2 2 2 2 2" xfId="29541" xr:uid="{1214702F-83D4-413D-8F71-852E2E3C4CB5}"/>
    <cellStyle name="Normal 15 3 2 2 2 2 3" xfId="46300" xr:uid="{BC9C8B08-E1EE-4233-907B-C0BEF04DAA43}"/>
    <cellStyle name="Normal 15 3 2 2 2 3" xfId="21161" xr:uid="{513837B1-F780-4F11-BACA-896E3468DE4B}"/>
    <cellStyle name="Normal 15 3 2 2 2 4" xfId="37920" xr:uid="{8913278E-771A-4D07-93DD-DB3EC8C9640B}"/>
    <cellStyle name="Normal 15 3 2 2 3" xfId="6088" xr:uid="{605632CC-FE5D-4DD1-954C-759D2FD0805D}"/>
    <cellStyle name="Normal 15 3 2 2 3 2" xfId="14468" xr:uid="{9C53F9D2-16C6-4D2B-A0DE-70DCEBF03BA6}"/>
    <cellStyle name="Normal 15 3 2 2 3 2 2" xfId="31228" xr:uid="{C79113CF-AAA3-4A2D-B5C3-86F31CE939A4}"/>
    <cellStyle name="Normal 15 3 2 2 3 2 3" xfId="47987" xr:uid="{1151486A-7F1E-4EAE-AF6C-C953947E404F}"/>
    <cellStyle name="Normal 15 3 2 2 3 3" xfId="22848" xr:uid="{B638CBBA-D0D4-425E-9550-9870AE212B2A}"/>
    <cellStyle name="Normal 15 3 2 2 3 4" xfId="39607" xr:uid="{0ABCE10B-0981-4DEE-BB01-5C40D7447CBF}"/>
    <cellStyle name="Normal 15 3 2 2 4" xfId="2824" xr:uid="{FDE54D5F-983E-4F27-A088-5BA1EEF9AB86}"/>
    <cellStyle name="Normal 15 3 2 2 4 2" xfId="11204" xr:uid="{66C116BB-0D3C-4315-8E20-08ADE546C79C}"/>
    <cellStyle name="Normal 15 3 2 2 4 2 2" xfId="27964" xr:uid="{9D966A5B-00C8-4B81-BC9D-721DB189C83A}"/>
    <cellStyle name="Normal 15 3 2 2 4 2 3" xfId="44723" xr:uid="{435F2120-E0CC-4F8B-8B61-304C4B98486A}"/>
    <cellStyle name="Normal 15 3 2 2 4 3" xfId="19584" xr:uid="{99171A06-21B1-47C0-8B11-A47E2346B015}"/>
    <cellStyle name="Normal 15 3 2 2 4 4" xfId="36343" xr:uid="{9177F7C6-E887-47EE-B016-1952CAE60A14}"/>
    <cellStyle name="Normal 15 3 2 2 5" xfId="9401" xr:uid="{7366CD0E-00D4-4753-87B0-AF4E134A3A7C}"/>
    <cellStyle name="Normal 15 3 2 2 5 2" xfId="26161" xr:uid="{CDE19571-E076-4AA4-9E1E-F4E8B4477446}"/>
    <cellStyle name="Normal 15 3 2 2 5 3" xfId="42920" xr:uid="{88BEAD29-467D-432A-87C9-8B2C0FDD8376}"/>
    <cellStyle name="Normal 15 3 2 2 6" xfId="17781" xr:uid="{C2893016-6E59-4C41-B07D-AB672CBC68B5}"/>
    <cellStyle name="Normal 15 3 2 2 7" xfId="34540" xr:uid="{1E637878-7D60-4988-8AED-84CAAD8FE465}"/>
    <cellStyle name="Normal 15 3 2 3" xfId="1440" xr:uid="{49AAB1D4-5BC4-42DA-9BFC-26852C1B75EE}"/>
    <cellStyle name="Normal 15 3 2 3 2" xfId="4829" xr:uid="{86A64D70-59A0-45F5-88E1-5E7A19328FDC}"/>
    <cellStyle name="Normal 15 3 2 3 2 2" xfId="13209" xr:uid="{876F317E-E4E1-4E19-BD69-80F677ABCC51}"/>
    <cellStyle name="Normal 15 3 2 3 2 2 2" xfId="29969" xr:uid="{C5E6311E-6A63-4E59-B991-E6077B8B2878}"/>
    <cellStyle name="Normal 15 3 2 3 2 2 3" xfId="46728" xr:uid="{043445C5-7293-4027-BFCD-EB91D9522012}"/>
    <cellStyle name="Normal 15 3 2 3 2 3" xfId="21589" xr:uid="{F07A8918-81EF-4AB8-B894-83C50EE63797}"/>
    <cellStyle name="Normal 15 3 2 3 2 4" xfId="38348" xr:uid="{92692D4D-78C4-4342-B8B7-5240E95AC916}"/>
    <cellStyle name="Normal 15 3 2 3 3" xfId="6516" xr:uid="{EEEA5CE6-59D6-4D08-B9EE-4CEB695523AB}"/>
    <cellStyle name="Normal 15 3 2 3 3 2" xfId="14896" xr:uid="{9589A2FB-84B2-4E85-84BD-67DE777F89F9}"/>
    <cellStyle name="Normal 15 3 2 3 3 2 2" xfId="31656" xr:uid="{DBD5BF59-2AF9-4523-B56E-BF81B259BF2C}"/>
    <cellStyle name="Normal 15 3 2 3 3 2 3" xfId="48415" xr:uid="{A75A726F-1D90-4570-A4B5-E0F8620B05BE}"/>
    <cellStyle name="Normal 15 3 2 3 3 3" xfId="23276" xr:uid="{0B11E174-FD1E-4354-A74D-7398DEBBF67F}"/>
    <cellStyle name="Normal 15 3 2 3 3 4" xfId="40035" xr:uid="{23982E65-8D85-4224-8231-F80E0C151BDA}"/>
    <cellStyle name="Normal 15 3 2 3 4" xfId="3252" xr:uid="{51F8D734-3F2F-4F23-8D69-DE989DBE1DB3}"/>
    <cellStyle name="Normal 15 3 2 3 4 2" xfId="11632" xr:uid="{F9DB4BB9-1278-412A-9FB0-224DFA6CD1CA}"/>
    <cellStyle name="Normal 15 3 2 3 4 2 2" xfId="28392" xr:uid="{7CD51A95-A5E5-40CB-B266-AA9E642BE8C7}"/>
    <cellStyle name="Normal 15 3 2 3 4 2 3" xfId="45151" xr:uid="{75384E02-E77B-46A8-972B-A87F1B3970AE}"/>
    <cellStyle name="Normal 15 3 2 3 4 3" xfId="20012" xr:uid="{813AF885-7A29-4522-BB6C-F19F3A3B7512}"/>
    <cellStyle name="Normal 15 3 2 3 4 4" xfId="36771" xr:uid="{B19065F8-252F-4484-9938-7C3D77423510}"/>
    <cellStyle name="Normal 15 3 2 3 5" xfId="9829" xr:uid="{FD9E49C2-CDF9-486B-8E73-3ACF0064A2FC}"/>
    <cellStyle name="Normal 15 3 2 3 5 2" xfId="26589" xr:uid="{94EA0025-AB79-434F-8550-B8A43AFAA76E}"/>
    <cellStyle name="Normal 15 3 2 3 5 3" xfId="43348" xr:uid="{C77FB6B6-CAB9-4DFF-A6C9-0AE2E4CD8974}"/>
    <cellStyle name="Normal 15 3 2 3 6" xfId="18209" xr:uid="{0706420E-7996-46AE-A369-4AD1599E961F}"/>
    <cellStyle name="Normal 15 3 2 3 7" xfId="34968" xr:uid="{1EADFF23-4836-4831-BD92-DF89B0FB27D9}"/>
    <cellStyle name="Normal 15 3 2 4" xfId="1811" xr:uid="{9178CDFC-22E2-40D6-B1B6-B17A1C69AEF5}"/>
    <cellStyle name="Normal 15 3 2 4 2" xfId="5200" xr:uid="{1E96FF55-5C7E-4842-9A75-2DC0B6E92309}"/>
    <cellStyle name="Normal 15 3 2 4 2 2" xfId="13580" xr:uid="{4C7C93D7-1736-4C1F-99A4-36B3F4E423AF}"/>
    <cellStyle name="Normal 15 3 2 4 2 2 2" xfId="30340" xr:uid="{A4FB0A67-FEC8-423B-AF17-079E302D0581}"/>
    <cellStyle name="Normal 15 3 2 4 2 2 3" xfId="47099" xr:uid="{B3E04FAC-5740-4D32-85E8-0B9A574D0360}"/>
    <cellStyle name="Normal 15 3 2 4 2 3" xfId="21960" xr:uid="{53368737-7DDB-412A-84AD-FD13172263FD}"/>
    <cellStyle name="Normal 15 3 2 4 2 4" xfId="38719" xr:uid="{74CF1435-6631-40D4-BF39-0650EFF7BCB0}"/>
    <cellStyle name="Normal 15 3 2 4 3" xfId="6887" xr:uid="{2D485ED9-6EBB-4C11-A0FF-558BC44520CB}"/>
    <cellStyle name="Normal 15 3 2 4 3 2" xfId="15267" xr:uid="{1BB65D71-22E1-4504-87CF-B7C37014FA80}"/>
    <cellStyle name="Normal 15 3 2 4 3 2 2" xfId="32027" xr:uid="{B09F38D1-B795-4F44-91A3-BEFD1BF6393B}"/>
    <cellStyle name="Normal 15 3 2 4 3 2 3" xfId="48786" xr:uid="{88076549-C85F-42B8-BCCB-707FB89D70BF}"/>
    <cellStyle name="Normal 15 3 2 4 3 3" xfId="23647" xr:uid="{B9D7FCC7-98CD-49E5-B539-7FE44C9C74CD}"/>
    <cellStyle name="Normal 15 3 2 4 3 4" xfId="40406" xr:uid="{DEBBEBE4-ECCE-4FCF-9219-9957398EB597}"/>
    <cellStyle name="Normal 15 3 2 4 4" xfId="3511" xr:uid="{5BD1E44B-C910-4998-BD1D-37A46A4C0BE5}"/>
    <cellStyle name="Normal 15 3 2 4 4 2" xfId="11891" xr:uid="{F791885A-2E28-4762-9A90-0A0BB519167A}"/>
    <cellStyle name="Normal 15 3 2 4 4 2 2" xfId="28651" xr:uid="{3C4F154E-8E8A-4B0E-AA20-1FDCD44885EC}"/>
    <cellStyle name="Normal 15 3 2 4 4 2 3" xfId="45410" xr:uid="{6BD2A86C-81FA-4984-B681-457AEBB4E1B1}"/>
    <cellStyle name="Normal 15 3 2 4 4 3" xfId="20271" xr:uid="{A3680F1F-9126-4D8E-B11C-09B115672D9B}"/>
    <cellStyle name="Normal 15 3 2 4 4 4" xfId="37030" xr:uid="{26745EA5-56A5-4846-8CA2-B13E670D8F75}"/>
    <cellStyle name="Normal 15 3 2 4 5" xfId="10200" xr:uid="{BAA86D0B-8DE8-457E-A731-36F5E47B3CAF}"/>
    <cellStyle name="Normal 15 3 2 4 5 2" xfId="26960" xr:uid="{D0CD2B33-C02E-4B29-A882-08F56FDFA0E1}"/>
    <cellStyle name="Normal 15 3 2 4 5 3" xfId="43719" xr:uid="{BFE9640B-2AB4-4639-8D2D-9445DBAAA766}"/>
    <cellStyle name="Normal 15 3 2 4 6" xfId="18580" xr:uid="{17F9556A-9BF1-41B0-833B-4C568B746178}"/>
    <cellStyle name="Normal 15 3 2 4 7" xfId="35339" xr:uid="{3CCC82F0-2F98-42EB-B590-AABC384E4606}"/>
    <cellStyle name="Normal 15 3 2 5" xfId="3930" xr:uid="{70EECD8E-3C79-4F8C-82DF-31CD2BF10786}"/>
    <cellStyle name="Normal 15 3 2 5 2" xfId="12310" xr:uid="{C8EC82E0-1717-4188-920B-9DE8140C4D26}"/>
    <cellStyle name="Normal 15 3 2 5 2 2" xfId="29070" xr:uid="{D6843676-DB34-47AA-B6FE-94347D9F9B87}"/>
    <cellStyle name="Normal 15 3 2 5 2 3" xfId="45829" xr:uid="{EF2F8885-C558-4313-89B1-3612CC990EE4}"/>
    <cellStyle name="Normal 15 3 2 5 3" xfId="20690" xr:uid="{3BAA5AA1-7857-4282-AA93-EC2139AF03FB}"/>
    <cellStyle name="Normal 15 3 2 5 4" xfId="37449" xr:uid="{AF43AC5D-120D-4584-8975-CC345F9AEAE6}"/>
    <cellStyle name="Normal 15 3 2 6" xfId="5662" xr:uid="{035E42D4-2305-4918-B178-231E75FD3653}"/>
    <cellStyle name="Normal 15 3 2 6 2" xfId="14042" xr:uid="{8C8BEA0C-D0C9-407D-A5B0-C6BB7471E835}"/>
    <cellStyle name="Normal 15 3 2 6 2 2" xfId="30802" xr:uid="{465B2B8D-74E7-4934-972E-E47A87CBB97A}"/>
    <cellStyle name="Normal 15 3 2 6 2 3" xfId="47561" xr:uid="{4F567BCE-A7A3-4FB8-A12D-67F8CD2F2906}"/>
    <cellStyle name="Normal 15 3 2 6 3" xfId="22422" xr:uid="{4638CC16-E620-4A03-9E64-1BDE7BAE3EF6}"/>
    <cellStyle name="Normal 15 3 2 6 4" xfId="39181" xr:uid="{4FEBC90B-B69E-4F0B-BD71-58ABB8AE3234}"/>
    <cellStyle name="Normal 15 3 2 7" xfId="7293" xr:uid="{D2C44506-BE75-4E14-AC47-C44B917B4825}"/>
    <cellStyle name="Normal 15 3 2 7 2" xfId="15673" xr:uid="{293E4A76-8A25-4431-9E66-EB954B73AF68}"/>
    <cellStyle name="Normal 15 3 2 7 2 2" xfId="32433" xr:uid="{53E152C4-4413-4145-89D9-31FB91612CB1}"/>
    <cellStyle name="Normal 15 3 2 7 2 3" xfId="49192" xr:uid="{2D4ABCB4-969F-48CC-A125-30C7C73A7380}"/>
    <cellStyle name="Normal 15 3 2 7 3" xfId="24053" xr:uid="{BC98D3FD-9A34-40F1-A65D-0C6BFFB75B6F}"/>
    <cellStyle name="Normal 15 3 2 7 4" xfId="40812" xr:uid="{E044E47C-4AFB-404E-B8B0-676F84834E9D}"/>
    <cellStyle name="Normal 15 3 2 8" xfId="7699" xr:uid="{1772AAA6-3310-4E33-B8AA-71E90B856345}"/>
    <cellStyle name="Normal 15 3 2 8 2" xfId="16079" xr:uid="{6F0F8F4B-3854-4B9C-90E0-18B7292B1818}"/>
    <cellStyle name="Normal 15 3 2 8 2 2" xfId="32839" xr:uid="{2E19DFC9-AA1D-4BA9-8DC0-B32FBAA6DD5C}"/>
    <cellStyle name="Normal 15 3 2 8 2 3" xfId="49598" xr:uid="{44D7FFD9-B1BF-4D2E-B7F5-3C3801A07850}"/>
    <cellStyle name="Normal 15 3 2 8 3" xfId="24459" xr:uid="{B5E079FD-AB7E-427E-9ABB-7617E31FDE67}"/>
    <cellStyle name="Normal 15 3 2 8 4" xfId="41218" xr:uid="{8349B077-CF08-4DD2-A034-D6062DA6416E}"/>
    <cellStyle name="Normal 15 3 2 9" xfId="8105" xr:uid="{F2051CCB-C419-4946-9B6F-6015EFBD4EBD}"/>
    <cellStyle name="Normal 15 3 2 9 2" xfId="16485" xr:uid="{463C1BB9-EF55-4B37-9E81-5050E98EBE75}"/>
    <cellStyle name="Normal 15 3 2 9 2 2" xfId="33245" xr:uid="{010BCDA9-92FD-4051-B0EA-F9D026C9BDBA}"/>
    <cellStyle name="Normal 15 3 2 9 2 3" xfId="50004" xr:uid="{3A99FB0F-BD6C-48B4-A5E0-E018DC4B550D}"/>
    <cellStyle name="Normal 15 3 2 9 3" xfId="24865" xr:uid="{2221E1E8-515A-4B12-ADB1-DB9307311CAA}"/>
    <cellStyle name="Normal 15 3 2 9 4" xfId="41624" xr:uid="{4F6DE3AB-EAA0-4FFE-AD47-DB40AC8A35D0}"/>
    <cellStyle name="Normal 15 3 3" xfId="565" xr:uid="{9C3D614A-C054-4D6E-9613-8E39801726AF}"/>
    <cellStyle name="Normal 15 3 3 10" xfId="8645" xr:uid="{E896CB9A-F8BC-4ED9-8788-9E89A4D9AA28}"/>
    <cellStyle name="Normal 15 3 3 10 2" xfId="17025" xr:uid="{48B94303-D78F-4CA1-A40A-00F6D88C0A2D}"/>
    <cellStyle name="Normal 15 3 3 10 2 2" xfId="33785" xr:uid="{3292CBCA-F0F5-41DA-A188-50506374DBD5}"/>
    <cellStyle name="Normal 15 3 3 10 2 3" xfId="50544" xr:uid="{DD9AEC78-1DC0-4B4B-9E51-5C8C26954926}"/>
    <cellStyle name="Normal 15 3 3 10 3" xfId="25405" xr:uid="{449B42BB-6C96-49B4-95D6-73C0067DC472}"/>
    <cellStyle name="Normal 15 3 3 10 4" xfId="42164" xr:uid="{EF2F06BA-D293-402F-9FC8-56B2EF79D3E9}"/>
    <cellStyle name="Normal 15 3 3 11" xfId="2397" xr:uid="{3A90E5C3-C230-4220-8344-E48D6D416319}"/>
    <cellStyle name="Normal 15 3 3 11 2" xfId="10779" xr:uid="{53C4F380-3C0B-4417-942D-A9DB5D933A59}"/>
    <cellStyle name="Normal 15 3 3 11 2 2" xfId="27539" xr:uid="{AD023459-8B10-47D6-82A6-B61AE4D7B994}"/>
    <cellStyle name="Normal 15 3 3 11 2 3" xfId="44298" xr:uid="{6EA901EE-01A7-44EA-90F3-DCD3F3A9A447}"/>
    <cellStyle name="Normal 15 3 3 11 3" xfId="19159" xr:uid="{A0B8BF3C-EA36-4BB1-A235-CD72759B55AC}"/>
    <cellStyle name="Normal 15 3 3 11 4" xfId="35918" xr:uid="{8624CB98-0BE7-43B0-AF38-4D1890B53D98}"/>
    <cellStyle name="Normal 15 3 3 12" xfId="8976" xr:uid="{60F75E10-2A55-4F26-8877-B529BBAA9606}"/>
    <cellStyle name="Normal 15 3 3 12 2" xfId="25736" xr:uid="{9AC0210C-923A-4338-A3C1-3BDE55C6D5B8}"/>
    <cellStyle name="Normal 15 3 3 12 3" xfId="42495" xr:uid="{D6D67F9A-7723-41B6-AE8D-871D019E1DD5}"/>
    <cellStyle name="Normal 15 3 3 13" xfId="17356" xr:uid="{D5DE931B-F523-4150-9FAE-7F25603C2FF4}"/>
    <cellStyle name="Normal 15 3 3 14" xfId="34115" xr:uid="{90577C9B-49DE-4D0E-A3A0-0F67DFDC1F4A}"/>
    <cellStyle name="Normal 15 3 3 2" xfId="1007" xr:uid="{2A912817-6CC3-4A9F-8722-7AEAA92A04FF}"/>
    <cellStyle name="Normal 15 3 3 2 2" xfId="4402" xr:uid="{E0152AE1-5F08-4A4A-88FF-8C02DC7AF340}"/>
    <cellStyle name="Normal 15 3 3 2 2 2" xfId="12782" xr:uid="{19AD5CEE-2965-4255-BCDB-E63632C73687}"/>
    <cellStyle name="Normal 15 3 3 2 2 2 2" xfId="29542" xr:uid="{65A9769E-014B-4715-8DBA-744BD79B51A2}"/>
    <cellStyle name="Normal 15 3 3 2 2 2 3" xfId="46301" xr:uid="{2CE67495-E60C-44C8-B3A3-01513F10CED4}"/>
    <cellStyle name="Normal 15 3 3 2 2 3" xfId="21162" xr:uid="{827C6A47-D9CC-41CC-B31D-DA71804FE4A2}"/>
    <cellStyle name="Normal 15 3 3 2 2 4" xfId="37921" xr:uid="{7D667C87-1FE3-4272-B475-1E716A77FBDA}"/>
    <cellStyle name="Normal 15 3 3 2 3" xfId="6089" xr:uid="{1C5F1A6E-7C40-4B82-A391-3DBC0489F264}"/>
    <cellStyle name="Normal 15 3 3 2 3 2" xfId="14469" xr:uid="{18859BE1-C4AB-456F-9B47-825CAACAE2B1}"/>
    <cellStyle name="Normal 15 3 3 2 3 2 2" xfId="31229" xr:uid="{3B23EBFA-9ADD-4AB6-84A0-2238B1D94270}"/>
    <cellStyle name="Normal 15 3 3 2 3 2 3" xfId="47988" xr:uid="{D7F6F9C9-BF1D-4D99-91B4-1DF031E8E6EB}"/>
    <cellStyle name="Normal 15 3 3 2 3 3" xfId="22849" xr:uid="{C5709918-7425-428B-AA19-A36C7FE08499}"/>
    <cellStyle name="Normal 15 3 3 2 3 4" xfId="39608" xr:uid="{19B7BB29-4AA2-447D-86B0-349D00086DFB}"/>
    <cellStyle name="Normal 15 3 3 2 4" xfId="2825" xr:uid="{89501BA7-C087-4B85-89ED-5DBC45A179DC}"/>
    <cellStyle name="Normal 15 3 3 2 4 2" xfId="11205" xr:uid="{2BB26EEB-3D65-4E99-98E6-FABE1585A1AC}"/>
    <cellStyle name="Normal 15 3 3 2 4 2 2" xfId="27965" xr:uid="{523B004D-35EF-484B-909F-3B905FFB1BEE}"/>
    <cellStyle name="Normal 15 3 3 2 4 2 3" xfId="44724" xr:uid="{0040FDB3-7067-4534-897D-3A7062DD5236}"/>
    <cellStyle name="Normal 15 3 3 2 4 3" xfId="19585" xr:uid="{EADFC57C-DBD7-4ED6-80E0-C6AFA0898085}"/>
    <cellStyle name="Normal 15 3 3 2 4 4" xfId="36344" xr:uid="{2007FAB6-B388-4D3D-89EF-26CBCDFC2C2E}"/>
    <cellStyle name="Normal 15 3 3 2 5" xfId="9402" xr:uid="{382BBB8C-883B-4403-8806-B3E5ECB68989}"/>
    <cellStyle name="Normal 15 3 3 2 5 2" xfId="26162" xr:uid="{F03634EE-CF90-4A0E-99E7-BD317C9E4A3D}"/>
    <cellStyle name="Normal 15 3 3 2 5 3" xfId="42921" xr:uid="{5DE316A8-C53E-4A33-8551-8ACF91715D22}"/>
    <cellStyle name="Normal 15 3 3 2 6" xfId="17782" xr:uid="{2C8651B7-78FB-40FE-9EC5-FB4DD56EE185}"/>
    <cellStyle name="Normal 15 3 3 2 7" xfId="34541" xr:uid="{7CA58324-C5F8-4E5B-BE9B-C2A4C92EE904}"/>
    <cellStyle name="Normal 15 3 3 3" xfId="1441" xr:uid="{4A015EFF-1DC4-44C2-A526-02F1CE44E2CC}"/>
    <cellStyle name="Normal 15 3 3 3 2" xfId="4830" xr:uid="{1D4032ED-A211-4290-8439-B47651DB7A58}"/>
    <cellStyle name="Normal 15 3 3 3 2 2" xfId="13210" xr:uid="{511B41A6-23F8-472B-BEAB-B9F5085A0283}"/>
    <cellStyle name="Normal 15 3 3 3 2 2 2" xfId="29970" xr:uid="{4814CC01-5A66-452D-88BD-F3A9F768E5D1}"/>
    <cellStyle name="Normal 15 3 3 3 2 2 3" xfId="46729" xr:uid="{F7655B19-8130-4F50-907C-6718BC9D3E89}"/>
    <cellStyle name="Normal 15 3 3 3 2 3" xfId="21590" xr:uid="{0BC5C8B5-B7F4-40A4-B7C8-BEAFF60290F7}"/>
    <cellStyle name="Normal 15 3 3 3 2 4" xfId="38349" xr:uid="{60AFF2C8-B420-47C2-BA20-F8601FC79C56}"/>
    <cellStyle name="Normal 15 3 3 3 3" xfId="6517" xr:uid="{9B173628-3504-425B-8DB8-70C5F6663B0A}"/>
    <cellStyle name="Normal 15 3 3 3 3 2" xfId="14897" xr:uid="{CE5B6600-4976-4EA8-B7A2-D17BBE35672B}"/>
    <cellStyle name="Normal 15 3 3 3 3 2 2" xfId="31657" xr:uid="{0DE6D019-9C1D-4CA5-B8DC-D8C82A8F8DE0}"/>
    <cellStyle name="Normal 15 3 3 3 3 2 3" xfId="48416" xr:uid="{919FF802-AF4C-4EDA-AD2D-5B457FA39C32}"/>
    <cellStyle name="Normal 15 3 3 3 3 3" xfId="23277" xr:uid="{6CEB38B5-18B6-4D5B-B6D6-F9B8F5178250}"/>
    <cellStyle name="Normal 15 3 3 3 3 4" xfId="40036" xr:uid="{5FCAC07E-8F50-4C3E-8CBC-B09F0BB8E83B}"/>
    <cellStyle name="Normal 15 3 3 3 4" xfId="3253" xr:uid="{0314CB91-564C-4C53-BD5A-0429E7DA81E3}"/>
    <cellStyle name="Normal 15 3 3 3 4 2" xfId="11633" xr:uid="{10D48549-194C-4EF8-9127-ACE0EAFC108F}"/>
    <cellStyle name="Normal 15 3 3 3 4 2 2" xfId="28393" xr:uid="{E465F619-0B5D-401D-95C5-1BD927DB0FBC}"/>
    <cellStyle name="Normal 15 3 3 3 4 2 3" xfId="45152" xr:uid="{DF8A14C8-FFBA-45F4-AC7F-B2950CB4FE71}"/>
    <cellStyle name="Normal 15 3 3 3 4 3" xfId="20013" xr:uid="{B6D0575A-2F18-41AC-B33A-3E5603379EEB}"/>
    <cellStyle name="Normal 15 3 3 3 4 4" xfId="36772" xr:uid="{548E77C3-58D4-40B1-BB3F-8E0159378CB1}"/>
    <cellStyle name="Normal 15 3 3 3 5" xfId="9830" xr:uid="{746659AA-4561-4BA1-BC85-55A0EF077AF9}"/>
    <cellStyle name="Normal 15 3 3 3 5 2" xfId="26590" xr:uid="{4C9F3807-EB72-4BDD-993A-6CACB420E6DD}"/>
    <cellStyle name="Normal 15 3 3 3 5 3" xfId="43349" xr:uid="{DCEB59FD-57B8-4D88-B63A-AD01A0C8E327}"/>
    <cellStyle name="Normal 15 3 3 3 6" xfId="18210" xr:uid="{61B6455C-CFD2-4A07-BDDF-A9CBA379BF8F}"/>
    <cellStyle name="Normal 15 3 3 3 7" xfId="34969" xr:uid="{F9C92288-69AC-4A62-B08D-659DE4EE85F1}"/>
    <cellStyle name="Normal 15 3 3 4" xfId="1945" xr:uid="{5DB42617-397A-40F7-A031-A721EC49F4DA}"/>
    <cellStyle name="Normal 15 3 3 4 2" xfId="5334" xr:uid="{2ABEC58F-4D06-48DA-9D13-06BF7D810F98}"/>
    <cellStyle name="Normal 15 3 3 4 2 2" xfId="13714" xr:uid="{81AB7243-C8A8-4819-876F-DFAE184AD501}"/>
    <cellStyle name="Normal 15 3 3 4 2 2 2" xfId="30474" xr:uid="{B3B2D145-13F9-4E99-98D2-65E1322DC9D8}"/>
    <cellStyle name="Normal 15 3 3 4 2 2 3" xfId="47233" xr:uid="{5DAC1C07-ECFD-4A23-9458-B0F6AE3A4B41}"/>
    <cellStyle name="Normal 15 3 3 4 2 3" xfId="22094" xr:uid="{549856A2-859B-413B-9723-6FB138D289E2}"/>
    <cellStyle name="Normal 15 3 3 4 2 4" xfId="38853" xr:uid="{E2CE13D7-34FA-46DF-B9E8-381F2DD4942B}"/>
    <cellStyle name="Normal 15 3 3 4 3" xfId="7021" xr:uid="{DBB22C7B-E824-4569-8D9E-ADDE82A6EBAC}"/>
    <cellStyle name="Normal 15 3 3 4 3 2" xfId="15401" xr:uid="{4257A28B-61B8-4A0D-B19B-770DD319E074}"/>
    <cellStyle name="Normal 15 3 3 4 3 2 2" xfId="32161" xr:uid="{85EB2F87-FF79-41AB-A1BD-DD3DBE9FB05E}"/>
    <cellStyle name="Normal 15 3 3 4 3 2 3" xfId="48920" xr:uid="{8156853C-1ABC-4EAE-AD30-81CBAA0C7678}"/>
    <cellStyle name="Normal 15 3 3 4 3 3" xfId="23781" xr:uid="{0FE9E19C-C8F7-438C-B5C6-E9E2A6DF67E8}"/>
    <cellStyle name="Normal 15 3 3 4 3 4" xfId="40540" xr:uid="{B9785CBC-D439-4A9E-A533-814BB9812557}"/>
    <cellStyle name="Normal 15 3 3 4 4" xfId="3644" xr:uid="{23A8163E-71F7-46D4-B26C-C4EFAC7EBC21}"/>
    <cellStyle name="Normal 15 3 3 4 4 2" xfId="12024" xr:uid="{49BD473F-CF15-4DD4-AF5E-4EACBC264C81}"/>
    <cellStyle name="Normal 15 3 3 4 4 2 2" xfId="28784" xr:uid="{5AD54FBA-0BAA-4EBC-91BE-3814DE1CF039}"/>
    <cellStyle name="Normal 15 3 3 4 4 2 3" xfId="45543" xr:uid="{F5AD9AB6-DD72-45DD-8209-8384D3C2A787}"/>
    <cellStyle name="Normal 15 3 3 4 4 3" xfId="20404" xr:uid="{C08EA664-C381-468A-AC8B-21074910793B}"/>
    <cellStyle name="Normal 15 3 3 4 4 4" xfId="37163" xr:uid="{7C65F53C-0846-4FCB-BBE0-F986594271E5}"/>
    <cellStyle name="Normal 15 3 3 4 5" xfId="10334" xr:uid="{074D31C8-35CC-4219-B72D-5B2B5B78F6D3}"/>
    <cellStyle name="Normal 15 3 3 4 5 2" xfId="27094" xr:uid="{2E2BFA87-49DC-4305-9237-8464C154D416}"/>
    <cellStyle name="Normal 15 3 3 4 5 3" xfId="43853" xr:uid="{E8CCE42F-5430-4B8E-A36A-13A634E086E0}"/>
    <cellStyle name="Normal 15 3 3 4 6" xfId="18714" xr:uid="{40BDCFD7-E306-484E-B785-E5457C125C46}"/>
    <cellStyle name="Normal 15 3 3 4 7" xfId="35473" xr:uid="{5BB594BA-C066-4AC0-8640-A67C460A29C6}"/>
    <cellStyle name="Normal 15 3 3 5" xfId="4064" xr:uid="{4C7AF963-DCF1-42B1-A4ED-801BDACEFD6B}"/>
    <cellStyle name="Normal 15 3 3 5 2" xfId="12444" xr:uid="{B55DD7E4-3131-4C33-A4D0-0CBB26F57E2A}"/>
    <cellStyle name="Normal 15 3 3 5 2 2" xfId="29204" xr:uid="{2B68F73F-A8DA-4ACB-9763-84845C90FFEF}"/>
    <cellStyle name="Normal 15 3 3 5 2 3" xfId="45963" xr:uid="{045F060F-E2FC-482E-BBF2-E91459A2FFB6}"/>
    <cellStyle name="Normal 15 3 3 5 3" xfId="20824" xr:uid="{A7BB03A4-FC47-46B4-AC98-9B79D743E4A8}"/>
    <cellStyle name="Normal 15 3 3 5 4" xfId="37583" xr:uid="{68FAD816-E852-4236-90AF-8E9B1B80B060}"/>
    <cellStyle name="Normal 15 3 3 6" xfId="5663" xr:uid="{CAA65E3E-6418-455A-9EA9-04E95707DBF9}"/>
    <cellStyle name="Normal 15 3 3 6 2" xfId="14043" xr:uid="{7345D7BC-B9F9-40F5-808D-D2C7480294B3}"/>
    <cellStyle name="Normal 15 3 3 6 2 2" xfId="30803" xr:uid="{0E6FD1FE-716F-466C-965F-F416DEBA7FB3}"/>
    <cellStyle name="Normal 15 3 3 6 2 3" xfId="47562" xr:uid="{73571081-85E7-4D4D-96F3-05ACAA6E6272}"/>
    <cellStyle name="Normal 15 3 3 6 3" xfId="22423" xr:uid="{033B7EA5-CCAC-4082-8293-47215E47EF1F}"/>
    <cellStyle name="Normal 15 3 3 6 4" xfId="39182" xr:uid="{1860FD02-FB7C-42E8-87B6-E9FD74DFACE9}"/>
    <cellStyle name="Normal 15 3 3 7" xfId="7427" xr:uid="{B9955D5E-3E06-40CF-8B17-99361960D461}"/>
    <cellStyle name="Normal 15 3 3 7 2" xfId="15807" xr:uid="{233D20C1-DE32-4809-8775-06ECB3A54551}"/>
    <cellStyle name="Normal 15 3 3 7 2 2" xfId="32567" xr:uid="{E07D28CC-8414-44A8-A752-7EF0262D5BA9}"/>
    <cellStyle name="Normal 15 3 3 7 2 3" xfId="49326" xr:uid="{4E6540A4-E25C-4D35-BB02-55AA009EE8BE}"/>
    <cellStyle name="Normal 15 3 3 7 3" xfId="24187" xr:uid="{2D2FE4ED-E57B-43AD-BB42-0A67CD26B5E8}"/>
    <cellStyle name="Normal 15 3 3 7 4" xfId="40946" xr:uid="{2C2B569A-5026-4698-B326-0B8BBF2EE9CD}"/>
    <cellStyle name="Normal 15 3 3 8" xfId="7833" xr:uid="{4A075EE4-7796-472E-8C01-D08DA5F8555B}"/>
    <cellStyle name="Normal 15 3 3 8 2" xfId="16213" xr:uid="{4F3521D2-2EE5-4C68-8D21-FBCB11E9C20E}"/>
    <cellStyle name="Normal 15 3 3 8 2 2" xfId="32973" xr:uid="{EF21DC7B-BAE0-462E-B24B-2241E987575D}"/>
    <cellStyle name="Normal 15 3 3 8 2 3" xfId="49732" xr:uid="{D473E303-EF25-4CE3-8E55-D52A5560828C}"/>
    <cellStyle name="Normal 15 3 3 8 3" xfId="24593" xr:uid="{BD119C78-44CE-4270-ADC4-9E8F959AAB5A}"/>
    <cellStyle name="Normal 15 3 3 8 4" xfId="41352" xr:uid="{3E41671D-6291-4F81-9565-546D80430DDB}"/>
    <cellStyle name="Normal 15 3 3 9" xfId="8239" xr:uid="{A719EFEE-0982-440F-827E-8244EAAC4D6E}"/>
    <cellStyle name="Normal 15 3 3 9 2" xfId="16619" xr:uid="{C420DF84-4D9E-4424-8F7F-C1A4AA699F4C}"/>
    <cellStyle name="Normal 15 3 3 9 2 2" xfId="33379" xr:uid="{C33B454E-4827-4430-84B0-60B3348D54EB}"/>
    <cellStyle name="Normal 15 3 3 9 2 3" xfId="50138" xr:uid="{CA0F54FE-000B-4390-AB60-73D896DB1770}"/>
    <cellStyle name="Normal 15 3 3 9 3" xfId="24999" xr:uid="{AF14824C-E1BD-41DA-ABCB-86F596741662}"/>
    <cellStyle name="Normal 15 3 3 9 4" xfId="41758" xr:uid="{8CE2DD8E-E474-4F32-B366-EC158CC897FF}"/>
    <cellStyle name="Normal 15 3 4" xfId="852" xr:uid="{F5915409-CD3A-44F0-9210-3B6FA40EBE7C}"/>
    <cellStyle name="Normal 15 3 4 2" xfId="4247" xr:uid="{DC482D60-F3A2-4108-8115-EECAE303B2B0}"/>
    <cellStyle name="Normal 15 3 4 2 2" xfId="12627" xr:uid="{58CC44F4-BD9D-4687-A0C2-60F02A0EF77B}"/>
    <cellStyle name="Normal 15 3 4 2 2 2" xfId="29387" xr:uid="{FC617606-FA6C-4F3B-9E79-DFF2BE19DC96}"/>
    <cellStyle name="Normal 15 3 4 2 2 3" xfId="46146" xr:uid="{DFC61E3C-2978-459A-9C49-5D41D7CD3F1C}"/>
    <cellStyle name="Normal 15 3 4 2 3" xfId="21007" xr:uid="{415D75B2-9A0F-437D-AEB6-A1517B06B1D4}"/>
    <cellStyle name="Normal 15 3 4 2 4" xfId="37766" xr:uid="{8E9C6411-9EFB-43B5-8A21-6EBC66B5103C}"/>
    <cellStyle name="Normal 15 3 4 3" xfId="5934" xr:uid="{AA5533B7-75D8-4A7A-9A60-DE00B3B4BCBB}"/>
    <cellStyle name="Normal 15 3 4 3 2" xfId="14314" xr:uid="{02380869-DA23-4B3B-8CBB-E17E43F360D9}"/>
    <cellStyle name="Normal 15 3 4 3 2 2" xfId="31074" xr:uid="{D676BBB7-37BB-4DCB-BBE0-7AC0D2569798}"/>
    <cellStyle name="Normal 15 3 4 3 2 3" xfId="47833" xr:uid="{AB46B8A6-F14C-4520-AB63-C37339D25373}"/>
    <cellStyle name="Normal 15 3 4 3 3" xfId="22694" xr:uid="{98FAD10D-ADE9-40FB-9D5B-68C5545810B2}"/>
    <cellStyle name="Normal 15 3 4 3 4" xfId="39453" xr:uid="{1EA42B35-1861-412E-A8D5-7935C373CA1F}"/>
    <cellStyle name="Normal 15 3 4 4" xfId="2670" xr:uid="{70C96842-A8AB-4B5F-81DD-BE956309B509}"/>
    <cellStyle name="Normal 15 3 4 4 2" xfId="11050" xr:uid="{7A1EA5E1-98BF-4A05-A24A-9C83D09CFD33}"/>
    <cellStyle name="Normal 15 3 4 4 2 2" xfId="27810" xr:uid="{800C5E1C-6ECA-4E70-B4F3-6BAC712A7821}"/>
    <cellStyle name="Normal 15 3 4 4 2 3" xfId="44569" xr:uid="{14D3A2F4-26DB-4D69-88A5-20762951F971}"/>
    <cellStyle name="Normal 15 3 4 4 3" xfId="19430" xr:uid="{D6C96B09-C1F3-4AB7-AD31-EA64C623DD68}"/>
    <cellStyle name="Normal 15 3 4 4 4" xfId="36189" xr:uid="{9AB52755-AE77-422F-81A4-19682BEA15D0}"/>
    <cellStyle name="Normal 15 3 4 5" xfId="9247" xr:uid="{CFE41B42-8F44-4013-BD9A-92747A8B9EE3}"/>
    <cellStyle name="Normal 15 3 4 5 2" xfId="26007" xr:uid="{35E37DD6-D301-4B23-BCDE-A0D9038E360B}"/>
    <cellStyle name="Normal 15 3 4 5 3" xfId="42766" xr:uid="{4DC8B221-4BC2-449A-A65A-E18AD18EA46C}"/>
    <cellStyle name="Normal 15 3 4 6" xfId="17627" xr:uid="{1ED137EE-DA92-40D7-A3E3-CF1A51FAB593}"/>
    <cellStyle name="Normal 15 3 4 7" xfId="34386" xr:uid="{AFB59A46-B854-4FEC-B87F-DD51413FD339}"/>
    <cellStyle name="Normal 15 3 5" xfId="1286" xr:uid="{FF7FF578-7A73-4023-A95D-860D89EF09F0}"/>
    <cellStyle name="Normal 15 3 5 2" xfId="4675" xr:uid="{D57FCA84-0868-4829-92A3-78E5451CBC64}"/>
    <cellStyle name="Normal 15 3 5 2 2" xfId="13055" xr:uid="{12F073F9-2E4D-4AD7-8103-AC450E257B42}"/>
    <cellStyle name="Normal 15 3 5 2 2 2" xfId="29815" xr:uid="{78E5EE53-54DA-4D8C-B27B-2A6CFC6198C9}"/>
    <cellStyle name="Normal 15 3 5 2 2 3" xfId="46574" xr:uid="{E5D5A142-4F43-4178-A5F7-8318A4A56D48}"/>
    <cellStyle name="Normal 15 3 5 2 3" xfId="21435" xr:uid="{64004772-3E9B-4B60-AD33-97C5DC1511DB}"/>
    <cellStyle name="Normal 15 3 5 2 4" xfId="38194" xr:uid="{FEE13AB0-ECE2-4523-8872-87701A0B950B}"/>
    <cellStyle name="Normal 15 3 5 3" xfId="6362" xr:uid="{9E16A900-9659-4868-95F7-79AA0A7F6B20}"/>
    <cellStyle name="Normal 15 3 5 3 2" xfId="14742" xr:uid="{42FDC369-1C91-4016-A057-4EA93867EE11}"/>
    <cellStyle name="Normal 15 3 5 3 2 2" xfId="31502" xr:uid="{7EB2F4AC-720E-42B7-A247-D694B5593A98}"/>
    <cellStyle name="Normal 15 3 5 3 2 3" xfId="48261" xr:uid="{CD915C18-99C7-4BAA-96C3-0F45ABA849CA}"/>
    <cellStyle name="Normal 15 3 5 3 3" xfId="23122" xr:uid="{76172C2B-410F-4B37-BD06-757CC99901D0}"/>
    <cellStyle name="Normal 15 3 5 3 4" xfId="39881" xr:uid="{D1C83AF8-593C-44E7-8448-3FD29720F14E}"/>
    <cellStyle name="Normal 15 3 5 4" xfId="3098" xr:uid="{EFAC3BD3-AF1C-4CC5-AEDA-4A5D516FEE58}"/>
    <cellStyle name="Normal 15 3 5 4 2" xfId="11478" xr:uid="{579FBF22-503B-4398-BCE0-FCE238FDFEE6}"/>
    <cellStyle name="Normal 15 3 5 4 2 2" xfId="28238" xr:uid="{78792C5D-E325-4F47-8468-A735E68652A5}"/>
    <cellStyle name="Normal 15 3 5 4 2 3" xfId="44997" xr:uid="{F8022503-1A12-4DDF-A001-82A886D8DC96}"/>
    <cellStyle name="Normal 15 3 5 4 3" xfId="19858" xr:uid="{C5443ABA-0890-4EBB-95F6-55B256A7D577}"/>
    <cellStyle name="Normal 15 3 5 4 4" xfId="36617" xr:uid="{40188EE5-34AB-4EA6-B11D-F57E312F0063}"/>
    <cellStyle name="Normal 15 3 5 5" xfId="9675" xr:uid="{9DA100F5-F6F6-4DFB-AB20-2C7E6A0CC672}"/>
    <cellStyle name="Normal 15 3 5 5 2" xfId="26435" xr:uid="{0845E0DD-5F6A-48A8-A55F-F7B099367CE0}"/>
    <cellStyle name="Normal 15 3 5 5 3" xfId="43194" xr:uid="{95C8A166-B4F5-4CC2-9EBE-EF6DFFF7D58F}"/>
    <cellStyle name="Normal 15 3 5 6" xfId="18055" xr:uid="{9A4A6E07-A8DB-4C17-B45C-C6D01269D167}"/>
    <cellStyle name="Normal 15 3 5 7" xfId="34814" xr:uid="{9932EDFE-3D36-4CDF-AC2A-B9BE1D841FEF}"/>
    <cellStyle name="Normal 15 3 6" xfId="1674" xr:uid="{DCEC62FE-9A38-4F1D-BEB4-3AD27D2F9731}"/>
    <cellStyle name="Normal 15 3 6 2" xfId="5063" xr:uid="{B8B702C6-0280-418C-9F72-BCDBC45CC5CA}"/>
    <cellStyle name="Normal 15 3 6 2 2" xfId="13443" xr:uid="{E5A2309E-AB42-4DA9-8E29-BA40D1F70F02}"/>
    <cellStyle name="Normal 15 3 6 2 2 2" xfId="30203" xr:uid="{84094052-DBF9-45F4-ADB6-24CDC6B76F59}"/>
    <cellStyle name="Normal 15 3 6 2 2 3" xfId="46962" xr:uid="{5BF9D308-E3C3-480C-94F4-8C0E83C1B23E}"/>
    <cellStyle name="Normal 15 3 6 2 3" xfId="21823" xr:uid="{3D349939-6FE6-412D-8FCB-61864D918356}"/>
    <cellStyle name="Normal 15 3 6 2 4" xfId="38582" xr:uid="{070DB62A-0587-4F8D-96FF-1696D28B59C3}"/>
    <cellStyle name="Normal 15 3 6 3" xfId="6750" xr:uid="{2006A483-3773-43F9-8519-E13646772334}"/>
    <cellStyle name="Normal 15 3 6 3 2" xfId="15130" xr:uid="{773638A5-2F03-4741-8C5B-19D489F93A2E}"/>
    <cellStyle name="Normal 15 3 6 3 2 2" xfId="31890" xr:uid="{E9B4145E-534B-4F2A-861A-A4BFAB37DF7E}"/>
    <cellStyle name="Normal 15 3 6 3 2 3" xfId="48649" xr:uid="{94E95F25-80DD-4EA9-91D6-DE294ABD8DDE}"/>
    <cellStyle name="Normal 15 3 6 3 3" xfId="23510" xr:uid="{1647D9F4-CE37-4709-A07D-07987E1CDF23}"/>
    <cellStyle name="Normal 15 3 6 3 4" xfId="40269" xr:uid="{885CB16C-A223-45E0-964A-4E05CE206EE9}"/>
    <cellStyle name="Normal 15 3 6 4" xfId="2240" xr:uid="{61DB3F03-BF9A-4A0B-ACFC-EC31B4C1181E}"/>
    <cellStyle name="Normal 15 3 6 4 2" xfId="10624" xr:uid="{B77C94FF-B5B0-46A0-99A2-A1553444F684}"/>
    <cellStyle name="Normal 15 3 6 4 2 2" xfId="27384" xr:uid="{BAE080E3-9991-4924-8040-518182BC57CD}"/>
    <cellStyle name="Normal 15 3 6 4 2 3" xfId="44143" xr:uid="{7ED5CDA0-D15C-4696-BADA-45F6EF030116}"/>
    <cellStyle name="Normal 15 3 6 4 3" xfId="19004" xr:uid="{F3C64067-FFCC-4943-B6A5-4052C3E045EB}"/>
    <cellStyle name="Normal 15 3 6 4 4" xfId="35763" xr:uid="{1AB9FA9D-5A20-4CEC-BD30-B575C2596267}"/>
    <cellStyle name="Normal 15 3 6 5" xfId="10063" xr:uid="{C9B33979-2552-42F6-BB4C-9837C85D2D5F}"/>
    <cellStyle name="Normal 15 3 6 5 2" xfId="26823" xr:uid="{9B5C5D07-7E72-4FA3-A734-4CF64632D0B1}"/>
    <cellStyle name="Normal 15 3 6 5 3" xfId="43582" xr:uid="{EF1257D7-2DA4-48AF-B38C-6B06516E0E3E}"/>
    <cellStyle name="Normal 15 3 6 6" xfId="18443" xr:uid="{3664E5E0-5095-4575-AC35-B1D02E1F807D}"/>
    <cellStyle name="Normal 15 3 6 7" xfId="35202" xr:uid="{BCCEDEA0-D135-4881-BEB8-E6832E304213}"/>
    <cellStyle name="Normal 15 3 7" xfId="3792" xr:uid="{BEED1D1F-AFBE-40D7-8A81-EB4C58F604A3}"/>
    <cellStyle name="Normal 15 3 7 2" xfId="12172" xr:uid="{0519B4CD-6E05-48EB-8DA4-E40D93C2B495}"/>
    <cellStyle name="Normal 15 3 7 2 2" xfId="28932" xr:uid="{A8574EC0-04A5-4CAC-B366-6D32C76CCEE7}"/>
    <cellStyle name="Normal 15 3 7 2 3" xfId="45691" xr:uid="{E599AA75-60CB-4323-934D-F830FD4C7291}"/>
    <cellStyle name="Normal 15 3 7 3" xfId="20552" xr:uid="{0010D979-3E2B-45E0-8512-44F09E09AF01}"/>
    <cellStyle name="Normal 15 3 7 4" xfId="37311" xr:uid="{83C87DFB-B409-42B4-81B4-B1941B1FA41B}"/>
    <cellStyle name="Normal 15 3 8" xfId="5508" xr:uid="{4BA5DB2E-5859-4DDB-A0EE-2961A4CC48AD}"/>
    <cellStyle name="Normal 15 3 8 2" xfId="13888" xr:uid="{891890B5-E1C1-4190-B14A-0E100290D4DB}"/>
    <cellStyle name="Normal 15 3 8 2 2" xfId="30648" xr:uid="{CA14C6AF-889F-4AE4-B2E8-E0F0AEF54A0D}"/>
    <cellStyle name="Normal 15 3 8 2 3" xfId="47407" xr:uid="{8544D974-178E-459D-B566-45F71F99B915}"/>
    <cellStyle name="Normal 15 3 8 3" xfId="22268" xr:uid="{48B1E0AA-F6B0-452B-8DF3-B104AE241767}"/>
    <cellStyle name="Normal 15 3 8 4" xfId="39027" xr:uid="{18C31189-23A0-4C31-B982-4980CA1C1277}"/>
    <cellStyle name="Normal 15 3 9" xfId="7156" xr:uid="{23AFCD5B-51FD-44EC-94B1-C3895170D402}"/>
    <cellStyle name="Normal 15 3 9 2" xfId="15536" xr:uid="{F79F6448-C659-420B-A199-3A60109F5FAA}"/>
    <cellStyle name="Normal 15 3 9 2 2" xfId="32296" xr:uid="{6145FAAE-721E-467C-A8AB-4ECD040192A4}"/>
    <cellStyle name="Normal 15 3 9 2 3" xfId="49055" xr:uid="{F7FDFA50-237F-4267-BEE7-2E94FD6781EA}"/>
    <cellStyle name="Normal 15 3 9 3" xfId="23916" xr:uid="{6739B19D-9421-4916-99F7-60DDEE877751}"/>
    <cellStyle name="Normal 15 3 9 4" xfId="40675" xr:uid="{F8E0C41F-D6EB-45D7-AFE5-46067B14BBD1}"/>
    <cellStyle name="Normal 15 4" xfId="566" xr:uid="{D8CFC962-FFC2-4C74-B8A5-994365C7C0AF}"/>
    <cellStyle name="Normal 15 4 10" xfId="7563" xr:uid="{88197CAF-7BF6-4D8B-AE20-1DB7D5959611}"/>
    <cellStyle name="Normal 15 4 10 2" xfId="15943" xr:uid="{1F1E269E-2839-454A-9137-25A0710FFCF7}"/>
    <cellStyle name="Normal 15 4 10 2 2" xfId="32703" xr:uid="{A79E4DEA-0D4B-4CCB-A017-2CB9A5E379E6}"/>
    <cellStyle name="Normal 15 4 10 2 3" xfId="49462" xr:uid="{2F9C1AAB-DAAF-4BDA-99B7-14D8E125E9C9}"/>
    <cellStyle name="Normal 15 4 10 3" xfId="24323" xr:uid="{63E07316-F19B-4447-8E73-D3A85E4A066E}"/>
    <cellStyle name="Normal 15 4 10 4" xfId="41082" xr:uid="{66D28989-B496-42C3-9B21-F2B19A31F703}"/>
    <cellStyle name="Normal 15 4 11" xfId="7969" xr:uid="{B1185AE9-6665-4C03-9A20-C8531F3DCD48}"/>
    <cellStyle name="Normal 15 4 11 2" xfId="16349" xr:uid="{25AC536A-6969-4D24-9DD8-481E170E5424}"/>
    <cellStyle name="Normal 15 4 11 2 2" xfId="33109" xr:uid="{5137A650-9345-41FF-BCC4-61C16579D100}"/>
    <cellStyle name="Normal 15 4 11 2 3" xfId="49868" xr:uid="{32924E71-3451-401E-850A-FA5022233170}"/>
    <cellStyle name="Normal 15 4 11 3" xfId="24729" xr:uid="{543E3BBD-44D3-4389-B4B2-F774BFEF36FB}"/>
    <cellStyle name="Normal 15 4 11 4" xfId="41488" xr:uid="{86CDCAEF-A18E-486C-8A74-48AF79106D47}"/>
    <cellStyle name="Normal 15 4 12" xfId="8375" xr:uid="{005DCF2F-2180-4372-B30F-A6E391DEE234}"/>
    <cellStyle name="Normal 15 4 12 2" xfId="16755" xr:uid="{A5B94993-D4A7-4E6F-87DA-017273CFBB0B}"/>
    <cellStyle name="Normal 15 4 12 2 2" xfId="33515" xr:uid="{AB83C6E7-B445-442F-9965-5DB26F4270BE}"/>
    <cellStyle name="Normal 15 4 12 2 3" xfId="50274" xr:uid="{9B6B0453-437A-47C7-9ACF-903F878640E5}"/>
    <cellStyle name="Normal 15 4 12 3" xfId="25135" xr:uid="{6E98F814-E042-4F7D-812A-82BA5CCF4470}"/>
    <cellStyle name="Normal 15 4 12 4" xfId="41894" xr:uid="{165ABE47-4C51-44EC-8C95-C295F0AE2E2A}"/>
    <cellStyle name="Normal 15 4 13" xfId="2113" xr:uid="{A1EA9C15-81C6-41C1-9825-E3166646ED99}"/>
    <cellStyle name="Normal 15 4 13 2" xfId="10501" xr:uid="{712AB889-D257-4B5D-A622-4290C565B93A}"/>
    <cellStyle name="Normal 15 4 13 2 2" xfId="27261" xr:uid="{2194F8CC-EAA8-4DE2-8482-FAB0EF0CC9AF}"/>
    <cellStyle name="Normal 15 4 13 2 3" xfId="44020" xr:uid="{C01D75D8-DA13-4524-A6F1-C48128A204F0}"/>
    <cellStyle name="Normal 15 4 13 3" xfId="18881" xr:uid="{FB85C0C1-20B6-4290-8B02-105DAFBC43F4}"/>
    <cellStyle name="Normal 15 4 13 4" xfId="35640" xr:uid="{2FE2F02F-2AC8-49D0-8CD2-DAD79C1463B7}"/>
    <cellStyle name="Normal 15 4 14" xfId="8977" xr:uid="{DD3BDC25-B03C-4E6D-A7DD-449D9BFE8C69}"/>
    <cellStyle name="Normal 15 4 14 2" xfId="25737" xr:uid="{4FD8E141-5323-4259-980C-108C5CD10008}"/>
    <cellStyle name="Normal 15 4 14 3" xfId="42496" xr:uid="{8BA8FF58-4349-4561-A24F-A656AE9F2726}"/>
    <cellStyle name="Normal 15 4 15" xfId="17357" xr:uid="{B9677787-4C70-4CD8-AF2D-D4B4F6652409}"/>
    <cellStyle name="Normal 15 4 16" xfId="34116" xr:uid="{229ACB87-91E3-4BE4-99D6-002AE62FB49A}"/>
    <cellStyle name="Normal 15 4 2" xfId="567" xr:uid="{24B7EC61-C56B-478B-BAD5-95F5E5F878B4}"/>
    <cellStyle name="Normal 15 4 2 10" xfId="8512" xr:uid="{47D8EE47-0C2B-4B63-8E5F-36C2B5221665}"/>
    <cellStyle name="Normal 15 4 2 10 2" xfId="16892" xr:uid="{1EF14E8F-5A99-4809-98DB-6F5430851BB7}"/>
    <cellStyle name="Normal 15 4 2 10 2 2" xfId="33652" xr:uid="{9A83BA6A-EA36-4BE6-8895-931480CDDD6B}"/>
    <cellStyle name="Normal 15 4 2 10 2 3" xfId="50411" xr:uid="{FF981623-D8EF-479D-A3AD-A63DCF7F34DF}"/>
    <cellStyle name="Normal 15 4 2 10 3" xfId="25272" xr:uid="{C2F256BD-1C08-4FC0-935F-C473F523F88F}"/>
    <cellStyle name="Normal 15 4 2 10 4" xfId="42031" xr:uid="{3476E772-105D-4C48-A24D-C171794BF7F1}"/>
    <cellStyle name="Normal 15 4 2 11" xfId="2399" xr:uid="{B998DD1A-4A88-436C-B6C1-C59B13A50A10}"/>
    <cellStyle name="Normal 15 4 2 11 2" xfId="10781" xr:uid="{55D809B5-8EDC-41D8-9A6A-AF9200376FF7}"/>
    <cellStyle name="Normal 15 4 2 11 2 2" xfId="27541" xr:uid="{BBB7ED6E-F7C8-4F25-9490-E48B82494050}"/>
    <cellStyle name="Normal 15 4 2 11 2 3" xfId="44300" xr:uid="{A21C556D-C114-4823-ABD4-6DD048991FB8}"/>
    <cellStyle name="Normal 15 4 2 11 3" xfId="19161" xr:uid="{0E8967CA-6704-4EE6-B81D-EECD641D6507}"/>
    <cellStyle name="Normal 15 4 2 11 4" xfId="35920" xr:uid="{373E9552-68AF-4C85-B249-8B09CB14D117}"/>
    <cellStyle name="Normal 15 4 2 12" xfId="8978" xr:uid="{590DE395-38E6-46DB-80C3-04BF7B62D081}"/>
    <cellStyle name="Normal 15 4 2 12 2" xfId="25738" xr:uid="{E90908E1-15D0-4874-B077-5206DA4D0F43}"/>
    <cellStyle name="Normal 15 4 2 12 3" xfId="42497" xr:uid="{A9937DFE-5FF9-458B-8CC8-B2521D61D4AA}"/>
    <cellStyle name="Normal 15 4 2 13" xfId="17358" xr:uid="{DF3812C0-89EA-4737-9FE6-7765F392912E}"/>
    <cellStyle name="Normal 15 4 2 14" xfId="34117" xr:uid="{76A3D9F9-97CF-4567-B7D6-24644ED9274C}"/>
    <cellStyle name="Normal 15 4 2 2" xfId="1009" xr:uid="{3DD3E423-D0BB-4B99-802A-0298D10B81DD}"/>
    <cellStyle name="Normal 15 4 2 2 2" xfId="4404" xr:uid="{60022324-D991-4998-9D78-5D97E975096B}"/>
    <cellStyle name="Normal 15 4 2 2 2 2" xfId="12784" xr:uid="{99A9C029-FBAE-4E96-8BE2-0202BD053CA7}"/>
    <cellStyle name="Normal 15 4 2 2 2 2 2" xfId="29544" xr:uid="{0374601E-5A09-490C-880A-8D0C89557520}"/>
    <cellStyle name="Normal 15 4 2 2 2 2 3" xfId="46303" xr:uid="{E14642F3-7174-4B6C-B2DC-A1A4FD0B6B3F}"/>
    <cellStyle name="Normal 15 4 2 2 2 3" xfId="21164" xr:uid="{6C2E5B01-18E9-4C04-8A08-E0913E334196}"/>
    <cellStyle name="Normal 15 4 2 2 2 4" xfId="37923" xr:uid="{25D640C8-62C5-44CF-B29C-31E90EB2B48E}"/>
    <cellStyle name="Normal 15 4 2 2 3" xfId="6091" xr:uid="{C7907E54-30F9-4ED7-BF62-BF986DD6B8A4}"/>
    <cellStyle name="Normal 15 4 2 2 3 2" xfId="14471" xr:uid="{303B35DC-8FE4-44C0-B14A-E3D5185DD8F9}"/>
    <cellStyle name="Normal 15 4 2 2 3 2 2" xfId="31231" xr:uid="{1455DE12-2775-4B65-9CB1-DD4158B0AEEC}"/>
    <cellStyle name="Normal 15 4 2 2 3 2 3" xfId="47990" xr:uid="{3F3261FD-5604-4F4A-BBF9-794DA88096B9}"/>
    <cellStyle name="Normal 15 4 2 2 3 3" xfId="22851" xr:uid="{BD4B2AFF-8A8E-4644-B387-2EDF6201976A}"/>
    <cellStyle name="Normal 15 4 2 2 3 4" xfId="39610" xr:uid="{5CC298D3-6B1E-4CD0-B235-28D39E0BEB94}"/>
    <cellStyle name="Normal 15 4 2 2 4" xfId="2827" xr:uid="{D05CBAB4-0DFE-4B94-97A7-E71CA2D81327}"/>
    <cellStyle name="Normal 15 4 2 2 4 2" xfId="11207" xr:uid="{24FDFEA3-D00A-48C3-B346-883701824BA0}"/>
    <cellStyle name="Normal 15 4 2 2 4 2 2" xfId="27967" xr:uid="{C2E4DA31-FDBD-4985-9C06-3C6B9B3D6357}"/>
    <cellStyle name="Normal 15 4 2 2 4 2 3" xfId="44726" xr:uid="{50CEDC84-2512-4E21-BB5F-EB92A8E2C4C5}"/>
    <cellStyle name="Normal 15 4 2 2 4 3" xfId="19587" xr:uid="{665D8AFC-D24F-445B-8A13-162627963569}"/>
    <cellStyle name="Normal 15 4 2 2 4 4" xfId="36346" xr:uid="{0A865398-6393-4824-A4A6-6B24F53B66EB}"/>
    <cellStyle name="Normal 15 4 2 2 5" xfId="9404" xr:uid="{F4117688-0084-481D-9C98-484EC0ABDD6E}"/>
    <cellStyle name="Normal 15 4 2 2 5 2" xfId="26164" xr:uid="{838052CA-E6D8-41AB-91FA-88A8CFCE962D}"/>
    <cellStyle name="Normal 15 4 2 2 5 3" xfId="42923" xr:uid="{10481F73-282A-4AE5-98D5-5E38A85E0806}"/>
    <cellStyle name="Normal 15 4 2 2 6" xfId="17784" xr:uid="{DD43BF3F-8032-4838-9F11-CFA180D30FEF}"/>
    <cellStyle name="Normal 15 4 2 2 7" xfId="34543" xr:uid="{75F182C2-0017-4FDC-837C-BA6BD6AC117B}"/>
    <cellStyle name="Normal 15 4 2 3" xfId="1443" xr:uid="{A52FB965-B512-4B04-AF8D-0162EEFEBCD3}"/>
    <cellStyle name="Normal 15 4 2 3 2" xfId="4832" xr:uid="{B69A33BD-7695-47F9-9DE2-E297C729FDF8}"/>
    <cellStyle name="Normal 15 4 2 3 2 2" xfId="13212" xr:uid="{F95B31A7-E482-4C40-9600-99D6862E7942}"/>
    <cellStyle name="Normal 15 4 2 3 2 2 2" xfId="29972" xr:uid="{B85C5A48-231D-4EA4-A6D4-A04EE06E11E2}"/>
    <cellStyle name="Normal 15 4 2 3 2 2 3" xfId="46731" xr:uid="{AB6688A1-1983-47C7-AE2C-C439C66FD26A}"/>
    <cellStyle name="Normal 15 4 2 3 2 3" xfId="21592" xr:uid="{8C33206B-3FF0-4718-9964-E6E080BB5CD3}"/>
    <cellStyle name="Normal 15 4 2 3 2 4" xfId="38351" xr:uid="{927B1977-01F8-492B-A479-8EC9FFDD8092}"/>
    <cellStyle name="Normal 15 4 2 3 3" xfId="6519" xr:uid="{BF563A2D-E92F-4755-9238-86F7ADB69923}"/>
    <cellStyle name="Normal 15 4 2 3 3 2" xfId="14899" xr:uid="{0C2369D1-ADDD-4108-A29D-348FA2D73CC5}"/>
    <cellStyle name="Normal 15 4 2 3 3 2 2" xfId="31659" xr:uid="{226E8348-DE9A-48F3-907F-BB42A2568ACA}"/>
    <cellStyle name="Normal 15 4 2 3 3 2 3" xfId="48418" xr:uid="{C5B03F7C-DE5E-4867-BFA3-A6F3CF3AF7E9}"/>
    <cellStyle name="Normal 15 4 2 3 3 3" xfId="23279" xr:uid="{0986349F-CB6D-40CF-B0FD-3CC49094B85C}"/>
    <cellStyle name="Normal 15 4 2 3 3 4" xfId="40038" xr:uid="{92CA7872-277E-47B1-8CD3-8A45B047D24E}"/>
    <cellStyle name="Normal 15 4 2 3 4" xfId="3255" xr:uid="{43237AE5-3110-4E2F-879C-807976BC83EE}"/>
    <cellStyle name="Normal 15 4 2 3 4 2" xfId="11635" xr:uid="{36837862-883A-4B3E-87D7-3C748977AAEB}"/>
    <cellStyle name="Normal 15 4 2 3 4 2 2" xfId="28395" xr:uid="{855A490D-3995-481D-860E-26C248866D36}"/>
    <cellStyle name="Normal 15 4 2 3 4 2 3" xfId="45154" xr:uid="{384CE62E-72B2-457A-9376-DDC13873142A}"/>
    <cellStyle name="Normal 15 4 2 3 4 3" xfId="20015" xr:uid="{EC7503B3-B49B-40E2-8611-77E7F8DDE035}"/>
    <cellStyle name="Normal 15 4 2 3 4 4" xfId="36774" xr:uid="{D15CCE18-1079-4D06-B6A6-C4BC9DE0E9EA}"/>
    <cellStyle name="Normal 15 4 2 3 5" xfId="9832" xr:uid="{A6C5E7C9-F9BE-401A-A3B6-0630F9EB358B}"/>
    <cellStyle name="Normal 15 4 2 3 5 2" xfId="26592" xr:uid="{AD7316CE-80F8-42B4-B360-9D0024FB08B4}"/>
    <cellStyle name="Normal 15 4 2 3 5 3" xfId="43351" xr:uid="{E8D7DFD2-F262-480E-B0EE-756598275720}"/>
    <cellStyle name="Normal 15 4 2 3 6" xfId="18212" xr:uid="{638592AD-6194-4580-9216-63F42CCC438A}"/>
    <cellStyle name="Normal 15 4 2 3 7" xfId="34971" xr:uid="{B6FBC736-628F-4369-B7E7-18303E66A049}"/>
    <cellStyle name="Normal 15 4 2 4" xfId="1812" xr:uid="{518F3923-D8D7-4FE5-B4F5-44A5440CD64F}"/>
    <cellStyle name="Normal 15 4 2 4 2" xfId="5201" xr:uid="{0AA8AB40-A8FD-40A6-BC5D-B46EAFFF23DD}"/>
    <cellStyle name="Normal 15 4 2 4 2 2" xfId="13581" xr:uid="{E1E2EA22-0C4D-479B-ADDC-2740D6690EE4}"/>
    <cellStyle name="Normal 15 4 2 4 2 2 2" xfId="30341" xr:uid="{AB3FF625-F010-4021-8C90-7499B401C7CC}"/>
    <cellStyle name="Normal 15 4 2 4 2 2 3" xfId="47100" xr:uid="{6E40C61B-CAB0-4FC1-A3B2-0B0737C276A9}"/>
    <cellStyle name="Normal 15 4 2 4 2 3" xfId="21961" xr:uid="{3FAB9754-8DDD-4FF4-A3C3-03889BDF5656}"/>
    <cellStyle name="Normal 15 4 2 4 2 4" xfId="38720" xr:uid="{15589ADC-F6DC-4A85-A91B-C7C2A1B4F959}"/>
    <cellStyle name="Normal 15 4 2 4 3" xfId="6888" xr:uid="{3F847344-D0A6-44AF-A5E2-B863C599B142}"/>
    <cellStyle name="Normal 15 4 2 4 3 2" xfId="15268" xr:uid="{E368A61F-6FA8-499D-92F8-2BE487D90F5E}"/>
    <cellStyle name="Normal 15 4 2 4 3 2 2" xfId="32028" xr:uid="{E1D4B8B6-6392-4D95-AA3F-AD96C9B6D7EF}"/>
    <cellStyle name="Normal 15 4 2 4 3 2 3" xfId="48787" xr:uid="{A1D72E80-8A15-43F3-94B4-127B7DFA4EEC}"/>
    <cellStyle name="Normal 15 4 2 4 3 3" xfId="23648" xr:uid="{2F56ABF2-6DF8-4885-979B-BC4B446DF2F8}"/>
    <cellStyle name="Normal 15 4 2 4 3 4" xfId="40407" xr:uid="{A22B19D1-5679-4116-94B7-4F45D5689438}"/>
    <cellStyle name="Normal 15 4 2 4 4" xfId="3512" xr:uid="{796C1CFA-2F04-4216-AB85-2C916D1368DF}"/>
    <cellStyle name="Normal 15 4 2 4 4 2" xfId="11892" xr:uid="{7420BD89-84FA-4AFF-BD8B-29F93516DAD5}"/>
    <cellStyle name="Normal 15 4 2 4 4 2 2" xfId="28652" xr:uid="{CC47F5D9-8906-4C11-9EF6-180F86E32A75}"/>
    <cellStyle name="Normal 15 4 2 4 4 2 3" xfId="45411" xr:uid="{43186C28-566D-4AB2-8293-568379793D73}"/>
    <cellStyle name="Normal 15 4 2 4 4 3" xfId="20272" xr:uid="{CA27AB6D-88F2-4140-B823-EC01C3877EEA}"/>
    <cellStyle name="Normal 15 4 2 4 4 4" xfId="37031" xr:uid="{254F36DB-AF19-4BCB-8B19-0C5D97CB3E23}"/>
    <cellStyle name="Normal 15 4 2 4 5" xfId="10201" xr:uid="{2FFB502C-195E-4AAC-8B3B-D1C579534EBF}"/>
    <cellStyle name="Normal 15 4 2 4 5 2" xfId="26961" xr:uid="{98DA5BE5-EB68-4C03-950F-66B7DF1E429E}"/>
    <cellStyle name="Normal 15 4 2 4 5 3" xfId="43720" xr:uid="{4FE0A142-8723-422F-9B11-61BEBFE09F18}"/>
    <cellStyle name="Normal 15 4 2 4 6" xfId="18581" xr:uid="{BEE48EFE-2348-4D58-99D4-0024444C3761}"/>
    <cellStyle name="Normal 15 4 2 4 7" xfId="35340" xr:uid="{A3D5BA74-592D-4A59-9CF2-42344E92E208}"/>
    <cellStyle name="Normal 15 4 2 5" xfId="3931" xr:uid="{6CA5FC7E-84E4-4DE0-A187-BF46835E09E3}"/>
    <cellStyle name="Normal 15 4 2 5 2" xfId="12311" xr:uid="{CC638AFD-DD2A-464F-81F6-3CA26D555BCB}"/>
    <cellStyle name="Normal 15 4 2 5 2 2" xfId="29071" xr:uid="{A22BE3ED-0C08-4AFB-8637-C0BE6B0D6C83}"/>
    <cellStyle name="Normal 15 4 2 5 2 3" xfId="45830" xr:uid="{63144CA7-CC3F-4C60-95B4-EB77B9861252}"/>
    <cellStyle name="Normal 15 4 2 5 3" xfId="20691" xr:uid="{AFDAE040-93BC-4D9D-B474-36CB168B45E3}"/>
    <cellStyle name="Normal 15 4 2 5 4" xfId="37450" xr:uid="{84D00F31-B86A-4989-A169-DBF0D9206F4B}"/>
    <cellStyle name="Normal 15 4 2 6" xfId="5665" xr:uid="{45E66164-86D5-4AB5-860D-F536E737FDE6}"/>
    <cellStyle name="Normal 15 4 2 6 2" xfId="14045" xr:uid="{09BE05A8-9025-43AB-9804-741E643B31F4}"/>
    <cellStyle name="Normal 15 4 2 6 2 2" xfId="30805" xr:uid="{1C341A9A-E103-4140-A1BA-DF35CC801E9D}"/>
    <cellStyle name="Normal 15 4 2 6 2 3" xfId="47564" xr:uid="{235DB183-42AB-4F55-81D4-BEC3BF339905}"/>
    <cellStyle name="Normal 15 4 2 6 3" xfId="22425" xr:uid="{B68D47F7-4F1C-428C-8965-14F94FBA999A}"/>
    <cellStyle name="Normal 15 4 2 6 4" xfId="39184" xr:uid="{61461949-36A5-45D7-AA22-4C0DE8B0F246}"/>
    <cellStyle name="Normal 15 4 2 7" xfId="7294" xr:uid="{F2279483-B985-49A7-88BC-A6EFE9FA418A}"/>
    <cellStyle name="Normal 15 4 2 7 2" xfId="15674" xr:uid="{F9804663-F936-4A3A-9BB2-40482AE51929}"/>
    <cellStyle name="Normal 15 4 2 7 2 2" xfId="32434" xr:uid="{DAAD5400-B526-4841-BED0-26AB4D5C96B6}"/>
    <cellStyle name="Normal 15 4 2 7 2 3" xfId="49193" xr:uid="{9B055A7C-CD7C-4D72-AF14-A26CD7F41C06}"/>
    <cellStyle name="Normal 15 4 2 7 3" xfId="24054" xr:uid="{85968455-ACC6-48A1-9587-91276814C73F}"/>
    <cellStyle name="Normal 15 4 2 7 4" xfId="40813" xr:uid="{A8D7BDD5-90D1-4BFD-ABF1-D76B0C51ADCD}"/>
    <cellStyle name="Normal 15 4 2 8" xfId="7700" xr:uid="{63644C85-01C6-493C-B5E5-7384119B01A2}"/>
    <cellStyle name="Normal 15 4 2 8 2" xfId="16080" xr:uid="{D0E06061-6B52-4739-85C4-32823A805F72}"/>
    <cellStyle name="Normal 15 4 2 8 2 2" xfId="32840" xr:uid="{DC3C6839-B053-4849-B717-1A77F7E9809F}"/>
    <cellStyle name="Normal 15 4 2 8 2 3" xfId="49599" xr:uid="{EB24CAA5-B0FA-40DE-83D3-9A5AFA38547A}"/>
    <cellStyle name="Normal 15 4 2 8 3" xfId="24460" xr:uid="{EBB7C707-82FC-4EDD-83FE-8EA1A57641B9}"/>
    <cellStyle name="Normal 15 4 2 8 4" xfId="41219" xr:uid="{A3641147-51FC-47EB-B887-C741EEB88044}"/>
    <cellStyle name="Normal 15 4 2 9" xfId="8106" xr:uid="{DD2E99A5-2130-46C9-B280-0E03B84025F6}"/>
    <cellStyle name="Normal 15 4 2 9 2" xfId="16486" xr:uid="{0ED01F49-FCA7-4410-8313-DE8077B21ECB}"/>
    <cellStyle name="Normal 15 4 2 9 2 2" xfId="33246" xr:uid="{142B01B0-1838-483B-B580-AE67DE011AB0}"/>
    <cellStyle name="Normal 15 4 2 9 2 3" xfId="50005" xr:uid="{9A3DE1C9-F789-42E7-B37A-0DB5FFDA57FB}"/>
    <cellStyle name="Normal 15 4 2 9 3" xfId="24866" xr:uid="{481638AF-B4CF-4CD6-BBCD-0A3D7FB1DE9B}"/>
    <cellStyle name="Normal 15 4 2 9 4" xfId="41625" xr:uid="{825393E5-B060-49B5-8A2E-487E3C473CB9}"/>
    <cellStyle name="Normal 15 4 3" xfId="568" xr:uid="{EE14F85E-EC30-4DAC-BA35-6EB3723CF68B}"/>
    <cellStyle name="Normal 15 4 3 10" xfId="8646" xr:uid="{3C344149-24C7-4437-92D1-E6060277EFE3}"/>
    <cellStyle name="Normal 15 4 3 10 2" xfId="17026" xr:uid="{F33A847E-D5AB-47B4-9B9C-3725FF81B2C5}"/>
    <cellStyle name="Normal 15 4 3 10 2 2" xfId="33786" xr:uid="{D68E6D37-0448-45D0-A07D-861A4ACBA788}"/>
    <cellStyle name="Normal 15 4 3 10 2 3" xfId="50545" xr:uid="{1BB3D2A3-7A6F-46D1-9E04-32DA6BD57259}"/>
    <cellStyle name="Normal 15 4 3 10 3" xfId="25406" xr:uid="{E59B45D0-0740-48A3-80F7-6C14B7C4F8D6}"/>
    <cellStyle name="Normal 15 4 3 10 4" xfId="42165" xr:uid="{C813F5AB-2B58-4790-AAA1-D41E4E45CFE5}"/>
    <cellStyle name="Normal 15 4 3 11" xfId="2400" xr:uid="{B59CFCF3-6B15-440B-8786-7C2175979868}"/>
    <cellStyle name="Normal 15 4 3 11 2" xfId="10782" xr:uid="{FC48C4DA-DD3E-4660-8209-201A3C9F1800}"/>
    <cellStyle name="Normal 15 4 3 11 2 2" xfId="27542" xr:uid="{87151716-8DE1-4582-B43F-76C25150BE21}"/>
    <cellStyle name="Normal 15 4 3 11 2 3" xfId="44301" xr:uid="{7CEC1C72-BF2D-4850-8FA4-68E03FD1C4B3}"/>
    <cellStyle name="Normal 15 4 3 11 3" xfId="19162" xr:uid="{901E8488-7CAC-424D-A13C-D1823E665DFC}"/>
    <cellStyle name="Normal 15 4 3 11 4" xfId="35921" xr:uid="{2352FB7A-8282-41D1-B30E-30C22D40F565}"/>
    <cellStyle name="Normal 15 4 3 12" xfId="8979" xr:uid="{82267AA8-04FB-4410-99B5-88AD951AB2C5}"/>
    <cellStyle name="Normal 15 4 3 12 2" xfId="25739" xr:uid="{C497611A-2412-4492-AE89-6E5DED636632}"/>
    <cellStyle name="Normal 15 4 3 12 3" xfId="42498" xr:uid="{27A44344-5DC6-450A-BEBB-5387B2EDC8D7}"/>
    <cellStyle name="Normal 15 4 3 13" xfId="17359" xr:uid="{B41DC2C7-4574-480C-A101-D1EB2520A354}"/>
    <cellStyle name="Normal 15 4 3 14" xfId="34118" xr:uid="{B79ADD6E-5743-4677-BBE1-76B77EE5B46F}"/>
    <cellStyle name="Normal 15 4 3 2" xfId="1010" xr:uid="{6712C4B2-531B-46CE-BC62-DF90910E1470}"/>
    <cellStyle name="Normal 15 4 3 2 2" xfId="4405" xr:uid="{75AFE959-1B94-4F58-85B6-C757669E76B3}"/>
    <cellStyle name="Normal 15 4 3 2 2 2" xfId="12785" xr:uid="{930AE916-CF35-4333-8860-7E55268DBE3F}"/>
    <cellStyle name="Normal 15 4 3 2 2 2 2" xfId="29545" xr:uid="{25E5EC23-BC0A-4808-AD77-780DCE466ECB}"/>
    <cellStyle name="Normal 15 4 3 2 2 2 3" xfId="46304" xr:uid="{56495172-76F7-4CA7-A8D1-430EEFA7069C}"/>
    <cellStyle name="Normal 15 4 3 2 2 3" xfId="21165" xr:uid="{23C42E15-B874-4F22-9E11-67C725FE98D2}"/>
    <cellStyle name="Normal 15 4 3 2 2 4" xfId="37924" xr:uid="{C39751D9-99A4-40D0-9375-D0BF870B1016}"/>
    <cellStyle name="Normal 15 4 3 2 3" xfId="6092" xr:uid="{AC2956CC-3541-4D3A-9BED-E18BE35D3A5F}"/>
    <cellStyle name="Normal 15 4 3 2 3 2" xfId="14472" xr:uid="{C650D2E4-B028-43E7-86B3-CABFBC8E4149}"/>
    <cellStyle name="Normal 15 4 3 2 3 2 2" xfId="31232" xr:uid="{4AFCF7A2-C878-438C-9661-BAF82A9E0CC2}"/>
    <cellStyle name="Normal 15 4 3 2 3 2 3" xfId="47991" xr:uid="{C1F25721-4CF2-41E4-AF0C-EC7434A286FB}"/>
    <cellStyle name="Normal 15 4 3 2 3 3" xfId="22852" xr:uid="{1480B9B2-6C52-43B6-8329-3B8FB1B9C11E}"/>
    <cellStyle name="Normal 15 4 3 2 3 4" xfId="39611" xr:uid="{B1E38365-DDF6-4565-A2B5-BB68DF93EA6B}"/>
    <cellStyle name="Normal 15 4 3 2 4" xfId="2828" xr:uid="{CBCD2849-2E49-4B2D-8FBF-B92863476E32}"/>
    <cellStyle name="Normal 15 4 3 2 4 2" xfId="11208" xr:uid="{2F169C7F-D20D-42D2-99B8-6C8614AC5884}"/>
    <cellStyle name="Normal 15 4 3 2 4 2 2" xfId="27968" xr:uid="{93B7807F-667C-4F7D-91C7-14B8AF197B1F}"/>
    <cellStyle name="Normal 15 4 3 2 4 2 3" xfId="44727" xr:uid="{3D3508A9-86E2-4332-A952-371CBD06D9E7}"/>
    <cellStyle name="Normal 15 4 3 2 4 3" xfId="19588" xr:uid="{47A93F53-DE39-4E47-9317-FABE8FF13BF4}"/>
    <cellStyle name="Normal 15 4 3 2 4 4" xfId="36347" xr:uid="{9DD4906E-E2DD-4376-853A-26E19CC9644F}"/>
    <cellStyle name="Normal 15 4 3 2 5" xfId="9405" xr:uid="{D88A2338-33C2-43CC-BDDF-8009987C16D9}"/>
    <cellStyle name="Normal 15 4 3 2 5 2" xfId="26165" xr:uid="{4B657236-8218-4BEB-92D0-33AA541736F7}"/>
    <cellStyle name="Normal 15 4 3 2 5 3" xfId="42924" xr:uid="{03FEAD79-D135-4915-97B8-C6B5081CB756}"/>
    <cellStyle name="Normal 15 4 3 2 6" xfId="17785" xr:uid="{A1BA60BC-301C-46AC-A3BA-CE0B701D8399}"/>
    <cellStyle name="Normal 15 4 3 2 7" xfId="34544" xr:uid="{3309CC8F-30B2-4AF0-A9D7-40D714CC420D}"/>
    <cellStyle name="Normal 15 4 3 3" xfId="1444" xr:uid="{5FEB443C-7D35-436C-979B-8211FC26A501}"/>
    <cellStyle name="Normal 15 4 3 3 2" xfId="4833" xr:uid="{42B5FC79-3FEA-4768-911D-45E775BC7D0C}"/>
    <cellStyle name="Normal 15 4 3 3 2 2" xfId="13213" xr:uid="{21654EA5-6F6C-4AAB-8D19-F5EA63A77802}"/>
    <cellStyle name="Normal 15 4 3 3 2 2 2" xfId="29973" xr:uid="{BBE30BB7-52BF-4C61-A0EA-54850658643F}"/>
    <cellStyle name="Normal 15 4 3 3 2 2 3" xfId="46732" xr:uid="{96EA03AA-AD98-40F6-9D61-80D92E712C0E}"/>
    <cellStyle name="Normal 15 4 3 3 2 3" xfId="21593" xr:uid="{055DF3FC-F64E-4B9C-BFFD-1F3F58F31B31}"/>
    <cellStyle name="Normal 15 4 3 3 2 4" xfId="38352" xr:uid="{A4BEE4A3-5A6D-4E13-ADC3-5E8DA8522E1F}"/>
    <cellStyle name="Normal 15 4 3 3 3" xfId="6520" xr:uid="{89E8FE05-BE03-41C1-8B62-9E32ACDB80FA}"/>
    <cellStyle name="Normal 15 4 3 3 3 2" xfId="14900" xr:uid="{82513D61-85F8-47E6-93B5-9D23AEF90B4F}"/>
    <cellStyle name="Normal 15 4 3 3 3 2 2" xfId="31660" xr:uid="{DBE3CC14-9D3F-4121-B357-326CF9BFFEBF}"/>
    <cellStyle name="Normal 15 4 3 3 3 2 3" xfId="48419" xr:uid="{45D4CF1F-5BC4-41B4-A5AA-D2527113BA6D}"/>
    <cellStyle name="Normal 15 4 3 3 3 3" xfId="23280" xr:uid="{13046ED4-8D20-4E29-A298-5A07C7699934}"/>
    <cellStyle name="Normal 15 4 3 3 3 4" xfId="40039" xr:uid="{EAA8FB6D-2EDF-4151-B5FE-DE18B2A1D9ED}"/>
    <cellStyle name="Normal 15 4 3 3 4" xfId="3256" xr:uid="{E387AFBC-FA37-4F8E-A05F-19BEC060CD8B}"/>
    <cellStyle name="Normal 15 4 3 3 4 2" xfId="11636" xr:uid="{54FC29DA-BB4D-4283-A684-55B8D5CCE34A}"/>
    <cellStyle name="Normal 15 4 3 3 4 2 2" xfId="28396" xr:uid="{E98E0397-0510-47FF-85C9-76AFB30B48B5}"/>
    <cellStyle name="Normal 15 4 3 3 4 2 3" xfId="45155" xr:uid="{96F49251-0CA2-4D55-9C3A-372481E5F576}"/>
    <cellStyle name="Normal 15 4 3 3 4 3" xfId="20016" xr:uid="{9F536A3E-1943-43F6-9656-DC414C86120E}"/>
    <cellStyle name="Normal 15 4 3 3 4 4" xfId="36775" xr:uid="{CD127D94-41E9-49F0-AE4E-D40DFBE3F3EC}"/>
    <cellStyle name="Normal 15 4 3 3 5" xfId="9833" xr:uid="{9F75A92A-3CE3-4113-BE55-6B6F2010CC8D}"/>
    <cellStyle name="Normal 15 4 3 3 5 2" xfId="26593" xr:uid="{28C9FF49-2FAB-4D24-B0BD-15935750B7C9}"/>
    <cellStyle name="Normal 15 4 3 3 5 3" xfId="43352" xr:uid="{69D16EBB-9E39-4C65-90E6-2300B63F3184}"/>
    <cellStyle name="Normal 15 4 3 3 6" xfId="18213" xr:uid="{A9ACDFA6-8C64-4B9E-B72E-1E1172E6E93A}"/>
    <cellStyle name="Normal 15 4 3 3 7" xfId="34972" xr:uid="{2562F3D5-2EF4-499E-858B-5E0117E9F762}"/>
    <cellStyle name="Normal 15 4 3 4" xfId="1946" xr:uid="{7B0FFD5A-A6FD-49AA-86B1-D49E4699500C}"/>
    <cellStyle name="Normal 15 4 3 4 2" xfId="5335" xr:uid="{8857CD5F-6B12-49F9-A252-775F5B439C09}"/>
    <cellStyle name="Normal 15 4 3 4 2 2" xfId="13715" xr:uid="{5978B55A-A048-41A6-8D7D-A50C6F425057}"/>
    <cellStyle name="Normal 15 4 3 4 2 2 2" xfId="30475" xr:uid="{555DB818-45A0-44D1-A190-C1AD97AB0488}"/>
    <cellStyle name="Normal 15 4 3 4 2 2 3" xfId="47234" xr:uid="{A86377A2-1531-4A38-BACC-3401CACB1B53}"/>
    <cellStyle name="Normal 15 4 3 4 2 3" xfId="22095" xr:uid="{E119FB84-AC36-4D54-AEB8-B0EC0324576B}"/>
    <cellStyle name="Normal 15 4 3 4 2 4" xfId="38854" xr:uid="{7B08A276-4A9D-4A07-95A3-625B229D1CEA}"/>
    <cellStyle name="Normal 15 4 3 4 3" xfId="7022" xr:uid="{1B037C07-1453-4347-8D2A-125EFAA866A2}"/>
    <cellStyle name="Normal 15 4 3 4 3 2" xfId="15402" xr:uid="{F3FBBEF7-245A-453A-9F0A-2DFB54229E5F}"/>
    <cellStyle name="Normal 15 4 3 4 3 2 2" xfId="32162" xr:uid="{4BA6A36F-6D0A-486A-B532-38E3EE301B2E}"/>
    <cellStyle name="Normal 15 4 3 4 3 2 3" xfId="48921" xr:uid="{46A23563-3761-4AE4-B6A8-97A4DE4346F7}"/>
    <cellStyle name="Normal 15 4 3 4 3 3" xfId="23782" xr:uid="{894B1EBD-75D1-4FE1-9C8D-22D0313C5107}"/>
    <cellStyle name="Normal 15 4 3 4 3 4" xfId="40541" xr:uid="{A43B5703-0D27-4E3F-B94E-D7CA328F7442}"/>
    <cellStyle name="Normal 15 4 3 4 4" xfId="3645" xr:uid="{84682017-1716-4653-8D25-1C7425DA0152}"/>
    <cellStyle name="Normal 15 4 3 4 4 2" xfId="12025" xr:uid="{5A7D00A8-02F7-4796-BC9C-7498490F56C3}"/>
    <cellStyle name="Normal 15 4 3 4 4 2 2" xfId="28785" xr:uid="{64DF2939-563C-4560-93E2-25A961F64AEF}"/>
    <cellStyle name="Normal 15 4 3 4 4 2 3" xfId="45544" xr:uid="{C7FF8CD8-F4C1-43A6-BF1B-083411186B98}"/>
    <cellStyle name="Normal 15 4 3 4 4 3" xfId="20405" xr:uid="{C7082E74-4EC2-4CAD-AE45-F2CFE67C4F62}"/>
    <cellStyle name="Normal 15 4 3 4 4 4" xfId="37164" xr:uid="{483511FC-B326-4A64-BDC2-E37CC4A9C8E5}"/>
    <cellStyle name="Normal 15 4 3 4 5" xfId="10335" xr:uid="{B62C1A81-D6CE-4CD1-A3AE-481C64D7956B}"/>
    <cellStyle name="Normal 15 4 3 4 5 2" xfId="27095" xr:uid="{C9723431-78AA-4011-A63F-520CA5DEAD01}"/>
    <cellStyle name="Normal 15 4 3 4 5 3" xfId="43854" xr:uid="{F687543E-0D21-4137-A2FF-5E70009F4B42}"/>
    <cellStyle name="Normal 15 4 3 4 6" xfId="18715" xr:uid="{0654208A-8F69-42FB-8AB7-E1FC6A1FF4E3}"/>
    <cellStyle name="Normal 15 4 3 4 7" xfId="35474" xr:uid="{94DC6D7A-175A-4B62-9C9A-A91711D5BB15}"/>
    <cellStyle name="Normal 15 4 3 5" xfId="4065" xr:uid="{500BA2B7-1F3A-4105-AA51-B6EC7DE5B3F7}"/>
    <cellStyle name="Normal 15 4 3 5 2" xfId="12445" xr:uid="{430991F0-FBF3-4A5A-9BCA-EF1E0D1A5AD2}"/>
    <cellStyle name="Normal 15 4 3 5 2 2" xfId="29205" xr:uid="{1B69679E-9886-47F0-8843-5024298E1722}"/>
    <cellStyle name="Normal 15 4 3 5 2 3" xfId="45964" xr:uid="{5D39918C-215D-4785-A709-FB28F9A332B8}"/>
    <cellStyle name="Normal 15 4 3 5 3" xfId="20825" xr:uid="{02466F42-01B4-41C0-A604-79416F84C649}"/>
    <cellStyle name="Normal 15 4 3 5 4" xfId="37584" xr:uid="{DE3243CD-6467-4E94-A206-348DC4366B1B}"/>
    <cellStyle name="Normal 15 4 3 6" xfId="5666" xr:uid="{4BF4CE01-CA61-4FB9-8A1E-206FFF823549}"/>
    <cellStyle name="Normal 15 4 3 6 2" xfId="14046" xr:uid="{A851F3C2-20B6-4402-9329-766CB51FF979}"/>
    <cellStyle name="Normal 15 4 3 6 2 2" xfId="30806" xr:uid="{910946FD-F773-4181-B354-94A622F190CC}"/>
    <cellStyle name="Normal 15 4 3 6 2 3" xfId="47565" xr:uid="{6EDA48BC-A746-4841-A577-F355619A90D4}"/>
    <cellStyle name="Normal 15 4 3 6 3" xfId="22426" xr:uid="{E361B36B-17BE-4058-AF62-147E03D28A8D}"/>
    <cellStyle name="Normal 15 4 3 6 4" xfId="39185" xr:uid="{6451A3AB-2E29-4618-AF78-32D9B13AC67F}"/>
    <cellStyle name="Normal 15 4 3 7" xfId="7428" xr:uid="{2A435A7B-8EF0-47F7-A154-4B5EBE8AC464}"/>
    <cellStyle name="Normal 15 4 3 7 2" xfId="15808" xr:uid="{C29AD416-33DC-48A6-B19C-D63668D85F3A}"/>
    <cellStyle name="Normal 15 4 3 7 2 2" xfId="32568" xr:uid="{4734F7F9-39C0-4B03-AB6B-40B59B1E558D}"/>
    <cellStyle name="Normal 15 4 3 7 2 3" xfId="49327" xr:uid="{D7879070-5363-4C97-AC3B-08F6770C5EB7}"/>
    <cellStyle name="Normal 15 4 3 7 3" xfId="24188" xr:uid="{5E5BC795-2F2E-4D7C-A474-9E27525D6866}"/>
    <cellStyle name="Normal 15 4 3 7 4" xfId="40947" xr:uid="{AC7A02BD-74C9-4A9C-9CFD-9097771C48B7}"/>
    <cellStyle name="Normal 15 4 3 8" xfId="7834" xr:uid="{131D2F49-4CB3-4B83-AC83-D979A938ABDD}"/>
    <cellStyle name="Normal 15 4 3 8 2" xfId="16214" xr:uid="{725CEE91-A5CE-4C5B-BA12-07FAEAB03C5A}"/>
    <cellStyle name="Normal 15 4 3 8 2 2" xfId="32974" xr:uid="{D75110CB-C0D1-4414-90DF-B66D103CF4FD}"/>
    <cellStyle name="Normal 15 4 3 8 2 3" xfId="49733" xr:uid="{3BE37826-D37A-47E2-AB36-4A462F35CF6E}"/>
    <cellStyle name="Normal 15 4 3 8 3" xfId="24594" xr:uid="{E990ECF0-DD99-4787-A124-5957819D2DF5}"/>
    <cellStyle name="Normal 15 4 3 8 4" xfId="41353" xr:uid="{E981F018-A1E5-49E7-9170-61614A0A0B2D}"/>
    <cellStyle name="Normal 15 4 3 9" xfId="8240" xr:uid="{61FCAA1B-F9F8-4FD9-95AE-B95A3AEFFD52}"/>
    <cellStyle name="Normal 15 4 3 9 2" xfId="16620" xr:uid="{CD1A94CC-D132-4787-B5BD-007A61A11388}"/>
    <cellStyle name="Normal 15 4 3 9 2 2" xfId="33380" xr:uid="{932E3F8A-7EDE-46B6-AF3C-E7B7701DEDC2}"/>
    <cellStyle name="Normal 15 4 3 9 2 3" xfId="50139" xr:uid="{E84763ED-0F25-4254-AFD4-AF8BEE75B346}"/>
    <cellStyle name="Normal 15 4 3 9 3" xfId="25000" xr:uid="{230D1351-6C41-4C08-9AA1-938DD9638CC8}"/>
    <cellStyle name="Normal 15 4 3 9 4" xfId="41759" xr:uid="{253E8C36-9C5C-46F3-8589-36CAEEB5B5BC}"/>
    <cellStyle name="Normal 15 4 4" xfId="1008" xr:uid="{390845CE-6817-4D38-9F86-F0E57664FC51}"/>
    <cellStyle name="Normal 15 4 4 2" xfId="4403" xr:uid="{52C5DB07-295C-40C5-9235-6FAF4733E83F}"/>
    <cellStyle name="Normal 15 4 4 2 2" xfId="12783" xr:uid="{A426E861-ADF6-485C-86B2-EEB3E0EE05CA}"/>
    <cellStyle name="Normal 15 4 4 2 2 2" xfId="29543" xr:uid="{9CD539C4-F995-497D-8E38-685596759879}"/>
    <cellStyle name="Normal 15 4 4 2 2 3" xfId="46302" xr:uid="{5F26DEB4-383A-4323-B6B4-29FCBC01C2EE}"/>
    <cellStyle name="Normal 15 4 4 2 3" xfId="21163" xr:uid="{8A23CBBA-05D4-4B36-85AF-3996478629AC}"/>
    <cellStyle name="Normal 15 4 4 2 4" xfId="37922" xr:uid="{295B4664-F384-4117-8FD5-2FAD21B303F8}"/>
    <cellStyle name="Normal 15 4 4 3" xfId="6090" xr:uid="{5A1B8357-EF86-4CA6-A9EA-68F1384F231D}"/>
    <cellStyle name="Normal 15 4 4 3 2" xfId="14470" xr:uid="{C08BD6ED-5BD3-44A3-8413-E82D986320DD}"/>
    <cellStyle name="Normal 15 4 4 3 2 2" xfId="31230" xr:uid="{536953DB-C42A-4ADB-8B72-08F7DA2D43F7}"/>
    <cellStyle name="Normal 15 4 4 3 2 3" xfId="47989" xr:uid="{64EE5FE3-3E7D-43E0-BBC4-0E818CFD97CA}"/>
    <cellStyle name="Normal 15 4 4 3 3" xfId="22850" xr:uid="{DA5EA403-BC0D-4796-B8DF-10BD4B8DF72E}"/>
    <cellStyle name="Normal 15 4 4 3 4" xfId="39609" xr:uid="{5B40D27F-04C8-43F4-A2DA-183FA6595E0E}"/>
    <cellStyle name="Normal 15 4 4 4" xfId="2826" xr:uid="{D71CAE8F-FF9C-44A2-B0DC-D5E956AE9254}"/>
    <cellStyle name="Normal 15 4 4 4 2" xfId="11206" xr:uid="{0A2B0619-69AF-4D7A-AFA5-79F8153FBE2B}"/>
    <cellStyle name="Normal 15 4 4 4 2 2" xfId="27966" xr:uid="{C4B76F65-0383-4B2F-82EB-48B86E05477A}"/>
    <cellStyle name="Normal 15 4 4 4 2 3" xfId="44725" xr:uid="{B715C9B4-356E-4DA1-97D2-7D5F9E4E57E4}"/>
    <cellStyle name="Normal 15 4 4 4 3" xfId="19586" xr:uid="{0899A344-1693-4523-B97E-E8D3A3C74A66}"/>
    <cellStyle name="Normal 15 4 4 4 4" xfId="36345" xr:uid="{6AEDBFDE-9B93-4685-8057-F54937766B20}"/>
    <cellStyle name="Normal 15 4 4 5" xfId="9403" xr:uid="{D6997919-4281-4E0E-AD2D-54470F4AA93F}"/>
    <cellStyle name="Normal 15 4 4 5 2" xfId="26163" xr:uid="{6BC6C137-5C8D-4F90-A3E1-BFCD3879B8C0}"/>
    <cellStyle name="Normal 15 4 4 5 3" xfId="42922" xr:uid="{D61A2AD0-63D4-481F-9EB2-CAFF050164E0}"/>
    <cellStyle name="Normal 15 4 4 6" xfId="17783" xr:uid="{9FBA7D92-3F3E-4A37-9C38-A576D4519AA9}"/>
    <cellStyle name="Normal 15 4 4 7" xfId="34542" xr:uid="{DBFC21AA-D6A9-4557-81FE-18995C815B7B}"/>
    <cellStyle name="Normal 15 4 5" xfId="1442" xr:uid="{57D126E9-D45B-49EF-A365-4125FD33C336}"/>
    <cellStyle name="Normal 15 4 5 2" xfId="4831" xr:uid="{377B403E-220E-4DFF-AAAF-14EC3A925097}"/>
    <cellStyle name="Normal 15 4 5 2 2" xfId="13211" xr:uid="{876E730A-9BB1-45C7-AEB5-A4AEE694EA73}"/>
    <cellStyle name="Normal 15 4 5 2 2 2" xfId="29971" xr:uid="{A59399AF-3EA2-4EB2-B75A-579624C26A2F}"/>
    <cellStyle name="Normal 15 4 5 2 2 3" xfId="46730" xr:uid="{C48A6A8F-4CA8-4F7D-8D1C-F62C389DA646}"/>
    <cellStyle name="Normal 15 4 5 2 3" xfId="21591" xr:uid="{81A0D0E6-3C86-4D25-850C-CCC3D255847F}"/>
    <cellStyle name="Normal 15 4 5 2 4" xfId="38350" xr:uid="{5F9DA2C8-BC4B-4D76-AD59-23EC550DA276}"/>
    <cellStyle name="Normal 15 4 5 3" xfId="6518" xr:uid="{BD818650-9490-4B81-9BE8-7B676A18D695}"/>
    <cellStyle name="Normal 15 4 5 3 2" xfId="14898" xr:uid="{DB2B1397-396A-424C-A654-586D33BC9FE2}"/>
    <cellStyle name="Normal 15 4 5 3 2 2" xfId="31658" xr:uid="{FCCE6924-667B-4BE1-BB4D-95FB5E65F6C2}"/>
    <cellStyle name="Normal 15 4 5 3 2 3" xfId="48417" xr:uid="{641F5415-98FE-41B5-852A-37E1FBC45C28}"/>
    <cellStyle name="Normal 15 4 5 3 3" xfId="23278" xr:uid="{84E3B0BA-876D-490C-93EF-440BF22E4A30}"/>
    <cellStyle name="Normal 15 4 5 3 4" xfId="40037" xr:uid="{EEEC547E-6042-4ABC-9BEA-B8967900E12B}"/>
    <cellStyle name="Normal 15 4 5 4" xfId="3254" xr:uid="{AEC9AE2D-0D4D-4C66-82B7-92C4D83D50EC}"/>
    <cellStyle name="Normal 15 4 5 4 2" xfId="11634" xr:uid="{3F93C0E7-D0EA-413D-92F3-64201F8FA8FF}"/>
    <cellStyle name="Normal 15 4 5 4 2 2" xfId="28394" xr:uid="{D147C58D-30EE-4522-A692-5EF70DEDE2E8}"/>
    <cellStyle name="Normal 15 4 5 4 2 3" xfId="45153" xr:uid="{01244145-1561-45C1-90FB-C4297792971C}"/>
    <cellStyle name="Normal 15 4 5 4 3" xfId="20014" xr:uid="{454F7112-456C-4CB9-835C-A1A37B1ADDD6}"/>
    <cellStyle name="Normal 15 4 5 4 4" xfId="36773" xr:uid="{482F7E07-7FBD-4609-BA65-61CB6AE7B8E0}"/>
    <cellStyle name="Normal 15 4 5 5" xfId="9831" xr:uid="{E8A6A1EB-631E-4453-80DE-88BFCA63D186}"/>
    <cellStyle name="Normal 15 4 5 5 2" xfId="26591" xr:uid="{9E197C3B-B0DC-4109-AB3F-5E018DB8F277}"/>
    <cellStyle name="Normal 15 4 5 5 3" xfId="43350" xr:uid="{36DAD3B7-D6B1-494D-A8C2-281E7AE78CA3}"/>
    <cellStyle name="Normal 15 4 5 6" xfId="18211" xr:uid="{E8EEB19F-8C6D-43C8-ACA0-3E28C8B2B087}"/>
    <cellStyle name="Normal 15 4 5 7" xfId="34970" xr:uid="{30F1B637-43D3-4507-8CB6-7A8455A5D476}"/>
    <cellStyle name="Normal 15 4 6" xfId="1675" xr:uid="{AEAC26EB-6615-4C0F-92BF-FA170F9FB6C8}"/>
    <cellStyle name="Normal 15 4 6 2" xfId="5064" xr:uid="{93CAF6E2-4DD8-4311-80E7-D912B6BF2C10}"/>
    <cellStyle name="Normal 15 4 6 2 2" xfId="13444" xr:uid="{F5FB8409-A046-427E-A72B-07CBA771944F}"/>
    <cellStyle name="Normal 15 4 6 2 2 2" xfId="30204" xr:uid="{EBBD277A-0BB7-466B-87AA-47B805911763}"/>
    <cellStyle name="Normal 15 4 6 2 2 3" xfId="46963" xr:uid="{10365C69-9818-4D80-A5D0-43D7FF4C29A1}"/>
    <cellStyle name="Normal 15 4 6 2 3" xfId="21824" xr:uid="{7A9C222A-782F-49AD-907F-C17CE0D8A77A}"/>
    <cellStyle name="Normal 15 4 6 2 4" xfId="38583" xr:uid="{561A47E0-46C5-4F9C-A3E0-8F5C5DC49611}"/>
    <cellStyle name="Normal 15 4 6 3" xfId="6751" xr:uid="{EE2513B4-8B7B-49B4-900D-37528E7AAB0E}"/>
    <cellStyle name="Normal 15 4 6 3 2" xfId="15131" xr:uid="{2368F204-2825-46F5-8262-E693BA5AA0AC}"/>
    <cellStyle name="Normal 15 4 6 3 2 2" xfId="31891" xr:uid="{63908102-84A1-4771-9D7F-79C57470FBBE}"/>
    <cellStyle name="Normal 15 4 6 3 2 3" xfId="48650" xr:uid="{F02C5B09-805E-40F5-A297-80453DB96D17}"/>
    <cellStyle name="Normal 15 4 6 3 3" xfId="23511" xr:uid="{978FDEF0-BC11-49E6-B495-90BB3F53E93A}"/>
    <cellStyle name="Normal 15 4 6 3 4" xfId="40270" xr:uid="{1CBD463E-6D93-48BF-9047-15E284E5FC9A}"/>
    <cellStyle name="Normal 15 4 6 4" xfId="2398" xr:uid="{14581023-FB66-4F36-8626-0436355F0930}"/>
    <cellStyle name="Normal 15 4 6 4 2" xfId="10780" xr:uid="{7272E11E-FA26-4E3E-A4F2-CAF6F67CB74C}"/>
    <cellStyle name="Normal 15 4 6 4 2 2" xfId="27540" xr:uid="{5DBA0BA0-568B-4DE7-A7A7-8518E7093C08}"/>
    <cellStyle name="Normal 15 4 6 4 2 3" xfId="44299" xr:uid="{F06589E6-43D9-4C55-995E-7BCCEFFDEDCC}"/>
    <cellStyle name="Normal 15 4 6 4 3" xfId="19160" xr:uid="{BC5921C7-D171-42DC-99F9-B1D3B6BE4A06}"/>
    <cellStyle name="Normal 15 4 6 4 4" xfId="35919" xr:uid="{61D50299-6FAC-43AD-AC24-6C74BD79D726}"/>
    <cellStyle name="Normal 15 4 6 5" xfId="10064" xr:uid="{147DACC2-AD53-485A-9046-E1D3B8265F2D}"/>
    <cellStyle name="Normal 15 4 6 5 2" xfId="26824" xr:uid="{75304BD1-8485-4578-A5E0-FB3DB702E2E9}"/>
    <cellStyle name="Normal 15 4 6 5 3" xfId="43583" xr:uid="{22B41732-BEA0-4861-8B55-A98D48D02494}"/>
    <cellStyle name="Normal 15 4 6 6" xfId="18444" xr:uid="{3A3C651E-73A2-4012-921B-EB6B34A3A4F9}"/>
    <cellStyle name="Normal 15 4 6 7" xfId="35203" xr:uid="{3B186186-1286-49B0-8738-F92A631390FF}"/>
    <cellStyle name="Normal 15 4 7" xfId="3793" xr:uid="{C2CA2794-9A14-4E77-9FEF-EBEF1AB2D7C4}"/>
    <cellStyle name="Normal 15 4 7 2" xfId="12173" xr:uid="{A8C8AAEB-C611-4BA6-995D-FEBFAC77D876}"/>
    <cellStyle name="Normal 15 4 7 2 2" xfId="28933" xr:uid="{D356CE25-9786-438F-B246-95D462AF45B3}"/>
    <cellStyle name="Normal 15 4 7 2 3" xfId="45692" xr:uid="{189B3EAF-5665-472C-A780-8548519CE508}"/>
    <cellStyle name="Normal 15 4 7 3" xfId="20553" xr:uid="{6CC28496-58A9-4A82-9EA1-5606809A6C71}"/>
    <cellStyle name="Normal 15 4 7 4" xfId="37312" xr:uid="{B09572EC-7FD8-439E-86A2-FE36FC8CD039}"/>
    <cellStyle name="Normal 15 4 8" xfId="5664" xr:uid="{D87738B3-3A74-436F-82A7-B8C1FC4EA47C}"/>
    <cellStyle name="Normal 15 4 8 2" xfId="14044" xr:uid="{571A141E-B57A-4AB1-9AA4-9AE463B75D99}"/>
    <cellStyle name="Normal 15 4 8 2 2" xfId="30804" xr:uid="{6B0D1632-21F4-42A2-8921-1EE6FC2A19DE}"/>
    <cellStyle name="Normal 15 4 8 2 3" xfId="47563" xr:uid="{C68EFC32-A8EB-4A40-95CD-1DC5F78043DF}"/>
    <cellStyle name="Normal 15 4 8 3" xfId="22424" xr:uid="{804629FC-358D-4DFA-9727-2894A3F63F16}"/>
    <cellStyle name="Normal 15 4 8 4" xfId="39183" xr:uid="{08985C95-0D7D-4DD0-83A6-20ADE8636495}"/>
    <cellStyle name="Normal 15 4 9" xfId="7157" xr:uid="{F230024D-CAAD-45A9-AE2D-CF523B36E755}"/>
    <cellStyle name="Normal 15 4 9 2" xfId="15537" xr:uid="{8B0F1EDD-B12E-46CB-A553-6D628134C5C7}"/>
    <cellStyle name="Normal 15 4 9 2 2" xfId="32297" xr:uid="{CAF367C7-0452-4746-9679-7B9297A7AA18}"/>
    <cellStyle name="Normal 15 4 9 2 3" xfId="49056" xr:uid="{B35D50DA-C0C9-4F96-BDC5-76945BB25AF9}"/>
    <cellStyle name="Normal 15 4 9 3" xfId="23917" xr:uid="{B6C758D8-3433-4F2C-BE36-818F462D1C76}"/>
    <cellStyle name="Normal 15 4 9 4" xfId="40676" xr:uid="{6AD17D8C-871E-4596-8C4C-B95C5EEC989E}"/>
    <cellStyle name="Normal 15 5" xfId="569" xr:uid="{64B2C750-04FE-4CEC-A92A-F5591942CE8B}"/>
    <cellStyle name="Normal 15 5 10" xfId="7638" xr:uid="{18A73448-2AD5-4BCF-8858-6C0A4440BAA5}"/>
    <cellStyle name="Normal 15 5 10 2" xfId="16018" xr:uid="{0D4AB3A0-0604-4EF4-98A3-E8BD50269A94}"/>
    <cellStyle name="Normal 15 5 10 2 2" xfId="32778" xr:uid="{2821F52A-C8A6-49F8-A935-6DC402422926}"/>
    <cellStyle name="Normal 15 5 10 2 3" xfId="49537" xr:uid="{16322A85-2180-492D-ABF1-BB4D1CF81325}"/>
    <cellStyle name="Normal 15 5 10 3" xfId="24398" xr:uid="{597F5BE7-2F91-419E-BD83-F75F8696C971}"/>
    <cellStyle name="Normal 15 5 10 4" xfId="41157" xr:uid="{1AC9483E-9188-47B9-86B3-ACEA1C36EB68}"/>
    <cellStyle name="Normal 15 5 11" xfId="8044" xr:uid="{8BB83E09-2F94-404F-B006-88FE49BB5156}"/>
    <cellStyle name="Normal 15 5 11 2" xfId="16424" xr:uid="{F1EDA7E9-547D-425A-BA56-CF180A6CCD54}"/>
    <cellStyle name="Normal 15 5 11 2 2" xfId="33184" xr:uid="{AD225932-E0C0-44E2-850C-488C84CE0E9B}"/>
    <cellStyle name="Normal 15 5 11 2 3" xfId="49943" xr:uid="{69B9C776-8D74-49E6-B9C1-457F2EFA2434}"/>
    <cellStyle name="Normal 15 5 11 3" xfId="24804" xr:uid="{1173BFE1-9185-4848-B0F6-830394E87A01}"/>
    <cellStyle name="Normal 15 5 11 4" xfId="41563" xr:uid="{C228C58A-E138-4130-8477-FF0152CA50A5}"/>
    <cellStyle name="Normal 15 5 12" xfId="8450" xr:uid="{E1C8A3B8-8BF4-4F1A-88DF-007F4E6887CA}"/>
    <cellStyle name="Normal 15 5 12 2" xfId="16830" xr:uid="{4B0836BE-DDB7-4462-84E1-2BD19A0E1723}"/>
    <cellStyle name="Normal 15 5 12 2 2" xfId="33590" xr:uid="{0B75E91C-8353-40C8-8FE2-2E9110400DA6}"/>
    <cellStyle name="Normal 15 5 12 2 3" xfId="50349" xr:uid="{0CE6C609-E59B-4AF1-9DDC-119370BC02E1}"/>
    <cellStyle name="Normal 15 5 12 3" xfId="25210" xr:uid="{497CB022-8463-4420-A75D-86082CA157F3}"/>
    <cellStyle name="Normal 15 5 12 4" xfId="41969" xr:uid="{2CB8CDDF-572F-4429-BA04-4AAFBD4EDD34}"/>
    <cellStyle name="Normal 15 5 13" xfId="2137" xr:uid="{DD1E6F48-785B-416D-AF18-0D14DFE7D1B6}"/>
    <cellStyle name="Normal 15 5 13 2" xfId="10525" xr:uid="{2CB3EAE5-2604-4441-8DE8-6EF7FF542ADD}"/>
    <cellStyle name="Normal 15 5 13 2 2" xfId="27285" xr:uid="{B9E9573E-3792-40A8-9A79-49E3ADC188EF}"/>
    <cellStyle name="Normal 15 5 13 2 3" xfId="44044" xr:uid="{B45706BB-5708-48C7-A067-D27BD23C2501}"/>
    <cellStyle name="Normal 15 5 13 3" xfId="18905" xr:uid="{3E88F2EB-D871-4B9B-A9AC-037F10C6090D}"/>
    <cellStyle name="Normal 15 5 13 4" xfId="35664" xr:uid="{55793E19-0238-4F93-A475-AAEDBECC8D42}"/>
    <cellStyle name="Normal 15 5 14" xfId="8980" xr:uid="{1775A2D7-A3C6-4FBE-B700-EE8E4BB50E60}"/>
    <cellStyle name="Normal 15 5 14 2" xfId="25740" xr:uid="{E54E5547-17F6-473F-BCA7-0480BD1677D7}"/>
    <cellStyle name="Normal 15 5 14 3" xfId="42499" xr:uid="{A63EB034-4CE9-4931-829E-F16E26544474}"/>
    <cellStyle name="Normal 15 5 15" xfId="17360" xr:uid="{8533FC9C-E305-43EA-B0FA-29D5568F239C}"/>
    <cellStyle name="Normal 15 5 16" xfId="34119" xr:uid="{7859A097-9363-4057-BC65-60B0AD5E8F52}"/>
    <cellStyle name="Normal 15 5 2" xfId="570" xr:uid="{7C4F9F85-B334-48EE-ADD9-071A4C1A943E}"/>
    <cellStyle name="Normal 15 5 2 10" xfId="8513" xr:uid="{077D0945-CA13-447A-956E-1D1003718A79}"/>
    <cellStyle name="Normal 15 5 2 10 2" xfId="16893" xr:uid="{99BB66DD-E91E-4ADA-9B50-7FB9259065AB}"/>
    <cellStyle name="Normal 15 5 2 10 2 2" xfId="33653" xr:uid="{CD159BDF-65F7-464B-91F5-B1105C5B5368}"/>
    <cellStyle name="Normal 15 5 2 10 2 3" xfId="50412" xr:uid="{DCDC31F9-3FB2-4FC1-A8BC-3660AB94C422}"/>
    <cellStyle name="Normal 15 5 2 10 3" xfId="25273" xr:uid="{86E04286-A037-41A9-A313-13AD568A8DEC}"/>
    <cellStyle name="Normal 15 5 2 10 4" xfId="42032" xr:uid="{88298547-87CF-44E3-8860-D043612BD6B3}"/>
    <cellStyle name="Normal 15 5 2 11" xfId="2402" xr:uid="{AB320562-2F86-4435-AB8C-20EB510335F2}"/>
    <cellStyle name="Normal 15 5 2 11 2" xfId="10784" xr:uid="{B3AD5C04-4351-4252-9D0D-55CB208BAA74}"/>
    <cellStyle name="Normal 15 5 2 11 2 2" xfId="27544" xr:uid="{429BFC96-52BC-478B-8AAE-1FBF869BADCC}"/>
    <cellStyle name="Normal 15 5 2 11 2 3" xfId="44303" xr:uid="{8A53EC25-4A02-491E-AB0F-0FC3CABBBE1D}"/>
    <cellStyle name="Normal 15 5 2 11 3" xfId="19164" xr:uid="{18FD754C-FBAC-4AEA-9C73-D132C24DB932}"/>
    <cellStyle name="Normal 15 5 2 11 4" xfId="35923" xr:uid="{1B892011-8DBE-4CDC-89E2-C155F102B007}"/>
    <cellStyle name="Normal 15 5 2 12" xfId="8981" xr:uid="{F132EFAF-CD1D-4E26-92C3-C43D595ECCAA}"/>
    <cellStyle name="Normal 15 5 2 12 2" xfId="25741" xr:uid="{58B05274-2490-4254-8B20-52E3B29A5D6D}"/>
    <cellStyle name="Normal 15 5 2 12 3" xfId="42500" xr:uid="{C1B4D077-ED4A-4D54-9FF5-9616C2FB02C0}"/>
    <cellStyle name="Normal 15 5 2 13" xfId="17361" xr:uid="{39C721B5-A38D-4500-A712-9AA25C3DFE2D}"/>
    <cellStyle name="Normal 15 5 2 14" xfId="34120" xr:uid="{9A7A9345-2DB4-430D-9D63-ABA802F8CC30}"/>
    <cellStyle name="Normal 15 5 2 2" xfId="1012" xr:uid="{D5979068-9A9D-4645-B57C-199B54E4D91B}"/>
    <cellStyle name="Normal 15 5 2 2 2" xfId="4407" xr:uid="{27AABA57-5E76-48D9-A139-9C40F90BC3EE}"/>
    <cellStyle name="Normal 15 5 2 2 2 2" xfId="12787" xr:uid="{5596A45E-263C-438E-B754-DC12D0EF0BCC}"/>
    <cellStyle name="Normal 15 5 2 2 2 2 2" xfId="29547" xr:uid="{2297AF4E-468C-46B2-B004-E75DA0F82D12}"/>
    <cellStyle name="Normal 15 5 2 2 2 2 3" xfId="46306" xr:uid="{7B4412A2-884E-4753-8CFC-B51F2A90B8E2}"/>
    <cellStyle name="Normal 15 5 2 2 2 3" xfId="21167" xr:uid="{8AE9B771-0822-4EC5-AD83-FEA8E639CE36}"/>
    <cellStyle name="Normal 15 5 2 2 2 4" xfId="37926" xr:uid="{09D05145-220C-4918-B16E-F38F4C3DA83F}"/>
    <cellStyle name="Normal 15 5 2 2 3" xfId="6094" xr:uid="{70803F7E-E713-4A09-BC18-C1625377ED28}"/>
    <cellStyle name="Normal 15 5 2 2 3 2" xfId="14474" xr:uid="{A96ADFF5-68DC-4687-B2B4-6028AE6C0C4D}"/>
    <cellStyle name="Normal 15 5 2 2 3 2 2" xfId="31234" xr:uid="{3EDC5426-F71F-4A6F-8DA0-40C09EC497BF}"/>
    <cellStyle name="Normal 15 5 2 2 3 2 3" xfId="47993" xr:uid="{49026B4C-4F33-4445-977C-1E1B478F8F97}"/>
    <cellStyle name="Normal 15 5 2 2 3 3" xfId="22854" xr:uid="{8A79B7BB-777A-4E75-9FB0-361AE6DE3B68}"/>
    <cellStyle name="Normal 15 5 2 2 3 4" xfId="39613" xr:uid="{96335358-6C40-4B15-BB46-FF989EE0D73B}"/>
    <cellStyle name="Normal 15 5 2 2 4" xfId="2830" xr:uid="{0A006D19-62C3-4E36-83CB-5FA4A82526D4}"/>
    <cellStyle name="Normal 15 5 2 2 4 2" xfId="11210" xr:uid="{7ABC31D4-89CE-4024-8695-9CC649B48D01}"/>
    <cellStyle name="Normal 15 5 2 2 4 2 2" xfId="27970" xr:uid="{327A14B2-7232-41F4-BABE-70A510A6BDFB}"/>
    <cellStyle name="Normal 15 5 2 2 4 2 3" xfId="44729" xr:uid="{4B9954C2-1A74-40DC-AD55-635B63819215}"/>
    <cellStyle name="Normal 15 5 2 2 4 3" xfId="19590" xr:uid="{4772525E-A054-42D4-A303-03D377DCD0AF}"/>
    <cellStyle name="Normal 15 5 2 2 4 4" xfId="36349" xr:uid="{BA7154C4-D06E-471C-AA14-6F30900E7702}"/>
    <cellStyle name="Normal 15 5 2 2 5" xfId="9407" xr:uid="{0A214CF8-4550-4CAA-9387-F8EC1323A9DF}"/>
    <cellStyle name="Normal 15 5 2 2 5 2" xfId="26167" xr:uid="{A13D13F7-97C6-4890-9B53-30415593A503}"/>
    <cellStyle name="Normal 15 5 2 2 5 3" xfId="42926" xr:uid="{D60A2AB9-B7C8-44EA-AB45-A4808FAB87E5}"/>
    <cellStyle name="Normal 15 5 2 2 6" xfId="17787" xr:uid="{A0F3F927-42FB-4766-A5DD-F92024CCBBD3}"/>
    <cellStyle name="Normal 15 5 2 2 7" xfId="34546" xr:uid="{357F0D8C-4ECA-437C-9FBE-9C2B45FA4C16}"/>
    <cellStyle name="Normal 15 5 2 3" xfId="1446" xr:uid="{A6B7F716-4A5A-4D57-8CA6-5083D01AD78D}"/>
    <cellStyle name="Normal 15 5 2 3 2" xfId="4835" xr:uid="{F3DCD60B-DA2D-4FF1-8765-497A82DE780D}"/>
    <cellStyle name="Normal 15 5 2 3 2 2" xfId="13215" xr:uid="{EF41D3ED-741D-4F73-AE83-E2BE7E800C42}"/>
    <cellStyle name="Normal 15 5 2 3 2 2 2" xfId="29975" xr:uid="{F56A937A-0D82-4472-B358-F4FBEF8464E8}"/>
    <cellStyle name="Normal 15 5 2 3 2 2 3" xfId="46734" xr:uid="{37BFDE1D-28F8-49E3-B775-0F2A6BF37E66}"/>
    <cellStyle name="Normal 15 5 2 3 2 3" xfId="21595" xr:uid="{6159BF16-108B-4D00-BD88-66A20DE04D10}"/>
    <cellStyle name="Normal 15 5 2 3 2 4" xfId="38354" xr:uid="{B4CC43C9-49A1-4274-9E66-AF20FF2FD0AE}"/>
    <cellStyle name="Normal 15 5 2 3 3" xfId="6522" xr:uid="{7E30CCC2-4E4D-4490-AAEE-758D19598D18}"/>
    <cellStyle name="Normal 15 5 2 3 3 2" xfId="14902" xr:uid="{D8288243-0687-487F-8993-AAE4833B17FC}"/>
    <cellStyle name="Normal 15 5 2 3 3 2 2" xfId="31662" xr:uid="{6A34F10D-A35C-4EB5-80CC-026BB9B0E4C9}"/>
    <cellStyle name="Normal 15 5 2 3 3 2 3" xfId="48421" xr:uid="{96D79A46-8498-4DDE-A5AC-942DE76E857A}"/>
    <cellStyle name="Normal 15 5 2 3 3 3" xfId="23282" xr:uid="{8CF7A605-353A-405C-8447-E8D7548E48BF}"/>
    <cellStyle name="Normal 15 5 2 3 3 4" xfId="40041" xr:uid="{99C8A6D9-5BAC-4F62-A5F8-6D8F9766B5FD}"/>
    <cellStyle name="Normal 15 5 2 3 4" xfId="3258" xr:uid="{6C96FA2B-078E-4151-BC6C-BF05D464496D}"/>
    <cellStyle name="Normal 15 5 2 3 4 2" xfId="11638" xr:uid="{DECB8E39-0DE7-496E-BF73-CA34E7352FBB}"/>
    <cellStyle name="Normal 15 5 2 3 4 2 2" xfId="28398" xr:uid="{41043776-4E12-4A52-B137-6019519B67AB}"/>
    <cellStyle name="Normal 15 5 2 3 4 2 3" xfId="45157" xr:uid="{F35BCE32-59D4-442C-B99A-5EF77028B868}"/>
    <cellStyle name="Normal 15 5 2 3 4 3" xfId="20018" xr:uid="{4CFE09E3-E374-4383-A7AA-9B91B731C4FE}"/>
    <cellStyle name="Normal 15 5 2 3 4 4" xfId="36777" xr:uid="{4A05444A-276E-4610-B57C-B38F1D8CF36B}"/>
    <cellStyle name="Normal 15 5 2 3 5" xfId="9835" xr:uid="{F677AA2F-6745-4F26-BFCB-25FAB6B4A69C}"/>
    <cellStyle name="Normal 15 5 2 3 5 2" xfId="26595" xr:uid="{A4CB0929-3378-444A-A33D-8E1C6FCEE2EC}"/>
    <cellStyle name="Normal 15 5 2 3 5 3" xfId="43354" xr:uid="{0143A815-7CE3-4F4E-A05E-24B470D94E41}"/>
    <cellStyle name="Normal 15 5 2 3 6" xfId="18215" xr:uid="{0A3E9F78-7378-4520-B417-B4ABBA484544}"/>
    <cellStyle name="Normal 15 5 2 3 7" xfId="34974" xr:uid="{9E6DD5C5-37FF-434A-B083-6CFF6D891454}"/>
    <cellStyle name="Normal 15 5 2 4" xfId="1813" xr:uid="{BCD407DC-55D6-49E7-929F-B0D5D9BF2738}"/>
    <cellStyle name="Normal 15 5 2 4 2" xfId="5202" xr:uid="{BBD6CF3B-8469-4327-94FA-6C4B7F4B8CEF}"/>
    <cellStyle name="Normal 15 5 2 4 2 2" xfId="13582" xr:uid="{A3B92F27-8EF4-4EE0-8373-BE9C45D531A5}"/>
    <cellStyle name="Normal 15 5 2 4 2 2 2" xfId="30342" xr:uid="{36747A50-B477-44C7-A576-017541194669}"/>
    <cellStyle name="Normal 15 5 2 4 2 2 3" xfId="47101" xr:uid="{250396AF-1717-42B0-A16F-0957FBDA5CAA}"/>
    <cellStyle name="Normal 15 5 2 4 2 3" xfId="21962" xr:uid="{B8AFBFE5-5063-418B-8AAA-1EDAA2D84943}"/>
    <cellStyle name="Normal 15 5 2 4 2 4" xfId="38721" xr:uid="{7423BD99-B848-48A5-B27A-C805E2E4078C}"/>
    <cellStyle name="Normal 15 5 2 4 3" xfId="6889" xr:uid="{9E990754-D35D-4B8E-BA4F-E48AA95AFD41}"/>
    <cellStyle name="Normal 15 5 2 4 3 2" xfId="15269" xr:uid="{842AE635-BC86-4C08-87C3-FF60EF9E6F3F}"/>
    <cellStyle name="Normal 15 5 2 4 3 2 2" xfId="32029" xr:uid="{C8378329-E690-4EEB-B722-31EFE620459E}"/>
    <cellStyle name="Normal 15 5 2 4 3 2 3" xfId="48788" xr:uid="{6FBB593C-0E22-4B8A-96B3-020412728E7E}"/>
    <cellStyle name="Normal 15 5 2 4 3 3" xfId="23649" xr:uid="{EDB0B39D-BF3D-4ACB-BC73-B4A18DADD4B0}"/>
    <cellStyle name="Normal 15 5 2 4 3 4" xfId="40408" xr:uid="{CFA2480A-7C50-4CEC-945F-2C9EB47AD4A0}"/>
    <cellStyle name="Normal 15 5 2 4 4" xfId="3513" xr:uid="{ACD79984-241F-4D85-8F4F-AE547D7DCE41}"/>
    <cellStyle name="Normal 15 5 2 4 4 2" xfId="11893" xr:uid="{8333B93C-A09F-4C07-9448-CC393B5E88EE}"/>
    <cellStyle name="Normal 15 5 2 4 4 2 2" xfId="28653" xr:uid="{C3DDCF00-77E0-41E5-A84C-BB0136E3B025}"/>
    <cellStyle name="Normal 15 5 2 4 4 2 3" xfId="45412" xr:uid="{6B932F20-C11B-407C-9200-7EE20166ED8A}"/>
    <cellStyle name="Normal 15 5 2 4 4 3" xfId="20273" xr:uid="{5E0BB013-D6F1-4AC5-9DB7-D794846BD6FF}"/>
    <cellStyle name="Normal 15 5 2 4 4 4" xfId="37032" xr:uid="{EAC3634C-D84F-489E-B012-F4C85CA689EA}"/>
    <cellStyle name="Normal 15 5 2 4 5" xfId="10202" xr:uid="{9060FCA2-8978-429B-ADC2-D8C72DF0B96B}"/>
    <cellStyle name="Normal 15 5 2 4 5 2" xfId="26962" xr:uid="{D40473FE-0DC6-4694-BD40-D57BB510C1C4}"/>
    <cellStyle name="Normal 15 5 2 4 5 3" xfId="43721" xr:uid="{21ADDD31-CC58-46D0-8DE4-1C0FC5D59F28}"/>
    <cellStyle name="Normal 15 5 2 4 6" xfId="18582" xr:uid="{14CB1EB9-65C4-49E6-A967-E4F3CC5FE26F}"/>
    <cellStyle name="Normal 15 5 2 4 7" xfId="35341" xr:uid="{8C936D18-2DCB-45E9-8D38-7D9AF1064062}"/>
    <cellStyle name="Normal 15 5 2 5" xfId="3932" xr:uid="{ECDEE04B-3248-4F64-B25F-BA3D528E2896}"/>
    <cellStyle name="Normal 15 5 2 5 2" xfId="12312" xr:uid="{5781380F-5FA8-4043-AF49-2B49D53BDC4F}"/>
    <cellStyle name="Normal 15 5 2 5 2 2" xfId="29072" xr:uid="{8802074E-FA1C-4832-B054-9845C5C7E384}"/>
    <cellStyle name="Normal 15 5 2 5 2 3" xfId="45831" xr:uid="{00455862-39F6-43D9-9DA1-F7A3A676F6CB}"/>
    <cellStyle name="Normal 15 5 2 5 3" xfId="20692" xr:uid="{1A2F821D-6848-4A55-A8FC-F0389D7C1047}"/>
    <cellStyle name="Normal 15 5 2 5 4" xfId="37451" xr:uid="{CEE626D1-4DBB-47CE-A340-D8BC92CF2523}"/>
    <cellStyle name="Normal 15 5 2 6" xfId="5668" xr:uid="{19424CEE-0423-4CE3-B410-4DE400300B17}"/>
    <cellStyle name="Normal 15 5 2 6 2" xfId="14048" xr:uid="{7AECD8DF-3FCD-4281-8714-7764B2779EB4}"/>
    <cellStyle name="Normal 15 5 2 6 2 2" xfId="30808" xr:uid="{5F38461D-AC78-4CF8-91E9-9979A5E4E397}"/>
    <cellStyle name="Normal 15 5 2 6 2 3" xfId="47567" xr:uid="{BC2D1AC4-20F7-476A-B12A-676F018F365D}"/>
    <cellStyle name="Normal 15 5 2 6 3" xfId="22428" xr:uid="{267D5615-8BA1-498C-8A3A-E5F884CA7DBB}"/>
    <cellStyle name="Normal 15 5 2 6 4" xfId="39187" xr:uid="{47A6CA51-3DCD-4FF0-8300-C2581ADB68C3}"/>
    <cellStyle name="Normal 15 5 2 7" xfId="7295" xr:uid="{47830254-ED63-4960-AA99-AFC958F1D75C}"/>
    <cellStyle name="Normal 15 5 2 7 2" xfId="15675" xr:uid="{B1BDA94E-036D-4D49-8FBF-379FF74A038F}"/>
    <cellStyle name="Normal 15 5 2 7 2 2" xfId="32435" xr:uid="{2F4A6BAC-5E9A-475D-BBF5-8C7070AF8A67}"/>
    <cellStyle name="Normal 15 5 2 7 2 3" xfId="49194" xr:uid="{D9C2961B-B154-49DE-978B-B68C771FC9CB}"/>
    <cellStyle name="Normal 15 5 2 7 3" xfId="24055" xr:uid="{FA9F35F8-4382-471B-BBC2-E294C6CF67CC}"/>
    <cellStyle name="Normal 15 5 2 7 4" xfId="40814" xr:uid="{87E2340D-E37D-4410-883D-7945C0F75802}"/>
    <cellStyle name="Normal 15 5 2 8" xfId="7701" xr:uid="{0EFB4D31-4C52-4D59-976C-A2D4ED058F55}"/>
    <cellStyle name="Normal 15 5 2 8 2" xfId="16081" xr:uid="{AC8FA04A-2158-4944-AD56-BACA1EFA98F1}"/>
    <cellStyle name="Normal 15 5 2 8 2 2" xfId="32841" xr:uid="{75C55838-2427-4ACA-91C6-7E626A254617}"/>
    <cellStyle name="Normal 15 5 2 8 2 3" xfId="49600" xr:uid="{DB8F7954-1D15-4D79-8668-59A4B497B4A9}"/>
    <cellStyle name="Normal 15 5 2 8 3" xfId="24461" xr:uid="{11664503-85A1-438D-982B-26FA8BB26478}"/>
    <cellStyle name="Normal 15 5 2 8 4" xfId="41220" xr:uid="{16815946-F42B-4568-A51C-CB8381B1F6D0}"/>
    <cellStyle name="Normal 15 5 2 9" xfId="8107" xr:uid="{D9115E27-31F9-4C95-8F6E-CDDE2F927A6C}"/>
    <cellStyle name="Normal 15 5 2 9 2" xfId="16487" xr:uid="{B80603D4-49FF-40AF-B708-8B0F71EC6CD6}"/>
    <cellStyle name="Normal 15 5 2 9 2 2" xfId="33247" xr:uid="{CCE11556-E6DA-4B6B-8E22-1CDA5E4B898E}"/>
    <cellStyle name="Normal 15 5 2 9 2 3" xfId="50006" xr:uid="{16850A31-414D-4703-8F64-B62460B65615}"/>
    <cellStyle name="Normal 15 5 2 9 3" xfId="24867" xr:uid="{C283D933-74CD-4587-91CA-F60056B3564F}"/>
    <cellStyle name="Normal 15 5 2 9 4" xfId="41626" xr:uid="{68F3DE6E-EF37-41BE-9B2E-CC391F2907E1}"/>
    <cellStyle name="Normal 15 5 3" xfId="571" xr:uid="{568C4ACB-C6D3-4557-ABF2-9E6CB2FBE6E3}"/>
    <cellStyle name="Normal 15 5 3 10" xfId="8721" xr:uid="{56F56BE2-ADAC-4F8E-A507-BA82515AC147}"/>
    <cellStyle name="Normal 15 5 3 10 2" xfId="17101" xr:uid="{030FB4E0-C5D9-4F49-854F-FAB4BF0B147D}"/>
    <cellStyle name="Normal 15 5 3 10 2 2" xfId="33861" xr:uid="{EF964065-6F76-4737-BA67-411050C6410C}"/>
    <cellStyle name="Normal 15 5 3 10 2 3" xfId="50620" xr:uid="{C8CADEAF-7C94-492A-B2B9-197EDBA7842E}"/>
    <cellStyle name="Normal 15 5 3 10 3" xfId="25481" xr:uid="{A71913AA-47C9-4539-A973-55B13B95E13F}"/>
    <cellStyle name="Normal 15 5 3 10 4" xfId="42240" xr:uid="{61358B88-9E9F-4CC9-84C6-15EF61DBFA40}"/>
    <cellStyle name="Normal 15 5 3 11" xfId="2403" xr:uid="{E5881EA5-4163-4BD8-B1B5-C201C481C5A7}"/>
    <cellStyle name="Normal 15 5 3 11 2" xfId="10785" xr:uid="{E2CDAC7A-D5EF-4D8D-8E8B-20FC682AC7AF}"/>
    <cellStyle name="Normal 15 5 3 11 2 2" xfId="27545" xr:uid="{43C16A39-3C12-49AA-A4B1-F8D754BBDDE0}"/>
    <cellStyle name="Normal 15 5 3 11 2 3" xfId="44304" xr:uid="{6E089A0B-A227-4C0E-A0C5-0423D5A2603C}"/>
    <cellStyle name="Normal 15 5 3 11 3" xfId="19165" xr:uid="{23BF1083-78D9-441F-8054-A94DC08C6891}"/>
    <cellStyle name="Normal 15 5 3 11 4" xfId="35924" xr:uid="{DF38FB7E-3CA3-4483-97DE-C1111CA3CD07}"/>
    <cellStyle name="Normal 15 5 3 12" xfId="8982" xr:uid="{636ABD27-18C3-403F-9032-CB822181D8D7}"/>
    <cellStyle name="Normal 15 5 3 12 2" xfId="25742" xr:uid="{DA9DD386-DCBE-4D39-9C3B-AAD41AD4D3CF}"/>
    <cellStyle name="Normal 15 5 3 12 3" xfId="42501" xr:uid="{E4C5D473-775A-40A5-8B38-061A7AE04139}"/>
    <cellStyle name="Normal 15 5 3 13" xfId="17362" xr:uid="{B1CD7675-1315-4FEA-8470-9D9897752B37}"/>
    <cellStyle name="Normal 15 5 3 14" xfId="34121" xr:uid="{C852A541-F2F2-497F-A34A-B6853B5ECDD1}"/>
    <cellStyle name="Normal 15 5 3 2" xfId="1013" xr:uid="{F2A8DCF9-16DF-480C-A473-00941C165C0E}"/>
    <cellStyle name="Normal 15 5 3 2 2" xfId="4408" xr:uid="{CC14BE37-D2C7-4990-962D-C7F86F448AC4}"/>
    <cellStyle name="Normal 15 5 3 2 2 2" xfId="12788" xr:uid="{07A3194C-E798-44E1-9916-F78FDB47022A}"/>
    <cellStyle name="Normal 15 5 3 2 2 2 2" xfId="29548" xr:uid="{52841C97-E5FD-4586-9877-38773DA2AF99}"/>
    <cellStyle name="Normal 15 5 3 2 2 2 3" xfId="46307" xr:uid="{8FC27F2E-D477-4463-BF82-8388EB63C002}"/>
    <cellStyle name="Normal 15 5 3 2 2 3" xfId="21168" xr:uid="{38621FF5-B56A-4EDE-A66D-035C822B27EF}"/>
    <cellStyle name="Normal 15 5 3 2 2 4" xfId="37927" xr:uid="{32F6EB42-188D-40EF-A0C9-470D7D691B7E}"/>
    <cellStyle name="Normal 15 5 3 2 3" xfId="6095" xr:uid="{291D61E2-38F1-4C36-A636-E1CB1A36FDB2}"/>
    <cellStyle name="Normal 15 5 3 2 3 2" xfId="14475" xr:uid="{AD61565C-B668-4062-8724-7B3BC325D17C}"/>
    <cellStyle name="Normal 15 5 3 2 3 2 2" xfId="31235" xr:uid="{39A46D26-6F49-42FE-86A5-4DA1BD31F334}"/>
    <cellStyle name="Normal 15 5 3 2 3 2 3" xfId="47994" xr:uid="{C8B46D34-5ECC-48DB-8B77-0F0F56BB154F}"/>
    <cellStyle name="Normal 15 5 3 2 3 3" xfId="22855" xr:uid="{23A84CA2-079A-40B7-B57B-F5373A333B3E}"/>
    <cellStyle name="Normal 15 5 3 2 3 4" xfId="39614" xr:uid="{485078C2-0186-4715-9E51-05B7508BA2D6}"/>
    <cellStyle name="Normal 15 5 3 2 4" xfId="2831" xr:uid="{CE6417BF-462E-40EE-8D33-B65B4ABD343D}"/>
    <cellStyle name="Normal 15 5 3 2 4 2" xfId="11211" xr:uid="{71612C06-5270-498F-AC9C-812CC06123A8}"/>
    <cellStyle name="Normal 15 5 3 2 4 2 2" xfId="27971" xr:uid="{BE31FF79-8D8E-431D-B956-A21E1B5DF69B}"/>
    <cellStyle name="Normal 15 5 3 2 4 2 3" xfId="44730" xr:uid="{DA8B5103-FBDD-4017-B7B2-8AEC2F762B80}"/>
    <cellStyle name="Normal 15 5 3 2 4 3" xfId="19591" xr:uid="{02A04C62-CA4E-411A-803F-0EA64C892A5F}"/>
    <cellStyle name="Normal 15 5 3 2 4 4" xfId="36350" xr:uid="{06149A71-C31C-4349-AA47-F633773E06BD}"/>
    <cellStyle name="Normal 15 5 3 2 5" xfId="9408" xr:uid="{C5E1E191-DA8F-4A64-BF8B-12D2D6DDC245}"/>
    <cellStyle name="Normal 15 5 3 2 5 2" xfId="26168" xr:uid="{F60AEAA4-2171-4314-A57A-355316929A32}"/>
    <cellStyle name="Normal 15 5 3 2 5 3" xfId="42927" xr:uid="{F455EEDD-7CCB-4AB0-AAAB-791EF81EC319}"/>
    <cellStyle name="Normal 15 5 3 2 6" xfId="17788" xr:uid="{26A6EA5D-5428-49DD-A517-2FFBC5244844}"/>
    <cellStyle name="Normal 15 5 3 2 7" xfId="34547" xr:uid="{A893A229-C348-4662-851C-6946645FEF31}"/>
    <cellStyle name="Normal 15 5 3 3" xfId="1447" xr:uid="{FAF0AFE9-D1BE-4ABF-AB19-C035C105561E}"/>
    <cellStyle name="Normal 15 5 3 3 2" xfId="4836" xr:uid="{E36B43E4-BD5E-4035-9F26-15444060D896}"/>
    <cellStyle name="Normal 15 5 3 3 2 2" xfId="13216" xr:uid="{BD71FB7E-0B4D-49D5-9E69-3E30BDF42682}"/>
    <cellStyle name="Normal 15 5 3 3 2 2 2" xfId="29976" xr:uid="{D8C19D84-66BC-425D-9BC1-AFD1730358F4}"/>
    <cellStyle name="Normal 15 5 3 3 2 2 3" xfId="46735" xr:uid="{8BA32F17-FF9F-4491-8AFA-0CD04F1A4150}"/>
    <cellStyle name="Normal 15 5 3 3 2 3" xfId="21596" xr:uid="{97FD261C-07FF-4E86-85C3-8987F2AD7E1D}"/>
    <cellStyle name="Normal 15 5 3 3 2 4" xfId="38355" xr:uid="{486966A5-2BCC-4895-BD10-FBF91556A193}"/>
    <cellStyle name="Normal 15 5 3 3 3" xfId="6523" xr:uid="{FF5AC177-C690-4726-B02A-304800AF48C8}"/>
    <cellStyle name="Normal 15 5 3 3 3 2" xfId="14903" xr:uid="{FC72FBB1-D2BA-44B7-B0FF-FE1B332358F1}"/>
    <cellStyle name="Normal 15 5 3 3 3 2 2" xfId="31663" xr:uid="{DFDF9D24-0F23-4B3F-B3B6-B382333AE605}"/>
    <cellStyle name="Normal 15 5 3 3 3 2 3" xfId="48422" xr:uid="{8773F00E-E9F8-4936-97E0-569FD747D39D}"/>
    <cellStyle name="Normal 15 5 3 3 3 3" xfId="23283" xr:uid="{A27AD40B-9B0C-4B22-9025-27D233DD9673}"/>
    <cellStyle name="Normal 15 5 3 3 3 4" xfId="40042" xr:uid="{70DDCC9D-C59B-4E7B-9B55-F94497911429}"/>
    <cellStyle name="Normal 15 5 3 3 4" xfId="3259" xr:uid="{2CA02C55-3289-41B9-B534-2F399906D7E8}"/>
    <cellStyle name="Normal 15 5 3 3 4 2" xfId="11639" xr:uid="{3E787DCE-F7BD-4AC5-8C37-AC6C667BEE95}"/>
    <cellStyle name="Normal 15 5 3 3 4 2 2" xfId="28399" xr:uid="{02DA48F1-AC35-4CDD-9520-F981C609C86D}"/>
    <cellStyle name="Normal 15 5 3 3 4 2 3" xfId="45158" xr:uid="{79587080-A283-4CCF-8C88-A405CFFDBC37}"/>
    <cellStyle name="Normal 15 5 3 3 4 3" xfId="20019" xr:uid="{11D0B95A-DC2A-44EC-B358-787FD5216933}"/>
    <cellStyle name="Normal 15 5 3 3 4 4" xfId="36778" xr:uid="{80FE0145-7158-44FE-8A4C-1EA469FB16DF}"/>
    <cellStyle name="Normal 15 5 3 3 5" xfId="9836" xr:uid="{375A6E68-5BDB-49ED-97A0-F208815C73C1}"/>
    <cellStyle name="Normal 15 5 3 3 5 2" xfId="26596" xr:uid="{46AC7944-A540-41A5-AAFE-36C21761D1F3}"/>
    <cellStyle name="Normal 15 5 3 3 5 3" xfId="43355" xr:uid="{1099487B-7121-4154-B9C6-C852B8DADF07}"/>
    <cellStyle name="Normal 15 5 3 3 6" xfId="18216" xr:uid="{E18A2D20-8259-4066-90D2-92F09D40C2F7}"/>
    <cellStyle name="Normal 15 5 3 3 7" xfId="34975" xr:uid="{00EEAAD4-36E9-4E53-A4BA-81F1FA937AC6}"/>
    <cellStyle name="Normal 15 5 3 4" xfId="2021" xr:uid="{A8821705-4E35-4500-83A2-6CF990F2D0BC}"/>
    <cellStyle name="Normal 15 5 3 4 2" xfId="5410" xr:uid="{24BDD1A4-EAFC-480B-969E-56C952C46576}"/>
    <cellStyle name="Normal 15 5 3 4 2 2" xfId="13790" xr:uid="{EC445D06-2FE7-4311-A66A-99726EC9C101}"/>
    <cellStyle name="Normal 15 5 3 4 2 2 2" xfId="30550" xr:uid="{13C34899-0444-450C-AE5B-DFB5A9B1A7D4}"/>
    <cellStyle name="Normal 15 5 3 4 2 2 3" xfId="47309" xr:uid="{8AC3EC7B-155B-411E-8069-FA455EC44105}"/>
    <cellStyle name="Normal 15 5 3 4 2 3" xfId="22170" xr:uid="{6D13BBFA-531E-4779-B471-FCDD21D6A6A7}"/>
    <cellStyle name="Normal 15 5 3 4 2 4" xfId="38929" xr:uid="{2169D041-1118-413D-9943-D9A83CC91250}"/>
    <cellStyle name="Normal 15 5 3 4 3" xfId="7097" xr:uid="{D85888B8-BBE4-4E31-875B-3D02C6D9538C}"/>
    <cellStyle name="Normal 15 5 3 4 3 2" xfId="15477" xr:uid="{CF0A3162-636A-4B5F-9AD5-DAA1696BB185}"/>
    <cellStyle name="Normal 15 5 3 4 3 2 2" xfId="32237" xr:uid="{D82B61C9-B1C7-426C-BB1C-93076B115959}"/>
    <cellStyle name="Normal 15 5 3 4 3 2 3" xfId="48996" xr:uid="{FCE8E937-D734-4764-B494-1B5FFDF27E67}"/>
    <cellStyle name="Normal 15 5 3 4 3 3" xfId="23857" xr:uid="{D1A73C3A-E01C-43FB-A476-F4C0E404C220}"/>
    <cellStyle name="Normal 15 5 3 4 3 4" xfId="40616" xr:uid="{F1F88F4A-5F74-4728-AE5B-4061241F5F9A}"/>
    <cellStyle name="Normal 15 5 3 4 4" xfId="3720" xr:uid="{72F488B5-700E-4234-8B81-D25E4EEF324E}"/>
    <cellStyle name="Normal 15 5 3 4 4 2" xfId="12100" xr:uid="{957EFCCA-22C9-4D47-BB9B-AED95D4F6B48}"/>
    <cellStyle name="Normal 15 5 3 4 4 2 2" xfId="28860" xr:uid="{F5ECC4E4-BC9D-4BCF-9B27-067D9672EA69}"/>
    <cellStyle name="Normal 15 5 3 4 4 2 3" xfId="45619" xr:uid="{4B2C92FB-EFB5-4A7B-89D6-FAF5157938FD}"/>
    <cellStyle name="Normal 15 5 3 4 4 3" xfId="20480" xr:uid="{7001125A-C6E3-49CA-88E0-356E39EF8DA2}"/>
    <cellStyle name="Normal 15 5 3 4 4 4" xfId="37239" xr:uid="{4B4E2B60-0B3D-4D18-9681-5CF6BCA96187}"/>
    <cellStyle name="Normal 15 5 3 4 5" xfId="10410" xr:uid="{871CF640-81A4-4CA1-A1D8-140125B5A38B}"/>
    <cellStyle name="Normal 15 5 3 4 5 2" xfId="27170" xr:uid="{17C0BE4E-B287-434E-993C-462E7C8DD7C3}"/>
    <cellStyle name="Normal 15 5 3 4 5 3" xfId="43929" xr:uid="{A75B0A3A-D5B0-4345-86BC-A2E41B2A963D}"/>
    <cellStyle name="Normal 15 5 3 4 6" xfId="18790" xr:uid="{CEB9C1E6-1643-43C1-9268-F299EE80A9CC}"/>
    <cellStyle name="Normal 15 5 3 4 7" xfId="35549" xr:uid="{08758F09-C41A-42AB-902B-BB38F0A03951}"/>
    <cellStyle name="Normal 15 5 3 5" xfId="4140" xr:uid="{90A9A277-D02C-4EBC-96B3-A915917E4056}"/>
    <cellStyle name="Normal 15 5 3 5 2" xfId="12520" xr:uid="{05646643-A662-43CA-AE68-4E4AAA6DF6C5}"/>
    <cellStyle name="Normal 15 5 3 5 2 2" xfId="29280" xr:uid="{D46DB442-F3AD-45BF-91ED-7F8B92C66940}"/>
    <cellStyle name="Normal 15 5 3 5 2 3" xfId="46039" xr:uid="{7350EBB7-9343-423E-A813-3BC04369F33A}"/>
    <cellStyle name="Normal 15 5 3 5 3" xfId="20900" xr:uid="{0A9339A0-2604-4928-8589-8225EDAC18E3}"/>
    <cellStyle name="Normal 15 5 3 5 4" xfId="37659" xr:uid="{1A432F42-1A63-4581-AB32-7E7BB0302B6F}"/>
    <cellStyle name="Normal 15 5 3 6" xfId="5669" xr:uid="{4682F93A-D8D2-46C9-ADC5-AD024339234B}"/>
    <cellStyle name="Normal 15 5 3 6 2" xfId="14049" xr:uid="{9D27C486-66CE-4A8E-BBB4-28D13559B1DE}"/>
    <cellStyle name="Normal 15 5 3 6 2 2" xfId="30809" xr:uid="{A2ED51DC-76C2-4844-9828-2F4F3C18921D}"/>
    <cellStyle name="Normal 15 5 3 6 2 3" xfId="47568" xr:uid="{51E8ACAF-99F0-4EA1-94AE-A2C1E89D6AEC}"/>
    <cellStyle name="Normal 15 5 3 6 3" xfId="22429" xr:uid="{BACAAEAA-722F-4422-8FC8-8F90EA4F95FE}"/>
    <cellStyle name="Normal 15 5 3 6 4" xfId="39188" xr:uid="{3F710A1F-CF25-4916-A434-0CD22B82812A}"/>
    <cellStyle name="Normal 15 5 3 7" xfId="7503" xr:uid="{F423D261-ED77-4ADF-8F9B-EE93715E63B4}"/>
    <cellStyle name="Normal 15 5 3 7 2" xfId="15883" xr:uid="{041490A4-B1A0-4A35-9BE8-4A129B87835D}"/>
    <cellStyle name="Normal 15 5 3 7 2 2" xfId="32643" xr:uid="{FDDFD3BD-DF7A-4EF0-A5CC-B89698C02E42}"/>
    <cellStyle name="Normal 15 5 3 7 2 3" xfId="49402" xr:uid="{0BC6B52C-B478-4A61-9470-40616E3580F2}"/>
    <cellStyle name="Normal 15 5 3 7 3" xfId="24263" xr:uid="{2C8E2CAC-5035-45C9-BAA7-46A6F3531ADC}"/>
    <cellStyle name="Normal 15 5 3 7 4" xfId="41022" xr:uid="{BDF65A1A-589C-4606-8B99-5323927D93CC}"/>
    <cellStyle name="Normal 15 5 3 8" xfId="7909" xr:uid="{226C8000-B1F3-482A-AF99-4E752AE7AC57}"/>
    <cellStyle name="Normal 15 5 3 8 2" xfId="16289" xr:uid="{B52DF1BC-875B-4D6F-A8C3-5010CD1D8528}"/>
    <cellStyle name="Normal 15 5 3 8 2 2" xfId="33049" xr:uid="{ECAA5859-0C1B-4A04-B930-5F3EE1532B21}"/>
    <cellStyle name="Normal 15 5 3 8 2 3" xfId="49808" xr:uid="{FE305256-228F-4850-BF48-494A62D0553F}"/>
    <cellStyle name="Normal 15 5 3 8 3" xfId="24669" xr:uid="{F387C0FE-6504-4963-8C8B-4236EFF16773}"/>
    <cellStyle name="Normal 15 5 3 8 4" xfId="41428" xr:uid="{79F62871-F568-463F-95F2-C5F75B0F9145}"/>
    <cellStyle name="Normal 15 5 3 9" xfId="8315" xr:uid="{909A3354-B274-4C1A-96C9-FA83BEFA3F8C}"/>
    <cellStyle name="Normal 15 5 3 9 2" xfId="16695" xr:uid="{946A9364-392F-4E95-A7B3-D5F3E586768F}"/>
    <cellStyle name="Normal 15 5 3 9 2 2" xfId="33455" xr:uid="{3E8A8FFF-CFB6-412B-8CD9-13659E803E8E}"/>
    <cellStyle name="Normal 15 5 3 9 2 3" xfId="50214" xr:uid="{421143E8-2703-4C1F-973D-5CEEB00E3917}"/>
    <cellStyle name="Normal 15 5 3 9 3" xfId="25075" xr:uid="{DD6100D9-473B-4A71-9587-655544F3EE81}"/>
    <cellStyle name="Normal 15 5 3 9 4" xfId="41834" xr:uid="{8D5E902C-7271-4317-AA55-325E89490AFF}"/>
    <cellStyle name="Normal 15 5 4" xfId="1011" xr:uid="{01A423A0-31B6-4618-8EC6-1ACE69BD269C}"/>
    <cellStyle name="Normal 15 5 4 2" xfId="4406" xr:uid="{9EBA3FCB-662F-4E8D-B843-3F74C3019A97}"/>
    <cellStyle name="Normal 15 5 4 2 2" xfId="12786" xr:uid="{13C6705B-46A1-41AB-84F7-3A0E5F9B8516}"/>
    <cellStyle name="Normal 15 5 4 2 2 2" xfId="29546" xr:uid="{583ACCA8-3D8E-4A89-81B0-331B726BD7C5}"/>
    <cellStyle name="Normal 15 5 4 2 2 3" xfId="46305" xr:uid="{25CDD099-A1B1-4D45-B02B-1F30F961DF26}"/>
    <cellStyle name="Normal 15 5 4 2 3" xfId="21166" xr:uid="{26E275EB-9C3F-4768-B6F6-ED713DAC709C}"/>
    <cellStyle name="Normal 15 5 4 2 4" xfId="37925" xr:uid="{80715B87-7CA5-470D-8358-BB94146EEFA7}"/>
    <cellStyle name="Normal 15 5 4 3" xfId="6093" xr:uid="{DDEC2B21-856E-4667-A0D4-3A889DE34567}"/>
    <cellStyle name="Normal 15 5 4 3 2" xfId="14473" xr:uid="{B4472948-5B3B-454A-AEF1-A6AACFB6425F}"/>
    <cellStyle name="Normal 15 5 4 3 2 2" xfId="31233" xr:uid="{6563E5FF-DDFB-456A-9D60-B3E4DDA635F1}"/>
    <cellStyle name="Normal 15 5 4 3 2 3" xfId="47992" xr:uid="{FDE11971-0BC2-4035-81D2-0FCD6E5474ED}"/>
    <cellStyle name="Normal 15 5 4 3 3" xfId="22853" xr:uid="{155FA4C6-FD8B-4026-A2C4-A78AB6381CEF}"/>
    <cellStyle name="Normal 15 5 4 3 4" xfId="39612" xr:uid="{E62B27C9-6E47-4F73-9C5E-0281FF94BA2E}"/>
    <cellStyle name="Normal 15 5 4 4" xfId="2829" xr:uid="{60AEB60A-E7A9-4BE4-9C79-C76C477106D1}"/>
    <cellStyle name="Normal 15 5 4 4 2" xfId="11209" xr:uid="{47DC4619-178C-4556-AF0A-2AB339E99495}"/>
    <cellStyle name="Normal 15 5 4 4 2 2" xfId="27969" xr:uid="{907CB12B-A296-424E-9C65-6E41859172FA}"/>
    <cellStyle name="Normal 15 5 4 4 2 3" xfId="44728" xr:uid="{96919DDA-84B7-4EED-B2BC-EB534F074E9C}"/>
    <cellStyle name="Normal 15 5 4 4 3" xfId="19589" xr:uid="{CDCA5134-EAEF-45E0-9515-628B0075922B}"/>
    <cellStyle name="Normal 15 5 4 4 4" xfId="36348" xr:uid="{17CFB754-43FA-43F6-96B3-EAACB8D3DF79}"/>
    <cellStyle name="Normal 15 5 4 5" xfId="9406" xr:uid="{1805F280-A52B-4E16-9C05-F45C27EEBFCC}"/>
    <cellStyle name="Normal 15 5 4 5 2" xfId="26166" xr:uid="{110AFDFF-978B-4FE5-B452-148B4F6DD632}"/>
    <cellStyle name="Normal 15 5 4 5 3" xfId="42925" xr:uid="{7A5009C7-3B5A-4342-B3A5-23F616A5406F}"/>
    <cellStyle name="Normal 15 5 4 6" xfId="17786" xr:uid="{481D9011-09D4-434A-B78D-8E5744D3AAAD}"/>
    <cellStyle name="Normal 15 5 4 7" xfId="34545" xr:uid="{B69EFDA7-A5D5-48EA-AB0B-ECF10C230133}"/>
    <cellStyle name="Normal 15 5 5" xfId="1445" xr:uid="{0E8B1A15-7730-4D33-B31E-6F2CFFCA97AC}"/>
    <cellStyle name="Normal 15 5 5 2" xfId="4834" xr:uid="{D55688DE-1A89-4B07-8304-41639F91B53F}"/>
    <cellStyle name="Normal 15 5 5 2 2" xfId="13214" xr:uid="{FDE5337B-1D47-4340-80C5-A895D5A2A067}"/>
    <cellStyle name="Normal 15 5 5 2 2 2" xfId="29974" xr:uid="{7D551C6D-EBF3-48A2-A1AF-9014E9A928ED}"/>
    <cellStyle name="Normal 15 5 5 2 2 3" xfId="46733" xr:uid="{C1C334FC-8036-4381-9BC2-1E515FD106C4}"/>
    <cellStyle name="Normal 15 5 5 2 3" xfId="21594" xr:uid="{5FA8AC95-76BC-40BC-9F40-7A3F840A6E0A}"/>
    <cellStyle name="Normal 15 5 5 2 4" xfId="38353" xr:uid="{F268A870-B1A8-438D-AF51-915A957DE5A6}"/>
    <cellStyle name="Normal 15 5 5 3" xfId="6521" xr:uid="{F567829F-4A73-4033-B6F2-6CA431476704}"/>
    <cellStyle name="Normal 15 5 5 3 2" xfId="14901" xr:uid="{B2D05CEF-746C-4E9E-934E-B1F541EE8393}"/>
    <cellStyle name="Normal 15 5 5 3 2 2" xfId="31661" xr:uid="{F1FC3038-B168-4F15-9ACE-B1581420AB6E}"/>
    <cellStyle name="Normal 15 5 5 3 2 3" xfId="48420" xr:uid="{9B188614-BBF1-4736-897F-1E40B3DD88D0}"/>
    <cellStyle name="Normal 15 5 5 3 3" xfId="23281" xr:uid="{48B25B60-B8D6-4D32-A472-91B333A12149}"/>
    <cellStyle name="Normal 15 5 5 3 4" xfId="40040" xr:uid="{7A93A999-F04C-4630-9EB4-DCA440DC549B}"/>
    <cellStyle name="Normal 15 5 5 4" xfId="3257" xr:uid="{D5A135CA-A083-4A28-8F03-233AE4E41D72}"/>
    <cellStyle name="Normal 15 5 5 4 2" xfId="11637" xr:uid="{FDA9A4C5-B4AC-4D73-94A0-7358A3E9C276}"/>
    <cellStyle name="Normal 15 5 5 4 2 2" xfId="28397" xr:uid="{DBA13A8A-A71F-43F6-9B49-7B6D4F8CFBDE}"/>
    <cellStyle name="Normal 15 5 5 4 2 3" xfId="45156" xr:uid="{1D837B74-B37D-4EE8-AF5E-35C94B0FE64D}"/>
    <cellStyle name="Normal 15 5 5 4 3" xfId="20017" xr:uid="{10E84CF7-2AB3-4CA2-8524-BEFD08ABC71D}"/>
    <cellStyle name="Normal 15 5 5 4 4" xfId="36776" xr:uid="{D307F4D2-C0B9-4D2C-B5C4-9208C4487DAB}"/>
    <cellStyle name="Normal 15 5 5 5" xfId="9834" xr:uid="{1A4FC315-472C-40C5-B57D-DA1622331FDF}"/>
    <cellStyle name="Normal 15 5 5 5 2" xfId="26594" xr:uid="{CA9D1E5F-1D2F-4C01-B5FD-4080993E469C}"/>
    <cellStyle name="Normal 15 5 5 5 3" xfId="43353" xr:uid="{D3353B4C-AFB7-4634-8C4F-9BC624DF143C}"/>
    <cellStyle name="Normal 15 5 5 6" xfId="18214" xr:uid="{4B37FCC9-3FCF-4877-804B-AFE0E0864DD4}"/>
    <cellStyle name="Normal 15 5 5 7" xfId="34973" xr:uid="{7C9AD139-C707-4CB0-A16D-1B2132235012}"/>
    <cellStyle name="Normal 15 5 6" xfId="1750" xr:uid="{4B726419-B5AD-4676-8B9E-9572BC1C529E}"/>
    <cellStyle name="Normal 15 5 6 2" xfId="5139" xr:uid="{1B3FC3C3-BE57-4076-A5DE-CFDD17C984CB}"/>
    <cellStyle name="Normal 15 5 6 2 2" xfId="13519" xr:uid="{B05429DC-7110-40A6-B714-5F4393E984EB}"/>
    <cellStyle name="Normal 15 5 6 2 2 2" xfId="30279" xr:uid="{3800A559-742A-4057-89EC-E624E9D7D4F4}"/>
    <cellStyle name="Normal 15 5 6 2 2 3" xfId="47038" xr:uid="{2AC588BA-932C-4BD1-BE15-949C46638F02}"/>
    <cellStyle name="Normal 15 5 6 2 3" xfId="21899" xr:uid="{43E1C61A-760A-4092-9746-1E759F55476E}"/>
    <cellStyle name="Normal 15 5 6 2 4" xfId="38658" xr:uid="{7991B6F1-260D-4D70-92DF-3CD536FBB287}"/>
    <cellStyle name="Normal 15 5 6 3" xfId="6826" xr:uid="{F72F1CA4-48AB-4727-BC13-4D341FC795D4}"/>
    <cellStyle name="Normal 15 5 6 3 2" xfId="15206" xr:uid="{8DB2E4B9-622B-43AE-8FD4-74A9CEFB05F3}"/>
    <cellStyle name="Normal 15 5 6 3 2 2" xfId="31966" xr:uid="{FE566A76-0866-4880-ADFC-3B8D44A5DA31}"/>
    <cellStyle name="Normal 15 5 6 3 2 3" xfId="48725" xr:uid="{429E0D1A-1BE0-4A15-BE2C-85AF1E309B08}"/>
    <cellStyle name="Normal 15 5 6 3 3" xfId="23586" xr:uid="{DA6F2643-5C1E-4388-997D-81820DE68FBF}"/>
    <cellStyle name="Normal 15 5 6 3 4" xfId="40345" xr:uid="{B1FA4A3B-EADA-4AE7-90A1-A92EBFD15832}"/>
    <cellStyle name="Normal 15 5 6 4" xfId="2401" xr:uid="{02FC9FEF-F08C-4688-A20E-4DCC105CC59E}"/>
    <cellStyle name="Normal 15 5 6 4 2" xfId="10783" xr:uid="{2B3907FC-7442-4E7A-B601-EB3E3DE4F260}"/>
    <cellStyle name="Normal 15 5 6 4 2 2" xfId="27543" xr:uid="{D92D7612-2D0B-4C6F-9096-398B853F1531}"/>
    <cellStyle name="Normal 15 5 6 4 2 3" xfId="44302" xr:uid="{22B3D194-7261-4C32-BFD3-43E82DAD138B}"/>
    <cellStyle name="Normal 15 5 6 4 3" xfId="19163" xr:uid="{FACDE285-AFB0-4883-85C8-106C4B86E32B}"/>
    <cellStyle name="Normal 15 5 6 4 4" xfId="35922" xr:uid="{120ED666-39D2-48D1-8F45-7FAC4E0BC898}"/>
    <cellStyle name="Normal 15 5 6 5" xfId="10139" xr:uid="{5ED9D494-9257-47D1-B214-6B6A8749B440}"/>
    <cellStyle name="Normal 15 5 6 5 2" xfId="26899" xr:uid="{CCEB5F9F-E44A-4E6C-9E02-48976BC2B5BA}"/>
    <cellStyle name="Normal 15 5 6 5 3" xfId="43658" xr:uid="{B3A484E1-5D05-49BC-9A36-4E9F0BF9F570}"/>
    <cellStyle name="Normal 15 5 6 6" xfId="18519" xr:uid="{03C6D12C-372F-4AF8-83B1-2E3509E7C104}"/>
    <cellStyle name="Normal 15 5 6 7" xfId="35278" xr:uid="{D3EA7DC1-674D-46D6-922D-6DEE1C52D24F}"/>
    <cellStyle name="Normal 15 5 7" xfId="3869" xr:uid="{62E72C4E-421D-4713-BAB6-DF4F3A8AA02A}"/>
    <cellStyle name="Normal 15 5 7 2" xfId="12249" xr:uid="{F1761848-FC72-4680-8041-C05920DEB486}"/>
    <cellStyle name="Normal 15 5 7 2 2" xfId="29009" xr:uid="{27B1ABDD-1262-4DCE-BA33-0ABA438D5955}"/>
    <cellStyle name="Normal 15 5 7 2 3" xfId="45768" xr:uid="{386EB847-26D5-4DA0-9F39-393E66C27612}"/>
    <cellStyle name="Normal 15 5 7 3" xfId="20629" xr:uid="{E1210A2E-A74C-4284-9DC9-A824F546F5E1}"/>
    <cellStyle name="Normal 15 5 7 4" xfId="37388" xr:uid="{DFD0E9E1-54F7-4BC5-B6DB-2C6E9C6E0B5D}"/>
    <cellStyle name="Normal 15 5 8" xfId="5667" xr:uid="{6E9519D1-BCF9-4DE8-A439-966AB6788B35}"/>
    <cellStyle name="Normal 15 5 8 2" xfId="14047" xr:uid="{C70ED040-7969-4EA2-A0B4-0280CF06436E}"/>
    <cellStyle name="Normal 15 5 8 2 2" xfId="30807" xr:uid="{F7406CDD-BB78-4430-85A9-8705045867BA}"/>
    <cellStyle name="Normal 15 5 8 2 3" xfId="47566" xr:uid="{0496D406-DFF2-4AA7-8E7E-A06DBAF81EA7}"/>
    <cellStyle name="Normal 15 5 8 3" xfId="22427" xr:uid="{34310D96-E8B0-4C9E-B67E-7638D440A37A}"/>
    <cellStyle name="Normal 15 5 8 4" xfId="39186" xr:uid="{F1CF57A5-70EC-421C-9B01-D6463F13FD00}"/>
    <cellStyle name="Normal 15 5 9" xfId="7232" xr:uid="{24AEA556-2DFB-4AFA-9AC5-57E6C5B55C3F}"/>
    <cellStyle name="Normal 15 5 9 2" xfId="15612" xr:uid="{9A96455E-B58D-4522-9ED6-354C2BB34BED}"/>
    <cellStyle name="Normal 15 5 9 2 2" xfId="32372" xr:uid="{43AA3EF2-E315-4093-9CDC-2D1042682D43}"/>
    <cellStyle name="Normal 15 5 9 2 3" xfId="49131" xr:uid="{FAA3A6BE-B167-4B17-B4DE-D55A6467018F}"/>
    <cellStyle name="Normal 15 5 9 3" xfId="23992" xr:uid="{C9B20B1C-D339-4A9A-A48E-A267B5B18441}"/>
    <cellStyle name="Normal 15 5 9 4" xfId="40751" xr:uid="{AD02DB54-42B6-4B2E-BF38-DBD89A6A63E2}"/>
    <cellStyle name="Normal 15 6" xfId="572" xr:uid="{2D1FE1D5-F8C2-432C-BABC-9D6D78B02A3F}"/>
    <cellStyle name="Normal 15 6 10" xfId="8509" xr:uid="{E7292D5E-5271-476A-9B46-F34EB571DC6B}"/>
    <cellStyle name="Normal 15 6 10 2" xfId="16889" xr:uid="{5B52A18F-DF08-49BB-BF07-277546CFCC89}"/>
    <cellStyle name="Normal 15 6 10 2 2" xfId="33649" xr:uid="{5B10325F-98DA-4331-9981-E9371C06D0A5}"/>
    <cellStyle name="Normal 15 6 10 2 3" xfId="50408" xr:uid="{231849F0-DE8A-41FE-A2DE-92BAE042FA40}"/>
    <cellStyle name="Normal 15 6 10 3" xfId="25269" xr:uid="{7B4422CB-F19E-4B2D-97D4-B0A594F9B8AA}"/>
    <cellStyle name="Normal 15 6 10 4" xfId="42028" xr:uid="{93379611-432C-4CF8-B79F-87E05E4497FF}"/>
    <cellStyle name="Normal 15 6 11" xfId="2404" xr:uid="{D20D3F07-2FD1-43FA-A199-4D63F9E4B3BE}"/>
    <cellStyle name="Normal 15 6 11 2" xfId="10786" xr:uid="{5F68B28D-5657-45C2-A7F5-ED8BF5E807B4}"/>
    <cellStyle name="Normal 15 6 11 2 2" xfId="27546" xr:uid="{A51606E8-ADB8-457F-B8AC-38A3D2BB15CB}"/>
    <cellStyle name="Normal 15 6 11 2 3" xfId="44305" xr:uid="{519D8A20-75CF-465B-A5A4-3D5AAC9584CF}"/>
    <cellStyle name="Normal 15 6 11 3" xfId="19166" xr:uid="{6230B4D2-FCE0-4AED-A785-D5F1D3146D4A}"/>
    <cellStyle name="Normal 15 6 11 4" xfId="35925" xr:uid="{B65E3F4F-E700-45F9-A920-30E20EE2DE26}"/>
    <cellStyle name="Normal 15 6 12" xfId="8983" xr:uid="{7D7C238A-3368-43AE-A28E-212BCA9EE247}"/>
    <cellStyle name="Normal 15 6 12 2" xfId="25743" xr:uid="{56EF17B6-5D65-4248-BC3F-DB27CC76F5AA}"/>
    <cellStyle name="Normal 15 6 12 3" xfId="42502" xr:uid="{09CC6B60-4AD6-4AB3-90AA-5F9E37A2BB6C}"/>
    <cellStyle name="Normal 15 6 13" xfId="17363" xr:uid="{0E5B4CDA-DA7A-45C1-B82A-DD5C6C93C1EF}"/>
    <cellStyle name="Normal 15 6 14" xfId="34122" xr:uid="{168FBD55-A3F7-46C5-B8FB-777F0FE99C89}"/>
    <cellStyle name="Normal 15 6 2" xfId="1014" xr:uid="{C0BA89D1-4F73-4FB0-9BE6-9248F03C6A12}"/>
    <cellStyle name="Normal 15 6 2 2" xfId="4409" xr:uid="{86587153-59E0-4244-B485-5CA3D523B942}"/>
    <cellStyle name="Normal 15 6 2 2 2" xfId="12789" xr:uid="{11511389-ED38-49A2-A1F5-E3BA2BB25A40}"/>
    <cellStyle name="Normal 15 6 2 2 2 2" xfId="29549" xr:uid="{C8E9A977-91CE-44AC-8456-23016CA19A75}"/>
    <cellStyle name="Normal 15 6 2 2 2 3" xfId="46308" xr:uid="{8DEB39EB-1C7A-4E19-862C-2337379B7A87}"/>
    <cellStyle name="Normal 15 6 2 2 3" xfId="21169" xr:uid="{E1FC79AA-42B5-414F-9404-7FF5D3D7C014}"/>
    <cellStyle name="Normal 15 6 2 2 4" xfId="37928" xr:uid="{7B835BEB-DCCA-4C4B-859E-C4EE5EAD303F}"/>
    <cellStyle name="Normal 15 6 2 3" xfId="6096" xr:uid="{E1D33945-BC3A-4115-9A83-3BBD464E7FD9}"/>
    <cellStyle name="Normal 15 6 2 3 2" xfId="14476" xr:uid="{0D6C1293-3BFE-4D6D-AA75-0393310157AA}"/>
    <cellStyle name="Normal 15 6 2 3 2 2" xfId="31236" xr:uid="{30651378-3689-421B-9932-55D41F9CEC17}"/>
    <cellStyle name="Normal 15 6 2 3 2 3" xfId="47995" xr:uid="{266785CB-3495-4264-8F63-C3261F1B44D1}"/>
    <cellStyle name="Normal 15 6 2 3 3" xfId="22856" xr:uid="{B16B2539-7337-4055-B8DF-F38D36B50632}"/>
    <cellStyle name="Normal 15 6 2 3 4" xfId="39615" xr:uid="{F6A5EED7-D4A8-4182-8E0B-E31F9F9FA764}"/>
    <cellStyle name="Normal 15 6 2 4" xfId="2832" xr:uid="{757D747C-9EB2-4FC3-97A2-A395D9B9F2D3}"/>
    <cellStyle name="Normal 15 6 2 4 2" xfId="11212" xr:uid="{59C400A8-8E2E-4D8C-B7A3-ADDC3D3D1FF8}"/>
    <cellStyle name="Normal 15 6 2 4 2 2" xfId="27972" xr:uid="{456269B9-1CCE-4579-93F4-4C9D1700D870}"/>
    <cellStyle name="Normal 15 6 2 4 2 3" xfId="44731" xr:uid="{EB0FD790-B749-43F6-8858-14F0B90B20FE}"/>
    <cellStyle name="Normal 15 6 2 4 3" xfId="19592" xr:uid="{7270676A-F26B-436B-87FB-A7A46E451021}"/>
    <cellStyle name="Normal 15 6 2 4 4" xfId="36351" xr:uid="{B2AD6622-5253-40AA-9FC5-573CD8149415}"/>
    <cellStyle name="Normal 15 6 2 5" xfId="9409" xr:uid="{7B8BB4B9-AB83-46E1-8287-6A2BCE333A02}"/>
    <cellStyle name="Normal 15 6 2 5 2" xfId="26169" xr:uid="{EAFEF63E-38D9-436F-95E5-C9F38E3F083C}"/>
    <cellStyle name="Normal 15 6 2 5 3" xfId="42928" xr:uid="{C9D84FC1-44B6-4004-971C-25F0828991E8}"/>
    <cellStyle name="Normal 15 6 2 6" xfId="17789" xr:uid="{68C17370-7D1C-472D-8251-9D46F674DA1F}"/>
    <cellStyle name="Normal 15 6 2 7" xfId="34548" xr:uid="{7198BC70-CE39-40FE-A9B7-F365775CF6FA}"/>
    <cellStyle name="Normal 15 6 3" xfId="1448" xr:uid="{0B74125A-E32B-4384-A9C2-6A86406DFF99}"/>
    <cellStyle name="Normal 15 6 3 2" xfId="4837" xr:uid="{F4F9AF9D-EFFB-4BE5-96C2-B9DF225F408F}"/>
    <cellStyle name="Normal 15 6 3 2 2" xfId="13217" xr:uid="{4523335E-8E13-41F2-9F79-910B42A72651}"/>
    <cellStyle name="Normal 15 6 3 2 2 2" xfId="29977" xr:uid="{6FFE7315-0E3A-41AF-8B47-89CB1C722BF4}"/>
    <cellStyle name="Normal 15 6 3 2 2 3" xfId="46736" xr:uid="{6560412E-1A8C-4829-9FED-C82D55A257B6}"/>
    <cellStyle name="Normal 15 6 3 2 3" xfId="21597" xr:uid="{CC2ECDB0-2B27-4DB2-B8DD-2032A24F26B2}"/>
    <cellStyle name="Normal 15 6 3 2 4" xfId="38356" xr:uid="{4AE87FE0-F7E3-49CE-8354-4A477A40527A}"/>
    <cellStyle name="Normal 15 6 3 3" xfId="6524" xr:uid="{0F41558E-3091-4A89-B73E-9A0B18105C77}"/>
    <cellStyle name="Normal 15 6 3 3 2" xfId="14904" xr:uid="{A42475B0-147C-4C97-AD02-D2ACBB32513C}"/>
    <cellStyle name="Normal 15 6 3 3 2 2" xfId="31664" xr:uid="{6B4B0416-FB06-4032-ACBD-6750D24659CF}"/>
    <cellStyle name="Normal 15 6 3 3 2 3" xfId="48423" xr:uid="{33C6DC72-E86F-4DC2-A69D-3357850BD325}"/>
    <cellStyle name="Normal 15 6 3 3 3" xfId="23284" xr:uid="{2B1249A7-AAC3-4C0B-B099-5C968EA2CCE4}"/>
    <cellStyle name="Normal 15 6 3 3 4" xfId="40043" xr:uid="{E2E5F644-EE27-44E4-9DE4-703B3E2A9345}"/>
    <cellStyle name="Normal 15 6 3 4" xfId="3260" xr:uid="{617F35BD-C2F4-488C-8654-E2E033B10AF1}"/>
    <cellStyle name="Normal 15 6 3 4 2" xfId="11640" xr:uid="{112CFC9C-A30B-4A97-AAE7-203D44380CFA}"/>
    <cellStyle name="Normal 15 6 3 4 2 2" xfId="28400" xr:uid="{B7D99A1D-35F9-447A-9025-A8B172412151}"/>
    <cellStyle name="Normal 15 6 3 4 2 3" xfId="45159" xr:uid="{543B6399-4870-4EB6-BFD8-C5A7FA7D4BCB}"/>
    <cellStyle name="Normal 15 6 3 4 3" xfId="20020" xr:uid="{5108019E-EB4D-41F0-A4D6-578F7D149C0D}"/>
    <cellStyle name="Normal 15 6 3 4 4" xfId="36779" xr:uid="{FE41DE25-9FC2-4234-90C0-F0861ED249B7}"/>
    <cellStyle name="Normal 15 6 3 5" xfId="9837" xr:uid="{94BF44D6-C22F-4D0F-ACAC-75DBEC43B5BE}"/>
    <cellStyle name="Normal 15 6 3 5 2" xfId="26597" xr:uid="{C7686C12-2AA5-43BA-9042-6E13755E593E}"/>
    <cellStyle name="Normal 15 6 3 5 3" xfId="43356" xr:uid="{BC0BA8E4-2274-4558-8ADE-E0F8A21AB0B2}"/>
    <cellStyle name="Normal 15 6 3 6" xfId="18217" xr:uid="{B6D70CC2-675B-4870-A509-CBD8ACA86EB1}"/>
    <cellStyle name="Normal 15 6 3 7" xfId="34976" xr:uid="{083DEC70-B12F-4364-8F93-3A9D14E55589}"/>
    <cellStyle name="Normal 15 6 4" xfId="1809" xr:uid="{07300044-2D9F-47CF-9A9B-998E558DEE22}"/>
    <cellStyle name="Normal 15 6 4 2" xfId="5198" xr:uid="{12C029AB-0057-4518-8184-94D98A13FE5F}"/>
    <cellStyle name="Normal 15 6 4 2 2" xfId="13578" xr:uid="{EB6A279B-055F-4299-B647-A5215AD6372C}"/>
    <cellStyle name="Normal 15 6 4 2 2 2" xfId="30338" xr:uid="{D021BB0B-2B49-491C-BC60-EA6671C5D697}"/>
    <cellStyle name="Normal 15 6 4 2 2 3" xfId="47097" xr:uid="{25663CFD-0D81-48FF-AB56-F2B0FE5D14A8}"/>
    <cellStyle name="Normal 15 6 4 2 3" xfId="21958" xr:uid="{6DFFE63B-7A53-4B14-8C56-4066C0E57B5A}"/>
    <cellStyle name="Normal 15 6 4 2 4" xfId="38717" xr:uid="{1755D315-B732-483E-B945-AC7F21A5D5A3}"/>
    <cellStyle name="Normal 15 6 4 3" xfId="6885" xr:uid="{BB82F706-50AC-4428-ADE9-388539812664}"/>
    <cellStyle name="Normal 15 6 4 3 2" xfId="15265" xr:uid="{9CBBDD6F-0427-496D-8DE2-235C38ACBA5C}"/>
    <cellStyle name="Normal 15 6 4 3 2 2" xfId="32025" xr:uid="{4B0DB038-6858-47CA-A4AD-28F58D73006E}"/>
    <cellStyle name="Normal 15 6 4 3 2 3" xfId="48784" xr:uid="{3AD43BDF-69B4-473B-B36B-20CB2C421CDF}"/>
    <cellStyle name="Normal 15 6 4 3 3" xfId="23645" xr:uid="{4010180F-09C8-4DB7-B251-BE145BAC08EB}"/>
    <cellStyle name="Normal 15 6 4 3 4" xfId="40404" xr:uid="{9FE417F5-1CCC-46FB-9E7D-4CBD6437892D}"/>
    <cellStyle name="Normal 15 6 4 4" xfId="3509" xr:uid="{0EF4F3E9-2DC5-4E3B-8D9B-79A6FE82E911}"/>
    <cellStyle name="Normal 15 6 4 4 2" xfId="11889" xr:uid="{5EBE5881-CC5D-401C-B337-05FD4624168C}"/>
    <cellStyle name="Normal 15 6 4 4 2 2" xfId="28649" xr:uid="{C471AE35-6312-42F9-8F50-7CBB744F05ED}"/>
    <cellStyle name="Normal 15 6 4 4 2 3" xfId="45408" xr:uid="{ADB9684F-0A37-4B93-AF18-D7592AB1EB37}"/>
    <cellStyle name="Normal 15 6 4 4 3" xfId="20269" xr:uid="{94D0B104-A3EF-4C54-BA9E-EF1A721B2C33}"/>
    <cellStyle name="Normal 15 6 4 4 4" xfId="37028" xr:uid="{696E36CA-204D-41F0-B47E-DA0D0DF65BC4}"/>
    <cellStyle name="Normal 15 6 4 5" xfId="10198" xr:uid="{371D14C0-BCD7-4F60-9A95-639C9500E971}"/>
    <cellStyle name="Normal 15 6 4 5 2" xfId="26958" xr:uid="{C2FD851E-5D9E-4322-B3D5-8F602026BCF1}"/>
    <cellStyle name="Normal 15 6 4 5 3" xfId="43717" xr:uid="{80870C56-9670-4EF6-BB2C-05A2D8FDF599}"/>
    <cellStyle name="Normal 15 6 4 6" xfId="18578" xr:uid="{CDC815C5-9406-4751-BF2A-2E33E7257DD4}"/>
    <cellStyle name="Normal 15 6 4 7" xfId="35337" xr:uid="{E1EEDDCE-DBB4-43DF-B0EC-E3375DA78055}"/>
    <cellStyle name="Normal 15 6 5" xfId="3928" xr:uid="{2E9D60EC-B81D-4AD3-8BA9-8E976DD5BC6A}"/>
    <cellStyle name="Normal 15 6 5 2" xfId="12308" xr:uid="{6EC8C8B0-275C-424D-9E37-EB188E1205CF}"/>
    <cellStyle name="Normal 15 6 5 2 2" xfId="29068" xr:uid="{102FCCA8-6F97-4EEB-B0A3-F5C50230938F}"/>
    <cellStyle name="Normal 15 6 5 2 3" xfId="45827" xr:uid="{5A01D95A-311D-4907-BBCD-BB53496BA886}"/>
    <cellStyle name="Normal 15 6 5 3" xfId="20688" xr:uid="{76CB9D99-64E2-4D59-8A5D-21D5B494123E}"/>
    <cellStyle name="Normal 15 6 5 4" xfId="37447" xr:uid="{1175007B-FFB8-4BD9-B04D-EA17EB302111}"/>
    <cellStyle name="Normal 15 6 6" xfId="5670" xr:uid="{564D3959-1FEA-44C4-B6A3-65E1F0A2FED1}"/>
    <cellStyle name="Normal 15 6 6 2" xfId="14050" xr:uid="{A6385AF5-8310-4C31-A02E-34D68590B81A}"/>
    <cellStyle name="Normal 15 6 6 2 2" xfId="30810" xr:uid="{FCA32AC6-5A97-4839-A7EA-AB7F72CD297C}"/>
    <cellStyle name="Normal 15 6 6 2 3" xfId="47569" xr:uid="{E68366DF-D4A7-43A9-AA5F-346FF5526F63}"/>
    <cellStyle name="Normal 15 6 6 3" xfId="22430" xr:uid="{0F150361-8D18-44E0-B459-34283041BB7B}"/>
    <cellStyle name="Normal 15 6 6 4" xfId="39189" xr:uid="{6F23DFDE-F599-489A-8576-68E11E99C8BE}"/>
    <cellStyle name="Normal 15 6 7" xfId="7291" xr:uid="{2318EBDA-7C83-43C6-B540-729801A70827}"/>
    <cellStyle name="Normal 15 6 7 2" xfId="15671" xr:uid="{7485CEF5-2A5F-4BDF-ACEF-8D72AE6AE709}"/>
    <cellStyle name="Normal 15 6 7 2 2" xfId="32431" xr:uid="{8BC787B2-A5C6-4855-85CF-3980F4E5E956}"/>
    <cellStyle name="Normal 15 6 7 2 3" xfId="49190" xr:uid="{D0F6826F-EE6A-492D-ACDB-58C6D157DD95}"/>
    <cellStyle name="Normal 15 6 7 3" xfId="24051" xr:uid="{60C2C3AF-6F21-4CC9-A721-C0D889FE1578}"/>
    <cellStyle name="Normal 15 6 7 4" xfId="40810" xr:uid="{D8E4A19E-EA9E-46B1-8CA3-1D647CD1EA41}"/>
    <cellStyle name="Normal 15 6 8" xfId="7697" xr:uid="{33D1BEAB-2246-49B0-B069-2C4BD99EB851}"/>
    <cellStyle name="Normal 15 6 8 2" xfId="16077" xr:uid="{9E167160-70DB-4886-86EF-0B7C6CFCB579}"/>
    <cellStyle name="Normal 15 6 8 2 2" xfId="32837" xr:uid="{4D4CCB70-771A-4EF8-ABE6-1FDE1C30CE06}"/>
    <cellStyle name="Normal 15 6 8 2 3" xfId="49596" xr:uid="{273DD030-9806-4F66-8642-1169E930D949}"/>
    <cellStyle name="Normal 15 6 8 3" xfId="24457" xr:uid="{1D6203E8-7633-4219-9E8D-AB8420976255}"/>
    <cellStyle name="Normal 15 6 8 4" xfId="41216" xr:uid="{53083CA4-2267-4620-8EA4-1DEDCB98317E}"/>
    <cellStyle name="Normal 15 6 9" xfId="8103" xr:uid="{C3363533-AF4B-4B3E-8CAF-D1D488E707E9}"/>
    <cellStyle name="Normal 15 6 9 2" xfId="16483" xr:uid="{C1306BED-109E-4E61-82EC-973676248379}"/>
    <cellStyle name="Normal 15 6 9 2 2" xfId="33243" xr:uid="{094B1211-5EC6-442D-894F-2B06E8977144}"/>
    <cellStyle name="Normal 15 6 9 2 3" xfId="50002" xr:uid="{6275D677-AEE3-4EBF-AD51-C699E8F33644}"/>
    <cellStyle name="Normal 15 6 9 3" xfId="24863" xr:uid="{7F6FF043-E44B-4717-90E5-B6D59D8450AE}"/>
    <cellStyle name="Normal 15 6 9 4" xfId="41622" xr:uid="{6248DE70-2D97-4D0D-B9B3-B37B6958D1B4}"/>
    <cellStyle name="Normal 15 7" xfId="573" xr:uid="{B288D87F-C2E7-42AE-9E0B-98E433FB50EB}"/>
    <cellStyle name="Normal 15 7 10" xfId="8606" xr:uid="{B91A8222-033F-4058-8DD0-9602B1EA0962}"/>
    <cellStyle name="Normal 15 7 10 2" xfId="16986" xr:uid="{8E88F8AE-CBE4-4129-B9F9-1BA1CCA58274}"/>
    <cellStyle name="Normal 15 7 10 2 2" xfId="33746" xr:uid="{F610D006-D8D1-486D-A6C8-4A9403BF0D0D}"/>
    <cellStyle name="Normal 15 7 10 2 3" xfId="50505" xr:uid="{D9789134-4D49-433B-B504-C3B0F9224608}"/>
    <cellStyle name="Normal 15 7 10 3" xfId="25366" xr:uid="{E8239CD5-69BC-42E3-8B11-62E71ED64F4A}"/>
    <cellStyle name="Normal 15 7 10 4" xfId="42125" xr:uid="{141D4BEA-A311-4052-A249-C6B19879D9BA}"/>
    <cellStyle name="Normal 15 7 11" xfId="2405" xr:uid="{DAFEF949-7F79-44A1-87A6-15048E484437}"/>
    <cellStyle name="Normal 15 7 11 2" xfId="10787" xr:uid="{30AA7EAF-A89B-4859-BEA8-9605F1D17C7B}"/>
    <cellStyle name="Normal 15 7 11 2 2" xfId="27547" xr:uid="{F74B388A-3150-4C65-85A9-045F2FCB67F3}"/>
    <cellStyle name="Normal 15 7 11 2 3" xfId="44306" xr:uid="{A5464879-067C-4DB3-89CE-EB252AB8368C}"/>
    <cellStyle name="Normal 15 7 11 3" xfId="19167" xr:uid="{7A8A3D0A-DB18-4C09-8FD0-3AD82D8254A5}"/>
    <cellStyle name="Normal 15 7 11 4" xfId="35926" xr:uid="{E75BD813-26E1-499C-A546-DA523BB148CB}"/>
    <cellStyle name="Normal 15 7 12" xfId="8984" xr:uid="{7920956D-94B3-40DF-8288-76A3BF4C70B8}"/>
    <cellStyle name="Normal 15 7 12 2" xfId="25744" xr:uid="{8354C305-F8DF-41DA-A68E-228CFBE5BEC4}"/>
    <cellStyle name="Normal 15 7 12 3" xfId="42503" xr:uid="{FFE8B2D5-2F7A-4A87-8D7A-51097AC85DAB}"/>
    <cellStyle name="Normal 15 7 13" xfId="17364" xr:uid="{EFF137CE-4691-47DC-9B3B-CC627A034018}"/>
    <cellStyle name="Normal 15 7 14" xfId="34123" xr:uid="{FFFAA8EB-09F5-4135-AEB5-559734C92F09}"/>
    <cellStyle name="Normal 15 7 2" xfId="1015" xr:uid="{A6B169EE-5E57-472A-9DA6-201DD70725A6}"/>
    <cellStyle name="Normal 15 7 2 2" xfId="4410" xr:uid="{A59A5E42-249D-4456-803A-CDAFA90D3B8A}"/>
    <cellStyle name="Normal 15 7 2 2 2" xfId="12790" xr:uid="{99CACEF7-4020-444E-BAB4-F163C9CD29A0}"/>
    <cellStyle name="Normal 15 7 2 2 2 2" xfId="29550" xr:uid="{EABB5C67-15FB-49DE-805D-B2B1EB924090}"/>
    <cellStyle name="Normal 15 7 2 2 2 3" xfId="46309" xr:uid="{B4BA3835-47FE-4305-9ED5-1FB6886EDE27}"/>
    <cellStyle name="Normal 15 7 2 2 3" xfId="21170" xr:uid="{C04DC731-2FDB-4304-BF1F-40E9FBB37F57}"/>
    <cellStyle name="Normal 15 7 2 2 4" xfId="37929" xr:uid="{43A42C0B-31B9-46BF-8E61-343C0DCCD735}"/>
    <cellStyle name="Normal 15 7 2 3" xfId="6097" xr:uid="{7ACDE7D7-052B-425D-97D2-FDD507E114AF}"/>
    <cellStyle name="Normal 15 7 2 3 2" xfId="14477" xr:uid="{FC5A2341-B751-4349-8562-968CD069E2CE}"/>
    <cellStyle name="Normal 15 7 2 3 2 2" xfId="31237" xr:uid="{5172BC1C-5C19-4C70-B312-55428FE38784}"/>
    <cellStyle name="Normal 15 7 2 3 2 3" xfId="47996" xr:uid="{18D393D9-6501-4080-ADEE-AB0C41051867}"/>
    <cellStyle name="Normal 15 7 2 3 3" xfId="22857" xr:uid="{9E891061-DF27-4415-9C9A-39893BAD68C6}"/>
    <cellStyle name="Normal 15 7 2 3 4" xfId="39616" xr:uid="{FBA53137-5FF7-486E-A00F-BC8250722C24}"/>
    <cellStyle name="Normal 15 7 2 4" xfId="2833" xr:uid="{8FFCD61D-847D-4355-8C26-9B2CDB2A8EEB}"/>
    <cellStyle name="Normal 15 7 2 4 2" xfId="11213" xr:uid="{22BACE0F-388C-40E8-B0DE-9727DF385E1E}"/>
    <cellStyle name="Normal 15 7 2 4 2 2" xfId="27973" xr:uid="{0A70AFAC-D6C3-4491-882B-A1A3AB169267}"/>
    <cellStyle name="Normal 15 7 2 4 2 3" xfId="44732" xr:uid="{8B4EAF54-A86F-4336-82B9-15117A0317BB}"/>
    <cellStyle name="Normal 15 7 2 4 3" xfId="19593" xr:uid="{8B4A7920-363D-4E09-8060-EF248CB13B5B}"/>
    <cellStyle name="Normal 15 7 2 4 4" xfId="36352" xr:uid="{184EBADD-0562-4442-ACD3-FD066ABF41D4}"/>
    <cellStyle name="Normal 15 7 2 5" xfId="9410" xr:uid="{4EB8B675-22CC-4718-A0F3-445B57248917}"/>
    <cellStyle name="Normal 15 7 2 5 2" xfId="26170" xr:uid="{7558527B-DC53-4253-BECA-66D4D192A0B7}"/>
    <cellStyle name="Normal 15 7 2 5 3" xfId="42929" xr:uid="{B0EBE34F-BC4D-4391-9E23-1D5488AB7258}"/>
    <cellStyle name="Normal 15 7 2 6" xfId="17790" xr:uid="{860CD193-ADE5-4486-81EA-30FEBFC0661E}"/>
    <cellStyle name="Normal 15 7 2 7" xfId="34549" xr:uid="{0F6B1499-A73B-4594-8083-AC85DD242EA8}"/>
    <cellStyle name="Normal 15 7 3" xfId="1449" xr:uid="{9386D5D6-97C3-4018-9823-A94E4A8ADFD9}"/>
    <cellStyle name="Normal 15 7 3 2" xfId="4838" xr:uid="{56F56544-45F8-4F41-9909-9E55D7145E5E}"/>
    <cellStyle name="Normal 15 7 3 2 2" xfId="13218" xr:uid="{BDFDA400-0A25-4A19-AD65-93CDC7EDA796}"/>
    <cellStyle name="Normal 15 7 3 2 2 2" xfId="29978" xr:uid="{911DA80B-D6F4-4F18-A742-F400FE1296B8}"/>
    <cellStyle name="Normal 15 7 3 2 2 3" xfId="46737" xr:uid="{1DC7B210-F9B5-46BD-BCD3-05234CC73867}"/>
    <cellStyle name="Normal 15 7 3 2 3" xfId="21598" xr:uid="{BC9BCD57-3CE9-4768-AE67-14AF68C9DAA3}"/>
    <cellStyle name="Normal 15 7 3 2 4" xfId="38357" xr:uid="{D1F5E4D4-76AB-431E-9FA3-3B8691C0F959}"/>
    <cellStyle name="Normal 15 7 3 3" xfId="6525" xr:uid="{FCBAF72F-638E-4731-B35A-A9ED439E801F}"/>
    <cellStyle name="Normal 15 7 3 3 2" xfId="14905" xr:uid="{DEADE172-3628-49AF-BD37-11FF6C8C7840}"/>
    <cellStyle name="Normal 15 7 3 3 2 2" xfId="31665" xr:uid="{351AE080-33A3-44F3-9E4D-B468653D179B}"/>
    <cellStyle name="Normal 15 7 3 3 2 3" xfId="48424" xr:uid="{A0D43841-6147-4621-AAE4-AC6955A9D92A}"/>
    <cellStyle name="Normal 15 7 3 3 3" xfId="23285" xr:uid="{4E66D16F-AD03-4498-8DB7-A30FDA1B4EB9}"/>
    <cellStyle name="Normal 15 7 3 3 4" xfId="40044" xr:uid="{F7C4E482-39CE-4C45-960F-889FBB802EB1}"/>
    <cellStyle name="Normal 15 7 3 4" xfId="3261" xr:uid="{23D74BC3-6DB9-4062-809C-4C3E23567070}"/>
    <cellStyle name="Normal 15 7 3 4 2" xfId="11641" xr:uid="{9124D857-6CE8-4308-9CBE-3D7A15BA0017}"/>
    <cellStyle name="Normal 15 7 3 4 2 2" xfId="28401" xr:uid="{7628DC84-582B-4755-B470-22AB8437203D}"/>
    <cellStyle name="Normal 15 7 3 4 2 3" xfId="45160" xr:uid="{5A772B9C-D321-4BE5-9412-34D323FE3FC3}"/>
    <cellStyle name="Normal 15 7 3 4 3" xfId="20021" xr:uid="{B40396C5-E6A1-4CD5-BAA6-7C4E641C1858}"/>
    <cellStyle name="Normal 15 7 3 4 4" xfId="36780" xr:uid="{0858568B-20AE-4097-A923-BD2020412FBA}"/>
    <cellStyle name="Normal 15 7 3 5" xfId="9838" xr:uid="{0C9D9EC8-3581-480C-9EED-832B4BCC9E8F}"/>
    <cellStyle name="Normal 15 7 3 5 2" xfId="26598" xr:uid="{2A496A34-6A4E-49A8-8893-2F358D37650E}"/>
    <cellStyle name="Normal 15 7 3 5 3" xfId="43357" xr:uid="{08114EAF-51DC-4742-A535-F5F0D5CC4C50}"/>
    <cellStyle name="Normal 15 7 3 6" xfId="18218" xr:uid="{C1D7C1B6-A8F5-4487-9EC5-B9C292540DB4}"/>
    <cellStyle name="Normal 15 7 3 7" xfId="34977" xr:uid="{0E7FBB04-B169-4927-B39C-FDD3B9D5FBB2}"/>
    <cellStyle name="Normal 15 7 4" xfId="1906" xr:uid="{C7DD918B-C6AE-4904-B0A4-58F82823798D}"/>
    <cellStyle name="Normal 15 7 4 2" xfId="5295" xr:uid="{FD27A08D-0BB9-4875-8F27-1A42818CAC0C}"/>
    <cellStyle name="Normal 15 7 4 2 2" xfId="13675" xr:uid="{584EA61D-9707-44BF-9DE5-F21821E4C0F3}"/>
    <cellStyle name="Normal 15 7 4 2 2 2" xfId="30435" xr:uid="{0D5C9D56-286C-4608-BB7E-DF8EED125152}"/>
    <cellStyle name="Normal 15 7 4 2 2 3" xfId="47194" xr:uid="{5DB08FB6-98F3-4004-8747-1E62463562D5}"/>
    <cellStyle name="Normal 15 7 4 2 3" xfId="22055" xr:uid="{467ED8AE-203F-4DB5-9FA9-D2FBE6FB1BE0}"/>
    <cellStyle name="Normal 15 7 4 2 4" xfId="38814" xr:uid="{5B363A02-FCE6-4631-AC64-B6C493007431}"/>
    <cellStyle name="Normal 15 7 4 3" xfId="6982" xr:uid="{4E3D5649-A440-493F-8E9F-09315B201D9C}"/>
    <cellStyle name="Normal 15 7 4 3 2" xfId="15362" xr:uid="{8DF2C197-7E3B-488F-A840-2C268ABC2CEA}"/>
    <cellStyle name="Normal 15 7 4 3 2 2" xfId="32122" xr:uid="{EDDE5B76-10CB-437B-B7F7-035AE033AD73}"/>
    <cellStyle name="Normal 15 7 4 3 2 3" xfId="48881" xr:uid="{428A5788-9E39-4407-B0E6-20142EC70416}"/>
    <cellStyle name="Normal 15 7 4 3 3" xfId="23742" xr:uid="{13EB5CE7-1B1B-4C63-8CC9-2B7F701F166B}"/>
    <cellStyle name="Normal 15 7 4 3 4" xfId="40501" xr:uid="{391DC576-DF3E-4CF7-A342-D941E6A2E256}"/>
    <cellStyle name="Normal 15 7 4 4" xfId="3605" xr:uid="{1F9E1ECF-BEB1-4D63-8963-38F6A5580663}"/>
    <cellStyle name="Normal 15 7 4 4 2" xfId="11985" xr:uid="{F276EC58-DCCA-4B06-86B4-96F84D70432B}"/>
    <cellStyle name="Normal 15 7 4 4 2 2" xfId="28745" xr:uid="{1A71B3F5-46E8-481E-81A2-E8B025B7BB57}"/>
    <cellStyle name="Normal 15 7 4 4 2 3" xfId="45504" xr:uid="{8B6CC5E9-64D3-4E7D-BA09-D64A53DA55A0}"/>
    <cellStyle name="Normal 15 7 4 4 3" xfId="20365" xr:uid="{68FF2D84-15F7-4971-9824-57E267727752}"/>
    <cellStyle name="Normal 15 7 4 4 4" xfId="37124" xr:uid="{D600AE56-CD0F-4802-830A-978D64EE2F97}"/>
    <cellStyle name="Normal 15 7 4 5" xfId="10295" xr:uid="{5BFE4FCB-712E-4F49-8BD2-295F2A0064F6}"/>
    <cellStyle name="Normal 15 7 4 5 2" xfId="27055" xr:uid="{75BB4B29-9625-41F3-9343-14EAC6C84AEE}"/>
    <cellStyle name="Normal 15 7 4 5 3" xfId="43814" xr:uid="{3EC119A4-41A7-420F-9A96-402C74A57451}"/>
    <cellStyle name="Normal 15 7 4 6" xfId="18675" xr:uid="{94C6E82B-330C-4A8A-8242-3E2F349FA3EE}"/>
    <cellStyle name="Normal 15 7 4 7" xfId="35434" xr:uid="{2E44FAB4-D86A-4ADB-9215-46746027A163}"/>
    <cellStyle name="Normal 15 7 5" xfId="4025" xr:uid="{D4BE328C-77D5-433D-A684-504334C93E91}"/>
    <cellStyle name="Normal 15 7 5 2" xfId="12405" xr:uid="{2C7EE7DA-2AFA-45B9-9295-4EF3F5472908}"/>
    <cellStyle name="Normal 15 7 5 2 2" xfId="29165" xr:uid="{5E21BE3D-F702-4D8C-834A-02C2CB7CE07A}"/>
    <cellStyle name="Normal 15 7 5 2 3" xfId="45924" xr:uid="{1E3FC6A5-22D4-4063-91AB-500EB2437A86}"/>
    <cellStyle name="Normal 15 7 5 3" xfId="20785" xr:uid="{0C2257CE-5B6F-4A98-A5D7-2D1285E9B154}"/>
    <cellStyle name="Normal 15 7 5 4" xfId="37544" xr:uid="{25F7CB76-B620-45F0-B4D1-B99B7755FFF8}"/>
    <cellStyle name="Normal 15 7 6" xfId="5671" xr:uid="{E59B8D15-A3A6-4B90-9FCF-2A395AF2D544}"/>
    <cellStyle name="Normal 15 7 6 2" xfId="14051" xr:uid="{CA678ED4-7F24-4DC1-8142-9931362A6BE5}"/>
    <cellStyle name="Normal 15 7 6 2 2" xfId="30811" xr:uid="{0706A873-1031-4280-980E-85F3BB1F91D6}"/>
    <cellStyle name="Normal 15 7 6 2 3" xfId="47570" xr:uid="{48AA59D6-82D9-400B-AE7B-41755DE41AA3}"/>
    <cellStyle name="Normal 15 7 6 3" xfId="22431" xr:uid="{E256CC20-D96A-4C9A-ABDC-E2593BB57FD3}"/>
    <cellStyle name="Normal 15 7 6 4" xfId="39190" xr:uid="{ECD22E9F-26B1-424C-8AC9-35D9EDB2F8FA}"/>
    <cellStyle name="Normal 15 7 7" xfId="7388" xr:uid="{FC77B0E3-5130-44E3-9637-D3F8036F6685}"/>
    <cellStyle name="Normal 15 7 7 2" xfId="15768" xr:uid="{8DE80883-B3CC-4E52-9062-C1621C4B4C5B}"/>
    <cellStyle name="Normal 15 7 7 2 2" xfId="32528" xr:uid="{D5750F2B-49F6-47B1-A300-B343276B6AA1}"/>
    <cellStyle name="Normal 15 7 7 2 3" xfId="49287" xr:uid="{83DDA02F-0B5B-4505-9F5F-56471E4070FD}"/>
    <cellStyle name="Normal 15 7 7 3" xfId="24148" xr:uid="{E2D076B0-1D27-493F-9E20-72308B2E3099}"/>
    <cellStyle name="Normal 15 7 7 4" xfId="40907" xr:uid="{8F5BB367-1B82-46CE-A607-00123DE5D59C}"/>
    <cellStyle name="Normal 15 7 8" xfId="7794" xr:uid="{2A44E663-767C-4C86-959F-BDA61314E968}"/>
    <cellStyle name="Normal 15 7 8 2" xfId="16174" xr:uid="{372258A0-B49F-49C3-BB3E-07B2C897575F}"/>
    <cellStyle name="Normal 15 7 8 2 2" xfId="32934" xr:uid="{DAEEDCCD-7C02-4AB3-ACC3-079A09FEEBA5}"/>
    <cellStyle name="Normal 15 7 8 2 3" xfId="49693" xr:uid="{640D0243-8409-4A4E-B365-CBDAA48636A7}"/>
    <cellStyle name="Normal 15 7 8 3" xfId="24554" xr:uid="{9ECEB0A3-218C-4A09-907F-462F70539ABF}"/>
    <cellStyle name="Normal 15 7 8 4" xfId="41313" xr:uid="{AE200701-DA57-4A9A-B930-2A081BB571A1}"/>
    <cellStyle name="Normal 15 7 9" xfId="8200" xr:uid="{C8EDF742-96D2-4DAE-8434-28F9CDD292F1}"/>
    <cellStyle name="Normal 15 7 9 2" xfId="16580" xr:uid="{915E0220-29F1-49C5-84B5-269540E371DA}"/>
    <cellStyle name="Normal 15 7 9 2 2" xfId="33340" xr:uid="{6C5F74E9-DF48-4993-A568-A507489661B2}"/>
    <cellStyle name="Normal 15 7 9 2 3" xfId="50099" xr:uid="{523F7A01-8631-48A0-B905-8E1D4F2D6A1E}"/>
    <cellStyle name="Normal 15 7 9 3" xfId="24960" xr:uid="{E2AFCF1D-42AB-4B5E-9820-B4A4533688E2}"/>
    <cellStyle name="Normal 15 7 9 4" xfId="41719" xr:uid="{33BB531F-6BB3-4340-822B-8B968A16B019}"/>
    <cellStyle name="Normal 15 8" xfId="778" xr:uid="{455A5C03-00CC-4CD7-8E6C-85CF6EA457C7}"/>
    <cellStyle name="Normal 15 8 2" xfId="4173" xr:uid="{F8DD3406-40CF-494E-AA75-69C7A17A30D8}"/>
    <cellStyle name="Normal 15 8 2 2" xfId="12553" xr:uid="{9205B83F-F34E-4B86-8FFB-4692A5C937AB}"/>
    <cellStyle name="Normal 15 8 2 2 2" xfId="29313" xr:uid="{BB325D35-E706-4AD0-AE2C-FCA50CD11D5B}"/>
    <cellStyle name="Normal 15 8 2 2 3" xfId="46072" xr:uid="{9AB3DDBC-470A-4401-BEA5-51A31D8FE77B}"/>
    <cellStyle name="Normal 15 8 2 3" xfId="20933" xr:uid="{81A613D7-8E8C-46DD-AB4E-635AAB0E26F6}"/>
    <cellStyle name="Normal 15 8 2 4" xfId="37692" xr:uid="{0751AFE1-F452-42CC-821D-06E32116C3C5}"/>
    <cellStyle name="Normal 15 8 3" xfId="5860" xr:uid="{C37D29F2-01C8-4AB6-896C-AEF8D16CDDC7}"/>
    <cellStyle name="Normal 15 8 3 2" xfId="14240" xr:uid="{67F2DED9-8656-4840-ADD2-FDDFED2CD08B}"/>
    <cellStyle name="Normal 15 8 3 2 2" xfId="31000" xr:uid="{73F7F8B8-087A-47C1-AF79-FD981929905E}"/>
    <cellStyle name="Normal 15 8 3 2 3" xfId="47759" xr:uid="{0FA046BB-996A-42B4-ABAB-842A431FF194}"/>
    <cellStyle name="Normal 15 8 3 3" xfId="22620" xr:uid="{857A48C5-E9B1-472F-ACFF-341A0CAE4E63}"/>
    <cellStyle name="Normal 15 8 3 4" xfId="39379" xr:uid="{A690D2D7-7D00-407E-8E5A-8AD3D7783027}"/>
    <cellStyle name="Normal 15 8 4" xfId="2596" xr:uid="{27D0D813-FB94-41F2-9758-3565CD190713}"/>
    <cellStyle name="Normal 15 8 4 2" xfId="10976" xr:uid="{5992EFB9-D127-48AE-9659-C78005AF80F8}"/>
    <cellStyle name="Normal 15 8 4 2 2" xfId="27736" xr:uid="{2981719B-D7DD-437F-BA7B-1DB4568ED8B6}"/>
    <cellStyle name="Normal 15 8 4 2 3" xfId="44495" xr:uid="{BA0BEA1E-7639-445C-ADC4-0B0F0B50782E}"/>
    <cellStyle name="Normal 15 8 4 3" xfId="19356" xr:uid="{777C8B89-49E1-47D9-9978-7BDF4EDD1ECC}"/>
    <cellStyle name="Normal 15 8 4 4" xfId="36115" xr:uid="{A718118E-E3DB-43AC-BDB4-2A5A203C44F1}"/>
    <cellStyle name="Normal 15 8 5" xfId="9173" xr:uid="{EA1B8CAC-A73E-4AFC-8D0D-8C8FE4213CE7}"/>
    <cellStyle name="Normal 15 8 5 2" xfId="25933" xr:uid="{083190DE-0523-4B3F-94D9-3486DD2DB0BF}"/>
    <cellStyle name="Normal 15 8 5 3" xfId="42692" xr:uid="{09A539C8-468B-4785-8496-B3CA65E01B12}"/>
    <cellStyle name="Normal 15 8 6" xfId="17553" xr:uid="{704AE026-2B4A-4162-B366-09FDC2B141B8}"/>
    <cellStyle name="Normal 15 8 7" xfId="34312" xr:uid="{FE6D8224-DC53-4451-8BE5-037AECDE133E}"/>
    <cellStyle name="Normal 15 9" xfId="1212" xr:uid="{8C580D13-E8E1-40BA-8EC4-0F1D0614C526}"/>
    <cellStyle name="Normal 15 9 2" xfId="4601" xr:uid="{75A986CA-C9D6-48CD-B644-62B22270E52A}"/>
    <cellStyle name="Normal 15 9 2 2" xfId="12981" xr:uid="{97997BB8-B659-424B-8CEB-0AAA0F8F95E3}"/>
    <cellStyle name="Normal 15 9 2 2 2" xfId="29741" xr:uid="{9C2BD65A-FF5F-4021-849F-E4F9DC5E4914}"/>
    <cellStyle name="Normal 15 9 2 2 3" xfId="46500" xr:uid="{F01102BE-DAC8-4759-9BA6-51F2DEE7F491}"/>
    <cellStyle name="Normal 15 9 2 3" xfId="21361" xr:uid="{E2D9B9C1-5F37-444E-B919-DBF927B8E546}"/>
    <cellStyle name="Normal 15 9 2 4" xfId="38120" xr:uid="{EB9E92DC-ADCA-44A4-8913-963FE8041741}"/>
    <cellStyle name="Normal 15 9 3" xfId="6288" xr:uid="{3A8BFD41-FB9B-4246-8B21-8ACFF49E6C7C}"/>
    <cellStyle name="Normal 15 9 3 2" xfId="14668" xr:uid="{0323DDAD-63C9-4393-A1E9-003E9F4098B7}"/>
    <cellStyle name="Normal 15 9 3 2 2" xfId="31428" xr:uid="{FB74385A-3434-42BB-BAED-BE78576DBDAE}"/>
    <cellStyle name="Normal 15 9 3 2 3" xfId="48187" xr:uid="{E10FF7EE-970F-4853-8BE5-AEACA9DF32D9}"/>
    <cellStyle name="Normal 15 9 3 3" xfId="23048" xr:uid="{E43613CE-7AE1-4C32-88EE-E073AD461E30}"/>
    <cellStyle name="Normal 15 9 3 4" xfId="39807" xr:uid="{D9F7B54E-F616-4166-8E82-2C5783CE9280}"/>
    <cellStyle name="Normal 15 9 4" xfId="3024" xr:uid="{32E8F98C-9620-465B-BC92-545B94279067}"/>
    <cellStyle name="Normal 15 9 4 2" xfId="11404" xr:uid="{289DBADC-0FB1-41E7-A820-8EA8A17C3BE1}"/>
    <cellStyle name="Normal 15 9 4 2 2" xfId="28164" xr:uid="{9F28243A-F161-424C-97B5-6985B8969EE6}"/>
    <cellStyle name="Normal 15 9 4 2 3" xfId="44923" xr:uid="{51DA4377-3FCC-46F8-B650-A0580E0BBA3D}"/>
    <cellStyle name="Normal 15 9 4 3" xfId="19784" xr:uid="{62AF9D42-B4C0-44F5-B96C-74FCEBE175C8}"/>
    <cellStyle name="Normal 15 9 4 4" xfId="36543" xr:uid="{CD20580D-B1EB-4C6E-B8F2-5738F678C836}"/>
    <cellStyle name="Normal 15 9 5" xfId="9601" xr:uid="{82B3FBC3-183E-494B-95AF-8CAA0E94AC0B}"/>
    <cellStyle name="Normal 15 9 5 2" xfId="26361" xr:uid="{173F0F66-76CA-45DB-B292-87B48088CFFC}"/>
    <cellStyle name="Normal 15 9 5 3" xfId="43120" xr:uid="{78B0EFDE-88A9-412B-A706-2A41101761EF}"/>
    <cellStyle name="Normal 15 9 6" xfId="17981" xr:uid="{59A96F08-2ED3-436A-A26E-054B4053980E}"/>
    <cellStyle name="Normal 15 9 7" xfId="34740" xr:uid="{E4AEE02E-75E4-47ED-B44B-07AE32592268}"/>
    <cellStyle name="Normal 16" xfId="153" xr:uid="{2E90E33D-5591-48CB-A708-62CB97B45987}"/>
    <cellStyle name="Normal 16 10" xfId="1636" xr:uid="{E9F775AE-EC38-4AE6-A74B-D2118454DFA0}"/>
    <cellStyle name="Normal 16 10 2" xfId="5025" xr:uid="{D5C91AB3-47BD-4721-B025-8EB47AB085D0}"/>
    <cellStyle name="Normal 16 10 2 2" xfId="13405" xr:uid="{A021A25E-F9E5-4E11-BB7E-E22F011375B8}"/>
    <cellStyle name="Normal 16 10 2 2 2" xfId="30165" xr:uid="{BC2BBA38-B871-42F2-A1ED-3FDA12B11079}"/>
    <cellStyle name="Normal 16 10 2 2 3" xfId="46924" xr:uid="{BD386109-FE67-4811-907A-E69F5E069186}"/>
    <cellStyle name="Normal 16 10 2 3" xfId="21785" xr:uid="{E6E53BC1-90E5-4D36-B514-D55DAD046AF2}"/>
    <cellStyle name="Normal 16 10 2 4" xfId="38544" xr:uid="{EB418FFD-83F3-4F47-ABEF-975B970EB9AB}"/>
    <cellStyle name="Normal 16 10 3" xfId="6712" xr:uid="{420752F3-4810-4557-ABAD-33406B13F74F}"/>
    <cellStyle name="Normal 16 10 3 2" xfId="15092" xr:uid="{56E22DDA-FFC5-4618-8B6A-45B80E51EF44}"/>
    <cellStyle name="Normal 16 10 3 2 2" xfId="31852" xr:uid="{4D9D9F3E-19BC-47EF-9ADD-B2AD87295678}"/>
    <cellStyle name="Normal 16 10 3 2 3" xfId="48611" xr:uid="{4B4E670E-A691-4931-8AD0-570ED2DD3F46}"/>
    <cellStyle name="Normal 16 10 3 3" xfId="23472" xr:uid="{E497AD96-E89F-41A6-9D82-5B57A830C892}"/>
    <cellStyle name="Normal 16 10 3 4" xfId="40231" xr:uid="{0C4A7B0D-B34E-4928-B240-246439434DBB}"/>
    <cellStyle name="Normal 16 10 4" xfId="2163" xr:uid="{3ED45BB7-41DF-4260-B8DE-343DE5D833B6}"/>
    <cellStyle name="Normal 16 10 4 2" xfId="10551" xr:uid="{4A7C7DA9-A4A1-4A95-A105-7B638A444F24}"/>
    <cellStyle name="Normal 16 10 4 2 2" xfId="27311" xr:uid="{BF5C6FCB-C8F2-49A0-A6F2-7B7CC5707EC9}"/>
    <cellStyle name="Normal 16 10 4 2 3" xfId="44070" xr:uid="{027B089D-3395-489A-AD81-A2148DFF1A3D}"/>
    <cellStyle name="Normal 16 10 4 3" xfId="18931" xr:uid="{5FD55237-69A7-418E-AA59-409AF37165A2}"/>
    <cellStyle name="Normal 16 10 4 4" xfId="35690" xr:uid="{1AAD356A-720A-4C2F-BE6C-3C1CEC5E1215}"/>
    <cellStyle name="Normal 16 10 5" xfId="10025" xr:uid="{C42898E3-7981-4DDA-AC16-52FCA73EC1F0}"/>
    <cellStyle name="Normal 16 10 5 2" xfId="26785" xr:uid="{222BDF36-3105-47D1-BCCF-63EB9F137C73}"/>
    <cellStyle name="Normal 16 10 5 3" xfId="43544" xr:uid="{4886D2C7-A057-466D-A3D8-32AF211DD609}"/>
    <cellStyle name="Normal 16 10 6" xfId="18405" xr:uid="{79CF6AE2-C553-4772-88A4-34FDC1C801D8}"/>
    <cellStyle name="Normal 16 10 7" xfId="35164" xr:uid="{D40BE6F2-CCEC-4B82-87D4-9EE13F716440}"/>
    <cellStyle name="Normal 16 11" xfId="3741" xr:uid="{477E6BF9-DC6C-418F-BFD7-5E94153361D7}"/>
    <cellStyle name="Normal 16 11 2" xfId="12121" xr:uid="{E57B409E-6BAB-4BB3-ACAE-CB2A1577376E}"/>
    <cellStyle name="Normal 16 11 2 2" xfId="28881" xr:uid="{A9E2EAFB-A83B-4F48-A087-1792EF852341}"/>
    <cellStyle name="Normal 16 11 2 3" xfId="45640" xr:uid="{9A258E64-0BF4-4186-9FDD-0E57A665408F}"/>
    <cellStyle name="Normal 16 11 3" xfId="20501" xr:uid="{53FFF6EA-5B80-45C0-9780-9B76C09656BF}"/>
    <cellStyle name="Normal 16 11 4" xfId="37260" xr:uid="{58CE6DB3-556C-4583-B76F-EA5CDBDFC9C7}"/>
    <cellStyle name="Normal 16 12" xfId="5435" xr:uid="{E57FB3A1-60B4-4A57-B464-1C5FB77B1A42}"/>
    <cellStyle name="Normal 16 12 2" xfId="13815" xr:uid="{A70C6748-5FB2-4897-A0C6-9A71DE848242}"/>
    <cellStyle name="Normal 16 12 2 2" xfId="30575" xr:uid="{03B9BB59-AA06-40FA-B998-B2C82236DD8D}"/>
    <cellStyle name="Normal 16 12 2 3" xfId="47334" xr:uid="{906FF0D7-5338-495D-A9E4-F51CE2FB22EC}"/>
    <cellStyle name="Normal 16 12 3" xfId="22195" xr:uid="{C566A5A6-AEE6-4E6A-9E81-F30BD7C02B53}"/>
    <cellStyle name="Normal 16 12 4" xfId="38954" xr:uid="{6C77BA2F-1853-4FC2-B2CF-AC93414C5434}"/>
    <cellStyle name="Normal 16 13" xfId="7118" xr:uid="{9E3987DE-CDDE-4BDE-A01C-52FDB36F1781}"/>
    <cellStyle name="Normal 16 13 2" xfId="15498" xr:uid="{7450540A-5C13-4850-BB60-77D55D2D5510}"/>
    <cellStyle name="Normal 16 13 2 2" xfId="32258" xr:uid="{3D9DE10A-3E85-4129-B976-C458EFDE7465}"/>
    <cellStyle name="Normal 16 13 2 3" xfId="49017" xr:uid="{1D32B2A3-94A0-4114-AE4F-D854281F9816}"/>
    <cellStyle name="Normal 16 13 3" xfId="23878" xr:uid="{35673401-222D-43B6-9AC7-903645FB2CE7}"/>
    <cellStyle name="Normal 16 13 4" xfId="40637" xr:uid="{73834117-8291-4318-A5AB-F391E69A69A8}"/>
    <cellStyle name="Normal 16 14" xfId="7524" xr:uid="{263CE9E6-5B67-4BF2-BC6C-4401655E8F66}"/>
    <cellStyle name="Normal 16 14 2" xfId="15904" xr:uid="{6DA5DD72-9647-40AC-8D3C-BFB97CDFA465}"/>
    <cellStyle name="Normal 16 14 2 2" xfId="32664" xr:uid="{B951DDAE-65C5-49C0-98B3-9BC418F23219}"/>
    <cellStyle name="Normal 16 14 2 3" xfId="49423" xr:uid="{6C518151-F4DC-4F69-89DC-704A9A61D444}"/>
    <cellStyle name="Normal 16 14 3" xfId="24284" xr:uid="{51F8F883-F58F-4C74-809D-2D286F2CA15E}"/>
    <cellStyle name="Normal 16 14 4" xfId="41043" xr:uid="{96F650B8-E346-4653-B2FA-79ADCCF762BA}"/>
    <cellStyle name="Normal 16 15" xfId="7930" xr:uid="{7FD602AD-1DBB-43FC-81F6-EB417A487F57}"/>
    <cellStyle name="Normal 16 15 2" xfId="16310" xr:uid="{F988607A-2D22-499E-A7B8-7293F3C871DE}"/>
    <cellStyle name="Normal 16 15 2 2" xfId="33070" xr:uid="{A4F0587C-447D-44B9-9E8B-AC5D46507CF8}"/>
    <cellStyle name="Normal 16 15 2 3" xfId="49829" xr:uid="{170657AC-FCE9-46EF-B3D5-F5161C44B4AE}"/>
    <cellStyle name="Normal 16 15 3" xfId="24690" xr:uid="{7F30E620-62A7-4DC9-83F9-2E11C115BE39}"/>
    <cellStyle name="Normal 16 15 4" xfId="41449" xr:uid="{8C2D1642-A09F-4D0C-AEC1-8ABF271A828F}"/>
    <cellStyle name="Normal 16 16" xfId="8336" xr:uid="{036B6639-55D1-44A4-8ABC-B9FC09793273}"/>
    <cellStyle name="Normal 16 16 2" xfId="16716" xr:uid="{9DA40DE7-74A1-4BEE-8BE5-E4C974DE6CF2}"/>
    <cellStyle name="Normal 16 16 2 2" xfId="33476" xr:uid="{9365931E-596D-4007-8A06-4A1CBA4821EF}"/>
    <cellStyle name="Normal 16 16 2 3" xfId="50235" xr:uid="{A15C8C9E-DC0F-428C-82EC-B9E099DF4683}"/>
    <cellStyle name="Normal 16 16 3" xfId="25096" xr:uid="{D39D5D65-408F-49C4-9CE5-FC57BD7B2A80}"/>
    <cellStyle name="Normal 16 16 4" xfId="41855" xr:uid="{AAC70FA0-FE95-4472-BF6A-38613DBB09B1}"/>
    <cellStyle name="Normal 16 17" xfId="2051" xr:uid="{0DC13AD8-0607-4484-AA71-0738CF9DAE80}"/>
    <cellStyle name="Normal 16 17 2" xfId="10439" xr:uid="{A4CF1D9C-3EAE-4D06-9D43-1300899493C0}"/>
    <cellStyle name="Normal 16 17 2 2" xfId="27199" xr:uid="{072BC765-A762-4701-A458-882848E6BF88}"/>
    <cellStyle name="Normal 16 17 2 3" xfId="43958" xr:uid="{71545A95-0860-4533-83D5-15A3B4DDACC6}"/>
    <cellStyle name="Normal 16 17 3" xfId="18819" xr:uid="{BF0D216D-8632-4596-8360-C3CD9D0A53F4}"/>
    <cellStyle name="Normal 16 17 4" xfId="35578" xr:uid="{C91FD870-FC14-4BD0-AB30-6E6A7A87C07C}"/>
    <cellStyle name="Normal 16 18" xfId="8748" xr:uid="{5616AB03-39C0-4F13-BE57-19DD7F924E61}"/>
    <cellStyle name="Normal 16 18 2" xfId="25508" xr:uid="{B90167FA-F5CD-4E22-A429-9D15E5999D23}"/>
    <cellStyle name="Normal 16 18 3" xfId="42267" xr:uid="{3DBFE19B-54E4-4B66-B2A9-CE3DAB3E5507}"/>
    <cellStyle name="Normal 16 19" xfId="17128" xr:uid="{05A91AA6-EC69-4B3A-9942-34DD76EC203A}"/>
    <cellStyle name="Normal 16 2" xfId="227" xr:uid="{4F57886C-DB80-4A10-A571-DA02B4319D40}"/>
    <cellStyle name="Normal 16 2 10" xfId="7564" xr:uid="{FE8B1007-9A6F-49FF-9DD5-480E2823B4ED}"/>
    <cellStyle name="Normal 16 2 10 2" xfId="15944" xr:uid="{09FB2C84-37DE-487F-BCA5-CA8902F89556}"/>
    <cellStyle name="Normal 16 2 10 2 2" xfId="32704" xr:uid="{B7DEEF16-A69A-44D6-8D9A-ABD58D401608}"/>
    <cellStyle name="Normal 16 2 10 2 3" xfId="49463" xr:uid="{CF793794-16A3-4C4C-836B-DD68458685FB}"/>
    <cellStyle name="Normal 16 2 10 3" xfId="24324" xr:uid="{A65D27C3-9C18-408C-B3DD-2D2F89ACEA86}"/>
    <cellStyle name="Normal 16 2 10 4" xfId="41083" xr:uid="{3247FC66-36B6-4FB9-B709-417DF26974A8}"/>
    <cellStyle name="Normal 16 2 11" xfId="7970" xr:uid="{96C1EE56-E5AC-431C-9CDB-6FE22F1E31B5}"/>
    <cellStyle name="Normal 16 2 11 2" xfId="16350" xr:uid="{6E335C8A-7BCA-4F68-81BE-8A92EF7826C4}"/>
    <cellStyle name="Normal 16 2 11 2 2" xfId="33110" xr:uid="{B816D267-34DC-4F6C-8912-EAA1B83D5144}"/>
    <cellStyle name="Normal 16 2 11 2 3" xfId="49869" xr:uid="{52242BC2-CDC8-4D83-BEE9-3FD0B00CDB59}"/>
    <cellStyle name="Normal 16 2 11 3" xfId="24730" xr:uid="{71E5BAEB-654D-45EC-9151-C883C7659BCE}"/>
    <cellStyle name="Normal 16 2 11 4" xfId="41489" xr:uid="{BF1856FD-6F5B-438F-9D3D-CADEA4D8BD25}"/>
    <cellStyle name="Normal 16 2 12" xfId="8376" xr:uid="{CDCBF905-F36C-4C83-9ADE-BB4EF96332B4}"/>
    <cellStyle name="Normal 16 2 12 2" xfId="16756" xr:uid="{AD733335-ECC5-4FFF-814B-5DDF2A375CA0}"/>
    <cellStyle name="Normal 16 2 12 2 2" xfId="33516" xr:uid="{104EA855-366C-4A60-AA1B-B921AAE067E7}"/>
    <cellStyle name="Normal 16 2 12 2 3" xfId="50275" xr:uid="{3B55D673-2143-4862-B57C-B4A67D6453B9}"/>
    <cellStyle name="Normal 16 2 12 3" xfId="25136" xr:uid="{1C237306-71D7-4053-B4A6-6E3EA781AFC0}"/>
    <cellStyle name="Normal 16 2 12 4" xfId="41895" xr:uid="{C2BC9A59-04D6-45EF-80A1-BECA785A8892}"/>
    <cellStyle name="Normal 16 2 13" xfId="2069" xr:uid="{CC99B66B-A34D-4EB0-ACF0-C3DD88AA247E}"/>
    <cellStyle name="Normal 16 2 13 2" xfId="10457" xr:uid="{B4B09278-91D5-435A-8CE1-582C1B039E24}"/>
    <cellStyle name="Normal 16 2 13 2 2" xfId="27217" xr:uid="{42618B84-520A-46C0-8F09-DC13BCEF24F7}"/>
    <cellStyle name="Normal 16 2 13 2 3" xfId="43976" xr:uid="{00A8E7B2-9BB4-48C3-A2D5-94539A427958}"/>
    <cellStyle name="Normal 16 2 13 3" xfId="18837" xr:uid="{543D03F0-D3C8-4BFC-8428-925E46275194}"/>
    <cellStyle name="Normal 16 2 13 4" xfId="35596" xr:uid="{9586F32C-BAEF-413C-A3BA-7F6BBD344C4F}"/>
    <cellStyle name="Normal 16 2 14" xfId="8776" xr:uid="{72D46E94-6229-4FF3-AA92-BD7155D30BDB}"/>
    <cellStyle name="Normal 16 2 14 2" xfId="25536" xr:uid="{87ADDA73-DD8F-46B7-844F-A3FBC662E2C9}"/>
    <cellStyle name="Normal 16 2 14 3" xfId="42295" xr:uid="{DCE6999D-B0E9-4AAB-9467-063E0C8A487B}"/>
    <cellStyle name="Normal 16 2 15" xfId="17156" xr:uid="{BA1A4FB8-5368-4C2D-9EDC-28460073A572}"/>
    <cellStyle name="Normal 16 2 16" xfId="33915" xr:uid="{8443DBC9-FFA2-4CAE-924F-7515A3D4CE73}"/>
    <cellStyle name="Normal 16 2 17" xfId="303" xr:uid="{74F2A9AD-A86A-4199-999E-AA6453B3B2AE}"/>
    <cellStyle name="Normal 16 2 2" xfId="386" xr:uid="{9294812F-8772-41D3-9002-62BD931BFBE5}"/>
    <cellStyle name="Normal 16 2 2 10" xfId="8515" xr:uid="{A83E50E1-6EFB-41EA-9756-33E8BE7350AB}"/>
    <cellStyle name="Normal 16 2 2 10 2" xfId="16895" xr:uid="{A9758B81-5D06-4439-A42B-BD3C3A8FFE0F}"/>
    <cellStyle name="Normal 16 2 2 10 2 2" xfId="33655" xr:uid="{F15C61F9-6086-47FA-854F-A3A9E9848585}"/>
    <cellStyle name="Normal 16 2 2 10 2 3" xfId="50414" xr:uid="{B618885A-A2F1-49AD-BEB2-F817049B3843}"/>
    <cellStyle name="Normal 16 2 2 10 3" xfId="25275" xr:uid="{5824CA18-21D3-4027-B6B3-3C8EAD41D3D6}"/>
    <cellStyle name="Normal 16 2 2 10 4" xfId="42034" xr:uid="{0FD08D37-E05A-44E5-B76B-7BB475DAF0B7}"/>
    <cellStyle name="Normal 16 2 2 11" xfId="2269" xr:uid="{B7D1CFBC-41E8-46AB-A6D2-37EBCC2A7E5E}"/>
    <cellStyle name="Normal 16 2 2 11 2" xfId="10653" xr:uid="{554DC92B-1851-43D9-BCB4-52C1A845D85D}"/>
    <cellStyle name="Normal 16 2 2 11 2 2" xfId="27413" xr:uid="{E22C514B-E851-48BE-B06E-5B2635A8DE11}"/>
    <cellStyle name="Normal 16 2 2 11 2 3" xfId="44172" xr:uid="{B6A8E079-801B-4CE0-A019-2837AE807F61}"/>
    <cellStyle name="Normal 16 2 2 11 3" xfId="19033" xr:uid="{CACAF5D3-B83B-4A10-B49B-3CB6CF04663A}"/>
    <cellStyle name="Normal 16 2 2 11 4" xfId="35792" xr:uid="{077C57F3-64F9-40B8-8453-B08CC85601C9}"/>
    <cellStyle name="Normal 16 2 2 12" xfId="8850" xr:uid="{203BBB54-AA38-46A0-B4B4-447AC00AA71B}"/>
    <cellStyle name="Normal 16 2 2 12 2" xfId="25610" xr:uid="{B89EE023-CF61-4315-BFEE-2D822E18EDB4}"/>
    <cellStyle name="Normal 16 2 2 12 3" xfId="42369" xr:uid="{A987F8C9-8212-41A3-9A13-142590943C6B}"/>
    <cellStyle name="Normal 16 2 2 13" xfId="17230" xr:uid="{C02210CB-A374-4E8D-8B00-8633D341661B}"/>
    <cellStyle name="Normal 16 2 2 14" xfId="33989" xr:uid="{F9EC9E17-B182-4A52-BC86-6D179E10D65B}"/>
    <cellStyle name="Normal 16 2 2 2" xfId="881" xr:uid="{7A420F60-C35B-46F5-AC0D-AB0B48DE8EA8}"/>
    <cellStyle name="Normal 16 2 2 2 2" xfId="4276" xr:uid="{087EA3DD-71EC-4148-84F8-0A9C0203A0A0}"/>
    <cellStyle name="Normal 16 2 2 2 2 2" xfId="12656" xr:uid="{077362DC-6B04-43DB-BA74-5E9C8A7D5B02}"/>
    <cellStyle name="Normal 16 2 2 2 2 2 2" xfId="29416" xr:uid="{C3CAEF0A-8740-4B4A-940B-DECB59CB5600}"/>
    <cellStyle name="Normal 16 2 2 2 2 2 3" xfId="46175" xr:uid="{509E762E-03B7-48E9-96A9-0EB4AA3ACFB3}"/>
    <cellStyle name="Normal 16 2 2 2 2 3" xfId="21036" xr:uid="{3009B9A4-DA81-442B-9F62-EDDA32A1D762}"/>
    <cellStyle name="Normal 16 2 2 2 2 4" xfId="37795" xr:uid="{F77DA571-858E-4955-996A-83C63FA6576A}"/>
    <cellStyle name="Normal 16 2 2 2 3" xfId="5963" xr:uid="{8BEE1D69-0876-4F64-B0C5-92F2A34FDD9A}"/>
    <cellStyle name="Normal 16 2 2 2 3 2" xfId="14343" xr:uid="{13368762-8955-4F11-8F9D-AA09897FD09B}"/>
    <cellStyle name="Normal 16 2 2 2 3 2 2" xfId="31103" xr:uid="{AA1A14D0-E507-40EC-8328-FF46FE25E80F}"/>
    <cellStyle name="Normal 16 2 2 2 3 2 3" xfId="47862" xr:uid="{A501AB48-E4FA-420F-9386-1657EB45A6DB}"/>
    <cellStyle name="Normal 16 2 2 2 3 3" xfId="22723" xr:uid="{6F7992C8-4E4C-44BF-AF7E-3C9C39BAEE36}"/>
    <cellStyle name="Normal 16 2 2 2 3 4" xfId="39482" xr:uid="{E733E98D-06AD-4D0A-AA35-3EC84505A22A}"/>
    <cellStyle name="Normal 16 2 2 2 4" xfId="2699" xr:uid="{C22E0329-A898-43D8-B50F-F0065508E76F}"/>
    <cellStyle name="Normal 16 2 2 2 4 2" xfId="11079" xr:uid="{4B2C43B6-C3C6-4159-8777-08C22694C7C7}"/>
    <cellStyle name="Normal 16 2 2 2 4 2 2" xfId="27839" xr:uid="{18F1A901-413C-40F9-9E17-BAC3C092E6F2}"/>
    <cellStyle name="Normal 16 2 2 2 4 2 3" xfId="44598" xr:uid="{99437BFD-E0E2-4E30-B619-35F47B900983}"/>
    <cellStyle name="Normal 16 2 2 2 4 3" xfId="19459" xr:uid="{804AAAFA-B630-4EAD-AC88-EAE587B3D815}"/>
    <cellStyle name="Normal 16 2 2 2 4 4" xfId="36218" xr:uid="{A59EE69D-6D01-489B-8A6D-4371D11C50A4}"/>
    <cellStyle name="Normal 16 2 2 2 5" xfId="9276" xr:uid="{D720C062-B345-4BA8-9645-646CF09522B8}"/>
    <cellStyle name="Normal 16 2 2 2 5 2" xfId="26036" xr:uid="{8AAF9665-0729-460D-A10F-0CA84F5E8A19}"/>
    <cellStyle name="Normal 16 2 2 2 5 3" xfId="42795" xr:uid="{DBC11608-85C4-460C-AB80-2D8FCD95170D}"/>
    <cellStyle name="Normal 16 2 2 2 6" xfId="17656" xr:uid="{93B3FC67-B4FB-4C2F-8FBB-581AEA69DC69}"/>
    <cellStyle name="Normal 16 2 2 2 7" xfId="34415" xr:uid="{C5036C2C-7458-4F0A-9C06-30CE403E8AF2}"/>
    <cellStyle name="Normal 16 2 2 3" xfId="1315" xr:uid="{D7E0C586-2AC8-4430-B9FE-D614B557E6A1}"/>
    <cellStyle name="Normal 16 2 2 3 2" xfId="4704" xr:uid="{D940C690-AB12-423E-A53A-C2DD03E4B57F}"/>
    <cellStyle name="Normal 16 2 2 3 2 2" xfId="13084" xr:uid="{3BBE0A91-A10D-46C4-9274-5C5A7C5CC065}"/>
    <cellStyle name="Normal 16 2 2 3 2 2 2" xfId="29844" xr:uid="{BB10B3DD-8ADA-4AE6-9536-B9D113C5EC1D}"/>
    <cellStyle name="Normal 16 2 2 3 2 2 3" xfId="46603" xr:uid="{D9DE84DA-C3F7-4033-9249-6B77D5EBBD65}"/>
    <cellStyle name="Normal 16 2 2 3 2 3" xfId="21464" xr:uid="{732EE20B-06BF-47D9-AAD4-6FE2AAFBBD23}"/>
    <cellStyle name="Normal 16 2 2 3 2 4" xfId="38223" xr:uid="{C28A0462-B426-4D61-AB3D-1D1FBD7F7BB5}"/>
    <cellStyle name="Normal 16 2 2 3 3" xfId="6391" xr:uid="{F00EE265-143E-4901-8A0B-ECEB9C85AC62}"/>
    <cellStyle name="Normal 16 2 2 3 3 2" xfId="14771" xr:uid="{24159D21-02BE-4F9A-B3E5-C1057CAA3E8A}"/>
    <cellStyle name="Normal 16 2 2 3 3 2 2" xfId="31531" xr:uid="{ECA5C231-F86A-4A3E-9E14-EDE5995448F3}"/>
    <cellStyle name="Normal 16 2 2 3 3 2 3" xfId="48290" xr:uid="{99FF7494-D3FB-4293-9916-1E117AC173E4}"/>
    <cellStyle name="Normal 16 2 2 3 3 3" xfId="23151" xr:uid="{06479EEF-290D-4FB6-992F-E6F5FD0AD2C1}"/>
    <cellStyle name="Normal 16 2 2 3 3 4" xfId="39910" xr:uid="{FC1CDE6B-59AF-464C-AC3C-9F8A24346F25}"/>
    <cellStyle name="Normal 16 2 2 3 4" xfId="3127" xr:uid="{F0AB0284-B476-410B-A99C-C4C1CF9B43A5}"/>
    <cellStyle name="Normal 16 2 2 3 4 2" xfId="11507" xr:uid="{00835D85-D276-4BF2-A1FF-A4F7BCD3F2E3}"/>
    <cellStyle name="Normal 16 2 2 3 4 2 2" xfId="28267" xr:uid="{6874E890-222D-43FF-AFB2-E83AECBB1039}"/>
    <cellStyle name="Normal 16 2 2 3 4 2 3" xfId="45026" xr:uid="{D58FA1B6-0C33-48BA-BDDD-04EFF2844400}"/>
    <cellStyle name="Normal 16 2 2 3 4 3" xfId="19887" xr:uid="{7E9D22F5-8BF0-4C29-BB09-AFBB17CD1223}"/>
    <cellStyle name="Normal 16 2 2 3 4 4" xfId="36646" xr:uid="{46E9A032-59E0-41AC-85E8-194C5FD54B2E}"/>
    <cellStyle name="Normal 16 2 2 3 5" xfId="9704" xr:uid="{A85AAD7A-0C63-4869-994E-A878BDA9F0AD}"/>
    <cellStyle name="Normal 16 2 2 3 5 2" xfId="26464" xr:uid="{924508CE-7E37-42B8-BD0B-D2A9D6BDB4E9}"/>
    <cellStyle name="Normal 16 2 2 3 5 3" xfId="43223" xr:uid="{C63E3963-F5DC-4FF9-A6EC-15C7F208A138}"/>
    <cellStyle name="Normal 16 2 2 3 6" xfId="18084" xr:uid="{8F0F6CC8-CC30-486F-84E2-AE3015711716}"/>
    <cellStyle name="Normal 16 2 2 3 7" xfId="34843" xr:uid="{AB8A4B9E-E590-4D89-B442-B3FA17434307}"/>
    <cellStyle name="Normal 16 2 2 4" xfId="1815" xr:uid="{2E82E9F2-104F-496A-9C0B-6D9677DC13EA}"/>
    <cellStyle name="Normal 16 2 2 4 2" xfId="5204" xr:uid="{B57A550A-7D69-490C-922B-4D3E7E5E0A09}"/>
    <cellStyle name="Normal 16 2 2 4 2 2" xfId="13584" xr:uid="{BE63366E-DFA3-42CF-B3EF-786B0F633624}"/>
    <cellStyle name="Normal 16 2 2 4 2 2 2" xfId="30344" xr:uid="{855398CC-6F6F-4690-AD6A-D36824EC12C5}"/>
    <cellStyle name="Normal 16 2 2 4 2 2 3" xfId="47103" xr:uid="{5EC615D0-6900-4ED3-A15A-331F549A55D6}"/>
    <cellStyle name="Normal 16 2 2 4 2 3" xfId="21964" xr:uid="{D8A0F4DC-B13A-4FE2-8B92-A6CDE472DE0A}"/>
    <cellStyle name="Normal 16 2 2 4 2 4" xfId="38723" xr:uid="{785AF4D7-6852-4612-8961-23E3FA51B66F}"/>
    <cellStyle name="Normal 16 2 2 4 3" xfId="6891" xr:uid="{657796DD-3851-4268-BE07-EDA87D3AB536}"/>
    <cellStyle name="Normal 16 2 2 4 3 2" xfId="15271" xr:uid="{DAD36FB3-F257-44D6-93AF-B7E3DC25ED35}"/>
    <cellStyle name="Normal 16 2 2 4 3 2 2" xfId="32031" xr:uid="{8C45DED8-7649-45AE-A096-85ECF9EF3BCF}"/>
    <cellStyle name="Normal 16 2 2 4 3 2 3" xfId="48790" xr:uid="{632417DF-068C-45F6-90A8-FEEA823FA81C}"/>
    <cellStyle name="Normal 16 2 2 4 3 3" xfId="23651" xr:uid="{4F1A459B-B952-4A6F-9815-151FC1A3B189}"/>
    <cellStyle name="Normal 16 2 2 4 3 4" xfId="40410" xr:uid="{B7AD26F7-6687-4C76-8F71-B3301A485E73}"/>
    <cellStyle name="Normal 16 2 2 4 4" xfId="3515" xr:uid="{01F7CA03-F11F-4FEF-A632-7A37E712F5B1}"/>
    <cellStyle name="Normal 16 2 2 4 4 2" xfId="11895" xr:uid="{2EA48129-9BF9-4BA3-B0D2-7258E5149FF6}"/>
    <cellStyle name="Normal 16 2 2 4 4 2 2" xfId="28655" xr:uid="{F50A2454-37D7-4472-9F6A-D1CC717C1F08}"/>
    <cellStyle name="Normal 16 2 2 4 4 2 3" xfId="45414" xr:uid="{5869EDA5-5726-4BBD-9A7B-F23FDAA1C5DB}"/>
    <cellStyle name="Normal 16 2 2 4 4 3" xfId="20275" xr:uid="{B88AA320-F64F-44A1-BDF2-A6C09358FB9F}"/>
    <cellStyle name="Normal 16 2 2 4 4 4" xfId="37034" xr:uid="{4876EB41-D7A8-4F77-85AE-4CC5CCF63712}"/>
    <cellStyle name="Normal 16 2 2 4 5" xfId="10204" xr:uid="{F7925D13-9084-4127-8B2C-AD1369804BA8}"/>
    <cellStyle name="Normal 16 2 2 4 5 2" xfId="26964" xr:uid="{E89C30E5-FF4D-40B5-9BB3-36842A49A13A}"/>
    <cellStyle name="Normal 16 2 2 4 5 3" xfId="43723" xr:uid="{2BFA2D27-EFD8-4213-AA86-02A59C4F5E8C}"/>
    <cellStyle name="Normal 16 2 2 4 6" xfId="18584" xr:uid="{2E455B0A-1FE9-4CB4-B97B-5DE8EF48B058}"/>
    <cellStyle name="Normal 16 2 2 4 7" xfId="35343" xr:uid="{E083ED6B-385E-479F-A98A-AB52DDF58FAF}"/>
    <cellStyle name="Normal 16 2 2 5" xfId="3934" xr:uid="{C1F37A7D-791F-4810-B999-A356C8917A62}"/>
    <cellStyle name="Normal 16 2 2 5 2" xfId="12314" xr:uid="{94E34D19-EF26-45BC-A6A0-3777A750FA9D}"/>
    <cellStyle name="Normal 16 2 2 5 2 2" xfId="29074" xr:uid="{58A44A25-7F38-4E8E-BEC4-46017FB15650}"/>
    <cellStyle name="Normal 16 2 2 5 2 3" xfId="45833" xr:uid="{A4D73A5F-BFA0-48F5-831D-1F9806C826AC}"/>
    <cellStyle name="Normal 16 2 2 5 3" xfId="20694" xr:uid="{61151778-6CCC-4308-888E-411A8FB9CAB0}"/>
    <cellStyle name="Normal 16 2 2 5 4" xfId="37453" xr:uid="{40BBB968-0C76-4073-B783-80C4700C3BB6}"/>
    <cellStyle name="Normal 16 2 2 6" xfId="5537" xr:uid="{63361399-AC54-4F34-9349-ABCAB20966CF}"/>
    <cellStyle name="Normal 16 2 2 6 2" xfId="13917" xr:uid="{E8845FB2-03E7-4A46-83E7-878A8807F469}"/>
    <cellStyle name="Normal 16 2 2 6 2 2" xfId="30677" xr:uid="{5E33644A-7475-43F6-9978-4F2A98F0639A}"/>
    <cellStyle name="Normal 16 2 2 6 2 3" xfId="47436" xr:uid="{D4286824-C746-49E7-A4DF-8A7BD2692201}"/>
    <cellStyle name="Normal 16 2 2 6 3" xfId="22297" xr:uid="{EB98DF97-7F60-4B1B-8569-F0E435736A89}"/>
    <cellStyle name="Normal 16 2 2 6 4" xfId="39056" xr:uid="{9C1DDFE3-D958-4CB6-AD76-0355C3919B7A}"/>
    <cellStyle name="Normal 16 2 2 7" xfId="7297" xr:uid="{05174EF5-506D-4E0B-9B3C-850A7740BCFC}"/>
    <cellStyle name="Normal 16 2 2 7 2" xfId="15677" xr:uid="{3822BC4E-2FC6-4ADE-A256-9F5BE5BA89F8}"/>
    <cellStyle name="Normal 16 2 2 7 2 2" xfId="32437" xr:uid="{F303DB96-A67A-43B4-B7C9-E5B29572C924}"/>
    <cellStyle name="Normal 16 2 2 7 2 3" xfId="49196" xr:uid="{38A269C7-FC1D-451E-9998-A640467D29BD}"/>
    <cellStyle name="Normal 16 2 2 7 3" xfId="24057" xr:uid="{75EDCD53-E036-49F8-8433-8D37E893036A}"/>
    <cellStyle name="Normal 16 2 2 7 4" xfId="40816" xr:uid="{CF49B6C4-C021-4E0E-9FD4-FEC1DD48ED15}"/>
    <cellStyle name="Normal 16 2 2 8" xfId="7703" xr:uid="{5E75100F-F4BC-4D0A-874C-94D6F57B56EB}"/>
    <cellStyle name="Normal 16 2 2 8 2" xfId="16083" xr:uid="{49405AD9-5597-4F26-8442-D74513BADEAE}"/>
    <cellStyle name="Normal 16 2 2 8 2 2" xfId="32843" xr:uid="{3DDB28DC-2F3E-48B2-8A3E-A0860928172F}"/>
    <cellStyle name="Normal 16 2 2 8 2 3" xfId="49602" xr:uid="{5649FBE2-0088-4B6D-A2E9-C2FB9F4201F9}"/>
    <cellStyle name="Normal 16 2 2 8 3" xfId="24463" xr:uid="{3DEACC85-2A07-4BD3-8235-200244870BF7}"/>
    <cellStyle name="Normal 16 2 2 8 4" xfId="41222" xr:uid="{2A5833CE-7B4D-457C-AB79-8F26DD083474}"/>
    <cellStyle name="Normal 16 2 2 9" xfId="8109" xr:uid="{230963FC-BBAE-4907-A98D-34F5ECBC9243}"/>
    <cellStyle name="Normal 16 2 2 9 2" xfId="16489" xr:uid="{36442F28-6590-49F3-A6F4-9DFB4DD4AC2C}"/>
    <cellStyle name="Normal 16 2 2 9 2 2" xfId="33249" xr:uid="{31EA4449-A9C5-4BB2-9EB8-F48AB49E0911}"/>
    <cellStyle name="Normal 16 2 2 9 2 3" xfId="50008" xr:uid="{DE868523-83A3-49D0-9054-B9659DF89D72}"/>
    <cellStyle name="Normal 16 2 2 9 3" xfId="24869" xr:uid="{A9D2B1F7-550E-4D53-9867-A48C61C09CB5}"/>
    <cellStyle name="Normal 16 2 2 9 4" xfId="41628" xr:uid="{9CC97DF7-E5B2-4918-A657-98E3265127CB}"/>
    <cellStyle name="Normal 16 2 3" xfId="574" xr:uid="{A8A9CA6C-14C9-418F-81CD-6CB3D145DAFC}"/>
    <cellStyle name="Normal 16 2 3 10" xfId="8647" xr:uid="{6076C55F-B2C4-45B5-9200-DCBA3D8C7C2C}"/>
    <cellStyle name="Normal 16 2 3 10 2" xfId="17027" xr:uid="{0B479665-5FC9-41CB-A76A-8B4848D5BE44}"/>
    <cellStyle name="Normal 16 2 3 10 2 2" xfId="33787" xr:uid="{B5B3B221-86D4-45E3-8C34-6D3E74EFA72C}"/>
    <cellStyle name="Normal 16 2 3 10 2 3" xfId="50546" xr:uid="{D219B0CE-C7E3-4D70-9C08-3D5CC12DF7F4}"/>
    <cellStyle name="Normal 16 2 3 10 3" xfId="25407" xr:uid="{AF5A4F72-9F08-46F5-B224-2D966072FAE6}"/>
    <cellStyle name="Normal 16 2 3 10 4" xfId="42166" xr:uid="{79047903-5534-46D1-8652-CF4D6C937A9C}"/>
    <cellStyle name="Normal 16 2 3 11" xfId="2406" xr:uid="{9F59F1D3-B39E-4E2A-B705-A8CD35A92C7C}"/>
    <cellStyle name="Normal 16 2 3 11 2" xfId="10788" xr:uid="{5996C2DE-4C61-49C0-A045-C09254628D3E}"/>
    <cellStyle name="Normal 16 2 3 11 2 2" xfId="27548" xr:uid="{4DF91394-B646-41E1-83C2-67595251BAD0}"/>
    <cellStyle name="Normal 16 2 3 11 2 3" xfId="44307" xr:uid="{3618488A-8FC3-4E36-9A68-263273196A9F}"/>
    <cellStyle name="Normal 16 2 3 11 3" xfId="19168" xr:uid="{19A509E3-A827-41C8-AB7F-D263125EC82B}"/>
    <cellStyle name="Normal 16 2 3 11 4" xfId="35927" xr:uid="{A0F8A1D9-E978-49FE-A3F7-E7A80AC6FA5C}"/>
    <cellStyle name="Normal 16 2 3 12" xfId="8985" xr:uid="{C1D5B9C5-4F31-4967-A1FF-5C5BBB6F4891}"/>
    <cellStyle name="Normal 16 2 3 12 2" xfId="25745" xr:uid="{7E6083F2-AA79-48C3-856A-21E41197083A}"/>
    <cellStyle name="Normal 16 2 3 12 3" xfId="42504" xr:uid="{E315A398-BD7B-4538-845C-364DC642235B}"/>
    <cellStyle name="Normal 16 2 3 13" xfId="17365" xr:uid="{BB0A46E0-A523-49FC-B922-2E980E84A2EE}"/>
    <cellStyle name="Normal 16 2 3 14" xfId="34124" xr:uid="{80CA5232-D12E-4859-938B-CF2255EF384E}"/>
    <cellStyle name="Normal 16 2 3 2" xfId="1016" xr:uid="{CF6CF873-D20D-44C9-A001-C3BF612678BD}"/>
    <cellStyle name="Normal 16 2 3 2 2" xfId="4411" xr:uid="{108B4E0E-94EC-4D3A-97E6-C26B04136707}"/>
    <cellStyle name="Normal 16 2 3 2 2 2" xfId="12791" xr:uid="{406AA9C4-38FD-4C8A-8FCF-E7D6287E9B01}"/>
    <cellStyle name="Normal 16 2 3 2 2 2 2" xfId="29551" xr:uid="{E4411FEB-52EB-42BF-8736-5565B29D39E2}"/>
    <cellStyle name="Normal 16 2 3 2 2 2 3" xfId="46310" xr:uid="{100B1F77-D3E4-41E9-8023-76C3F0D431E2}"/>
    <cellStyle name="Normal 16 2 3 2 2 3" xfId="21171" xr:uid="{CE80C9D9-B46D-41D0-A6B8-69E7DFE060CB}"/>
    <cellStyle name="Normal 16 2 3 2 2 4" xfId="37930" xr:uid="{729F6293-1E8F-4FA1-9C43-23F59C4F18BC}"/>
    <cellStyle name="Normal 16 2 3 2 3" xfId="6098" xr:uid="{71C15CCB-3C43-4A39-964B-937BE89E0A21}"/>
    <cellStyle name="Normal 16 2 3 2 3 2" xfId="14478" xr:uid="{19BF3CA0-815E-46EB-A74A-4C00D82A1D82}"/>
    <cellStyle name="Normal 16 2 3 2 3 2 2" xfId="31238" xr:uid="{5533BF2E-7110-4750-8A6D-0FC1FAE50549}"/>
    <cellStyle name="Normal 16 2 3 2 3 2 3" xfId="47997" xr:uid="{55B366E2-59AF-402A-A6AE-68AF06BA4C96}"/>
    <cellStyle name="Normal 16 2 3 2 3 3" xfId="22858" xr:uid="{293F4038-0DF4-4F9C-9DA3-208F3866DA36}"/>
    <cellStyle name="Normal 16 2 3 2 3 4" xfId="39617" xr:uid="{86DC3E0B-31CB-48A0-BFC7-027A1CD486E7}"/>
    <cellStyle name="Normal 16 2 3 2 4" xfId="2834" xr:uid="{4D252C80-AD51-4650-8060-33C883337E2F}"/>
    <cellStyle name="Normal 16 2 3 2 4 2" xfId="11214" xr:uid="{16C350A7-2E3F-41E7-BDDB-C2B23BF76D29}"/>
    <cellStyle name="Normal 16 2 3 2 4 2 2" xfId="27974" xr:uid="{AD3C577E-F824-4631-86E5-501A723CCA11}"/>
    <cellStyle name="Normal 16 2 3 2 4 2 3" xfId="44733" xr:uid="{02C1CD56-A908-4887-BE7C-D29EBEFCF582}"/>
    <cellStyle name="Normal 16 2 3 2 4 3" xfId="19594" xr:uid="{D9159490-E96C-4253-9F6D-CF3DAAC1B10B}"/>
    <cellStyle name="Normal 16 2 3 2 4 4" xfId="36353" xr:uid="{361183A4-59A6-4688-BEB9-043152590566}"/>
    <cellStyle name="Normal 16 2 3 2 5" xfId="9411" xr:uid="{04047D36-58FE-4FF9-8ADB-A1174161E993}"/>
    <cellStyle name="Normal 16 2 3 2 5 2" xfId="26171" xr:uid="{F1E685A6-48FE-4373-846A-FA83E0810005}"/>
    <cellStyle name="Normal 16 2 3 2 5 3" xfId="42930" xr:uid="{F8440FA4-0D28-4E98-B5A2-728190BF5884}"/>
    <cellStyle name="Normal 16 2 3 2 6" xfId="17791" xr:uid="{2407B50C-C8EC-4F0C-8553-8213188547C1}"/>
    <cellStyle name="Normal 16 2 3 2 7" xfId="34550" xr:uid="{DE2072E5-BE6C-40BB-9FC6-0EA4944F8801}"/>
    <cellStyle name="Normal 16 2 3 3" xfId="1450" xr:uid="{25A33DD1-683D-4995-BF50-025D267CE9D6}"/>
    <cellStyle name="Normal 16 2 3 3 2" xfId="4839" xr:uid="{65B36EC2-93DE-4EE8-9061-2EA0BCB540E2}"/>
    <cellStyle name="Normal 16 2 3 3 2 2" xfId="13219" xr:uid="{E65A2906-BF02-4969-985A-38EC0DEA130B}"/>
    <cellStyle name="Normal 16 2 3 3 2 2 2" xfId="29979" xr:uid="{07CB3FB8-BC0C-48B8-A770-24CAA878A5A7}"/>
    <cellStyle name="Normal 16 2 3 3 2 2 3" xfId="46738" xr:uid="{62216C03-A891-4F70-BB5B-1ADEEEE0DF90}"/>
    <cellStyle name="Normal 16 2 3 3 2 3" xfId="21599" xr:uid="{7BA2A346-DF19-4D8A-A8FC-4ADFD286558C}"/>
    <cellStyle name="Normal 16 2 3 3 2 4" xfId="38358" xr:uid="{EC33B796-A9DE-4B38-87A5-5893FAE9EA94}"/>
    <cellStyle name="Normal 16 2 3 3 3" xfId="6526" xr:uid="{524E5CB5-F246-4387-9F84-1E0B9C296F1B}"/>
    <cellStyle name="Normal 16 2 3 3 3 2" xfId="14906" xr:uid="{FB950E15-0DFA-4C90-B065-91E6FCC62DEE}"/>
    <cellStyle name="Normal 16 2 3 3 3 2 2" xfId="31666" xr:uid="{58CB9F53-FB24-4D23-9C8A-CD162B8AEB60}"/>
    <cellStyle name="Normal 16 2 3 3 3 2 3" xfId="48425" xr:uid="{FAA06B22-6AE5-49D6-AEF7-E670E2634AA7}"/>
    <cellStyle name="Normal 16 2 3 3 3 3" xfId="23286" xr:uid="{336D59D1-E09D-4041-BC0A-C740035A7CC6}"/>
    <cellStyle name="Normal 16 2 3 3 3 4" xfId="40045" xr:uid="{B9282083-69FA-4507-8271-FE73F6E6C1C4}"/>
    <cellStyle name="Normal 16 2 3 3 4" xfId="3262" xr:uid="{4B752D37-CFA4-4DDD-8CF1-42AE384A0FD8}"/>
    <cellStyle name="Normal 16 2 3 3 4 2" xfId="11642" xr:uid="{B0FE1CCC-0023-4CF2-BA2D-5B704521E23C}"/>
    <cellStyle name="Normal 16 2 3 3 4 2 2" xfId="28402" xr:uid="{8E4F5791-8CF0-4E8F-AD49-79B40D791CC2}"/>
    <cellStyle name="Normal 16 2 3 3 4 2 3" xfId="45161" xr:uid="{DB3FC799-880B-420A-B37C-08CDC10FC5E3}"/>
    <cellStyle name="Normal 16 2 3 3 4 3" xfId="20022" xr:uid="{98FB1299-9BDB-4532-A5D7-45E9D3C64E17}"/>
    <cellStyle name="Normal 16 2 3 3 4 4" xfId="36781" xr:uid="{2BC1E108-E5D5-49DF-A708-B566EBD5E9D9}"/>
    <cellStyle name="Normal 16 2 3 3 5" xfId="9839" xr:uid="{7DA25B66-A5D0-4494-A742-77CD1D57C7D1}"/>
    <cellStyle name="Normal 16 2 3 3 5 2" xfId="26599" xr:uid="{65FC8DDD-A869-4DA8-B2DE-E8B372C8028D}"/>
    <cellStyle name="Normal 16 2 3 3 5 3" xfId="43358" xr:uid="{EB4DD7A0-FFDE-4F05-B8E3-E29E3A5742D6}"/>
    <cellStyle name="Normal 16 2 3 3 6" xfId="18219" xr:uid="{2B8E4AAB-7042-4CF3-B851-FF155FD52E01}"/>
    <cellStyle name="Normal 16 2 3 3 7" xfId="34978" xr:uid="{B12EE9AE-2369-4947-BCF4-5AFDFF067A5C}"/>
    <cellStyle name="Normal 16 2 3 4" xfId="1947" xr:uid="{CC75BFCF-9F7A-4B8C-8F4B-B794E973BDBB}"/>
    <cellStyle name="Normal 16 2 3 4 2" xfId="5336" xr:uid="{4FA64453-E373-4061-B256-7109B7BC869B}"/>
    <cellStyle name="Normal 16 2 3 4 2 2" xfId="13716" xr:uid="{EA1E170B-626D-4C9F-B3C3-125E6AF30438}"/>
    <cellStyle name="Normal 16 2 3 4 2 2 2" xfId="30476" xr:uid="{A05347E6-1398-40FA-B43F-020A12FC7D18}"/>
    <cellStyle name="Normal 16 2 3 4 2 2 3" xfId="47235" xr:uid="{EBFB5298-3F80-46F7-A229-CBFCECFBAF70}"/>
    <cellStyle name="Normal 16 2 3 4 2 3" xfId="22096" xr:uid="{520FC75A-9C7D-4A3C-A49E-11BEF46E9E58}"/>
    <cellStyle name="Normal 16 2 3 4 2 4" xfId="38855" xr:uid="{321501F5-1627-4EA2-8C40-EA469B28E304}"/>
    <cellStyle name="Normal 16 2 3 4 3" xfId="7023" xr:uid="{40F1EAF1-E105-461F-8B51-0741B65745E6}"/>
    <cellStyle name="Normal 16 2 3 4 3 2" xfId="15403" xr:uid="{787BDDFD-E773-42B5-94A7-8DBCF5D750BD}"/>
    <cellStyle name="Normal 16 2 3 4 3 2 2" xfId="32163" xr:uid="{C09809B4-3212-4F88-94EA-81BAE8A2D20C}"/>
    <cellStyle name="Normal 16 2 3 4 3 2 3" xfId="48922" xr:uid="{D8878596-A11B-4A96-8CC0-0B3025DCEA3F}"/>
    <cellStyle name="Normal 16 2 3 4 3 3" xfId="23783" xr:uid="{187B2822-9F9C-44F8-B31C-5A95DEF0EB66}"/>
    <cellStyle name="Normal 16 2 3 4 3 4" xfId="40542" xr:uid="{9CAFBD50-B550-4914-9B2D-B025C9D7ABEC}"/>
    <cellStyle name="Normal 16 2 3 4 4" xfId="3646" xr:uid="{85E61567-008F-4DA0-88E5-894CB1A39BE3}"/>
    <cellStyle name="Normal 16 2 3 4 4 2" xfId="12026" xr:uid="{3960065A-F766-4753-8E92-039AE30424E4}"/>
    <cellStyle name="Normal 16 2 3 4 4 2 2" xfId="28786" xr:uid="{FF040671-AC75-4BE0-A6B3-0602131DF8E2}"/>
    <cellStyle name="Normal 16 2 3 4 4 2 3" xfId="45545" xr:uid="{5F226B90-F118-4E36-8D26-DC72FF37085C}"/>
    <cellStyle name="Normal 16 2 3 4 4 3" xfId="20406" xr:uid="{90D832D7-2091-426F-914E-997F512F32D5}"/>
    <cellStyle name="Normal 16 2 3 4 4 4" xfId="37165" xr:uid="{CFFA8D52-6989-4734-80EF-40C761F5F568}"/>
    <cellStyle name="Normal 16 2 3 4 5" xfId="10336" xr:uid="{5AF1F019-9A1D-43BE-99F8-0742BF3F5895}"/>
    <cellStyle name="Normal 16 2 3 4 5 2" xfId="27096" xr:uid="{678101F1-658F-4520-AE57-148AB4821870}"/>
    <cellStyle name="Normal 16 2 3 4 5 3" xfId="43855" xr:uid="{2C3714A1-21A7-428F-8BD8-22086053A3A2}"/>
    <cellStyle name="Normal 16 2 3 4 6" xfId="18716" xr:uid="{8D6B5E35-40C5-4855-A3B2-A7548B30146D}"/>
    <cellStyle name="Normal 16 2 3 4 7" xfId="35475" xr:uid="{9C2B01FC-50A9-4736-9FBE-BA0695EFA057}"/>
    <cellStyle name="Normal 16 2 3 5" xfId="4066" xr:uid="{5E64978D-4DE0-45A7-B560-78BF34B4EB1C}"/>
    <cellStyle name="Normal 16 2 3 5 2" xfId="12446" xr:uid="{3C0CEB58-3243-49ED-B2DF-4D8BF176A8D2}"/>
    <cellStyle name="Normal 16 2 3 5 2 2" xfId="29206" xr:uid="{73E1E9FB-2524-49BB-842C-D0FD8A4FDD35}"/>
    <cellStyle name="Normal 16 2 3 5 2 3" xfId="45965" xr:uid="{F8F6866F-E37D-4DE5-B447-A4E4C02C0928}"/>
    <cellStyle name="Normal 16 2 3 5 3" xfId="20826" xr:uid="{0BD72548-7BC1-42F1-B005-BA4A2DA3F7A2}"/>
    <cellStyle name="Normal 16 2 3 5 4" xfId="37585" xr:uid="{B7589788-1DC8-4263-851E-5BC2F86806BD}"/>
    <cellStyle name="Normal 16 2 3 6" xfId="5672" xr:uid="{08F4DB34-D261-4E8B-936C-368FE1E21475}"/>
    <cellStyle name="Normal 16 2 3 6 2" xfId="14052" xr:uid="{330242B8-CCDE-450F-9F7F-D2CE7EF2A04C}"/>
    <cellStyle name="Normal 16 2 3 6 2 2" xfId="30812" xr:uid="{BD7B8D79-3866-4324-B3FC-3135FF82F00B}"/>
    <cellStyle name="Normal 16 2 3 6 2 3" xfId="47571" xr:uid="{AAD1E3FA-41B7-4AA9-9559-A3B200CB7A22}"/>
    <cellStyle name="Normal 16 2 3 6 3" xfId="22432" xr:uid="{69EAF75A-1857-478A-BD35-9E293848852D}"/>
    <cellStyle name="Normal 16 2 3 6 4" xfId="39191" xr:uid="{A67DBDF9-2B84-473A-89D9-6CA12199544A}"/>
    <cellStyle name="Normal 16 2 3 7" xfId="7429" xr:uid="{7ACCD846-A4C8-4451-BAAB-3FAB30C3805B}"/>
    <cellStyle name="Normal 16 2 3 7 2" xfId="15809" xr:uid="{3058D452-AE10-49C7-9A72-30B71126D13D}"/>
    <cellStyle name="Normal 16 2 3 7 2 2" xfId="32569" xr:uid="{336635C8-E6D9-4F16-A50C-AD9C3BDE6887}"/>
    <cellStyle name="Normal 16 2 3 7 2 3" xfId="49328" xr:uid="{32328F68-F154-436E-8A83-47A48D447914}"/>
    <cellStyle name="Normal 16 2 3 7 3" xfId="24189" xr:uid="{582931C0-15B9-463F-B39E-20E7F2F0AF14}"/>
    <cellStyle name="Normal 16 2 3 7 4" xfId="40948" xr:uid="{3896840F-758D-4C04-9570-468EF3EAE421}"/>
    <cellStyle name="Normal 16 2 3 8" xfId="7835" xr:uid="{EA06929E-126F-4B36-A7DB-F1F2D077DD85}"/>
    <cellStyle name="Normal 16 2 3 8 2" xfId="16215" xr:uid="{2694C6DD-82A3-4091-99D9-0F3F6C0D6695}"/>
    <cellStyle name="Normal 16 2 3 8 2 2" xfId="32975" xr:uid="{68C65ABB-2EDA-40DC-8A0D-423B05F3F06D}"/>
    <cellStyle name="Normal 16 2 3 8 2 3" xfId="49734" xr:uid="{9B52B1BA-BE3F-41E8-BF4B-3F4AD3BA126D}"/>
    <cellStyle name="Normal 16 2 3 8 3" xfId="24595" xr:uid="{10F43587-FF64-40FF-BA8D-547EC9582773}"/>
    <cellStyle name="Normal 16 2 3 8 4" xfId="41354" xr:uid="{D48601AD-7495-4661-97C7-1AE0427D9959}"/>
    <cellStyle name="Normal 16 2 3 9" xfId="8241" xr:uid="{ABD5B9DA-779D-4C05-B275-A419E2933A31}"/>
    <cellStyle name="Normal 16 2 3 9 2" xfId="16621" xr:uid="{5115F574-DB2B-4C23-9829-399C5E4F297B}"/>
    <cellStyle name="Normal 16 2 3 9 2 2" xfId="33381" xr:uid="{8178FBF9-4544-45EE-BC4A-9523556C0E12}"/>
    <cellStyle name="Normal 16 2 3 9 2 3" xfId="50140" xr:uid="{7300B254-B658-472C-A2EA-A9742D2275A3}"/>
    <cellStyle name="Normal 16 2 3 9 3" xfId="25001" xr:uid="{D806EC47-8F2E-493B-ACDC-490B837E08BA}"/>
    <cellStyle name="Normal 16 2 3 9 4" xfId="41760" xr:uid="{4E256E17-8D94-47DD-8EB5-40D27D07EEEB}"/>
    <cellStyle name="Normal 16 2 4" xfId="807" xr:uid="{694863FB-34F2-4E26-B075-019B505F8329}"/>
    <cellStyle name="Normal 16 2 4 2" xfId="4202" xr:uid="{31969D3F-8973-4090-B8B2-4A4AE2D17AB4}"/>
    <cellStyle name="Normal 16 2 4 2 2" xfId="12582" xr:uid="{0C65EA48-D94F-4661-8041-9F5A2B405995}"/>
    <cellStyle name="Normal 16 2 4 2 2 2" xfId="29342" xr:uid="{36E8870F-C27C-4F47-ABF7-E2FC2C5946A6}"/>
    <cellStyle name="Normal 16 2 4 2 2 3" xfId="46101" xr:uid="{0E935E0A-C7F1-4352-8257-F6F784F0567D}"/>
    <cellStyle name="Normal 16 2 4 2 3" xfId="20962" xr:uid="{6F88A037-B589-464D-807E-ED8E1EE799DB}"/>
    <cellStyle name="Normal 16 2 4 2 4" xfId="37721" xr:uid="{6173D47A-77A4-47E2-A2DB-0C6C0D7B6BCD}"/>
    <cellStyle name="Normal 16 2 4 3" xfId="5889" xr:uid="{49BB36D7-4768-4A0A-96B8-40E7C3AC9BDA}"/>
    <cellStyle name="Normal 16 2 4 3 2" xfId="14269" xr:uid="{67EE5E7D-EC7B-4E13-B622-AC978D23EBAD}"/>
    <cellStyle name="Normal 16 2 4 3 2 2" xfId="31029" xr:uid="{F0593D21-4A2E-44AB-9B61-CCD53D947172}"/>
    <cellStyle name="Normal 16 2 4 3 2 3" xfId="47788" xr:uid="{6C497725-4EF5-429C-8C1A-F82A3EF70954}"/>
    <cellStyle name="Normal 16 2 4 3 3" xfId="22649" xr:uid="{93B30EDD-8151-4900-A983-BBFD1CE79DD3}"/>
    <cellStyle name="Normal 16 2 4 3 4" xfId="39408" xr:uid="{433C6041-F003-4257-9B14-3C13054F79F0}"/>
    <cellStyle name="Normal 16 2 4 4" xfId="2625" xr:uid="{2F59BFBD-A120-478A-BEDF-3725F40BBDEE}"/>
    <cellStyle name="Normal 16 2 4 4 2" xfId="11005" xr:uid="{ABDA0535-EF80-44D9-A565-C9C7E3CA8610}"/>
    <cellStyle name="Normal 16 2 4 4 2 2" xfId="27765" xr:uid="{51C77B04-2B19-402D-B2A8-8C254BD141C8}"/>
    <cellStyle name="Normal 16 2 4 4 2 3" xfId="44524" xr:uid="{082BD5E1-62AA-478F-8A8B-0BD1206C7C00}"/>
    <cellStyle name="Normal 16 2 4 4 3" xfId="19385" xr:uid="{B9FDBF29-733D-4CFB-A10E-E103B8E79884}"/>
    <cellStyle name="Normal 16 2 4 4 4" xfId="36144" xr:uid="{C8BE2C19-0F49-473F-8D5A-344EF40E450F}"/>
    <cellStyle name="Normal 16 2 4 5" xfId="9202" xr:uid="{58D04D30-AD48-49C1-BDAA-2FE75ABF2DD5}"/>
    <cellStyle name="Normal 16 2 4 5 2" xfId="25962" xr:uid="{BC5C3ECE-5C14-49FC-91FE-520C99C12870}"/>
    <cellStyle name="Normal 16 2 4 5 3" xfId="42721" xr:uid="{E27B3FFB-3A6B-444C-A53A-906A0EA668F4}"/>
    <cellStyle name="Normal 16 2 4 6" xfId="17582" xr:uid="{15348958-8AB0-48C0-A2CB-7C8DC62517A8}"/>
    <cellStyle name="Normal 16 2 4 7" xfId="34341" xr:uid="{A58CB434-5D21-4080-8D07-8B2CAFCBA75B}"/>
    <cellStyle name="Normal 16 2 5" xfId="1241" xr:uid="{197C1E43-CB24-4A9B-A2A2-B99BAF0C2975}"/>
    <cellStyle name="Normal 16 2 5 2" xfId="4630" xr:uid="{124F4CF0-3915-446B-A752-FEC7CD423AD5}"/>
    <cellStyle name="Normal 16 2 5 2 2" xfId="13010" xr:uid="{69E2F287-F832-4762-B5A7-3128BE14B999}"/>
    <cellStyle name="Normal 16 2 5 2 2 2" xfId="29770" xr:uid="{B4B18E3E-C670-49A6-9AE4-FC0AFC0895B5}"/>
    <cellStyle name="Normal 16 2 5 2 2 3" xfId="46529" xr:uid="{EDDA5B54-E170-4F70-B257-F94534DC210A}"/>
    <cellStyle name="Normal 16 2 5 2 3" xfId="21390" xr:uid="{4A7A62B1-D1EF-4EE2-97DE-625175FAF8C5}"/>
    <cellStyle name="Normal 16 2 5 2 4" xfId="38149" xr:uid="{310C7F00-9B6A-4055-AC3C-5855094C82FE}"/>
    <cellStyle name="Normal 16 2 5 3" xfId="6317" xr:uid="{506F293C-17F7-449B-8C2A-E0ACB7B1CD19}"/>
    <cellStyle name="Normal 16 2 5 3 2" xfId="14697" xr:uid="{1155D394-70F4-4577-BD6E-F1E0F5C0AA95}"/>
    <cellStyle name="Normal 16 2 5 3 2 2" xfId="31457" xr:uid="{EF0D556D-1BEC-4AA2-AB18-5266122FB1B2}"/>
    <cellStyle name="Normal 16 2 5 3 2 3" xfId="48216" xr:uid="{2AB8686E-CDCD-497B-B688-FBE2CC475C3F}"/>
    <cellStyle name="Normal 16 2 5 3 3" xfId="23077" xr:uid="{7AFEE25D-C87D-4B52-B24B-458FA96D99C0}"/>
    <cellStyle name="Normal 16 2 5 3 4" xfId="39836" xr:uid="{B168ED51-0479-4314-A246-5A61B2602F66}"/>
    <cellStyle name="Normal 16 2 5 4" xfId="3053" xr:uid="{62C93FBF-B5CF-4C3F-8522-026B964D46F9}"/>
    <cellStyle name="Normal 16 2 5 4 2" xfId="11433" xr:uid="{7BFD35C1-E0D5-414C-B38B-5D12FA9DC213}"/>
    <cellStyle name="Normal 16 2 5 4 2 2" xfId="28193" xr:uid="{013DE9D5-34ED-47AF-A915-523BE145A2F5}"/>
    <cellStyle name="Normal 16 2 5 4 2 3" xfId="44952" xr:uid="{27AE5AE3-2FBB-4446-8217-36ABBFBD7930}"/>
    <cellStyle name="Normal 16 2 5 4 3" xfId="19813" xr:uid="{0A900475-E42C-403C-A76D-E4C8882A77BA}"/>
    <cellStyle name="Normal 16 2 5 4 4" xfId="36572" xr:uid="{9A6DC4AA-6B10-4D3A-B16C-D518F9484B2E}"/>
    <cellStyle name="Normal 16 2 5 5" xfId="9630" xr:uid="{29CAED62-432A-4870-862D-7EB3C83BB34C}"/>
    <cellStyle name="Normal 16 2 5 5 2" xfId="26390" xr:uid="{744932EE-754E-4184-BA1E-18EF219AB1CE}"/>
    <cellStyle name="Normal 16 2 5 5 3" xfId="43149" xr:uid="{8842A9CC-0EA5-4070-A6EC-F95FB431863D}"/>
    <cellStyle name="Normal 16 2 5 6" xfId="18010" xr:uid="{3CBD2EAC-B230-4C72-AFDF-D778C6F0E4CB}"/>
    <cellStyle name="Normal 16 2 5 7" xfId="34769" xr:uid="{47925634-BC8A-4C30-A0FA-9FF0716A323F}"/>
    <cellStyle name="Normal 16 2 6" xfId="1676" xr:uid="{62FD28CD-C6AF-4E80-866A-3DBC0B6DD6E5}"/>
    <cellStyle name="Normal 16 2 6 2" xfId="5065" xr:uid="{1AA70E60-0EED-4723-9023-8A8AE7E843E8}"/>
    <cellStyle name="Normal 16 2 6 2 2" xfId="13445" xr:uid="{78E913F1-444C-47A2-8456-6E3B16B9CFCB}"/>
    <cellStyle name="Normal 16 2 6 2 2 2" xfId="30205" xr:uid="{B4A0CEDE-CD56-4C96-8CE4-F3F62A4830BC}"/>
    <cellStyle name="Normal 16 2 6 2 2 3" xfId="46964" xr:uid="{015C8ED5-FCA5-41E0-8660-71A65084FD6F}"/>
    <cellStyle name="Normal 16 2 6 2 3" xfId="21825" xr:uid="{9D33CFE6-B35B-4A3C-8A36-7A7944499743}"/>
    <cellStyle name="Normal 16 2 6 2 4" xfId="38584" xr:uid="{0245E876-793A-4DA2-B7E3-E33EDB1E9C0C}"/>
    <cellStyle name="Normal 16 2 6 3" xfId="6752" xr:uid="{EB528335-3CC4-4298-8D53-F11C920B6985}"/>
    <cellStyle name="Normal 16 2 6 3 2" xfId="15132" xr:uid="{F11BC272-E3AD-47CD-96AF-6F83A98C2CA3}"/>
    <cellStyle name="Normal 16 2 6 3 2 2" xfId="31892" xr:uid="{3C344090-69FA-4174-A4C3-E93C6A0EF117}"/>
    <cellStyle name="Normal 16 2 6 3 2 3" xfId="48651" xr:uid="{5343C3F1-3E00-4721-8AD9-EA59C257B3FF}"/>
    <cellStyle name="Normal 16 2 6 3 3" xfId="23512" xr:uid="{7BEBE162-C68D-4F18-8D39-92C71A5EC43F}"/>
    <cellStyle name="Normal 16 2 6 3 4" xfId="40271" xr:uid="{28DB0478-6E8B-4585-91C1-8044857B8015}"/>
    <cellStyle name="Normal 16 2 6 4" xfId="2192" xr:uid="{538C581E-D057-4C97-B6F7-73477AAE015E}"/>
    <cellStyle name="Normal 16 2 6 4 2" xfId="10579" xr:uid="{B4C0A90B-0265-4FE7-AC8B-1619200C1B86}"/>
    <cellStyle name="Normal 16 2 6 4 2 2" xfId="27339" xr:uid="{F9D6395B-B15F-463E-8E50-498C08A75895}"/>
    <cellStyle name="Normal 16 2 6 4 2 3" xfId="44098" xr:uid="{A1CBF401-8748-4B17-8236-8001158ACC6B}"/>
    <cellStyle name="Normal 16 2 6 4 3" xfId="18959" xr:uid="{56359C49-98AF-4FE6-A9DD-5607D1F8F9F3}"/>
    <cellStyle name="Normal 16 2 6 4 4" xfId="35718" xr:uid="{C6707765-97E5-4D4F-B77E-30D141EB7FF7}"/>
    <cellStyle name="Normal 16 2 6 5" xfId="10065" xr:uid="{29288F80-D072-429C-9365-02158997A0B7}"/>
    <cellStyle name="Normal 16 2 6 5 2" xfId="26825" xr:uid="{967F65DE-EA16-4CBE-BCD8-6576ECCE17ED}"/>
    <cellStyle name="Normal 16 2 6 5 3" xfId="43584" xr:uid="{AC2CAF71-431E-495D-96FC-74E8F8D64662}"/>
    <cellStyle name="Normal 16 2 6 6" xfId="18445" xr:uid="{1C346629-B14A-414A-AF97-75848F141B3E}"/>
    <cellStyle name="Normal 16 2 6 7" xfId="35204" xr:uid="{047F2BD4-8B8E-462B-ACA8-1720AB2960A3}"/>
    <cellStyle name="Normal 16 2 7" xfId="3794" xr:uid="{01EB2BA9-D52B-4C1E-ABA2-531DF10D5F6C}"/>
    <cellStyle name="Normal 16 2 7 2" xfId="12174" xr:uid="{DB4D844F-1F24-4863-AF92-14EC53B87A4C}"/>
    <cellStyle name="Normal 16 2 7 2 2" xfId="28934" xr:uid="{5F18CBCF-E66A-455A-95F2-F62617E98E69}"/>
    <cellStyle name="Normal 16 2 7 2 3" xfId="45693" xr:uid="{EDE0AC53-0075-402F-A435-8EC027C4DBC2}"/>
    <cellStyle name="Normal 16 2 7 3" xfId="20554" xr:uid="{3EC538F2-151E-495D-9472-6EB8E3C0B69A}"/>
    <cellStyle name="Normal 16 2 7 4" xfId="37313" xr:uid="{A471ADCE-3F4F-49C1-BD24-F193E1C27A93}"/>
    <cellStyle name="Normal 16 2 8" xfId="5463" xr:uid="{DCB7D14A-A6F8-499A-9B81-2ADF20B4B8D7}"/>
    <cellStyle name="Normal 16 2 8 2" xfId="13843" xr:uid="{B6C01B3D-84B3-45D9-84F8-A79B04DCAA86}"/>
    <cellStyle name="Normal 16 2 8 2 2" xfId="30603" xr:uid="{7FD8876E-C9A5-4474-BDE1-B04E9CBBD0F1}"/>
    <cellStyle name="Normal 16 2 8 2 3" xfId="47362" xr:uid="{4F2C2969-22CA-46DB-8194-8041DE0EC1E8}"/>
    <cellStyle name="Normal 16 2 8 3" xfId="22223" xr:uid="{483BE864-46B8-432B-A7A6-06D7AAD72EBF}"/>
    <cellStyle name="Normal 16 2 8 4" xfId="38982" xr:uid="{E0B47CC9-236D-4565-A344-04CB243873EB}"/>
    <cellStyle name="Normal 16 2 9" xfId="7158" xr:uid="{2B668971-1C80-4B28-BFDC-5E5705D1BB49}"/>
    <cellStyle name="Normal 16 2 9 2" xfId="15538" xr:uid="{5EAB4B27-A2AF-438D-8E95-79998089770E}"/>
    <cellStyle name="Normal 16 2 9 2 2" xfId="32298" xr:uid="{449325AB-CDE4-417F-90A1-D755AE3F5433}"/>
    <cellStyle name="Normal 16 2 9 2 3" xfId="49057" xr:uid="{A16DB386-DEA3-4032-83BD-8F60BC7EE07D}"/>
    <cellStyle name="Normal 16 2 9 3" xfId="23918" xr:uid="{0769CF78-63F9-4828-BE3B-337B92D4684E}"/>
    <cellStyle name="Normal 16 2 9 4" xfId="40677" xr:uid="{622B9018-31CC-488B-A5F9-4D3962B29088}"/>
    <cellStyle name="Normal 16 20" xfId="33887" xr:uid="{25AACB24-B356-40EA-B212-1E507F9F4E59}"/>
    <cellStyle name="Normal 16 21" xfId="50937" xr:uid="{74D370FB-2DE3-4194-816C-7478B58542AF}"/>
    <cellStyle name="Normal 16 22" xfId="274" xr:uid="{349FB72C-42AC-4DD7-AC01-C452E0EDE1B4}"/>
    <cellStyle name="Normal 16 3" xfId="358" xr:uid="{0F28852C-D761-4026-B9AB-666CF52BCFE8}"/>
    <cellStyle name="Normal 16 3 10" xfId="7565" xr:uid="{E87FFDC7-B348-49AD-80C2-7DBB6E84FFCC}"/>
    <cellStyle name="Normal 16 3 10 2" xfId="15945" xr:uid="{516C02A7-8289-4BC1-9DFA-A9E80AB1F33C}"/>
    <cellStyle name="Normal 16 3 10 2 2" xfId="32705" xr:uid="{197EE354-7DAA-490D-8E58-6DD631E195FF}"/>
    <cellStyle name="Normal 16 3 10 2 3" xfId="49464" xr:uid="{FB4FA15E-18D7-4322-ABFB-12441FB2C922}"/>
    <cellStyle name="Normal 16 3 10 3" xfId="24325" xr:uid="{FF784056-A8D7-4BB6-A708-028A096F83F0}"/>
    <cellStyle name="Normal 16 3 10 4" xfId="41084" xr:uid="{8D907291-6EA2-4C7A-98D0-1E39E3BC72E0}"/>
    <cellStyle name="Normal 16 3 11" xfId="7971" xr:uid="{D134031C-9A87-416E-AD95-6E4FDF597B7B}"/>
    <cellStyle name="Normal 16 3 11 2" xfId="16351" xr:uid="{B9E90C6B-31E8-407C-807C-0DB515D2FA0F}"/>
    <cellStyle name="Normal 16 3 11 2 2" xfId="33111" xr:uid="{7D5A3B53-2BFE-4609-BBF2-41C32B1B7EFC}"/>
    <cellStyle name="Normal 16 3 11 2 3" xfId="49870" xr:uid="{FD77B535-FB6E-4240-89DF-6A408CFE852B}"/>
    <cellStyle name="Normal 16 3 11 3" xfId="24731" xr:uid="{0BE0E40A-DC7E-4068-8FA8-4209DF61C6BB}"/>
    <cellStyle name="Normal 16 3 11 4" xfId="41490" xr:uid="{C97C6DE8-468A-4741-8EFA-132E8E225EED}"/>
    <cellStyle name="Normal 16 3 12" xfId="8377" xr:uid="{71F863C8-6719-438E-81F9-A74573DF0722}"/>
    <cellStyle name="Normal 16 3 12 2" xfId="16757" xr:uid="{09A635B2-8EDB-467D-824F-138865396BF4}"/>
    <cellStyle name="Normal 16 3 12 2 2" xfId="33517" xr:uid="{776BBBB3-E79D-48F0-9D32-DDFEE3D3299A}"/>
    <cellStyle name="Normal 16 3 12 2 3" xfId="50276" xr:uid="{201F0344-7EA6-47F0-BABF-5093BCC8CC75}"/>
    <cellStyle name="Normal 16 3 12 3" xfId="25137" xr:uid="{E13AE539-3B0F-4205-A98F-B4961F24B5DF}"/>
    <cellStyle name="Normal 16 3 12 4" xfId="41896" xr:uid="{1BAC8A3A-B56D-49C0-9A76-769481F6BA22}"/>
    <cellStyle name="Normal 16 3 13" xfId="2088" xr:uid="{20201E94-DA68-4E89-898C-8FA338FC253C}"/>
    <cellStyle name="Normal 16 3 13 2" xfId="10476" xr:uid="{15AE6519-1C03-4631-8A44-2189AA5C6FE1}"/>
    <cellStyle name="Normal 16 3 13 2 2" xfId="27236" xr:uid="{7EDB4182-CD65-4FEF-9F7F-EAB740FC780F}"/>
    <cellStyle name="Normal 16 3 13 2 3" xfId="43995" xr:uid="{155F7805-BCAA-4B5E-AB15-889C23EE498C}"/>
    <cellStyle name="Normal 16 3 13 3" xfId="18856" xr:uid="{7E4B8092-AB32-452E-8E07-DF545AED3E98}"/>
    <cellStyle name="Normal 16 3 13 4" xfId="35615" xr:uid="{34B940CA-C528-4C9D-AC01-966F204D6FBC}"/>
    <cellStyle name="Normal 16 3 14" xfId="8822" xr:uid="{6A03306B-A85F-4D67-A698-85DB32834BCA}"/>
    <cellStyle name="Normal 16 3 14 2" xfId="25582" xr:uid="{DAD018B6-8FA4-4E11-8CBB-E215CB667C0C}"/>
    <cellStyle name="Normal 16 3 14 3" xfId="42341" xr:uid="{077B145B-9D8E-4AB6-B265-C8260967062D}"/>
    <cellStyle name="Normal 16 3 15" xfId="17202" xr:uid="{297E5936-9FFD-4ABA-9D54-D7A2D1693657}"/>
    <cellStyle name="Normal 16 3 16" xfId="33961" xr:uid="{7E26F551-B8E8-4D27-80DC-037180125ED9}"/>
    <cellStyle name="Normal 16 3 2" xfId="575" xr:uid="{B34AA8A4-D929-4DA5-8F00-60FF6808D62B}"/>
    <cellStyle name="Normal 16 3 2 10" xfId="8516" xr:uid="{2B311285-43B2-4DA0-A282-DC3BB40ADBF2}"/>
    <cellStyle name="Normal 16 3 2 10 2" xfId="16896" xr:uid="{4022F37D-E591-4EAB-9857-8E5CC759E896}"/>
    <cellStyle name="Normal 16 3 2 10 2 2" xfId="33656" xr:uid="{17AE7B81-B296-4F29-A35E-51E85FC45DBA}"/>
    <cellStyle name="Normal 16 3 2 10 2 3" xfId="50415" xr:uid="{E86710D5-97A3-426F-8463-9192D1516A73}"/>
    <cellStyle name="Normal 16 3 2 10 3" xfId="25276" xr:uid="{716313A8-D765-4787-8BFE-2B1A29483784}"/>
    <cellStyle name="Normal 16 3 2 10 4" xfId="42035" xr:uid="{DBC43D25-33E3-41C4-8DDD-3C743F7CFA9E}"/>
    <cellStyle name="Normal 16 3 2 11" xfId="2407" xr:uid="{B86F3A7C-1354-4636-9858-D12C48C7B1B5}"/>
    <cellStyle name="Normal 16 3 2 11 2" xfId="10789" xr:uid="{30FA8402-712E-4D09-BB41-31806484BFB6}"/>
    <cellStyle name="Normal 16 3 2 11 2 2" xfId="27549" xr:uid="{626CFDFF-9DDC-4793-8FEC-9BA11E156FC9}"/>
    <cellStyle name="Normal 16 3 2 11 2 3" xfId="44308" xr:uid="{4B81518C-DB50-4828-B3C6-C1C0B7133F70}"/>
    <cellStyle name="Normal 16 3 2 11 3" xfId="19169" xr:uid="{153F2743-1C24-4F6A-9FC0-761CA7911381}"/>
    <cellStyle name="Normal 16 3 2 11 4" xfId="35928" xr:uid="{61E08DA9-6D4C-4CDE-9EE7-F3AC40A653EA}"/>
    <cellStyle name="Normal 16 3 2 12" xfId="8986" xr:uid="{B25DFCD5-A7CF-42BD-8BBC-D652C2FA1D6B}"/>
    <cellStyle name="Normal 16 3 2 12 2" xfId="25746" xr:uid="{886CF3B5-1182-49AE-84C6-FB6AF6560DC0}"/>
    <cellStyle name="Normal 16 3 2 12 3" xfId="42505" xr:uid="{E2EB7598-3FD3-4175-95E4-2EE8770B5823}"/>
    <cellStyle name="Normal 16 3 2 13" xfId="17366" xr:uid="{0D10691E-5EC6-4D47-AC5C-0AA05F02BF80}"/>
    <cellStyle name="Normal 16 3 2 14" xfId="34125" xr:uid="{333BBA3B-80DE-4091-8940-3CE821106370}"/>
    <cellStyle name="Normal 16 3 2 2" xfId="1017" xr:uid="{0380D1EB-5BD5-4C20-AF8C-F815E1F46F17}"/>
    <cellStyle name="Normal 16 3 2 2 2" xfId="4412" xr:uid="{DD5076A0-8A84-41E6-B3C6-D1D0BFC6F489}"/>
    <cellStyle name="Normal 16 3 2 2 2 2" xfId="12792" xr:uid="{A5041BC4-FC5B-4BC1-B19D-0D2BBB4AB29B}"/>
    <cellStyle name="Normal 16 3 2 2 2 2 2" xfId="29552" xr:uid="{114528EF-F9C5-4C96-B6F1-0D9A975DC11F}"/>
    <cellStyle name="Normal 16 3 2 2 2 2 3" xfId="46311" xr:uid="{9E0031A5-0F64-4D6A-A911-157BEB5A6C28}"/>
    <cellStyle name="Normal 16 3 2 2 2 3" xfId="21172" xr:uid="{35C8E8CE-C1DD-439B-BDEE-FFDD71533E4F}"/>
    <cellStyle name="Normal 16 3 2 2 2 4" xfId="37931" xr:uid="{819F6E1C-5243-42A1-AD72-DD81B5D16F84}"/>
    <cellStyle name="Normal 16 3 2 2 3" xfId="6099" xr:uid="{32256F1D-3F5A-4EAD-8BF6-5C6397ECD0D4}"/>
    <cellStyle name="Normal 16 3 2 2 3 2" xfId="14479" xr:uid="{1397E4DA-E252-4540-946F-7F3F002ECF04}"/>
    <cellStyle name="Normal 16 3 2 2 3 2 2" xfId="31239" xr:uid="{1C32379F-65E9-4F58-9E0A-81D1FE3A72AF}"/>
    <cellStyle name="Normal 16 3 2 2 3 2 3" xfId="47998" xr:uid="{6FE5190D-BF51-4F64-8734-12463E592A7B}"/>
    <cellStyle name="Normal 16 3 2 2 3 3" xfId="22859" xr:uid="{E76767F8-32FA-4453-BD30-C1E027D55552}"/>
    <cellStyle name="Normal 16 3 2 2 3 4" xfId="39618" xr:uid="{127CC8AE-C48E-400C-9516-FF9F944B83BF}"/>
    <cellStyle name="Normal 16 3 2 2 4" xfId="2835" xr:uid="{F9E8FF70-5726-4AE3-9E00-FDDB75A0C0B5}"/>
    <cellStyle name="Normal 16 3 2 2 4 2" xfId="11215" xr:uid="{E851824B-CC4A-430E-ADB7-E3CD93AD9250}"/>
    <cellStyle name="Normal 16 3 2 2 4 2 2" xfId="27975" xr:uid="{22BD4A40-80E1-433F-A5D0-A6F060392632}"/>
    <cellStyle name="Normal 16 3 2 2 4 2 3" xfId="44734" xr:uid="{3FADC021-1DAF-4E6C-9536-C1CA5023D8CD}"/>
    <cellStyle name="Normal 16 3 2 2 4 3" xfId="19595" xr:uid="{5A662778-0AC3-41D7-9CF7-7A911B505D1D}"/>
    <cellStyle name="Normal 16 3 2 2 4 4" xfId="36354" xr:uid="{9A4017D6-1BBD-4FB0-B3C0-910AC912FB57}"/>
    <cellStyle name="Normal 16 3 2 2 5" xfId="9412" xr:uid="{0EA7670E-06A7-46AB-963C-66D50C397392}"/>
    <cellStyle name="Normal 16 3 2 2 5 2" xfId="26172" xr:uid="{64C3AE90-1FB9-4FAA-9FA1-688269E83FFA}"/>
    <cellStyle name="Normal 16 3 2 2 5 3" xfId="42931" xr:uid="{FE30A453-978D-4D92-9635-E7C283561AE9}"/>
    <cellStyle name="Normal 16 3 2 2 6" xfId="17792" xr:uid="{36A3856B-C374-42A6-8AF1-DA98B5633F01}"/>
    <cellStyle name="Normal 16 3 2 2 7" xfId="34551" xr:uid="{33FBEDFD-80CF-43F3-8DB5-41BD57E7B2F0}"/>
    <cellStyle name="Normal 16 3 2 3" xfId="1451" xr:uid="{7616835E-7514-467E-AC2C-C5A2F3E20A18}"/>
    <cellStyle name="Normal 16 3 2 3 2" xfId="4840" xr:uid="{D54316C5-5D8C-42A8-B563-2EC6A9C618AF}"/>
    <cellStyle name="Normal 16 3 2 3 2 2" xfId="13220" xr:uid="{719F0D60-CAB2-4279-B05A-4B6122967DC0}"/>
    <cellStyle name="Normal 16 3 2 3 2 2 2" xfId="29980" xr:uid="{30746EB9-CACB-40F0-B704-269B75486011}"/>
    <cellStyle name="Normal 16 3 2 3 2 2 3" xfId="46739" xr:uid="{76BAFB78-06CD-44F8-821D-51D39AA837CB}"/>
    <cellStyle name="Normal 16 3 2 3 2 3" xfId="21600" xr:uid="{85536CE2-5AAE-4175-9FE6-28A22983C16C}"/>
    <cellStyle name="Normal 16 3 2 3 2 4" xfId="38359" xr:uid="{2A862DCB-C93E-459A-8CCF-ABC9B55C5AEF}"/>
    <cellStyle name="Normal 16 3 2 3 3" xfId="6527" xr:uid="{CD23FA23-6818-4341-9979-CCFF3042FDF6}"/>
    <cellStyle name="Normal 16 3 2 3 3 2" xfId="14907" xr:uid="{8D69AA58-90F1-4965-A964-13DC34F0E45B}"/>
    <cellStyle name="Normal 16 3 2 3 3 2 2" xfId="31667" xr:uid="{1E26C0EF-2550-4686-A2A7-B34EFD3AFD79}"/>
    <cellStyle name="Normal 16 3 2 3 3 2 3" xfId="48426" xr:uid="{27426F67-0693-4C36-9A97-5A784A4762FB}"/>
    <cellStyle name="Normal 16 3 2 3 3 3" xfId="23287" xr:uid="{D9E24D46-D321-40DB-BD90-9C1206868985}"/>
    <cellStyle name="Normal 16 3 2 3 3 4" xfId="40046" xr:uid="{BE8CDF19-CB41-4E86-A329-971E516582D9}"/>
    <cellStyle name="Normal 16 3 2 3 4" xfId="3263" xr:uid="{6C65054D-0270-4A86-9A51-0E46578764AF}"/>
    <cellStyle name="Normal 16 3 2 3 4 2" xfId="11643" xr:uid="{E4A058E9-423E-4597-A2F4-9BD94608A59D}"/>
    <cellStyle name="Normal 16 3 2 3 4 2 2" xfId="28403" xr:uid="{490CC5A2-B265-451E-9AFD-191D6CCC05C1}"/>
    <cellStyle name="Normal 16 3 2 3 4 2 3" xfId="45162" xr:uid="{69A655B8-E207-459C-A2FE-C1AA14EE3564}"/>
    <cellStyle name="Normal 16 3 2 3 4 3" xfId="20023" xr:uid="{1D87BF00-4AE6-462B-83E7-8C723C5CA011}"/>
    <cellStyle name="Normal 16 3 2 3 4 4" xfId="36782" xr:uid="{A9E68095-F4E5-4DA7-B4F5-83F380F113F4}"/>
    <cellStyle name="Normal 16 3 2 3 5" xfId="9840" xr:uid="{92B4FF6E-1357-43F0-AD0E-5A7481C01D68}"/>
    <cellStyle name="Normal 16 3 2 3 5 2" xfId="26600" xr:uid="{31B9D549-4FAE-4BEF-A402-90E4F745EC94}"/>
    <cellStyle name="Normal 16 3 2 3 5 3" xfId="43359" xr:uid="{C3C35931-FF0A-41AC-8B61-E6C30E797D94}"/>
    <cellStyle name="Normal 16 3 2 3 6" xfId="18220" xr:uid="{9D7B9308-C227-499F-8C67-72E68D52C60E}"/>
    <cellStyle name="Normal 16 3 2 3 7" xfId="34979" xr:uid="{1E7B8DC6-276B-4747-923D-ACFEC14F49BC}"/>
    <cellStyle name="Normal 16 3 2 4" xfId="1816" xr:uid="{95DE72F1-3A23-407A-B0EC-BD714AC79689}"/>
    <cellStyle name="Normal 16 3 2 4 2" xfId="5205" xr:uid="{2144166D-8FDB-40B6-9EB6-C11CDF382F6C}"/>
    <cellStyle name="Normal 16 3 2 4 2 2" xfId="13585" xr:uid="{A5B07B86-B5C4-4CC4-A903-15F3DC94B94F}"/>
    <cellStyle name="Normal 16 3 2 4 2 2 2" xfId="30345" xr:uid="{6758389A-FFDE-48C8-BF84-859DC4B07C64}"/>
    <cellStyle name="Normal 16 3 2 4 2 2 3" xfId="47104" xr:uid="{A8B0786D-74E8-4BCA-819E-B7D85CCF9A8F}"/>
    <cellStyle name="Normal 16 3 2 4 2 3" xfId="21965" xr:uid="{DE4B258E-A564-4466-B822-19049A90E809}"/>
    <cellStyle name="Normal 16 3 2 4 2 4" xfId="38724" xr:uid="{3EB03BB9-7D81-4790-BC7D-31C2F9EFD29C}"/>
    <cellStyle name="Normal 16 3 2 4 3" xfId="6892" xr:uid="{716E76FF-F903-4FF5-A724-FAAEDEB91F0F}"/>
    <cellStyle name="Normal 16 3 2 4 3 2" xfId="15272" xr:uid="{9D6D7D04-355F-4152-B533-7013B989F9B0}"/>
    <cellStyle name="Normal 16 3 2 4 3 2 2" xfId="32032" xr:uid="{3429F185-1C5E-4A7F-84B2-57727FECE6B4}"/>
    <cellStyle name="Normal 16 3 2 4 3 2 3" xfId="48791" xr:uid="{2044BF12-9CB0-4E7F-8D11-C47792E95C9B}"/>
    <cellStyle name="Normal 16 3 2 4 3 3" xfId="23652" xr:uid="{3FB6D2CC-FC4C-46D6-B555-B26B0E5C764F}"/>
    <cellStyle name="Normal 16 3 2 4 3 4" xfId="40411" xr:uid="{269DD735-18FE-4CEC-9A25-9C66CEB18750}"/>
    <cellStyle name="Normal 16 3 2 4 4" xfId="3516" xr:uid="{532164E5-3D0A-41B0-9882-D1B9880F3404}"/>
    <cellStyle name="Normal 16 3 2 4 4 2" xfId="11896" xr:uid="{21B486B3-EC9B-4328-9332-91B9F2626B65}"/>
    <cellStyle name="Normal 16 3 2 4 4 2 2" xfId="28656" xr:uid="{73B05576-C515-4483-B2C7-24E4F39FDC80}"/>
    <cellStyle name="Normal 16 3 2 4 4 2 3" xfId="45415" xr:uid="{B321E7A0-6AE7-4A3D-8580-CE62087A8C19}"/>
    <cellStyle name="Normal 16 3 2 4 4 3" xfId="20276" xr:uid="{716662EC-5DA2-4713-A18B-6C05B4AEC4F6}"/>
    <cellStyle name="Normal 16 3 2 4 4 4" xfId="37035" xr:uid="{14B7E05A-797A-4A84-BE87-313DB075528B}"/>
    <cellStyle name="Normal 16 3 2 4 5" xfId="10205" xr:uid="{67D689C8-8B5B-4A1D-86BA-1B35B15E5A68}"/>
    <cellStyle name="Normal 16 3 2 4 5 2" xfId="26965" xr:uid="{5B3DAC0B-86FA-4960-9920-566F95D45674}"/>
    <cellStyle name="Normal 16 3 2 4 5 3" xfId="43724" xr:uid="{3C288319-B984-4686-B118-C934874A2381}"/>
    <cellStyle name="Normal 16 3 2 4 6" xfId="18585" xr:uid="{43E15D15-73F2-464D-B542-2CF8AA07C0E2}"/>
    <cellStyle name="Normal 16 3 2 4 7" xfId="35344" xr:uid="{FF61B6C2-6B91-4309-9298-4A3B58863A1B}"/>
    <cellStyle name="Normal 16 3 2 5" xfId="3935" xr:uid="{50B11C2F-4804-4FBF-9888-669777E0203C}"/>
    <cellStyle name="Normal 16 3 2 5 2" xfId="12315" xr:uid="{3239C0AD-8C46-4B34-8B8C-1C4D7892DAE2}"/>
    <cellStyle name="Normal 16 3 2 5 2 2" xfId="29075" xr:uid="{CEB343B4-66B4-4910-AFDC-DE1B40951DA6}"/>
    <cellStyle name="Normal 16 3 2 5 2 3" xfId="45834" xr:uid="{1F0BA0D0-8ED5-4D69-9721-8AFA690305DF}"/>
    <cellStyle name="Normal 16 3 2 5 3" xfId="20695" xr:uid="{48A98C87-7CFD-4F5F-81FB-7CCB877DA6B6}"/>
    <cellStyle name="Normal 16 3 2 5 4" xfId="37454" xr:uid="{54D683A2-B31F-43A8-AD61-2583F18E7CFC}"/>
    <cellStyle name="Normal 16 3 2 6" xfId="5673" xr:uid="{10EE7D95-3A8F-4F87-8960-9349F03C7287}"/>
    <cellStyle name="Normal 16 3 2 6 2" xfId="14053" xr:uid="{9080D393-0CD4-43EA-9923-CAC7C5375B79}"/>
    <cellStyle name="Normal 16 3 2 6 2 2" xfId="30813" xr:uid="{311B0FD6-6443-4C0A-A7D3-01E8608BAE32}"/>
    <cellStyle name="Normal 16 3 2 6 2 3" xfId="47572" xr:uid="{FE03268A-BE7F-42E3-8DB2-DD204778034D}"/>
    <cellStyle name="Normal 16 3 2 6 3" xfId="22433" xr:uid="{2ACA62D1-70D2-4BAF-A58C-2BF03AE0EF96}"/>
    <cellStyle name="Normal 16 3 2 6 4" xfId="39192" xr:uid="{D616399C-F526-4D1A-A6A6-C95F6A8A61AD}"/>
    <cellStyle name="Normal 16 3 2 7" xfId="7298" xr:uid="{75C3B857-3C52-4FE1-9CC0-5DCF5A14DE4C}"/>
    <cellStyle name="Normal 16 3 2 7 2" xfId="15678" xr:uid="{F923FAFC-B4CC-46A3-88C5-4060D2367C44}"/>
    <cellStyle name="Normal 16 3 2 7 2 2" xfId="32438" xr:uid="{0D35A6F5-7021-4E61-9F45-7D6D1DE20B4F}"/>
    <cellStyle name="Normal 16 3 2 7 2 3" xfId="49197" xr:uid="{AF28AB72-B62C-4D50-8847-40F9BE3B464D}"/>
    <cellStyle name="Normal 16 3 2 7 3" xfId="24058" xr:uid="{1C8A95C9-09DD-4096-A37A-35790B52B0B9}"/>
    <cellStyle name="Normal 16 3 2 7 4" xfId="40817" xr:uid="{C139844E-1BEA-4661-8471-92226569DF6D}"/>
    <cellStyle name="Normal 16 3 2 8" xfId="7704" xr:uid="{8E7A26B6-544F-462C-B2B2-5BFE232C05FB}"/>
    <cellStyle name="Normal 16 3 2 8 2" xfId="16084" xr:uid="{B196BC6B-C5D6-4A5D-A453-BD52945CAC19}"/>
    <cellStyle name="Normal 16 3 2 8 2 2" xfId="32844" xr:uid="{439B1883-41E2-4F2F-8519-199B9E0DFC8C}"/>
    <cellStyle name="Normal 16 3 2 8 2 3" xfId="49603" xr:uid="{DEF8E8AE-4F14-42A0-8E30-E23C81D7F58B}"/>
    <cellStyle name="Normal 16 3 2 8 3" xfId="24464" xr:uid="{91927022-40DA-4785-B265-E176367AEF5B}"/>
    <cellStyle name="Normal 16 3 2 8 4" xfId="41223" xr:uid="{0F32623E-A765-4264-9B22-F9500FF374CC}"/>
    <cellStyle name="Normal 16 3 2 9" xfId="8110" xr:uid="{4B014122-FEB3-4B15-A776-965BFA20AD43}"/>
    <cellStyle name="Normal 16 3 2 9 2" xfId="16490" xr:uid="{5F4C9634-7E0D-436C-86E3-E60C342B1BA8}"/>
    <cellStyle name="Normal 16 3 2 9 2 2" xfId="33250" xr:uid="{A89D4E95-F200-46C9-89D6-7784F82C5C25}"/>
    <cellStyle name="Normal 16 3 2 9 2 3" xfId="50009" xr:uid="{CE1C943D-F94F-40E2-A91C-5898B3105128}"/>
    <cellStyle name="Normal 16 3 2 9 3" xfId="24870" xr:uid="{6CC7A208-9F77-4EAA-876B-43CB72D9194D}"/>
    <cellStyle name="Normal 16 3 2 9 4" xfId="41629" xr:uid="{B9CA0A00-8A90-4F51-9A6B-78E0F7CC5212}"/>
    <cellStyle name="Normal 16 3 3" xfId="576" xr:uid="{1D2F9EEE-EA59-4590-B8C9-D9E8FB873079}"/>
    <cellStyle name="Normal 16 3 3 10" xfId="8648" xr:uid="{496EE5BC-0F40-456A-99FA-135F222EA456}"/>
    <cellStyle name="Normal 16 3 3 10 2" xfId="17028" xr:uid="{06A0BA89-32A4-4A22-AF8E-1A99D29916D6}"/>
    <cellStyle name="Normal 16 3 3 10 2 2" xfId="33788" xr:uid="{50B633DD-50C8-4DF2-989C-1A6204B310A9}"/>
    <cellStyle name="Normal 16 3 3 10 2 3" xfId="50547" xr:uid="{007224ED-9860-46D4-9BEA-3421F1342957}"/>
    <cellStyle name="Normal 16 3 3 10 3" xfId="25408" xr:uid="{A8AA62AE-BE1B-40C5-931B-FFF36B9D0BAC}"/>
    <cellStyle name="Normal 16 3 3 10 4" xfId="42167" xr:uid="{7B2921DB-898A-45ED-9F85-57AB2E2066E9}"/>
    <cellStyle name="Normal 16 3 3 11" xfId="2408" xr:uid="{FE538BB9-D8D3-4BFF-98A3-B757D64CD036}"/>
    <cellStyle name="Normal 16 3 3 11 2" xfId="10790" xr:uid="{915962B1-8BCA-4E1D-B334-4147F52C1375}"/>
    <cellStyle name="Normal 16 3 3 11 2 2" xfId="27550" xr:uid="{B47F59B5-BF52-4A01-93F7-0A7A830C6FF2}"/>
    <cellStyle name="Normal 16 3 3 11 2 3" xfId="44309" xr:uid="{A99B5D1E-5F11-4296-8106-201BA294932B}"/>
    <cellStyle name="Normal 16 3 3 11 3" xfId="19170" xr:uid="{D167DB9D-B2F7-44A6-A966-49E636CD1F99}"/>
    <cellStyle name="Normal 16 3 3 11 4" xfId="35929" xr:uid="{6319A781-579A-4268-98BB-ABAA7A2DE12E}"/>
    <cellStyle name="Normal 16 3 3 12" xfId="8987" xr:uid="{224B6CA5-A5E8-4D63-964B-664EDC976340}"/>
    <cellStyle name="Normal 16 3 3 12 2" xfId="25747" xr:uid="{94471F13-ED60-47A3-B99E-5935560DC814}"/>
    <cellStyle name="Normal 16 3 3 12 3" xfId="42506" xr:uid="{17BB17B5-9290-4BE0-AC97-BC36C3633B60}"/>
    <cellStyle name="Normal 16 3 3 13" xfId="17367" xr:uid="{91EBE042-AE49-4F9D-99AD-A94A472C01F2}"/>
    <cellStyle name="Normal 16 3 3 14" xfId="34126" xr:uid="{0834E3E8-D9F8-407A-A118-044922F64EEC}"/>
    <cellStyle name="Normal 16 3 3 2" xfId="1018" xr:uid="{984450C4-31A6-4F33-9048-46FFBCC30699}"/>
    <cellStyle name="Normal 16 3 3 2 2" xfId="4413" xr:uid="{E53B6D2D-4E6F-4C39-9FBE-0F9055CB598B}"/>
    <cellStyle name="Normal 16 3 3 2 2 2" xfId="12793" xr:uid="{A2F6079A-1068-4DE1-83E6-E68C02540A28}"/>
    <cellStyle name="Normal 16 3 3 2 2 2 2" xfId="29553" xr:uid="{4C5D79AE-3BBC-4A47-8DE7-73BB83265887}"/>
    <cellStyle name="Normal 16 3 3 2 2 2 3" xfId="46312" xr:uid="{BA4FA94D-1443-4378-8A68-C3DBFFFAED97}"/>
    <cellStyle name="Normal 16 3 3 2 2 3" xfId="21173" xr:uid="{69801B04-5BCC-4236-9560-C2E9618F9931}"/>
    <cellStyle name="Normal 16 3 3 2 2 4" xfId="37932" xr:uid="{9548EA23-A504-4FAC-B45D-4227133D92CF}"/>
    <cellStyle name="Normal 16 3 3 2 3" xfId="6100" xr:uid="{B379887D-2719-4F58-BC73-DE176E65E4B0}"/>
    <cellStyle name="Normal 16 3 3 2 3 2" xfId="14480" xr:uid="{A317DC7B-7626-4E22-8E89-BAD478AF8B84}"/>
    <cellStyle name="Normal 16 3 3 2 3 2 2" xfId="31240" xr:uid="{4A091474-F332-4C43-A716-B2C26F4D86A5}"/>
    <cellStyle name="Normal 16 3 3 2 3 2 3" xfId="47999" xr:uid="{3C83C09F-DF70-4752-A367-7526839B74CC}"/>
    <cellStyle name="Normal 16 3 3 2 3 3" xfId="22860" xr:uid="{85E48FED-5567-44C5-969C-6F6B5837D953}"/>
    <cellStyle name="Normal 16 3 3 2 3 4" xfId="39619" xr:uid="{DB5E7386-AA0B-4D14-92FC-51D0614D26C0}"/>
    <cellStyle name="Normal 16 3 3 2 4" xfId="2836" xr:uid="{4D726D52-510D-41F1-9174-B330441D2045}"/>
    <cellStyle name="Normal 16 3 3 2 4 2" xfId="11216" xr:uid="{666269D0-2C2D-4E63-AE1F-E56C6B15105D}"/>
    <cellStyle name="Normal 16 3 3 2 4 2 2" xfId="27976" xr:uid="{B3361073-245E-46F6-A053-DA0193A389C5}"/>
    <cellStyle name="Normal 16 3 3 2 4 2 3" xfId="44735" xr:uid="{0A3E3DB7-37A6-4549-933A-BA563B0ECAE8}"/>
    <cellStyle name="Normal 16 3 3 2 4 3" xfId="19596" xr:uid="{64C70BFC-01B1-4FE3-AE88-F36DEAE50B0C}"/>
    <cellStyle name="Normal 16 3 3 2 4 4" xfId="36355" xr:uid="{59E1A047-11D7-46CB-8A4D-12EC98BB882D}"/>
    <cellStyle name="Normal 16 3 3 2 5" xfId="9413" xr:uid="{E9D9D7F7-8CF1-4528-BFA3-6B6CB02D4C52}"/>
    <cellStyle name="Normal 16 3 3 2 5 2" xfId="26173" xr:uid="{D7B4FDD8-CEAD-40BD-8890-ACF935DE20E2}"/>
    <cellStyle name="Normal 16 3 3 2 5 3" xfId="42932" xr:uid="{8ED09A8B-05EE-45A4-AE9E-D264399B83D0}"/>
    <cellStyle name="Normal 16 3 3 2 6" xfId="17793" xr:uid="{F45A69E9-2089-45B8-BC80-AFF7790C0530}"/>
    <cellStyle name="Normal 16 3 3 2 7" xfId="34552" xr:uid="{3FAE2D15-DB36-451F-B641-47519D81F4AE}"/>
    <cellStyle name="Normal 16 3 3 3" xfId="1452" xr:uid="{1D4FAC2A-CC68-4569-89CE-E5C2AF0CF16C}"/>
    <cellStyle name="Normal 16 3 3 3 2" xfId="4841" xr:uid="{BDBC674A-D827-4502-8719-3D6E858F15C2}"/>
    <cellStyle name="Normal 16 3 3 3 2 2" xfId="13221" xr:uid="{04646C48-D145-4ADB-96D5-528A42299559}"/>
    <cellStyle name="Normal 16 3 3 3 2 2 2" xfId="29981" xr:uid="{9379F61A-08F7-4447-91C7-AB94AD8D4B21}"/>
    <cellStyle name="Normal 16 3 3 3 2 2 3" xfId="46740" xr:uid="{2CA32E6E-7E89-4891-AD9A-D28F63B630E1}"/>
    <cellStyle name="Normal 16 3 3 3 2 3" xfId="21601" xr:uid="{079395D8-90F4-43B5-A83F-C708F2ED1272}"/>
    <cellStyle name="Normal 16 3 3 3 2 4" xfId="38360" xr:uid="{65387DFA-4654-4566-9E38-F53962CE4827}"/>
    <cellStyle name="Normal 16 3 3 3 3" xfId="6528" xr:uid="{98ACB998-8C18-473F-8CD6-2D98327815D5}"/>
    <cellStyle name="Normal 16 3 3 3 3 2" xfId="14908" xr:uid="{1A0E9B52-54AA-4470-9752-DC0430D34F3F}"/>
    <cellStyle name="Normal 16 3 3 3 3 2 2" xfId="31668" xr:uid="{77F3B88B-0924-4F1A-909D-450B9C7B1EAA}"/>
    <cellStyle name="Normal 16 3 3 3 3 2 3" xfId="48427" xr:uid="{1E85DF84-24D5-47A2-9646-D739D8FA1761}"/>
    <cellStyle name="Normal 16 3 3 3 3 3" xfId="23288" xr:uid="{9922B71F-B48D-44F2-A54F-F7EA2AE304B2}"/>
    <cellStyle name="Normal 16 3 3 3 3 4" xfId="40047" xr:uid="{85FA339F-B196-45F3-98D2-BFC3108A2A55}"/>
    <cellStyle name="Normal 16 3 3 3 4" xfId="3264" xr:uid="{646FFFA5-1564-465D-91B4-3062FBEEE88E}"/>
    <cellStyle name="Normal 16 3 3 3 4 2" xfId="11644" xr:uid="{69D5A3B5-D7D1-43F0-AEB6-D0D53B51D300}"/>
    <cellStyle name="Normal 16 3 3 3 4 2 2" xfId="28404" xr:uid="{6CBC37C2-44CC-4489-948F-D6C324C905C9}"/>
    <cellStyle name="Normal 16 3 3 3 4 2 3" xfId="45163" xr:uid="{27E63016-A6B0-405A-93D7-0FBFC6D709A0}"/>
    <cellStyle name="Normal 16 3 3 3 4 3" xfId="20024" xr:uid="{D6C99C3B-3AC5-4F89-A42C-B7A0ADC87A8E}"/>
    <cellStyle name="Normal 16 3 3 3 4 4" xfId="36783" xr:uid="{A2B7C05B-0984-46A4-BD3B-F73D526498CC}"/>
    <cellStyle name="Normal 16 3 3 3 5" xfId="9841" xr:uid="{6E65AA83-1961-4E22-BD55-81826998382E}"/>
    <cellStyle name="Normal 16 3 3 3 5 2" xfId="26601" xr:uid="{6E42BAD9-186C-44B2-846B-419CF48D8830}"/>
    <cellStyle name="Normal 16 3 3 3 5 3" xfId="43360" xr:uid="{41791C2B-1E51-4EEA-87DF-A65491F89731}"/>
    <cellStyle name="Normal 16 3 3 3 6" xfId="18221" xr:uid="{61A0F1A8-4501-4239-BCF2-E336429D3380}"/>
    <cellStyle name="Normal 16 3 3 3 7" xfId="34980" xr:uid="{5258E516-78A5-41AF-94E7-167A36858A4D}"/>
    <cellStyle name="Normal 16 3 3 4" xfId="1948" xr:uid="{1D32D085-30A8-4B8F-ABCF-19D9D7CB0B82}"/>
    <cellStyle name="Normal 16 3 3 4 2" xfId="5337" xr:uid="{93B2204E-B548-47DE-A6B0-4BB2E1A1D048}"/>
    <cellStyle name="Normal 16 3 3 4 2 2" xfId="13717" xr:uid="{8F155134-C4C7-4AB3-8278-893CD5561241}"/>
    <cellStyle name="Normal 16 3 3 4 2 2 2" xfId="30477" xr:uid="{940A0466-06AF-4F4C-938B-B9B46481A0CF}"/>
    <cellStyle name="Normal 16 3 3 4 2 2 3" xfId="47236" xr:uid="{C3C79B8E-33A2-4F16-9E3D-19BCCBA98707}"/>
    <cellStyle name="Normal 16 3 3 4 2 3" xfId="22097" xr:uid="{F5D3770B-5CB1-4C78-AD85-D129997DA5C2}"/>
    <cellStyle name="Normal 16 3 3 4 2 4" xfId="38856" xr:uid="{EB701DFD-59A7-44BE-806D-F90919D9232B}"/>
    <cellStyle name="Normal 16 3 3 4 3" xfId="7024" xr:uid="{656778A1-71B3-4EDE-9EAA-4414A9EE9CA9}"/>
    <cellStyle name="Normal 16 3 3 4 3 2" xfId="15404" xr:uid="{372ADAE9-9081-412E-A7EC-F3944F5EA8D2}"/>
    <cellStyle name="Normal 16 3 3 4 3 2 2" xfId="32164" xr:uid="{8D88FD97-075C-4420-A34F-C3C9F0D4C5C4}"/>
    <cellStyle name="Normal 16 3 3 4 3 2 3" xfId="48923" xr:uid="{D4FD8BEF-460C-458A-83B2-1F309A10EB69}"/>
    <cellStyle name="Normal 16 3 3 4 3 3" xfId="23784" xr:uid="{FEFB65B0-29AC-4C53-A032-50BD0ADEE849}"/>
    <cellStyle name="Normal 16 3 3 4 3 4" xfId="40543" xr:uid="{FD6DF3F2-5AB1-47E0-9B1C-F54227B08F3C}"/>
    <cellStyle name="Normal 16 3 3 4 4" xfId="3647" xr:uid="{82969466-A2A3-4D40-9CF9-267E9E294083}"/>
    <cellStyle name="Normal 16 3 3 4 4 2" xfId="12027" xr:uid="{F5F269D9-ADAB-4B86-AF35-BE4A455DEF0D}"/>
    <cellStyle name="Normal 16 3 3 4 4 2 2" xfId="28787" xr:uid="{B336820E-3733-4EB8-839F-25191E4788C1}"/>
    <cellStyle name="Normal 16 3 3 4 4 2 3" xfId="45546" xr:uid="{7F730806-7327-4DF9-9171-51661F81C149}"/>
    <cellStyle name="Normal 16 3 3 4 4 3" xfId="20407" xr:uid="{77C5B956-C8DB-45C1-9C90-6E4295BB56E2}"/>
    <cellStyle name="Normal 16 3 3 4 4 4" xfId="37166" xr:uid="{7A42FA43-E127-4BAC-B461-613121E51315}"/>
    <cellStyle name="Normal 16 3 3 4 5" xfId="10337" xr:uid="{9902E401-F358-48DE-A5D3-C1DC71E54241}"/>
    <cellStyle name="Normal 16 3 3 4 5 2" xfId="27097" xr:uid="{E75265ED-1177-43CF-9F7C-3D15BBE19FE7}"/>
    <cellStyle name="Normal 16 3 3 4 5 3" xfId="43856" xr:uid="{94A3DF44-C503-48A0-B77B-CBB99BDA7A21}"/>
    <cellStyle name="Normal 16 3 3 4 6" xfId="18717" xr:uid="{FA78FD7A-A62D-48FD-BDF7-B901C10F7E64}"/>
    <cellStyle name="Normal 16 3 3 4 7" xfId="35476" xr:uid="{7D989177-6969-42FA-BF72-8504CEAD27FB}"/>
    <cellStyle name="Normal 16 3 3 5" xfId="4067" xr:uid="{243D5BE5-FCEC-4B0B-8500-0BBDDB11C1FA}"/>
    <cellStyle name="Normal 16 3 3 5 2" xfId="12447" xr:uid="{4B7814F8-9D49-4776-A032-BB12745889A6}"/>
    <cellStyle name="Normal 16 3 3 5 2 2" xfId="29207" xr:uid="{1334CA07-F622-41FA-BF18-CFE2096AF99F}"/>
    <cellStyle name="Normal 16 3 3 5 2 3" xfId="45966" xr:uid="{D8BEF4DC-86ED-4E4B-8A6D-8D1838547B16}"/>
    <cellStyle name="Normal 16 3 3 5 3" xfId="20827" xr:uid="{E9C6A6E0-F64F-4883-A07B-DB93B14539B7}"/>
    <cellStyle name="Normal 16 3 3 5 4" xfId="37586" xr:uid="{7612B144-AAEB-459B-B2CE-26705A1020F1}"/>
    <cellStyle name="Normal 16 3 3 6" xfId="5674" xr:uid="{3441A19C-2F5E-4C0E-A8C7-E665A6CEE858}"/>
    <cellStyle name="Normal 16 3 3 6 2" xfId="14054" xr:uid="{B09378FD-0113-4631-93E1-210C6CD795DD}"/>
    <cellStyle name="Normal 16 3 3 6 2 2" xfId="30814" xr:uid="{BA9B2ED0-9678-4164-832A-039CC49A5593}"/>
    <cellStyle name="Normal 16 3 3 6 2 3" xfId="47573" xr:uid="{75A4382C-979E-4955-9AA7-7AB159408798}"/>
    <cellStyle name="Normal 16 3 3 6 3" xfId="22434" xr:uid="{841D3D9D-89C7-4122-9D73-86B2297E73F6}"/>
    <cellStyle name="Normal 16 3 3 6 4" xfId="39193" xr:uid="{70B8D06F-B8A7-4BC5-BFAC-768DE91F44FA}"/>
    <cellStyle name="Normal 16 3 3 7" xfId="7430" xr:uid="{50318787-80AB-4E18-AB1C-32B9DE57BA74}"/>
    <cellStyle name="Normal 16 3 3 7 2" xfId="15810" xr:uid="{C3CDBF9B-468E-4368-A4E6-740A940FA8D6}"/>
    <cellStyle name="Normal 16 3 3 7 2 2" xfId="32570" xr:uid="{5F916563-016B-4677-B2E1-6414B9D7F4E5}"/>
    <cellStyle name="Normal 16 3 3 7 2 3" xfId="49329" xr:uid="{BEDDDE90-391F-4A51-8397-3E9727B87085}"/>
    <cellStyle name="Normal 16 3 3 7 3" xfId="24190" xr:uid="{E8E35C9F-3C8A-432E-9518-FB170BB968BE}"/>
    <cellStyle name="Normal 16 3 3 7 4" xfId="40949" xr:uid="{3E2BB561-72A2-4DDE-AF29-C2A69408F0E8}"/>
    <cellStyle name="Normal 16 3 3 8" xfId="7836" xr:uid="{53E11FDE-7DD5-4A2F-A802-B3679762C154}"/>
    <cellStyle name="Normal 16 3 3 8 2" xfId="16216" xr:uid="{EDEAD608-005E-47ED-B12E-4F15030D9CE9}"/>
    <cellStyle name="Normal 16 3 3 8 2 2" xfId="32976" xr:uid="{0C637F12-AD6C-451E-A047-2D2D39DA3F26}"/>
    <cellStyle name="Normal 16 3 3 8 2 3" xfId="49735" xr:uid="{798EC062-5638-48B8-85D9-77F25B6A1EF8}"/>
    <cellStyle name="Normal 16 3 3 8 3" xfId="24596" xr:uid="{566D147C-779D-4804-9C24-8BC46B1CC0D0}"/>
    <cellStyle name="Normal 16 3 3 8 4" xfId="41355" xr:uid="{E49C5EEE-193D-4A22-B8AD-EC8C315F1ECD}"/>
    <cellStyle name="Normal 16 3 3 9" xfId="8242" xr:uid="{054023E9-4FEE-40FD-96D4-998A1C9111B9}"/>
    <cellStyle name="Normal 16 3 3 9 2" xfId="16622" xr:uid="{53654B3B-1D24-4E87-91E7-0C7A691AD916}"/>
    <cellStyle name="Normal 16 3 3 9 2 2" xfId="33382" xr:uid="{A84BA829-5129-4095-A132-60F1ABE8B63C}"/>
    <cellStyle name="Normal 16 3 3 9 2 3" xfId="50141" xr:uid="{B52A9D37-BA0D-4072-9461-BE2940B7A080}"/>
    <cellStyle name="Normal 16 3 3 9 3" xfId="25002" xr:uid="{C63E7576-6585-4D3E-AE85-5667A3736D04}"/>
    <cellStyle name="Normal 16 3 3 9 4" xfId="41761" xr:uid="{B59867E5-4E54-431B-97BD-58EF8F13540D}"/>
    <cellStyle name="Normal 16 3 4" xfId="853" xr:uid="{929B3424-812A-4134-9D36-CE3BEB7575D2}"/>
    <cellStyle name="Normal 16 3 4 2" xfId="4248" xr:uid="{5B7A9AA1-2A7D-43B3-9A39-F6034FE3C03E}"/>
    <cellStyle name="Normal 16 3 4 2 2" xfId="12628" xr:uid="{B598D291-6159-4319-A9A5-F2A5580E147E}"/>
    <cellStyle name="Normal 16 3 4 2 2 2" xfId="29388" xr:uid="{9ACF8ADA-8A38-46CE-AC49-9C4885B88A0C}"/>
    <cellStyle name="Normal 16 3 4 2 2 3" xfId="46147" xr:uid="{773C8C89-40B8-41E2-AADF-03B00AF445EF}"/>
    <cellStyle name="Normal 16 3 4 2 3" xfId="21008" xr:uid="{548BEC53-8A7A-4C05-ADDE-8533E19D3F2F}"/>
    <cellStyle name="Normal 16 3 4 2 4" xfId="37767" xr:uid="{1C7D1E73-C35D-4A40-B3CC-6ED45F949061}"/>
    <cellStyle name="Normal 16 3 4 3" xfId="5935" xr:uid="{72A55B06-0A36-44AF-B80E-41DFF74444C8}"/>
    <cellStyle name="Normal 16 3 4 3 2" xfId="14315" xr:uid="{D268FFDB-8C8A-45B1-BE20-D34B274E75DC}"/>
    <cellStyle name="Normal 16 3 4 3 2 2" xfId="31075" xr:uid="{9645B5C8-077E-4374-8B0A-7A6D5574626C}"/>
    <cellStyle name="Normal 16 3 4 3 2 3" xfId="47834" xr:uid="{3324784D-BC37-425D-8474-A3A3B0ED2881}"/>
    <cellStyle name="Normal 16 3 4 3 3" xfId="22695" xr:uid="{EEA56802-3C1D-4ED2-A513-52CD42340DCD}"/>
    <cellStyle name="Normal 16 3 4 3 4" xfId="39454" xr:uid="{C0C043BF-0588-4460-93D0-225E71CA344F}"/>
    <cellStyle name="Normal 16 3 4 4" xfId="2671" xr:uid="{D8E3FF80-381E-49D7-915B-923F9FBBD937}"/>
    <cellStyle name="Normal 16 3 4 4 2" xfId="11051" xr:uid="{676112CE-5519-4881-BEB1-3683D101BF66}"/>
    <cellStyle name="Normal 16 3 4 4 2 2" xfId="27811" xr:uid="{E2C030BB-E0A5-4AF8-B3E2-E8BBCE91D361}"/>
    <cellStyle name="Normal 16 3 4 4 2 3" xfId="44570" xr:uid="{21C3E31A-A7E7-429D-87CB-6C6B53262FBB}"/>
    <cellStyle name="Normal 16 3 4 4 3" xfId="19431" xr:uid="{D6DD0F9F-02A3-44F6-BD02-F9C806C366F4}"/>
    <cellStyle name="Normal 16 3 4 4 4" xfId="36190" xr:uid="{65282CC8-E9A1-441B-858E-66FCE0EF1964}"/>
    <cellStyle name="Normal 16 3 4 5" xfId="9248" xr:uid="{2448E124-3CE4-4DA3-9FAB-E891D3F4DEC8}"/>
    <cellStyle name="Normal 16 3 4 5 2" xfId="26008" xr:uid="{A04E699B-BF5A-4C74-81ED-C75379B12A8F}"/>
    <cellStyle name="Normal 16 3 4 5 3" xfId="42767" xr:uid="{A5217C30-2901-44CE-BC3E-F7D8548CB61A}"/>
    <cellStyle name="Normal 16 3 4 6" xfId="17628" xr:uid="{ACD57BE4-90A1-4B2F-B99A-C83DD5FC6C5D}"/>
    <cellStyle name="Normal 16 3 4 7" xfId="34387" xr:uid="{400C1A80-DA91-455D-B569-B2BDBCF3F4D0}"/>
    <cellStyle name="Normal 16 3 5" xfId="1287" xr:uid="{43224334-AD9B-4775-AEEE-533941AF6671}"/>
    <cellStyle name="Normal 16 3 5 2" xfId="4676" xr:uid="{7DE62D9E-36C9-4686-BDE5-696CC076113F}"/>
    <cellStyle name="Normal 16 3 5 2 2" xfId="13056" xr:uid="{9C6C1E76-7EC9-4FAF-8C34-48656094193B}"/>
    <cellStyle name="Normal 16 3 5 2 2 2" xfId="29816" xr:uid="{81487FB2-CD42-4802-B4FC-5ADCBFC04AEC}"/>
    <cellStyle name="Normal 16 3 5 2 2 3" xfId="46575" xr:uid="{A683870D-49C8-4DA1-ABF9-F2291C6EE204}"/>
    <cellStyle name="Normal 16 3 5 2 3" xfId="21436" xr:uid="{EBE9974D-646A-4567-89A8-F2EA1150F7D8}"/>
    <cellStyle name="Normal 16 3 5 2 4" xfId="38195" xr:uid="{2F8D3F08-3180-4547-897C-3D609188D89A}"/>
    <cellStyle name="Normal 16 3 5 3" xfId="6363" xr:uid="{87D35905-9D0A-4958-89A4-D48523C1EC9E}"/>
    <cellStyle name="Normal 16 3 5 3 2" xfId="14743" xr:uid="{F82B3CA8-D1E6-49F9-BA8B-2A95605D6B0F}"/>
    <cellStyle name="Normal 16 3 5 3 2 2" xfId="31503" xr:uid="{0FE15F50-8757-4A77-B55B-E69B83795099}"/>
    <cellStyle name="Normal 16 3 5 3 2 3" xfId="48262" xr:uid="{A305BDC8-CA18-4915-9EA4-9ED4452E1714}"/>
    <cellStyle name="Normal 16 3 5 3 3" xfId="23123" xr:uid="{0029C2CC-D7D8-4611-9C79-2EDB329C954C}"/>
    <cellStyle name="Normal 16 3 5 3 4" xfId="39882" xr:uid="{95655951-4BBB-4170-9D9F-51EA5C666677}"/>
    <cellStyle name="Normal 16 3 5 4" xfId="3099" xr:uid="{6E3DE274-E932-4062-83C3-34CACAB4A4B3}"/>
    <cellStyle name="Normal 16 3 5 4 2" xfId="11479" xr:uid="{E4CB3979-E102-4B76-AE0A-4FAC98CCC6D4}"/>
    <cellStyle name="Normal 16 3 5 4 2 2" xfId="28239" xr:uid="{F2861DEA-4A45-4867-A4A1-EDB37326D4F7}"/>
    <cellStyle name="Normal 16 3 5 4 2 3" xfId="44998" xr:uid="{52DC2BF4-CFBE-4913-B1C0-77320C036903}"/>
    <cellStyle name="Normal 16 3 5 4 3" xfId="19859" xr:uid="{21FE7B09-71A2-4821-8381-24674D83F6D0}"/>
    <cellStyle name="Normal 16 3 5 4 4" xfId="36618" xr:uid="{D64C487E-A1C9-44F0-B5F8-9D5F3769D7D9}"/>
    <cellStyle name="Normal 16 3 5 5" xfId="9676" xr:uid="{B171CF77-547E-467C-9845-B3C4ED20F34C}"/>
    <cellStyle name="Normal 16 3 5 5 2" xfId="26436" xr:uid="{4DDA6CCC-5BF8-469F-BF7A-23F1A9196312}"/>
    <cellStyle name="Normal 16 3 5 5 3" xfId="43195" xr:uid="{80E9458B-62F2-4DC0-890D-9EFA1680B4B5}"/>
    <cellStyle name="Normal 16 3 5 6" xfId="18056" xr:uid="{CCD20D45-DD07-464E-B632-A14874B07711}"/>
    <cellStyle name="Normal 16 3 5 7" xfId="34815" xr:uid="{FEC42B95-39E0-48F3-AD6E-7195F8504DD0}"/>
    <cellStyle name="Normal 16 3 6" xfId="1677" xr:uid="{FF7BF0D8-8FA4-460C-88DB-20FFBED5B7C2}"/>
    <cellStyle name="Normal 16 3 6 2" xfId="5066" xr:uid="{D51D673F-86C1-438F-A8D8-524D4179AB93}"/>
    <cellStyle name="Normal 16 3 6 2 2" xfId="13446" xr:uid="{873E7D8C-A137-47E8-AD7E-2727D3390DEA}"/>
    <cellStyle name="Normal 16 3 6 2 2 2" xfId="30206" xr:uid="{DBCEB195-43F8-4351-8820-F473CC53BC83}"/>
    <cellStyle name="Normal 16 3 6 2 2 3" xfId="46965" xr:uid="{E9EC0328-3FCB-4A0A-8569-534C1B925B71}"/>
    <cellStyle name="Normal 16 3 6 2 3" xfId="21826" xr:uid="{A5D1E1A3-BECE-49D7-B426-B7D1FABBFF45}"/>
    <cellStyle name="Normal 16 3 6 2 4" xfId="38585" xr:uid="{4DD720DE-326C-48DD-B093-8369BA746890}"/>
    <cellStyle name="Normal 16 3 6 3" xfId="6753" xr:uid="{D8F0934C-C695-40ED-B294-129DA6D8392E}"/>
    <cellStyle name="Normal 16 3 6 3 2" xfId="15133" xr:uid="{879C8D39-E8B7-4F9D-B159-A3D440AC725C}"/>
    <cellStyle name="Normal 16 3 6 3 2 2" xfId="31893" xr:uid="{89DF25D2-D69D-475F-AFAE-31C3DADACCC4}"/>
    <cellStyle name="Normal 16 3 6 3 2 3" xfId="48652" xr:uid="{B25714A8-BAFC-492B-AA65-5F6016419C63}"/>
    <cellStyle name="Normal 16 3 6 3 3" xfId="23513" xr:uid="{41A9D2CE-A55C-4EE8-A4BF-1AC4D30527F4}"/>
    <cellStyle name="Normal 16 3 6 3 4" xfId="40272" xr:uid="{5229E389-DE01-4661-9216-CD5EE8F959D8}"/>
    <cellStyle name="Normal 16 3 6 4" xfId="2241" xr:uid="{137FB115-8147-4E35-AABB-31981EA3471B}"/>
    <cellStyle name="Normal 16 3 6 4 2" xfId="10625" xr:uid="{987C37AA-D94B-42A0-A2AC-D7DB361FC355}"/>
    <cellStyle name="Normal 16 3 6 4 2 2" xfId="27385" xr:uid="{7E25D3AA-E251-4385-B80D-2D9220D2C191}"/>
    <cellStyle name="Normal 16 3 6 4 2 3" xfId="44144" xr:uid="{BE6EC623-BA2C-4A9D-8099-9238C8427663}"/>
    <cellStyle name="Normal 16 3 6 4 3" xfId="19005" xr:uid="{081DFDF1-FFD7-439D-BF2F-F8D71C747A0C}"/>
    <cellStyle name="Normal 16 3 6 4 4" xfId="35764" xr:uid="{0EC9BF7A-E40A-4E62-B4D3-EC315F71CFD9}"/>
    <cellStyle name="Normal 16 3 6 5" xfId="10066" xr:uid="{973F7315-B44E-4A22-BAE5-CDA80DD1721F}"/>
    <cellStyle name="Normal 16 3 6 5 2" xfId="26826" xr:uid="{E0F96E76-5634-4244-BC01-2016F641D386}"/>
    <cellStyle name="Normal 16 3 6 5 3" xfId="43585" xr:uid="{972B3EE6-26B5-4444-A1F0-3634E4D3F88F}"/>
    <cellStyle name="Normal 16 3 6 6" xfId="18446" xr:uid="{5E66639C-90C1-49F4-8363-87967DE2387D}"/>
    <cellStyle name="Normal 16 3 6 7" xfId="35205" xr:uid="{93D3C045-F9C0-446B-AB77-11DE7292D839}"/>
    <cellStyle name="Normal 16 3 7" xfId="3795" xr:uid="{BB98C58A-AF80-4AC5-BEFD-DCEF1FD13DF2}"/>
    <cellStyle name="Normal 16 3 7 2" xfId="12175" xr:uid="{6AEDFB3B-FE3A-4FB1-996E-BFA8B06B7A08}"/>
    <cellStyle name="Normal 16 3 7 2 2" xfId="28935" xr:uid="{A7EB3744-F57E-4195-96F3-1749180E181D}"/>
    <cellStyle name="Normal 16 3 7 2 3" xfId="45694" xr:uid="{D343595F-24CB-4937-99E0-73B33886B695}"/>
    <cellStyle name="Normal 16 3 7 3" xfId="20555" xr:uid="{FAC64CFA-2444-4816-804C-1B880759BCC2}"/>
    <cellStyle name="Normal 16 3 7 4" xfId="37314" xr:uid="{6D58D449-871A-4F65-9F21-BDDCA2D90A2A}"/>
    <cellStyle name="Normal 16 3 8" xfId="5509" xr:uid="{1684885A-C690-47E0-BA75-9625DEAAA709}"/>
    <cellStyle name="Normal 16 3 8 2" xfId="13889" xr:uid="{97D60137-90CF-44DC-8318-359DF05F4D82}"/>
    <cellStyle name="Normal 16 3 8 2 2" xfId="30649" xr:uid="{F92040E5-861E-42B5-ACB3-A9BF4E8F0EE3}"/>
    <cellStyle name="Normal 16 3 8 2 3" xfId="47408" xr:uid="{DD0D3C87-11BA-4A6B-998E-2FCF37C924D6}"/>
    <cellStyle name="Normal 16 3 8 3" xfId="22269" xr:uid="{391264C0-46FB-4069-A923-94F11016B7B8}"/>
    <cellStyle name="Normal 16 3 8 4" xfId="39028" xr:uid="{33B7432B-F108-457B-99C7-E0056E3670BA}"/>
    <cellStyle name="Normal 16 3 9" xfId="7159" xr:uid="{DBCD0889-6F75-4377-805F-B3ED4268AA9A}"/>
    <cellStyle name="Normal 16 3 9 2" xfId="15539" xr:uid="{D5CB2822-9CB6-4189-BC0D-888C808459F2}"/>
    <cellStyle name="Normal 16 3 9 2 2" xfId="32299" xr:uid="{B356F228-D2A7-46ED-94D9-82CE9477E0CA}"/>
    <cellStyle name="Normal 16 3 9 2 3" xfId="49058" xr:uid="{B6E12529-5424-4543-A6D1-981F15CD0CBC}"/>
    <cellStyle name="Normal 16 3 9 3" xfId="23919" xr:uid="{1FB7DA45-E4E3-4A7C-B92D-FFEA9D1DB0F4}"/>
    <cellStyle name="Normal 16 3 9 4" xfId="40678" xr:uid="{7E6C5B77-B49D-4241-8C3B-EF95C73F96B0}"/>
    <cellStyle name="Normal 16 4" xfId="577" xr:uid="{CAFAAE08-DE00-4A18-B5D3-9D6E07B33474}"/>
    <cellStyle name="Normal 16 4 10" xfId="7566" xr:uid="{224B5564-FDCD-4DB2-8B0A-23A1685BC22D}"/>
    <cellStyle name="Normal 16 4 10 2" xfId="15946" xr:uid="{F8153D67-D40F-4F3A-B2AE-329CF2E49AF1}"/>
    <cellStyle name="Normal 16 4 10 2 2" xfId="32706" xr:uid="{ED098722-137B-4145-BA0D-67A7F148A69C}"/>
    <cellStyle name="Normal 16 4 10 2 3" xfId="49465" xr:uid="{BC4FE059-21B3-48DA-89C4-206E1763DA9D}"/>
    <cellStyle name="Normal 16 4 10 3" xfId="24326" xr:uid="{6DE3A742-E8F7-452C-9C31-A4D07525BD51}"/>
    <cellStyle name="Normal 16 4 10 4" xfId="41085" xr:uid="{77609C27-DB13-4161-B581-827181D74139}"/>
    <cellStyle name="Normal 16 4 11" xfId="7972" xr:uid="{EE35FE29-5432-4C4D-9554-6C1B18A4ACD7}"/>
    <cellStyle name="Normal 16 4 11 2" xfId="16352" xr:uid="{768B60B9-2617-44F1-A779-8109EAEBA810}"/>
    <cellStyle name="Normal 16 4 11 2 2" xfId="33112" xr:uid="{6F41D5B1-157C-4ACA-BDDA-D9FC6136C222}"/>
    <cellStyle name="Normal 16 4 11 2 3" xfId="49871" xr:uid="{ED093C87-1AA9-4586-AC67-36390F2522A8}"/>
    <cellStyle name="Normal 16 4 11 3" xfId="24732" xr:uid="{A47C03E7-A46B-493D-9CDA-2CD22E5CA02C}"/>
    <cellStyle name="Normal 16 4 11 4" xfId="41491" xr:uid="{A09141DB-79E3-4CC6-8285-F32D52F4C099}"/>
    <cellStyle name="Normal 16 4 12" xfId="8378" xr:uid="{405C9902-3157-4712-9E5A-24646866DD40}"/>
    <cellStyle name="Normal 16 4 12 2" xfId="16758" xr:uid="{E79BA13A-9560-4474-989B-8ECF9AD11A45}"/>
    <cellStyle name="Normal 16 4 12 2 2" xfId="33518" xr:uid="{BF2521F8-C5D8-49E2-AA75-65C083744579}"/>
    <cellStyle name="Normal 16 4 12 2 3" xfId="50277" xr:uid="{4D12F8D4-3B09-4653-A0AA-F6E22CD2167F}"/>
    <cellStyle name="Normal 16 4 12 3" xfId="25138" xr:uid="{CB33FEE8-ADAC-4A6E-8AF2-D84026932DDE}"/>
    <cellStyle name="Normal 16 4 12 4" xfId="41897" xr:uid="{2457D5D7-FDD8-4C2A-9EF8-336DA8D14678}"/>
    <cellStyle name="Normal 16 4 13" xfId="2114" xr:uid="{B8EDD717-6468-4A94-A9F1-2EF9907E51CD}"/>
    <cellStyle name="Normal 16 4 13 2" xfId="10502" xr:uid="{CF14E7A7-17C2-4FD6-8739-E057A79941D0}"/>
    <cellStyle name="Normal 16 4 13 2 2" xfId="27262" xr:uid="{5671829E-8846-43F1-B739-B9C4A9D7AA94}"/>
    <cellStyle name="Normal 16 4 13 2 3" xfId="44021" xr:uid="{A04332AA-653A-4A2E-8118-FE15204D6768}"/>
    <cellStyle name="Normal 16 4 13 3" xfId="18882" xr:uid="{B8C689D0-AFFB-4954-B78F-76195F78E862}"/>
    <cellStyle name="Normal 16 4 13 4" xfId="35641" xr:uid="{D2A25D80-974F-485B-863C-83BE257F8FDF}"/>
    <cellStyle name="Normal 16 4 14" xfId="8988" xr:uid="{A879D3C2-1BB6-4BEC-ADA8-6120E7707B36}"/>
    <cellStyle name="Normal 16 4 14 2" xfId="25748" xr:uid="{49F6FF88-0A81-4571-B62B-03DDEAA83365}"/>
    <cellStyle name="Normal 16 4 14 3" xfId="42507" xr:uid="{D402E404-D17B-4D0C-9397-3B7D573FA438}"/>
    <cellStyle name="Normal 16 4 15" xfId="17368" xr:uid="{658BC818-FC4E-4DD5-9F13-C5FDACF6CFDB}"/>
    <cellStyle name="Normal 16 4 16" xfId="34127" xr:uid="{05841A2F-269F-4296-87C2-4856B0744946}"/>
    <cellStyle name="Normal 16 4 2" xfId="578" xr:uid="{8702CD42-EF4A-4A37-BED3-F588F77868F2}"/>
    <cellStyle name="Normal 16 4 2 10" xfId="8517" xr:uid="{9EB9377C-C9F6-43A1-A4C3-064A7F81F531}"/>
    <cellStyle name="Normal 16 4 2 10 2" xfId="16897" xr:uid="{BC6DE17E-31AD-481E-825C-9F974C970A2C}"/>
    <cellStyle name="Normal 16 4 2 10 2 2" xfId="33657" xr:uid="{D55116E9-F8BF-4FF6-B5B5-36CBBCDFA5D1}"/>
    <cellStyle name="Normal 16 4 2 10 2 3" xfId="50416" xr:uid="{ED3B9367-4745-4272-91F3-9883464D3E58}"/>
    <cellStyle name="Normal 16 4 2 10 3" xfId="25277" xr:uid="{58651DDA-594A-4335-99D1-0C2731A8F8B5}"/>
    <cellStyle name="Normal 16 4 2 10 4" xfId="42036" xr:uid="{A543FD9F-0C45-48E1-ADF6-10CF39541EB6}"/>
    <cellStyle name="Normal 16 4 2 11" xfId="2410" xr:uid="{82999ABE-4B24-45B4-81A8-8B9CA620402D}"/>
    <cellStyle name="Normal 16 4 2 11 2" xfId="10792" xr:uid="{EEE563AD-DA2C-4A27-99A5-9E6C1DF43853}"/>
    <cellStyle name="Normal 16 4 2 11 2 2" xfId="27552" xr:uid="{10CC9D53-8508-491F-B9F0-B2338BA2132D}"/>
    <cellStyle name="Normal 16 4 2 11 2 3" xfId="44311" xr:uid="{9EBF926F-EAFC-4B8A-8AD0-76CD3677F615}"/>
    <cellStyle name="Normal 16 4 2 11 3" xfId="19172" xr:uid="{58C07122-72C5-4639-9B62-E6BDE85618F8}"/>
    <cellStyle name="Normal 16 4 2 11 4" xfId="35931" xr:uid="{0655CC01-DFC4-4BAF-BCCA-93AA53A03944}"/>
    <cellStyle name="Normal 16 4 2 12" xfId="8989" xr:uid="{6B0C63FF-8008-4D96-B5D1-58E83E9DF0C1}"/>
    <cellStyle name="Normal 16 4 2 12 2" xfId="25749" xr:uid="{79EEB357-01C9-40D9-9368-D011CCE4BA45}"/>
    <cellStyle name="Normal 16 4 2 12 3" xfId="42508" xr:uid="{28D167DC-5936-4FD1-B1DF-D2A95D639549}"/>
    <cellStyle name="Normal 16 4 2 13" xfId="17369" xr:uid="{0342DE76-BE8E-4BD3-9AD8-E14FC77353CF}"/>
    <cellStyle name="Normal 16 4 2 14" xfId="34128" xr:uid="{E517127D-9C6C-4871-A54A-89084C2FE6EF}"/>
    <cellStyle name="Normal 16 4 2 2" xfId="1020" xr:uid="{A6C36BB8-548F-4CC3-BC66-49AB886388A9}"/>
    <cellStyle name="Normal 16 4 2 2 2" xfId="4415" xr:uid="{8EA66857-026B-4733-A9D4-89050C437B63}"/>
    <cellStyle name="Normal 16 4 2 2 2 2" xfId="12795" xr:uid="{A1B91D29-4E2F-469F-AC18-509CA2C00FC7}"/>
    <cellStyle name="Normal 16 4 2 2 2 2 2" xfId="29555" xr:uid="{6A75C0E7-4A2C-4D83-AEBF-9B816F190595}"/>
    <cellStyle name="Normal 16 4 2 2 2 2 3" xfId="46314" xr:uid="{C32127A7-3DE4-4F99-B4DE-CA6F7BC0FB3B}"/>
    <cellStyle name="Normal 16 4 2 2 2 3" xfId="21175" xr:uid="{6B2BDEF0-4A0B-4D90-8432-6C5915576678}"/>
    <cellStyle name="Normal 16 4 2 2 2 4" xfId="37934" xr:uid="{62BAE306-1BF1-40A0-BC82-EEF5C3CC16DB}"/>
    <cellStyle name="Normal 16 4 2 2 3" xfId="6102" xr:uid="{678EAA5D-3C9F-499B-B2EA-9C3CBD68845B}"/>
    <cellStyle name="Normal 16 4 2 2 3 2" xfId="14482" xr:uid="{17F9C733-78C1-479A-83AA-12BA6F9EC029}"/>
    <cellStyle name="Normal 16 4 2 2 3 2 2" xfId="31242" xr:uid="{3E7C8952-FEB0-4756-ABDB-7D368561156C}"/>
    <cellStyle name="Normal 16 4 2 2 3 2 3" xfId="48001" xr:uid="{FA74A455-9D40-497B-B100-FAB1BDB4EB5C}"/>
    <cellStyle name="Normal 16 4 2 2 3 3" xfId="22862" xr:uid="{75D6B92E-3F0D-484F-BE47-B291B058C9A1}"/>
    <cellStyle name="Normal 16 4 2 2 3 4" xfId="39621" xr:uid="{3BDC5028-1E65-47F7-AC24-57558F5F0436}"/>
    <cellStyle name="Normal 16 4 2 2 4" xfId="2838" xr:uid="{306ECA5B-FBB6-465C-ADA8-217B28BACD7D}"/>
    <cellStyle name="Normal 16 4 2 2 4 2" xfId="11218" xr:uid="{C9EB4F05-86F5-4CAC-814E-F3B8922315D7}"/>
    <cellStyle name="Normal 16 4 2 2 4 2 2" xfId="27978" xr:uid="{89868422-D7D6-4DFE-9359-4DDEC979601B}"/>
    <cellStyle name="Normal 16 4 2 2 4 2 3" xfId="44737" xr:uid="{7BD412BE-F2C9-400B-A67B-D507F5E0067C}"/>
    <cellStyle name="Normal 16 4 2 2 4 3" xfId="19598" xr:uid="{AC4E6BA6-D0D2-4B2A-B2A1-8480D0C1E5EA}"/>
    <cellStyle name="Normal 16 4 2 2 4 4" xfId="36357" xr:uid="{7AA14E1F-9B5C-43B9-BE9A-9C440EA7C718}"/>
    <cellStyle name="Normal 16 4 2 2 5" xfId="9415" xr:uid="{5E3006C7-452C-4F71-804E-690B64557BEF}"/>
    <cellStyle name="Normal 16 4 2 2 5 2" xfId="26175" xr:uid="{0684425E-3A52-47F9-8621-ADFC3A6030D5}"/>
    <cellStyle name="Normal 16 4 2 2 5 3" xfId="42934" xr:uid="{D0124D2B-BB12-4440-885A-594DF8509B87}"/>
    <cellStyle name="Normal 16 4 2 2 6" xfId="17795" xr:uid="{4B293F41-8D95-47DD-877E-E016E899E018}"/>
    <cellStyle name="Normal 16 4 2 2 7" xfId="34554" xr:uid="{6127F953-F50F-44FB-87B4-C39EA8A55176}"/>
    <cellStyle name="Normal 16 4 2 3" xfId="1454" xr:uid="{B096150E-09D5-4F6F-8EA3-5B32236B2DE1}"/>
    <cellStyle name="Normal 16 4 2 3 2" xfId="4843" xr:uid="{1323DF7F-8940-4346-A953-EDF8559877D5}"/>
    <cellStyle name="Normal 16 4 2 3 2 2" xfId="13223" xr:uid="{476F1116-65DD-4626-B6C7-C8E97CD83EBD}"/>
    <cellStyle name="Normal 16 4 2 3 2 2 2" xfId="29983" xr:uid="{26C4044C-08F3-45E0-82C9-C39E7EA1B03B}"/>
    <cellStyle name="Normal 16 4 2 3 2 2 3" xfId="46742" xr:uid="{04C29D97-C506-45E4-BB7B-5CFBA8DDABFD}"/>
    <cellStyle name="Normal 16 4 2 3 2 3" xfId="21603" xr:uid="{EEE10931-FE0B-43BF-A1E2-48CDEB5D3B79}"/>
    <cellStyle name="Normal 16 4 2 3 2 4" xfId="38362" xr:uid="{A0DD4493-20A3-420D-8FFC-226834E076D8}"/>
    <cellStyle name="Normal 16 4 2 3 3" xfId="6530" xr:uid="{251F6EB0-22DA-45FC-B14E-E1397476D780}"/>
    <cellStyle name="Normal 16 4 2 3 3 2" xfId="14910" xr:uid="{7FE0F7E7-E8D1-45CC-A82E-5A9768AD7268}"/>
    <cellStyle name="Normal 16 4 2 3 3 2 2" xfId="31670" xr:uid="{B9D1C503-6BAE-4EB9-980D-4A2269B10C29}"/>
    <cellStyle name="Normal 16 4 2 3 3 2 3" xfId="48429" xr:uid="{404F0B29-B580-4191-94D3-85A0DABAC05F}"/>
    <cellStyle name="Normal 16 4 2 3 3 3" xfId="23290" xr:uid="{232C6A70-8186-48B3-81B3-E39CD2C20B97}"/>
    <cellStyle name="Normal 16 4 2 3 3 4" xfId="40049" xr:uid="{D31D9367-1D73-42D5-AEB9-2DD1168BA070}"/>
    <cellStyle name="Normal 16 4 2 3 4" xfId="3266" xr:uid="{4FDB5DC7-7827-4804-9271-E0CC22C3939B}"/>
    <cellStyle name="Normal 16 4 2 3 4 2" xfId="11646" xr:uid="{9B9D9FA1-3349-4CBD-8280-A99334D36343}"/>
    <cellStyle name="Normal 16 4 2 3 4 2 2" xfId="28406" xr:uid="{189DC8D1-93B7-4450-A433-AAAAE6F35745}"/>
    <cellStyle name="Normal 16 4 2 3 4 2 3" xfId="45165" xr:uid="{56E72779-B497-436A-9456-E97765764427}"/>
    <cellStyle name="Normal 16 4 2 3 4 3" xfId="20026" xr:uid="{6F9E150A-1138-497E-B09E-7EEFE8390475}"/>
    <cellStyle name="Normal 16 4 2 3 4 4" xfId="36785" xr:uid="{3F64EEE6-93B8-4BE7-8B84-6F474ECC5E85}"/>
    <cellStyle name="Normal 16 4 2 3 5" xfId="9843" xr:uid="{6302C2AE-D107-427C-89E9-97FA49F908C5}"/>
    <cellStyle name="Normal 16 4 2 3 5 2" xfId="26603" xr:uid="{068CABB0-CAE5-44FA-87B9-11DB5038C3EF}"/>
    <cellStyle name="Normal 16 4 2 3 5 3" xfId="43362" xr:uid="{8942B460-FE18-4E63-B77A-A37651A087C1}"/>
    <cellStyle name="Normal 16 4 2 3 6" xfId="18223" xr:uid="{75119DDA-7B2A-414B-BD6A-91A376A9ADA4}"/>
    <cellStyle name="Normal 16 4 2 3 7" xfId="34982" xr:uid="{F638E20E-A804-462B-B23D-B2743C33640E}"/>
    <cellStyle name="Normal 16 4 2 4" xfId="1817" xr:uid="{6D6E61D4-3B50-4E63-89E0-E5346B5424D3}"/>
    <cellStyle name="Normal 16 4 2 4 2" xfId="5206" xr:uid="{0DACAB62-7FC1-4AF3-BE11-20D81B944CC0}"/>
    <cellStyle name="Normal 16 4 2 4 2 2" xfId="13586" xr:uid="{C6EDD55F-FEA9-437B-A477-7AF507938D9E}"/>
    <cellStyle name="Normal 16 4 2 4 2 2 2" xfId="30346" xr:uid="{5A4D051D-EA3B-4699-9717-BEEE30300470}"/>
    <cellStyle name="Normal 16 4 2 4 2 2 3" xfId="47105" xr:uid="{24AC39B0-2115-402F-9ED7-9653762E902D}"/>
    <cellStyle name="Normal 16 4 2 4 2 3" xfId="21966" xr:uid="{9B8496D2-74D5-4149-919A-D7B88AB70708}"/>
    <cellStyle name="Normal 16 4 2 4 2 4" xfId="38725" xr:uid="{C67BE8DF-3C8C-4C8B-A39A-321B3F9AD505}"/>
    <cellStyle name="Normal 16 4 2 4 3" xfId="6893" xr:uid="{1D5C225D-FB20-4BCA-AACF-3AB88BD922B3}"/>
    <cellStyle name="Normal 16 4 2 4 3 2" xfId="15273" xr:uid="{57134AB2-A497-4F36-81F2-1F29D6A4B6C4}"/>
    <cellStyle name="Normal 16 4 2 4 3 2 2" xfId="32033" xr:uid="{F388DCBB-50CB-49DE-AE5C-C1C1F828D995}"/>
    <cellStyle name="Normal 16 4 2 4 3 2 3" xfId="48792" xr:uid="{693F4D19-090E-4DED-AA35-5C5B330CE7E2}"/>
    <cellStyle name="Normal 16 4 2 4 3 3" xfId="23653" xr:uid="{36D807FD-FAC3-473E-A860-7663DC706006}"/>
    <cellStyle name="Normal 16 4 2 4 3 4" xfId="40412" xr:uid="{812B894B-56FE-4E18-8865-277ED8978CC1}"/>
    <cellStyle name="Normal 16 4 2 4 4" xfId="3517" xr:uid="{83BF305E-F813-42AD-8CEB-CFAF680E6068}"/>
    <cellStyle name="Normal 16 4 2 4 4 2" xfId="11897" xr:uid="{C295BBB8-F07D-4674-B68E-DA5FF4CCC5F1}"/>
    <cellStyle name="Normal 16 4 2 4 4 2 2" xfId="28657" xr:uid="{3A6FC6B9-D91D-4674-B085-9E6D5A406963}"/>
    <cellStyle name="Normal 16 4 2 4 4 2 3" xfId="45416" xr:uid="{CED59D9F-2940-4ACA-ADDB-130D05B3684D}"/>
    <cellStyle name="Normal 16 4 2 4 4 3" xfId="20277" xr:uid="{5823A852-BB3B-408A-9BD5-A34F53C148EC}"/>
    <cellStyle name="Normal 16 4 2 4 4 4" xfId="37036" xr:uid="{4CDD68CE-CBB8-4546-9DCD-9ADD0CFE6F5C}"/>
    <cellStyle name="Normal 16 4 2 4 5" xfId="10206" xr:uid="{16C8AF44-F5B7-4A29-AB4E-DCF97CFDF5D1}"/>
    <cellStyle name="Normal 16 4 2 4 5 2" xfId="26966" xr:uid="{16A2DFBC-821F-466C-9B5E-F5EB5BD68146}"/>
    <cellStyle name="Normal 16 4 2 4 5 3" xfId="43725" xr:uid="{48412FBA-B773-47ED-B426-8F759F302FCF}"/>
    <cellStyle name="Normal 16 4 2 4 6" xfId="18586" xr:uid="{636AEC5D-8FCC-45A7-9382-7FDC7F5AD6B1}"/>
    <cellStyle name="Normal 16 4 2 4 7" xfId="35345" xr:uid="{189C114F-1E0B-42DD-A5E3-B8663DD956AC}"/>
    <cellStyle name="Normal 16 4 2 5" xfId="3936" xr:uid="{83B864D3-21D2-49B6-B2CC-EED8FA190BFD}"/>
    <cellStyle name="Normal 16 4 2 5 2" xfId="12316" xr:uid="{084115EB-DB2A-48B5-BD2F-8173CEC95A23}"/>
    <cellStyle name="Normal 16 4 2 5 2 2" xfId="29076" xr:uid="{C2F1C5C7-B2D5-491D-83F8-B507CD6FC791}"/>
    <cellStyle name="Normal 16 4 2 5 2 3" xfId="45835" xr:uid="{C11BBF91-860D-4A24-A293-AC91490EBEB6}"/>
    <cellStyle name="Normal 16 4 2 5 3" xfId="20696" xr:uid="{720BF5E0-92BF-41F7-834B-6F4BE8272107}"/>
    <cellStyle name="Normal 16 4 2 5 4" xfId="37455" xr:uid="{11FCB8C9-DBCC-4B99-85B0-E87DA17D7F16}"/>
    <cellStyle name="Normal 16 4 2 6" xfId="5676" xr:uid="{B46E28DC-3250-4713-A54E-CD2EFE336608}"/>
    <cellStyle name="Normal 16 4 2 6 2" xfId="14056" xr:uid="{622E1BD5-4CCB-41D1-A261-B71DE1193909}"/>
    <cellStyle name="Normal 16 4 2 6 2 2" xfId="30816" xr:uid="{EC12AB37-006B-4027-9B18-BBFA78F20060}"/>
    <cellStyle name="Normal 16 4 2 6 2 3" xfId="47575" xr:uid="{FD7C3DC9-0476-46D0-B944-4BEA8589F7EF}"/>
    <cellStyle name="Normal 16 4 2 6 3" xfId="22436" xr:uid="{2584F881-7155-4D4D-A93C-8A865C49E8A0}"/>
    <cellStyle name="Normal 16 4 2 6 4" xfId="39195" xr:uid="{93DA9E12-1509-4677-913D-2674C7338655}"/>
    <cellStyle name="Normal 16 4 2 7" xfId="7299" xr:uid="{B217ED48-E1F2-4C29-8732-838B62553EDB}"/>
    <cellStyle name="Normal 16 4 2 7 2" xfId="15679" xr:uid="{E1B9967F-F042-4362-85F3-C130A4ADE297}"/>
    <cellStyle name="Normal 16 4 2 7 2 2" xfId="32439" xr:uid="{CBAECA7B-6CFA-4BAE-A1AE-D180FDA19567}"/>
    <cellStyle name="Normal 16 4 2 7 2 3" xfId="49198" xr:uid="{9FDA7173-7168-4D76-A7D1-699A50C7C4DB}"/>
    <cellStyle name="Normal 16 4 2 7 3" xfId="24059" xr:uid="{00918369-FE45-4965-B623-834EF6362518}"/>
    <cellStyle name="Normal 16 4 2 7 4" xfId="40818" xr:uid="{B521AF50-0FAE-42FA-BB0D-2D73804969E1}"/>
    <cellStyle name="Normal 16 4 2 8" xfId="7705" xr:uid="{F6B8CA0C-2C3D-4F1E-965D-1BE933B3E38F}"/>
    <cellStyle name="Normal 16 4 2 8 2" xfId="16085" xr:uid="{0AFAD4ED-99DE-4515-839C-AEA233E7CDC9}"/>
    <cellStyle name="Normal 16 4 2 8 2 2" xfId="32845" xr:uid="{5C54FB87-C6B4-4F54-A461-56EC9BE72643}"/>
    <cellStyle name="Normal 16 4 2 8 2 3" xfId="49604" xr:uid="{3F0D6132-2B36-4EC0-9797-240833DF13E7}"/>
    <cellStyle name="Normal 16 4 2 8 3" xfId="24465" xr:uid="{354DC60C-81BB-4602-9928-C2D364524AC8}"/>
    <cellStyle name="Normal 16 4 2 8 4" xfId="41224" xr:uid="{C06C91ED-562E-4B22-B5E3-EAC68343C634}"/>
    <cellStyle name="Normal 16 4 2 9" xfId="8111" xr:uid="{A3A5EF97-6BDA-4F9C-8B4C-9AD775C7D3FB}"/>
    <cellStyle name="Normal 16 4 2 9 2" xfId="16491" xr:uid="{2E273650-3F66-494A-9CD9-FCB7A670403B}"/>
    <cellStyle name="Normal 16 4 2 9 2 2" xfId="33251" xr:uid="{42D31018-F4B3-407F-9635-EC0C1FAB68EB}"/>
    <cellStyle name="Normal 16 4 2 9 2 3" xfId="50010" xr:uid="{01E23694-3AD0-4315-9F18-58C501621308}"/>
    <cellStyle name="Normal 16 4 2 9 3" xfId="24871" xr:uid="{318A1E3B-505F-48AD-AEDF-65B73F2F1C75}"/>
    <cellStyle name="Normal 16 4 2 9 4" xfId="41630" xr:uid="{BF7AFDA5-DADF-47C0-8DAB-E98DE87A1C67}"/>
    <cellStyle name="Normal 16 4 3" xfId="579" xr:uid="{86E2066B-7BBD-428D-94FE-289D477F523F}"/>
    <cellStyle name="Normal 16 4 3 10" xfId="8649" xr:uid="{13E5EF96-66F0-4683-89EB-5A07A179885C}"/>
    <cellStyle name="Normal 16 4 3 10 2" xfId="17029" xr:uid="{F0FE5E68-1AFC-4669-8044-69805B10A0B0}"/>
    <cellStyle name="Normal 16 4 3 10 2 2" xfId="33789" xr:uid="{AB10F720-E7BE-4254-B023-EA499246AC8C}"/>
    <cellStyle name="Normal 16 4 3 10 2 3" xfId="50548" xr:uid="{493DDC92-1E57-44AE-BBB8-0EC98F8EF267}"/>
    <cellStyle name="Normal 16 4 3 10 3" xfId="25409" xr:uid="{521FB112-B4B5-4971-9F2A-4DA45CFF6B19}"/>
    <cellStyle name="Normal 16 4 3 10 4" xfId="42168" xr:uid="{58F1F97C-DBA9-403B-89FA-DF04FB1E6D2B}"/>
    <cellStyle name="Normal 16 4 3 11" xfId="2411" xr:uid="{9276B597-6D8D-4142-9B83-65F853B80B61}"/>
    <cellStyle name="Normal 16 4 3 11 2" xfId="10793" xr:uid="{9685A1F5-F98C-4714-9B21-9F55296939D1}"/>
    <cellStyle name="Normal 16 4 3 11 2 2" xfId="27553" xr:uid="{A7207D65-72E7-46AD-86FB-D7A4F8813D68}"/>
    <cellStyle name="Normal 16 4 3 11 2 3" xfId="44312" xr:uid="{EA137EFA-591A-44E9-A797-7EB236FD8FF1}"/>
    <cellStyle name="Normal 16 4 3 11 3" xfId="19173" xr:uid="{37B4CACF-5F75-44D8-87EE-AABB69682102}"/>
    <cellStyle name="Normal 16 4 3 11 4" xfId="35932" xr:uid="{88DC7975-ED31-4F64-AF72-3DAA281242E8}"/>
    <cellStyle name="Normal 16 4 3 12" xfId="8990" xr:uid="{D7F73106-190C-4E85-A458-22CEE2E687D4}"/>
    <cellStyle name="Normal 16 4 3 12 2" xfId="25750" xr:uid="{3224F46B-6874-415A-A6CB-2DFCFA00F13F}"/>
    <cellStyle name="Normal 16 4 3 12 3" xfId="42509" xr:uid="{BDCB25ED-C204-4737-A781-9F9E128D86C0}"/>
    <cellStyle name="Normal 16 4 3 13" xfId="17370" xr:uid="{B2125EA5-CD7C-48B6-935C-A3790026B673}"/>
    <cellStyle name="Normal 16 4 3 14" xfId="34129" xr:uid="{DE914BFB-A901-41EC-B50F-00EB8DB0E49F}"/>
    <cellStyle name="Normal 16 4 3 2" xfId="1021" xr:uid="{0ED042A6-1F36-4B03-B088-1C25B50D7446}"/>
    <cellStyle name="Normal 16 4 3 2 2" xfId="4416" xr:uid="{5BE2971D-674A-4399-95EB-A972EF9F30DC}"/>
    <cellStyle name="Normal 16 4 3 2 2 2" xfId="12796" xr:uid="{1DE3B8C1-BF3A-459E-9565-82EA4A360D73}"/>
    <cellStyle name="Normal 16 4 3 2 2 2 2" xfId="29556" xr:uid="{7BD54502-4C67-4541-9B9F-31D3E2EC5621}"/>
    <cellStyle name="Normal 16 4 3 2 2 2 3" xfId="46315" xr:uid="{914FFB69-DE45-457B-8312-972DA984B8C6}"/>
    <cellStyle name="Normal 16 4 3 2 2 3" xfId="21176" xr:uid="{B1111932-CB6A-415A-BEBD-0B52324B6859}"/>
    <cellStyle name="Normal 16 4 3 2 2 4" xfId="37935" xr:uid="{2948876C-5311-44E9-863A-4CCDED079B64}"/>
    <cellStyle name="Normal 16 4 3 2 3" xfId="6103" xr:uid="{607E00CE-A717-43D0-86EC-4A7E700AC574}"/>
    <cellStyle name="Normal 16 4 3 2 3 2" xfId="14483" xr:uid="{CF843DCF-1188-412F-AE8D-5ADF1826AA56}"/>
    <cellStyle name="Normal 16 4 3 2 3 2 2" xfId="31243" xr:uid="{546671ED-2B0F-47C6-AA7F-FB54F652DDD3}"/>
    <cellStyle name="Normal 16 4 3 2 3 2 3" xfId="48002" xr:uid="{0A56A85A-D0B3-43CB-B072-2FB4F1CD9E99}"/>
    <cellStyle name="Normal 16 4 3 2 3 3" xfId="22863" xr:uid="{A6E65EF0-DFA7-4846-846F-5BD4B056BC1A}"/>
    <cellStyle name="Normal 16 4 3 2 3 4" xfId="39622" xr:uid="{2EA4C440-42D0-463B-9F47-9C9BF04AC3AD}"/>
    <cellStyle name="Normal 16 4 3 2 4" xfId="2839" xr:uid="{1FFBA6A5-1D61-42F5-AD30-8898EFF1AF6D}"/>
    <cellStyle name="Normal 16 4 3 2 4 2" xfId="11219" xr:uid="{2F64F0B1-4E74-4E0F-94E0-4D3AB9068FBF}"/>
    <cellStyle name="Normal 16 4 3 2 4 2 2" xfId="27979" xr:uid="{58508673-B2F0-4186-BD68-D980BA0C7534}"/>
    <cellStyle name="Normal 16 4 3 2 4 2 3" xfId="44738" xr:uid="{FE09D226-1A8F-4D18-AF61-2839DAA79F8A}"/>
    <cellStyle name="Normal 16 4 3 2 4 3" xfId="19599" xr:uid="{B6B57B3A-EC3D-40E5-A31E-5645CBBBF676}"/>
    <cellStyle name="Normal 16 4 3 2 4 4" xfId="36358" xr:uid="{682D82DC-0A6F-4DE5-B6CE-C5A9C96CA864}"/>
    <cellStyle name="Normal 16 4 3 2 5" xfId="9416" xr:uid="{4871F2A9-7F16-4960-8B56-ED8F47F45128}"/>
    <cellStyle name="Normal 16 4 3 2 5 2" xfId="26176" xr:uid="{7FC480AC-99A4-4866-9ED9-0588DAA610C7}"/>
    <cellStyle name="Normal 16 4 3 2 5 3" xfId="42935" xr:uid="{5E567732-78DA-40FC-A070-3AFEFB04069A}"/>
    <cellStyle name="Normal 16 4 3 2 6" xfId="17796" xr:uid="{F7C50E88-776E-48DC-B4E4-5F51C3ACE666}"/>
    <cellStyle name="Normal 16 4 3 2 7" xfId="34555" xr:uid="{A20A2F34-D67D-40A5-BBB5-EB473884ACB6}"/>
    <cellStyle name="Normal 16 4 3 3" xfId="1455" xr:uid="{5988C10A-8D8F-4125-9E4C-53FEDEEF04F8}"/>
    <cellStyle name="Normal 16 4 3 3 2" xfId="4844" xr:uid="{96D3C1D7-FEAF-4923-AD82-1E994BE4CE43}"/>
    <cellStyle name="Normal 16 4 3 3 2 2" xfId="13224" xr:uid="{2C2DC8A3-519D-4F52-920A-B6F59F138AFE}"/>
    <cellStyle name="Normal 16 4 3 3 2 2 2" xfId="29984" xr:uid="{DCA8538F-3694-4E7B-AC02-A59AFFCE1D8A}"/>
    <cellStyle name="Normal 16 4 3 3 2 2 3" xfId="46743" xr:uid="{1A4D9B2D-BBB5-4DC8-8B38-EABBA4272EE4}"/>
    <cellStyle name="Normal 16 4 3 3 2 3" xfId="21604" xr:uid="{AE675033-F290-49A8-BC35-39B7A5252778}"/>
    <cellStyle name="Normal 16 4 3 3 2 4" xfId="38363" xr:uid="{36173BF3-5111-41E1-A342-80FCEFA9CCEE}"/>
    <cellStyle name="Normal 16 4 3 3 3" xfId="6531" xr:uid="{CAF579A6-C0A4-4F7F-BC30-85A38008F6D6}"/>
    <cellStyle name="Normal 16 4 3 3 3 2" xfId="14911" xr:uid="{71EC8F02-9262-438A-A2F6-6D6B0B96A19F}"/>
    <cellStyle name="Normal 16 4 3 3 3 2 2" xfId="31671" xr:uid="{6D31D0E1-A4D8-41FD-8AD3-239A05557BFB}"/>
    <cellStyle name="Normal 16 4 3 3 3 2 3" xfId="48430" xr:uid="{325E3E7C-403B-4642-BA9C-F3FC8B75358E}"/>
    <cellStyle name="Normal 16 4 3 3 3 3" xfId="23291" xr:uid="{9B1A6428-3556-47AC-AD84-E1ED3D3E84DB}"/>
    <cellStyle name="Normal 16 4 3 3 3 4" xfId="40050" xr:uid="{8B8046A3-D4FE-4C25-969F-AC0574C56471}"/>
    <cellStyle name="Normal 16 4 3 3 4" xfId="3267" xr:uid="{9FF28496-03D8-4D51-9100-C0ECA14B5429}"/>
    <cellStyle name="Normal 16 4 3 3 4 2" xfId="11647" xr:uid="{B88F6257-A4D8-46DB-8DC5-59BD1829ACED}"/>
    <cellStyle name="Normal 16 4 3 3 4 2 2" xfId="28407" xr:uid="{A3E513DD-FE93-4C3A-B46B-8CB297B7BE39}"/>
    <cellStyle name="Normal 16 4 3 3 4 2 3" xfId="45166" xr:uid="{2291C83C-FA51-4074-8F4B-712DF107997F}"/>
    <cellStyle name="Normal 16 4 3 3 4 3" xfId="20027" xr:uid="{9A6ACE55-396E-4CE3-8A0A-2732A1419C12}"/>
    <cellStyle name="Normal 16 4 3 3 4 4" xfId="36786" xr:uid="{A4F5F33E-602A-40AB-8552-36F406C75B68}"/>
    <cellStyle name="Normal 16 4 3 3 5" xfId="9844" xr:uid="{1C88D3E9-4914-40F6-9846-4EB076AEBC60}"/>
    <cellStyle name="Normal 16 4 3 3 5 2" xfId="26604" xr:uid="{76BDFCBD-C197-4E75-A7CE-FF2107130C0A}"/>
    <cellStyle name="Normal 16 4 3 3 5 3" xfId="43363" xr:uid="{3C69A2F8-1742-4A7B-9690-F0D736F5DD4A}"/>
    <cellStyle name="Normal 16 4 3 3 6" xfId="18224" xr:uid="{4653CF88-16D1-482E-A74C-855BA8D4EBA0}"/>
    <cellStyle name="Normal 16 4 3 3 7" xfId="34983" xr:uid="{7113619D-E073-4B78-B559-2B6469C2D276}"/>
    <cellStyle name="Normal 16 4 3 4" xfId="1949" xr:uid="{76626678-FF12-4BD0-8648-DEB4EA6581B4}"/>
    <cellStyle name="Normal 16 4 3 4 2" xfId="5338" xr:uid="{0EBFAE45-A01D-4051-B7F9-462B5FDF915B}"/>
    <cellStyle name="Normal 16 4 3 4 2 2" xfId="13718" xr:uid="{A04E2DEA-32E7-4DAA-8877-96F5C3E16E49}"/>
    <cellStyle name="Normal 16 4 3 4 2 2 2" xfId="30478" xr:uid="{723BA999-E561-4AA0-876A-B6449FE3DEF0}"/>
    <cellStyle name="Normal 16 4 3 4 2 2 3" xfId="47237" xr:uid="{7F87C63C-B9AB-40C3-9300-1057A9F045BB}"/>
    <cellStyle name="Normal 16 4 3 4 2 3" xfId="22098" xr:uid="{D0B03C72-65D1-4F38-A3FC-494A59CB9A54}"/>
    <cellStyle name="Normal 16 4 3 4 2 4" xfId="38857" xr:uid="{FC5E56EE-404E-4B3D-97CD-8959CEF00176}"/>
    <cellStyle name="Normal 16 4 3 4 3" xfId="7025" xr:uid="{FB55B151-739B-4B4E-A331-81655B9B0355}"/>
    <cellStyle name="Normal 16 4 3 4 3 2" xfId="15405" xr:uid="{DD720D87-ED31-4831-8839-0848A2E9B1AD}"/>
    <cellStyle name="Normal 16 4 3 4 3 2 2" xfId="32165" xr:uid="{4565108D-A9B9-4D3C-902B-23FBF4AE91CE}"/>
    <cellStyle name="Normal 16 4 3 4 3 2 3" xfId="48924" xr:uid="{E6EA7728-D225-44D1-9F12-3D020CE4B7E0}"/>
    <cellStyle name="Normal 16 4 3 4 3 3" xfId="23785" xr:uid="{19DE6386-E6E9-4D15-99D9-28DDBAE584B9}"/>
    <cellStyle name="Normal 16 4 3 4 3 4" xfId="40544" xr:uid="{4A6EA5B5-CE6B-4DE0-92E1-5E8B0BA50512}"/>
    <cellStyle name="Normal 16 4 3 4 4" xfId="3648" xr:uid="{4E66C98D-8584-410B-B37F-0813B9006B4B}"/>
    <cellStyle name="Normal 16 4 3 4 4 2" xfId="12028" xr:uid="{43D4C8FE-3F27-4916-9E46-957AFBB282B1}"/>
    <cellStyle name="Normal 16 4 3 4 4 2 2" xfId="28788" xr:uid="{E041B69E-C92C-46E7-8AF1-4875B3E3A5DE}"/>
    <cellStyle name="Normal 16 4 3 4 4 2 3" xfId="45547" xr:uid="{56929414-7B92-437B-AE27-44D66AB79749}"/>
    <cellStyle name="Normal 16 4 3 4 4 3" xfId="20408" xr:uid="{1EF3B031-3764-4077-B770-800B06B240C7}"/>
    <cellStyle name="Normal 16 4 3 4 4 4" xfId="37167" xr:uid="{9F6654E0-062E-4700-8A1D-B125E333BB7C}"/>
    <cellStyle name="Normal 16 4 3 4 5" xfId="10338" xr:uid="{D4FDF5AA-9487-4086-BA55-870575FC5A62}"/>
    <cellStyle name="Normal 16 4 3 4 5 2" xfId="27098" xr:uid="{17132FEC-6DFE-4C3F-B4F8-A3ACD4A24E8E}"/>
    <cellStyle name="Normal 16 4 3 4 5 3" xfId="43857" xr:uid="{BCBAA484-8BF9-409E-A040-4AB7531DC9CB}"/>
    <cellStyle name="Normal 16 4 3 4 6" xfId="18718" xr:uid="{1217CA95-6B63-421A-A9C3-9191B94E0756}"/>
    <cellStyle name="Normal 16 4 3 4 7" xfId="35477" xr:uid="{EEF7B31B-AF93-4CAD-BAF3-C7D37F3CB514}"/>
    <cellStyle name="Normal 16 4 3 5" xfId="4068" xr:uid="{5302EC6F-6CE4-42D0-8ED2-373738EBB7E6}"/>
    <cellStyle name="Normal 16 4 3 5 2" xfId="12448" xr:uid="{4D20E5AE-E9AB-47D5-B795-F1BAD7D36963}"/>
    <cellStyle name="Normal 16 4 3 5 2 2" xfId="29208" xr:uid="{AEE3D4AC-38EA-4200-BB06-D9B5545D4043}"/>
    <cellStyle name="Normal 16 4 3 5 2 3" xfId="45967" xr:uid="{14A81480-7C8A-4F8A-BF1C-45C560877A55}"/>
    <cellStyle name="Normal 16 4 3 5 3" xfId="20828" xr:uid="{632847F7-4458-4B53-9DB2-59399CF94A98}"/>
    <cellStyle name="Normal 16 4 3 5 4" xfId="37587" xr:uid="{F7A8605D-CCDB-440A-A54C-8DDD356F9EB1}"/>
    <cellStyle name="Normal 16 4 3 6" xfId="5677" xr:uid="{2A9F1480-5714-40F1-9A2E-390B9513F388}"/>
    <cellStyle name="Normal 16 4 3 6 2" xfId="14057" xr:uid="{9AF74884-AFE7-4BD7-B1C0-1CDCB0BC7556}"/>
    <cellStyle name="Normal 16 4 3 6 2 2" xfId="30817" xr:uid="{54E81982-6E93-4F90-8883-85DE5EAE1DAE}"/>
    <cellStyle name="Normal 16 4 3 6 2 3" xfId="47576" xr:uid="{56DD2903-51AA-4E31-AFDF-A7CBD2C6D589}"/>
    <cellStyle name="Normal 16 4 3 6 3" xfId="22437" xr:uid="{AD0CFD9E-2BF9-4E10-8FA4-3F480B5A4CDD}"/>
    <cellStyle name="Normal 16 4 3 6 4" xfId="39196" xr:uid="{235DC600-83B0-409F-88BB-32CCA4C239A1}"/>
    <cellStyle name="Normal 16 4 3 7" xfId="7431" xr:uid="{042B7274-1B9D-411F-98B5-7667181580C5}"/>
    <cellStyle name="Normal 16 4 3 7 2" xfId="15811" xr:uid="{6A4B744C-28F0-4674-913E-C9D5FD2C6B34}"/>
    <cellStyle name="Normal 16 4 3 7 2 2" xfId="32571" xr:uid="{09E05121-9354-48C9-A07C-37FCCC8D8676}"/>
    <cellStyle name="Normal 16 4 3 7 2 3" xfId="49330" xr:uid="{1D669C0E-1CC8-4AFC-85CE-AFEB8197C1D5}"/>
    <cellStyle name="Normal 16 4 3 7 3" xfId="24191" xr:uid="{D2503BD3-C95A-4E4F-8894-7A796B2ACD7A}"/>
    <cellStyle name="Normal 16 4 3 7 4" xfId="40950" xr:uid="{D90DAC08-F84C-4635-9BCA-AB43DD464971}"/>
    <cellStyle name="Normal 16 4 3 8" xfId="7837" xr:uid="{8F2DD409-4612-4C7E-ADFB-0320759DF39C}"/>
    <cellStyle name="Normal 16 4 3 8 2" xfId="16217" xr:uid="{C85D6D88-5FB0-4312-82CA-37CDCB78932F}"/>
    <cellStyle name="Normal 16 4 3 8 2 2" xfId="32977" xr:uid="{9F7DC52E-1EA8-40D7-B850-EF8623238096}"/>
    <cellStyle name="Normal 16 4 3 8 2 3" xfId="49736" xr:uid="{150B8439-B55C-4BF4-9DC4-783415C77A28}"/>
    <cellStyle name="Normal 16 4 3 8 3" xfId="24597" xr:uid="{29FD5885-5162-4DD8-9A73-257F5249D683}"/>
    <cellStyle name="Normal 16 4 3 8 4" xfId="41356" xr:uid="{F49DC483-DC39-41AE-BAF6-4FAAEDEF4C01}"/>
    <cellStyle name="Normal 16 4 3 9" xfId="8243" xr:uid="{AF814856-3A3A-4AB4-B8E4-E5BA4A7C93DB}"/>
    <cellStyle name="Normal 16 4 3 9 2" xfId="16623" xr:uid="{108D46F5-2CB8-482F-AA34-9BFE5E47D66D}"/>
    <cellStyle name="Normal 16 4 3 9 2 2" xfId="33383" xr:uid="{1EA7D8B6-E57D-45E5-A8C1-63162C17D804}"/>
    <cellStyle name="Normal 16 4 3 9 2 3" xfId="50142" xr:uid="{551E6EF9-903C-403A-835E-76B84DC6AFC3}"/>
    <cellStyle name="Normal 16 4 3 9 3" xfId="25003" xr:uid="{2AC48711-B808-4874-93B7-C4E2C00D4C79}"/>
    <cellStyle name="Normal 16 4 3 9 4" xfId="41762" xr:uid="{99F4B24D-C54A-44AC-8E51-55D1CEB9C8F6}"/>
    <cellStyle name="Normal 16 4 4" xfId="1019" xr:uid="{59EF5367-8379-4186-9AA8-2920C51FB575}"/>
    <cellStyle name="Normal 16 4 4 2" xfId="4414" xr:uid="{CFB99DEE-FCBF-4918-9426-EDF0A3A5291C}"/>
    <cellStyle name="Normal 16 4 4 2 2" xfId="12794" xr:uid="{3FD73269-9D78-4C18-960C-206FEB07F9BF}"/>
    <cellStyle name="Normal 16 4 4 2 2 2" xfId="29554" xr:uid="{AEA0CFB3-6B19-442D-80EB-97C7D71EAF91}"/>
    <cellStyle name="Normal 16 4 4 2 2 3" xfId="46313" xr:uid="{7BAB0E93-BCA4-48A9-BAEB-4BA0B63F534F}"/>
    <cellStyle name="Normal 16 4 4 2 3" xfId="21174" xr:uid="{2E2CE768-EF9B-4DB0-AE05-521AA4812B32}"/>
    <cellStyle name="Normal 16 4 4 2 4" xfId="37933" xr:uid="{B66FDCD6-2A99-4E52-8F7E-7DC22D6D6620}"/>
    <cellStyle name="Normal 16 4 4 3" xfId="6101" xr:uid="{FE679BE3-555C-42E0-94FF-2D1245590A6E}"/>
    <cellStyle name="Normal 16 4 4 3 2" xfId="14481" xr:uid="{E836BEA6-8278-440D-802D-0FE4185FF17C}"/>
    <cellStyle name="Normal 16 4 4 3 2 2" xfId="31241" xr:uid="{CB74C210-CB33-4962-81D7-6559F960156E}"/>
    <cellStyle name="Normal 16 4 4 3 2 3" xfId="48000" xr:uid="{9CE91ECB-6ABC-43EE-940C-86C873C5A2CE}"/>
    <cellStyle name="Normal 16 4 4 3 3" xfId="22861" xr:uid="{E66BCB7E-FAD8-40C8-AE5E-CC01BBF2F4A6}"/>
    <cellStyle name="Normal 16 4 4 3 4" xfId="39620" xr:uid="{9383D67C-816B-4C16-B653-58A69A4F6214}"/>
    <cellStyle name="Normal 16 4 4 4" xfId="2837" xr:uid="{33F7DE56-96EC-46B5-B86D-906EDBA33948}"/>
    <cellStyle name="Normal 16 4 4 4 2" xfId="11217" xr:uid="{740C603D-E711-40C0-A08C-4FB1C827DD48}"/>
    <cellStyle name="Normal 16 4 4 4 2 2" xfId="27977" xr:uid="{2CFDD7D8-EA12-491A-BBA4-FBE833AEC55A}"/>
    <cellStyle name="Normal 16 4 4 4 2 3" xfId="44736" xr:uid="{48736C08-EC80-41B9-B5E2-99D9924460EB}"/>
    <cellStyle name="Normal 16 4 4 4 3" xfId="19597" xr:uid="{B38CF701-216E-4C8C-8E28-721A384FFF03}"/>
    <cellStyle name="Normal 16 4 4 4 4" xfId="36356" xr:uid="{A064184F-FB16-449D-955B-8CAAB60C18A1}"/>
    <cellStyle name="Normal 16 4 4 5" xfId="9414" xr:uid="{ACED5861-08DD-480F-A959-A282E22B3820}"/>
    <cellStyle name="Normal 16 4 4 5 2" xfId="26174" xr:uid="{5414910A-BA64-4E76-BEE2-E55BA8BE8E01}"/>
    <cellStyle name="Normal 16 4 4 5 3" xfId="42933" xr:uid="{37473BE8-D169-4EAF-99C8-EBF06563FB6B}"/>
    <cellStyle name="Normal 16 4 4 6" xfId="17794" xr:uid="{9BE0B8B9-03BB-4D9F-B7B1-C3E0E1653AB2}"/>
    <cellStyle name="Normal 16 4 4 7" xfId="34553" xr:uid="{206E148C-4080-4F99-ADA1-CB7AAC30CF7D}"/>
    <cellStyle name="Normal 16 4 5" xfId="1453" xr:uid="{3F586B69-4E27-4C6F-A542-FD726B700737}"/>
    <cellStyle name="Normal 16 4 5 2" xfId="4842" xr:uid="{74DD94CC-E717-4472-84A5-DA8EB3682C1A}"/>
    <cellStyle name="Normal 16 4 5 2 2" xfId="13222" xr:uid="{7BEC299D-FC91-405E-AA8C-7C861CCE4FA8}"/>
    <cellStyle name="Normal 16 4 5 2 2 2" xfId="29982" xr:uid="{76B8B904-329C-4BA8-8166-50C456F82CE0}"/>
    <cellStyle name="Normal 16 4 5 2 2 3" xfId="46741" xr:uid="{80D5AD23-55CB-4EB1-82D9-D6C129C78034}"/>
    <cellStyle name="Normal 16 4 5 2 3" xfId="21602" xr:uid="{D7B56C32-8224-41C1-95E4-E4B91A5B0336}"/>
    <cellStyle name="Normal 16 4 5 2 4" xfId="38361" xr:uid="{3E35A746-8482-425A-A896-DFF6A505B373}"/>
    <cellStyle name="Normal 16 4 5 3" xfId="6529" xr:uid="{7FCF74E8-8FD6-4670-A5F1-E50AA0ADADF2}"/>
    <cellStyle name="Normal 16 4 5 3 2" xfId="14909" xr:uid="{2D01F3F6-57C8-460A-9B34-44FAE31791CC}"/>
    <cellStyle name="Normal 16 4 5 3 2 2" xfId="31669" xr:uid="{C4E9087A-B35E-4ECD-9D04-3EF97CB7A32D}"/>
    <cellStyle name="Normal 16 4 5 3 2 3" xfId="48428" xr:uid="{FA5933CA-06AE-4136-A690-7D65F4D2172E}"/>
    <cellStyle name="Normal 16 4 5 3 3" xfId="23289" xr:uid="{004516FB-A0E8-425C-838A-5CD1DDAC53E3}"/>
    <cellStyle name="Normal 16 4 5 3 4" xfId="40048" xr:uid="{CD691015-431C-4C01-8352-D83917C5E873}"/>
    <cellStyle name="Normal 16 4 5 4" xfId="3265" xr:uid="{35CC4CD0-8BFD-4D8A-8AF1-1FCE0D1D8048}"/>
    <cellStyle name="Normal 16 4 5 4 2" xfId="11645" xr:uid="{1478EB90-26FF-4DF1-A0B2-7AEDE6AFE660}"/>
    <cellStyle name="Normal 16 4 5 4 2 2" xfId="28405" xr:uid="{68030E14-1371-4BA0-A930-8E3707CC09DC}"/>
    <cellStyle name="Normal 16 4 5 4 2 3" xfId="45164" xr:uid="{69CF1DBD-0485-4FE6-BD6C-9B00E74EF6B9}"/>
    <cellStyle name="Normal 16 4 5 4 3" xfId="20025" xr:uid="{0CC1FA6B-CEA9-42B4-B7DD-DD99456A98F0}"/>
    <cellStyle name="Normal 16 4 5 4 4" xfId="36784" xr:uid="{F99EFE2F-B6C1-41F4-AC5E-D5D7A6AECB2D}"/>
    <cellStyle name="Normal 16 4 5 5" xfId="9842" xr:uid="{723C974E-CD9F-46C3-B57B-E7266453700A}"/>
    <cellStyle name="Normal 16 4 5 5 2" xfId="26602" xr:uid="{882F210F-A298-4A1A-A710-E8E51F9726DA}"/>
    <cellStyle name="Normal 16 4 5 5 3" xfId="43361" xr:uid="{0B012AD3-D093-489F-ABD9-4BE534ABAA3D}"/>
    <cellStyle name="Normal 16 4 5 6" xfId="18222" xr:uid="{CD78C829-2EBD-4C3C-A100-27E7AFC489B8}"/>
    <cellStyle name="Normal 16 4 5 7" xfId="34981" xr:uid="{BD286169-E891-4A80-B465-FBB93725191C}"/>
    <cellStyle name="Normal 16 4 6" xfId="1678" xr:uid="{72B75C17-0DE9-47DA-8CCF-378FAF157A1B}"/>
    <cellStyle name="Normal 16 4 6 2" xfId="5067" xr:uid="{6C85417D-5B69-40D7-A8FA-FC6F89F64C2A}"/>
    <cellStyle name="Normal 16 4 6 2 2" xfId="13447" xr:uid="{8C691403-9206-4C7C-9CB3-17E76F8CA60B}"/>
    <cellStyle name="Normal 16 4 6 2 2 2" xfId="30207" xr:uid="{50CBB3C7-97D8-475A-A57A-903F8EF7D94F}"/>
    <cellStyle name="Normal 16 4 6 2 2 3" xfId="46966" xr:uid="{7F7A6425-53A8-4054-8852-BED146A79107}"/>
    <cellStyle name="Normal 16 4 6 2 3" xfId="21827" xr:uid="{C2B2C341-4860-44A3-9932-02CFF272A87A}"/>
    <cellStyle name="Normal 16 4 6 2 4" xfId="38586" xr:uid="{8E92DE4B-85D2-491D-A7EB-7FADD9272EAC}"/>
    <cellStyle name="Normal 16 4 6 3" xfId="6754" xr:uid="{63ED4F98-ED32-4182-8564-1B74BDA605F2}"/>
    <cellStyle name="Normal 16 4 6 3 2" xfId="15134" xr:uid="{82907987-7554-407E-8113-9FD4E00E001E}"/>
    <cellStyle name="Normal 16 4 6 3 2 2" xfId="31894" xr:uid="{740E0795-9A4B-465F-95C5-6CC02B403E09}"/>
    <cellStyle name="Normal 16 4 6 3 2 3" xfId="48653" xr:uid="{35B5E9D1-5D5A-4EF8-90D4-94C6941DF619}"/>
    <cellStyle name="Normal 16 4 6 3 3" xfId="23514" xr:uid="{79353901-8801-4177-8093-1FB1836AEE11}"/>
    <cellStyle name="Normal 16 4 6 3 4" xfId="40273" xr:uid="{82EFD42E-0758-48F4-823D-7B3F0B4463AA}"/>
    <cellStyle name="Normal 16 4 6 4" xfId="2409" xr:uid="{33C696E3-D0B8-461E-9D2B-550BBE6BBA90}"/>
    <cellStyle name="Normal 16 4 6 4 2" xfId="10791" xr:uid="{66555B8C-47C4-45BA-943D-2AA282561778}"/>
    <cellStyle name="Normal 16 4 6 4 2 2" xfId="27551" xr:uid="{1CE4B1B4-D4AB-44DC-9667-D5083E71E004}"/>
    <cellStyle name="Normal 16 4 6 4 2 3" xfId="44310" xr:uid="{C3FC89C3-D1B9-4846-84A7-CEE0CB27FA0C}"/>
    <cellStyle name="Normal 16 4 6 4 3" xfId="19171" xr:uid="{AB74FE23-81CA-43F3-A014-1B3BB7E95FA4}"/>
    <cellStyle name="Normal 16 4 6 4 4" xfId="35930" xr:uid="{02BB8B9C-A214-44C1-A7DC-31DF40F58581}"/>
    <cellStyle name="Normal 16 4 6 5" xfId="10067" xr:uid="{91C718E4-67E4-4B13-B819-8685E8E9A600}"/>
    <cellStyle name="Normal 16 4 6 5 2" xfId="26827" xr:uid="{E3F3A78D-7C86-4AB4-A97E-846BEC03538B}"/>
    <cellStyle name="Normal 16 4 6 5 3" xfId="43586" xr:uid="{368803EA-EDBB-447D-A534-5003984523DE}"/>
    <cellStyle name="Normal 16 4 6 6" xfId="18447" xr:uid="{4D65009B-4B5E-4DCF-8D7E-38A492BEDB54}"/>
    <cellStyle name="Normal 16 4 6 7" xfId="35206" xr:uid="{6DDDEED5-B885-4998-8AEC-A818169CED47}"/>
    <cellStyle name="Normal 16 4 7" xfId="3796" xr:uid="{14D45F04-9BA3-45A3-9C37-BF3B43CBDBD8}"/>
    <cellStyle name="Normal 16 4 7 2" xfId="12176" xr:uid="{EA18C124-A561-4D1D-9B83-0DAEB40E34F9}"/>
    <cellStyle name="Normal 16 4 7 2 2" xfId="28936" xr:uid="{8F41BC41-0982-4D8C-A699-56F4306519B5}"/>
    <cellStyle name="Normal 16 4 7 2 3" xfId="45695" xr:uid="{5A094691-60FA-4592-8321-335B20AEF6C6}"/>
    <cellStyle name="Normal 16 4 7 3" xfId="20556" xr:uid="{29A4177C-CF00-40B0-8572-53401F77858C}"/>
    <cellStyle name="Normal 16 4 7 4" xfId="37315" xr:uid="{877E767E-6B46-444E-829F-F14F257944CB}"/>
    <cellStyle name="Normal 16 4 8" xfId="5675" xr:uid="{A6828CF0-8DA4-4E97-A157-DD63B84FA258}"/>
    <cellStyle name="Normal 16 4 8 2" xfId="14055" xr:uid="{EBD766B8-CC73-40FE-9997-CF182F6C393F}"/>
    <cellStyle name="Normal 16 4 8 2 2" xfId="30815" xr:uid="{FF67DD9B-D916-44C1-900C-CD4BD36F33EA}"/>
    <cellStyle name="Normal 16 4 8 2 3" xfId="47574" xr:uid="{5B2CCB25-0513-4C94-8503-B77FB3BF76C5}"/>
    <cellStyle name="Normal 16 4 8 3" xfId="22435" xr:uid="{E722F40C-18C2-45C4-BCC1-E08EF2F1E636}"/>
    <cellStyle name="Normal 16 4 8 4" xfId="39194" xr:uid="{27AC5722-8363-4707-B5D4-274AA2F4E763}"/>
    <cellStyle name="Normal 16 4 9" xfId="7160" xr:uid="{5307A4A3-45BB-4052-8450-09F22099A7D5}"/>
    <cellStyle name="Normal 16 4 9 2" xfId="15540" xr:uid="{60DDC051-DCE8-40FF-8D99-13F4138646EE}"/>
    <cellStyle name="Normal 16 4 9 2 2" xfId="32300" xr:uid="{17DED11B-C9C4-412E-9311-B5DD938C9768}"/>
    <cellStyle name="Normal 16 4 9 2 3" xfId="49059" xr:uid="{074611F7-7D5B-4C91-BB11-4E7E6C2DA06A}"/>
    <cellStyle name="Normal 16 4 9 3" xfId="23920" xr:uid="{D92FF610-068E-47CF-9D66-76E078AE964A}"/>
    <cellStyle name="Normal 16 4 9 4" xfId="40679" xr:uid="{476777CC-1680-4591-B8DF-DFD059FB42E7}"/>
    <cellStyle name="Normal 16 5" xfId="580" xr:uid="{FCAA8AB2-566A-4C2B-99D8-B6EA3A5DD267}"/>
    <cellStyle name="Normal 16 5 10" xfId="7639" xr:uid="{016929E7-B45C-4CEC-A4C4-26A6F8C8380D}"/>
    <cellStyle name="Normal 16 5 10 2" xfId="16019" xr:uid="{BCC69111-4FCB-4CF8-8146-685C10079EE8}"/>
    <cellStyle name="Normal 16 5 10 2 2" xfId="32779" xr:uid="{64C04738-A963-4F18-8CA7-6A00C414745D}"/>
    <cellStyle name="Normal 16 5 10 2 3" xfId="49538" xr:uid="{9DF0C447-810C-4D1F-9699-8FD8BF03A7DC}"/>
    <cellStyle name="Normal 16 5 10 3" xfId="24399" xr:uid="{33109E38-62CF-4CBB-97BC-E699C546E1CB}"/>
    <cellStyle name="Normal 16 5 10 4" xfId="41158" xr:uid="{F23A08DC-E8E9-4933-A491-9C5A28DAC77B}"/>
    <cellStyle name="Normal 16 5 11" xfId="8045" xr:uid="{24FED993-3604-42B5-9998-661D8E547CA9}"/>
    <cellStyle name="Normal 16 5 11 2" xfId="16425" xr:uid="{1F5F5134-BE53-4262-A4F3-CE6C498C0373}"/>
    <cellStyle name="Normal 16 5 11 2 2" xfId="33185" xr:uid="{F5C48ED3-1CE4-492D-AF14-CC2A8C6DE93E}"/>
    <cellStyle name="Normal 16 5 11 2 3" xfId="49944" xr:uid="{93F272E2-8C40-4089-BF42-29D014B5D25C}"/>
    <cellStyle name="Normal 16 5 11 3" xfId="24805" xr:uid="{1048820E-2AE2-4D99-B82D-C1845AB3D9F9}"/>
    <cellStyle name="Normal 16 5 11 4" xfId="41564" xr:uid="{21B3948F-6C8B-430A-ABCA-49B8A8E62C6F}"/>
    <cellStyle name="Normal 16 5 12" xfId="8451" xr:uid="{D4D778A3-97C3-49B7-AF22-20BB14576534}"/>
    <cellStyle name="Normal 16 5 12 2" xfId="16831" xr:uid="{CE9D2725-AA81-40E0-8DC2-1249800ABA01}"/>
    <cellStyle name="Normal 16 5 12 2 2" xfId="33591" xr:uid="{ED7A9050-146D-4AC1-B7F3-A6AB4560C437}"/>
    <cellStyle name="Normal 16 5 12 2 3" xfId="50350" xr:uid="{80307850-DE14-4BC5-977A-3EFA0B2C9D87}"/>
    <cellStyle name="Normal 16 5 12 3" xfId="25211" xr:uid="{CC801132-3127-40DC-8B0E-70CEDC70D58B}"/>
    <cellStyle name="Normal 16 5 12 4" xfId="41970" xr:uid="{A74E6606-C199-46DD-BC6F-B79222AE721D}"/>
    <cellStyle name="Normal 16 5 13" xfId="2138" xr:uid="{7400A24F-307D-4F5B-AC40-2BDDAC754BDF}"/>
    <cellStyle name="Normal 16 5 13 2" xfId="10526" xr:uid="{7E3E5CAA-251D-4708-AFBD-0F3032CCE1E1}"/>
    <cellStyle name="Normal 16 5 13 2 2" xfId="27286" xr:uid="{00E59776-C2BD-4089-988A-CC1715A4FDDA}"/>
    <cellStyle name="Normal 16 5 13 2 3" xfId="44045" xr:uid="{B92A99DF-ED0A-4A4F-98F4-C3CC34903FBC}"/>
    <cellStyle name="Normal 16 5 13 3" xfId="18906" xr:uid="{1600962C-D29E-42E5-9776-F20A52A29CAB}"/>
    <cellStyle name="Normal 16 5 13 4" xfId="35665" xr:uid="{CA90A877-C5C1-42DD-9F01-B07FED982DB4}"/>
    <cellStyle name="Normal 16 5 14" xfId="8991" xr:uid="{ED51B2F6-8DCC-41A8-ACA3-4A5D6B9F0C00}"/>
    <cellStyle name="Normal 16 5 14 2" xfId="25751" xr:uid="{CFBA8C14-A701-443C-836C-0E9C52EDDB9E}"/>
    <cellStyle name="Normal 16 5 14 3" xfId="42510" xr:uid="{4B73F571-8537-40B1-8DF5-3207F674523D}"/>
    <cellStyle name="Normal 16 5 15" xfId="17371" xr:uid="{60340987-A740-48AB-91B7-F3D55D123C59}"/>
    <cellStyle name="Normal 16 5 16" xfId="34130" xr:uid="{439C9342-0F27-4143-90D5-1E048C696479}"/>
    <cellStyle name="Normal 16 5 2" xfId="581" xr:uid="{CAB9673B-91D6-4A09-A7A1-AA9B430D701A}"/>
    <cellStyle name="Normal 16 5 2 10" xfId="8518" xr:uid="{C7591F3F-C6C0-45F6-9348-5BB912F9F5F1}"/>
    <cellStyle name="Normal 16 5 2 10 2" xfId="16898" xr:uid="{1CDEE9DC-A8A3-4515-A7F3-E560449B0077}"/>
    <cellStyle name="Normal 16 5 2 10 2 2" xfId="33658" xr:uid="{0456F51D-753E-4AF2-9A9C-748FCA38BC5B}"/>
    <cellStyle name="Normal 16 5 2 10 2 3" xfId="50417" xr:uid="{DFCAF413-365A-4B80-9E4B-A1316B307D7D}"/>
    <cellStyle name="Normal 16 5 2 10 3" xfId="25278" xr:uid="{B1664202-56A7-4D52-B2AB-F04F4596936E}"/>
    <cellStyle name="Normal 16 5 2 10 4" xfId="42037" xr:uid="{B0206962-EEBF-4D08-8674-805730EB71DB}"/>
    <cellStyle name="Normal 16 5 2 11" xfId="2413" xr:uid="{8275812E-CC26-42CA-9F12-615082645365}"/>
    <cellStyle name="Normal 16 5 2 11 2" xfId="10795" xr:uid="{EFC769B7-D6AF-4BE7-8008-FC4671A3D4CB}"/>
    <cellStyle name="Normal 16 5 2 11 2 2" xfId="27555" xr:uid="{DB5714A5-FE57-425B-B980-1C01249387C6}"/>
    <cellStyle name="Normal 16 5 2 11 2 3" xfId="44314" xr:uid="{046EB9AA-8725-4AD5-8109-F51B26A9B39C}"/>
    <cellStyle name="Normal 16 5 2 11 3" xfId="19175" xr:uid="{6DBD29F8-2114-4448-A0FF-38E9900A0223}"/>
    <cellStyle name="Normal 16 5 2 11 4" xfId="35934" xr:uid="{FBC997FE-24BC-42D3-BE62-411817C263ED}"/>
    <cellStyle name="Normal 16 5 2 12" xfId="8992" xr:uid="{DF72A638-68A9-44E6-AB4E-2A27BB238F32}"/>
    <cellStyle name="Normal 16 5 2 12 2" xfId="25752" xr:uid="{C61E229D-15BD-491D-A002-F4DEC63E0120}"/>
    <cellStyle name="Normal 16 5 2 12 3" xfId="42511" xr:uid="{92F54177-E749-4657-BC06-CACF9FDB7E8F}"/>
    <cellStyle name="Normal 16 5 2 13" xfId="17372" xr:uid="{D44A89E7-11BC-49A4-A0FA-91E4B9A34148}"/>
    <cellStyle name="Normal 16 5 2 14" xfId="34131" xr:uid="{A4D758C1-4F0A-47D5-B2F3-2C5D84D763B4}"/>
    <cellStyle name="Normal 16 5 2 2" xfId="1023" xr:uid="{102B9A41-9D92-44A1-9EF0-E398FD774646}"/>
    <cellStyle name="Normal 16 5 2 2 2" xfId="4418" xr:uid="{499BFB99-AADD-4B9C-930D-F6A16417181F}"/>
    <cellStyle name="Normal 16 5 2 2 2 2" xfId="12798" xr:uid="{18F43522-8AF1-4F7F-92EC-0E30ED526E0A}"/>
    <cellStyle name="Normal 16 5 2 2 2 2 2" xfId="29558" xr:uid="{EE081370-1037-4525-8DBF-1489D045E463}"/>
    <cellStyle name="Normal 16 5 2 2 2 2 3" xfId="46317" xr:uid="{703B596F-A059-4E4B-83F1-80C9EA515813}"/>
    <cellStyle name="Normal 16 5 2 2 2 3" xfId="21178" xr:uid="{C6CAA9F0-8831-4314-817A-400FE85BC86E}"/>
    <cellStyle name="Normal 16 5 2 2 2 4" xfId="37937" xr:uid="{A76CB5D2-B233-45E1-BF14-AF6FAF474473}"/>
    <cellStyle name="Normal 16 5 2 2 3" xfId="6105" xr:uid="{67727287-494F-446A-AA77-343E1D8DD4B7}"/>
    <cellStyle name="Normal 16 5 2 2 3 2" xfId="14485" xr:uid="{252C1930-8468-4A46-8389-307BB9DBCDCE}"/>
    <cellStyle name="Normal 16 5 2 2 3 2 2" xfId="31245" xr:uid="{A84468C3-3D3F-40C6-B0B9-DE5C95658609}"/>
    <cellStyle name="Normal 16 5 2 2 3 2 3" xfId="48004" xr:uid="{DB331C09-984B-4304-B630-DB155A2B4190}"/>
    <cellStyle name="Normal 16 5 2 2 3 3" xfId="22865" xr:uid="{1B35A988-D641-4ACF-B70B-7D8FB8786931}"/>
    <cellStyle name="Normal 16 5 2 2 3 4" xfId="39624" xr:uid="{B2A9A56C-265E-49CF-B989-59A3319D60AE}"/>
    <cellStyle name="Normal 16 5 2 2 4" xfId="2841" xr:uid="{1FFCC86A-7657-436A-AEAD-81DB86D807AA}"/>
    <cellStyle name="Normal 16 5 2 2 4 2" xfId="11221" xr:uid="{68409F01-D414-4CFB-8FDA-7195C2C7571A}"/>
    <cellStyle name="Normal 16 5 2 2 4 2 2" xfId="27981" xr:uid="{DB94B30C-3CC9-400B-819C-05446B380B35}"/>
    <cellStyle name="Normal 16 5 2 2 4 2 3" xfId="44740" xr:uid="{797085E7-ED83-4431-934F-DA0A0015DA39}"/>
    <cellStyle name="Normal 16 5 2 2 4 3" xfId="19601" xr:uid="{BC6EAC85-77A6-4037-B077-06380F101F48}"/>
    <cellStyle name="Normal 16 5 2 2 4 4" xfId="36360" xr:uid="{780FC1D1-47E4-47E6-875A-19AC5C619C7E}"/>
    <cellStyle name="Normal 16 5 2 2 5" xfId="9418" xr:uid="{073D44FA-91E5-43B3-97A5-5C2CBF7951E2}"/>
    <cellStyle name="Normal 16 5 2 2 5 2" xfId="26178" xr:uid="{2E8A648D-B3A2-49BF-A338-869282F7C95F}"/>
    <cellStyle name="Normal 16 5 2 2 5 3" xfId="42937" xr:uid="{B9A42D49-3E98-4570-B2B0-BD891183730E}"/>
    <cellStyle name="Normal 16 5 2 2 6" xfId="17798" xr:uid="{7759E794-43AF-494F-A276-03681B387093}"/>
    <cellStyle name="Normal 16 5 2 2 7" xfId="34557" xr:uid="{DD4A2DB2-CEE9-4CC6-9090-3E9345D21791}"/>
    <cellStyle name="Normal 16 5 2 3" xfId="1457" xr:uid="{9DC838D2-233E-4328-A68B-898629BDBBE0}"/>
    <cellStyle name="Normal 16 5 2 3 2" xfId="4846" xr:uid="{90870453-DCAF-4151-BFC3-7A15493F9755}"/>
    <cellStyle name="Normal 16 5 2 3 2 2" xfId="13226" xr:uid="{3E18FA6A-586B-43E3-9192-1301F21EC708}"/>
    <cellStyle name="Normal 16 5 2 3 2 2 2" xfId="29986" xr:uid="{D2D427DE-8CA9-43D1-9297-8A03DB03DC8E}"/>
    <cellStyle name="Normal 16 5 2 3 2 2 3" xfId="46745" xr:uid="{843B3808-4D2A-4EBC-8387-8E2D3E672B74}"/>
    <cellStyle name="Normal 16 5 2 3 2 3" xfId="21606" xr:uid="{4B337B46-ABEA-4C8B-908B-A12690565B91}"/>
    <cellStyle name="Normal 16 5 2 3 2 4" xfId="38365" xr:uid="{9FC93EBE-D995-4680-85E8-CEB4E9ED61F9}"/>
    <cellStyle name="Normal 16 5 2 3 3" xfId="6533" xr:uid="{CF42BD1C-18C4-4CED-91A2-18C54FAF1E88}"/>
    <cellStyle name="Normal 16 5 2 3 3 2" xfId="14913" xr:uid="{A2FF2391-DAFF-470A-B0A8-B31269977646}"/>
    <cellStyle name="Normal 16 5 2 3 3 2 2" xfId="31673" xr:uid="{059099D2-19E5-485E-9369-A795225224E8}"/>
    <cellStyle name="Normal 16 5 2 3 3 2 3" xfId="48432" xr:uid="{F6B2FC23-3C51-4B87-BA92-EBECFA8D3A1A}"/>
    <cellStyle name="Normal 16 5 2 3 3 3" xfId="23293" xr:uid="{D3835231-4C6C-425C-9A43-97DA2B27C619}"/>
    <cellStyle name="Normal 16 5 2 3 3 4" xfId="40052" xr:uid="{6F89DF0D-8C9C-4327-BB28-AEAF70DEF1CE}"/>
    <cellStyle name="Normal 16 5 2 3 4" xfId="3269" xr:uid="{E5B1CEFF-5738-4928-B72A-3A9FE97AD248}"/>
    <cellStyle name="Normal 16 5 2 3 4 2" xfId="11649" xr:uid="{89AC288F-E917-4F7F-919E-7E3058590EAC}"/>
    <cellStyle name="Normal 16 5 2 3 4 2 2" xfId="28409" xr:uid="{9CB5F411-4CE0-4982-90B2-DD864F8AE700}"/>
    <cellStyle name="Normal 16 5 2 3 4 2 3" xfId="45168" xr:uid="{93839247-B67D-4299-A90C-472FA9114A06}"/>
    <cellStyle name="Normal 16 5 2 3 4 3" xfId="20029" xr:uid="{66A600DE-2F7F-4127-B91B-E7CBDB91D0A2}"/>
    <cellStyle name="Normal 16 5 2 3 4 4" xfId="36788" xr:uid="{6113AD5F-5ABA-4D3B-B26E-BB6063E43284}"/>
    <cellStyle name="Normal 16 5 2 3 5" xfId="9846" xr:uid="{308916EE-6FCC-4903-9714-727018093DFB}"/>
    <cellStyle name="Normal 16 5 2 3 5 2" xfId="26606" xr:uid="{9F37347B-8B09-4882-BCE2-500C7967A8FD}"/>
    <cellStyle name="Normal 16 5 2 3 5 3" xfId="43365" xr:uid="{0F88C2F4-75DC-41AF-BFC2-652BF7F95293}"/>
    <cellStyle name="Normal 16 5 2 3 6" xfId="18226" xr:uid="{46EF942C-DC78-4195-B549-EBB5D8F902C7}"/>
    <cellStyle name="Normal 16 5 2 3 7" xfId="34985" xr:uid="{271558BA-27A1-434A-9BB7-F3353030C20F}"/>
    <cellStyle name="Normal 16 5 2 4" xfId="1818" xr:uid="{78C4C326-B277-4C5B-8304-D784EBDB7E6A}"/>
    <cellStyle name="Normal 16 5 2 4 2" xfId="5207" xr:uid="{029FA5B3-5A3A-4048-91BE-AC241601233F}"/>
    <cellStyle name="Normal 16 5 2 4 2 2" xfId="13587" xr:uid="{111CF47A-F658-4D09-99EE-24FE7120CE94}"/>
    <cellStyle name="Normal 16 5 2 4 2 2 2" xfId="30347" xr:uid="{7C895D97-29F8-4341-96BB-0A6B8F61C647}"/>
    <cellStyle name="Normal 16 5 2 4 2 2 3" xfId="47106" xr:uid="{3449EC20-C68F-40F4-8B80-0D810A481A40}"/>
    <cellStyle name="Normal 16 5 2 4 2 3" xfId="21967" xr:uid="{B7E26E71-4780-4CE4-8CCD-66A4D240AE35}"/>
    <cellStyle name="Normal 16 5 2 4 2 4" xfId="38726" xr:uid="{C4647584-7698-4F11-A276-11705BBA0129}"/>
    <cellStyle name="Normal 16 5 2 4 3" xfId="6894" xr:uid="{F62567FD-1158-44DD-99E2-5DD5E0D4D863}"/>
    <cellStyle name="Normal 16 5 2 4 3 2" xfId="15274" xr:uid="{AF5C5CF9-160F-4095-83DB-238372157F61}"/>
    <cellStyle name="Normal 16 5 2 4 3 2 2" xfId="32034" xr:uid="{B79A50A1-EB7B-4C18-80DA-B4F6BCF9446A}"/>
    <cellStyle name="Normal 16 5 2 4 3 2 3" xfId="48793" xr:uid="{870F99C6-8135-4C23-BC38-2886C3EFE816}"/>
    <cellStyle name="Normal 16 5 2 4 3 3" xfId="23654" xr:uid="{21C085BD-AF79-4F22-8514-1140012DA6AB}"/>
    <cellStyle name="Normal 16 5 2 4 3 4" xfId="40413" xr:uid="{D3A0FFEC-C80A-4D03-A075-9B081278EAC7}"/>
    <cellStyle name="Normal 16 5 2 4 4" xfId="3518" xr:uid="{58F744A3-DDC0-4663-BCCB-CBFEB272C49C}"/>
    <cellStyle name="Normal 16 5 2 4 4 2" xfId="11898" xr:uid="{8B23FA8F-E5C4-4EE7-99AB-29319C3FB8BD}"/>
    <cellStyle name="Normal 16 5 2 4 4 2 2" xfId="28658" xr:uid="{5E15BAF4-9780-41E1-9523-59C9F655D891}"/>
    <cellStyle name="Normal 16 5 2 4 4 2 3" xfId="45417" xr:uid="{ED4F0EE9-1866-45FB-B4DF-0DF401C7CCBE}"/>
    <cellStyle name="Normal 16 5 2 4 4 3" xfId="20278" xr:uid="{C0C4D4BC-561A-4F49-9805-4A3CA80BE566}"/>
    <cellStyle name="Normal 16 5 2 4 4 4" xfId="37037" xr:uid="{BC3D7271-A26B-4968-8A33-06DC9B3C581C}"/>
    <cellStyle name="Normal 16 5 2 4 5" xfId="10207" xr:uid="{491BC033-10E8-4AA5-BFB5-DB6D88C0C767}"/>
    <cellStyle name="Normal 16 5 2 4 5 2" xfId="26967" xr:uid="{B0DCAEAC-69DC-457C-A61E-EFC84208B6C9}"/>
    <cellStyle name="Normal 16 5 2 4 5 3" xfId="43726" xr:uid="{39800AE9-383F-401C-9DEB-500993D5D817}"/>
    <cellStyle name="Normal 16 5 2 4 6" xfId="18587" xr:uid="{35190525-8869-465E-8004-80328B2C4944}"/>
    <cellStyle name="Normal 16 5 2 4 7" xfId="35346" xr:uid="{8EE0B864-4F88-4C4D-9A2C-0DB25C9EC490}"/>
    <cellStyle name="Normal 16 5 2 5" xfId="3937" xr:uid="{0DD3102A-2B4C-4B0A-AC00-4954DC8ABED2}"/>
    <cellStyle name="Normal 16 5 2 5 2" xfId="12317" xr:uid="{B1FF2C01-2F40-4B6C-8126-3B91A33AD048}"/>
    <cellStyle name="Normal 16 5 2 5 2 2" xfId="29077" xr:uid="{7E7463F9-C7B2-4F77-89A3-DD353490E4A8}"/>
    <cellStyle name="Normal 16 5 2 5 2 3" xfId="45836" xr:uid="{B421848E-240D-421C-AE5E-7AC6B007116C}"/>
    <cellStyle name="Normal 16 5 2 5 3" xfId="20697" xr:uid="{DB1EAB3A-5478-45C5-894F-400A02BD4418}"/>
    <cellStyle name="Normal 16 5 2 5 4" xfId="37456" xr:uid="{46274707-543C-47C8-9507-5690FBBCC426}"/>
    <cellStyle name="Normal 16 5 2 6" xfId="5679" xr:uid="{7D347BE4-F8B0-4ABD-8DCC-F446E3A0ACF3}"/>
    <cellStyle name="Normal 16 5 2 6 2" xfId="14059" xr:uid="{5195B0A4-CC70-44DA-8039-7A521A0B2F90}"/>
    <cellStyle name="Normal 16 5 2 6 2 2" xfId="30819" xr:uid="{AB1C5866-0D2A-406D-A403-0561EE2FFDEE}"/>
    <cellStyle name="Normal 16 5 2 6 2 3" xfId="47578" xr:uid="{A9D75034-D793-4E11-8140-C0B604DFD310}"/>
    <cellStyle name="Normal 16 5 2 6 3" xfId="22439" xr:uid="{7A387529-A4DE-47A4-8C04-5028A941FF92}"/>
    <cellStyle name="Normal 16 5 2 6 4" xfId="39198" xr:uid="{1E68D867-E183-4DDB-9579-3816D7E19FD2}"/>
    <cellStyle name="Normal 16 5 2 7" xfId="7300" xr:uid="{60DE2002-F771-43B5-89BD-2A734448C98B}"/>
    <cellStyle name="Normal 16 5 2 7 2" xfId="15680" xr:uid="{0D40E0BC-5C42-4FC3-8E39-7F1E74A2F48A}"/>
    <cellStyle name="Normal 16 5 2 7 2 2" xfId="32440" xr:uid="{4880079F-2FD3-4D4C-9210-EEDFD9734DDA}"/>
    <cellStyle name="Normal 16 5 2 7 2 3" xfId="49199" xr:uid="{2D9999B1-7C73-4E03-A698-299AE1CC5E48}"/>
    <cellStyle name="Normal 16 5 2 7 3" xfId="24060" xr:uid="{DAC27F7D-15AF-447E-99FC-596941C7A4C3}"/>
    <cellStyle name="Normal 16 5 2 7 4" xfId="40819" xr:uid="{275DC545-2B05-49C7-A885-EAC805DA5262}"/>
    <cellStyle name="Normal 16 5 2 8" xfId="7706" xr:uid="{800EC925-B8C3-4628-AD60-9F112D8A22C7}"/>
    <cellStyle name="Normal 16 5 2 8 2" xfId="16086" xr:uid="{252CFA33-29A8-40BC-80FC-C8CFBA9EA021}"/>
    <cellStyle name="Normal 16 5 2 8 2 2" xfId="32846" xr:uid="{C4D2D03B-F5EA-4A0C-B2FA-6E6B0A8ECF57}"/>
    <cellStyle name="Normal 16 5 2 8 2 3" xfId="49605" xr:uid="{DED84759-3216-4643-B0E9-053F29348640}"/>
    <cellStyle name="Normal 16 5 2 8 3" xfId="24466" xr:uid="{B4D96E96-C9F0-4786-AF6F-3201D2BFD71C}"/>
    <cellStyle name="Normal 16 5 2 8 4" xfId="41225" xr:uid="{7B7CC3B0-A1E5-4062-B6E4-3333991FD7B7}"/>
    <cellStyle name="Normal 16 5 2 9" xfId="8112" xr:uid="{51E39E31-7B60-42C3-BC5B-2E64804A933E}"/>
    <cellStyle name="Normal 16 5 2 9 2" xfId="16492" xr:uid="{CF899C2F-639F-4DD6-91EA-94CAFA1ECAE3}"/>
    <cellStyle name="Normal 16 5 2 9 2 2" xfId="33252" xr:uid="{FD4B2111-A949-405A-8DE2-2FBAA8172119}"/>
    <cellStyle name="Normal 16 5 2 9 2 3" xfId="50011" xr:uid="{5A314CD6-7646-4608-874B-45038C9B0F0C}"/>
    <cellStyle name="Normal 16 5 2 9 3" xfId="24872" xr:uid="{FCE3FA79-683E-4520-8EC7-7EAD44F49052}"/>
    <cellStyle name="Normal 16 5 2 9 4" xfId="41631" xr:uid="{93BBC78B-9579-4C4F-BD17-36840B2BF04F}"/>
    <cellStyle name="Normal 16 5 3" xfId="582" xr:uid="{DEBE8F6A-731A-4B77-80A7-1A3C5763A54A}"/>
    <cellStyle name="Normal 16 5 3 10" xfId="8722" xr:uid="{AFDA7AD7-3828-4AA0-B60A-707ADC0057F1}"/>
    <cellStyle name="Normal 16 5 3 10 2" xfId="17102" xr:uid="{C2D6FF45-8D43-4534-9AF9-4D3D60477883}"/>
    <cellStyle name="Normal 16 5 3 10 2 2" xfId="33862" xr:uid="{F4F5A9BE-8937-4322-A5A4-7C9C0D8EDDD3}"/>
    <cellStyle name="Normal 16 5 3 10 2 3" xfId="50621" xr:uid="{7152A410-5FA3-40ED-8546-2B6773D8C4C6}"/>
    <cellStyle name="Normal 16 5 3 10 3" xfId="25482" xr:uid="{70C20EC8-7B41-4200-827D-B1E1F5238E93}"/>
    <cellStyle name="Normal 16 5 3 10 4" xfId="42241" xr:uid="{9577F7B7-6FC7-4166-BCFC-22EC33DD7607}"/>
    <cellStyle name="Normal 16 5 3 11" xfId="2414" xr:uid="{ED16E3F7-F83D-45C9-8CE2-D66C7C268025}"/>
    <cellStyle name="Normal 16 5 3 11 2" xfId="10796" xr:uid="{2B25F4CD-2ADC-49D6-9190-A8D36F224938}"/>
    <cellStyle name="Normal 16 5 3 11 2 2" xfId="27556" xr:uid="{1CD76C89-0D19-42FB-AA5B-C5948CF2602F}"/>
    <cellStyle name="Normal 16 5 3 11 2 3" xfId="44315" xr:uid="{C347344C-FC69-4E76-A198-B2F22FF66FE6}"/>
    <cellStyle name="Normal 16 5 3 11 3" xfId="19176" xr:uid="{C795306A-1AB9-4EE4-9184-54445FD2B967}"/>
    <cellStyle name="Normal 16 5 3 11 4" xfId="35935" xr:uid="{BA10C353-39F9-4DFE-9FF4-B41F69E78C79}"/>
    <cellStyle name="Normal 16 5 3 12" xfId="8993" xr:uid="{E0791BE8-C1AB-40DA-AD4E-8EB3F735F29F}"/>
    <cellStyle name="Normal 16 5 3 12 2" xfId="25753" xr:uid="{1EA90748-D608-4838-A1F9-9BCDB2E7821C}"/>
    <cellStyle name="Normal 16 5 3 12 3" xfId="42512" xr:uid="{D013DB2A-4BC7-4520-B66B-0AA439DEA861}"/>
    <cellStyle name="Normal 16 5 3 13" xfId="17373" xr:uid="{6D3B650C-B2E5-453A-9F51-5B37E6C7E480}"/>
    <cellStyle name="Normal 16 5 3 14" xfId="34132" xr:uid="{CC1ABA82-BDE1-4851-A2CC-9717B3546E14}"/>
    <cellStyle name="Normal 16 5 3 2" xfId="1024" xr:uid="{C82EAA7B-AB69-4B57-9146-39A3944A60B3}"/>
    <cellStyle name="Normal 16 5 3 2 2" xfId="4419" xr:uid="{FB3838A0-8179-44AE-BE46-9A2BA99B6655}"/>
    <cellStyle name="Normal 16 5 3 2 2 2" xfId="12799" xr:uid="{A0A37F8B-01D2-487C-8A3B-09A00B95467B}"/>
    <cellStyle name="Normal 16 5 3 2 2 2 2" xfId="29559" xr:uid="{0DD39CFC-1879-432E-98E1-DB94B1D9F7CC}"/>
    <cellStyle name="Normal 16 5 3 2 2 2 3" xfId="46318" xr:uid="{1BA3EEA9-A1EC-40A5-A8CF-D7030E082EF7}"/>
    <cellStyle name="Normal 16 5 3 2 2 3" xfId="21179" xr:uid="{0F6C6D8D-377F-4AC3-8127-518FF2B3B7F6}"/>
    <cellStyle name="Normal 16 5 3 2 2 4" xfId="37938" xr:uid="{EC1B98AB-4EAF-4BD6-A522-A5AAD1FD9D10}"/>
    <cellStyle name="Normal 16 5 3 2 3" xfId="6106" xr:uid="{F2724BA9-D2E3-4BE6-831E-8A5F4A90DE48}"/>
    <cellStyle name="Normal 16 5 3 2 3 2" xfId="14486" xr:uid="{18DB34FE-9DB8-469E-A502-67F796D9B2CC}"/>
    <cellStyle name="Normal 16 5 3 2 3 2 2" xfId="31246" xr:uid="{7747B362-843E-4D64-87BD-0459F89221E4}"/>
    <cellStyle name="Normal 16 5 3 2 3 2 3" xfId="48005" xr:uid="{C0A40E4B-2ADB-482D-A9D1-6A35149D8F3A}"/>
    <cellStyle name="Normal 16 5 3 2 3 3" xfId="22866" xr:uid="{435B50B4-AEB3-4D79-BCB4-7308B75E4262}"/>
    <cellStyle name="Normal 16 5 3 2 3 4" xfId="39625" xr:uid="{8A5589E1-661D-4BE4-AF68-059B21F5EC11}"/>
    <cellStyle name="Normal 16 5 3 2 4" xfId="2842" xr:uid="{B6917FA8-7F03-432C-9604-ED15D98DBBE3}"/>
    <cellStyle name="Normal 16 5 3 2 4 2" xfId="11222" xr:uid="{010725CF-3339-4BAE-9BA5-CAB6184BF6C4}"/>
    <cellStyle name="Normal 16 5 3 2 4 2 2" xfId="27982" xr:uid="{99612608-BCE4-4CC9-873D-3AAFBB133D12}"/>
    <cellStyle name="Normal 16 5 3 2 4 2 3" xfId="44741" xr:uid="{C30A285F-E6F2-438D-AB71-007E23A9CEEC}"/>
    <cellStyle name="Normal 16 5 3 2 4 3" xfId="19602" xr:uid="{5B8C0C8D-7179-4A94-A511-DF45A5469BB5}"/>
    <cellStyle name="Normal 16 5 3 2 4 4" xfId="36361" xr:uid="{EF1591AE-7DEA-4029-A45C-5545B288F478}"/>
    <cellStyle name="Normal 16 5 3 2 5" xfId="9419" xr:uid="{E34B07BF-9D5B-4C10-8C67-9149B6C7C15C}"/>
    <cellStyle name="Normal 16 5 3 2 5 2" xfId="26179" xr:uid="{5027709E-C9D8-4102-9C5F-A4CE1B8F2F8C}"/>
    <cellStyle name="Normal 16 5 3 2 5 3" xfId="42938" xr:uid="{B2D1325F-52D4-4E4A-BE63-FE6E21637341}"/>
    <cellStyle name="Normal 16 5 3 2 6" xfId="17799" xr:uid="{AFAB1849-8AFA-4113-B9DB-61B5727F234B}"/>
    <cellStyle name="Normal 16 5 3 2 7" xfId="34558" xr:uid="{292C4DA8-4C3E-48FA-870C-648D10F395F5}"/>
    <cellStyle name="Normal 16 5 3 3" xfId="1458" xr:uid="{FEEC463B-EE91-4DD3-ADC5-621384AB08E9}"/>
    <cellStyle name="Normal 16 5 3 3 2" xfId="4847" xr:uid="{17033E54-054F-4EDB-9F1A-85A260BD61AA}"/>
    <cellStyle name="Normal 16 5 3 3 2 2" xfId="13227" xr:uid="{7B7B0222-B5AF-44DF-9963-530D515772B9}"/>
    <cellStyle name="Normal 16 5 3 3 2 2 2" xfId="29987" xr:uid="{707BF05A-D71E-4BE2-8912-6F2260B60174}"/>
    <cellStyle name="Normal 16 5 3 3 2 2 3" xfId="46746" xr:uid="{C5A883FE-E9B3-4A1B-B66B-AA39F5DD7DFD}"/>
    <cellStyle name="Normal 16 5 3 3 2 3" xfId="21607" xr:uid="{80DD0DCC-A3E0-4283-AA99-9E854386C8F6}"/>
    <cellStyle name="Normal 16 5 3 3 2 4" xfId="38366" xr:uid="{C6713CEB-EA01-49D6-9E81-88588FA39AB1}"/>
    <cellStyle name="Normal 16 5 3 3 3" xfId="6534" xr:uid="{6B1CABBA-0E64-45AB-8CD2-7A6C83E1301A}"/>
    <cellStyle name="Normal 16 5 3 3 3 2" xfId="14914" xr:uid="{314C0144-2724-408D-99DB-7E3547EF5AB3}"/>
    <cellStyle name="Normal 16 5 3 3 3 2 2" xfId="31674" xr:uid="{39778675-3E95-4570-B034-AF5ABC7D1D78}"/>
    <cellStyle name="Normal 16 5 3 3 3 2 3" xfId="48433" xr:uid="{AABCE77E-4935-4DD7-B812-46A9C341B6A6}"/>
    <cellStyle name="Normal 16 5 3 3 3 3" xfId="23294" xr:uid="{AADA9608-C309-4C7B-BD26-695A0EAC83E4}"/>
    <cellStyle name="Normal 16 5 3 3 3 4" xfId="40053" xr:uid="{F2600977-8D20-482B-A2F3-9F2A6F30674E}"/>
    <cellStyle name="Normal 16 5 3 3 4" xfId="3270" xr:uid="{4ADC6C3E-18DD-444E-8237-A8587FCDFE93}"/>
    <cellStyle name="Normal 16 5 3 3 4 2" xfId="11650" xr:uid="{C30EB9DC-9026-4886-87BA-4096E3DF5DD7}"/>
    <cellStyle name="Normal 16 5 3 3 4 2 2" xfId="28410" xr:uid="{3F89C9CB-FA77-4610-A0BA-7A3A624C70DE}"/>
    <cellStyle name="Normal 16 5 3 3 4 2 3" xfId="45169" xr:uid="{0F047E29-8586-4E68-B017-49E5E1988A95}"/>
    <cellStyle name="Normal 16 5 3 3 4 3" xfId="20030" xr:uid="{8602AE62-5720-42C2-8927-313414BA9738}"/>
    <cellStyle name="Normal 16 5 3 3 4 4" xfId="36789" xr:uid="{3EDF622D-E6DB-416F-BA13-3EE999734AB0}"/>
    <cellStyle name="Normal 16 5 3 3 5" xfId="9847" xr:uid="{14C66C40-2294-4BC4-840F-96045767B25F}"/>
    <cellStyle name="Normal 16 5 3 3 5 2" xfId="26607" xr:uid="{A846296A-5246-47CA-83B5-C881B1FB61F5}"/>
    <cellStyle name="Normal 16 5 3 3 5 3" xfId="43366" xr:uid="{ECEB4B52-3685-4080-B199-BB93253175D0}"/>
    <cellStyle name="Normal 16 5 3 3 6" xfId="18227" xr:uid="{DAE95DBE-A328-43E6-B431-996F3154ECAB}"/>
    <cellStyle name="Normal 16 5 3 3 7" xfId="34986" xr:uid="{E2B58195-F3C8-49F3-8313-7E2AFECD09B0}"/>
    <cellStyle name="Normal 16 5 3 4" xfId="2022" xr:uid="{29E25F71-CAE3-4388-9043-18D14BB93870}"/>
    <cellStyle name="Normal 16 5 3 4 2" xfId="5411" xr:uid="{15265BFD-3AE5-4DE6-ACD6-B1ABD7418725}"/>
    <cellStyle name="Normal 16 5 3 4 2 2" xfId="13791" xr:uid="{B9925E5B-4A51-4D9B-B14C-343196BC6FDF}"/>
    <cellStyle name="Normal 16 5 3 4 2 2 2" xfId="30551" xr:uid="{4B209F82-28B2-427E-BCF8-408FC8703595}"/>
    <cellStyle name="Normal 16 5 3 4 2 2 3" xfId="47310" xr:uid="{C428BFE4-787B-43A5-8704-1A2F2DE40077}"/>
    <cellStyle name="Normal 16 5 3 4 2 3" xfId="22171" xr:uid="{BAE3140F-2BFA-4B95-B4CB-7887E2B77116}"/>
    <cellStyle name="Normal 16 5 3 4 2 4" xfId="38930" xr:uid="{F2C724FC-C403-4132-A734-E17BA4D7F791}"/>
    <cellStyle name="Normal 16 5 3 4 3" xfId="7098" xr:uid="{82759E31-1E54-4BDC-AE81-54921EA74E48}"/>
    <cellStyle name="Normal 16 5 3 4 3 2" xfId="15478" xr:uid="{C2DB14BA-6B76-42E7-BDD7-F1DD4C913E8E}"/>
    <cellStyle name="Normal 16 5 3 4 3 2 2" xfId="32238" xr:uid="{18FA1560-46F0-490F-9FBD-54694EA8AB42}"/>
    <cellStyle name="Normal 16 5 3 4 3 2 3" xfId="48997" xr:uid="{64B1AF30-C558-43DC-99A4-700577953460}"/>
    <cellStyle name="Normal 16 5 3 4 3 3" xfId="23858" xr:uid="{93EF0DE9-D77C-4FCC-82AE-9AA43B2CF78E}"/>
    <cellStyle name="Normal 16 5 3 4 3 4" xfId="40617" xr:uid="{21DEC553-0D65-40E8-A226-4483FA02A044}"/>
    <cellStyle name="Normal 16 5 3 4 4" xfId="3721" xr:uid="{6AB18A58-13FC-4808-B35C-27C58B0EDF19}"/>
    <cellStyle name="Normal 16 5 3 4 4 2" xfId="12101" xr:uid="{D2E3CBD3-B9C3-4564-9752-783690B37D80}"/>
    <cellStyle name="Normal 16 5 3 4 4 2 2" xfId="28861" xr:uid="{E100B150-9729-4CAB-9ECA-F1B1F965CEA3}"/>
    <cellStyle name="Normal 16 5 3 4 4 2 3" xfId="45620" xr:uid="{2A9D6F1E-6D76-4A58-A845-A3C60686686F}"/>
    <cellStyle name="Normal 16 5 3 4 4 3" xfId="20481" xr:uid="{726DAB94-BF91-4DAE-87BA-EC9C67A092B2}"/>
    <cellStyle name="Normal 16 5 3 4 4 4" xfId="37240" xr:uid="{80A9FE82-53EF-47CE-AD90-12CDCCF1136B}"/>
    <cellStyle name="Normal 16 5 3 4 5" xfId="10411" xr:uid="{EFAB4A44-C824-4D55-852B-314DA8D41724}"/>
    <cellStyle name="Normal 16 5 3 4 5 2" xfId="27171" xr:uid="{F84E4B3B-B897-490E-94E4-8D65F5C4F556}"/>
    <cellStyle name="Normal 16 5 3 4 5 3" xfId="43930" xr:uid="{334BC2CA-7276-4C90-A60E-E13458B39E40}"/>
    <cellStyle name="Normal 16 5 3 4 6" xfId="18791" xr:uid="{E4875DAB-BD77-4351-A2AE-50F90CEA8F46}"/>
    <cellStyle name="Normal 16 5 3 4 7" xfId="35550" xr:uid="{8A80FFB2-51A5-45C4-B295-ED2DD11C2311}"/>
    <cellStyle name="Normal 16 5 3 5" xfId="4141" xr:uid="{CD0AA747-A928-4755-9FC6-9977CD08E0C0}"/>
    <cellStyle name="Normal 16 5 3 5 2" xfId="12521" xr:uid="{06841E04-E30B-48E8-A624-AC6AFEC76D7B}"/>
    <cellStyle name="Normal 16 5 3 5 2 2" xfId="29281" xr:uid="{08A70FFC-352C-432F-BBA9-A0F0ED534373}"/>
    <cellStyle name="Normal 16 5 3 5 2 3" xfId="46040" xr:uid="{B3EA1692-520A-4BCF-8C99-5C304F8522BE}"/>
    <cellStyle name="Normal 16 5 3 5 3" xfId="20901" xr:uid="{C32A21DD-AC21-4AF6-BE6D-9A22262A1D3A}"/>
    <cellStyle name="Normal 16 5 3 5 4" xfId="37660" xr:uid="{A55CDBC1-7C1E-4481-9E0E-6A446A579F1C}"/>
    <cellStyle name="Normal 16 5 3 6" xfId="5680" xr:uid="{383984BE-1FD8-4898-B444-1545DECEFF22}"/>
    <cellStyle name="Normal 16 5 3 6 2" xfId="14060" xr:uid="{B0BCF7A4-540D-42E7-90A1-4809CBA12282}"/>
    <cellStyle name="Normal 16 5 3 6 2 2" xfId="30820" xr:uid="{14D01160-0A6E-4A84-BBC5-F52D9BBFC726}"/>
    <cellStyle name="Normal 16 5 3 6 2 3" xfId="47579" xr:uid="{87FC3A32-810E-42A0-BDC3-4E3D5CEAA75A}"/>
    <cellStyle name="Normal 16 5 3 6 3" xfId="22440" xr:uid="{D024DB8E-0783-4446-8C9E-70DE8084210F}"/>
    <cellStyle name="Normal 16 5 3 6 4" xfId="39199" xr:uid="{F2624588-3785-4368-825B-8BC13EA0411A}"/>
    <cellStyle name="Normal 16 5 3 7" xfId="7504" xr:uid="{CEE1A22B-6424-4F3A-9F71-3DE3F304AF0E}"/>
    <cellStyle name="Normal 16 5 3 7 2" xfId="15884" xr:uid="{E00544A0-36F4-4A9F-8D6F-6F97617648DB}"/>
    <cellStyle name="Normal 16 5 3 7 2 2" xfId="32644" xr:uid="{874E60A7-D155-4547-B994-8594C9C73586}"/>
    <cellStyle name="Normal 16 5 3 7 2 3" xfId="49403" xr:uid="{65EF0300-85B2-4793-A96E-AB592C88EB01}"/>
    <cellStyle name="Normal 16 5 3 7 3" xfId="24264" xr:uid="{B78393C5-A943-43F1-A1DD-22B8155E0F37}"/>
    <cellStyle name="Normal 16 5 3 7 4" xfId="41023" xr:uid="{C5BAA7DD-8E8A-492A-834F-7CBD542DB19F}"/>
    <cellStyle name="Normal 16 5 3 8" xfId="7910" xr:uid="{CD343DF7-B642-4D55-B6EA-20AF7FDF3C8B}"/>
    <cellStyle name="Normal 16 5 3 8 2" xfId="16290" xr:uid="{C1F0174C-0B85-467E-B568-EE125B72F2B4}"/>
    <cellStyle name="Normal 16 5 3 8 2 2" xfId="33050" xr:uid="{E9550A6E-F133-4D7E-BB7C-09706CCA2C42}"/>
    <cellStyle name="Normal 16 5 3 8 2 3" xfId="49809" xr:uid="{68896CF7-E097-4C7C-B79A-97222D9F89E0}"/>
    <cellStyle name="Normal 16 5 3 8 3" xfId="24670" xr:uid="{7A95FE6A-FE58-475F-A330-25A40C88AC86}"/>
    <cellStyle name="Normal 16 5 3 8 4" xfId="41429" xr:uid="{CE5D5114-E69D-4AA0-BFD3-FAD46F607F27}"/>
    <cellStyle name="Normal 16 5 3 9" xfId="8316" xr:uid="{0105AECF-729F-463C-8FE2-D880CE06B738}"/>
    <cellStyle name="Normal 16 5 3 9 2" xfId="16696" xr:uid="{22DF1DEE-8E04-40D2-BFAF-21E7D43A43F0}"/>
    <cellStyle name="Normal 16 5 3 9 2 2" xfId="33456" xr:uid="{6878FF29-0ED2-4593-B63B-15F1B31E0CC7}"/>
    <cellStyle name="Normal 16 5 3 9 2 3" xfId="50215" xr:uid="{149F76CF-6910-4DCC-86AB-33FE8F507F35}"/>
    <cellStyle name="Normal 16 5 3 9 3" xfId="25076" xr:uid="{5F869E26-F7BA-4954-B1D9-40D9B480B6BA}"/>
    <cellStyle name="Normal 16 5 3 9 4" xfId="41835" xr:uid="{2376CFA9-3D3D-4789-A828-286A69FFB6B3}"/>
    <cellStyle name="Normal 16 5 4" xfId="1022" xr:uid="{055B2C27-FA65-40CF-A598-3B73F8A7635E}"/>
    <cellStyle name="Normal 16 5 4 2" xfId="4417" xr:uid="{0C2CE7A3-B4A8-4B17-94F1-5EFEE9F2090F}"/>
    <cellStyle name="Normal 16 5 4 2 2" xfId="12797" xr:uid="{12BEC41F-514E-4515-BEEB-215760CE07BF}"/>
    <cellStyle name="Normal 16 5 4 2 2 2" xfId="29557" xr:uid="{D658B137-4A63-4F9B-92E9-DD3D6D1E1143}"/>
    <cellStyle name="Normal 16 5 4 2 2 3" xfId="46316" xr:uid="{73D394DB-22E1-4DF8-B0BD-A1CBDD1AB432}"/>
    <cellStyle name="Normal 16 5 4 2 3" xfId="21177" xr:uid="{4270D1F5-4ED3-4347-92F2-75A65C982CDD}"/>
    <cellStyle name="Normal 16 5 4 2 4" xfId="37936" xr:uid="{B6753BF4-D72F-4D23-B9D3-B5E694535A12}"/>
    <cellStyle name="Normal 16 5 4 3" xfId="6104" xr:uid="{060517FB-646F-46F4-9FF5-8642055666F8}"/>
    <cellStyle name="Normal 16 5 4 3 2" xfId="14484" xr:uid="{97F437DF-B9BD-4D26-B232-36891A830FE5}"/>
    <cellStyle name="Normal 16 5 4 3 2 2" xfId="31244" xr:uid="{97F3CEBA-AD6F-4B3E-8F48-245C0657ED4E}"/>
    <cellStyle name="Normal 16 5 4 3 2 3" xfId="48003" xr:uid="{4CAA1916-B84A-4D82-9D04-75FB77B02AFD}"/>
    <cellStyle name="Normal 16 5 4 3 3" xfId="22864" xr:uid="{C8FA15B3-B5C4-4CEA-A466-CFE8C7E72E72}"/>
    <cellStyle name="Normal 16 5 4 3 4" xfId="39623" xr:uid="{7AE08E84-FBA9-45CB-BFF5-D7384CAC6A26}"/>
    <cellStyle name="Normal 16 5 4 4" xfId="2840" xr:uid="{671A728C-DEC1-4FE0-B627-1B4DCE831CE9}"/>
    <cellStyle name="Normal 16 5 4 4 2" xfId="11220" xr:uid="{A97B6A69-40A0-4B99-9A6A-92AF2BF10C57}"/>
    <cellStyle name="Normal 16 5 4 4 2 2" xfId="27980" xr:uid="{ADD20532-F4C5-494B-BC1B-0FD8FF019691}"/>
    <cellStyle name="Normal 16 5 4 4 2 3" xfId="44739" xr:uid="{48FE0191-1EDA-4E4F-9360-506C3D8329B1}"/>
    <cellStyle name="Normal 16 5 4 4 3" xfId="19600" xr:uid="{ED375B5D-E6B2-4DFC-85F0-476D493C0772}"/>
    <cellStyle name="Normal 16 5 4 4 4" xfId="36359" xr:uid="{ED3D71B7-B0B8-4346-B9B5-821D6C3442F0}"/>
    <cellStyle name="Normal 16 5 4 5" xfId="9417" xr:uid="{7AA45F8B-CA14-4608-A533-33FA84492854}"/>
    <cellStyle name="Normal 16 5 4 5 2" xfId="26177" xr:uid="{88731946-DF23-41AE-800F-2CF38B800CB3}"/>
    <cellStyle name="Normal 16 5 4 5 3" xfId="42936" xr:uid="{798A33C4-C071-4BE9-A1FA-A874ACB16708}"/>
    <cellStyle name="Normal 16 5 4 6" xfId="17797" xr:uid="{B4942B8F-D85D-4BF8-B65F-E86CEE30D56F}"/>
    <cellStyle name="Normal 16 5 4 7" xfId="34556" xr:uid="{35F1D75F-A70B-4430-8E9F-F5A2A821F138}"/>
    <cellStyle name="Normal 16 5 5" xfId="1456" xr:uid="{81F9A321-B2D1-4C39-A686-03477984ADDD}"/>
    <cellStyle name="Normal 16 5 5 2" xfId="4845" xr:uid="{726AFCDC-D274-4484-AF04-D246C00D57B9}"/>
    <cellStyle name="Normal 16 5 5 2 2" xfId="13225" xr:uid="{0FF3B5D4-4567-44CA-9639-23B4F366AC87}"/>
    <cellStyle name="Normal 16 5 5 2 2 2" xfId="29985" xr:uid="{C61B685C-651E-4D0F-B602-0DDF1FFA046A}"/>
    <cellStyle name="Normal 16 5 5 2 2 3" xfId="46744" xr:uid="{0B8E1942-F038-403D-996A-2B3941F2B375}"/>
    <cellStyle name="Normal 16 5 5 2 3" xfId="21605" xr:uid="{C9515839-24AF-4F28-91DD-6DFFF3771039}"/>
    <cellStyle name="Normal 16 5 5 2 4" xfId="38364" xr:uid="{0D1FE92D-A4BD-4FC9-8734-9F1166FE7E7D}"/>
    <cellStyle name="Normal 16 5 5 3" xfId="6532" xr:uid="{A39CA6E3-70FF-4FAE-87AA-E8B1EDFFE711}"/>
    <cellStyle name="Normal 16 5 5 3 2" xfId="14912" xr:uid="{B9659C76-A777-47FB-B78B-E70EB8020533}"/>
    <cellStyle name="Normal 16 5 5 3 2 2" xfId="31672" xr:uid="{4E7616AE-0BD5-40D7-8A64-3ABAC09232EC}"/>
    <cellStyle name="Normal 16 5 5 3 2 3" xfId="48431" xr:uid="{4793749D-DDA8-4FF9-B14E-B827D02F6A72}"/>
    <cellStyle name="Normal 16 5 5 3 3" xfId="23292" xr:uid="{0FB6D4BC-F69E-484C-AD2F-64810C6D44F1}"/>
    <cellStyle name="Normal 16 5 5 3 4" xfId="40051" xr:uid="{D23629FF-8D17-4BED-8F3C-F7B8C2846F09}"/>
    <cellStyle name="Normal 16 5 5 4" xfId="3268" xr:uid="{ACFDB45C-A44B-478B-A844-EA1F08CBBC76}"/>
    <cellStyle name="Normal 16 5 5 4 2" xfId="11648" xr:uid="{E1C72BB6-A0BF-4D69-A6B8-5DBDEE69BD7F}"/>
    <cellStyle name="Normal 16 5 5 4 2 2" xfId="28408" xr:uid="{E291E609-1BF3-45D5-A5D3-484F3865943C}"/>
    <cellStyle name="Normal 16 5 5 4 2 3" xfId="45167" xr:uid="{E4F0A07C-F31E-46D8-BB16-CB152BCBA065}"/>
    <cellStyle name="Normal 16 5 5 4 3" xfId="20028" xr:uid="{CB89A76D-518B-4A52-8763-15C156F055BD}"/>
    <cellStyle name="Normal 16 5 5 4 4" xfId="36787" xr:uid="{1A0FEF30-7651-4BE3-99BC-6B2E68346380}"/>
    <cellStyle name="Normal 16 5 5 5" xfId="9845" xr:uid="{71854C11-A197-4D83-964D-B45D4D505F9D}"/>
    <cellStyle name="Normal 16 5 5 5 2" xfId="26605" xr:uid="{4E757DB7-F057-418D-AB42-B07BEC9B5C53}"/>
    <cellStyle name="Normal 16 5 5 5 3" xfId="43364" xr:uid="{0E05E9CE-8B41-4909-AE3C-909C20E598B7}"/>
    <cellStyle name="Normal 16 5 5 6" xfId="18225" xr:uid="{B82395CB-DB66-402A-BF37-A72EF12F4DE7}"/>
    <cellStyle name="Normal 16 5 5 7" xfId="34984" xr:uid="{7F742991-1DE3-4A8F-8290-5B5B032A9D78}"/>
    <cellStyle name="Normal 16 5 6" xfId="1751" xr:uid="{AC8E083E-0E49-4D34-BE33-43DE4C298098}"/>
    <cellStyle name="Normal 16 5 6 2" xfId="5140" xr:uid="{D2D857CC-30AD-4647-AAF3-550BE36E92AF}"/>
    <cellStyle name="Normal 16 5 6 2 2" xfId="13520" xr:uid="{EBFEF045-413E-4B61-BBA1-641030328907}"/>
    <cellStyle name="Normal 16 5 6 2 2 2" xfId="30280" xr:uid="{5FDD0288-4C3C-4FB7-B6F9-D97FAC854FD8}"/>
    <cellStyle name="Normal 16 5 6 2 2 3" xfId="47039" xr:uid="{99687E00-86C0-4336-94C3-3451B8133E3D}"/>
    <cellStyle name="Normal 16 5 6 2 3" xfId="21900" xr:uid="{2B9942A1-E6D1-4F1C-BE31-E1E579F5641D}"/>
    <cellStyle name="Normal 16 5 6 2 4" xfId="38659" xr:uid="{3ACFCE17-AB7B-46A8-91D3-FB4FF4A92E14}"/>
    <cellStyle name="Normal 16 5 6 3" xfId="6827" xr:uid="{55BA063B-1DC1-4DE6-B971-35CA2750CA49}"/>
    <cellStyle name="Normal 16 5 6 3 2" xfId="15207" xr:uid="{39A9CF86-9FFD-410E-B76A-688A61625A32}"/>
    <cellStyle name="Normal 16 5 6 3 2 2" xfId="31967" xr:uid="{F90F2C10-4284-4450-8517-331DDA62C54D}"/>
    <cellStyle name="Normal 16 5 6 3 2 3" xfId="48726" xr:uid="{C0D72088-3518-4D4C-8948-08D64EBF43A5}"/>
    <cellStyle name="Normal 16 5 6 3 3" xfId="23587" xr:uid="{DE58607E-0CDC-4B98-BA63-438B4AE43AF4}"/>
    <cellStyle name="Normal 16 5 6 3 4" xfId="40346" xr:uid="{B67177F5-2BF9-4A62-AB8C-A62461A16C55}"/>
    <cellStyle name="Normal 16 5 6 4" xfId="2412" xr:uid="{6152506A-C5F3-4B1B-BF6E-261A1A7EB714}"/>
    <cellStyle name="Normal 16 5 6 4 2" xfId="10794" xr:uid="{00FE994E-29A4-4433-B003-7936E4D0C46D}"/>
    <cellStyle name="Normal 16 5 6 4 2 2" xfId="27554" xr:uid="{8DD77720-91F1-4A8C-BA0C-A26A02E2BFBC}"/>
    <cellStyle name="Normal 16 5 6 4 2 3" xfId="44313" xr:uid="{97BA172C-4D72-45CE-9229-EC914C620CBF}"/>
    <cellStyle name="Normal 16 5 6 4 3" xfId="19174" xr:uid="{7F741C17-6518-4E0C-9BEB-3CFEEDCA7C1E}"/>
    <cellStyle name="Normal 16 5 6 4 4" xfId="35933" xr:uid="{F93514E7-B868-48A5-9799-F8869DB7CA57}"/>
    <cellStyle name="Normal 16 5 6 5" xfId="10140" xr:uid="{28E03452-C8A0-4C94-9DAF-A560438FC4CD}"/>
    <cellStyle name="Normal 16 5 6 5 2" xfId="26900" xr:uid="{87B454D8-2C92-458D-8B27-5B8A867EB42A}"/>
    <cellStyle name="Normal 16 5 6 5 3" xfId="43659" xr:uid="{883C9B42-1AFF-4FB5-9EE6-06DA6718B00E}"/>
    <cellStyle name="Normal 16 5 6 6" xfId="18520" xr:uid="{3CB9688D-64CF-44B4-87B2-785D699D2498}"/>
    <cellStyle name="Normal 16 5 6 7" xfId="35279" xr:uid="{E89A77B1-34B2-4911-ABE6-73E2DD15A900}"/>
    <cellStyle name="Normal 16 5 7" xfId="3870" xr:uid="{1FBE5CD3-91E0-4B85-B576-109963FC776A}"/>
    <cellStyle name="Normal 16 5 7 2" xfId="12250" xr:uid="{94BC293B-A329-407C-BBE1-6638E4F7B2CD}"/>
    <cellStyle name="Normal 16 5 7 2 2" xfId="29010" xr:uid="{8A66B1A7-5E8C-4328-90DC-9E72D22B2423}"/>
    <cellStyle name="Normal 16 5 7 2 3" xfId="45769" xr:uid="{98C41CE1-765B-40ED-8891-03E8A4D79F21}"/>
    <cellStyle name="Normal 16 5 7 3" xfId="20630" xr:uid="{E8EBA45E-4685-4DFC-B08E-493B1D6B8271}"/>
    <cellStyle name="Normal 16 5 7 4" xfId="37389" xr:uid="{F2F5FE35-7EA3-4280-9489-A0004D1D728E}"/>
    <cellStyle name="Normal 16 5 8" xfId="5678" xr:uid="{0D63F289-57C0-44F0-8076-7AF1E54D565C}"/>
    <cellStyle name="Normal 16 5 8 2" xfId="14058" xr:uid="{131F1BA1-77B7-4C83-A728-85CEE9365B9C}"/>
    <cellStyle name="Normal 16 5 8 2 2" xfId="30818" xr:uid="{A722B234-3D6E-4F38-9C79-06A25FEA6A54}"/>
    <cellStyle name="Normal 16 5 8 2 3" xfId="47577" xr:uid="{08710255-429C-4E18-8D17-7DD2890A1455}"/>
    <cellStyle name="Normal 16 5 8 3" xfId="22438" xr:uid="{CADB3F39-660C-47A1-9E77-E4F287044282}"/>
    <cellStyle name="Normal 16 5 8 4" xfId="39197" xr:uid="{5053269F-7A79-46F9-9942-B56CF1BAE836}"/>
    <cellStyle name="Normal 16 5 9" xfId="7233" xr:uid="{31E252F1-0070-49B9-A528-FAEA3ED5F50B}"/>
    <cellStyle name="Normal 16 5 9 2" xfId="15613" xr:uid="{EBBA9F7D-E717-4EB9-ABA6-DA3CD684D04D}"/>
    <cellStyle name="Normal 16 5 9 2 2" xfId="32373" xr:uid="{64F9151F-DB91-4DCA-9D6F-1BA4C34593B9}"/>
    <cellStyle name="Normal 16 5 9 2 3" xfId="49132" xr:uid="{050B2728-72B7-4BFE-92D5-68641523329B}"/>
    <cellStyle name="Normal 16 5 9 3" xfId="23993" xr:uid="{3B470CE9-E0EB-48A1-B514-F92B2C3D9620}"/>
    <cellStyle name="Normal 16 5 9 4" xfId="40752" xr:uid="{724FCE55-47A3-4C60-801C-1243C0A5AC07}"/>
    <cellStyle name="Normal 16 6" xfId="583" xr:uid="{B37BE049-2228-452B-A904-1439137FCE90}"/>
    <cellStyle name="Normal 16 6 10" xfId="8514" xr:uid="{A886E90E-F1D5-450F-8173-D377A00FA4FF}"/>
    <cellStyle name="Normal 16 6 10 2" xfId="16894" xr:uid="{0C971DBF-DB1E-44B0-BFDE-AB3093381E02}"/>
    <cellStyle name="Normal 16 6 10 2 2" xfId="33654" xr:uid="{6127DA33-B411-4F93-B78B-8DFCF07C20D3}"/>
    <cellStyle name="Normal 16 6 10 2 3" xfId="50413" xr:uid="{D1BC4773-5F75-4DE4-9089-CFD7C573CD9D}"/>
    <cellStyle name="Normal 16 6 10 3" xfId="25274" xr:uid="{8C7D0F78-7A6B-4DA9-95F4-CE220A7015DE}"/>
    <cellStyle name="Normal 16 6 10 4" xfId="42033" xr:uid="{8E259A5A-1889-4699-8A28-95617ACE0C93}"/>
    <cellStyle name="Normal 16 6 11" xfId="2415" xr:uid="{63D06C86-2B98-4F63-9F2E-4EF047690477}"/>
    <cellStyle name="Normal 16 6 11 2" xfId="10797" xr:uid="{F6AFAFD0-9C36-465E-8E1F-792FD026337A}"/>
    <cellStyle name="Normal 16 6 11 2 2" xfId="27557" xr:uid="{6BC12B8F-FBD9-4262-B870-F01F56B195F8}"/>
    <cellStyle name="Normal 16 6 11 2 3" xfId="44316" xr:uid="{CD07EAFD-2CFE-4892-9122-466856D3DA8D}"/>
    <cellStyle name="Normal 16 6 11 3" xfId="19177" xr:uid="{9DFEB4F0-0A5B-4B18-95DE-3089675031CF}"/>
    <cellStyle name="Normal 16 6 11 4" xfId="35936" xr:uid="{CCBA83C0-6231-41D1-81A5-2AD3BCFD0DE7}"/>
    <cellStyle name="Normal 16 6 12" xfId="8994" xr:uid="{3896DBF3-B175-43E5-A3E7-BBB609CCB057}"/>
    <cellStyle name="Normal 16 6 12 2" xfId="25754" xr:uid="{7C2C393E-C1C7-415C-AE0E-7C1F01C24157}"/>
    <cellStyle name="Normal 16 6 12 3" xfId="42513" xr:uid="{DE27ED61-9BDB-4CBE-9C6E-8F1549D12101}"/>
    <cellStyle name="Normal 16 6 13" xfId="17374" xr:uid="{9E05F99C-FACE-4C15-986A-15331ACC80A2}"/>
    <cellStyle name="Normal 16 6 14" xfId="34133" xr:uid="{03864627-FCFE-462D-8696-AF6B76DC2BD9}"/>
    <cellStyle name="Normal 16 6 2" xfId="1025" xr:uid="{933FF88C-0250-4B00-9BF5-7D7A47FDEC5E}"/>
    <cellStyle name="Normal 16 6 2 2" xfId="4420" xr:uid="{2F3F5470-E92C-4E4E-847F-16627ACC881E}"/>
    <cellStyle name="Normal 16 6 2 2 2" xfId="12800" xr:uid="{1301B33E-4C45-4ABE-9840-24297986B690}"/>
    <cellStyle name="Normal 16 6 2 2 2 2" xfId="29560" xr:uid="{D26BA835-4886-4671-9CEB-51FF4DA22934}"/>
    <cellStyle name="Normal 16 6 2 2 2 3" xfId="46319" xr:uid="{53F3B6EB-6B7A-4930-A944-D9D6772A5E44}"/>
    <cellStyle name="Normal 16 6 2 2 3" xfId="21180" xr:uid="{8B2C5768-4096-4053-9891-41E0D8B4412B}"/>
    <cellStyle name="Normal 16 6 2 2 4" xfId="37939" xr:uid="{11D757BA-E63A-4EEF-90DF-8789E64DFC5D}"/>
    <cellStyle name="Normal 16 6 2 3" xfId="6107" xr:uid="{B5912E4F-5543-4C96-ADDA-B26691CEDDEB}"/>
    <cellStyle name="Normal 16 6 2 3 2" xfId="14487" xr:uid="{68C1709D-1ADF-4931-BE68-4114ED004B84}"/>
    <cellStyle name="Normal 16 6 2 3 2 2" xfId="31247" xr:uid="{3D205F68-DFE6-471E-9AB0-B5C2941DBC81}"/>
    <cellStyle name="Normal 16 6 2 3 2 3" xfId="48006" xr:uid="{95F0C18E-AEE2-4ED1-8FAD-ADBCACEA6DD6}"/>
    <cellStyle name="Normal 16 6 2 3 3" xfId="22867" xr:uid="{EAFDD91A-1632-4104-A9EC-F6DF7F2D1921}"/>
    <cellStyle name="Normal 16 6 2 3 4" xfId="39626" xr:uid="{807E1FD2-46E2-4D77-B10D-BBAB76E63C1F}"/>
    <cellStyle name="Normal 16 6 2 4" xfId="2843" xr:uid="{5DCDBF0E-3218-49AF-BDE7-42B018AF2C2D}"/>
    <cellStyle name="Normal 16 6 2 4 2" xfId="11223" xr:uid="{0D56F53E-F3DD-4DE9-A16A-9189C843648C}"/>
    <cellStyle name="Normal 16 6 2 4 2 2" xfId="27983" xr:uid="{B7C948E7-428E-49CF-B159-66F95EF607BB}"/>
    <cellStyle name="Normal 16 6 2 4 2 3" xfId="44742" xr:uid="{33A20657-B2B6-4A65-92D3-CCE5C04CC900}"/>
    <cellStyle name="Normal 16 6 2 4 3" xfId="19603" xr:uid="{B237EDB3-727A-45A9-8878-1197F55382CB}"/>
    <cellStyle name="Normal 16 6 2 4 4" xfId="36362" xr:uid="{00516744-DA45-4B4C-9282-C1D3920A4E22}"/>
    <cellStyle name="Normal 16 6 2 5" xfId="9420" xr:uid="{4F9333B2-76FE-4FA8-8FAE-78C7AABB34FF}"/>
    <cellStyle name="Normal 16 6 2 5 2" xfId="26180" xr:uid="{E49B7161-CA85-4916-B2C3-3D7565E41EEB}"/>
    <cellStyle name="Normal 16 6 2 5 3" xfId="42939" xr:uid="{3964A9AB-A300-44A5-84D7-4D5F0251E208}"/>
    <cellStyle name="Normal 16 6 2 6" xfId="17800" xr:uid="{B1656C3F-75BB-4EE7-B993-441DABE58069}"/>
    <cellStyle name="Normal 16 6 2 7" xfId="34559" xr:uid="{B9ADF8A5-47CE-494D-BA7F-D162E3F93E38}"/>
    <cellStyle name="Normal 16 6 3" xfId="1459" xr:uid="{50FFE533-2777-4CAA-8083-4C404C0FC15D}"/>
    <cellStyle name="Normal 16 6 3 2" xfId="4848" xr:uid="{456DC62A-7A68-4271-8027-D48A097AFA61}"/>
    <cellStyle name="Normal 16 6 3 2 2" xfId="13228" xr:uid="{0A875CE9-08D9-47A7-9E13-AEDA831FBFC2}"/>
    <cellStyle name="Normal 16 6 3 2 2 2" xfId="29988" xr:uid="{F731E470-76F5-46BD-93F1-BDFB2208FFD4}"/>
    <cellStyle name="Normal 16 6 3 2 2 3" xfId="46747" xr:uid="{7261E99D-0C6F-4802-991F-41A135347D7F}"/>
    <cellStyle name="Normal 16 6 3 2 3" xfId="21608" xr:uid="{196F3D3E-2439-4EE9-901F-64DC65A67192}"/>
    <cellStyle name="Normal 16 6 3 2 4" xfId="38367" xr:uid="{44825D99-7240-4EC0-BD3C-B66B792F6912}"/>
    <cellStyle name="Normal 16 6 3 3" xfId="6535" xr:uid="{EFD05EED-7605-43FE-8054-B7379ADF72A1}"/>
    <cellStyle name="Normal 16 6 3 3 2" xfId="14915" xr:uid="{1AB385DE-977B-4F63-8C4B-CEA926DE6E19}"/>
    <cellStyle name="Normal 16 6 3 3 2 2" xfId="31675" xr:uid="{4E185F02-EC34-4E4D-A8BD-0B68287ED2A8}"/>
    <cellStyle name="Normal 16 6 3 3 2 3" xfId="48434" xr:uid="{DF6DF2F4-8BB0-4BCE-9F30-D605DCE4E7E6}"/>
    <cellStyle name="Normal 16 6 3 3 3" xfId="23295" xr:uid="{1746F2A8-5746-46A3-860A-E2516B37C089}"/>
    <cellStyle name="Normal 16 6 3 3 4" xfId="40054" xr:uid="{FD91AAFD-8DF7-499F-9BE7-CD1799161253}"/>
    <cellStyle name="Normal 16 6 3 4" xfId="3271" xr:uid="{92B36605-511C-4716-9017-4AFADFC1DF1D}"/>
    <cellStyle name="Normal 16 6 3 4 2" xfId="11651" xr:uid="{0D741941-3670-48A9-B9D2-86EBFA5A8C8B}"/>
    <cellStyle name="Normal 16 6 3 4 2 2" xfId="28411" xr:uid="{898D47A3-16F1-48F4-BE97-326DB43FF87D}"/>
    <cellStyle name="Normal 16 6 3 4 2 3" xfId="45170" xr:uid="{A5FC163B-E13A-4D97-A59D-409EDCD3A305}"/>
    <cellStyle name="Normal 16 6 3 4 3" xfId="20031" xr:uid="{0801C0CC-9A54-4F4B-97E6-3D0F44668B60}"/>
    <cellStyle name="Normal 16 6 3 4 4" xfId="36790" xr:uid="{FFD7EA8F-750E-433A-8E7D-B67FBC6D5C74}"/>
    <cellStyle name="Normal 16 6 3 5" xfId="9848" xr:uid="{8026B05F-2D5C-44E8-B6B4-3587AC2B5D65}"/>
    <cellStyle name="Normal 16 6 3 5 2" xfId="26608" xr:uid="{14817AE3-A3E9-4DBE-B67E-A8CD32D478A4}"/>
    <cellStyle name="Normal 16 6 3 5 3" xfId="43367" xr:uid="{F7EF3735-2987-4EA2-818C-CBFF5A870F09}"/>
    <cellStyle name="Normal 16 6 3 6" xfId="18228" xr:uid="{4CB43C43-0B71-4AF0-9F16-A9F3A7F6286F}"/>
    <cellStyle name="Normal 16 6 3 7" xfId="34987" xr:uid="{CBA823C1-8311-4D06-933E-5ADEE3D8A60C}"/>
    <cellStyle name="Normal 16 6 4" xfId="1814" xr:uid="{B7E4B5E6-C793-4CF4-9840-666AB8FCB197}"/>
    <cellStyle name="Normal 16 6 4 2" xfId="5203" xr:uid="{0B7108B1-E556-47A2-8C3B-85809E34F98A}"/>
    <cellStyle name="Normal 16 6 4 2 2" xfId="13583" xr:uid="{E85F441E-2019-4FF4-9BDD-56E29F7021D3}"/>
    <cellStyle name="Normal 16 6 4 2 2 2" xfId="30343" xr:uid="{02543729-E3D6-4D81-8D52-64EF68AFA132}"/>
    <cellStyle name="Normal 16 6 4 2 2 3" xfId="47102" xr:uid="{ABC2D7CB-FC22-4FE8-8A5E-8B51919C126D}"/>
    <cellStyle name="Normal 16 6 4 2 3" xfId="21963" xr:uid="{AAB58CD7-E41F-4C26-AAF5-4002D60FFB8A}"/>
    <cellStyle name="Normal 16 6 4 2 4" xfId="38722" xr:uid="{5CFFC53B-268A-4E2B-BF11-3A43F03DB681}"/>
    <cellStyle name="Normal 16 6 4 3" xfId="6890" xr:uid="{5CBDEE4E-E0A2-4B1D-97EE-29999224C7FE}"/>
    <cellStyle name="Normal 16 6 4 3 2" xfId="15270" xr:uid="{6B63039C-4A58-495D-8285-B09B02DF014D}"/>
    <cellStyle name="Normal 16 6 4 3 2 2" xfId="32030" xr:uid="{7A6A04A5-3785-43DD-BE27-FDF96E6F1640}"/>
    <cellStyle name="Normal 16 6 4 3 2 3" xfId="48789" xr:uid="{01F5FF30-51D7-42BC-BB24-ED8A3C9EE976}"/>
    <cellStyle name="Normal 16 6 4 3 3" xfId="23650" xr:uid="{C2D5834F-8B68-47CA-A20D-5BB87862E923}"/>
    <cellStyle name="Normal 16 6 4 3 4" xfId="40409" xr:uid="{29590E10-CDC2-43B9-BFF1-2301455965B2}"/>
    <cellStyle name="Normal 16 6 4 4" xfId="3514" xr:uid="{2D33E5F7-FF01-4F6E-8839-93B3A3CEAFCC}"/>
    <cellStyle name="Normal 16 6 4 4 2" xfId="11894" xr:uid="{8AB8FDAE-5015-4D53-A883-5E0047568939}"/>
    <cellStyle name="Normal 16 6 4 4 2 2" xfId="28654" xr:uid="{27E1F9F1-A16E-4FD4-80EE-BA2CA341D10E}"/>
    <cellStyle name="Normal 16 6 4 4 2 3" xfId="45413" xr:uid="{DECC44BF-194F-4AE7-AF64-B3F1776F29EE}"/>
    <cellStyle name="Normal 16 6 4 4 3" xfId="20274" xr:uid="{CAB36A86-FF7A-4027-AC5E-2F54B6CDCD69}"/>
    <cellStyle name="Normal 16 6 4 4 4" xfId="37033" xr:uid="{AB8971A9-2F9D-4087-A2DF-54F9F7E685DD}"/>
    <cellStyle name="Normal 16 6 4 5" xfId="10203" xr:uid="{8FFC6A6D-A2F6-48D6-8FE6-E9B0E8DE568E}"/>
    <cellStyle name="Normal 16 6 4 5 2" xfId="26963" xr:uid="{E179BD3A-4A27-4989-98A7-05EBBE93D0E4}"/>
    <cellStyle name="Normal 16 6 4 5 3" xfId="43722" xr:uid="{E0F4589A-F8C1-478F-A456-709C6F3A1647}"/>
    <cellStyle name="Normal 16 6 4 6" xfId="18583" xr:uid="{AEF766AB-7D90-4C09-81B6-BD4BFEF3D253}"/>
    <cellStyle name="Normal 16 6 4 7" xfId="35342" xr:uid="{5F73E201-672B-43A1-BCFE-F7CA0244FF97}"/>
    <cellStyle name="Normal 16 6 5" xfId="3933" xr:uid="{16262D59-4D8F-411B-A2E4-1817B53F7EE4}"/>
    <cellStyle name="Normal 16 6 5 2" xfId="12313" xr:uid="{744FF80E-A571-4E0D-98BF-320C0BB50B8F}"/>
    <cellStyle name="Normal 16 6 5 2 2" xfId="29073" xr:uid="{944A361A-D9E8-41C2-BD15-C0BAB55FAE63}"/>
    <cellStyle name="Normal 16 6 5 2 3" xfId="45832" xr:uid="{9404A2BB-2D9E-4083-80F3-EBF8500143DE}"/>
    <cellStyle name="Normal 16 6 5 3" xfId="20693" xr:uid="{8F7184ED-87D4-45F9-B0FE-68D5E5B5CB85}"/>
    <cellStyle name="Normal 16 6 5 4" xfId="37452" xr:uid="{2FB8DBBB-AE5C-4B76-8B93-178969AA3E2C}"/>
    <cellStyle name="Normal 16 6 6" xfId="5681" xr:uid="{93868BB6-779B-4148-B977-3E2B5CC44EF7}"/>
    <cellStyle name="Normal 16 6 6 2" xfId="14061" xr:uid="{D84D9B6A-6198-4361-AD2C-F85AB6A0C6ED}"/>
    <cellStyle name="Normal 16 6 6 2 2" xfId="30821" xr:uid="{D97489C1-3D7E-4B1A-AC7D-4C09A230575A}"/>
    <cellStyle name="Normal 16 6 6 2 3" xfId="47580" xr:uid="{2025294A-7F4D-4D3F-84FD-9BA3A44A6A3D}"/>
    <cellStyle name="Normal 16 6 6 3" xfId="22441" xr:uid="{735C7DEB-F288-4AF6-94F0-8451CE1C9477}"/>
    <cellStyle name="Normal 16 6 6 4" xfId="39200" xr:uid="{250B3943-3D79-4B28-9B96-A5B39C1893DD}"/>
    <cellStyle name="Normal 16 6 7" xfId="7296" xr:uid="{2BB27AFB-C83A-4483-892D-2A35F06D5CB3}"/>
    <cellStyle name="Normal 16 6 7 2" xfId="15676" xr:uid="{8000BA62-16C3-402C-BD47-15483A248D6F}"/>
    <cellStyle name="Normal 16 6 7 2 2" xfId="32436" xr:uid="{7F48499B-2F62-47B6-9863-C5216A5FD2FB}"/>
    <cellStyle name="Normal 16 6 7 2 3" xfId="49195" xr:uid="{5FCBE2AB-910A-4AC0-905E-DD5B8C46817B}"/>
    <cellStyle name="Normal 16 6 7 3" xfId="24056" xr:uid="{3E1F4232-FB63-41E4-8110-F5F6E84795CD}"/>
    <cellStyle name="Normal 16 6 7 4" xfId="40815" xr:uid="{B9BA76D3-EC26-4C4C-9A9C-6B17C5B3F98A}"/>
    <cellStyle name="Normal 16 6 8" xfId="7702" xr:uid="{5E72BBDC-D31D-4343-B815-1ACE4DED2542}"/>
    <cellStyle name="Normal 16 6 8 2" xfId="16082" xr:uid="{20A408D5-25BC-4DCC-859C-49ABA5463D40}"/>
    <cellStyle name="Normal 16 6 8 2 2" xfId="32842" xr:uid="{DF8F0C9D-CD35-4498-8FF9-4E0D534A4286}"/>
    <cellStyle name="Normal 16 6 8 2 3" xfId="49601" xr:uid="{3803F299-E515-4199-9F24-3EF4C4AE808F}"/>
    <cellStyle name="Normal 16 6 8 3" xfId="24462" xr:uid="{421EEEAA-E755-44D0-AF36-52807B1D7C10}"/>
    <cellStyle name="Normal 16 6 8 4" xfId="41221" xr:uid="{9B23085F-6579-4375-B628-2D2088F0AED4}"/>
    <cellStyle name="Normal 16 6 9" xfId="8108" xr:uid="{8D44A302-764C-40EF-9341-4E7EEA10962D}"/>
    <cellStyle name="Normal 16 6 9 2" xfId="16488" xr:uid="{B0066B36-6B3C-48F1-BA69-2A7799455B57}"/>
    <cellStyle name="Normal 16 6 9 2 2" xfId="33248" xr:uid="{1562EBDD-15EC-4739-990A-802B1858F8FC}"/>
    <cellStyle name="Normal 16 6 9 2 3" xfId="50007" xr:uid="{D82EFDA4-E4BC-4EB2-B3CD-9F0BA364A5B4}"/>
    <cellStyle name="Normal 16 6 9 3" xfId="24868" xr:uid="{276FA225-F6C6-4EE1-A30A-F18597083CD6}"/>
    <cellStyle name="Normal 16 6 9 4" xfId="41627" xr:uid="{049667DE-3A19-4D8D-B69B-98362D468F39}"/>
    <cellStyle name="Normal 16 7" xfId="584" xr:uid="{5F0F160F-ADFA-43D8-9AED-04B2EFC9D1C0}"/>
    <cellStyle name="Normal 16 7 10" xfId="8607" xr:uid="{26E455B2-56AE-454A-A1C6-1DC2CD802639}"/>
    <cellStyle name="Normal 16 7 10 2" xfId="16987" xr:uid="{7540595F-8C35-4ABC-AFE7-86EF489C1423}"/>
    <cellStyle name="Normal 16 7 10 2 2" xfId="33747" xr:uid="{4682CE05-6136-47CC-91F8-3E564A977FC5}"/>
    <cellStyle name="Normal 16 7 10 2 3" xfId="50506" xr:uid="{BD1899D9-0F82-4845-B9F1-13CB3D8B43EC}"/>
    <cellStyle name="Normal 16 7 10 3" xfId="25367" xr:uid="{77BCBA03-5BCA-401D-A88E-DE0D8DC864C1}"/>
    <cellStyle name="Normal 16 7 10 4" xfId="42126" xr:uid="{62E1A43C-C0E9-499B-8B0F-2EA63954EFA4}"/>
    <cellStyle name="Normal 16 7 11" xfId="2416" xr:uid="{F5F4112E-315C-42A6-B99A-15C24E43C3FF}"/>
    <cellStyle name="Normal 16 7 11 2" xfId="10798" xr:uid="{6DCDD05C-C6D5-4C8A-A2EE-BCCA14719AA1}"/>
    <cellStyle name="Normal 16 7 11 2 2" xfId="27558" xr:uid="{825BC20A-E548-4C50-98C0-E52A6F4ECECE}"/>
    <cellStyle name="Normal 16 7 11 2 3" xfId="44317" xr:uid="{31DAB8F7-DED2-4EB1-B3F1-28F24A060615}"/>
    <cellStyle name="Normal 16 7 11 3" xfId="19178" xr:uid="{6C91C4DB-76A9-4448-89FC-7CDDE2806AB3}"/>
    <cellStyle name="Normal 16 7 11 4" xfId="35937" xr:uid="{93AE6E0D-4CC2-4449-9A38-B52F760642FC}"/>
    <cellStyle name="Normal 16 7 12" xfId="8995" xr:uid="{782820DE-2080-4D16-89B9-47E9CBF36B91}"/>
    <cellStyle name="Normal 16 7 12 2" xfId="25755" xr:uid="{5350C80F-1C57-4E9F-A127-B976590B2ABD}"/>
    <cellStyle name="Normal 16 7 12 3" xfId="42514" xr:uid="{0A09B8AB-F1DE-4400-851F-991181936A12}"/>
    <cellStyle name="Normal 16 7 13" xfId="17375" xr:uid="{BA21E0D0-88CA-486C-A695-77E7280B357F}"/>
    <cellStyle name="Normal 16 7 14" xfId="34134" xr:uid="{B13F220C-8979-456C-938D-3AA6F12EC078}"/>
    <cellStyle name="Normal 16 7 2" xfId="1026" xr:uid="{C665E3F7-CBB0-4E77-AF9D-029843DC4C09}"/>
    <cellStyle name="Normal 16 7 2 2" xfId="4421" xr:uid="{02BA3213-44B7-48DC-B68B-CB85E63E1A03}"/>
    <cellStyle name="Normal 16 7 2 2 2" xfId="12801" xr:uid="{34834C18-BF26-45D9-AB3A-B81F533AB226}"/>
    <cellStyle name="Normal 16 7 2 2 2 2" xfId="29561" xr:uid="{A349BC32-1753-427C-92F0-2BB9F4B713E0}"/>
    <cellStyle name="Normal 16 7 2 2 2 3" xfId="46320" xr:uid="{5C613354-4269-41DB-9044-FDA01A0995B9}"/>
    <cellStyle name="Normal 16 7 2 2 3" xfId="21181" xr:uid="{F1A920F8-72D9-4D47-99CD-A84D555DCC05}"/>
    <cellStyle name="Normal 16 7 2 2 4" xfId="37940" xr:uid="{5384C9C6-B3DE-4B67-B860-E6E40B124F20}"/>
    <cellStyle name="Normal 16 7 2 3" xfId="6108" xr:uid="{B5FB69C9-9230-4853-AE73-FC9E0BF17EFE}"/>
    <cellStyle name="Normal 16 7 2 3 2" xfId="14488" xr:uid="{1BC18CEC-0F16-4546-86D4-D98FC96075BB}"/>
    <cellStyle name="Normal 16 7 2 3 2 2" xfId="31248" xr:uid="{421BB782-12E9-4598-939C-98584E95B3B9}"/>
    <cellStyle name="Normal 16 7 2 3 2 3" xfId="48007" xr:uid="{66D837DA-58C6-4D15-9391-B651F280E67A}"/>
    <cellStyle name="Normal 16 7 2 3 3" xfId="22868" xr:uid="{F3311F5B-143F-498F-A09D-7983545631FD}"/>
    <cellStyle name="Normal 16 7 2 3 4" xfId="39627" xr:uid="{3AA4A081-B022-412F-922F-00CA2BDAB1EC}"/>
    <cellStyle name="Normal 16 7 2 4" xfId="2844" xr:uid="{8A09971C-2ED8-4370-A80A-15484C0DA7B2}"/>
    <cellStyle name="Normal 16 7 2 4 2" xfId="11224" xr:uid="{B6D136C3-BD6E-4E13-A375-43393C098535}"/>
    <cellStyle name="Normal 16 7 2 4 2 2" xfId="27984" xr:uid="{159DF69B-0B27-402F-8EB9-16801E94A4B7}"/>
    <cellStyle name="Normal 16 7 2 4 2 3" xfId="44743" xr:uid="{729E28A3-F487-4EFF-8C17-CA68E6309275}"/>
    <cellStyle name="Normal 16 7 2 4 3" xfId="19604" xr:uid="{746B6CF4-3C28-46B4-9626-AF7D197F3E8D}"/>
    <cellStyle name="Normal 16 7 2 4 4" xfId="36363" xr:uid="{4C10AAC3-4F1D-480E-982A-0774F5A9614E}"/>
    <cellStyle name="Normal 16 7 2 5" xfId="9421" xr:uid="{22D4F3E6-42E6-4EF8-8214-640C9E940053}"/>
    <cellStyle name="Normal 16 7 2 5 2" xfId="26181" xr:uid="{E4C55506-4EB4-47EA-956D-1C0FC63FE4B3}"/>
    <cellStyle name="Normal 16 7 2 5 3" xfId="42940" xr:uid="{6B8B73A8-1B6D-483A-9E3B-6383C0BC69C6}"/>
    <cellStyle name="Normal 16 7 2 6" xfId="17801" xr:uid="{1D9B69A3-8FF1-4565-85B3-6ED6AE1F6683}"/>
    <cellStyle name="Normal 16 7 2 7" xfId="34560" xr:uid="{4841FBFA-30BD-4A7F-A2E3-D8A139599ACA}"/>
    <cellStyle name="Normal 16 7 3" xfId="1460" xr:uid="{9E80DB32-85EA-4C5C-A6CC-3574AD600023}"/>
    <cellStyle name="Normal 16 7 3 2" xfId="4849" xr:uid="{445DBCDE-7D8E-471F-8C0F-2161AD9DA51C}"/>
    <cellStyle name="Normal 16 7 3 2 2" xfId="13229" xr:uid="{8583F179-297D-4DCC-BD9F-160B04550E11}"/>
    <cellStyle name="Normal 16 7 3 2 2 2" xfId="29989" xr:uid="{EBAD4415-0F59-4620-B889-077DBFBB747F}"/>
    <cellStyle name="Normal 16 7 3 2 2 3" xfId="46748" xr:uid="{328EF525-B705-4277-8B84-6FD099719F84}"/>
    <cellStyle name="Normal 16 7 3 2 3" xfId="21609" xr:uid="{747FC963-9ABC-4091-B952-A96F8AC208E0}"/>
    <cellStyle name="Normal 16 7 3 2 4" xfId="38368" xr:uid="{559C5EEF-884E-44E2-8ACF-EE8CAB14BA99}"/>
    <cellStyle name="Normal 16 7 3 3" xfId="6536" xr:uid="{437DA67E-FC02-44E8-9C89-3203F3712D48}"/>
    <cellStyle name="Normal 16 7 3 3 2" xfId="14916" xr:uid="{4882423A-7BE7-4B58-B288-B597F65B75D5}"/>
    <cellStyle name="Normal 16 7 3 3 2 2" xfId="31676" xr:uid="{B02BCDC6-C908-4FE5-934E-A002579B1C5E}"/>
    <cellStyle name="Normal 16 7 3 3 2 3" xfId="48435" xr:uid="{9C930F92-D78A-43ED-A4DB-736FB8524070}"/>
    <cellStyle name="Normal 16 7 3 3 3" xfId="23296" xr:uid="{733FD277-9AE4-4F22-8EBC-245AA990C7CD}"/>
    <cellStyle name="Normal 16 7 3 3 4" xfId="40055" xr:uid="{7A6E9C17-F31F-4ECB-BB67-C040209C64AD}"/>
    <cellStyle name="Normal 16 7 3 4" xfId="3272" xr:uid="{914483AC-104B-4DC3-9E3E-375A3983FAC9}"/>
    <cellStyle name="Normal 16 7 3 4 2" xfId="11652" xr:uid="{83695F59-C7ED-416D-ABBA-2C74A2A70331}"/>
    <cellStyle name="Normal 16 7 3 4 2 2" xfId="28412" xr:uid="{58D13FB4-B9BC-4A6F-8853-012C15EFEBF0}"/>
    <cellStyle name="Normal 16 7 3 4 2 3" xfId="45171" xr:uid="{5FB370A1-B9CA-4D52-BDD1-46CF93F63FE3}"/>
    <cellStyle name="Normal 16 7 3 4 3" xfId="20032" xr:uid="{7926A5BB-5F5A-473D-845A-3774992A0C71}"/>
    <cellStyle name="Normal 16 7 3 4 4" xfId="36791" xr:uid="{47216507-9FA4-46D1-A19C-8779C8C700CC}"/>
    <cellStyle name="Normal 16 7 3 5" xfId="9849" xr:uid="{9F150B3D-32EF-47C3-AE03-53B2DFE8C4EF}"/>
    <cellStyle name="Normal 16 7 3 5 2" xfId="26609" xr:uid="{4995CD21-CC87-4D82-9F24-530060338C37}"/>
    <cellStyle name="Normal 16 7 3 5 3" xfId="43368" xr:uid="{617C676F-42B9-4C8E-B600-F0916BD29E55}"/>
    <cellStyle name="Normal 16 7 3 6" xfId="18229" xr:uid="{150D1AA9-84ED-4231-A4D4-9E5FEFDDEE9D}"/>
    <cellStyle name="Normal 16 7 3 7" xfId="34988" xr:uid="{11FFC6F1-0BB0-401B-80B8-39C14DFC53C6}"/>
    <cellStyle name="Normal 16 7 4" xfId="1907" xr:uid="{F2DAF5BD-19AC-4F1A-ACDA-AE980E68E2A4}"/>
    <cellStyle name="Normal 16 7 4 2" xfId="5296" xr:uid="{FA5B4B2D-7758-41C0-8D83-4954F316BE87}"/>
    <cellStyle name="Normal 16 7 4 2 2" xfId="13676" xr:uid="{3D0F66F9-95D0-4BB4-8E5E-F23DE11AD3C1}"/>
    <cellStyle name="Normal 16 7 4 2 2 2" xfId="30436" xr:uid="{7AE5F850-9EB0-485D-8243-364F38D47248}"/>
    <cellStyle name="Normal 16 7 4 2 2 3" xfId="47195" xr:uid="{DAEE9B1A-59AD-4841-9EE8-EA7E50C8C503}"/>
    <cellStyle name="Normal 16 7 4 2 3" xfId="22056" xr:uid="{B4317ED3-0E1D-4F3A-BFEF-DB3DEDF33F85}"/>
    <cellStyle name="Normal 16 7 4 2 4" xfId="38815" xr:uid="{A9E9C09B-1A72-4ADD-BDC1-33B1F39D929C}"/>
    <cellStyle name="Normal 16 7 4 3" xfId="6983" xr:uid="{EA5AABBC-349B-4C2A-AC8D-2422C7CBFD13}"/>
    <cellStyle name="Normal 16 7 4 3 2" xfId="15363" xr:uid="{585A4290-221B-41D6-91EE-F426D265DE9C}"/>
    <cellStyle name="Normal 16 7 4 3 2 2" xfId="32123" xr:uid="{F99A2E41-D707-4210-937F-678DB9508252}"/>
    <cellStyle name="Normal 16 7 4 3 2 3" xfId="48882" xr:uid="{41AA3FD0-774E-46B4-94F0-E8B1B9C6E83A}"/>
    <cellStyle name="Normal 16 7 4 3 3" xfId="23743" xr:uid="{1798F1DF-2DC9-44FF-80CF-6CE81DABE0A0}"/>
    <cellStyle name="Normal 16 7 4 3 4" xfId="40502" xr:uid="{492884A4-654C-4893-9857-C05B77B77267}"/>
    <cellStyle name="Normal 16 7 4 4" xfId="3606" xr:uid="{6439B358-6EE3-4440-8A80-0D890A238534}"/>
    <cellStyle name="Normal 16 7 4 4 2" xfId="11986" xr:uid="{C0F9DABE-8434-4485-9D7B-CFC63151E5CA}"/>
    <cellStyle name="Normal 16 7 4 4 2 2" xfId="28746" xr:uid="{794B6A52-4276-481F-A5B9-AC3B545B451B}"/>
    <cellStyle name="Normal 16 7 4 4 2 3" xfId="45505" xr:uid="{49DFA584-6F90-4A20-878F-CA779CA00A8A}"/>
    <cellStyle name="Normal 16 7 4 4 3" xfId="20366" xr:uid="{6598A3A7-1431-4A8B-9FB8-055AA8228ACE}"/>
    <cellStyle name="Normal 16 7 4 4 4" xfId="37125" xr:uid="{C0465A3E-61A9-4AE5-9718-3DCD907E1682}"/>
    <cellStyle name="Normal 16 7 4 5" xfId="10296" xr:uid="{2B175B85-4275-42B3-983F-AC7E544FFDC5}"/>
    <cellStyle name="Normal 16 7 4 5 2" xfId="27056" xr:uid="{3371D1AA-2014-42E1-ABB3-9E5870195E83}"/>
    <cellStyle name="Normal 16 7 4 5 3" xfId="43815" xr:uid="{1B74E0F1-405D-4A0D-B470-1C53B8F06932}"/>
    <cellStyle name="Normal 16 7 4 6" xfId="18676" xr:uid="{E2E876A9-7A18-4897-BD02-8263B3538416}"/>
    <cellStyle name="Normal 16 7 4 7" xfId="35435" xr:uid="{0AF8ADF7-B1D4-43A6-ACCC-3670FD1EF13C}"/>
    <cellStyle name="Normal 16 7 5" xfId="4026" xr:uid="{82D3137A-1512-468D-B81B-3C37B7C55320}"/>
    <cellStyle name="Normal 16 7 5 2" xfId="12406" xr:uid="{43417059-754D-4C1C-83EE-79BB1B949FE6}"/>
    <cellStyle name="Normal 16 7 5 2 2" xfId="29166" xr:uid="{62BA6D4F-19D0-4F31-982E-B194780CCCF6}"/>
    <cellStyle name="Normal 16 7 5 2 3" xfId="45925" xr:uid="{53807F43-62E9-4A32-AD36-DBBCCCB1C293}"/>
    <cellStyle name="Normal 16 7 5 3" xfId="20786" xr:uid="{E46F8807-7F96-40D2-97FE-5499FB5EFDD9}"/>
    <cellStyle name="Normal 16 7 5 4" xfId="37545" xr:uid="{19DC7103-50D4-484D-B8E7-609CB7F594DF}"/>
    <cellStyle name="Normal 16 7 6" xfId="5682" xr:uid="{5AF105BC-C601-473F-83A8-1B567CD26C96}"/>
    <cellStyle name="Normal 16 7 6 2" xfId="14062" xr:uid="{2A8F91BF-1026-43AE-A567-D7C4C74202A8}"/>
    <cellStyle name="Normal 16 7 6 2 2" xfId="30822" xr:uid="{22EED81C-4624-44C3-A82E-70B187BB07D0}"/>
    <cellStyle name="Normal 16 7 6 2 3" xfId="47581" xr:uid="{E29D6381-BAE7-4FC7-9DC7-19176A9B943A}"/>
    <cellStyle name="Normal 16 7 6 3" xfId="22442" xr:uid="{56097077-4A6B-4A3C-A2BD-E21DB0A34310}"/>
    <cellStyle name="Normal 16 7 6 4" xfId="39201" xr:uid="{35EBD831-20E4-4B9E-9B9E-68168796FC06}"/>
    <cellStyle name="Normal 16 7 7" xfId="7389" xr:uid="{FA9F6796-BA37-4C91-9A48-481EA1C140E1}"/>
    <cellStyle name="Normal 16 7 7 2" xfId="15769" xr:uid="{28FA56F7-3F75-4230-A022-A336FEC972C0}"/>
    <cellStyle name="Normal 16 7 7 2 2" xfId="32529" xr:uid="{9A314330-0722-4F8C-9230-22B903998A5F}"/>
    <cellStyle name="Normal 16 7 7 2 3" xfId="49288" xr:uid="{BD9C178B-F784-4A2E-89B5-0E1BE25164E9}"/>
    <cellStyle name="Normal 16 7 7 3" xfId="24149" xr:uid="{5CBD9619-DF4C-47F8-BFDE-B0881EB99932}"/>
    <cellStyle name="Normal 16 7 7 4" xfId="40908" xr:uid="{AB63F0EA-D662-49CF-A6C1-D5698A48CF4F}"/>
    <cellStyle name="Normal 16 7 8" xfId="7795" xr:uid="{38CF6C9A-8D1D-4977-A72A-838C6D0210D5}"/>
    <cellStyle name="Normal 16 7 8 2" xfId="16175" xr:uid="{EB3DE0A7-5922-49E8-96AC-6CCCAB006FBB}"/>
    <cellStyle name="Normal 16 7 8 2 2" xfId="32935" xr:uid="{3106817A-23AB-4AF6-856A-37FA57FC96D2}"/>
    <cellStyle name="Normal 16 7 8 2 3" xfId="49694" xr:uid="{1261EE29-7D3F-4C16-B217-3DFFA872DC5B}"/>
    <cellStyle name="Normal 16 7 8 3" xfId="24555" xr:uid="{CFCD9424-E352-4943-81F5-E2FBFB7A033F}"/>
    <cellStyle name="Normal 16 7 8 4" xfId="41314" xr:uid="{45302ED0-2D03-45B8-914F-0DA5866AD7FF}"/>
    <cellStyle name="Normal 16 7 9" xfId="8201" xr:uid="{84A73F8F-3A9D-4820-881C-2414C1623661}"/>
    <cellStyle name="Normal 16 7 9 2" xfId="16581" xr:uid="{83BC1FBB-778E-4B88-86D4-46E0C2506A31}"/>
    <cellStyle name="Normal 16 7 9 2 2" xfId="33341" xr:uid="{D5DCD85C-0405-4AD9-AD2D-79B687B5CA5D}"/>
    <cellStyle name="Normal 16 7 9 2 3" xfId="50100" xr:uid="{F4232728-C576-47D3-80C0-14BA3FFC33D8}"/>
    <cellStyle name="Normal 16 7 9 3" xfId="24961" xr:uid="{EC87527B-8E2F-4D30-8482-A72017ACB3E6}"/>
    <cellStyle name="Normal 16 7 9 4" xfId="41720" xr:uid="{E773CE49-3D20-4664-AD14-D4F90184C7AB}"/>
    <cellStyle name="Normal 16 8" xfId="779" xr:uid="{4D5934E1-F322-4B0B-AEA8-57C92E12E034}"/>
    <cellStyle name="Normal 16 8 2" xfId="4174" xr:uid="{D070DBE9-49C7-4EF9-B3AD-4DDC5F6F9663}"/>
    <cellStyle name="Normal 16 8 2 2" xfId="12554" xr:uid="{D7EAF38F-20A3-4962-9DD8-F376814DDB31}"/>
    <cellStyle name="Normal 16 8 2 2 2" xfId="29314" xr:uid="{63B26ED8-D2E3-4CBF-9546-7DB767E760CF}"/>
    <cellStyle name="Normal 16 8 2 2 3" xfId="46073" xr:uid="{9C71628B-E698-4F29-9158-5A14CB7CE81E}"/>
    <cellStyle name="Normal 16 8 2 3" xfId="20934" xr:uid="{B44DBF65-CE6E-4711-9CCF-CCC0FAA7B509}"/>
    <cellStyle name="Normal 16 8 2 4" xfId="37693" xr:uid="{2ADE1CAB-E9A2-49C3-ACA3-9C64A556418E}"/>
    <cellStyle name="Normal 16 8 3" xfId="5861" xr:uid="{49EAB9D9-1325-4526-B8D9-D25A8C022BBE}"/>
    <cellStyle name="Normal 16 8 3 2" xfId="14241" xr:uid="{AAB8CAAF-ADDF-4EF1-9BC6-50E1F6FC7976}"/>
    <cellStyle name="Normal 16 8 3 2 2" xfId="31001" xr:uid="{32F68CC6-2C0F-40FF-8F92-CC98050063D0}"/>
    <cellStyle name="Normal 16 8 3 2 3" xfId="47760" xr:uid="{DC6BFAB8-7451-4BC9-BCC9-D91A3EDEA1DB}"/>
    <cellStyle name="Normal 16 8 3 3" xfId="22621" xr:uid="{FE2195CC-CEC9-4A69-A445-70E21C0A3C0E}"/>
    <cellStyle name="Normal 16 8 3 4" xfId="39380" xr:uid="{BB7A29D8-17EA-47F7-A648-57CF6203DBED}"/>
    <cellStyle name="Normal 16 8 4" xfId="2597" xr:uid="{28995C06-9875-49EE-BA52-180BD83D3441}"/>
    <cellStyle name="Normal 16 8 4 2" xfId="10977" xr:uid="{122BC157-2D5D-43BC-B4F2-FAB5956C74DE}"/>
    <cellStyle name="Normal 16 8 4 2 2" xfId="27737" xr:uid="{193771A9-F109-4527-89D5-9BE47C527C3D}"/>
    <cellStyle name="Normal 16 8 4 2 3" xfId="44496" xr:uid="{36F73BD7-AEF5-492E-9053-E320415D7430}"/>
    <cellStyle name="Normal 16 8 4 3" xfId="19357" xr:uid="{477D1015-C921-4E8A-BCC5-C99F4E88487B}"/>
    <cellStyle name="Normal 16 8 4 4" xfId="36116" xr:uid="{7B715514-E18F-4A8C-8D92-EB85FC8928D8}"/>
    <cellStyle name="Normal 16 8 5" xfId="9174" xr:uid="{6FD8F7F1-F4FE-4ABA-BF67-2C5EB7CA83D6}"/>
    <cellStyle name="Normal 16 8 5 2" xfId="25934" xr:uid="{01C0583D-44F4-4187-9905-F61F94EC8D66}"/>
    <cellStyle name="Normal 16 8 5 3" xfId="42693" xr:uid="{C7DA26A9-C8C3-4F75-821C-9E3F1D03F250}"/>
    <cellStyle name="Normal 16 8 6" xfId="17554" xr:uid="{B952BA54-FCDE-49AA-BA52-83097CF234A4}"/>
    <cellStyle name="Normal 16 8 7" xfId="34313" xr:uid="{121F9C80-0C16-4186-BD15-2A88D3E25CEE}"/>
    <cellStyle name="Normal 16 9" xfId="1213" xr:uid="{19D970AD-83E9-498C-9AE4-826956182555}"/>
    <cellStyle name="Normal 16 9 2" xfId="4602" xr:uid="{4CF1D950-1B70-4663-9A1E-87C3C4B221ED}"/>
    <cellStyle name="Normal 16 9 2 2" xfId="12982" xr:uid="{C2AE5CB1-A947-4A0B-AD71-EB650ACCF562}"/>
    <cellStyle name="Normal 16 9 2 2 2" xfId="29742" xr:uid="{836AA635-AADC-4707-A2F9-6590A5DFE8C1}"/>
    <cellStyle name="Normal 16 9 2 2 3" xfId="46501" xr:uid="{00688FBE-0EC2-4285-B4BC-F749B74A500C}"/>
    <cellStyle name="Normal 16 9 2 3" xfId="21362" xr:uid="{C728077A-CD68-48F2-9A31-1C5CAEBDEC0C}"/>
    <cellStyle name="Normal 16 9 2 4" xfId="38121" xr:uid="{F325CB52-1181-45B0-ADD7-3ABD1ECAC434}"/>
    <cellStyle name="Normal 16 9 3" xfId="6289" xr:uid="{95A92683-9E23-4A06-96B4-C3F63530FA18}"/>
    <cellStyle name="Normal 16 9 3 2" xfId="14669" xr:uid="{D39D8C6F-EEBD-40CA-87FC-D8D24D75E59C}"/>
    <cellStyle name="Normal 16 9 3 2 2" xfId="31429" xr:uid="{0FF743AA-9B90-48D8-9F54-EC1FF161ECAC}"/>
    <cellStyle name="Normal 16 9 3 2 3" xfId="48188" xr:uid="{180827F7-4D4C-41CF-B970-1987BCA55BB1}"/>
    <cellStyle name="Normal 16 9 3 3" xfId="23049" xr:uid="{33802D20-CD75-4A9F-95D8-F911F5C50CD8}"/>
    <cellStyle name="Normal 16 9 3 4" xfId="39808" xr:uid="{D20EDA71-AE53-4D94-BAE9-0A7337111C8B}"/>
    <cellStyle name="Normal 16 9 4" xfId="3025" xr:uid="{7DB430EB-4A62-4348-9E9F-97DC556E3B3B}"/>
    <cellStyle name="Normal 16 9 4 2" xfId="11405" xr:uid="{470F4789-F831-452D-A375-9B732BC0F1C9}"/>
    <cellStyle name="Normal 16 9 4 2 2" xfId="28165" xr:uid="{BA53AC03-9BB7-409D-AF1B-91C6F082EF6F}"/>
    <cellStyle name="Normal 16 9 4 2 3" xfId="44924" xr:uid="{086FA034-7B82-4C93-BD3E-21B92FC553C8}"/>
    <cellStyle name="Normal 16 9 4 3" xfId="19785" xr:uid="{39B98194-2544-4D4B-AFE6-C76CB01EE161}"/>
    <cellStyle name="Normal 16 9 4 4" xfId="36544" xr:uid="{30CD57EE-A644-4463-9726-CC38772B87AF}"/>
    <cellStyle name="Normal 16 9 5" xfId="9602" xr:uid="{8E38D9F0-B694-4E9F-9C46-FE728AEFA827}"/>
    <cellStyle name="Normal 16 9 5 2" xfId="26362" xr:uid="{C5754002-191F-4F1A-943F-AC9DB9BC86E0}"/>
    <cellStyle name="Normal 16 9 5 3" xfId="43121" xr:uid="{9C28DE36-CCFA-4A2D-BC81-1893E69087B3}"/>
    <cellStyle name="Normal 16 9 6" xfId="17982" xr:uid="{684429C5-2F11-4807-9152-99B333734BE3}"/>
    <cellStyle name="Normal 16 9 7" xfId="34741" xr:uid="{F703DA13-804E-424A-A89B-D33A4ADA0007}"/>
    <cellStyle name="Normal 17" xfId="96" xr:uid="{12196F37-B021-4C00-AE24-7AC2D0F1FF94}"/>
    <cellStyle name="Normal 17 10" xfId="1637" xr:uid="{6FD11429-1E54-4BA5-B575-1063A2D021F4}"/>
    <cellStyle name="Normal 17 10 2" xfId="5026" xr:uid="{53E9B6FD-03C7-4BB2-8F69-E936535BBCDB}"/>
    <cellStyle name="Normal 17 10 2 2" xfId="13406" xr:uid="{267059A3-011B-45A6-B52E-84A5BDA07230}"/>
    <cellStyle name="Normal 17 10 2 2 2" xfId="30166" xr:uid="{C98C70D3-8458-4AD1-A5EB-2069F49657C7}"/>
    <cellStyle name="Normal 17 10 2 2 3" xfId="46925" xr:uid="{2B3E8318-C115-47A5-A570-50ED9D9A535B}"/>
    <cellStyle name="Normal 17 10 2 3" xfId="21786" xr:uid="{32299E57-9ABD-4B9E-93DD-1D6E015C9613}"/>
    <cellStyle name="Normal 17 10 2 4" xfId="38545" xr:uid="{5D28FA91-99AC-4BED-A418-F26940504215}"/>
    <cellStyle name="Normal 17 10 3" xfId="6713" xr:uid="{CED8085C-C302-401A-9AE1-290E8A2305EC}"/>
    <cellStyle name="Normal 17 10 3 2" xfId="15093" xr:uid="{53D6F7BB-438D-4366-8510-61B8955566D7}"/>
    <cellStyle name="Normal 17 10 3 2 2" xfId="31853" xr:uid="{10B4AA08-05E7-4FEA-AC6A-8781E000E16D}"/>
    <cellStyle name="Normal 17 10 3 2 3" xfId="48612" xr:uid="{1DEDD6ED-939D-4A0B-8E59-8A92F83C65AC}"/>
    <cellStyle name="Normal 17 10 3 3" xfId="23473" xr:uid="{21E59482-8B57-4999-8B44-0B087DF1D36B}"/>
    <cellStyle name="Normal 17 10 3 4" xfId="40232" xr:uid="{6FC2805B-3F35-487D-BDF4-C7F9D9CFE92C}"/>
    <cellStyle name="Normal 17 10 4" xfId="2164" xr:uid="{E22296C5-8AB4-4C07-A210-B507B5E7A9EC}"/>
    <cellStyle name="Normal 17 10 4 2" xfId="10552" xr:uid="{95ABAC63-E864-4D67-B6F1-48D710AF1783}"/>
    <cellStyle name="Normal 17 10 4 2 2" xfId="27312" xr:uid="{9F47F72C-01A8-4F59-A29E-DC1FCDA5BCC6}"/>
    <cellStyle name="Normal 17 10 4 2 3" xfId="44071" xr:uid="{0315F334-64FC-4861-AD9B-C15D305AA440}"/>
    <cellStyle name="Normal 17 10 4 3" xfId="18932" xr:uid="{18984572-CF8C-4780-98E0-68FBF3C0E8B6}"/>
    <cellStyle name="Normal 17 10 4 4" xfId="35691" xr:uid="{E97D28A9-5337-4D1C-836F-26F4F33B68C7}"/>
    <cellStyle name="Normal 17 10 5" xfId="10026" xr:uid="{B1D5865B-BBEF-4E74-81ED-ABDD7E67F33F}"/>
    <cellStyle name="Normal 17 10 5 2" xfId="26786" xr:uid="{D0DFE61D-D3C0-48BE-BD37-DE3912E34259}"/>
    <cellStyle name="Normal 17 10 5 3" xfId="43545" xr:uid="{57377FDF-2BC7-48E2-820C-CC2B37D92A4A}"/>
    <cellStyle name="Normal 17 10 6" xfId="18406" xr:uid="{1CC31691-B681-4B1A-B343-4A62F13FC599}"/>
    <cellStyle name="Normal 17 10 7" xfId="35165" xr:uid="{7E29764C-BBF5-44B7-91A9-D310F40C3C25}"/>
    <cellStyle name="Normal 17 11" xfId="3742" xr:uid="{372E2992-C518-41F3-8CD3-7520B57FF82F}"/>
    <cellStyle name="Normal 17 11 2" xfId="12122" xr:uid="{9E5E1995-281A-4F19-9239-D1128C8FB197}"/>
    <cellStyle name="Normal 17 11 2 2" xfId="28882" xr:uid="{A28AB46B-3A78-4D86-8DEE-E3E8E15E175F}"/>
    <cellStyle name="Normal 17 11 2 3" xfId="45641" xr:uid="{00A0823D-E974-45ED-B24E-49E31FCEBA35}"/>
    <cellStyle name="Normal 17 11 3" xfId="20502" xr:uid="{E310D940-D877-4963-AD7A-C60C248379FF}"/>
    <cellStyle name="Normal 17 11 4" xfId="37261" xr:uid="{52B31E4B-C515-4F6B-8D60-00787EB3DED2}"/>
    <cellStyle name="Normal 17 12" xfId="5436" xr:uid="{19832857-AB90-42A7-B6BA-AC37EE4074FA}"/>
    <cellStyle name="Normal 17 12 2" xfId="13816" xr:uid="{4E3365D1-3AB1-4AA0-B155-9E9363B196E8}"/>
    <cellStyle name="Normal 17 12 2 2" xfId="30576" xr:uid="{C7AE3F60-930A-4EB8-A435-2AC536044135}"/>
    <cellStyle name="Normal 17 12 2 3" xfId="47335" xr:uid="{4EC95FB2-3E0B-45DC-BDB4-EF1B8B98D2BA}"/>
    <cellStyle name="Normal 17 12 3" xfId="22196" xr:uid="{C0CD563D-D1E5-445E-A939-37BBC309219F}"/>
    <cellStyle name="Normal 17 12 4" xfId="38955" xr:uid="{95DD5762-47FE-488D-9C06-68793A34B28A}"/>
    <cellStyle name="Normal 17 13" xfId="7119" xr:uid="{7C6FA61C-7F46-4024-A52A-3472BADA8596}"/>
    <cellStyle name="Normal 17 13 2" xfId="15499" xr:uid="{A9EFC56B-A597-4436-909F-5D373B1FCA01}"/>
    <cellStyle name="Normal 17 13 2 2" xfId="32259" xr:uid="{AA36A033-5EC5-4138-9547-74394EFF888A}"/>
    <cellStyle name="Normal 17 13 2 3" xfId="49018" xr:uid="{1760A00F-C052-4178-9A4F-B46DDC203AE7}"/>
    <cellStyle name="Normal 17 13 3" xfId="23879" xr:uid="{5F3ACF71-AB75-4265-9686-EA887EC16203}"/>
    <cellStyle name="Normal 17 13 4" xfId="40638" xr:uid="{4134B9B4-0C29-43DC-B91E-BC8185FF21ED}"/>
    <cellStyle name="Normal 17 14" xfId="7525" xr:uid="{2B27A176-BE5E-4575-908F-646B4E474387}"/>
    <cellStyle name="Normal 17 14 2" xfId="15905" xr:uid="{C09009EA-9274-4BF5-952E-D57EE47D087B}"/>
    <cellStyle name="Normal 17 14 2 2" xfId="32665" xr:uid="{2F933780-7A68-46E6-90B4-B7AA7302264E}"/>
    <cellStyle name="Normal 17 14 2 3" xfId="49424" xr:uid="{ACC5FB6F-D8A3-4C23-82B9-B0DC96F6F217}"/>
    <cellStyle name="Normal 17 14 3" xfId="24285" xr:uid="{24950F39-5D8D-4686-BED8-8B8257896998}"/>
    <cellStyle name="Normal 17 14 4" xfId="41044" xr:uid="{90BA51C4-A484-4261-BD83-58C7834A460D}"/>
    <cellStyle name="Normal 17 15" xfId="7931" xr:uid="{FB3CB047-3555-4F6B-8737-7C166AE22F4B}"/>
    <cellStyle name="Normal 17 15 2" xfId="16311" xr:uid="{88FA25CA-72CC-40C4-9C2C-29D34D328BEA}"/>
    <cellStyle name="Normal 17 15 2 2" xfId="33071" xr:uid="{C93D20C5-797F-4A93-8CA0-427790EA18E8}"/>
    <cellStyle name="Normal 17 15 2 3" xfId="49830" xr:uid="{985408EB-4D38-42F0-8275-0E270F9C35E7}"/>
    <cellStyle name="Normal 17 15 3" xfId="24691" xr:uid="{DE171493-E25C-4BA1-9ED3-7B49A939CA5F}"/>
    <cellStyle name="Normal 17 15 4" xfId="41450" xr:uid="{8C47BBD9-0627-4FB0-B744-2FD7BD10166C}"/>
    <cellStyle name="Normal 17 16" xfId="8337" xr:uid="{B0B1ED92-3491-476D-A818-C7F04CDE5571}"/>
    <cellStyle name="Normal 17 16 2" xfId="16717" xr:uid="{91F7305D-B49A-4A89-94D6-1B57AB90F15C}"/>
    <cellStyle name="Normal 17 16 2 2" xfId="33477" xr:uid="{7F9505C6-FB53-446B-B67A-1F182672292C}"/>
    <cellStyle name="Normal 17 16 2 3" xfId="50236" xr:uid="{8C1D37C8-BC42-45F1-B93C-C82A59408F18}"/>
    <cellStyle name="Normal 17 16 3" xfId="25097" xr:uid="{258D37F9-25F9-4531-8D44-97DB7F638249}"/>
    <cellStyle name="Normal 17 16 4" xfId="41856" xr:uid="{D37A80CC-C17D-4145-858B-402F36CCE259}"/>
    <cellStyle name="Normal 17 17" xfId="2052" xr:uid="{4B856481-1463-4E4A-82BC-08D252DDB70E}"/>
    <cellStyle name="Normal 17 17 2" xfId="10440" xr:uid="{4DED8E2D-829F-4F10-B261-99F12C8408B1}"/>
    <cellStyle name="Normal 17 17 2 2" xfId="27200" xr:uid="{59CD0B52-5F28-4F51-B1D1-A46AECAE7DFC}"/>
    <cellStyle name="Normal 17 17 2 3" xfId="43959" xr:uid="{5613BD2E-67C6-4EDF-9709-15ABDE190101}"/>
    <cellStyle name="Normal 17 17 3" xfId="18820" xr:uid="{09724B2D-1D0F-47DD-9C58-D83175629A06}"/>
    <cellStyle name="Normal 17 17 4" xfId="35579" xr:uid="{F82B1EC2-A71A-4B44-B646-5BB208FEED08}"/>
    <cellStyle name="Normal 17 18" xfId="8749" xr:uid="{AD44CD06-954A-430D-AF3B-42516D378163}"/>
    <cellStyle name="Normal 17 18 2" xfId="25509" xr:uid="{AF569F8A-05C5-4A4E-BA21-D5F5E5C50F94}"/>
    <cellStyle name="Normal 17 18 3" xfId="42268" xr:uid="{8C8B5313-A041-457A-A9FC-0BEAEB485956}"/>
    <cellStyle name="Normal 17 19" xfId="17129" xr:uid="{1D805B05-A8AC-4FD9-A15C-53E6D75CE570}"/>
    <cellStyle name="Normal 17 2" xfId="228" xr:uid="{CE6D023E-03A8-47A4-BD06-1598D837EDD1}"/>
    <cellStyle name="Normal 17 2 10" xfId="7567" xr:uid="{C6783764-253B-4C47-8CFB-8235BADFC2D0}"/>
    <cellStyle name="Normal 17 2 10 2" xfId="15947" xr:uid="{2246D7B4-B3FB-47BE-B006-C28BADC1473A}"/>
    <cellStyle name="Normal 17 2 10 2 2" xfId="32707" xr:uid="{53384B2B-205F-4CFA-B1D1-07F0D1D6E88A}"/>
    <cellStyle name="Normal 17 2 10 2 3" xfId="49466" xr:uid="{129A331F-73C6-411C-A711-4E943F185C71}"/>
    <cellStyle name="Normal 17 2 10 3" xfId="24327" xr:uid="{5A89C41A-D608-4B62-B868-34F4826BE86F}"/>
    <cellStyle name="Normal 17 2 10 4" xfId="41086" xr:uid="{50CE3FC3-5065-4BB5-BF87-DBE0171F29B8}"/>
    <cellStyle name="Normal 17 2 11" xfId="7973" xr:uid="{CE4860A1-C8A5-49B6-898A-7F9098E69793}"/>
    <cellStyle name="Normal 17 2 11 2" xfId="16353" xr:uid="{09DF6076-30EE-4CE1-8688-5A657A324D87}"/>
    <cellStyle name="Normal 17 2 11 2 2" xfId="33113" xr:uid="{353B014A-EDB7-4A81-AB0E-8EA581A35123}"/>
    <cellStyle name="Normal 17 2 11 2 3" xfId="49872" xr:uid="{B55EAA8A-BAAA-4D64-9B9C-A02661098C85}"/>
    <cellStyle name="Normal 17 2 11 3" xfId="24733" xr:uid="{65AC6D0C-B201-4FFD-A695-2C3C8F6FFC59}"/>
    <cellStyle name="Normal 17 2 11 4" xfId="41492" xr:uid="{296C3445-AEE4-4813-8EE1-99065634F0FB}"/>
    <cellStyle name="Normal 17 2 12" xfId="8379" xr:uid="{44906C13-5D8B-4622-8054-732298918997}"/>
    <cellStyle name="Normal 17 2 12 2" xfId="16759" xr:uid="{8801C1EB-728B-41EB-A46F-8E2463629CD3}"/>
    <cellStyle name="Normal 17 2 12 2 2" xfId="33519" xr:uid="{78ED150A-861A-4449-BD32-E5700FAB3336}"/>
    <cellStyle name="Normal 17 2 12 2 3" xfId="50278" xr:uid="{09658ED0-1E85-4684-9BDC-8B7D8F893C92}"/>
    <cellStyle name="Normal 17 2 12 3" xfId="25139" xr:uid="{B56FB31D-8C0F-4EAC-9564-6E5FEC7C44AE}"/>
    <cellStyle name="Normal 17 2 12 4" xfId="41898" xr:uid="{16245A32-9B45-4E0D-B2E3-9B7E458AF461}"/>
    <cellStyle name="Normal 17 2 13" xfId="2070" xr:uid="{BBCAC875-C696-412A-A0C1-37B0EED00C23}"/>
    <cellStyle name="Normal 17 2 13 2" xfId="10458" xr:uid="{1DE6E32E-A53C-4DEA-B65C-73E1079836EA}"/>
    <cellStyle name="Normal 17 2 13 2 2" xfId="27218" xr:uid="{9F76D04F-52EE-4377-B26A-02A5EF76577D}"/>
    <cellStyle name="Normal 17 2 13 2 3" xfId="43977" xr:uid="{2715338E-6196-4B4E-889E-AEA4A3148F26}"/>
    <cellStyle name="Normal 17 2 13 3" xfId="18838" xr:uid="{8DA9A2C9-9811-43EF-9471-D0FB77FB89B4}"/>
    <cellStyle name="Normal 17 2 13 4" xfId="35597" xr:uid="{2D853525-06FE-4569-B20D-9D6A50998601}"/>
    <cellStyle name="Normal 17 2 14" xfId="8777" xr:uid="{A7F97D83-F7BD-46FB-9A53-106293A7E971}"/>
    <cellStyle name="Normal 17 2 14 2" xfId="25537" xr:uid="{AB8B912F-02EB-4E11-816E-671C65D38AF1}"/>
    <cellStyle name="Normal 17 2 14 3" xfId="42296" xr:uid="{487C3672-400B-47C1-AAD7-C92F21AC45E7}"/>
    <cellStyle name="Normal 17 2 15" xfId="17157" xr:uid="{7C1ECF6D-D0E3-4AA8-BD3A-7770EE40AED6}"/>
    <cellStyle name="Normal 17 2 16" xfId="33916" xr:uid="{24E1F477-BDD1-448A-A1D1-4186AE201727}"/>
    <cellStyle name="Normal 17 2 17" xfId="304" xr:uid="{6BD77147-41AC-4C2A-A62D-1FA403303587}"/>
    <cellStyle name="Normal 17 2 2" xfId="387" xr:uid="{2DAFDB85-0C68-43B4-BECC-A7CDBC415C94}"/>
    <cellStyle name="Normal 17 2 2 10" xfId="8520" xr:uid="{B529AF13-01C1-4C06-B66D-F9462ADF4E43}"/>
    <cellStyle name="Normal 17 2 2 10 2" xfId="16900" xr:uid="{51B8286A-5CE0-4C18-B5CD-D709E2D64E98}"/>
    <cellStyle name="Normal 17 2 2 10 2 2" xfId="33660" xr:uid="{98177C4D-1AE0-4326-A8DD-E6D8D2154279}"/>
    <cellStyle name="Normal 17 2 2 10 2 3" xfId="50419" xr:uid="{D1FFCA18-A08D-4B80-A48A-C1B7EF1289CD}"/>
    <cellStyle name="Normal 17 2 2 10 3" xfId="25280" xr:uid="{73EDEB60-FE27-4A85-A4F6-E279756C82B1}"/>
    <cellStyle name="Normal 17 2 2 10 4" xfId="42039" xr:uid="{097499C8-A9FE-4464-93DD-282643A16C08}"/>
    <cellStyle name="Normal 17 2 2 11" xfId="2270" xr:uid="{D6030CFF-47B7-4773-A1EF-B883982A2080}"/>
    <cellStyle name="Normal 17 2 2 11 2" xfId="10654" xr:uid="{FEE2AE74-C693-4C48-A685-2AE1B73FA293}"/>
    <cellStyle name="Normal 17 2 2 11 2 2" xfId="27414" xr:uid="{CFC8E9C2-6D41-4DB8-9550-33D808AA0A0A}"/>
    <cellStyle name="Normal 17 2 2 11 2 3" xfId="44173" xr:uid="{48635A1A-A154-4189-87E9-7ACFB99E0885}"/>
    <cellStyle name="Normal 17 2 2 11 3" xfId="19034" xr:uid="{03417534-D6E6-44F7-977C-87A4725E4A75}"/>
    <cellStyle name="Normal 17 2 2 11 4" xfId="35793" xr:uid="{D102C8C0-B88D-45B2-ABA6-38E38D9A1471}"/>
    <cellStyle name="Normal 17 2 2 12" xfId="8851" xr:uid="{E3C6B0C9-8045-4951-91F2-01F63F2F37B7}"/>
    <cellStyle name="Normal 17 2 2 12 2" xfId="25611" xr:uid="{F7653624-C64C-4553-9284-B52C206D2AC2}"/>
    <cellStyle name="Normal 17 2 2 12 3" xfId="42370" xr:uid="{5EC25631-A474-4BC3-AE71-D5F8829F7B74}"/>
    <cellStyle name="Normal 17 2 2 13" xfId="17231" xr:uid="{FE66B286-33A8-4AB7-8FB3-46ADAAFD1064}"/>
    <cellStyle name="Normal 17 2 2 14" xfId="33990" xr:uid="{29395ECE-0F40-441E-8936-38BD8AF793BD}"/>
    <cellStyle name="Normal 17 2 2 2" xfId="882" xr:uid="{153DEAEF-088E-4493-BAA8-5E5CA8C6D2EC}"/>
    <cellStyle name="Normal 17 2 2 2 2" xfId="4277" xr:uid="{A78E5947-687D-45F0-9714-3874F86C69E2}"/>
    <cellStyle name="Normal 17 2 2 2 2 2" xfId="12657" xr:uid="{8F90DAE8-9E41-40C3-9B20-53D7666C5EE4}"/>
    <cellStyle name="Normal 17 2 2 2 2 2 2" xfId="29417" xr:uid="{DC3902E7-F9C1-40A8-97CD-5E0923359639}"/>
    <cellStyle name="Normal 17 2 2 2 2 2 3" xfId="46176" xr:uid="{5481A0D8-AECB-4058-B199-9F5ED948C697}"/>
    <cellStyle name="Normal 17 2 2 2 2 3" xfId="21037" xr:uid="{42C3303B-17F8-471C-AD68-DE048BFBBE39}"/>
    <cellStyle name="Normal 17 2 2 2 2 4" xfId="37796" xr:uid="{7C1AC672-3215-4B5B-AA7A-A74082F1C561}"/>
    <cellStyle name="Normal 17 2 2 2 3" xfId="5964" xr:uid="{22D93326-6D90-4337-9F0C-A49199C1E7DB}"/>
    <cellStyle name="Normal 17 2 2 2 3 2" xfId="14344" xr:uid="{27AB51D5-A88B-4570-8738-6723D005DAC7}"/>
    <cellStyle name="Normal 17 2 2 2 3 2 2" xfId="31104" xr:uid="{48757010-7793-4916-9EDC-42756E4418AB}"/>
    <cellStyle name="Normal 17 2 2 2 3 2 3" xfId="47863" xr:uid="{57D6AD77-9F6C-41AA-BD85-453EBDA6BD57}"/>
    <cellStyle name="Normal 17 2 2 2 3 3" xfId="22724" xr:uid="{E48F5025-A9E1-4BE6-B6AA-19D97305E5AB}"/>
    <cellStyle name="Normal 17 2 2 2 3 4" xfId="39483" xr:uid="{F8322AB4-8755-47D8-AB51-C66E6A7EBC3F}"/>
    <cellStyle name="Normal 17 2 2 2 4" xfId="2700" xr:uid="{679E7C79-9ABE-45CF-BCB2-39CF77A74684}"/>
    <cellStyle name="Normal 17 2 2 2 4 2" xfId="11080" xr:uid="{B6479577-EA05-40A2-A2AE-F07AFC4DDAB2}"/>
    <cellStyle name="Normal 17 2 2 2 4 2 2" xfId="27840" xr:uid="{007AB371-2E34-4787-8933-37D188BF2CEE}"/>
    <cellStyle name="Normal 17 2 2 2 4 2 3" xfId="44599" xr:uid="{F34201EA-8A8C-42EE-A888-4D09D67A015B}"/>
    <cellStyle name="Normal 17 2 2 2 4 3" xfId="19460" xr:uid="{5FF4EC24-4E39-49A7-B618-F155EDAA824C}"/>
    <cellStyle name="Normal 17 2 2 2 4 4" xfId="36219" xr:uid="{2647BD64-333D-42A7-A6A6-BB29748E472B}"/>
    <cellStyle name="Normal 17 2 2 2 5" xfId="9277" xr:uid="{2F25F520-13A5-42FE-8CF3-B5F1D79F493C}"/>
    <cellStyle name="Normal 17 2 2 2 5 2" xfId="26037" xr:uid="{3FAC5566-5956-4D34-BED4-F837DB044A05}"/>
    <cellStyle name="Normal 17 2 2 2 5 3" xfId="42796" xr:uid="{777A3713-306A-4513-B177-550F7840D442}"/>
    <cellStyle name="Normal 17 2 2 2 6" xfId="17657" xr:uid="{1C0772A7-E5C2-4B18-94EF-824FD545D1DD}"/>
    <cellStyle name="Normal 17 2 2 2 7" xfId="34416" xr:uid="{E87F7A0F-4B17-4296-840E-83FBD650B3D1}"/>
    <cellStyle name="Normal 17 2 2 3" xfId="1316" xr:uid="{DA30552F-B353-4B87-8A56-48F74D3F2374}"/>
    <cellStyle name="Normal 17 2 2 3 2" xfId="4705" xr:uid="{F57343F5-54BE-4F9F-98E3-466AB6E5A0E7}"/>
    <cellStyle name="Normal 17 2 2 3 2 2" xfId="13085" xr:uid="{DEA16083-7DD3-4AC9-A9D5-8FD91EEC47B1}"/>
    <cellStyle name="Normal 17 2 2 3 2 2 2" xfId="29845" xr:uid="{CAF52CF7-85CF-4B73-A2AA-A1886A160D17}"/>
    <cellStyle name="Normal 17 2 2 3 2 2 3" xfId="46604" xr:uid="{18C79265-9F2D-4D1C-A891-5F33CB7182BB}"/>
    <cellStyle name="Normal 17 2 2 3 2 3" xfId="21465" xr:uid="{301D1E58-91F5-498F-802B-DF4CF64FDE78}"/>
    <cellStyle name="Normal 17 2 2 3 2 4" xfId="38224" xr:uid="{3730D4F1-8379-4046-BDC6-043EE4B3B200}"/>
    <cellStyle name="Normal 17 2 2 3 3" xfId="6392" xr:uid="{478DD2AD-A34E-4389-88E1-C0D711240A17}"/>
    <cellStyle name="Normal 17 2 2 3 3 2" xfId="14772" xr:uid="{7B6CEB11-129A-4E6D-A4C2-7B7BF22A39E0}"/>
    <cellStyle name="Normal 17 2 2 3 3 2 2" xfId="31532" xr:uid="{78507079-DEEC-4B0A-BFBD-E3EA4F901479}"/>
    <cellStyle name="Normal 17 2 2 3 3 2 3" xfId="48291" xr:uid="{1B3FDA8E-AB06-4820-ADE2-7705657A6EAE}"/>
    <cellStyle name="Normal 17 2 2 3 3 3" xfId="23152" xr:uid="{36E5A013-216A-4F8C-A50D-9733A1ED5602}"/>
    <cellStyle name="Normal 17 2 2 3 3 4" xfId="39911" xr:uid="{A8DB3FF3-635B-4856-BD0C-C386957923A2}"/>
    <cellStyle name="Normal 17 2 2 3 4" xfId="3128" xr:uid="{EADC1F43-F54A-437A-A0C7-793DDA788481}"/>
    <cellStyle name="Normal 17 2 2 3 4 2" xfId="11508" xr:uid="{2E637815-1F10-4653-99D9-1146FC52C307}"/>
    <cellStyle name="Normal 17 2 2 3 4 2 2" xfId="28268" xr:uid="{A75A398E-5163-47EC-9E3A-8F249ECA298E}"/>
    <cellStyle name="Normal 17 2 2 3 4 2 3" xfId="45027" xr:uid="{47353474-E0ED-46CC-BAE2-48A8A3D0A9BA}"/>
    <cellStyle name="Normal 17 2 2 3 4 3" xfId="19888" xr:uid="{EE7B00A6-604D-4514-834B-FCAB12F1EF62}"/>
    <cellStyle name="Normal 17 2 2 3 4 4" xfId="36647" xr:uid="{7BAF873B-168D-45D7-B622-0020A90E9544}"/>
    <cellStyle name="Normal 17 2 2 3 5" xfId="9705" xr:uid="{B6F18B1B-1D50-44F5-ABD8-A0EA8F0655B1}"/>
    <cellStyle name="Normal 17 2 2 3 5 2" xfId="26465" xr:uid="{AB0B546D-0972-4887-B5D4-786FC303F03E}"/>
    <cellStyle name="Normal 17 2 2 3 5 3" xfId="43224" xr:uid="{EAAB8F0E-45FF-4DDE-9803-5E13FF63ACEC}"/>
    <cellStyle name="Normal 17 2 2 3 6" xfId="18085" xr:uid="{4930AD08-2281-4217-A856-3C97F7BCB2F6}"/>
    <cellStyle name="Normal 17 2 2 3 7" xfId="34844" xr:uid="{E66B75F5-8E56-4BD6-B38F-2E3F20B47F62}"/>
    <cellStyle name="Normal 17 2 2 4" xfId="1820" xr:uid="{8DA6EFC8-1B41-4D5F-AF0A-A322DF4E6A91}"/>
    <cellStyle name="Normal 17 2 2 4 2" xfId="5209" xr:uid="{43D2EFD8-F024-4008-8CFF-D6073D4D3B41}"/>
    <cellStyle name="Normal 17 2 2 4 2 2" xfId="13589" xr:uid="{68031634-41AA-4196-864F-46F11FD68A70}"/>
    <cellStyle name="Normal 17 2 2 4 2 2 2" xfId="30349" xr:uid="{D7AC7A85-6DDF-407C-A61D-12A47509C03D}"/>
    <cellStyle name="Normal 17 2 2 4 2 2 3" xfId="47108" xr:uid="{7191E059-DEA2-4E62-A052-F301EB209F51}"/>
    <cellStyle name="Normal 17 2 2 4 2 3" xfId="21969" xr:uid="{85BC4677-1AC7-4B09-A817-DFCD434277E5}"/>
    <cellStyle name="Normal 17 2 2 4 2 4" xfId="38728" xr:uid="{443FCF77-29F3-40BE-AEF8-3817070D62E1}"/>
    <cellStyle name="Normal 17 2 2 4 3" xfId="6896" xr:uid="{8DF815AE-A3CB-41ED-84CE-B6C7D8B3E08E}"/>
    <cellStyle name="Normal 17 2 2 4 3 2" xfId="15276" xr:uid="{8BBD0B58-924A-4BCC-9BCA-1B4EA22D2453}"/>
    <cellStyle name="Normal 17 2 2 4 3 2 2" xfId="32036" xr:uid="{88029A4B-0743-40D5-8062-796CCA503966}"/>
    <cellStyle name="Normal 17 2 2 4 3 2 3" xfId="48795" xr:uid="{0BBAEC8C-F126-47C7-92D2-57213D770F4A}"/>
    <cellStyle name="Normal 17 2 2 4 3 3" xfId="23656" xr:uid="{420CA458-9076-42DB-BB14-0F46E3B06D00}"/>
    <cellStyle name="Normal 17 2 2 4 3 4" xfId="40415" xr:uid="{D173C31E-DF1B-4AA6-A2AE-440E9392736B}"/>
    <cellStyle name="Normal 17 2 2 4 4" xfId="3520" xr:uid="{78D6FA4F-856C-483A-B265-2EB8FFB88048}"/>
    <cellStyle name="Normal 17 2 2 4 4 2" xfId="11900" xr:uid="{FDE07A04-5D7A-4CE5-A254-7DC74DE59889}"/>
    <cellStyle name="Normal 17 2 2 4 4 2 2" xfId="28660" xr:uid="{ECE82E16-6880-45EF-B3BF-DE06C4F61DDE}"/>
    <cellStyle name="Normal 17 2 2 4 4 2 3" xfId="45419" xr:uid="{0AAA2687-EE05-44DA-8D0E-C03D9DD9C748}"/>
    <cellStyle name="Normal 17 2 2 4 4 3" xfId="20280" xr:uid="{15BD8C74-38A7-48AF-BA24-389D3DED8341}"/>
    <cellStyle name="Normal 17 2 2 4 4 4" xfId="37039" xr:uid="{069AC757-3CDF-4E1D-AFA7-E4C8789B8534}"/>
    <cellStyle name="Normal 17 2 2 4 5" xfId="10209" xr:uid="{4E40CD48-3D39-4DE2-A9DE-6275244331E0}"/>
    <cellStyle name="Normal 17 2 2 4 5 2" xfId="26969" xr:uid="{9BFAE452-1FFD-4332-937E-16EDD14D9A56}"/>
    <cellStyle name="Normal 17 2 2 4 5 3" xfId="43728" xr:uid="{77FBCA25-1C71-4244-A0A8-B08E2CEBFA1D}"/>
    <cellStyle name="Normal 17 2 2 4 6" xfId="18589" xr:uid="{1F3570F4-5FDC-408E-A832-CB30D2239E2C}"/>
    <cellStyle name="Normal 17 2 2 4 7" xfId="35348" xr:uid="{B0C19A48-A7D9-438E-8870-E89FE577E56C}"/>
    <cellStyle name="Normal 17 2 2 5" xfId="3939" xr:uid="{460A22BA-E2E8-4AE2-ABCC-D742E8925129}"/>
    <cellStyle name="Normal 17 2 2 5 2" xfId="12319" xr:uid="{8126239A-3752-4100-BDC4-ABCFFCC8D617}"/>
    <cellStyle name="Normal 17 2 2 5 2 2" xfId="29079" xr:uid="{E0280D2F-A65C-437A-BC8F-2228E30A4555}"/>
    <cellStyle name="Normal 17 2 2 5 2 3" xfId="45838" xr:uid="{355974EC-0DBC-41FB-869E-725A12A8C115}"/>
    <cellStyle name="Normal 17 2 2 5 3" xfId="20699" xr:uid="{E53F4391-4327-4BC9-BD52-AF29111C5C54}"/>
    <cellStyle name="Normal 17 2 2 5 4" xfId="37458" xr:uid="{7E33477C-34EF-42D6-BB22-670FEC1427D0}"/>
    <cellStyle name="Normal 17 2 2 6" xfId="5538" xr:uid="{B1A6D55B-9F64-4CAD-A762-5EF10336F8F1}"/>
    <cellStyle name="Normal 17 2 2 6 2" xfId="13918" xr:uid="{B61B7304-583B-40EC-886E-54CE4392BC18}"/>
    <cellStyle name="Normal 17 2 2 6 2 2" xfId="30678" xr:uid="{C4602119-D4A7-4813-BD52-04148B819383}"/>
    <cellStyle name="Normal 17 2 2 6 2 3" xfId="47437" xr:uid="{DE9F0F1B-2D61-4162-BB4D-9160C1917FE4}"/>
    <cellStyle name="Normal 17 2 2 6 3" xfId="22298" xr:uid="{EE893D1F-050E-4887-8114-0AA276AA81A4}"/>
    <cellStyle name="Normal 17 2 2 6 4" xfId="39057" xr:uid="{EC83CDFD-DE4F-45FE-A72B-EDDA6F70C8E0}"/>
    <cellStyle name="Normal 17 2 2 7" xfId="7302" xr:uid="{B843F645-927C-438D-88EC-6A894AD9D405}"/>
    <cellStyle name="Normal 17 2 2 7 2" xfId="15682" xr:uid="{3D737BA5-8C73-4DD6-8216-25FFB9CACF05}"/>
    <cellStyle name="Normal 17 2 2 7 2 2" xfId="32442" xr:uid="{C8AEAA8D-3997-488E-9E17-19F5AEB2BE5B}"/>
    <cellStyle name="Normal 17 2 2 7 2 3" xfId="49201" xr:uid="{46DEAABF-AEBE-4240-9D5B-DAEA207F7670}"/>
    <cellStyle name="Normal 17 2 2 7 3" xfId="24062" xr:uid="{835798DA-E109-466C-A480-DA186D5EF155}"/>
    <cellStyle name="Normal 17 2 2 7 4" xfId="40821" xr:uid="{5B3DCDA6-0363-45AC-9B32-741F39C4A038}"/>
    <cellStyle name="Normal 17 2 2 8" xfId="7708" xr:uid="{982A41C0-BB97-462F-81EA-F95217A4A8DC}"/>
    <cellStyle name="Normal 17 2 2 8 2" xfId="16088" xr:uid="{2A5E2C24-838E-4160-A164-447D6C87B9A5}"/>
    <cellStyle name="Normal 17 2 2 8 2 2" xfId="32848" xr:uid="{AA93C1BA-3B8B-4EEB-B3CC-FA17F1B6B4DC}"/>
    <cellStyle name="Normal 17 2 2 8 2 3" xfId="49607" xr:uid="{3774987E-04E1-42ED-8177-BED1152EBB33}"/>
    <cellStyle name="Normal 17 2 2 8 3" xfId="24468" xr:uid="{F4C33B78-2A1C-47A7-9332-7B1B223438DD}"/>
    <cellStyle name="Normal 17 2 2 8 4" xfId="41227" xr:uid="{EEFC6E4C-8637-4011-97DF-61380EAD93C9}"/>
    <cellStyle name="Normal 17 2 2 9" xfId="8114" xr:uid="{14F178C0-DA8D-4B7C-8D89-DA4EF5154EAA}"/>
    <cellStyle name="Normal 17 2 2 9 2" xfId="16494" xr:uid="{D7A8490D-1F8C-483D-AE7A-ECD212EB713C}"/>
    <cellStyle name="Normal 17 2 2 9 2 2" xfId="33254" xr:uid="{59AD649A-0531-4110-BDD6-D07C9B4128B7}"/>
    <cellStyle name="Normal 17 2 2 9 2 3" xfId="50013" xr:uid="{831BA6BA-36E0-4815-8687-B5FF392F8195}"/>
    <cellStyle name="Normal 17 2 2 9 3" xfId="24874" xr:uid="{D74B07C3-BD08-404D-B2A3-6FF0EC50D45A}"/>
    <cellStyle name="Normal 17 2 2 9 4" xfId="41633" xr:uid="{AA3BBA3F-FE34-454E-A654-5D1005E97F92}"/>
    <cellStyle name="Normal 17 2 3" xfId="585" xr:uid="{5FB7FCEC-6EEA-4576-9B9F-10FBC91695CC}"/>
    <cellStyle name="Normal 17 2 3 10" xfId="8650" xr:uid="{B971C22C-498D-4B19-B1D0-20967A9AE2CD}"/>
    <cellStyle name="Normal 17 2 3 10 2" xfId="17030" xr:uid="{19C46AD9-A332-4846-B629-BC1A565212BC}"/>
    <cellStyle name="Normal 17 2 3 10 2 2" xfId="33790" xr:uid="{91E9B455-31AE-4EF7-A213-FFA74226F4EA}"/>
    <cellStyle name="Normal 17 2 3 10 2 3" xfId="50549" xr:uid="{56315B05-E558-41BE-8DDB-684F910FB2B1}"/>
    <cellStyle name="Normal 17 2 3 10 3" xfId="25410" xr:uid="{0D2DC22F-6FDB-4AF2-B44A-85F6B4E16F1E}"/>
    <cellStyle name="Normal 17 2 3 10 4" xfId="42169" xr:uid="{54A6A9F8-76CC-4A61-92A7-1B5C276A57E7}"/>
    <cellStyle name="Normal 17 2 3 11" xfId="2417" xr:uid="{5BEAE8A0-9CDC-4102-85A4-3AB7A7A3405C}"/>
    <cellStyle name="Normal 17 2 3 11 2" xfId="10799" xr:uid="{2C49CEBE-83BB-479B-83BA-30B4838D357E}"/>
    <cellStyle name="Normal 17 2 3 11 2 2" xfId="27559" xr:uid="{D38F9946-B701-42A7-B9BA-40288E3D30C5}"/>
    <cellStyle name="Normal 17 2 3 11 2 3" xfId="44318" xr:uid="{67050A2A-82CB-4C1B-9559-FA81058D9B17}"/>
    <cellStyle name="Normal 17 2 3 11 3" xfId="19179" xr:uid="{B70FDB83-4494-4596-B6F2-D605A3F467D7}"/>
    <cellStyle name="Normal 17 2 3 11 4" xfId="35938" xr:uid="{BA93E3A0-B67B-4F64-8CCA-9EC25CFEFB56}"/>
    <cellStyle name="Normal 17 2 3 12" xfId="8996" xr:uid="{C474C56A-C06B-4281-9AF0-382FC92533D0}"/>
    <cellStyle name="Normal 17 2 3 12 2" xfId="25756" xr:uid="{3E89EB4A-C026-4B32-82E5-6DE86558C78E}"/>
    <cellStyle name="Normal 17 2 3 12 3" xfId="42515" xr:uid="{10E83B57-362B-469F-B44B-C3C8ACF76A21}"/>
    <cellStyle name="Normal 17 2 3 13" xfId="17376" xr:uid="{1323459E-B069-4C04-8AA8-CF2F7AA802D0}"/>
    <cellStyle name="Normal 17 2 3 14" xfId="34135" xr:uid="{BB78F593-908B-4A5D-8B30-2BDEBBF15700}"/>
    <cellStyle name="Normal 17 2 3 2" xfId="1027" xr:uid="{95A3B05C-32A0-428C-8D25-C4BF94C5224A}"/>
    <cellStyle name="Normal 17 2 3 2 2" xfId="4422" xr:uid="{E7DF9FC7-D101-443B-82D5-6A4601D31176}"/>
    <cellStyle name="Normal 17 2 3 2 2 2" xfId="12802" xr:uid="{8AA44FE6-1712-4CCF-970C-37BFD6F148C5}"/>
    <cellStyle name="Normal 17 2 3 2 2 2 2" xfId="29562" xr:uid="{5885AAE7-EC3C-415B-A4D8-46FA653962C2}"/>
    <cellStyle name="Normal 17 2 3 2 2 2 3" xfId="46321" xr:uid="{194CEB9D-DA27-455E-96CB-F52296F4F412}"/>
    <cellStyle name="Normal 17 2 3 2 2 3" xfId="21182" xr:uid="{6413CE74-C6F9-4887-9338-A28351FED0B0}"/>
    <cellStyle name="Normal 17 2 3 2 2 4" xfId="37941" xr:uid="{A7C15180-B053-4FF9-B077-13CFF634F7B9}"/>
    <cellStyle name="Normal 17 2 3 2 3" xfId="6109" xr:uid="{9C2EFDEC-F322-41E0-8BF0-146F46FE5FF6}"/>
    <cellStyle name="Normal 17 2 3 2 3 2" xfId="14489" xr:uid="{35A6A9EB-75A4-4EF2-A0AB-C57011DF3A00}"/>
    <cellStyle name="Normal 17 2 3 2 3 2 2" xfId="31249" xr:uid="{ECDCDEDA-51E0-4ADE-B646-D8F736DC1227}"/>
    <cellStyle name="Normal 17 2 3 2 3 2 3" xfId="48008" xr:uid="{6B9123A0-4943-4AC1-AFD1-3FB8E74DC125}"/>
    <cellStyle name="Normal 17 2 3 2 3 3" xfId="22869" xr:uid="{98CEA716-4114-410E-9E65-8D512E77382A}"/>
    <cellStyle name="Normal 17 2 3 2 3 4" xfId="39628" xr:uid="{A570535B-141D-4C4D-999F-16258CC09BD2}"/>
    <cellStyle name="Normal 17 2 3 2 4" xfId="2845" xr:uid="{BC59AA4F-F0B1-471B-834A-4EC66382267A}"/>
    <cellStyle name="Normal 17 2 3 2 4 2" xfId="11225" xr:uid="{26209C50-142B-4BD4-BA94-D7F33BDA6838}"/>
    <cellStyle name="Normal 17 2 3 2 4 2 2" xfId="27985" xr:uid="{7B6C9CCB-500F-4475-8586-F744DECDB704}"/>
    <cellStyle name="Normal 17 2 3 2 4 2 3" xfId="44744" xr:uid="{0D0B1794-2827-42B7-81FD-45E20AD00C4A}"/>
    <cellStyle name="Normal 17 2 3 2 4 3" xfId="19605" xr:uid="{AE7D8BC5-6F73-400E-888B-A6AB1D3F9EF0}"/>
    <cellStyle name="Normal 17 2 3 2 4 4" xfId="36364" xr:uid="{FEF3158C-93B7-42DD-A08A-91AE33D35AA8}"/>
    <cellStyle name="Normal 17 2 3 2 5" xfId="9422" xr:uid="{6747486A-13E0-4036-89EE-72402AD59027}"/>
    <cellStyle name="Normal 17 2 3 2 5 2" xfId="26182" xr:uid="{6D422CC3-272A-415A-B544-C817D5B6E234}"/>
    <cellStyle name="Normal 17 2 3 2 5 3" xfId="42941" xr:uid="{57DAA9DD-88A5-465D-85B4-C56CF682BCB3}"/>
    <cellStyle name="Normal 17 2 3 2 6" xfId="17802" xr:uid="{2B344EEF-C7C0-480C-B935-532035D7DCAC}"/>
    <cellStyle name="Normal 17 2 3 2 7" xfId="34561" xr:uid="{76B44673-4B07-4D19-AFB7-4C48B915961F}"/>
    <cellStyle name="Normal 17 2 3 3" xfId="1461" xr:uid="{5B1485AE-5C3D-453F-925E-8E5D48D644B6}"/>
    <cellStyle name="Normal 17 2 3 3 2" xfId="4850" xr:uid="{53F0D355-E2E1-42A4-B6CE-A5823F6B7656}"/>
    <cellStyle name="Normal 17 2 3 3 2 2" xfId="13230" xr:uid="{939D6AF3-971D-4DAE-8D83-F6F357970E53}"/>
    <cellStyle name="Normal 17 2 3 3 2 2 2" xfId="29990" xr:uid="{4B4EB34C-05C1-4228-82D9-8C190FC79F07}"/>
    <cellStyle name="Normal 17 2 3 3 2 2 3" xfId="46749" xr:uid="{AC31F215-A50E-45D5-B356-0EEA6F1058D0}"/>
    <cellStyle name="Normal 17 2 3 3 2 3" xfId="21610" xr:uid="{AC996070-B8D6-4681-BC45-D50A0C3BB1EE}"/>
    <cellStyle name="Normal 17 2 3 3 2 4" xfId="38369" xr:uid="{76452480-6B4E-41BE-8A39-FB7745FA8FD7}"/>
    <cellStyle name="Normal 17 2 3 3 3" xfId="6537" xr:uid="{7F45B893-4985-4B34-9B84-A132C655F925}"/>
    <cellStyle name="Normal 17 2 3 3 3 2" xfId="14917" xr:uid="{97582350-E584-4A6A-978C-8D765DE79017}"/>
    <cellStyle name="Normal 17 2 3 3 3 2 2" xfId="31677" xr:uid="{EBDD61B1-B14B-48C6-9950-3566933AEECB}"/>
    <cellStyle name="Normal 17 2 3 3 3 2 3" xfId="48436" xr:uid="{1128D7B9-A5DA-48CC-8DEB-0666E90483C9}"/>
    <cellStyle name="Normal 17 2 3 3 3 3" xfId="23297" xr:uid="{BC5DFD00-D3CC-4B14-94C2-AB4CD41A5D7B}"/>
    <cellStyle name="Normal 17 2 3 3 3 4" xfId="40056" xr:uid="{725192D6-C8DA-4F6C-87B0-940C4EA6A576}"/>
    <cellStyle name="Normal 17 2 3 3 4" xfId="3273" xr:uid="{A98BCAB5-4015-417E-B0B2-52BBDB1534D5}"/>
    <cellStyle name="Normal 17 2 3 3 4 2" xfId="11653" xr:uid="{E7B72ECC-2C9E-40BF-82B6-B3AD2F55C32F}"/>
    <cellStyle name="Normal 17 2 3 3 4 2 2" xfId="28413" xr:uid="{C107CAC3-F734-4078-BD92-CE8A4C2D6C39}"/>
    <cellStyle name="Normal 17 2 3 3 4 2 3" xfId="45172" xr:uid="{E81D9638-3588-453D-9F10-B647FE6F1563}"/>
    <cellStyle name="Normal 17 2 3 3 4 3" xfId="20033" xr:uid="{0D4E7631-B80A-4C0D-BB9B-F4C5C46AAC49}"/>
    <cellStyle name="Normal 17 2 3 3 4 4" xfId="36792" xr:uid="{0C13D503-7FBD-4C6E-B406-06314C4F24EF}"/>
    <cellStyle name="Normal 17 2 3 3 5" xfId="9850" xr:uid="{EDFF8007-8E35-45E6-8CC4-EB7D48378CD8}"/>
    <cellStyle name="Normal 17 2 3 3 5 2" xfId="26610" xr:uid="{83109AF8-5B48-4D84-B275-0ECAFFDE3D97}"/>
    <cellStyle name="Normal 17 2 3 3 5 3" xfId="43369" xr:uid="{B5AF2052-8B3A-46B5-8475-918F51590AEF}"/>
    <cellStyle name="Normal 17 2 3 3 6" xfId="18230" xr:uid="{FD1D081A-2047-46B2-BD1B-47D35E44F226}"/>
    <cellStyle name="Normal 17 2 3 3 7" xfId="34989" xr:uid="{2BB848D1-A706-41BE-B52C-64AFAF9E279D}"/>
    <cellStyle name="Normal 17 2 3 4" xfId="1950" xr:uid="{1725A3CF-40BB-49C3-B70A-7BA4E9A7FC00}"/>
    <cellStyle name="Normal 17 2 3 4 2" xfId="5339" xr:uid="{A4737501-E6A3-44EA-9F90-292C6FFBB2A6}"/>
    <cellStyle name="Normal 17 2 3 4 2 2" xfId="13719" xr:uid="{77D138A4-7F33-412F-A6A5-FBBD75B381B7}"/>
    <cellStyle name="Normal 17 2 3 4 2 2 2" xfId="30479" xr:uid="{3A5AE856-4CFF-4DFC-9643-FBC1FA6C6696}"/>
    <cellStyle name="Normal 17 2 3 4 2 2 3" xfId="47238" xr:uid="{1AB91E04-F253-441B-97A0-ED5D19F63322}"/>
    <cellStyle name="Normal 17 2 3 4 2 3" xfId="22099" xr:uid="{545EE071-4B0A-475C-93A7-70EDD42DADBA}"/>
    <cellStyle name="Normal 17 2 3 4 2 4" xfId="38858" xr:uid="{6314E1BC-DBE8-4B1B-98E1-978E3E9D053C}"/>
    <cellStyle name="Normal 17 2 3 4 3" xfId="7026" xr:uid="{A86C8003-4E9F-4D28-B96E-03A32084EAEC}"/>
    <cellStyle name="Normal 17 2 3 4 3 2" xfId="15406" xr:uid="{D26EF2BB-92AB-4DCD-841A-F5844D675DB5}"/>
    <cellStyle name="Normal 17 2 3 4 3 2 2" xfId="32166" xr:uid="{2DCFA5E3-560C-43A6-BE61-65C81C84E5C9}"/>
    <cellStyle name="Normal 17 2 3 4 3 2 3" xfId="48925" xr:uid="{E3991719-1E76-40B1-9C95-E4678456780B}"/>
    <cellStyle name="Normal 17 2 3 4 3 3" xfId="23786" xr:uid="{8B3FE330-0D95-4519-9CBB-9DA9030C4272}"/>
    <cellStyle name="Normal 17 2 3 4 3 4" xfId="40545" xr:uid="{207A9CC7-3F82-4137-9D94-BD8F4211B009}"/>
    <cellStyle name="Normal 17 2 3 4 4" xfId="3649" xr:uid="{1404DF7E-7162-4305-94B0-14701205FBAB}"/>
    <cellStyle name="Normal 17 2 3 4 4 2" xfId="12029" xr:uid="{1738AC17-3017-4F14-9D84-DE8571C5976D}"/>
    <cellStyle name="Normal 17 2 3 4 4 2 2" xfId="28789" xr:uid="{0ABECF2D-EC12-49F9-B390-3B085E941075}"/>
    <cellStyle name="Normal 17 2 3 4 4 2 3" xfId="45548" xr:uid="{093D86AE-0E63-4F99-B921-F86D56C60DF5}"/>
    <cellStyle name="Normal 17 2 3 4 4 3" xfId="20409" xr:uid="{F79F65D1-35C9-4B58-9309-97FDDA296C2F}"/>
    <cellStyle name="Normal 17 2 3 4 4 4" xfId="37168" xr:uid="{08781FD2-C7D2-4F8F-818F-67387A100C88}"/>
    <cellStyle name="Normal 17 2 3 4 5" xfId="10339" xr:uid="{A55BEC42-5BB6-4B1B-A279-CD5AB40523D2}"/>
    <cellStyle name="Normal 17 2 3 4 5 2" xfId="27099" xr:uid="{4543DAF9-2C06-4BA5-BF64-47D628C8B1D8}"/>
    <cellStyle name="Normal 17 2 3 4 5 3" xfId="43858" xr:uid="{A34688C6-C6FD-416C-82C9-8C4FF8778F53}"/>
    <cellStyle name="Normal 17 2 3 4 6" xfId="18719" xr:uid="{BE4F3EB6-D602-4910-8917-C6636A4F0DFB}"/>
    <cellStyle name="Normal 17 2 3 4 7" xfId="35478" xr:uid="{8254301D-D83B-49F0-A40B-9A84A69CFD2E}"/>
    <cellStyle name="Normal 17 2 3 5" xfId="4069" xr:uid="{66A8934A-BD30-41F5-9D6B-E2F61A457A28}"/>
    <cellStyle name="Normal 17 2 3 5 2" xfId="12449" xr:uid="{AF30F5FA-EC3D-4AC8-BAEF-3D30600F23F9}"/>
    <cellStyle name="Normal 17 2 3 5 2 2" xfId="29209" xr:uid="{7C495A5B-7D9B-4CCA-9760-23F47A72922A}"/>
    <cellStyle name="Normal 17 2 3 5 2 3" xfId="45968" xr:uid="{D19C414F-2E33-41F3-93A3-CF172E6943D6}"/>
    <cellStyle name="Normal 17 2 3 5 3" xfId="20829" xr:uid="{39128970-DC19-41A2-85A3-F1B07B0D4DC6}"/>
    <cellStyle name="Normal 17 2 3 5 4" xfId="37588" xr:uid="{63B0981C-DF13-49AE-8545-224C6350D653}"/>
    <cellStyle name="Normal 17 2 3 6" xfId="5683" xr:uid="{8C9EAB92-ACF3-459A-9081-1D1C36537FE9}"/>
    <cellStyle name="Normal 17 2 3 6 2" xfId="14063" xr:uid="{B1505478-DEDC-4FBC-9C93-7C7ED8E419EF}"/>
    <cellStyle name="Normal 17 2 3 6 2 2" xfId="30823" xr:uid="{66A3583B-6493-4CD2-857D-F941292C3E9F}"/>
    <cellStyle name="Normal 17 2 3 6 2 3" xfId="47582" xr:uid="{8CA5754B-FA3A-47C5-BC1A-61B377D6FA26}"/>
    <cellStyle name="Normal 17 2 3 6 3" xfId="22443" xr:uid="{E0E027BC-723F-4A3A-9A54-5CA98B198A90}"/>
    <cellStyle name="Normal 17 2 3 6 4" xfId="39202" xr:uid="{791D621B-A1BD-47CD-94DC-94C461708D5E}"/>
    <cellStyle name="Normal 17 2 3 7" xfId="7432" xr:uid="{2E96B4CA-B07F-4DEC-931E-489DAEA31FF8}"/>
    <cellStyle name="Normal 17 2 3 7 2" xfId="15812" xr:uid="{78FE388A-07FD-47BD-BA37-F4A6BB7A5D7A}"/>
    <cellStyle name="Normal 17 2 3 7 2 2" xfId="32572" xr:uid="{09215EC6-08C5-4EBF-9F7B-62D3185628A6}"/>
    <cellStyle name="Normal 17 2 3 7 2 3" xfId="49331" xr:uid="{6A6D5089-91B0-4B6F-96AF-195DF3F18E2A}"/>
    <cellStyle name="Normal 17 2 3 7 3" xfId="24192" xr:uid="{A274F8D7-F19E-43DB-9F99-24D2F1BFC28F}"/>
    <cellStyle name="Normal 17 2 3 7 4" xfId="40951" xr:uid="{334185B3-4BAB-42B4-BA94-12472E426D4F}"/>
    <cellStyle name="Normal 17 2 3 8" xfId="7838" xr:uid="{C0C75790-CBCE-4E4C-9D2E-8797C437F36F}"/>
    <cellStyle name="Normal 17 2 3 8 2" xfId="16218" xr:uid="{FD080616-D034-4380-B6B5-F13B50ADDBE1}"/>
    <cellStyle name="Normal 17 2 3 8 2 2" xfId="32978" xr:uid="{98413E49-9EB1-4F45-A8EE-C7FE4E719ACC}"/>
    <cellStyle name="Normal 17 2 3 8 2 3" xfId="49737" xr:uid="{7CA7807F-D204-4063-9E45-CC39BCBD8594}"/>
    <cellStyle name="Normal 17 2 3 8 3" xfId="24598" xr:uid="{78FC87BA-8D77-45B5-BF3D-8F42B0869615}"/>
    <cellStyle name="Normal 17 2 3 8 4" xfId="41357" xr:uid="{211A5DB8-040B-42D9-9BA9-4CD47A5FC245}"/>
    <cellStyle name="Normal 17 2 3 9" xfId="8244" xr:uid="{F7BBD9FB-90DF-4C33-8E38-29459C2143AC}"/>
    <cellStyle name="Normal 17 2 3 9 2" xfId="16624" xr:uid="{61818F1E-2582-4115-B5DE-8FE7C7E52C47}"/>
    <cellStyle name="Normal 17 2 3 9 2 2" xfId="33384" xr:uid="{15014702-F157-434B-AF6E-1154EC9E4F01}"/>
    <cellStyle name="Normal 17 2 3 9 2 3" xfId="50143" xr:uid="{AD134354-81E2-47BF-B152-AB44D32C7795}"/>
    <cellStyle name="Normal 17 2 3 9 3" xfId="25004" xr:uid="{747DFBBA-B699-4CB2-8054-DE13EA2774AE}"/>
    <cellStyle name="Normal 17 2 3 9 4" xfId="41763" xr:uid="{5203D2FB-9731-48EB-B0DA-367F91F7F8F7}"/>
    <cellStyle name="Normal 17 2 4" xfId="808" xr:uid="{0340940E-748C-4EAB-A73C-99596D18F48C}"/>
    <cellStyle name="Normal 17 2 4 2" xfId="4203" xr:uid="{388C570A-4FC3-4830-9D58-F7F8B8FA74CE}"/>
    <cellStyle name="Normal 17 2 4 2 2" xfId="12583" xr:uid="{912AD731-AD1D-43C0-8AF9-FC80E425B92E}"/>
    <cellStyle name="Normal 17 2 4 2 2 2" xfId="29343" xr:uid="{C6F15B6C-A5E4-4D37-9FE9-E554241BC4B6}"/>
    <cellStyle name="Normal 17 2 4 2 2 3" xfId="46102" xr:uid="{F1A17403-033C-49A7-A166-A5DF49FDB7F9}"/>
    <cellStyle name="Normal 17 2 4 2 3" xfId="20963" xr:uid="{97CB7579-8F47-4F18-83F2-0A76EA1AFCCF}"/>
    <cellStyle name="Normal 17 2 4 2 4" xfId="37722" xr:uid="{CB928353-3825-4119-B88F-62DF096AE638}"/>
    <cellStyle name="Normal 17 2 4 3" xfId="5890" xr:uid="{13178837-127D-4D23-82A6-DB29AD1FBFC1}"/>
    <cellStyle name="Normal 17 2 4 3 2" xfId="14270" xr:uid="{6F632C67-8CD8-4F13-8C4B-B1E84EBC77F8}"/>
    <cellStyle name="Normal 17 2 4 3 2 2" xfId="31030" xr:uid="{1CAA8437-F082-4556-85ED-09FB6A2E496C}"/>
    <cellStyle name="Normal 17 2 4 3 2 3" xfId="47789" xr:uid="{EA46096E-CF40-4C80-B074-75769FBE82F3}"/>
    <cellStyle name="Normal 17 2 4 3 3" xfId="22650" xr:uid="{4F60B569-67B0-4E0B-8F9B-FA7F0E911445}"/>
    <cellStyle name="Normal 17 2 4 3 4" xfId="39409" xr:uid="{A69AC04C-565D-47DE-B7B4-00BAE3AC6404}"/>
    <cellStyle name="Normal 17 2 4 4" xfId="2626" xr:uid="{6F2FF933-9071-437E-B4BC-2D7553F5FC33}"/>
    <cellStyle name="Normal 17 2 4 4 2" xfId="11006" xr:uid="{A1B040A2-356A-4B4A-9E5A-F338310E7486}"/>
    <cellStyle name="Normal 17 2 4 4 2 2" xfId="27766" xr:uid="{4345945F-F69B-4FC6-94DA-26F37AB461DB}"/>
    <cellStyle name="Normal 17 2 4 4 2 3" xfId="44525" xr:uid="{12AD2F92-633C-4442-AB3E-597249C2548B}"/>
    <cellStyle name="Normal 17 2 4 4 3" xfId="19386" xr:uid="{FD7BFBCF-620A-470A-8BD7-90DA7E2CDE79}"/>
    <cellStyle name="Normal 17 2 4 4 4" xfId="36145" xr:uid="{450E3E89-51EF-4FAF-949A-E7FB7153268B}"/>
    <cellStyle name="Normal 17 2 4 5" xfId="9203" xr:uid="{E3C15226-422D-4BF0-8284-54DE233DC458}"/>
    <cellStyle name="Normal 17 2 4 5 2" xfId="25963" xr:uid="{D6A62A7D-7583-474F-A689-6E2067ACB36D}"/>
    <cellStyle name="Normal 17 2 4 5 3" xfId="42722" xr:uid="{DFA937D8-AC00-4873-B4F3-DA109E258903}"/>
    <cellStyle name="Normal 17 2 4 6" xfId="17583" xr:uid="{695959B4-AE50-4B33-8A70-763E3CF5EB47}"/>
    <cellStyle name="Normal 17 2 4 7" xfId="34342" xr:uid="{E95857D6-BC83-439B-900C-BC9985CFD949}"/>
    <cellStyle name="Normal 17 2 5" xfId="1242" xr:uid="{3DB868A7-BC07-448E-9524-4DE9FC22569C}"/>
    <cellStyle name="Normal 17 2 5 2" xfId="4631" xr:uid="{5FE72917-D75E-4410-9FC0-6734BCC0A6ED}"/>
    <cellStyle name="Normal 17 2 5 2 2" xfId="13011" xr:uid="{2A5B5831-6E23-4F8D-9338-14797665AA8C}"/>
    <cellStyle name="Normal 17 2 5 2 2 2" xfId="29771" xr:uid="{82ABD9FE-D942-43E2-8E07-D97DFB0974C5}"/>
    <cellStyle name="Normal 17 2 5 2 2 3" xfId="46530" xr:uid="{908B4822-E18C-4124-8B65-4C999651C5B9}"/>
    <cellStyle name="Normal 17 2 5 2 3" xfId="21391" xr:uid="{193B6AF9-154C-49D0-973B-1261A708676E}"/>
    <cellStyle name="Normal 17 2 5 2 4" xfId="38150" xr:uid="{A71E73FA-EB7D-42B1-94F8-941FB1B517BF}"/>
    <cellStyle name="Normal 17 2 5 3" xfId="6318" xr:uid="{1604C749-22BC-4FA0-A105-2161DD26E804}"/>
    <cellStyle name="Normal 17 2 5 3 2" xfId="14698" xr:uid="{20C6638B-37D6-45E9-8B4E-1C0F2C0B8838}"/>
    <cellStyle name="Normal 17 2 5 3 2 2" xfId="31458" xr:uid="{AC9B73CD-9AF1-48CD-BF15-A64604EED2AA}"/>
    <cellStyle name="Normal 17 2 5 3 2 3" xfId="48217" xr:uid="{4CF7B0A9-86EE-4364-907F-C1F1BAAA4D8D}"/>
    <cellStyle name="Normal 17 2 5 3 3" xfId="23078" xr:uid="{912F229C-7F34-4EE2-B603-E1ABCE2ADD31}"/>
    <cellStyle name="Normal 17 2 5 3 4" xfId="39837" xr:uid="{BC6EF10E-FB8D-4BEB-9068-E7393037C05D}"/>
    <cellStyle name="Normal 17 2 5 4" xfId="3054" xr:uid="{828BFB56-D55C-4605-8AFA-E329EE837916}"/>
    <cellStyle name="Normal 17 2 5 4 2" xfId="11434" xr:uid="{5638A021-EF27-49DA-B429-A1F5C0BDE8BC}"/>
    <cellStyle name="Normal 17 2 5 4 2 2" xfId="28194" xr:uid="{BF00A0FE-D3B6-43FF-91D0-316BAD2010FB}"/>
    <cellStyle name="Normal 17 2 5 4 2 3" xfId="44953" xr:uid="{1D1CC86B-A1A0-4B49-9243-DFB2CCEA64FF}"/>
    <cellStyle name="Normal 17 2 5 4 3" xfId="19814" xr:uid="{713A3114-25A8-4650-A47A-8AE233DBC529}"/>
    <cellStyle name="Normal 17 2 5 4 4" xfId="36573" xr:uid="{9694FB0A-6913-440B-91D4-7078A99CAB41}"/>
    <cellStyle name="Normal 17 2 5 5" xfId="9631" xr:uid="{838E09DE-C1F8-4A5A-8600-1F2CDCB722AE}"/>
    <cellStyle name="Normal 17 2 5 5 2" xfId="26391" xr:uid="{EED26625-D4D8-43EF-9257-B182A5065899}"/>
    <cellStyle name="Normal 17 2 5 5 3" xfId="43150" xr:uid="{1859ACEE-62F2-44D4-B6A8-AFB3E8B16B4F}"/>
    <cellStyle name="Normal 17 2 5 6" xfId="18011" xr:uid="{5928E6FF-3B48-4C5D-A81B-F6E76F253E70}"/>
    <cellStyle name="Normal 17 2 5 7" xfId="34770" xr:uid="{570E0083-81AB-4B9B-B1FB-6D4F26893A0B}"/>
    <cellStyle name="Normal 17 2 6" xfId="1679" xr:uid="{E98E653C-3CD7-4110-9F00-A60ACE22F506}"/>
    <cellStyle name="Normal 17 2 6 2" xfId="5068" xr:uid="{8CE0084C-179E-4644-BF4A-0F25FD8A9E1E}"/>
    <cellStyle name="Normal 17 2 6 2 2" xfId="13448" xr:uid="{19ABCD8D-1571-4FC3-BC6B-E9E035EF08E8}"/>
    <cellStyle name="Normal 17 2 6 2 2 2" xfId="30208" xr:uid="{88987753-7FBE-4AD8-A720-67D3F14779B5}"/>
    <cellStyle name="Normal 17 2 6 2 2 3" xfId="46967" xr:uid="{3B5A1B9D-0F40-44B8-92DD-4D684950627A}"/>
    <cellStyle name="Normal 17 2 6 2 3" xfId="21828" xr:uid="{6B74BBD3-2178-4F03-A552-A3FFA86F66A4}"/>
    <cellStyle name="Normal 17 2 6 2 4" xfId="38587" xr:uid="{704921DD-C2AB-46F9-BB06-32CAEC85614E}"/>
    <cellStyle name="Normal 17 2 6 3" xfId="6755" xr:uid="{B6A3647E-B8AA-44F1-8C7B-F8CA34D66889}"/>
    <cellStyle name="Normal 17 2 6 3 2" xfId="15135" xr:uid="{DC8A3778-A156-42E5-AE0C-90EEAFDE1760}"/>
    <cellStyle name="Normal 17 2 6 3 2 2" xfId="31895" xr:uid="{2830F341-7D02-437E-8444-9B46457BCADC}"/>
    <cellStyle name="Normal 17 2 6 3 2 3" xfId="48654" xr:uid="{2CC32B72-1D75-4001-BAB8-DF7E3E5C5EDE}"/>
    <cellStyle name="Normal 17 2 6 3 3" xfId="23515" xr:uid="{1C6EC2DC-1712-48BF-B50F-BE6880810042}"/>
    <cellStyle name="Normal 17 2 6 3 4" xfId="40274" xr:uid="{2BB51841-8344-463E-A63A-3155513BF3DE}"/>
    <cellStyle name="Normal 17 2 6 4" xfId="2193" xr:uid="{5EF3242F-820E-48B5-ABEF-2FD3CAC03A14}"/>
    <cellStyle name="Normal 17 2 6 4 2" xfId="10580" xr:uid="{DB975EBA-3C97-4125-BDD9-ED2632F2D59C}"/>
    <cellStyle name="Normal 17 2 6 4 2 2" xfId="27340" xr:uid="{FD5B8BB6-CC83-4584-9DD7-00A281E9387D}"/>
    <cellStyle name="Normal 17 2 6 4 2 3" xfId="44099" xr:uid="{54106BF4-0E8B-4DA7-A856-7EB5B243D4F6}"/>
    <cellStyle name="Normal 17 2 6 4 3" xfId="18960" xr:uid="{A48AA678-AEE7-4309-9545-2E166A417A9A}"/>
    <cellStyle name="Normal 17 2 6 4 4" xfId="35719" xr:uid="{9E2A7393-D454-4256-8FE6-1ED474C7FC1A}"/>
    <cellStyle name="Normal 17 2 6 5" xfId="10068" xr:uid="{CDB247CA-3613-419F-8710-DE94A5120FAF}"/>
    <cellStyle name="Normal 17 2 6 5 2" xfId="26828" xr:uid="{AD71861D-DD9B-4F7C-B183-C757D74E2437}"/>
    <cellStyle name="Normal 17 2 6 5 3" xfId="43587" xr:uid="{02D65053-2DBA-4A56-9501-ED16A441E9EC}"/>
    <cellStyle name="Normal 17 2 6 6" xfId="18448" xr:uid="{C31BA437-8346-4D19-8119-58D3C2ACA6D8}"/>
    <cellStyle name="Normal 17 2 6 7" xfId="35207" xr:uid="{4E7B6481-92FB-4D6C-BD58-46170D4DE5DC}"/>
    <cellStyle name="Normal 17 2 7" xfId="3797" xr:uid="{EDB13AF7-B453-4574-95FF-16AE0161078A}"/>
    <cellStyle name="Normal 17 2 7 2" xfId="12177" xr:uid="{23120818-3D4F-4A47-8F93-ABB60CAA7C5E}"/>
    <cellStyle name="Normal 17 2 7 2 2" xfId="28937" xr:uid="{7EBD3EDB-B9BE-434F-B98D-04DE0419C9EF}"/>
    <cellStyle name="Normal 17 2 7 2 3" xfId="45696" xr:uid="{3BE81923-F4F6-4C34-A436-8C206ED998D0}"/>
    <cellStyle name="Normal 17 2 7 3" xfId="20557" xr:uid="{C6C2D1CB-F7CC-4200-A3ED-E6E0AB0C5ABE}"/>
    <cellStyle name="Normal 17 2 7 4" xfId="37316" xr:uid="{93E9E813-104F-460C-BC47-D42F301FE513}"/>
    <cellStyle name="Normal 17 2 8" xfId="5464" xr:uid="{B3553112-72C6-486F-A686-2F4015DCE4D5}"/>
    <cellStyle name="Normal 17 2 8 2" xfId="13844" xr:uid="{BC9977BF-8F4C-48CE-A2F7-D1AF6F81A08B}"/>
    <cellStyle name="Normal 17 2 8 2 2" xfId="30604" xr:uid="{DDE029BE-E97A-4718-BA61-78C6B4AA3D1E}"/>
    <cellStyle name="Normal 17 2 8 2 3" xfId="47363" xr:uid="{E25DC46A-DB8D-40A8-9B94-E3BD350ACC26}"/>
    <cellStyle name="Normal 17 2 8 3" xfId="22224" xr:uid="{6EAFC90A-D091-41A4-AC6A-EEE3CA976D00}"/>
    <cellStyle name="Normal 17 2 8 4" xfId="38983" xr:uid="{07192C39-2BF0-4A3C-B07C-5D67D75E3BBF}"/>
    <cellStyle name="Normal 17 2 9" xfId="7161" xr:uid="{C54514FB-603F-4228-9966-CD43D9269E29}"/>
    <cellStyle name="Normal 17 2 9 2" xfId="15541" xr:uid="{CFB8CF17-2DF8-48E0-BEBD-BD2E7A521A88}"/>
    <cellStyle name="Normal 17 2 9 2 2" xfId="32301" xr:uid="{065DDB01-59CA-4662-B963-4F16424EB235}"/>
    <cellStyle name="Normal 17 2 9 2 3" xfId="49060" xr:uid="{5A52B6A2-F43E-4695-96F2-565A6C371B92}"/>
    <cellStyle name="Normal 17 2 9 3" xfId="23921" xr:uid="{82260273-5ECB-4B90-A1F5-C3FFA7DBEEB8}"/>
    <cellStyle name="Normal 17 2 9 4" xfId="40680" xr:uid="{B327C0DC-7FA5-4379-A81F-091B02691870}"/>
    <cellStyle name="Normal 17 20" xfId="33888" xr:uid="{7C1CE446-D91C-4570-A6CC-E4D086BB908C}"/>
    <cellStyle name="Normal 17 21" xfId="50938" xr:uid="{9DCC787A-DEBF-4973-B5ED-CBF35612FED9}"/>
    <cellStyle name="Normal 17 22" xfId="275" xr:uid="{3AE4716A-2C40-480E-BCF8-6016F84839A8}"/>
    <cellStyle name="Normal 17 3" xfId="359" xr:uid="{EAC2CDD1-A2E5-4078-939E-21FDA514BE0F}"/>
    <cellStyle name="Normal 17 3 10" xfId="7568" xr:uid="{E8C89258-7F5A-423F-AFCC-D7A665287A75}"/>
    <cellStyle name="Normal 17 3 10 2" xfId="15948" xr:uid="{50BA1D29-18D9-45B8-8EE3-8A12AA83BF21}"/>
    <cellStyle name="Normal 17 3 10 2 2" xfId="32708" xr:uid="{2E986B92-98D1-4981-9A6F-5446B24219D8}"/>
    <cellStyle name="Normal 17 3 10 2 3" xfId="49467" xr:uid="{309C059E-68F9-4724-8394-8BC23F1A9714}"/>
    <cellStyle name="Normal 17 3 10 3" xfId="24328" xr:uid="{A58EEDA4-CADF-4DDB-BD10-1D52BAAA241E}"/>
    <cellStyle name="Normal 17 3 10 4" xfId="41087" xr:uid="{AF15F509-5B6F-4BAC-A5CE-7C1FDA0596CD}"/>
    <cellStyle name="Normal 17 3 11" xfId="7974" xr:uid="{071E333B-E41A-4041-B11B-26B984005311}"/>
    <cellStyle name="Normal 17 3 11 2" xfId="16354" xr:uid="{B40D056E-3EB7-4DED-99F4-C60A4176D7BA}"/>
    <cellStyle name="Normal 17 3 11 2 2" xfId="33114" xr:uid="{DFDFC6A0-6C3E-4D0B-B07F-EBA117785962}"/>
    <cellStyle name="Normal 17 3 11 2 3" xfId="49873" xr:uid="{93CF68C6-9208-40CD-8B40-0702EB5BCC29}"/>
    <cellStyle name="Normal 17 3 11 3" xfId="24734" xr:uid="{60581BC3-8D15-4E28-9545-B95F16D3CF01}"/>
    <cellStyle name="Normal 17 3 11 4" xfId="41493" xr:uid="{7290BEEE-B742-429B-860F-46088C91B262}"/>
    <cellStyle name="Normal 17 3 12" xfId="8380" xr:uid="{AC17A097-168D-44BA-AC9A-8C651ACF1E11}"/>
    <cellStyle name="Normal 17 3 12 2" xfId="16760" xr:uid="{1C84E433-3431-42CE-8B82-A82CAA57845E}"/>
    <cellStyle name="Normal 17 3 12 2 2" xfId="33520" xr:uid="{5D45C3B1-8160-400D-936C-B48B63932252}"/>
    <cellStyle name="Normal 17 3 12 2 3" xfId="50279" xr:uid="{08232DB3-4720-42EF-99C0-E2446CFE045E}"/>
    <cellStyle name="Normal 17 3 12 3" xfId="25140" xr:uid="{D83CCDBA-FB2F-480C-B783-F5FC32E3E4EF}"/>
    <cellStyle name="Normal 17 3 12 4" xfId="41899" xr:uid="{9475EB2B-9663-4408-946A-64E8744C1D22}"/>
    <cellStyle name="Normal 17 3 13" xfId="2089" xr:uid="{FCD57B02-3957-4667-A5FB-FE74B9ECA596}"/>
    <cellStyle name="Normal 17 3 13 2" xfId="10477" xr:uid="{76477B10-BB28-4317-BDCB-5C7D7B5B1E87}"/>
    <cellStyle name="Normal 17 3 13 2 2" xfId="27237" xr:uid="{113BDAEA-D7EB-44C0-B4D8-DE4CE3B4A48F}"/>
    <cellStyle name="Normal 17 3 13 2 3" xfId="43996" xr:uid="{50D73922-C53F-48D0-AE5B-DE44F8D30FE8}"/>
    <cellStyle name="Normal 17 3 13 3" xfId="18857" xr:uid="{01397E83-16DB-416A-83F9-EF5A0433AFAE}"/>
    <cellStyle name="Normal 17 3 13 4" xfId="35616" xr:uid="{9F7ADED2-1B79-408C-92E2-149509D30E89}"/>
    <cellStyle name="Normal 17 3 14" xfId="8823" xr:uid="{D93375D5-3217-4367-8C10-104114C453F1}"/>
    <cellStyle name="Normal 17 3 14 2" xfId="25583" xr:uid="{C1513752-338A-4997-811B-98F8DB384DDB}"/>
    <cellStyle name="Normal 17 3 14 3" xfId="42342" xr:uid="{61555D01-84F7-4040-8773-00013512202C}"/>
    <cellStyle name="Normal 17 3 15" xfId="17203" xr:uid="{FE46E3ED-2964-40A4-932B-14518F18E66B}"/>
    <cellStyle name="Normal 17 3 16" xfId="33962" xr:uid="{99FEDFAD-BCA5-434B-B2BD-4DC9139EE2C5}"/>
    <cellStyle name="Normal 17 3 2" xfId="586" xr:uid="{FC66BEF8-12D1-431F-A892-02B2766F7626}"/>
    <cellStyle name="Normal 17 3 2 10" xfId="8521" xr:uid="{02AE5906-A8CC-4878-9089-C61EB44508C3}"/>
    <cellStyle name="Normal 17 3 2 10 2" xfId="16901" xr:uid="{52715ADE-80C0-4E32-B635-F39D61825C93}"/>
    <cellStyle name="Normal 17 3 2 10 2 2" xfId="33661" xr:uid="{B851D247-6BA2-4F64-B8A0-6C76010D2FDF}"/>
    <cellStyle name="Normal 17 3 2 10 2 3" xfId="50420" xr:uid="{5348CB43-14F1-401F-B9FC-5CF8A83D4D04}"/>
    <cellStyle name="Normal 17 3 2 10 3" xfId="25281" xr:uid="{D8F5E13A-F943-4DCA-96E0-869E778300C3}"/>
    <cellStyle name="Normal 17 3 2 10 4" xfId="42040" xr:uid="{321E2702-2BAC-472E-A78C-1D6456257916}"/>
    <cellStyle name="Normal 17 3 2 11" xfId="2418" xr:uid="{210E4983-A301-422F-88D3-C45209F1D009}"/>
    <cellStyle name="Normal 17 3 2 11 2" xfId="10800" xr:uid="{1D3374A3-5086-4B3A-BA4C-B8D1F6C1A9C5}"/>
    <cellStyle name="Normal 17 3 2 11 2 2" xfId="27560" xr:uid="{BE6E2F7F-160D-46BA-8C11-52D3770D3A7A}"/>
    <cellStyle name="Normal 17 3 2 11 2 3" xfId="44319" xr:uid="{5B5B1418-D09F-4391-AE35-F3AE778A35A9}"/>
    <cellStyle name="Normal 17 3 2 11 3" xfId="19180" xr:uid="{0F58CF4C-0F2E-4282-A85B-4EEE955D4015}"/>
    <cellStyle name="Normal 17 3 2 11 4" xfId="35939" xr:uid="{AB7685FA-BF40-4929-B54B-C660E5BFD6E7}"/>
    <cellStyle name="Normal 17 3 2 12" xfId="8997" xr:uid="{EA75EB07-A395-4DFD-9778-23957E809C7B}"/>
    <cellStyle name="Normal 17 3 2 12 2" xfId="25757" xr:uid="{5679B073-9C45-4572-A124-5432C33C70C1}"/>
    <cellStyle name="Normal 17 3 2 12 3" xfId="42516" xr:uid="{F31D3EA3-1852-48F8-B12F-72AA663DF1ED}"/>
    <cellStyle name="Normal 17 3 2 13" xfId="17377" xr:uid="{BFDD1D62-1AF6-42F7-B6D5-699235F22088}"/>
    <cellStyle name="Normal 17 3 2 14" xfId="34136" xr:uid="{3785A56C-973D-4B4B-9FB2-32718F5EF2A3}"/>
    <cellStyle name="Normal 17 3 2 2" xfId="1028" xr:uid="{75FD7DCC-F513-416D-B642-0EEA7FE61B65}"/>
    <cellStyle name="Normal 17 3 2 2 2" xfId="4423" xr:uid="{49D6965B-249E-4CC1-8D55-C9AE25951AE6}"/>
    <cellStyle name="Normal 17 3 2 2 2 2" xfId="12803" xr:uid="{485EF084-4062-433D-A09E-8BF55EDDAD53}"/>
    <cellStyle name="Normal 17 3 2 2 2 2 2" xfId="29563" xr:uid="{2B0CD857-9996-45FA-AD5D-111F15B19C04}"/>
    <cellStyle name="Normal 17 3 2 2 2 2 3" xfId="46322" xr:uid="{11B5856F-A927-465A-9D14-A0D82ABEAD91}"/>
    <cellStyle name="Normal 17 3 2 2 2 3" xfId="21183" xr:uid="{ACE42308-D7D3-40D6-9F26-3F97823BC66B}"/>
    <cellStyle name="Normal 17 3 2 2 2 4" xfId="37942" xr:uid="{48080376-7710-422D-82B2-3E3F300514DC}"/>
    <cellStyle name="Normal 17 3 2 2 3" xfId="6110" xr:uid="{87B126D0-6D48-4CE8-8BA9-E6D67DAEA5B5}"/>
    <cellStyle name="Normal 17 3 2 2 3 2" xfId="14490" xr:uid="{EDECC059-6E0E-40AF-9E7B-977F0149F932}"/>
    <cellStyle name="Normal 17 3 2 2 3 2 2" xfId="31250" xr:uid="{DAF0DF3C-16CE-445C-ACEA-E31F8C6744AB}"/>
    <cellStyle name="Normal 17 3 2 2 3 2 3" xfId="48009" xr:uid="{C9E616B5-7E7A-41EB-8B38-55ED522F7586}"/>
    <cellStyle name="Normal 17 3 2 2 3 3" xfId="22870" xr:uid="{63F25A94-9631-40DC-B2DB-EECC7C57587C}"/>
    <cellStyle name="Normal 17 3 2 2 3 4" xfId="39629" xr:uid="{AC3C1E3F-3235-479A-95CA-225080BDCEBE}"/>
    <cellStyle name="Normal 17 3 2 2 4" xfId="2846" xr:uid="{B32C8AE1-4DB1-4F93-88FA-B41EAD687320}"/>
    <cellStyle name="Normal 17 3 2 2 4 2" xfId="11226" xr:uid="{3D221320-04DD-44BC-A1DB-C57197FF3E37}"/>
    <cellStyle name="Normal 17 3 2 2 4 2 2" xfId="27986" xr:uid="{89D285BB-805A-4A79-BEAD-39984889605E}"/>
    <cellStyle name="Normal 17 3 2 2 4 2 3" xfId="44745" xr:uid="{45BC42F2-5EFA-4D41-A9FD-B3EE7F5B9CFC}"/>
    <cellStyle name="Normal 17 3 2 2 4 3" xfId="19606" xr:uid="{73B87F44-5FFC-49BE-873A-A70B36A3831A}"/>
    <cellStyle name="Normal 17 3 2 2 4 4" xfId="36365" xr:uid="{E4E3303E-EBD4-4EE9-AC03-D5D9E38160E3}"/>
    <cellStyle name="Normal 17 3 2 2 5" xfId="9423" xr:uid="{06398016-ED86-4B86-9CB1-B950CD78CF93}"/>
    <cellStyle name="Normal 17 3 2 2 5 2" xfId="26183" xr:uid="{F0018C45-E07F-4CFA-BF5F-689F7C9344BA}"/>
    <cellStyle name="Normal 17 3 2 2 5 3" xfId="42942" xr:uid="{78AB80F4-AEC6-458F-817F-49DF4B5DED14}"/>
    <cellStyle name="Normal 17 3 2 2 6" xfId="17803" xr:uid="{E5178432-B818-4F24-8C43-B64D7F250EAE}"/>
    <cellStyle name="Normal 17 3 2 2 7" xfId="34562" xr:uid="{D1C2995D-65D8-4469-B5BF-5D055A706472}"/>
    <cellStyle name="Normal 17 3 2 3" xfId="1462" xr:uid="{B5C1DBD4-3636-4EBC-B6BE-A9BFDFD39E0B}"/>
    <cellStyle name="Normal 17 3 2 3 2" xfId="4851" xr:uid="{A86A1F6A-0E22-4661-9D42-1AE515D32F47}"/>
    <cellStyle name="Normal 17 3 2 3 2 2" xfId="13231" xr:uid="{74B387A8-99FD-498E-96EC-152064BE5D18}"/>
    <cellStyle name="Normal 17 3 2 3 2 2 2" xfId="29991" xr:uid="{B51C7D12-DD49-486B-88EF-EB6076CF9D98}"/>
    <cellStyle name="Normal 17 3 2 3 2 2 3" xfId="46750" xr:uid="{E976D7A1-57FD-4054-9BA3-DF4132C1A4E9}"/>
    <cellStyle name="Normal 17 3 2 3 2 3" xfId="21611" xr:uid="{A80C6C3C-4F0B-4CC0-B1C1-B6B7008AB652}"/>
    <cellStyle name="Normal 17 3 2 3 2 4" xfId="38370" xr:uid="{697A9207-7B6F-40FF-A85C-2EDADF08D70B}"/>
    <cellStyle name="Normal 17 3 2 3 3" xfId="6538" xr:uid="{77856B2E-34DE-4263-AFFD-BD2BF175ABAE}"/>
    <cellStyle name="Normal 17 3 2 3 3 2" xfId="14918" xr:uid="{F1311CA4-CDA6-4E0E-8BB5-E8CA082ECE95}"/>
    <cellStyle name="Normal 17 3 2 3 3 2 2" xfId="31678" xr:uid="{4AB694FC-AB65-4ADB-B1D4-C2DA5E784FDE}"/>
    <cellStyle name="Normal 17 3 2 3 3 2 3" xfId="48437" xr:uid="{5A023AD7-D190-4853-916B-450FBE1D610C}"/>
    <cellStyle name="Normal 17 3 2 3 3 3" xfId="23298" xr:uid="{7D4B1CB4-9B90-46B2-9C64-BAA8E0E2E38A}"/>
    <cellStyle name="Normal 17 3 2 3 3 4" xfId="40057" xr:uid="{F4F69D80-FDBD-414D-BF76-21F8A6B82820}"/>
    <cellStyle name="Normal 17 3 2 3 4" xfId="3274" xr:uid="{255A544D-742C-44A4-B783-B68200F7081A}"/>
    <cellStyle name="Normal 17 3 2 3 4 2" xfId="11654" xr:uid="{4F1A1426-C303-4D6D-A7F3-ABAB4C545ACB}"/>
    <cellStyle name="Normal 17 3 2 3 4 2 2" xfId="28414" xr:uid="{8FA694E0-1729-41BD-8811-03DD79F1C2B4}"/>
    <cellStyle name="Normal 17 3 2 3 4 2 3" xfId="45173" xr:uid="{75CB77C8-4775-470E-A7CA-E14232C69FAF}"/>
    <cellStyle name="Normal 17 3 2 3 4 3" xfId="20034" xr:uid="{60169FD3-50C7-45F4-BD4B-ED37B740D936}"/>
    <cellStyle name="Normal 17 3 2 3 4 4" xfId="36793" xr:uid="{5D6CA5AB-5E1D-4360-9127-26B7C51D0308}"/>
    <cellStyle name="Normal 17 3 2 3 5" xfId="9851" xr:uid="{97F68A37-2D13-48EB-808B-A5712CF0969E}"/>
    <cellStyle name="Normal 17 3 2 3 5 2" xfId="26611" xr:uid="{B2D48E82-15E1-4926-860F-89F971636C64}"/>
    <cellStyle name="Normal 17 3 2 3 5 3" xfId="43370" xr:uid="{F141599F-71FB-4C43-A041-4127EF81BE75}"/>
    <cellStyle name="Normal 17 3 2 3 6" xfId="18231" xr:uid="{6B3FEC6B-A517-4232-9FC0-7A726BC8B613}"/>
    <cellStyle name="Normal 17 3 2 3 7" xfId="34990" xr:uid="{8C28DE93-E51C-440D-9677-411FABA5458F}"/>
    <cellStyle name="Normal 17 3 2 4" xfId="1821" xr:uid="{8333E262-3793-4CAF-8EC6-11261F254382}"/>
    <cellStyle name="Normal 17 3 2 4 2" xfId="5210" xr:uid="{8D816ED1-8E4D-4400-BAC0-246A142C7153}"/>
    <cellStyle name="Normal 17 3 2 4 2 2" xfId="13590" xr:uid="{C239ACD9-7D9E-4F3A-BC18-B54FDB82342D}"/>
    <cellStyle name="Normal 17 3 2 4 2 2 2" xfId="30350" xr:uid="{889C6B65-7381-43D1-9C87-09B6A1AA85E8}"/>
    <cellStyle name="Normal 17 3 2 4 2 2 3" xfId="47109" xr:uid="{49C45AA8-91C1-4BF6-932D-5729D50205C0}"/>
    <cellStyle name="Normal 17 3 2 4 2 3" xfId="21970" xr:uid="{4BA8B542-8FA5-4200-9E70-059A96553371}"/>
    <cellStyle name="Normal 17 3 2 4 2 4" xfId="38729" xr:uid="{C91D2DF0-4283-4F88-A613-FC8F5EF946D6}"/>
    <cellStyle name="Normal 17 3 2 4 3" xfId="6897" xr:uid="{D185349A-15A6-46EA-8202-4BE2D08EB25E}"/>
    <cellStyle name="Normal 17 3 2 4 3 2" xfId="15277" xr:uid="{A286AAC5-3536-4E3F-8181-9FA5E143BA3E}"/>
    <cellStyle name="Normal 17 3 2 4 3 2 2" xfId="32037" xr:uid="{1A25391D-D961-4E4C-BD3C-1743923E57D9}"/>
    <cellStyle name="Normal 17 3 2 4 3 2 3" xfId="48796" xr:uid="{0D06B3DB-DD11-4DC7-8228-2DE5287B241B}"/>
    <cellStyle name="Normal 17 3 2 4 3 3" xfId="23657" xr:uid="{C0E4AB39-14CA-4C74-AF54-640C187D7EED}"/>
    <cellStyle name="Normal 17 3 2 4 3 4" xfId="40416" xr:uid="{36D4BC2E-CC55-41D1-BECD-D7D3A7B0A29D}"/>
    <cellStyle name="Normal 17 3 2 4 4" xfId="3521" xr:uid="{2ED2C857-E9F5-4D5A-854D-5A102B55C45C}"/>
    <cellStyle name="Normal 17 3 2 4 4 2" xfId="11901" xr:uid="{E376D2C2-8C3C-4CF3-9147-F1842A0B35ED}"/>
    <cellStyle name="Normal 17 3 2 4 4 2 2" xfId="28661" xr:uid="{78513E5C-2D01-4A19-9803-0469256F9B32}"/>
    <cellStyle name="Normal 17 3 2 4 4 2 3" xfId="45420" xr:uid="{BE25CF18-B1FE-46FD-8D7F-615242D4BA66}"/>
    <cellStyle name="Normal 17 3 2 4 4 3" xfId="20281" xr:uid="{505CD9FA-6D41-48D7-A860-2A21818C1454}"/>
    <cellStyle name="Normal 17 3 2 4 4 4" xfId="37040" xr:uid="{12DF5F80-7686-4A6A-9765-450D29C91840}"/>
    <cellStyle name="Normal 17 3 2 4 5" xfId="10210" xr:uid="{07229020-62C8-4772-86C9-B0FC49C5622A}"/>
    <cellStyle name="Normal 17 3 2 4 5 2" xfId="26970" xr:uid="{82BE4752-6582-44D0-9233-9FFCB3F303EA}"/>
    <cellStyle name="Normal 17 3 2 4 5 3" xfId="43729" xr:uid="{15195F39-6A5C-4D9A-851C-501AFDBC92B4}"/>
    <cellStyle name="Normal 17 3 2 4 6" xfId="18590" xr:uid="{3F9118F2-D734-451A-BD25-F22D10148CAD}"/>
    <cellStyle name="Normal 17 3 2 4 7" xfId="35349" xr:uid="{C56128D7-DE3E-41BD-88F7-DCEA002CB1A2}"/>
    <cellStyle name="Normal 17 3 2 5" xfId="3940" xr:uid="{8A2A23C6-D759-4256-B1D8-79C4E5B9492C}"/>
    <cellStyle name="Normal 17 3 2 5 2" xfId="12320" xr:uid="{84F3B87A-CCCB-43CD-B791-1A63BA41FA0D}"/>
    <cellStyle name="Normal 17 3 2 5 2 2" xfId="29080" xr:uid="{F6BB1975-0687-4CA5-AF2E-388330869774}"/>
    <cellStyle name="Normal 17 3 2 5 2 3" xfId="45839" xr:uid="{EE6E81EA-764A-4419-9213-036CD5C0B974}"/>
    <cellStyle name="Normal 17 3 2 5 3" xfId="20700" xr:uid="{36A53254-1143-46BD-85C4-2217E5996D7A}"/>
    <cellStyle name="Normal 17 3 2 5 4" xfId="37459" xr:uid="{6D5D5F94-B555-4A30-9938-3261EABD829D}"/>
    <cellStyle name="Normal 17 3 2 6" xfId="5684" xr:uid="{CBF70940-1F40-484A-9FD3-F8E4FC41223F}"/>
    <cellStyle name="Normal 17 3 2 6 2" xfId="14064" xr:uid="{C28CCD11-F071-4BD6-8E81-F9132B76DA3A}"/>
    <cellStyle name="Normal 17 3 2 6 2 2" xfId="30824" xr:uid="{406E5787-7045-4252-84E4-2B2C8A832DD7}"/>
    <cellStyle name="Normal 17 3 2 6 2 3" xfId="47583" xr:uid="{D5561883-1210-499C-8449-E1C1797A527E}"/>
    <cellStyle name="Normal 17 3 2 6 3" xfId="22444" xr:uid="{394AD08A-BE5E-43F8-B549-18A1A3199E77}"/>
    <cellStyle name="Normal 17 3 2 6 4" xfId="39203" xr:uid="{053ECD4D-1535-4524-991B-8656361CEA7E}"/>
    <cellStyle name="Normal 17 3 2 7" xfId="7303" xr:uid="{3727D6C6-C533-418D-9E5E-CAE72AFD1773}"/>
    <cellStyle name="Normal 17 3 2 7 2" xfId="15683" xr:uid="{337A359C-A232-4946-B342-44CC6038A92F}"/>
    <cellStyle name="Normal 17 3 2 7 2 2" xfId="32443" xr:uid="{DC487487-A34C-4C3B-9FEE-AA6EEED56AAD}"/>
    <cellStyle name="Normal 17 3 2 7 2 3" xfId="49202" xr:uid="{70C54E65-CC6B-4E59-82E0-34C72EFAE3DB}"/>
    <cellStyle name="Normal 17 3 2 7 3" xfId="24063" xr:uid="{31240ACB-DAF2-4631-A180-6CA003AD1EBA}"/>
    <cellStyle name="Normal 17 3 2 7 4" xfId="40822" xr:uid="{FBAA2F72-A4FE-4AF6-8AAC-D88E247BFB49}"/>
    <cellStyle name="Normal 17 3 2 8" xfId="7709" xr:uid="{4BB3A537-C21F-4A6A-8694-ED1C4954D774}"/>
    <cellStyle name="Normal 17 3 2 8 2" xfId="16089" xr:uid="{6E74559F-0934-447E-9B15-0D299CE0F230}"/>
    <cellStyle name="Normal 17 3 2 8 2 2" xfId="32849" xr:uid="{624AD85C-1D62-4E80-A7DD-67B349CC0FD3}"/>
    <cellStyle name="Normal 17 3 2 8 2 3" xfId="49608" xr:uid="{94E69A82-60F6-40F8-B7F3-77D860FBBF5A}"/>
    <cellStyle name="Normal 17 3 2 8 3" xfId="24469" xr:uid="{00F11E8B-72C5-4F09-B43F-A232642833C1}"/>
    <cellStyle name="Normal 17 3 2 8 4" xfId="41228" xr:uid="{56B06B0C-01F0-4FF5-A19B-1ECD6859BD71}"/>
    <cellStyle name="Normal 17 3 2 9" xfId="8115" xr:uid="{BE36874E-83FB-497A-BF4A-0E15D1E32F41}"/>
    <cellStyle name="Normal 17 3 2 9 2" xfId="16495" xr:uid="{BB64FFE8-D57B-4371-935D-1FA2B61DB7C8}"/>
    <cellStyle name="Normal 17 3 2 9 2 2" xfId="33255" xr:uid="{C2EE0501-B654-43E0-9BD1-FA21ABD730C6}"/>
    <cellStyle name="Normal 17 3 2 9 2 3" xfId="50014" xr:uid="{FD3E4360-33B1-4B02-9834-55DD26BBEA7D}"/>
    <cellStyle name="Normal 17 3 2 9 3" xfId="24875" xr:uid="{3D141486-51D1-45C4-948F-A79CF3311B14}"/>
    <cellStyle name="Normal 17 3 2 9 4" xfId="41634" xr:uid="{09140C04-A00E-409E-8A11-DD9134894A2A}"/>
    <cellStyle name="Normal 17 3 3" xfId="587" xr:uid="{607B981C-D730-4E56-8DB5-F6E13228537F}"/>
    <cellStyle name="Normal 17 3 3 10" xfId="8651" xr:uid="{90EAD998-1EB7-4DF9-AFE2-E446A53B6B4B}"/>
    <cellStyle name="Normal 17 3 3 10 2" xfId="17031" xr:uid="{74AA4EBC-B84C-459D-96D3-D4133945D3E2}"/>
    <cellStyle name="Normal 17 3 3 10 2 2" xfId="33791" xr:uid="{201AE27C-A76B-47DB-BA3D-ABCEF09694BC}"/>
    <cellStyle name="Normal 17 3 3 10 2 3" xfId="50550" xr:uid="{FD4B4C4E-1CB3-4522-91C2-75BFCC2389B7}"/>
    <cellStyle name="Normal 17 3 3 10 3" xfId="25411" xr:uid="{6357ACF9-12E3-442A-A3D3-A22F14F15831}"/>
    <cellStyle name="Normal 17 3 3 10 4" xfId="42170" xr:uid="{B788E9A0-5E57-45C7-90F2-176EDD150B51}"/>
    <cellStyle name="Normal 17 3 3 11" xfId="2419" xr:uid="{EC21A5F9-D537-44AF-BE73-958334E91DEA}"/>
    <cellStyle name="Normal 17 3 3 11 2" xfId="10801" xr:uid="{2C8DC833-16BE-4788-A82C-6A66D732CA67}"/>
    <cellStyle name="Normal 17 3 3 11 2 2" xfId="27561" xr:uid="{1FB2E886-B876-4207-9D07-83BD0CE49FCF}"/>
    <cellStyle name="Normal 17 3 3 11 2 3" xfId="44320" xr:uid="{E632D835-CF0F-4CDA-BC4D-D309956760B7}"/>
    <cellStyle name="Normal 17 3 3 11 3" xfId="19181" xr:uid="{5AD08DCE-DC82-46DF-8B25-3D2D052A8480}"/>
    <cellStyle name="Normal 17 3 3 11 4" xfId="35940" xr:uid="{6D2790A4-1DF1-420C-B506-D3E3ED89A275}"/>
    <cellStyle name="Normal 17 3 3 12" xfId="8998" xr:uid="{49CEDC71-406C-4EC7-B1BD-7B64CEBB9F41}"/>
    <cellStyle name="Normal 17 3 3 12 2" xfId="25758" xr:uid="{F43E3B65-CCF7-4613-863F-CFB3AC4A489C}"/>
    <cellStyle name="Normal 17 3 3 12 3" xfId="42517" xr:uid="{FE7E1E2B-DEBF-4ADE-8B44-4B9BF745500A}"/>
    <cellStyle name="Normal 17 3 3 13" xfId="17378" xr:uid="{B2958769-82D4-4D26-AFEE-12F800D0F729}"/>
    <cellStyle name="Normal 17 3 3 14" xfId="34137" xr:uid="{F4CAD2AB-CFFA-4497-A51A-D289C929F577}"/>
    <cellStyle name="Normal 17 3 3 2" xfId="1029" xr:uid="{BA1D56D8-86E8-4D92-8FBF-17B3C62E4D5C}"/>
    <cellStyle name="Normal 17 3 3 2 2" xfId="4424" xr:uid="{6D7354A3-700B-4FA6-8083-76A9845B2E54}"/>
    <cellStyle name="Normal 17 3 3 2 2 2" xfId="12804" xr:uid="{C288DE54-1993-48D6-BCB8-F9C3E48FC0A0}"/>
    <cellStyle name="Normal 17 3 3 2 2 2 2" xfId="29564" xr:uid="{AA04FDB9-D9E6-41A5-8FD4-735CB6A642E7}"/>
    <cellStyle name="Normal 17 3 3 2 2 2 3" xfId="46323" xr:uid="{DD5EDD0E-1608-4A83-A673-3EE9EF209F9A}"/>
    <cellStyle name="Normal 17 3 3 2 2 3" xfId="21184" xr:uid="{517BFC20-60FB-405D-83FD-1A1323249A2D}"/>
    <cellStyle name="Normal 17 3 3 2 2 4" xfId="37943" xr:uid="{A1A8C753-5733-4421-8346-8BFC8314BCC3}"/>
    <cellStyle name="Normal 17 3 3 2 3" xfId="6111" xr:uid="{CFB0AEBF-D393-4ADC-A5CF-9F2808AB517B}"/>
    <cellStyle name="Normal 17 3 3 2 3 2" xfId="14491" xr:uid="{C7549218-248E-4F1E-80BD-9B74751CBCCE}"/>
    <cellStyle name="Normal 17 3 3 2 3 2 2" xfId="31251" xr:uid="{D04907A3-C056-4E19-BC19-73CCCD3FE91B}"/>
    <cellStyle name="Normal 17 3 3 2 3 2 3" xfId="48010" xr:uid="{80E2FB89-0142-4FEE-A710-59AA99FE8BFD}"/>
    <cellStyle name="Normal 17 3 3 2 3 3" xfId="22871" xr:uid="{79C5BAAB-C625-4097-8429-AE3C3D93DCAE}"/>
    <cellStyle name="Normal 17 3 3 2 3 4" xfId="39630" xr:uid="{D6B9487D-480A-4713-BE69-9D77B807C90A}"/>
    <cellStyle name="Normal 17 3 3 2 4" xfId="2847" xr:uid="{CD8132D0-2FEC-49F4-AD60-E5A9E155611A}"/>
    <cellStyle name="Normal 17 3 3 2 4 2" xfId="11227" xr:uid="{7263A09D-B0BD-4A81-94DD-293A4972C8DA}"/>
    <cellStyle name="Normal 17 3 3 2 4 2 2" xfId="27987" xr:uid="{09A98AA2-31DF-46E0-A102-586CA4E65C67}"/>
    <cellStyle name="Normal 17 3 3 2 4 2 3" xfId="44746" xr:uid="{124CB756-FDB6-48B1-A958-CD1DEE1FD512}"/>
    <cellStyle name="Normal 17 3 3 2 4 3" xfId="19607" xr:uid="{002B0374-2DDA-467F-A2B3-8FB6B494888A}"/>
    <cellStyle name="Normal 17 3 3 2 4 4" xfId="36366" xr:uid="{C295C7F6-DF87-4245-8BEB-7B84B871329C}"/>
    <cellStyle name="Normal 17 3 3 2 5" xfId="9424" xr:uid="{8803CF83-40DD-4EE1-8019-8F0AB3428C9F}"/>
    <cellStyle name="Normal 17 3 3 2 5 2" xfId="26184" xr:uid="{9F873E18-6507-4CD6-8E41-B5E03C8FD18C}"/>
    <cellStyle name="Normal 17 3 3 2 5 3" xfId="42943" xr:uid="{526C8AD9-908F-401E-9797-E6BFD83B1745}"/>
    <cellStyle name="Normal 17 3 3 2 6" xfId="17804" xr:uid="{B7BE7003-576A-4F98-8874-A31F9ADDE9A0}"/>
    <cellStyle name="Normal 17 3 3 2 7" xfId="34563" xr:uid="{51B8D2B3-6469-4928-B5F5-78AED33D7F9E}"/>
    <cellStyle name="Normal 17 3 3 3" xfId="1463" xr:uid="{65B53166-3444-434B-9240-281A11030C77}"/>
    <cellStyle name="Normal 17 3 3 3 2" xfId="4852" xr:uid="{A478298B-2AEA-439F-86B0-B3E237B02308}"/>
    <cellStyle name="Normal 17 3 3 3 2 2" xfId="13232" xr:uid="{3195A188-08BC-48FE-BA5F-749D79C70873}"/>
    <cellStyle name="Normal 17 3 3 3 2 2 2" xfId="29992" xr:uid="{D2DF0368-7E22-4ABD-93EC-E278CDE2D7C3}"/>
    <cellStyle name="Normal 17 3 3 3 2 2 3" xfId="46751" xr:uid="{683D171B-DD72-48DE-9630-C67ECB554F48}"/>
    <cellStyle name="Normal 17 3 3 3 2 3" xfId="21612" xr:uid="{D785D83F-4D23-41D2-9D9E-500276A326E5}"/>
    <cellStyle name="Normal 17 3 3 3 2 4" xfId="38371" xr:uid="{AF336028-62C7-4C84-82AF-EB150CFD2485}"/>
    <cellStyle name="Normal 17 3 3 3 3" xfId="6539" xr:uid="{D20181C4-950E-49CB-8624-DC57D476590D}"/>
    <cellStyle name="Normal 17 3 3 3 3 2" xfId="14919" xr:uid="{6BC50054-AE5C-4EA1-88D0-8965FBE9EDCF}"/>
    <cellStyle name="Normal 17 3 3 3 3 2 2" xfId="31679" xr:uid="{BFAC8086-0521-41BA-91BC-FF7B771A99F8}"/>
    <cellStyle name="Normal 17 3 3 3 3 2 3" xfId="48438" xr:uid="{28F18DB6-B1B4-4837-8560-13D38B15D75F}"/>
    <cellStyle name="Normal 17 3 3 3 3 3" xfId="23299" xr:uid="{2A032BA2-D441-4316-8496-212FDE889173}"/>
    <cellStyle name="Normal 17 3 3 3 3 4" xfId="40058" xr:uid="{3493695B-5D6C-4BD7-B7F3-7EB48D1E9996}"/>
    <cellStyle name="Normal 17 3 3 3 4" xfId="3275" xr:uid="{B4CC013C-8DB7-4366-9AE8-836C2B9408E7}"/>
    <cellStyle name="Normal 17 3 3 3 4 2" xfId="11655" xr:uid="{52743D85-D999-4BE1-A2AA-8577AD370EDA}"/>
    <cellStyle name="Normal 17 3 3 3 4 2 2" xfId="28415" xr:uid="{54924117-118B-4CB8-B287-5569D576CD37}"/>
    <cellStyle name="Normal 17 3 3 3 4 2 3" xfId="45174" xr:uid="{4FA12DD0-BB7A-4632-BCE3-8B1978416A55}"/>
    <cellStyle name="Normal 17 3 3 3 4 3" xfId="20035" xr:uid="{734B94FB-04D0-490E-B5C9-F5F50ED15D10}"/>
    <cellStyle name="Normal 17 3 3 3 4 4" xfId="36794" xr:uid="{B55EFEE4-DDCE-4AD6-86A4-B6F497AF31F0}"/>
    <cellStyle name="Normal 17 3 3 3 5" xfId="9852" xr:uid="{3C0E33AB-6C12-4CF8-9738-FF92DED75A44}"/>
    <cellStyle name="Normal 17 3 3 3 5 2" xfId="26612" xr:uid="{93B2BBD9-5F76-4A25-8A78-8EEA6DA97593}"/>
    <cellStyle name="Normal 17 3 3 3 5 3" xfId="43371" xr:uid="{1F5A344C-BA23-494D-8210-CCC5111C898D}"/>
    <cellStyle name="Normal 17 3 3 3 6" xfId="18232" xr:uid="{F2CD0726-E06D-4011-8DF5-733F4C900834}"/>
    <cellStyle name="Normal 17 3 3 3 7" xfId="34991" xr:uid="{EB81B5B1-3B05-43C9-BB4D-5EAE5101D9E1}"/>
    <cellStyle name="Normal 17 3 3 4" xfId="1951" xr:uid="{557023F8-4510-4BE7-9914-5A5916E3B158}"/>
    <cellStyle name="Normal 17 3 3 4 2" xfId="5340" xr:uid="{E43D39E0-048B-4ED1-B876-23D45889865D}"/>
    <cellStyle name="Normal 17 3 3 4 2 2" xfId="13720" xr:uid="{3C81471A-691B-4573-BDD6-0685BABAF69A}"/>
    <cellStyle name="Normal 17 3 3 4 2 2 2" xfId="30480" xr:uid="{3AAC73E3-36DF-40A1-9413-5AF945BE9320}"/>
    <cellStyle name="Normal 17 3 3 4 2 2 3" xfId="47239" xr:uid="{31C52C12-4552-47E4-8C4E-8867F35555E2}"/>
    <cellStyle name="Normal 17 3 3 4 2 3" xfId="22100" xr:uid="{C9FBF2AE-464B-4292-A115-6231D1012F70}"/>
    <cellStyle name="Normal 17 3 3 4 2 4" xfId="38859" xr:uid="{1A86EC70-1B46-44C1-9DD5-E46FCCD2FACD}"/>
    <cellStyle name="Normal 17 3 3 4 3" xfId="7027" xr:uid="{BBDB671B-EC2D-4323-9087-45412940647F}"/>
    <cellStyle name="Normal 17 3 3 4 3 2" xfId="15407" xr:uid="{65E96F5D-4193-456E-9863-5AED72FBF55A}"/>
    <cellStyle name="Normal 17 3 3 4 3 2 2" xfId="32167" xr:uid="{715A3264-D7EF-491F-A7E2-A3F6770F98D1}"/>
    <cellStyle name="Normal 17 3 3 4 3 2 3" xfId="48926" xr:uid="{C9AACD82-61D2-49EB-B7B3-63AF68395A98}"/>
    <cellStyle name="Normal 17 3 3 4 3 3" xfId="23787" xr:uid="{2F4667AB-F7BC-4926-9A91-03AB2DD5B447}"/>
    <cellStyle name="Normal 17 3 3 4 3 4" xfId="40546" xr:uid="{3181573B-07AD-40EC-9188-F6ABEB757B76}"/>
    <cellStyle name="Normal 17 3 3 4 4" xfId="3650" xr:uid="{F603DD12-A3C0-4BCC-8859-A0F22B599651}"/>
    <cellStyle name="Normal 17 3 3 4 4 2" xfId="12030" xr:uid="{BA2AF47A-79AA-42E1-B5AF-E42491FAFB6A}"/>
    <cellStyle name="Normal 17 3 3 4 4 2 2" xfId="28790" xr:uid="{907DA360-9E0D-4553-9B54-5A16EA29918E}"/>
    <cellStyle name="Normal 17 3 3 4 4 2 3" xfId="45549" xr:uid="{13A7F408-CA28-4DB6-A7AE-A41F482BD4B0}"/>
    <cellStyle name="Normal 17 3 3 4 4 3" xfId="20410" xr:uid="{89B3E8DC-2200-4515-87E9-B7F93A25C3A8}"/>
    <cellStyle name="Normal 17 3 3 4 4 4" xfId="37169" xr:uid="{BC1ADAA1-DCC0-4128-A8A8-F346834EAA55}"/>
    <cellStyle name="Normal 17 3 3 4 5" xfId="10340" xr:uid="{73332B5C-2AAF-4BFE-B97C-9B06AD2324D1}"/>
    <cellStyle name="Normal 17 3 3 4 5 2" xfId="27100" xr:uid="{BCF460F6-CE6E-4D07-8B7B-13E0F27DD557}"/>
    <cellStyle name="Normal 17 3 3 4 5 3" xfId="43859" xr:uid="{D28EFD01-84C3-43AA-9D7B-D718E887BC83}"/>
    <cellStyle name="Normal 17 3 3 4 6" xfId="18720" xr:uid="{EA0A12E2-CE3D-4F22-83B7-617ECE7F0EBE}"/>
    <cellStyle name="Normal 17 3 3 4 7" xfId="35479" xr:uid="{A2411007-B8A0-49CD-A44E-751E1130A166}"/>
    <cellStyle name="Normal 17 3 3 5" xfId="4070" xr:uid="{EE3CC8D8-2D84-4313-8F60-4A3F63C8E90C}"/>
    <cellStyle name="Normal 17 3 3 5 2" xfId="12450" xr:uid="{E5FF4736-44D3-459A-A515-D6341E09B64A}"/>
    <cellStyle name="Normal 17 3 3 5 2 2" xfId="29210" xr:uid="{9A22C4CA-9522-46F2-9D4B-EB1A651BB416}"/>
    <cellStyle name="Normal 17 3 3 5 2 3" xfId="45969" xr:uid="{50173792-2262-497E-A1E4-D1AE4AFC3020}"/>
    <cellStyle name="Normal 17 3 3 5 3" xfId="20830" xr:uid="{5A737D22-4658-4626-97E9-7E61DACE92EA}"/>
    <cellStyle name="Normal 17 3 3 5 4" xfId="37589" xr:uid="{B8C7AD21-5B85-492D-BBA3-11133A5A741E}"/>
    <cellStyle name="Normal 17 3 3 6" xfId="5685" xr:uid="{26E068E6-1495-45E5-B775-341CCA149399}"/>
    <cellStyle name="Normal 17 3 3 6 2" xfId="14065" xr:uid="{27687DAD-9006-411B-A89C-33485D3AC6D3}"/>
    <cellStyle name="Normal 17 3 3 6 2 2" xfId="30825" xr:uid="{33B38CE4-335A-47A1-BA46-119DBF6BEC82}"/>
    <cellStyle name="Normal 17 3 3 6 2 3" xfId="47584" xr:uid="{25E480F1-9046-46E5-8373-B858598E87AE}"/>
    <cellStyle name="Normal 17 3 3 6 3" xfId="22445" xr:uid="{24042FDA-0643-406D-A485-514FF82C6813}"/>
    <cellStyle name="Normal 17 3 3 6 4" xfId="39204" xr:uid="{A71DF390-F1ED-41A4-906F-8A07F4A6413E}"/>
    <cellStyle name="Normal 17 3 3 7" xfId="7433" xr:uid="{C70C9F8B-460E-4316-99A1-10803ADF0C45}"/>
    <cellStyle name="Normal 17 3 3 7 2" xfId="15813" xr:uid="{887B67A5-D49F-4287-8B2C-2A4465111123}"/>
    <cellStyle name="Normal 17 3 3 7 2 2" xfId="32573" xr:uid="{77DADE92-6F18-4E89-84D7-83E514C91AE1}"/>
    <cellStyle name="Normal 17 3 3 7 2 3" xfId="49332" xr:uid="{E4B77C64-430C-4525-A1A0-3C1147F09C12}"/>
    <cellStyle name="Normal 17 3 3 7 3" xfId="24193" xr:uid="{0D200595-54B5-4263-8792-38F4B6D5D47C}"/>
    <cellStyle name="Normal 17 3 3 7 4" xfId="40952" xr:uid="{D27BF27A-3328-4D2C-985E-3E9B7F5737B2}"/>
    <cellStyle name="Normal 17 3 3 8" xfId="7839" xr:uid="{198AFA1E-BB92-48BD-8423-C58071E990B8}"/>
    <cellStyle name="Normal 17 3 3 8 2" xfId="16219" xr:uid="{5EE7EA4B-F027-412D-8C18-F7FF3B896BFE}"/>
    <cellStyle name="Normal 17 3 3 8 2 2" xfId="32979" xr:uid="{9398FE46-CC16-4D70-91FD-C4227D2F667A}"/>
    <cellStyle name="Normal 17 3 3 8 2 3" xfId="49738" xr:uid="{251CAC46-83C8-4F52-A349-D0AFED445795}"/>
    <cellStyle name="Normal 17 3 3 8 3" xfId="24599" xr:uid="{1C11AB39-B1D0-49D9-BA3D-F8F37DFB55C8}"/>
    <cellStyle name="Normal 17 3 3 8 4" xfId="41358" xr:uid="{02F7865A-2DF9-4629-A97B-A8562EF0C377}"/>
    <cellStyle name="Normal 17 3 3 9" xfId="8245" xr:uid="{F3E2BE16-A4E8-4F9F-8D16-0EAE2ABB043D}"/>
    <cellStyle name="Normal 17 3 3 9 2" xfId="16625" xr:uid="{1D237AB7-07E7-4E8D-A0C0-1CAF690BB196}"/>
    <cellStyle name="Normal 17 3 3 9 2 2" xfId="33385" xr:uid="{7E2C7981-9138-41F1-B66D-87E486F88EC4}"/>
    <cellStyle name="Normal 17 3 3 9 2 3" xfId="50144" xr:uid="{C1399398-403E-4CAD-9643-E7F0EF691CF0}"/>
    <cellStyle name="Normal 17 3 3 9 3" xfId="25005" xr:uid="{7954EE78-0490-4F5F-BD14-B8F54141816D}"/>
    <cellStyle name="Normal 17 3 3 9 4" xfId="41764" xr:uid="{5D3EFC52-2063-4222-A732-FC73186F87B8}"/>
    <cellStyle name="Normal 17 3 4" xfId="854" xr:uid="{1DC8ACFB-E939-4D57-990E-DABA8295085C}"/>
    <cellStyle name="Normal 17 3 4 2" xfId="4249" xr:uid="{12EBDBAD-A371-440D-ACA5-2C68C2FFA035}"/>
    <cellStyle name="Normal 17 3 4 2 2" xfId="12629" xr:uid="{B1D985BC-F074-4743-B162-76210570DDA9}"/>
    <cellStyle name="Normal 17 3 4 2 2 2" xfId="29389" xr:uid="{CC5A7B72-A8A0-4C25-B74B-A79ACB62D7E6}"/>
    <cellStyle name="Normal 17 3 4 2 2 3" xfId="46148" xr:uid="{D3810465-EDA5-48CA-BC77-21E29C9B53A2}"/>
    <cellStyle name="Normal 17 3 4 2 3" xfId="21009" xr:uid="{27766678-3CFE-42A1-ABC9-DCF03A29674D}"/>
    <cellStyle name="Normal 17 3 4 2 4" xfId="37768" xr:uid="{FDE4C439-E869-483F-A9B5-7AAACF3E5D22}"/>
    <cellStyle name="Normal 17 3 4 3" xfId="5936" xr:uid="{D42CF9AC-23ED-434F-86A6-0497AA5169C7}"/>
    <cellStyle name="Normal 17 3 4 3 2" xfId="14316" xr:uid="{438AAEE5-DE3F-4286-B8AC-8DCA64BF409B}"/>
    <cellStyle name="Normal 17 3 4 3 2 2" xfId="31076" xr:uid="{6965C0E8-0965-4DC2-8F06-EAC41CC9A262}"/>
    <cellStyle name="Normal 17 3 4 3 2 3" xfId="47835" xr:uid="{C45FEB31-D504-4D45-A5B2-FF8C78F16376}"/>
    <cellStyle name="Normal 17 3 4 3 3" xfId="22696" xr:uid="{2FAEE2D4-028E-419A-8BA5-44A910727E06}"/>
    <cellStyle name="Normal 17 3 4 3 4" xfId="39455" xr:uid="{8E8A0D66-2248-4F96-A4A5-D54E7700E055}"/>
    <cellStyle name="Normal 17 3 4 4" xfId="2672" xr:uid="{AD22ED33-B200-415E-8973-77D2521EBEED}"/>
    <cellStyle name="Normal 17 3 4 4 2" xfId="11052" xr:uid="{87C12EEE-2A66-41BB-9E57-6C6DD2F8F67A}"/>
    <cellStyle name="Normal 17 3 4 4 2 2" xfId="27812" xr:uid="{AFCC55A7-ACDB-45B2-B09F-B595CA0AB6D4}"/>
    <cellStyle name="Normal 17 3 4 4 2 3" xfId="44571" xr:uid="{D87789F5-215C-4005-AE31-B847FE51D6BA}"/>
    <cellStyle name="Normal 17 3 4 4 3" xfId="19432" xr:uid="{EFEA3E35-BB9C-469F-9FE3-FB68CD283D9E}"/>
    <cellStyle name="Normal 17 3 4 4 4" xfId="36191" xr:uid="{627A3AFE-5F55-4E45-A44B-BD6B326C9CC5}"/>
    <cellStyle name="Normal 17 3 4 5" xfId="9249" xr:uid="{A6753B71-4456-4D40-9A30-FFBC2E4234D5}"/>
    <cellStyle name="Normal 17 3 4 5 2" xfId="26009" xr:uid="{94AE3D8D-0CD3-4567-869E-080D25329CBF}"/>
    <cellStyle name="Normal 17 3 4 5 3" xfId="42768" xr:uid="{460BEABB-B05F-4C56-8930-D1FFC2B07612}"/>
    <cellStyle name="Normal 17 3 4 6" xfId="17629" xr:uid="{0B900749-DDE6-4146-BCED-D4A87815147F}"/>
    <cellStyle name="Normal 17 3 4 7" xfId="34388" xr:uid="{662A80CF-3D78-4499-BBF4-142F59D01570}"/>
    <cellStyle name="Normal 17 3 5" xfId="1288" xr:uid="{BEF45502-12A3-4703-A7F4-66CE487EACBD}"/>
    <cellStyle name="Normal 17 3 5 2" xfId="4677" xr:uid="{E352F59E-52C2-45A9-B335-6BE6FF15360B}"/>
    <cellStyle name="Normal 17 3 5 2 2" xfId="13057" xr:uid="{B948937E-365F-412A-834A-0961464BBACA}"/>
    <cellStyle name="Normal 17 3 5 2 2 2" xfId="29817" xr:uid="{340352A2-52CD-441A-9850-3A1FEE153BB1}"/>
    <cellStyle name="Normal 17 3 5 2 2 3" xfId="46576" xr:uid="{5F48F7AA-9723-44EE-9DF6-A6EB5C2B026C}"/>
    <cellStyle name="Normal 17 3 5 2 3" xfId="21437" xr:uid="{8231C184-C869-4335-B700-1177DBE0A77E}"/>
    <cellStyle name="Normal 17 3 5 2 4" xfId="38196" xr:uid="{DF1BA98D-3BA8-4080-AC13-0D29F7A693EC}"/>
    <cellStyle name="Normal 17 3 5 3" xfId="6364" xr:uid="{76712491-8040-4B9A-878E-19F2A05A63AB}"/>
    <cellStyle name="Normal 17 3 5 3 2" xfId="14744" xr:uid="{C0A879A4-60DC-4743-B26B-3E7E11256B74}"/>
    <cellStyle name="Normal 17 3 5 3 2 2" xfId="31504" xr:uid="{B33EE165-84C9-40B1-AC1C-CD42458AF19C}"/>
    <cellStyle name="Normal 17 3 5 3 2 3" xfId="48263" xr:uid="{DFA28199-39FF-4414-835B-BE85CFDE0C19}"/>
    <cellStyle name="Normal 17 3 5 3 3" xfId="23124" xr:uid="{9F5FA401-8F21-4342-A732-1BEAB1295040}"/>
    <cellStyle name="Normal 17 3 5 3 4" xfId="39883" xr:uid="{5E55C226-73CA-48B6-A54E-3E9D870E37B4}"/>
    <cellStyle name="Normal 17 3 5 4" xfId="3100" xr:uid="{C1DCC777-4C33-48EE-9008-FF5518D29581}"/>
    <cellStyle name="Normal 17 3 5 4 2" xfId="11480" xr:uid="{D59FF098-FF01-445D-BC3C-1FEE56CBB7A8}"/>
    <cellStyle name="Normal 17 3 5 4 2 2" xfId="28240" xr:uid="{9C7B9234-6F27-4BFC-AD75-968AFFF806AC}"/>
    <cellStyle name="Normal 17 3 5 4 2 3" xfId="44999" xr:uid="{6A4959CB-7977-4A5A-AF0B-6C0688AC9433}"/>
    <cellStyle name="Normal 17 3 5 4 3" xfId="19860" xr:uid="{AF02909A-7F09-41C8-8488-803071C34B76}"/>
    <cellStyle name="Normal 17 3 5 4 4" xfId="36619" xr:uid="{91511884-FD72-41E9-8C53-9FA989A6B96C}"/>
    <cellStyle name="Normal 17 3 5 5" xfId="9677" xr:uid="{C0B2A0AE-32ED-4E84-A510-6936EC7DF875}"/>
    <cellStyle name="Normal 17 3 5 5 2" xfId="26437" xr:uid="{9BCD172D-F5F2-47B7-B394-0958D429B280}"/>
    <cellStyle name="Normal 17 3 5 5 3" xfId="43196" xr:uid="{15440C36-7ED2-4818-A04B-02D6AFDA0C22}"/>
    <cellStyle name="Normal 17 3 5 6" xfId="18057" xr:uid="{12141704-BB70-49E0-AC76-2FC68769C0D6}"/>
    <cellStyle name="Normal 17 3 5 7" xfId="34816" xr:uid="{48A2F31E-103B-41D8-8D2C-CA53275463BD}"/>
    <cellStyle name="Normal 17 3 6" xfId="1680" xr:uid="{AE537194-8905-4209-95D4-483E0B828A00}"/>
    <cellStyle name="Normal 17 3 6 2" xfId="5069" xr:uid="{03FFA19F-BF9A-41AB-8A9A-B2F6036313C4}"/>
    <cellStyle name="Normal 17 3 6 2 2" xfId="13449" xr:uid="{034D59D8-476C-4E5E-8314-7D67718C98C6}"/>
    <cellStyle name="Normal 17 3 6 2 2 2" xfId="30209" xr:uid="{F8F5B4B7-6757-44E0-9BFE-7A8AA4B63031}"/>
    <cellStyle name="Normal 17 3 6 2 2 3" xfId="46968" xr:uid="{F26A0208-911F-4A4D-B6BB-04F0A43C75E3}"/>
    <cellStyle name="Normal 17 3 6 2 3" xfId="21829" xr:uid="{BED076ED-5AED-40D1-ABDE-ACC8EA439C42}"/>
    <cellStyle name="Normal 17 3 6 2 4" xfId="38588" xr:uid="{BF009661-F23F-47A3-8261-4B1F77947F86}"/>
    <cellStyle name="Normal 17 3 6 3" xfId="6756" xr:uid="{31B2740A-54A2-4BC6-A82A-9E19AA4A08C8}"/>
    <cellStyle name="Normal 17 3 6 3 2" xfId="15136" xr:uid="{6FE64B4E-2E03-4FEC-8C29-21FE8FFBA4D3}"/>
    <cellStyle name="Normal 17 3 6 3 2 2" xfId="31896" xr:uid="{530537F4-3FDF-413F-BCA2-CB0C3CAE0A44}"/>
    <cellStyle name="Normal 17 3 6 3 2 3" xfId="48655" xr:uid="{153D7953-A24F-4490-B050-FFA016803370}"/>
    <cellStyle name="Normal 17 3 6 3 3" xfId="23516" xr:uid="{7FD06092-E91C-4FC4-A975-A0E04EEE4711}"/>
    <cellStyle name="Normal 17 3 6 3 4" xfId="40275" xr:uid="{971E15D1-75CA-4323-93DE-3965286C1718}"/>
    <cellStyle name="Normal 17 3 6 4" xfId="2242" xr:uid="{941A88FD-6D31-4659-82F1-9526E668A470}"/>
    <cellStyle name="Normal 17 3 6 4 2" xfId="10626" xr:uid="{CF8AE5E3-7A4C-4ACE-AC65-D6D061D3FDA1}"/>
    <cellStyle name="Normal 17 3 6 4 2 2" xfId="27386" xr:uid="{4E8547F8-B60A-49AB-B70D-4672148CBB1B}"/>
    <cellStyle name="Normal 17 3 6 4 2 3" xfId="44145" xr:uid="{01FDD283-1FC1-491B-85CE-9009712A0D4E}"/>
    <cellStyle name="Normal 17 3 6 4 3" xfId="19006" xr:uid="{7C40AA27-A6C8-4B72-8F41-68E74DA70FA9}"/>
    <cellStyle name="Normal 17 3 6 4 4" xfId="35765" xr:uid="{092B804B-D0B7-4F73-8F7E-E6AC62EBBF07}"/>
    <cellStyle name="Normal 17 3 6 5" xfId="10069" xr:uid="{CCF27452-23D6-47E1-8B82-0615DFFE0D82}"/>
    <cellStyle name="Normal 17 3 6 5 2" xfId="26829" xr:uid="{21A66926-B7C2-444B-AE05-EC18E3E06791}"/>
    <cellStyle name="Normal 17 3 6 5 3" xfId="43588" xr:uid="{FBBC7C88-90DD-40B0-983C-C496B20876E2}"/>
    <cellStyle name="Normal 17 3 6 6" xfId="18449" xr:uid="{98C1F974-235E-4DDA-B1BD-8B782EFBBC4A}"/>
    <cellStyle name="Normal 17 3 6 7" xfId="35208" xr:uid="{50A004B6-9958-4164-92B3-CEF090F7C7D2}"/>
    <cellStyle name="Normal 17 3 7" xfId="3798" xr:uid="{20B9435F-E26C-4047-A340-53DBCCB8E0D9}"/>
    <cellStyle name="Normal 17 3 7 2" xfId="12178" xr:uid="{5C11510D-5E80-4EC8-AFEC-CCBD9401872F}"/>
    <cellStyle name="Normal 17 3 7 2 2" xfId="28938" xr:uid="{947133E3-7047-4EE6-AB1A-399822BCAD88}"/>
    <cellStyle name="Normal 17 3 7 2 3" xfId="45697" xr:uid="{23FE161A-79ED-42AE-AA4E-922B7DA974E2}"/>
    <cellStyle name="Normal 17 3 7 3" xfId="20558" xr:uid="{BE5CCFCC-9127-4EBC-BF6D-1369EAAC81DE}"/>
    <cellStyle name="Normal 17 3 7 4" xfId="37317" xr:uid="{33AD438F-E605-496E-B6B7-00152C179095}"/>
    <cellStyle name="Normal 17 3 8" xfId="5510" xr:uid="{D718A6E6-BD93-4347-9E8E-DBE3D834572B}"/>
    <cellStyle name="Normal 17 3 8 2" xfId="13890" xr:uid="{A3C5C191-5CBD-4A03-942A-4F3EC44E5DA2}"/>
    <cellStyle name="Normal 17 3 8 2 2" xfId="30650" xr:uid="{291D270E-A644-4285-A216-336AC64E0D89}"/>
    <cellStyle name="Normal 17 3 8 2 3" xfId="47409" xr:uid="{3A23DFC7-4625-4561-9BDC-D9442F20C702}"/>
    <cellStyle name="Normal 17 3 8 3" xfId="22270" xr:uid="{DC582C82-E9F9-4581-B02A-138E6A626977}"/>
    <cellStyle name="Normal 17 3 8 4" xfId="39029" xr:uid="{8F51A2F6-F25E-4752-B2E6-56BDBFD4B6EB}"/>
    <cellStyle name="Normal 17 3 9" xfId="7162" xr:uid="{F16C0A9B-220C-4AD3-8709-3CDB0B94E091}"/>
    <cellStyle name="Normal 17 3 9 2" xfId="15542" xr:uid="{FBD9AC70-5840-4E77-80EC-3C272EA4F196}"/>
    <cellStyle name="Normal 17 3 9 2 2" xfId="32302" xr:uid="{42836678-9A85-4108-81BA-CB2C147179C7}"/>
    <cellStyle name="Normal 17 3 9 2 3" xfId="49061" xr:uid="{74732804-AC5F-41C5-AC48-4374E09A6540}"/>
    <cellStyle name="Normal 17 3 9 3" xfId="23922" xr:uid="{35A8CD8B-949B-43D4-A91F-5AEFCBA79514}"/>
    <cellStyle name="Normal 17 3 9 4" xfId="40681" xr:uid="{3509B2B2-8EC5-41AE-8D59-1316537BA689}"/>
    <cellStyle name="Normal 17 4" xfId="588" xr:uid="{CFCCACBC-B7BF-4DDB-9973-0D32386CB567}"/>
    <cellStyle name="Normal 17 4 10" xfId="7569" xr:uid="{7148D8D7-39D6-4961-A8FE-5EC6AF2B3391}"/>
    <cellStyle name="Normal 17 4 10 2" xfId="15949" xr:uid="{8A3C99AE-8BC4-4290-B9D1-FC87BDD9D45F}"/>
    <cellStyle name="Normal 17 4 10 2 2" xfId="32709" xr:uid="{549B6BEA-0D98-4628-A522-ADEE3E89E606}"/>
    <cellStyle name="Normal 17 4 10 2 3" xfId="49468" xr:uid="{39ED55A3-F067-4A06-85FF-31823DF2E3DD}"/>
    <cellStyle name="Normal 17 4 10 3" xfId="24329" xr:uid="{A13D8AA5-1C5F-40CE-A39D-4CB59BBA3D8C}"/>
    <cellStyle name="Normal 17 4 10 4" xfId="41088" xr:uid="{08755CFD-3E2B-49B2-941C-83A7ED5113B2}"/>
    <cellStyle name="Normal 17 4 11" xfId="7975" xr:uid="{1DAC3C81-08D5-4D20-864F-3EF5C64A23E6}"/>
    <cellStyle name="Normal 17 4 11 2" xfId="16355" xr:uid="{DB073376-7BB3-4FD1-955C-F0D784B54B69}"/>
    <cellStyle name="Normal 17 4 11 2 2" xfId="33115" xr:uid="{51233ABB-F43C-4B63-BDD0-96E9E1D423F5}"/>
    <cellStyle name="Normal 17 4 11 2 3" xfId="49874" xr:uid="{22703CFD-1CAA-4D5B-A08B-049421F7C388}"/>
    <cellStyle name="Normal 17 4 11 3" xfId="24735" xr:uid="{D24F0ED6-57B9-4CF1-B916-F5308EE3837A}"/>
    <cellStyle name="Normal 17 4 11 4" xfId="41494" xr:uid="{F49E37B9-706F-4EB6-B2D7-D1071708B420}"/>
    <cellStyle name="Normal 17 4 12" xfId="8381" xr:uid="{694189A5-A37F-4170-823D-FA7BF5D25BC2}"/>
    <cellStyle name="Normal 17 4 12 2" xfId="16761" xr:uid="{9B6EB851-E924-4DAE-A0B3-DB3EAA4F16DB}"/>
    <cellStyle name="Normal 17 4 12 2 2" xfId="33521" xr:uid="{E5774497-D901-4CB1-ACD1-19007ED99F27}"/>
    <cellStyle name="Normal 17 4 12 2 3" xfId="50280" xr:uid="{3483A5CE-CB1C-4568-B7E8-00A028934643}"/>
    <cellStyle name="Normal 17 4 12 3" xfId="25141" xr:uid="{5B09731F-0A25-4ED9-A729-AB08C1CD4E56}"/>
    <cellStyle name="Normal 17 4 12 4" xfId="41900" xr:uid="{08715BD0-5DFD-4BF3-9E41-7650C6918173}"/>
    <cellStyle name="Normal 17 4 13" xfId="2115" xr:uid="{3A3BA8C1-0925-4BD2-9126-99409386EF31}"/>
    <cellStyle name="Normal 17 4 13 2" xfId="10503" xr:uid="{C55F9D37-5FC0-4B1B-8D97-9FAB18EAA2F2}"/>
    <cellStyle name="Normal 17 4 13 2 2" xfId="27263" xr:uid="{F8A1E3C6-478E-44AE-8BA0-CB67DA470B1B}"/>
    <cellStyle name="Normal 17 4 13 2 3" xfId="44022" xr:uid="{3A542837-CB14-4A62-B95E-DAF740DEC6EE}"/>
    <cellStyle name="Normal 17 4 13 3" xfId="18883" xr:uid="{A155A388-DECA-4F98-A9C1-23DDA1CCA82A}"/>
    <cellStyle name="Normal 17 4 13 4" xfId="35642" xr:uid="{4474B3F7-7B88-4CB8-8015-C15EB409E8AA}"/>
    <cellStyle name="Normal 17 4 14" xfId="8999" xr:uid="{925EF8B4-C49C-426A-804E-FEC86F0B62FA}"/>
    <cellStyle name="Normal 17 4 14 2" xfId="25759" xr:uid="{A9D9F0F7-9419-402C-B373-E7A91583560B}"/>
    <cellStyle name="Normal 17 4 14 3" xfId="42518" xr:uid="{AF2F4FD1-6876-425C-B420-A8E0DBECC31C}"/>
    <cellStyle name="Normal 17 4 15" xfId="17379" xr:uid="{5768881A-1DD0-4EE3-AFED-A6900DDE33C6}"/>
    <cellStyle name="Normal 17 4 16" xfId="34138" xr:uid="{355CA912-1680-46EB-9216-3C991B7E7A4B}"/>
    <cellStyle name="Normal 17 4 2" xfId="589" xr:uid="{1687BC2B-D011-4FB6-BA2D-FAE8C5940438}"/>
    <cellStyle name="Normal 17 4 2 10" xfId="8522" xr:uid="{4CC3E7AC-7334-43BB-B452-605F386F4C43}"/>
    <cellStyle name="Normal 17 4 2 10 2" xfId="16902" xr:uid="{0E39089F-C86F-4DCE-8098-4F749ED71F7C}"/>
    <cellStyle name="Normal 17 4 2 10 2 2" xfId="33662" xr:uid="{C1F0D665-4C4E-43BF-9F2C-44F372DC18EE}"/>
    <cellStyle name="Normal 17 4 2 10 2 3" xfId="50421" xr:uid="{ED450FA0-DB89-4E6F-BB0B-F9009A881739}"/>
    <cellStyle name="Normal 17 4 2 10 3" xfId="25282" xr:uid="{E4FF3121-F2E9-44C8-8431-EA3DA60CD5DF}"/>
    <cellStyle name="Normal 17 4 2 10 4" xfId="42041" xr:uid="{196B5FE3-6664-4290-832D-69C6FF1A0CA0}"/>
    <cellStyle name="Normal 17 4 2 11" xfId="2421" xr:uid="{A9097F00-6E2E-4532-81A2-1EE63F2FE9C5}"/>
    <cellStyle name="Normal 17 4 2 11 2" xfId="10803" xr:uid="{B0DEAB14-ACCA-466B-974B-CD944ED6A753}"/>
    <cellStyle name="Normal 17 4 2 11 2 2" xfId="27563" xr:uid="{015578F1-9ABA-4EAA-A74B-67178185C4A9}"/>
    <cellStyle name="Normal 17 4 2 11 2 3" xfId="44322" xr:uid="{C5CB83F2-831E-4039-8D50-8F2564F93B03}"/>
    <cellStyle name="Normal 17 4 2 11 3" xfId="19183" xr:uid="{C8D21E51-8EDF-407E-9996-311A5355F535}"/>
    <cellStyle name="Normal 17 4 2 11 4" xfId="35942" xr:uid="{CD634D9C-738F-49A1-A494-D9F08FFCE5A2}"/>
    <cellStyle name="Normal 17 4 2 12" xfId="9000" xr:uid="{5694986B-8B81-48E0-8115-AB3090D76A1E}"/>
    <cellStyle name="Normal 17 4 2 12 2" xfId="25760" xr:uid="{327B56F0-FC60-4224-B5AA-540A46463BD5}"/>
    <cellStyle name="Normal 17 4 2 12 3" xfId="42519" xr:uid="{1770AC9C-A62B-4CDF-8F48-8046F8BD5818}"/>
    <cellStyle name="Normal 17 4 2 13" xfId="17380" xr:uid="{F8B3CE7B-08EF-4FAA-98F0-6C878F9CDB37}"/>
    <cellStyle name="Normal 17 4 2 14" xfId="34139" xr:uid="{377DFE5C-A025-478F-A537-E6B4275B4A1D}"/>
    <cellStyle name="Normal 17 4 2 2" xfId="1031" xr:uid="{366A474A-D36B-4C19-BA5C-1FAF064A5025}"/>
    <cellStyle name="Normal 17 4 2 2 2" xfId="4426" xr:uid="{E8AAF660-B92D-4DA5-A0F9-ECE33DA273DF}"/>
    <cellStyle name="Normal 17 4 2 2 2 2" xfId="12806" xr:uid="{6A4C2C13-7080-4BB8-BAE4-B954E1667299}"/>
    <cellStyle name="Normal 17 4 2 2 2 2 2" xfId="29566" xr:uid="{A184FBBB-A8E0-4A36-9603-DBD3AA823DAB}"/>
    <cellStyle name="Normal 17 4 2 2 2 2 3" xfId="46325" xr:uid="{D6FF7505-4595-44A1-983E-B848B0F042B0}"/>
    <cellStyle name="Normal 17 4 2 2 2 3" xfId="21186" xr:uid="{D067EBE9-7E26-4EA8-868A-C1C7D8FD59C2}"/>
    <cellStyle name="Normal 17 4 2 2 2 4" xfId="37945" xr:uid="{F3681B0D-F868-4605-85E1-56F401AF450A}"/>
    <cellStyle name="Normal 17 4 2 2 3" xfId="6113" xr:uid="{AB26EF9F-6A2B-4B1F-9D71-A4913A395DCC}"/>
    <cellStyle name="Normal 17 4 2 2 3 2" xfId="14493" xr:uid="{D8C8F39D-B24D-473A-950E-2BCCFACAE7AF}"/>
    <cellStyle name="Normal 17 4 2 2 3 2 2" xfId="31253" xr:uid="{E8EB1BDE-267D-45B3-846F-7BF6CE93B396}"/>
    <cellStyle name="Normal 17 4 2 2 3 2 3" xfId="48012" xr:uid="{10BF0507-F305-4560-9FD9-71D7F1D1C24F}"/>
    <cellStyle name="Normal 17 4 2 2 3 3" xfId="22873" xr:uid="{811F4ACE-BDB5-4486-9C5E-564E3ADFB02E}"/>
    <cellStyle name="Normal 17 4 2 2 3 4" xfId="39632" xr:uid="{8C981B00-A3FD-4668-84BD-61F1F0B36CD0}"/>
    <cellStyle name="Normal 17 4 2 2 4" xfId="2849" xr:uid="{58AB9EB3-72D2-4696-8542-87F7AF824CB8}"/>
    <cellStyle name="Normal 17 4 2 2 4 2" xfId="11229" xr:uid="{8FBD643F-9F69-4960-96EE-7C8E257D8457}"/>
    <cellStyle name="Normal 17 4 2 2 4 2 2" xfId="27989" xr:uid="{CC103727-94DA-459F-9D69-DBD0D5058933}"/>
    <cellStyle name="Normal 17 4 2 2 4 2 3" xfId="44748" xr:uid="{F8CD47EA-7AEE-4A5E-9219-743178D6EE58}"/>
    <cellStyle name="Normal 17 4 2 2 4 3" xfId="19609" xr:uid="{F1640556-C779-42D6-8F4C-6F9C399AD017}"/>
    <cellStyle name="Normal 17 4 2 2 4 4" xfId="36368" xr:uid="{2E0B20E0-FE61-4789-86CC-A0D17853A6ED}"/>
    <cellStyle name="Normal 17 4 2 2 5" xfId="9426" xr:uid="{3C645383-A13E-4C3C-857D-1276457CC4FF}"/>
    <cellStyle name="Normal 17 4 2 2 5 2" xfId="26186" xr:uid="{B4FBE855-9D60-4A03-8025-5008468DF047}"/>
    <cellStyle name="Normal 17 4 2 2 5 3" xfId="42945" xr:uid="{5EE6B1B0-8FD9-45AE-91D9-C18ED6C2F8F9}"/>
    <cellStyle name="Normal 17 4 2 2 6" xfId="17806" xr:uid="{E49BD3EF-9461-4F85-97EB-CBEAC7EADB05}"/>
    <cellStyle name="Normal 17 4 2 2 7" xfId="34565" xr:uid="{1D782983-8D2D-49A5-903B-0D10C10CCA7F}"/>
    <cellStyle name="Normal 17 4 2 3" xfId="1465" xr:uid="{D6893812-F55F-487E-A272-FF34DDEDF8FE}"/>
    <cellStyle name="Normal 17 4 2 3 2" xfId="4854" xr:uid="{9121CF30-601B-456C-B07E-40C6E089960C}"/>
    <cellStyle name="Normal 17 4 2 3 2 2" xfId="13234" xr:uid="{CFD01E7D-5307-49B3-B6FA-E5529B3AE069}"/>
    <cellStyle name="Normal 17 4 2 3 2 2 2" xfId="29994" xr:uid="{4FB1AAF6-927A-4362-BB95-FD2C3AA68103}"/>
    <cellStyle name="Normal 17 4 2 3 2 2 3" xfId="46753" xr:uid="{5EE9131E-1EBA-4700-9C29-A488BAE6A5AE}"/>
    <cellStyle name="Normal 17 4 2 3 2 3" xfId="21614" xr:uid="{E973FC96-C368-4ED0-A444-4BAF4686E0B1}"/>
    <cellStyle name="Normal 17 4 2 3 2 4" xfId="38373" xr:uid="{CF1AAB75-968E-4833-908D-FE7CB1369F84}"/>
    <cellStyle name="Normal 17 4 2 3 3" xfId="6541" xr:uid="{2A706021-CC1E-4FDE-AA65-D7FD7FFE7AA7}"/>
    <cellStyle name="Normal 17 4 2 3 3 2" xfId="14921" xr:uid="{BFCAE952-3990-472B-8E8F-E886E3E7FF41}"/>
    <cellStyle name="Normal 17 4 2 3 3 2 2" xfId="31681" xr:uid="{70E065D3-FD25-4DA5-A3F1-1C3D00468D1D}"/>
    <cellStyle name="Normal 17 4 2 3 3 2 3" xfId="48440" xr:uid="{3703835C-E265-4804-9BCB-7191DCC1F73F}"/>
    <cellStyle name="Normal 17 4 2 3 3 3" xfId="23301" xr:uid="{751BD974-4481-4156-BF20-E82CAE208C2B}"/>
    <cellStyle name="Normal 17 4 2 3 3 4" xfId="40060" xr:uid="{11113BC1-9A4A-43B0-889E-759F11AE5741}"/>
    <cellStyle name="Normal 17 4 2 3 4" xfId="3277" xr:uid="{3E3C0080-5BE8-4476-910C-F8E33394236F}"/>
    <cellStyle name="Normal 17 4 2 3 4 2" xfId="11657" xr:uid="{E6A778DF-8715-4EF1-B2A7-28508178F61F}"/>
    <cellStyle name="Normal 17 4 2 3 4 2 2" xfId="28417" xr:uid="{21EAE598-5010-40B3-8A4D-6D8325075D68}"/>
    <cellStyle name="Normal 17 4 2 3 4 2 3" xfId="45176" xr:uid="{B2CB40B2-06E1-4BE9-9445-DE802F077548}"/>
    <cellStyle name="Normal 17 4 2 3 4 3" xfId="20037" xr:uid="{4C797033-F09E-4A3C-8F9A-8C54160BA5E9}"/>
    <cellStyle name="Normal 17 4 2 3 4 4" xfId="36796" xr:uid="{7A6A1965-125C-44A8-BEBA-9874F3E4D57C}"/>
    <cellStyle name="Normal 17 4 2 3 5" xfId="9854" xr:uid="{7FAF8B72-2F32-47EB-8FC8-55ED082D7742}"/>
    <cellStyle name="Normal 17 4 2 3 5 2" xfId="26614" xr:uid="{12A6EE69-BD45-40DB-8566-AC3333A8480E}"/>
    <cellStyle name="Normal 17 4 2 3 5 3" xfId="43373" xr:uid="{90E661EF-2CED-4804-976A-8575576AE008}"/>
    <cellStyle name="Normal 17 4 2 3 6" xfId="18234" xr:uid="{F41CDC33-1B32-4E8D-BDD9-4338B57B85D2}"/>
    <cellStyle name="Normal 17 4 2 3 7" xfId="34993" xr:uid="{1F54DF02-174E-4ED0-9738-151FE7384023}"/>
    <cellStyle name="Normal 17 4 2 4" xfId="1822" xr:uid="{52E4C4C9-313C-40D9-ABF7-D6A6A37171D7}"/>
    <cellStyle name="Normal 17 4 2 4 2" xfId="5211" xr:uid="{273F3350-CA40-49D1-A38C-7D2571E22934}"/>
    <cellStyle name="Normal 17 4 2 4 2 2" xfId="13591" xr:uid="{EA1E4732-A7A2-4081-993D-17A68F0CE553}"/>
    <cellStyle name="Normal 17 4 2 4 2 2 2" xfId="30351" xr:uid="{85B015A7-00D2-434C-9E60-817DD4776D55}"/>
    <cellStyle name="Normal 17 4 2 4 2 2 3" xfId="47110" xr:uid="{03B18B58-9342-4F01-9250-9D4DBA3D9950}"/>
    <cellStyle name="Normal 17 4 2 4 2 3" xfId="21971" xr:uid="{AD909CC1-A305-42B9-84A7-AFCA3FB36F88}"/>
    <cellStyle name="Normal 17 4 2 4 2 4" xfId="38730" xr:uid="{A7BE7088-9055-414F-91EB-52261F33072B}"/>
    <cellStyle name="Normal 17 4 2 4 3" xfId="6898" xr:uid="{CD126305-5B0A-4380-BB13-CAFF5DC43591}"/>
    <cellStyle name="Normal 17 4 2 4 3 2" xfId="15278" xr:uid="{DD644868-BF4C-42A8-AA34-1EDB6E8658D5}"/>
    <cellStyle name="Normal 17 4 2 4 3 2 2" xfId="32038" xr:uid="{0DE2964B-2A9B-4D94-A0FB-CA98B9C726CD}"/>
    <cellStyle name="Normal 17 4 2 4 3 2 3" xfId="48797" xr:uid="{3680B8D1-A868-4ECA-98A5-4B0C2FFAFFB5}"/>
    <cellStyle name="Normal 17 4 2 4 3 3" xfId="23658" xr:uid="{60DDE50B-D54D-47C5-8834-3178CF885B11}"/>
    <cellStyle name="Normal 17 4 2 4 3 4" xfId="40417" xr:uid="{5DBD014E-FE36-40A1-94B3-2696B363DF2A}"/>
    <cellStyle name="Normal 17 4 2 4 4" xfId="3522" xr:uid="{A61BE7BC-0307-4A58-A4B6-3125A2BCA55E}"/>
    <cellStyle name="Normal 17 4 2 4 4 2" xfId="11902" xr:uid="{DA8E8780-5E2E-4FFC-A77D-3BE4B721A7E3}"/>
    <cellStyle name="Normal 17 4 2 4 4 2 2" xfId="28662" xr:uid="{ABECEACB-962B-4089-AF82-F5AA1F5DD739}"/>
    <cellStyle name="Normal 17 4 2 4 4 2 3" xfId="45421" xr:uid="{32015118-3863-40E3-8B7C-AB582E0533A1}"/>
    <cellStyle name="Normal 17 4 2 4 4 3" xfId="20282" xr:uid="{F33DD3B5-5429-4516-A71D-D305608A1343}"/>
    <cellStyle name="Normal 17 4 2 4 4 4" xfId="37041" xr:uid="{AFF6E4B0-9E1C-41F6-95E6-C00B438E3A35}"/>
    <cellStyle name="Normal 17 4 2 4 5" xfId="10211" xr:uid="{B87ADFE5-8A38-4DD5-A723-AF6CBEF34095}"/>
    <cellStyle name="Normal 17 4 2 4 5 2" xfId="26971" xr:uid="{B7219AB0-FA24-466D-ADC4-514F494688A5}"/>
    <cellStyle name="Normal 17 4 2 4 5 3" xfId="43730" xr:uid="{EE563DC2-D36D-47DB-B8BD-06E30AE70A50}"/>
    <cellStyle name="Normal 17 4 2 4 6" xfId="18591" xr:uid="{A58FF2E5-AE3B-4B4A-9894-9D55482DC0EB}"/>
    <cellStyle name="Normal 17 4 2 4 7" xfId="35350" xr:uid="{BADB75AE-38C0-4D52-B623-6B0A130546A4}"/>
    <cellStyle name="Normal 17 4 2 5" xfId="3941" xr:uid="{57AF8301-D29B-4260-A29D-F28004E254F9}"/>
    <cellStyle name="Normal 17 4 2 5 2" xfId="12321" xr:uid="{EAF71580-1139-4962-B954-EE126E83700D}"/>
    <cellStyle name="Normal 17 4 2 5 2 2" xfId="29081" xr:uid="{B0B941D0-F623-46E7-B8A6-8147453C7E3D}"/>
    <cellStyle name="Normal 17 4 2 5 2 3" xfId="45840" xr:uid="{104C4BB8-3C10-4CC7-BC53-BBA34A6544E8}"/>
    <cellStyle name="Normal 17 4 2 5 3" xfId="20701" xr:uid="{8E2B4AB6-9D2D-48CE-BF83-DB920E209FD0}"/>
    <cellStyle name="Normal 17 4 2 5 4" xfId="37460" xr:uid="{E50F9D0C-D8CC-4F61-AF6B-9A5FF314140A}"/>
    <cellStyle name="Normal 17 4 2 6" xfId="5687" xr:uid="{8936FA9C-336D-4E8B-B6C1-46C41EDD65BB}"/>
    <cellStyle name="Normal 17 4 2 6 2" xfId="14067" xr:uid="{10028700-6D70-4BA9-BF68-F6424B074531}"/>
    <cellStyle name="Normal 17 4 2 6 2 2" xfId="30827" xr:uid="{13CA8FD4-25A4-4441-928C-F71E8977849B}"/>
    <cellStyle name="Normal 17 4 2 6 2 3" xfId="47586" xr:uid="{5150A0C0-9B38-4E32-80AE-B719B80A7C7C}"/>
    <cellStyle name="Normal 17 4 2 6 3" xfId="22447" xr:uid="{928019D4-8E0C-4C97-B914-1005E408A214}"/>
    <cellStyle name="Normal 17 4 2 6 4" xfId="39206" xr:uid="{9D5CF389-646A-4249-8A85-72909EB5CAA7}"/>
    <cellStyle name="Normal 17 4 2 7" xfId="7304" xr:uid="{D0165C42-8BB4-4930-AA42-A70E3CF6E51B}"/>
    <cellStyle name="Normal 17 4 2 7 2" xfId="15684" xr:uid="{EFD1B588-6B65-4338-8F33-DAAA8979E45A}"/>
    <cellStyle name="Normal 17 4 2 7 2 2" xfId="32444" xr:uid="{D02CEB85-DA73-458C-B450-05158FBAE476}"/>
    <cellStyle name="Normal 17 4 2 7 2 3" xfId="49203" xr:uid="{A263CD56-BDFF-424E-B3E9-3E180E473900}"/>
    <cellStyle name="Normal 17 4 2 7 3" xfId="24064" xr:uid="{13B10DCD-4BEE-4A32-A61A-76453B73D80C}"/>
    <cellStyle name="Normal 17 4 2 7 4" xfId="40823" xr:uid="{B943CC7F-AB81-40C7-B952-2F67F573AE00}"/>
    <cellStyle name="Normal 17 4 2 8" xfId="7710" xr:uid="{CC3B0B51-02B1-466D-B5E4-BEC326BC18F5}"/>
    <cellStyle name="Normal 17 4 2 8 2" xfId="16090" xr:uid="{4AA600CE-F892-4E4D-9233-3FF0D1288B9E}"/>
    <cellStyle name="Normal 17 4 2 8 2 2" xfId="32850" xr:uid="{829E05A4-56C1-48BA-B76E-829BCC098598}"/>
    <cellStyle name="Normal 17 4 2 8 2 3" xfId="49609" xr:uid="{A9C9310D-DD98-444C-8926-44AA502B33E7}"/>
    <cellStyle name="Normal 17 4 2 8 3" xfId="24470" xr:uid="{7868C4D2-9C93-4708-BB3D-CDDAF25EBD65}"/>
    <cellStyle name="Normal 17 4 2 8 4" xfId="41229" xr:uid="{064EE848-8D9C-46EC-B466-D1E08B8B27CE}"/>
    <cellStyle name="Normal 17 4 2 9" xfId="8116" xr:uid="{CFFB5FBE-049C-4BA2-920C-749AE8BA545F}"/>
    <cellStyle name="Normal 17 4 2 9 2" xfId="16496" xr:uid="{CF199E22-2095-4BCE-997A-02F6DEA5425F}"/>
    <cellStyle name="Normal 17 4 2 9 2 2" xfId="33256" xr:uid="{C1C7AEAB-4B32-4EA0-9903-01D6525AE4EC}"/>
    <cellStyle name="Normal 17 4 2 9 2 3" xfId="50015" xr:uid="{19A2D9AB-5B4B-48EE-8CBF-B92BB9A5DA19}"/>
    <cellStyle name="Normal 17 4 2 9 3" xfId="24876" xr:uid="{78B12978-ADCD-4C84-999B-9F12C1A74C99}"/>
    <cellStyle name="Normal 17 4 2 9 4" xfId="41635" xr:uid="{82C66C93-8181-4A88-9635-97544DFD29D3}"/>
    <cellStyle name="Normal 17 4 3" xfId="590" xr:uid="{390DF64B-821F-4306-9BE2-DC9834D51602}"/>
    <cellStyle name="Normal 17 4 3 10" xfId="8652" xr:uid="{F0734BC6-C515-4D4A-AA35-2771A9E1D87A}"/>
    <cellStyle name="Normal 17 4 3 10 2" xfId="17032" xr:uid="{BBE07FFD-02D5-4C62-A9A6-BB8103F6FBF6}"/>
    <cellStyle name="Normal 17 4 3 10 2 2" xfId="33792" xr:uid="{303E2619-8433-4F21-A8FD-C98DD3E3277E}"/>
    <cellStyle name="Normal 17 4 3 10 2 3" xfId="50551" xr:uid="{20D320B4-2AC0-4109-806B-5157871842F0}"/>
    <cellStyle name="Normal 17 4 3 10 3" xfId="25412" xr:uid="{3A0D58E4-958C-4B16-99E4-048F8729A314}"/>
    <cellStyle name="Normal 17 4 3 10 4" xfId="42171" xr:uid="{C1563B18-88EF-4FB8-8DD8-E73E5B4FFE92}"/>
    <cellStyle name="Normal 17 4 3 11" xfId="2422" xr:uid="{59F28078-DD96-48D7-8C30-25D3FD361FBF}"/>
    <cellStyle name="Normal 17 4 3 11 2" xfId="10804" xr:uid="{DE2D0119-C8EC-4153-9FBE-E006113A74F1}"/>
    <cellStyle name="Normal 17 4 3 11 2 2" xfId="27564" xr:uid="{6E8BB5DE-B86F-43AF-882C-4DDF58F6CBCF}"/>
    <cellStyle name="Normal 17 4 3 11 2 3" xfId="44323" xr:uid="{04309AE0-3E56-49EE-9CA4-625F8D31AEDC}"/>
    <cellStyle name="Normal 17 4 3 11 3" xfId="19184" xr:uid="{86CFECE9-7524-4AD8-A9A3-FF5D94A99C04}"/>
    <cellStyle name="Normal 17 4 3 11 4" xfId="35943" xr:uid="{D5112243-64E1-4260-BD21-86BC3F98212E}"/>
    <cellStyle name="Normal 17 4 3 12" xfId="9001" xr:uid="{72A23D34-843D-496F-B8BD-86103F21C970}"/>
    <cellStyle name="Normal 17 4 3 12 2" xfId="25761" xr:uid="{7F1F3F05-6438-4F89-86D8-1749AF9C29EB}"/>
    <cellStyle name="Normal 17 4 3 12 3" xfId="42520" xr:uid="{0AE495AA-BCD0-4686-8529-9AE2CAC528C3}"/>
    <cellStyle name="Normal 17 4 3 13" xfId="17381" xr:uid="{9E93EAE9-CFC2-475E-9660-282DC0DC18C1}"/>
    <cellStyle name="Normal 17 4 3 14" xfId="34140" xr:uid="{8651C379-26C7-4142-8CF4-19E38D46CED2}"/>
    <cellStyle name="Normal 17 4 3 2" xfId="1032" xr:uid="{27AECC45-4055-43C1-8A9C-DA916748C856}"/>
    <cellStyle name="Normal 17 4 3 2 2" xfId="4427" xr:uid="{0BE14857-35EE-4EF6-A12D-6B4856F7A067}"/>
    <cellStyle name="Normal 17 4 3 2 2 2" xfId="12807" xr:uid="{56826AB1-B06F-4D6C-A614-170D8EB4CD03}"/>
    <cellStyle name="Normal 17 4 3 2 2 2 2" xfId="29567" xr:uid="{3A06613A-97E5-4AA0-9B21-682969321322}"/>
    <cellStyle name="Normal 17 4 3 2 2 2 3" xfId="46326" xr:uid="{8733F0DF-01CD-4ECB-B067-4F1E1AB11FA0}"/>
    <cellStyle name="Normal 17 4 3 2 2 3" xfId="21187" xr:uid="{2BC3363E-5E84-4816-9E8D-570ED38B0E35}"/>
    <cellStyle name="Normal 17 4 3 2 2 4" xfId="37946" xr:uid="{E7090179-87DE-4007-AFFA-BB61CB3D989E}"/>
    <cellStyle name="Normal 17 4 3 2 3" xfId="6114" xr:uid="{E82E6CB4-15DD-480A-9914-09766B39BB8A}"/>
    <cellStyle name="Normal 17 4 3 2 3 2" xfId="14494" xr:uid="{32522F97-35B8-45FC-A86A-C8EB351DC8AE}"/>
    <cellStyle name="Normal 17 4 3 2 3 2 2" xfId="31254" xr:uid="{1609F28A-7429-4644-8F09-87FB0929ABF3}"/>
    <cellStyle name="Normal 17 4 3 2 3 2 3" xfId="48013" xr:uid="{2C15851E-13ED-4A4B-B843-5B88EEB70EF0}"/>
    <cellStyle name="Normal 17 4 3 2 3 3" xfId="22874" xr:uid="{896A3815-EDF5-493A-94EA-542DC0524731}"/>
    <cellStyle name="Normal 17 4 3 2 3 4" xfId="39633" xr:uid="{96C8C7B5-85A2-4CC4-8519-59A005CC0E2D}"/>
    <cellStyle name="Normal 17 4 3 2 4" xfId="2850" xr:uid="{5946992E-2B4F-4B89-99CF-A9780AAE42E5}"/>
    <cellStyle name="Normal 17 4 3 2 4 2" xfId="11230" xr:uid="{A68974E2-9935-41A7-8920-100957C5D94E}"/>
    <cellStyle name="Normal 17 4 3 2 4 2 2" xfId="27990" xr:uid="{7FC125DF-E08E-409B-A895-273E01628AB7}"/>
    <cellStyle name="Normal 17 4 3 2 4 2 3" xfId="44749" xr:uid="{4BA5CEEC-364E-4C87-8E2F-12B608C6272B}"/>
    <cellStyle name="Normal 17 4 3 2 4 3" xfId="19610" xr:uid="{E60C732F-E2B6-42C9-907E-F88BD15FEDE7}"/>
    <cellStyle name="Normal 17 4 3 2 4 4" xfId="36369" xr:uid="{FB6C6B88-041B-4794-8C13-E692D60CDEAD}"/>
    <cellStyle name="Normal 17 4 3 2 5" xfId="9427" xr:uid="{7C5C16BF-177E-4475-ACB2-4E2D52B0F753}"/>
    <cellStyle name="Normal 17 4 3 2 5 2" xfId="26187" xr:uid="{ADA3134C-5566-41C1-9989-418AC490B385}"/>
    <cellStyle name="Normal 17 4 3 2 5 3" xfId="42946" xr:uid="{AE7CEC9B-F3E2-45B3-821D-4D20D617257D}"/>
    <cellStyle name="Normal 17 4 3 2 6" xfId="17807" xr:uid="{201C890C-66F3-4FF9-97BE-B6C0C7BDEA0E}"/>
    <cellStyle name="Normal 17 4 3 2 7" xfId="34566" xr:uid="{B734FEF7-83B5-445A-8755-B6DAECF21C6C}"/>
    <cellStyle name="Normal 17 4 3 3" xfId="1466" xr:uid="{AD0685A1-6B66-4087-88A7-44D9366D366F}"/>
    <cellStyle name="Normal 17 4 3 3 2" xfId="4855" xr:uid="{8DA191E1-A077-44B7-871D-46C20334B1EB}"/>
    <cellStyle name="Normal 17 4 3 3 2 2" xfId="13235" xr:uid="{4673074A-EEFB-415A-BA1A-931B9608DED6}"/>
    <cellStyle name="Normal 17 4 3 3 2 2 2" xfId="29995" xr:uid="{9042B464-78F5-466C-B64E-45BEDA902751}"/>
    <cellStyle name="Normal 17 4 3 3 2 2 3" xfId="46754" xr:uid="{BCF40AD3-2F26-4847-8564-6F549609A984}"/>
    <cellStyle name="Normal 17 4 3 3 2 3" xfId="21615" xr:uid="{15CFF5B9-6FCF-4B4F-8535-215E9603A81D}"/>
    <cellStyle name="Normal 17 4 3 3 2 4" xfId="38374" xr:uid="{E227645D-8E71-48BF-9543-96A4C956337E}"/>
    <cellStyle name="Normal 17 4 3 3 3" xfId="6542" xr:uid="{3A90C823-AD86-4EB0-914C-D091CF337BCD}"/>
    <cellStyle name="Normal 17 4 3 3 3 2" xfId="14922" xr:uid="{4223D677-C7C6-4978-8766-9171F3321640}"/>
    <cellStyle name="Normal 17 4 3 3 3 2 2" xfId="31682" xr:uid="{7F1EB821-ED85-4712-A8AC-F295CD82960E}"/>
    <cellStyle name="Normal 17 4 3 3 3 2 3" xfId="48441" xr:uid="{328696DF-3167-4532-B517-371CFD12105D}"/>
    <cellStyle name="Normal 17 4 3 3 3 3" xfId="23302" xr:uid="{C6BD50FD-EDE9-43E9-8E1F-C46B4C63AF13}"/>
    <cellStyle name="Normal 17 4 3 3 3 4" xfId="40061" xr:uid="{17666F62-898C-426D-8CB8-E23512EE49E8}"/>
    <cellStyle name="Normal 17 4 3 3 4" xfId="3278" xr:uid="{0F3D7B48-C64C-4791-A98F-C1BED660032C}"/>
    <cellStyle name="Normal 17 4 3 3 4 2" xfId="11658" xr:uid="{2953622B-0ADA-42E4-9235-8F7906D53E00}"/>
    <cellStyle name="Normal 17 4 3 3 4 2 2" xfId="28418" xr:uid="{1958B3F1-0380-4EC2-933E-632E4E6B3AFC}"/>
    <cellStyle name="Normal 17 4 3 3 4 2 3" xfId="45177" xr:uid="{59CE011C-0E94-4060-B0A7-B881F32B86AF}"/>
    <cellStyle name="Normal 17 4 3 3 4 3" xfId="20038" xr:uid="{92349294-4FD9-4110-B258-DFC35388F18E}"/>
    <cellStyle name="Normal 17 4 3 3 4 4" xfId="36797" xr:uid="{C77474E7-C428-475A-8BFD-D65A1CFA8D04}"/>
    <cellStyle name="Normal 17 4 3 3 5" xfId="9855" xr:uid="{0C2EB713-6C10-4B3A-A3A9-2EEAD5818993}"/>
    <cellStyle name="Normal 17 4 3 3 5 2" xfId="26615" xr:uid="{D345F0DD-62DD-4144-951B-7E9DB5B071AA}"/>
    <cellStyle name="Normal 17 4 3 3 5 3" xfId="43374" xr:uid="{1195BAED-5436-4F7A-A576-17145AC3E98B}"/>
    <cellStyle name="Normal 17 4 3 3 6" xfId="18235" xr:uid="{275BF7EC-FD48-458C-A257-580C45410656}"/>
    <cellStyle name="Normal 17 4 3 3 7" xfId="34994" xr:uid="{95853523-4AEE-427F-8212-2B31382CE668}"/>
    <cellStyle name="Normal 17 4 3 4" xfId="1952" xr:uid="{71C36091-2077-4C75-B2AC-3C15737D1871}"/>
    <cellStyle name="Normal 17 4 3 4 2" xfId="5341" xr:uid="{49BA9FAE-78E2-43DC-8F03-07F6756A0399}"/>
    <cellStyle name="Normal 17 4 3 4 2 2" xfId="13721" xr:uid="{BF4DCE6A-21DB-4A4A-ADE4-0BC3F3BC0242}"/>
    <cellStyle name="Normal 17 4 3 4 2 2 2" xfId="30481" xr:uid="{B3FFA467-C0B0-43F8-AD1F-52C625DE3471}"/>
    <cellStyle name="Normal 17 4 3 4 2 2 3" xfId="47240" xr:uid="{816F7BB5-C0FE-480A-A44D-D07A8CE1F29D}"/>
    <cellStyle name="Normal 17 4 3 4 2 3" xfId="22101" xr:uid="{84B3FA27-C235-46B3-AD62-243DC414A0B5}"/>
    <cellStyle name="Normal 17 4 3 4 2 4" xfId="38860" xr:uid="{BDB52DF6-6DC7-42B6-A33F-E5B34F8135BF}"/>
    <cellStyle name="Normal 17 4 3 4 3" xfId="7028" xr:uid="{DF7FA3B8-1846-4C0E-BB78-DB1EA37D3C60}"/>
    <cellStyle name="Normal 17 4 3 4 3 2" xfId="15408" xr:uid="{30950347-B881-412D-A3E1-E4AD079BFB93}"/>
    <cellStyle name="Normal 17 4 3 4 3 2 2" xfId="32168" xr:uid="{297A7CD5-44DF-4BCA-9350-F511E3271FD6}"/>
    <cellStyle name="Normal 17 4 3 4 3 2 3" xfId="48927" xr:uid="{1F8E7DC4-1BB7-4F20-B6CA-2861582A9A87}"/>
    <cellStyle name="Normal 17 4 3 4 3 3" xfId="23788" xr:uid="{FDB6C7AE-2674-4CBA-AC46-87DE85B58DB7}"/>
    <cellStyle name="Normal 17 4 3 4 3 4" xfId="40547" xr:uid="{E1CE3B36-4A86-4DC3-A194-E4047BEA77CB}"/>
    <cellStyle name="Normal 17 4 3 4 4" xfId="3651" xr:uid="{92C2B598-EEFE-4F68-97E8-A6F0F242816C}"/>
    <cellStyle name="Normal 17 4 3 4 4 2" xfId="12031" xr:uid="{23F7CCC7-F492-4CF9-98D4-E90545C168D1}"/>
    <cellStyle name="Normal 17 4 3 4 4 2 2" xfId="28791" xr:uid="{6F9FF0F8-F8D7-41C6-98E2-7D032807B2B2}"/>
    <cellStyle name="Normal 17 4 3 4 4 2 3" xfId="45550" xr:uid="{716CABD9-B5B6-4101-B3E7-56B7EE4ABA36}"/>
    <cellStyle name="Normal 17 4 3 4 4 3" xfId="20411" xr:uid="{18EFAB20-BCF3-4047-BBC3-EACBA7995A1E}"/>
    <cellStyle name="Normal 17 4 3 4 4 4" xfId="37170" xr:uid="{96575734-B15D-4E85-AD25-9E6490EB54D5}"/>
    <cellStyle name="Normal 17 4 3 4 5" xfId="10341" xr:uid="{981E7D43-7E54-4075-8A3B-479EC31426BF}"/>
    <cellStyle name="Normal 17 4 3 4 5 2" xfId="27101" xr:uid="{9845CBB8-2E3C-4165-BA59-700E233E4B87}"/>
    <cellStyle name="Normal 17 4 3 4 5 3" xfId="43860" xr:uid="{1EB3AB61-7FC9-4506-B52B-127B769E953C}"/>
    <cellStyle name="Normal 17 4 3 4 6" xfId="18721" xr:uid="{373F0421-E397-4D50-9A31-C872B1EA1B2B}"/>
    <cellStyle name="Normal 17 4 3 4 7" xfId="35480" xr:uid="{E063BF65-CB54-49A9-A4A9-D4F44F0106FA}"/>
    <cellStyle name="Normal 17 4 3 5" xfId="4071" xr:uid="{957C9660-2D44-4918-B316-1ACB04CC1864}"/>
    <cellStyle name="Normal 17 4 3 5 2" xfId="12451" xr:uid="{CDDC0502-2446-4219-B7BC-41189185B481}"/>
    <cellStyle name="Normal 17 4 3 5 2 2" xfId="29211" xr:uid="{8E47D601-326C-4AF7-A03A-6F0CCC5E06BA}"/>
    <cellStyle name="Normal 17 4 3 5 2 3" xfId="45970" xr:uid="{E97A9081-ACC4-491B-9D30-5144769DD122}"/>
    <cellStyle name="Normal 17 4 3 5 3" xfId="20831" xr:uid="{9FACBC06-D8B3-48DB-93AF-40B056FBD92C}"/>
    <cellStyle name="Normal 17 4 3 5 4" xfId="37590" xr:uid="{84625495-913C-462E-AAB9-7163F78C6F8F}"/>
    <cellStyle name="Normal 17 4 3 6" xfId="5688" xr:uid="{3E48F2C4-F84A-41D9-8E0E-052DA97C2116}"/>
    <cellStyle name="Normal 17 4 3 6 2" xfId="14068" xr:uid="{07E51D79-820C-4955-AB44-AB28B2EAF17E}"/>
    <cellStyle name="Normal 17 4 3 6 2 2" xfId="30828" xr:uid="{AC650448-6EAD-4FEF-91E9-554CF585D39E}"/>
    <cellStyle name="Normal 17 4 3 6 2 3" xfId="47587" xr:uid="{B10BBFF4-53ED-4F30-B321-529FB99E9B61}"/>
    <cellStyle name="Normal 17 4 3 6 3" xfId="22448" xr:uid="{15201307-C402-4CC0-A175-52D52BCC1490}"/>
    <cellStyle name="Normal 17 4 3 6 4" xfId="39207" xr:uid="{8BC02E6B-8F6D-4C57-A7BC-8C84EEC3E829}"/>
    <cellStyle name="Normal 17 4 3 7" xfId="7434" xr:uid="{23E377C9-F9AA-4A3C-9F27-02A4E34E972F}"/>
    <cellStyle name="Normal 17 4 3 7 2" xfId="15814" xr:uid="{A4C29411-0CBC-47BE-9AFA-0DC8DAF82B1B}"/>
    <cellStyle name="Normal 17 4 3 7 2 2" xfId="32574" xr:uid="{7C5B3794-22E8-4D61-A3AA-52D0E074AEA2}"/>
    <cellStyle name="Normal 17 4 3 7 2 3" xfId="49333" xr:uid="{BA3C27CD-BDED-4D17-AC00-4309ED724B48}"/>
    <cellStyle name="Normal 17 4 3 7 3" xfId="24194" xr:uid="{BD4378BA-8F0D-4F70-BD77-15BFEAFC9E25}"/>
    <cellStyle name="Normal 17 4 3 7 4" xfId="40953" xr:uid="{9C76F63C-884A-4651-B25B-B476A3797F86}"/>
    <cellStyle name="Normal 17 4 3 8" xfId="7840" xr:uid="{67F58AFC-A700-47CF-8EA3-D6F59C6E40A0}"/>
    <cellStyle name="Normal 17 4 3 8 2" xfId="16220" xr:uid="{F288C717-8A7B-4F92-A07C-A59960F9DDB0}"/>
    <cellStyle name="Normal 17 4 3 8 2 2" xfId="32980" xr:uid="{DCFEF6FB-9964-4A11-A8C4-C98879DADB27}"/>
    <cellStyle name="Normal 17 4 3 8 2 3" xfId="49739" xr:uid="{27823CCA-82A2-455C-BAD5-9BA20908D22A}"/>
    <cellStyle name="Normal 17 4 3 8 3" xfId="24600" xr:uid="{891E3E05-BE1B-4D74-8282-9140AC3ABCC4}"/>
    <cellStyle name="Normal 17 4 3 8 4" xfId="41359" xr:uid="{93BF8BD4-2CBE-4C81-80C1-7BEF6B9537EA}"/>
    <cellStyle name="Normal 17 4 3 9" xfId="8246" xr:uid="{FF3158D3-6A87-4B41-BDBD-56C658307870}"/>
    <cellStyle name="Normal 17 4 3 9 2" xfId="16626" xr:uid="{3CE4D788-0FC3-463D-BAE4-7673CF181E2B}"/>
    <cellStyle name="Normal 17 4 3 9 2 2" xfId="33386" xr:uid="{B2D821EC-D5D7-4796-9447-A2787E1870E5}"/>
    <cellStyle name="Normal 17 4 3 9 2 3" xfId="50145" xr:uid="{9951C53E-8E3D-4F0F-95C3-4A9985F635BA}"/>
    <cellStyle name="Normal 17 4 3 9 3" xfId="25006" xr:uid="{27EC9B0F-EF19-44D2-96E3-AAB71A16A82E}"/>
    <cellStyle name="Normal 17 4 3 9 4" xfId="41765" xr:uid="{E46C0D2B-DA42-46FF-AEFA-CA23190F4DDE}"/>
    <cellStyle name="Normal 17 4 4" xfId="1030" xr:uid="{2CC6FE95-C00E-4477-9FED-0C1BB0FB0D01}"/>
    <cellStyle name="Normal 17 4 4 2" xfId="4425" xr:uid="{56FD33A9-6655-4742-A26D-A27F88AEFE5F}"/>
    <cellStyle name="Normal 17 4 4 2 2" xfId="12805" xr:uid="{14EFE376-069E-4020-AB73-20EC395F0B23}"/>
    <cellStyle name="Normal 17 4 4 2 2 2" xfId="29565" xr:uid="{A1925D73-1F9C-47E9-8518-8C0E1AFBB410}"/>
    <cellStyle name="Normal 17 4 4 2 2 3" xfId="46324" xr:uid="{9559A6A3-3C07-4FAE-92DA-E52522A7A7A0}"/>
    <cellStyle name="Normal 17 4 4 2 3" xfId="21185" xr:uid="{1840DE7C-246B-4BC7-94E9-4EFC5A897FCB}"/>
    <cellStyle name="Normal 17 4 4 2 4" xfId="37944" xr:uid="{F14EC6E1-7E16-4D19-8BE7-DB7F66E74D3C}"/>
    <cellStyle name="Normal 17 4 4 3" xfId="6112" xr:uid="{684AD12F-FB4A-4389-B7CC-BF54E07EC5EC}"/>
    <cellStyle name="Normal 17 4 4 3 2" xfId="14492" xr:uid="{89DF40AF-FFB0-4F17-9CE3-A584775C0F5C}"/>
    <cellStyle name="Normal 17 4 4 3 2 2" xfId="31252" xr:uid="{F2A28664-7AFF-45C5-9D9A-A787C57B23EC}"/>
    <cellStyle name="Normal 17 4 4 3 2 3" xfId="48011" xr:uid="{02D0153F-ACF2-447E-80D4-3E350E446DB0}"/>
    <cellStyle name="Normal 17 4 4 3 3" xfId="22872" xr:uid="{7C81923F-25CE-4026-8076-AB65B45D536B}"/>
    <cellStyle name="Normal 17 4 4 3 4" xfId="39631" xr:uid="{EC4A949F-68B6-4845-91E7-A45A56D6D8FC}"/>
    <cellStyle name="Normal 17 4 4 4" xfId="2848" xr:uid="{839DC1D4-7EB8-4D4D-9E4D-08371D74AF5E}"/>
    <cellStyle name="Normal 17 4 4 4 2" xfId="11228" xr:uid="{C17CA2F8-8BE9-4878-A7E8-C909DF220DA6}"/>
    <cellStyle name="Normal 17 4 4 4 2 2" xfId="27988" xr:uid="{634CEF23-8457-4D20-A7EA-68FFBD3D9C1B}"/>
    <cellStyle name="Normal 17 4 4 4 2 3" xfId="44747" xr:uid="{B3F9AD6C-A87A-4885-B0BB-2F514A5382BA}"/>
    <cellStyle name="Normal 17 4 4 4 3" xfId="19608" xr:uid="{C83B9196-080C-442B-B9F8-6F2DC6010771}"/>
    <cellStyle name="Normal 17 4 4 4 4" xfId="36367" xr:uid="{B8578BA2-096D-4367-9124-9B0753A0AABC}"/>
    <cellStyle name="Normal 17 4 4 5" xfId="9425" xr:uid="{92BBBA9A-BE77-479A-B9C7-7567D7802ADE}"/>
    <cellStyle name="Normal 17 4 4 5 2" xfId="26185" xr:uid="{CB2B8F75-1BA9-4C3C-93BB-EC916CE8D355}"/>
    <cellStyle name="Normal 17 4 4 5 3" xfId="42944" xr:uid="{66F95FDB-BEDB-4EFA-84D3-DCC241CF4998}"/>
    <cellStyle name="Normal 17 4 4 6" xfId="17805" xr:uid="{10CDA46A-42FC-4734-9699-49226ADD3C7B}"/>
    <cellStyle name="Normal 17 4 4 7" xfId="34564" xr:uid="{9BB27A23-9981-4044-A8D6-1DEEB8D57C0B}"/>
    <cellStyle name="Normal 17 4 5" xfId="1464" xr:uid="{FA069199-B445-4D31-8940-79B48DAD0CDD}"/>
    <cellStyle name="Normal 17 4 5 2" xfId="4853" xr:uid="{DBD2B4E7-D332-473A-94D5-20BA81543A4A}"/>
    <cellStyle name="Normal 17 4 5 2 2" xfId="13233" xr:uid="{294931A6-0A5D-4B27-BEDA-337DBA09BA7D}"/>
    <cellStyle name="Normal 17 4 5 2 2 2" xfId="29993" xr:uid="{22375264-B90B-4CC8-A01E-44260F7D1A62}"/>
    <cellStyle name="Normal 17 4 5 2 2 3" xfId="46752" xr:uid="{8B10F185-2A4D-44C3-9D15-F9707FCA5758}"/>
    <cellStyle name="Normal 17 4 5 2 3" xfId="21613" xr:uid="{573604E0-72D5-4F08-ABC5-648FB02F137F}"/>
    <cellStyle name="Normal 17 4 5 2 4" xfId="38372" xr:uid="{1CFBD7E8-915E-4D4F-9B87-9722F9C1E297}"/>
    <cellStyle name="Normal 17 4 5 3" xfId="6540" xr:uid="{B6EAC476-6A3A-4325-9492-3037028CFC58}"/>
    <cellStyle name="Normal 17 4 5 3 2" xfId="14920" xr:uid="{51C9487C-4555-463F-8B22-BA9202861694}"/>
    <cellStyle name="Normal 17 4 5 3 2 2" xfId="31680" xr:uid="{D5D5391A-F3C0-4B89-B3BD-27E0D3A3D81E}"/>
    <cellStyle name="Normal 17 4 5 3 2 3" xfId="48439" xr:uid="{9020AC80-5040-4DEB-80EE-0B77A5D3A2EA}"/>
    <cellStyle name="Normal 17 4 5 3 3" xfId="23300" xr:uid="{B02B35B2-9678-47EA-93D6-15FEC29E95A3}"/>
    <cellStyle name="Normal 17 4 5 3 4" xfId="40059" xr:uid="{E084E87E-056A-4A65-92D4-17F24BFC981F}"/>
    <cellStyle name="Normal 17 4 5 4" xfId="3276" xr:uid="{8B657684-4247-426E-9501-7AF885BC0342}"/>
    <cellStyle name="Normal 17 4 5 4 2" xfId="11656" xr:uid="{B75311F8-7923-4913-890C-20D3BDD32DB2}"/>
    <cellStyle name="Normal 17 4 5 4 2 2" xfId="28416" xr:uid="{28099D92-CEE4-4E5C-96A6-FD2F5AB9A4C1}"/>
    <cellStyle name="Normal 17 4 5 4 2 3" xfId="45175" xr:uid="{A75F26B4-08D4-49C7-8F03-0257EA31420E}"/>
    <cellStyle name="Normal 17 4 5 4 3" xfId="20036" xr:uid="{9452BB83-521C-49E8-950B-112E690AEDED}"/>
    <cellStyle name="Normal 17 4 5 4 4" xfId="36795" xr:uid="{F53D198B-DFAB-4FF4-84CA-853E49FF05D5}"/>
    <cellStyle name="Normal 17 4 5 5" xfId="9853" xr:uid="{27D5F29F-818C-4F1E-BEE1-1275382204FD}"/>
    <cellStyle name="Normal 17 4 5 5 2" xfId="26613" xr:uid="{2690FA5D-9906-4707-B25F-7B9A56C163D6}"/>
    <cellStyle name="Normal 17 4 5 5 3" xfId="43372" xr:uid="{8AEB3D0B-6E43-485A-A8E1-928DB3CAE25C}"/>
    <cellStyle name="Normal 17 4 5 6" xfId="18233" xr:uid="{1725D7D3-5C63-4140-9D0D-35C41B334FAE}"/>
    <cellStyle name="Normal 17 4 5 7" xfId="34992" xr:uid="{FE881B2F-8BF3-4115-A8AF-9F8B3C89D720}"/>
    <cellStyle name="Normal 17 4 6" xfId="1681" xr:uid="{A8579232-687D-47D0-BBC2-38BED5EAA847}"/>
    <cellStyle name="Normal 17 4 6 2" xfId="5070" xr:uid="{C751557F-89DD-49A2-8EB9-1C92E0E5EB97}"/>
    <cellStyle name="Normal 17 4 6 2 2" xfId="13450" xr:uid="{50210F76-CEAA-4070-BDEA-B4B8D4D5DE8D}"/>
    <cellStyle name="Normal 17 4 6 2 2 2" xfId="30210" xr:uid="{B8EB0568-C738-44ED-9168-1E04AD677556}"/>
    <cellStyle name="Normal 17 4 6 2 2 3" xfId="46969" xr:uid="{AFA29F37-CC23-49A5-830D-AA1145E0E7E2}"/>
    <cellStyle name="Normal 17 4 6 2 3" xfId="21830" xr:uid="{331AE1B8-08D8-4CBC-9155-0E434061F0B6}"/>
    <cellStyle name="Normal 17 4 6 2 4" xfId="38589" xr:uid="{F7FAB360-689C-4CB8-8B34-B759C989A1DC}"/>
    <cellStyle name="Normal 17 4 6 3" xfId="6757" xr:uid="{1E99A6DB-F643-4A82-AB30-17B1C1E057B6}"/>
    <cellStyle name="Normal 17 4 6 3 2" xfId="15137" xr:uid="{C1BAC81C-B1DC-4B4C-9791-17238039B37E}"/>
    <cellStyle name="Normal 17 4 6 3 2 2" xfId="31897" xr:uid="{EFDC78D1-7DBB-480C-9A68-117B70B6EA4E}"/>
    <cellStyle name="Normal 17 4 6 3 2 3" xfId="48656" xr:uid="{5BAD4BE5-338D-4A54-B3D2-9E1962B2C6D4}"/>
    <cellStyle name="Normal 17 4 6 3 3" xfId="23517" xr:uid="{5E864D8A-9723-4764-A2A0-788C68F7BB79}"/>
    <cellStyle name="Normal 17 4 6 3 4" xfId="40276" xr:uid="{7D7F1F97-8DF6-4DAC-BCE0-04156FF2C981}"/>
    <cellStyle name="Normal 17 4 6 4" xfId="2420" xr:uid="{8F609AA1-5C74-4B4B-A150-5FC78518D324}"/>
    <cellStyle name="Normal 17 4 6 4 2" xfId="10802" xr:uid="{C137D75D-6BBB-49D7-A9FB-38063CAEC13C}"/>
    <cellStyle name="Normal 17 4 6 4 2 2" xfId="27562" xr:uid="{29906A3A-845F-4AA3-A6AA-A29885577BC8}"/>
    <cellStyle name="Normal 17 4 6 4 2 3" xfId="44321" xr:uid="{0A441B29-12D4-4265-A224-21C690B15B55}"/>
    <cellStyle name="Normal 17 4 6 4 3" xfId="19182" xr:uid="{5B71CC75-13FD-4C53-8295-BBEA6309DD0E}"/>
    <cellStyle name="Normal 17 4 6 4 4" xfId="35941" xr:uid="{C0598EC4-FE74-4D1C-AB46-18B9B1344006}"/>
    <cellStyle name="Normal 17 4 6 5" xfId="10070" xr:uid="{AA4C898F-D77F-4850-8DAF-BBBD56A3A9BA}"/>
    <cellStyle name="Normal 17 4 6 5 2" xfId="26830" xr:uid="{D1181EE2-42E1-41EA-A20E-3523A1E64520}"/>
    <cellStyle name="Normal 17 4 6 5 3" xfId="43589" xr:uid="{17B1F087-3EAC-427E-BF79-FA2E174C5349}"/>
    <cellStyle name="Normal 17 4 6 6" xfId="18450" xr:uid="{89C343B8-004C-48D0-A3A8-AEA4D5D2765B}"/>
    <cellStyle name="Normal 17 4 6 7" xfId="35209" xr:uid="{E24BFF20-ADE6-4792-81BD-85EFBF09F0E8}"/>
    <cellStyle name="Normal 17 4 7" xfId="3799" xr:uid="{859D486F-C726-41BA-80BB-BD168B333D74}"/>
    <cellStyle name="Normal 17 4 7 2" xfId="12179" xr:uid="{BD6F03BD-D525-4585-9F60-6606AE806382}"/>
    <cellStyle name="Normal 17 4 7 2 2" xfId="28939" xr:uid="{92C94365-E117-4816-AEB6-1BC1A5B34DC6}"/>
    <cellStyle name="Normal 17 4 7 2 3" xfId="45698" xr:uid="{E2B5A049-A60D-4FC9-AC5D-1CE0DA79135A}"/>
    <cellStyle name="Normal 17 4 7 3" xfId="20559" xr:uid="{6D4350EC-9D5A-4D4D-8726-D4451BD0D083}"/>
    <cellStyle name="Normal 17 4 7 4" xfId="37318" xr:uid="{BA6DBC3B-DE10-4D83-A845-52076155ADCC}"/>
    <cellStyle name="Normal 17 4 8" xfId="5686" xr:uid="{816D7625-22F1-4876-999C-10F82CAFC056}"/>
    <cellStyle name="Normal 17 4 8 2" xfId="14066" xr:uid="{D5CC15A6-997B-4477-B31F-04EE0FDB291D}"/>
    <cellStyle name="Normal 17 4 8 2 2" xfId="30826" xr:uid="{111DC80B-42B4-4D11-8AB8-5B3E1FA9C7DD}"/>
    <cellStyle name="Normal 17 4 8 2 3" xfId="47585" xr:uid="{2B6657DB-E7A1-4DF1-A033-67C642C9270E}"/>
    <cellStyle name="Normal 17 4 8 3" xfId="22446" xr:uid="{0ACCCC49-F5BB-4501-AAB6-63A80A88E06A}"/>
    <cellStyle name="Normal 17 4 8 4" xfId="39205" xr:uid="{8239197A-A630-4059-B1B6-E915EA72D872}"/>
    <cellStyle name="Normal 17 4 9" xfId="7163" xr:uid="{A23AADF6-B319-42BF-8483-AC1D1E9FC191}"/>
    <cellStyle name="Normal 17 4 9 2" xfId="15543" xr:uid="{DA17BA5B-0B11-4597-8071-BBC80FE70E96}"/>
    <cellStyle name="Normal 17 4 9 2 2" xfId="32303" xr:uid="{4E89A1A4-59CD-44E2-B763-7675630FC27D}"/>
    <cellStyle name="Normal 17 4 9 2 3" xfId="49062" xr:uid="{EA002A76-CAB6-40EA-A0C8-962388016409}"/>
    <cellStyle name="Normal 17 4 9 3" xfId="23923" xr:uid="{2982E011-3D21-4561-8496-4616A9AD55F7}"/>
    <cellStyle name="Normal 17 4 9 4" xfId="40682" xr:uid="{5F54D50A-CE2C-4382-A13A-CEE92775CF8F}"/>
    <cellStyle name="Normal 17 5" xfId="591" xr:uid="{E6417557-D648-4044-81C5-77058242E4C5}"/>
    <cellStyle name="Normal 17 5 10" xfId="7640" xr:uid="{CC9F2E75-AA46-488B-A482-9DA66D04BF63}"/>
    <cellStyle name="Normal 17 5 10 2" xfId="16020" xr:uid="{E74A8847-C257-46CA-830A-15C179500E7F}"/>
    <cellStyle name="Normal 17 5 10 2 2" xfId="32780" xr:uid="{78B16A0A-2129-446D-B458-2ADEEA9003DC}"/>
    <cellStyle name="Normal 17 5 10 2 3" xfId="49539" xr:uid="{7BB27BE8-B6CB-4E27-91F7-25524950E663}"/>
    <cellStyle name="Normal 17 5 10 3" xfId="24400" xr:uid="{9EAAD893-9A8D-48E6-84E1-50A778352D9E}"/>
    <cellStyle name="Normal 17 5 10 4" xfId="41159" xr:uid="{29D7D0DB-C3D6-44C3-943E-7EEB796240B8}"/>
    <cellStyle name="Normal 17 5 11" xfId="8046" xr:uid="{8B7D6337-C728-4FA4-B58D-8B8221634FBC}"/>
    <cellStyle name="Normal 17 5 11 2" xfId="16426" xr:uid="{B406C105-E27E-43E1-B860-C1EB2F5695A5}"/>
    <cellStyle name="Normal 17 5 11 2 2" xfId="33186" xr:uid="{7DB2DBEC-244E-43CC-BB22-A11776140E48}"/>
    <cellStyle name="Normal 17 5 11 2 3" xfId="49945" xr:uid="{D1C80A0C-D04C-4B3D-97D7-34AD3CB9ED84}"/>
    <cellStyle name="Normal 17 5 11 3" xfId="24806" xr:uid="{B6C66132-35A9-4FDE-9393-2CBEE63E7E53}"/>
    <cellStyle name="Normal 17 5 11 4" xfId="41565" xr:uid="{4F6DE439-9E26-4C2B-94B6-C5F8655BDB37}"/>
    <cellStyle name="Normal 17 5 12" xfId="8452" xr:uid="{EE99A080-B2A3-4A37-A4E4-9EE895DF293E}"/>
    <cellStyle name="Normal 17 5 12 2" xfId="16832" xr:uid="{DA7A9A4B-58D4-4074-BFF5-50540ED9EC8A}"/>
    <cellStyle name="Normal 17 5 12 2 2" xfId="33592" xr:uid="{B6E60267-3902-478F-9879-9E305A0AAA80}"/>
    <cellStyle name="Normal 17 5 12 2 3" xfId="50351" xr:uid="{B2537769-891F-4916-B938-C8F88DE09C4A}"/>
    <cellStyle name="Normal 17 5 12 3" xfId="25212" xr:uid="{1CEAEB84-9B6D-469E-AD79-CA475C5B9D7D}"/>
    <cellStyle name="Normal 17 5 12 4" xfId="41971" xr:uid="{1C38BBA8-164F-48CB-B484-F337E5511B16}"/>
    <cellStyle name="Normal 17 5 13" xfId="2139" xr:uid="{C6BC08B3-80C1-44F0-A937-4057CDB3BCC8}"/>
    <cellStyle name="Normal 17 5 13 2" xfId="10527" xr:uid="{0D9EFB34-D406-4582-9438-AA9E49CF9DE8}"/>
    <cellStyle name="Normal 17 5 13 2 2" xfId="27287" xr:uid="{4816AB1A-0D94-47D5-B96E-036F0B48BDC3}"/>
    <cellStyle name="Normal 17 5 13 2 3" xfId="44046" xr:uid="{FCA8E9B5-85D5-46B7-BDBD-A15EFC3A9A95}"/>
    <cellStyle name="Normal 17 5 13 3" xfId="18907" xr:uid="{8D9844FB-3C2E-49E5-A1B5-291B2ACBDC51}"/>
    <cellStyle name="Normal 17 5 13 4" xfId="35666" xr:uid="{3AC2B05C-D9B9-418E-80FF-56C411060968}"/>
    <cellStyle name="Normal 17 5 14" xfId="9002" xr:uid="{CD6DAB3B-1791-4A4A-A5CA-EA02E2C083FB}"/>
    <cellStyle name="Normal 17 5 14 2" xfId="25762" xr:uid="{B9D868EF-D30F-4526-983C-45FE69321D9B}"/>
    <cellStyle name="Normal 17 5 14 3" xfId="42521" xr:uid="{64113140-DB89-48E0-A2D7-AF9226159812}"/>
    <cellStyle name="Normal 17 5 15" xfId="17382" xr:uid="{1BC49A70-076F-40FC-BF08-F5CDB88A7343}"/>
    <cellStyle name="Normal 17 5 16" xfId="34141" xr:uid="{A324BD3C-C8DE-4B2B-B236-8EEB5C31F520}"/>
    <cellStyle name="Normal 17 5 2" xfId="592" xr:uid="{F0A97D51-D6F0-49A2-8468-4638547A5AB9}"/>
    <cellStyle name="Normal 17 5 2 10" xfId="8523" xr:uid="{FA6CDA87-F9C9-4BC2-8A7E-537148830F57}"/>
    <cellStyle name="Normal 17 5 2 10 2" xfId="16903" xr:uid="{24091BE7-13AA-4987-9F50-F08B04569C3C}"/>
    <cellStyle name="Normal 17 5 2 10 2 2" xfId="33663" xr:uid="{397110FC-4628-49A3-98C0-47EDB7254023}"/>
    <cellStyle name="Normal 17 5 2 10 2 3" xfId="50422" xr:uid="{BC76F098-2149-4502-99A0-186AAF435DDA}"/>
    <cellStyle name="Normal 17 5 2 10 3" xfId="25283" xr:uid="{03705417-571D-4AE2-A0F0-F40CD4A85695}"/>
    <cellStyle name="Normal 17 5 2 10 4" xfId="42042" xr:uid="{7566CE47-B219-4C3A-ACA3-A4EFE081B6EE}"/>
    <cellStyle name="Normal 17 5 2 11" xfId="2424" xr:uid="{482EFE9B-0BE1-48ED-B9CE-1A66946078B2}"/>
    <cellStyle name="Normal 17 5 2 11 2" xfId="10806" xr:uid="{E8AF48B3-E4F7-4204-BE86-4850E187FE66}"/>
    <cellStyle name="Normal 17 5 2 11 2 2" xfId="27566" xr:uid="{0F8E9C38-8ABB-413A-B69F-D405507FD652}"/>
    <cellStyle name="Normal 17 5 2 11 2 3" xfId="44325" xr:uid="{2EA8E0EA-2A9D-48A8-B699-94BC7FC4F4F8}"/>
    <cellStyle name="Normal 17 5 2 11 3" xfId="19186" xr:uid="{D91AF579-4E8A-4206-9987-A97EC11144B1}"/>
    <cellStyle name="Normal 17 5 2 11 4" xfId="35945" xr:uid="{9019F938-CEBC-4E48-BF22-5C91F47E6681}"/>
    <cellStyle name="Normal 17 5 2 12" xfId="9003" xr:uid="{0AA4640A-538A-4FE2-AD8B-4FA7B3303052}"/>
    <cellStyle name="Normal 17 5 2 12 2" xfId="25763" xr:uid="{4141BF4C-7920-4E65-98EC-F7AFC2202C3E}"/>
    <cellStyle name="Normal 17 5 2 12 3" xfId="42522" xr:uid="{6178BBA3-7996-4B41-BE60-9718EED76E8B}"/>
    <cellStyle name="Normal 17 5 2 13" xfId="17383" xr:uid="{EEC7EA5F-E136-4C84-9A0E-4B8B974B5281}"/>
    <cellStyle name="Normal 17 5 2 14" xfId="34142" xr:uid="{070DFE29-C97C-451E-83E3-29BE480F48B2}"/>
    <cellStyle name="Normal 17 5 2 2" xfId="1034" xr:uid="{572A6C97-08F6-4BAE-8316-4C0544ADE87A}"/>
    <cellStyle name="Normal 17 5 2 2 2" xfId="4429" xr:uid="{F6042C0B-7EB3-4558-A164-3E6E834C9DDA}"/>
    <cellStyle name="Normal 17 5 2 2 2 2" xfId="12809" xr:uid="{637F6027-16B2-46F9-980E-1BC3EA3783C9}"/>
    <cellStyle name="Normal 17 5 2 2 2 2 2" xfId="29569" xr:uid="{129A410C-294E-448E-9FE4-A5763DA75589}"/>
    <cellStyle name="Normal 17 5 2 2 2 2 3" xfId="46328" xr:uid="{A6409A40-6781-4FCE-8989-5A4909E089E1}"/>
    <cellStyle name="Normal 17 5 2 2 2 3" xfId="21189" xr:uid="{3736E0EC-EEE4-488E-8308-7CE3A01E0C27}"/>
    <cellStyle name="Normal 17 5 2 2 2 4" xfId="37948" xr:uid="{EBFA22EC-98F5-4DD5-A81A-27DB18E689B8}"/>
    <cellStyle name="Normal 17 5 2 2 3" xfId="6116" xr:uid="{8C622C77-1BE9-44CE-8D96-55E18564A23F}"/>
    <cellStyle name="Normal 17 5 2 2 3 2" xfId="14496" xr:uid="{EB9B8C58-8A30-4C45-98A7-9D8A86F1579C}"/>
    <cellStyle name="Normal 17 5 2 2 3 2 2" xfId="31256" xr:uid="{5E663CFA-CB57-4B8F-92FA-7E77B240FFF4}"/>
    <cellStyle name="Normal 17 5 2 2 3 2 3" xfId="48015" xr:uid="{07BFA698-90A8-4FFD-A28D-B4A072CBF93F}"/>
    <cellStyle name="Normal 17 5 2 2 3 3" xfId="22876" xr:uid="{92C9C8DF-F807-45F4-99C1-F12B6A636498}"/>
    <cellStyle name="Normal 17 5 2 2 3 4" xfId="39635" xr:uid="{1EE2AFEC-386B-45E7-A545-3E7070E91D2E}"/>
    <cellStyle name="Normal 17 5 2 2 4" xfId="2852" xr:uid="{1A320743-A5A4-420A-AEA8-8FC02F274FFB}"/>
    <cellStyle name="Normal 17 5 2 2 4 2" xfId="11232" xr:uid="{0183E2A1-6D18-4776-95AE-F646B981C5AC}"/>
    <cellStyle name="Normal 17 5 2 2 4 2 2" xfId="27992" xr:uid="{F2C67D29-025E-493F-BE8F-C2F7590EC50E}"/>
    <cellStyle name="Normal 17 5 2 2 4 2 3" xfId="44751" xr:uid="{B808A295-E402-4C41-8FD1-DD870BAA97D1}"/>
    <cellStyle name="Normal 17 5 2 2 4 3" xfId="19612" xr:uid="{E6D6CBB9-9E1F-41EE-94EC-92288130BD78}"/>
    <cellStyle name="Normal 17 5 2 2 4 4" xfId="36371" xr:uid="{27814A45-35A3-458C-939F-4454B99A3B3D}"/>
    <cellStyle name="Normal 17 5 2 2 5" xfId="9429" xr:uid="{03D862C0-2380-476F-8459-1B3B73D725BE}"/>
    <cellStyle name="Normal 17 5 2 2 5 2" xfId="26189" xr:uid="{BE146BFC-9B07-40B1-AD0F-083469D609F6}"/>
    <cellStyle name="Normal 17 5 2 2 5 3" xfId="42948" xr:uid="{F4991074-DD7E-498A-9498-CB1C9428CAA5}"/>
    <cellStyle name="Normal 17 5 2 2 6" xfId="17809" xr:uid="{E330D74B-8B31-4C34-9BBF-49E3C3702192}"/>
    <cellStyle name="Normal 17 5 2 2 7" xfId="34568" xr:uid="{C4646E98-43FA-4F2F-95E4-EA04754AA242}"/>
    <cellStyle name="Normal 17 5 2 3" xfId="1468" xr:uid="{8AFE689C-31A5-48B6-98EB-40C776E6A0BC}"/>
    <cellStyle name="Normal 17 5 2 3 2" xfId="4857" xr:uid="{321FA7C1-0E2F-4502-A88E-F79D03110828}"/>
    <cellStyle name="Normal 17 5 2 3 2 2" xfId="13237" xr:uid="{9359D052-58E2-4275-B0C8-54DA61A65529}"/>
    <cellStyle name="Normal 17 5 2 3 2 2 2" xfId="29997" xr:uid="{1FA9E645-124D-4353-8C21-22E487F2F4DC}"/>
    <cellStyle name="Normal 17 5 2 3 2 2 3" xfId="46756" xr:uid="{2507C71F-269B-45F9-BA73-48DC71C80B96}"/>
    <cellStyle name="Normal 17 5 2 3 2 3" xfId="21617" xr:uid="{10393A0E-4695-4264-B78A-B47DE8AF0CE7}"/>
    <cellStyle name="Normal 17 5 2 3 2 4" xfId="38376" xr:uid="{305A513C-B734-4B4E-893D-2D23187F55FE}"/>
    <cellStyle name="Normal 17 5 2 3 3" xfId="6544" xr:uid="{6EC613A1-AF1A-4236-B0AE-D7C0550A94E0}"/>
    <cellStyle name="Normal 17 5 2 3 3 2" xfId="14924" xr:uid="{CDE5F593-0114-42FC-AA45-8FD39A25C0DD}"/>
    <cellStyle name="Normal 17 5 2 3 3 2 2" xfId="31684" xr:uid="{C06E52BA-CF7B-429D-8E9A-BC27AE2D8FA6}"/>
    <cellStyle name="Normal 17 5 2 3 3 2 3" xfId="48443" xr:uid="{A3873CCD-D697-428C-A4F5-EC95BF4BA4C6}"/>
    <cellStyle name="Normal 17 5 2 3 3 3" xfId="23304" xr:uid="{8E2E8391-7C2A-4B4E-89E5-339DD61B8B4F}"/>
    <cellStyle name="Normal 17 5 2 3 3 4" xfId="40063" xr:uid="{5B93D457-982F-4A4D-B09A-416591F1D5B1}"/>
    <cellStyle name="Normal 17 5 2 3 4" xfId="3280" xr:uid="{BD7DEFF7-E8FD-41A9-AFD0-E5D85B0469BE}"/>
    <cellStyle name="Normal 17 5 2 3 4 2" xfId="11660" xr:uid="{4FDE7612-0041-4917-98EA-423C4CABBEBD}"/>
    <cellStyle name="Normal 17 5 2 3 4 2 2" xfId="28420" xr:uid="{064A4601-4D0C-4460-83E5-588F16BC40B2}"/>
    <cellStyle name="Normal 17 5 2 3 4 2 3" xfId="45179" xr:uid="{338FF2DD-1149-4191-9574-9C7E93FFB566}"/>
    <cellStyle name="Normal 17 5 2 3 4 3" xfId="20040" xr:uid="{9BD918ED-078F-44C9-818F-9943D5AFB6C6}"/>
    <cellStyle name="Normal 17 5 2 3 4 4" xfId="36799" xr:uid="{839674BB-9793-48BA-80FA-074C650671E8}"/>
    <cellStyle name="Normal 17 5 2 3 5" xfId="9857" xr:uid="{D57A9C90-2CD3-4E65-BB04-0E7A4D0AAA34}"/>
    <cellStyle name="Normal 17 5 2 3 5 2" xfId="26617" xr:uid="{D158CA00-BC03-4050-BF17-940511DB6D24}"/>
    <cellStyle name="Normal 17 5 2 3 5 3" xfId="43376" xr:uid="{F1B954DB-F28E-492E-9FBB-C4B0DFDA97BE}"/>
    <cellStyle name="Normal 17 5 2 3 6" xfId="18237" xr:uid="{645F868F-035D-4D6B-ABB3-D6D65F5D7BFF}"/>
    <cellStyle name="Normal 17 5 2 3 7" xfId="34996" xr:uid="{089D2F45-D9F8-4AFA-8A5A-38FDB57CAC96}"/>
    <cellStyle name="Normal 17 5 2 4" xfId="1823" xr:uid="{EA97A5A7-2D17-4C9B-9165-9F4348986D35}"/>
    <cellStyle name="Normal 17 5 2 4 2" xfId="5212" xr:uid="{7AF3177C-1571-458A-A0A7-6554A57DBC43}"/>
    <cellStyle name="Normal 17 5 2 4 2 2" xfId="13592" xr:uid="{51957C1C-6F73-4D6A-94EB-8C9D3227FDA8}"/>
    <cellStyle name="Normal 17 5 2 4 2 2 2" xfId="30352" xr:uid="{9D7DEC35-B85F-4EC6-AD55-49B1F63858B1}"/>
    <cellStyle name="Normal 17 5 2 4 2 2 3" xfId="47111" xr:uid="{728CE455-BF58-4449-A157-063F0AF48850}"/>
    <cellStyle name="Normal 17 5 2 4 2 3" xfId="21972" xr:uid="{01B8676C-A243-4DC9-B90F-D5C71708C6C2}"/>
    <cellStyle name="Normal 17 5 2 4 2 4" xfId="38731" xr:uid="{4129AF9D-274A-4064-B376-52E839E5B05C}"/>
    <cellStyle name="Normal 17 5 2 4 3" xfId="6899" xr:uid="{AFD9CEE3-B3EE-48C6-8A90-99B96A59CA12}"/>
    <cellStyle name="Normal 17 5 2 4 3 2" xfId="15279" xr:uid="{A2EB951F-2D2D-4FE2-8ABB-2047F993F9C1}"/>
    <cellStyle name="Normal 17 5 2 4 3 2 2" xfId="32039" xr:uid="{F4EE994D-D5EE-49DD-9366-5501B74B8739}"/>
    <cellStyle name="Normal 17 5 2 4 3 2 3" xfId="48798" xr:uid="{A61CF0C4-E0BD-4B29-940A-D5500F7E0124}"/>
    <cellStyle name="Normal 17 5 2 4 3 3" xfId="23659" xr:uid="{E661BB90-9A5F-4431-82F8-72447FF8AFB9}"/>
    <cellStyle name="Normal 17 5 2 4 3 4" xfId="40418" xr:uid="{A61B1936-91FC-4E36-A029-65617CCACB45}"/>
    <cellStyle name="Normal 17 5 2 4 4" xfId="3523" xr:uid="{5B707940-AD38-4A16-AE86-684AD7B8C249}"/>
    <cellStyle name="Normal 17 5 2 4 4 2" xfId="11903" xr:uid="{C6AEBD18-0165-48C6-A87F-1CB791C2F812}"/>
    <cellStyle name="Normal 17 5 2 4 4 2 2" xfId="28663" xr:uid="{D9CBEBE0-F747-4E53-8E94-C00935A52F25}"/>
    <cellStyle name="Normal 17 5 2 4 4 2 3" xfId="45422" xr:uid="{409333D9-1104-46B7-BB5B-07F2B56F0498}"/>
    <cellStyle name="Normal 17 5 2 4 4 3" xfId="20283" xr:uid="{0A6D3274-702B-4750-A124-BF582B4EE61A}"/>
    <cellStyle name="Normal 17 5 2 4 4 4" xfId="37042" xr:uid="{869A8FB4-A991-4DFF-8950-400EB264C03D}"/>
    <cellStyle name="Normal 17 5 2 4 5" xfId="10212" xr:uid="{17AC7419-51E1-43AD-B614-760317D6D69D}"/>
    <cellStyle name="Normal 17 5 2 4 5 2" xfId="26972" xr:uid="{6339167C-785E-4EA8-A145-2D44F4A5FC1F}"/>
    <cellStyle name="Normal 17 5 2 4 5 3" xfId="43731" xr:uid="{046ECD7B-3F92-4858-BBE4-8075B6E9BB4F}"/>
    <cellStyle name="Normal 17 5 2 4 6" xfId="18592" xr:uid="{2D3FC051-9F94-4224-A723-D24EDE6A1431}"/>
    <cellStyle name="Normal 17 5 2 4 7" xfId="35351" xr:uid="{795FA7E1-7BF7-4F65-9201-8304F0673280}"/>
    <cellStyle name="Normal 17 5 2 5" xfId="3942" xr:uid="{61C5F99F-98AF-4A6B-BD8E-DB638212D71B}"/>
    <cellStyle name="Normal 17 5 2 5 2" xfId="12322" xr:uid="{225E0362-268E-476D-8882-471BF50BAD0E}"/>
    <cellStyle name="Normal 17 5 2 5 2 2" xfId="29082" xr:uid="{999F7C64-96A5-40A6-9746-77E0EA48B4A1}"/>
    <cellStyle name="Normal 17 5 2 5 2 3" xfId="45841" xr:uid="{73E3C676-7667-48F6-B4CC-5E6147726D4F}"/>
    <cellStyle name="Normal 17 5 2 5 3" xfId="20702" xr:uid="{7E762DE4-128E-4462-8760-26C78A1DA94B}"/>
    <cellStyle name="Normal 17 5 2 5 4" xfId="37461" xr:uid="{ED638E4A-C1D6-4D52-BE49-5CE773397CBB}"/>
    <cellStyle name="Normal 17 5 2 6" xfId="5690" xr:uid="{19BB463D-8336-4702-81F3-73F9E02A765F}"/>
    <cellStyle name="Normal 17 5 2 6 2" xfId="14070" xr:uid="{CABFAC7D-1B0E-4929-BA4F-C0192335AA90}"/>
    <cellStyle name="Normal 17 5 2 6 2 2" xfId="30830" xr:uid="{F037290E-9D11-4838-9AE4-30D5651D2755}"/>
    <cellStyle name="Normal 17 5 2 6 2 3" xfId="47589" xr:uid="{2914A308-E716-495B-AD78-0FCD53455FD4}"/>
    <cellStyle name="Normal 17 5 2 6 3" xfId="22450" xr:uid="{D6890D5F-88F1-4FE7-B14A-37CFEC3B53E5}"/>
    <cellStyle name="Normal 17 5 2 6 4" xfId="39209" xr:uid="{B8C05E03-B793-49A4-8197-44232D235206}"/>
    <cellStyle name="Normal 17 5 2 7" xfId="7305" xr:uid="{8EA06715-8F41-4C6E-8908-EE6DB912E60E}"/>
    <cellStyle name="Normal 17 5 2 7 2" xfId="15685" xr:uid="{2963FF10-4F60-4DE6-84FF-501DE3D4D256}"/>
    <cellStyle name="Normal 17 5 2 7 2 2" xfId="32445" xr:uid="{54DFF7B9-D591-438F-9BB9-D3255D56C9BE}"/>
    <cellStyle name="Normal 17 5 2 7 2 3" xfId="49204" xr:uid="{13319ADF-6FCC-4234-A757-1835D0FC5255}"/>
    <cellStyle name="Normal 17 5 2 7 3" xfId="24065" xr:uid="{A7528D66-6027-421A-A6DE-203CCCDF35CB}"/>
    <cellStyle name="Normal 17 5 2 7 4" xfId="40824" xr:uid="{0D8EBF0C-6633-4DBA-A9A2-F0DE6F802253}"/>
    <cellStyle name="Normal 17 5 2 8" xfId="7711" xr:uid="{8629102C-DE82-48F7-93A4-BE640FBA8069}"/>
    <cellStyle name="Normal 17 5 2 8 2" xfId="16091" xr:uid="{13C6E910-EBA9-4238-AFC0-5E1EE0D5BF1B}"/>
    <cellStyle name="Normal 17 5 2 8 2 2" xfId="32851" xr:uid="{5A55EFA4-C314-48FF-8EBA-37B522D066B5}"/>
    <cellStyle name="Normal 17 5 2 8 2 3" xfId="49610" xr:uid="{9BE29496-4575-4095-B540-7BE72D59194A}"/>
    <cellStyle name="Normal 17 5 2 8 3" xfId="24471" xr:uid="{8553A60E-35B5-41A6-ABB3-F0573FF40704}"/>
    <cellStyle name="Normal 17 5 2 8 4" xfId="41230" xr:uid="{CB408126-F1F6-4221-B492-87DE66BD390A}"/>
    <cellStyle name="Normal 17 5 2 9" xfId="8117" xr:uid="{C48766CA-C65F-41EE-A927-5C3A4B526C15}"/>
    <cellStyle name="Normal 17 5 2 9 2" xfId="16497" xr:uid="{60835AEB-8E2E-4FB4-88D8-74F1CF244D75}"/>
    <cellStyle name="Normal 17 5 2 9 2 2" xfId="33257" xr:uid="{6DCFD1CD-33E9-42CF-B966-D279567BDDD3}"/>
    <cellStyle name="Normal 17 5 2 9 2 3" xfId="50016" xr:uid="{0F190629-5CA6-4286-A727-F3F5FE593879}"/>
    <cellStyle name="Normal 17 5 2 9 3" xfId="24877" xr:uid="{A7CB97F6-30C4-47B6-9DB5-5AFFB3264F55}"/>
    <cellStyle name="Normal 17 5 2 9 4" xfId="41636" xr:uid="{6162A3F2-1B3F-4382-8932-6B9F176F3994}"/>
    <cellStyle name="Normal 17 5 3" xfId="593" xr:uid="{577D388E-5A3C-464D-896B-85D71953174B}"/>
    <cellStyle name="Normal 17 5 3 10" xfId="8723" xr:uid="{35FB2CF1-D031-4176-8E9E-1B951223148F}"/>
    <cellStyle name="Normal 17 5 3 10 2" xfId="17103" xr:uid="{5D32AD29-FD4B-48D7-B0A8-DC576919F2B7}"/>
    <cellStyle name="Normal 17 5 3 10 2 2" xfId="33863" xr:uid="{AC694ADA-9518-4838-8443-3BE0CA87AE0F}"/>
    <cellStyle name="Normal 17 5 3 10 2 3" xfId="50622" xr:uid="{129D51D8-1952-4303-BF18-6F9CADFAB171}"/>
    <cellStyle name="Normal 17 5 3 10 3" xfId="25483" xr:uid="{89011B72-94B9-4E01-8B0B-40296F0EA5A6}"/>
    <cellStyle name="Normal 17 5 3 10 4" xfId="42242" xr:uid="{84E2FE26-758E-4468-A45E-2FC830830A88}"/>
    <cellStyle name="Normal 17 5 3 11" xfId="2425" xr:uid="{EAB9EE1F-93A3-4F9D-9478-4AD71A9D29FD}"/>
    <cellStyle name="Normal 17 5 3 11 2" xfId="10807" xr:uid="{8869A3F2-6DF1-4A14-B613-16FC2EBA37ED}"/>
    <cellStyle name="Normal 17 5 3 11 2 2" xfId="27567" xr:uid="{092F96E5-DC99-4BF5-8BF8-84003C97E770}"/>
    <cellStyle name="Normal 17 5 3 11 2 3" xfId="44326" xr:uid="{4A3EEEB2-E653-497F-BA8B-E26FD7E95744}"/>
    <cellStyle name="Normal 17 5 3 11 3" xfId="19187" xr:uid="{A1075D56-5C42-45BC-9F79-C113FCDC7753}"/>
    <cellStyle name="Normal 17 5 3 11 4" xfId="35946" xr:uid="{A411B6F6-962F-45FA-95F8-029397347145}"/>
    <cellStyle name="Normal 17 5 3 12" xfId="9004" xr:uid="{F59B6484-FE8F-4CFC-808C-3BAB2D90F64A}"/>
    <cellStyle name="Normal 17 5 3 12 2" xfId="25764" xr:uid="{052123B2-0BC9-4051-AD21-966669075436}"/>
    <cellStyle name="Normal 17 5 3 12 3" xfId="42523" xr:uid="{19D1C71A-0478-4C61-BDB4-F3B5A2E9C1CC}"/>
    <cellStyle name="Normal 17 5 3 13" xfId="17384" xr:uid="{ADBA61C9-64DD-40A2-9F01-0BE9CD664697}"/>
    <cellStyle name="Normal 17 5 3 14" xfId="34143" xr:uid="{745DB504-743B-4AFE-AEE7-08FB111A6EA8}"/>
    <cellStyle name="Normal 17 5 3 2" xfId="1035" xr:uid="{33B4966C-485D-4D5A-90F2-5E9BF5775825}"/>
    <cellStyle name="Normal 17 5 3 2 2" xfId="4430" xr:uid="{67C0B638-1383-4E42-95F8-BB7AE869ACAB}"/>
    <cellStyle name="Normal 17 5 3 2 2 2" xfId="12810" xr:uid="{E3A13DA7-B4B3-40E6-A682-FFB02F7847E5}"/>
    <cellStyle name="Normal 17 5 3 2 2 2 2" xfId="29570" xr:uid="{55DE1672-E102-4A32-A7A9-12E0A21FE1CA}"/>
    <cellStyle name="Normal 17 5 3 2 2 2 3" xfId="46329" xr:uid="{1E43FC60-49D4-4096-AA16-1115296442E8}"/>
    <cellStyle name="Normal 17 5 3 2 2 3" xfId="21190" xr:uid="{50274261-75FF-41E1-8CC1-361576F7753E}"/>
    <cellStyle name="Normal 17 5 3 2 2 4" xfId="37949" xr:uid="{E86E2DCD-DABC-4A6D-97B0-7B33B99E7918}"/>
    <cellStyle name="Normal 17 5 3 2 3" xfId="6117" xr:uid="{548C36C4-9936-4CFF-A841-E7E075AB23D1}"/>
    <cellStyle name="Normal 17 5 3 2 3 2" xfId="14497" xr:uid="{717CBC84-223C-4BF6-ADA5-C9276260D63F}"/>
    <cellStyle name="Normal 17 5 3 2 3 2 2" xfId="31257" xr:uid="{3A82032D-9FF8-47AD-B3E3-90AACB115EB3}"/>
    <cellStyle name="Normal 17 5 3 2 3 2 3" xfId="48016" xr:uid="{840E7F2C-BF4D-4FF9-9504-28251888BAC3}"/>
    <cellStyle name="Normal 17 5 3 2 3 3" xfId="22877" xr:uid="{F64263A2-F45A-4058-A97D-9784A174598F}"/>
    <cellStyle name="Normal 17 5 3 2 3 4" xfId="39636" xr:uid="{202F6F4F-E16D-438E-B714-67EDAEF0AE49}"/>
    <cellStyle name="Normal 17 5 3 2 4" xfId="2853" xr:uid="{6E1B3500-9A95-44E0-914B-56FCFD08914C}"/>
    <cellStyle name="Normal 17 5 3 2 4 2" xfId="11233" xr:uid="{A06CB53D-5D7A-4C7A-8634-7E50B898B401}"/>
    <cellStyle name="Normal 17 5 3 2 4 2 2" xfId="27993" xr:uid="{6B4B1811-4753-4A5E-99CB-0F84D1090441}"/>
    <cellStyle name="Normal 17 5 3 2 4 2 3" xfId="44752" xr:uid="{D0F578F1-A87D-4CA9-9767-ED74BB60D54F}"/>
    <cellStyle name="Normal 17 5 3 2 4 3" xfId="19613" xr:uid="{69460C26-CC48-4B1C-8C17-1FDC570959AB}"/>
    <cellStyle name="Normal 17 5 3 2 4 4" xfId="36372" xr:uid="{4ABBC1DE-E583-4393-B7C7-CD04526F425B}"/>
    <cellStyle name="Normal 17 5 3 2 5" xfId="9430" xr:uid="{ABB0D26E-D1C0-4505-81C5-34CE043DA4FB}"/>
    <cellStyle name="Normal 17 5 3 2 5 2" xfId="26190" xr:uid="{35F50EDE-D8E0-4EE9-AE81-6D3DE3B89E9B}"/>
    <cellStyle name="Normal 17 5 3 2 5 3" xfId="42949" xr:uid="{927D52F0-36AB-495E-B740-2DACC99ADDF1}"/>
    <cellStyle name="Normal 17 5 3 2 6" xfId="17810" xr:uid="{D420B7BD-91BA-4600-8922-81489FEBAF7B}"/>
    <cellStyle name="Normal 17 5 3 2 7" xfId="34569" xr:uid="{3557F9B9-8E59-4F93-9B82-8E1DC58D153D}"/>
    <cellStyle name="Normal 17 5 3 3" xfId="1469" xr:uid="{FBA8A0C2-14C8-401D-BE77-E96440318C8F}"/>
    <cellStyle name="Normal 17 5 3 3 2" xfId="4858" xr:uid="{947F1DE4-4E09-42DF-96D0-6151653FA5B3}"/>
    <cellStyle name="Normal 17 5 3 3 2 2" xfId="13238" xr:uid="{F3601FAE-5C99-446A-89EF-D1DC7AE8D77B}"/>
    <cellStyle name="Normal 17 5 3 3 2 2 2" xfId="29998" xr:uid="{D085B787-E577-4866-A7B3-7C6B5BEC9427}"/>
    <cellStyle name="Normal 17 5 3 3 2 2 3" xfId="46757" xr:uid="{935DE260-39C3-4544-90BB-889B2FA38CF3}"/>
    <cellStyle name="Normal 17 5 3 3 2 3" xfId="21618" xr:uid="{774F4E3C-C99D-43A4-8D33-000C4ADA79F6}"/>
    <cellStyle name="Normal 17 5 3 3 2 4" xfId="38377" xr:uid="{2BFEF3C8-9550-44FF-90DF-16FB046EEF58}"/>
    <cellStyle name="Normal 17 5 3 3 3" xfId="6545" xr:uid="{DB731F5C-62A9-4A7D-AC0F-E779DBA9155C}"/>
    <cellStyle name="Normal 17 5 3 3 3 2" xfId="14925" xr:uid="{B1B4C14F-A279-4167-A433-AC97ED500411}"/>
    <cellStyle name="Normal 17 5 3 3 3 2 2" xfId="31685" xr:uid="{7C12F3D2-B7F8-4356-84A9-8D7165C9905C}"/>
    <cellStyle name="Normal 17 5 3 3 3 2 3" xfId="48444" xr:uid="{D3F51C42-9707-4560-B97D-7892C3B458F8}"/>
    <cellStyle name="Normal 17 5 3 3 3 3" xfId="23305" xr:uid="{66AF9523-8A32-497A-BEF2-A93867A8A693}"/>
    <cellStyle name="Normal 17 5 3 3 3 4" xfId="40064" xr:uid="{5D20FAE5-AE17-4D3A-BD3E-F6126681A4AE}"/>
    <cellStyle name="Normal 17 5 3 3 4" xfId="3281" xr:uid="{BECB169B-0F6E-49C8-9B97-CDBC8E6F003B}"/>
    <cellStyle name="Normal 17 5 3 3 4 2" xfId="11661" xr:uid="{3BE56CA4-EE01-49AE-9859-B4E0687154FA}"/>
    <cellStyle name="Normal 17 5 3 3 4 2 2" xfId="28421" xr:uid="{62CB9733-5D64-4DF7-AA92-A96B399FA848}"/>
    <cellStyle name="Normal 17 5 3 3 4 2 3" xfId="45180" xr:uid="{B39D5548-0D60-4A7E-B5D0-DB9213BCBB56}"/>
    <cellStyle name="Normal 17 5 3 3 4 3" xfId="20041" xr:uid="{A5A3DDC0-F368-43B7-A39C-8A70D9C9CC62}"/>
    <cellStyle name="Normal 17 5 3 3 4 4" xfId="36800" xr:uid="{8587B282-A7F9-466F-AFF3-731538B79E09}"/>
    <cellStyle name="Normal 17 5 3 3 5" xfId="9858" xr:uid="{6A2A7F2B-D736-4318-A479-951775554F24}"/>
    <cellStyle name="Normal 17 5 3 3 5 2" xfId="26618" xr:uid="{38DFF3AC-6A94-4562-9507-6B4C6C165ABA}"/>
    <cellStyle name="Normal 17 5 3 3 5 3" xfId="43377" xr:uid="{0D49B7DE-6BAA-49AD-96E0-B40A6E2E6045}"/>
    <cellStyle name="Normal 17 5 3 3 6" xfId="18238" xr:uid="{8F91A104-6A66-40D6-829F-013E9B81C586}"/>
    <cellStyle name="Normal 17 5 3 3 7" xfId="34997" xr:uid="{5833956A-8AD7-4BAC-A233-A6076A2547DB}"/>
    <cellStyle name="Normal 17 5 3 4" xfId="2023" xr:uid="{1D2B44C9-35CB-4638-9DC2-21F9A02297BA}"/>
    <cellStyle name="Normal 17 5 3 4 2" xfId="5412" xr:uid="{4B599D37-4F53-43FF-AF89-E8EB3DE62EA8}"/>
    <cellStyle name="Normal 17 5 3 4 2 2" xfId="13792" xr:uid="{2A93F5FA-962E-429D-9220-B3F39F50CF7F}"/>
    <cellStyle name="Normal 17 5 3 4 2 2 2" xfId="30552" xr:uid="{6032E7D3-8D8B-4CC0-A1A6-78E661E85D44}"/>
    <cellStyle name="Normal 17 5 3 4 2 2 3" xfId="47311" xr:uid="{F315AC9A-C50C-4749-B3C4-DE02AFC931EF}"/>
    <cellStyle name="Normal 17 5 3 4 2 3" xfId="22172" xr:uid="{40094280-1DDB-40B0-81FB-E54BE88C1A29}"/>
    <cellStyle name="Normal 17 5 3 4 2 4" xfId="38931" xr:uid="{6AE57563-8CFA-4C7E-8C35-FFF413ADCEF7}"/>
    <cellStyle name="Normal 17 5 3 4 3" xfId="7099" xr:uid="{F67517FF-15B4-40F3-84DB-F8E016411FEB}"/>
    <cellStyle name="Normal 17 5 3 4 3 2" xfId="15479" xr:uid="{E6A5DB2A-A3E0-4610-AB79-334FEE44E5D2}"/>
    <cellStyle name="Normal 17 5 3 4 3 2 2" xfId="32239" xr:uid="{5EF0F9AF-5186-4904-A90F-7C48941425F6}"/>
    <cellStyle name="Normal 17 5 3 4 3 2 3" xfId="48998" xr:uid="{A379D4EB-7D37-4E14-9FAE-16C6EFC0E979}"/>
    <cellStyle name="Normal 17 5 3 4 3 3" xfId="23859" xr:uid="{748CCCF2-E5F9-461C-BAF5-EA36112FB70B}"/>
    <cellStyle name="Normal 17 5 3 4 3 4" xfId="40618" xr:uid="{ABCD99B4-38D2-446E-A516-582933FCFF39}"/>
    <cellStyle name="Normal 17 5 3 4 4" xfId="3722" xr:uid="{0E6D5792-4E18-44E0-ABC6-E5C5C81A7734}"/>
    <cellStyle name="Normal 17 5 3 4 4 2" xfId="12102" xr:uid="{318C10D6-B88F-4BB3-BFE3-79FA26987C5B}"/>
    <cellStyle name="Normal 17 5 3 4 4 2 2" xfId="28862" xr:uid="{2A9C7E70-E5F9-4131-AB80-6021A3C779C5}"/>
    <cellStyle name="Normal 17 5 3 4 4 2 3" xfId="45621" xr:uid="{53B6FBAA-BB5A-46CF-983B-8AD7897FCD7D}"/>
    <cellStyle name="Normal 17 5 3 4 4 3" xfId="20482" xr:uid="{92320B10-53DE-4501-8A39-D05FE6495C0F}"/>
    <cellStyle name="Normal 17 5 3 4 4 4" xfId="37241" xr:uid="{FBD0C7EC-FB72-45DE-8945-54DC46D9F0F1}"/>
    <cellStyle name="Normal 17 5 3 4 5" xfId="10412" xr:uid="{FB890737-3382-4F1F-B805-65BD0AF74BEB}"/>
    <cellStyle name="Normal 17 5 3 4 5 2" xfId="27172" xr:uid="{14ADEEB9-61B0-4D88-9A21-70EC08A30164}"/>
    <cellStyle name="Normal 17 5 3 4 5 3" xfId="43931" xr:uid="{358970C8-4383-448C-B9B1-F0BCA9C119F6}"/>
    <cellStyle name="Normal 17 5 3 4 6" xfId="18792" xr:uid="{9C64F2D6-7F1D-41B6-B4E4-3A82B814C70A}"/>
    <cellStyle name="Normal 17 5 3 4 7" xfId="35551" xr:uid="{E2110BC0-6F52-4C2E-81A3-DB6FDE052A46}"/>
    <cellStyle name="Normal 17 5 3 5" xfId="4142" xr:uid="{F1816A48-211B-418B-8076-7D6129769148}"/>
    <cellStyle name="Normal 17 5 3 5 2" xfId="12522" xr:uid="{F735EA43-4CB7-460B-810E-294CC8B52F87}"/>
    <cellStyle name="Normal 17 5 3 5 2 2" xfId="29282" xr:uid="{65CDD68A-C7A2-4061-911F-61654BB85866}"/>
    <cellStyle name="Normal 17 5 3 5 2 3" xfId="46041" xr:uid="{2E045E91-8D3B-4DFC-8DB3-FED1871EEB5D}"/>
    <cellStyle name="Normal 17 5 3 5 3" xfId="20902" xr:uid="{89596B31-09AC-418B-A8FE-9D1117072365}"/>
    <cellStyle name="Normal 17 5 3 5 4" xfId="37661" xr:uid="{63B00F27-595F-485C-A73F-396C994D0C30}"/>
    <cellStyle name="Normal 17 5 3 6" xfId="5691" xr:uid="{69FD5F81-5811-4B67-8FEF-18CC8467D0DA}"/>
    <cellStyle name="Normal 17 5 3 6 2" xfId="14071" xr:uid="{8E4BB322-DB03-45C9-BD1E-9403D11647A7}"/>
    <cellStyle name="Normal 17 5 3 6 2 2" xfId="30831" xr:uid="{570B785B-4F8E-4ADA-9913-BE382ABDDA7E}"/>
    <cellStyle name="Normal 17 5 3 6 2 3" xfId="47590" xr:uid="{E916B907-FFE4-49B8-B077-5F87F6B02AE8}"/>
    <cellStyle name="Normal 17 5 3 6 3" xfId="22451" xr:uid="{F3496531-B1F3-4FA6-8152-10C37F295AC7}"/>
    <cellStyle name="Normal 17 5 3 6 4" xfId="39210" xr:uid="{DA115E9E-A6FD-49FB-BEF4-85647B9C9F00}"/>
    <cellStyle name="Normal 17 5 3 7" xfId="7505" xr:uid="{79F9D265-502A-4D1D-A25A-FFC27E651B77}"/>
    <cellStyle name="Normal 17 5 3 7 2" xfId="15885" xr:uid="{A573087D-0FE4-451D-9D3C-3A038DDA4DA6}"/>
    <cellStyle name="Normal 17 5 3 7 2 2" xfId="32645" xr:uid="{3D01FDEE-0DC5-4089-91EF-F10B1E04CD0A}"/>
    <cellStyle name="Normal 17 5 3 7 2 3" xfId="49404" xr:uid="{8086275D-5C0B-47DD-98DB-563FBE007CE1}"/>
    <cellStyle name="Normal 17 5 3 7 3" xfId="24265" xr:uid="{FDE38E50-9216-4437-B9D3-A9A12A8881FC}"/>
    <cellStyle name="Normal 17 5 3 7 4" xfId="41024" xr:uid="{D0DF88FC-6F92-4D26-9BAA-ACB4C3682C00}"/>
    <cellStyle name="Normal 17 5 3 8" xfId="7911" xr:uid="{67DEE92A-52A3-4BFA-BFA4-C509FB513912}"/>
    <cellStyle name="Normal 17 5 3 8 2" xfId="16291" xr:uid="{D7CE358E-0DF7-4F0D-A5FC-0730E1EAEDEA}"/>
    <cellStyle name="Normal 17 5 3 8 2 2" xfId="33051" xr:uid="{BEEAEE94-3677-4F4C-8952-E9AEC22779CE}"/>
    <cellStyle name="Normal 17 5 3 8 2 3" xfId="49810" xr:uid="{EA2F5803-8884-4CF1-843D-39AA0AE6437E}"/>
    <cellStyle name="Normal 17 5 3 8 3" xfId="24671" xr:uid="{99023735-03C1-44AC-9F4C-DC602098BEAB}"/>
    <cellStyle name="Normal 17 5 3 8 4" xfId="41430" xr:uid="{C42FC162-DDFA-4629-A46C-9851FA59BB91}"/>
    <cellStyle name="Normal 17 5 3 9" xfId="8317" xr:uid="{7ABEF37D-980F-4A3A-A49F-0120E7DE5944}"/>
    <cellStyle name="Normal 17 5 3 9 2" xfId="16697" xr:uid="{BE0F47B9-FB76-49EF-93D4-BA626D0365A2}"/>
    <cellStyle name="Normal 17 5 3 9 2 2" xfId="33457" xr:uid="{4327806E-0FF8-4764-B7E0-753524718B4A}"/>
    <cellStyle name="Normal 17 5 3 9 2 3" xfId="50216" xr:uid="{9D65CA1B-C919-4EF6-AE7E-DCEC83905B4F}"/>
    <cellStyle name="Normal 17 5 3 9 3" xfId="25077" xr:uid="{2CEA4437-DE0A-40ED-87F8-3C8BFC606B26}"/>
    <cellStyle name="Normal 17 5 3 9 4" xfId="41836" xr:uid="{309663E1-4D9E-469E-AE0E-12CD098E9549}"/>
    <cellStyle name="Normal 17 5 4" xfId="1033" xr:uid="{B266BFC6-F02C-497F-910A-3981D6589CA5}"/>
    <cellStyle name="Normal 17 5 4 2" xfId="4428" xr:uid="{0B20B7DB-4A33-453A-9071-0AA4FF900F67}"/>
    <cellStyle name="Normal 17 5 4 2 2" xfId="12808" xr:uid="{F9C29F8E-E18D-4349-9FE1-C2DCB9228910}"/>
    <cellStyle name="Normal 17 5 4 2 2 2" xfId="29568" xr:uid="{25950602-0A39-4186-99BD-1273F3BDBEE1}"/>
    <cellStyle name="Normal 17 5 4 2 2 3" xfId="46327" xr:uid="{C913B1FB-FB48-42DB-8188-459E5B1BA6A1}"/>
    <cellStyle name="Normal 17 5 4 2 3" xfId="21188" xr:uid="{2876EF1F-9D9B-4F9A-9C8E-31C545034939}"/>
    <cellStyle name="Normal 17 5 4 2 4" xfId="37947" xr:uid="{46E557AB-DF41-4A00-876D-B8778C2E1251}"/>
    <cellStyle name="Normal 17 5 4 3" xfId="6115" xr:uid="{86F643D5-D8FE-498E-908D-44D5B9BC8B4F}"/>
    <cellStyle name="Normal 17 5 4 3 2" xfId="14495" xr:uid="{AB9EA08C-D92D-4A17-8AFF-B37F9DEFB21D}"/>
    <cellStyle name="Normal 17 5 4 3 2 2" xfId="31255" xr:uid="{4B51099A-5C1A-4CEA-ACF3-672FCF2AC27F}"/>
    <cellStyle name="Normal 17 5 4 3 2 3" xfId="48014" xr:uid="{55CD37A8-972F-44A8-8CF8-11CB48089B2C}"/>
    <cellStyle name="Normal 17 5 4 3 3" xfId="22875" xr:uid="{66D499B4-D72E-43EA-B5B3-7EFEBB8D2111}"/>
    <cellStyle name="Normal 17 5 4 3 4" xfId="39634" xr:uid="{09CD7AB3-DF55-4F68-895B-4A1AF3A82D3C}"/>
    <cellStyle name="Normal 17 5 4 4" xfId="2851" xr:uid="{6C05FFF7-DA6A-493D-BA77-5D422CD60637}"/>
    <cellStyle name="Normal 17 5 4 4 2" xfId="11231" xr:uid="{4E9F8CF6-CE3B-4F10-8BC9-8787F921351E}"/>
    <cellStyle name="Normal 17 5 4 4 2 2" xfId="27991" xr:uid="{43E9A4EF-BFA1-4976-99D3-A3D4A821C15F}"/>
    <cellStyle name="Normal 17 5 4 4 2 3" xfId="44750" xr:uid="{7CE247E7-9784-44FF-B420-C864197C09AA}"/>
    <cellStyle name="Normal 17 5 4 4 3" xfId="19611" xr:uid="{A93F34EF-02CC-418B-B083-7FA2525CBCB9}"/>
    <cellStyle name="Normal 17 5 4 4 4" xfId="36370" xr:uid="{7E27C3B4-DA9F-4ACB-BC52-7536510DB861}"/>
    <cellStyle name="Normal 17 5 4 5" xfId="9428" xr:uid="{6EB21DEA-E84C-4B14-9B88-F289D9E944E6}"/>
    <cellStyle name="Normal 17 5 4 5 2" xfId="26188" xr:uid="{2511EC01-0015-48B5-B0C5-2EAD83E10B84}"/>
    <cellStyle name="Normal 17 5 4 5 3" xfId="42947" xr:uid="{06CF51EA-B2FD-4A55-A681-4E49AD510158}"/>
    <cellStyle name="Normal 17 5 4 6" xfId="17808" xr:uid="{0EA35C00-609D-4450-88CE-9EFD2C22F6EB}"/>
    <cellStyle name="Normal 17 5 4 7" xfId="34567" xr:uid="{9C35055B-034C-46EE-AAAB-DF71EB79092B}"/>
    <cellStyle name="Normal 17 5 5" xfId="1467" xr:uid="{5A49282C-7908-4766-8115-03F2950E78FC}"/>
    <cellStyle name="Normal 17 5 5 2" xfId="4856" xr:uid="{EAEAEF1C-AD67-416A-94C2-1E9DB60E6F2C}"/>
    <cellStyle name="Normal 17 5 5 2 2" xfId="13236" xr:uid="{F09ED827-23AF-44EA-9A31-A8530CABA508}"/>
    <cellStyle name="Normal 17 5 5 2 2 2" xfId="29996" xr:uid="{DDA95C1D-F204-4B49-BC2E-45A451BFBF0E}"/>
    <cellStyle name="Normal 17 5 5 2 2 3" xfId="46755" xr:uid="{C6D9BD9E-E091-4239-8E4A-13D7A97A57D0}"/>
    <cellStyle name="Normal 17 5 5 2 3" xfId="21616" xr:uid="{722BD6A4-718A-44D6-8B5B-D933A6018CB6}"/>
    <cellStyle name="Normal 17 5 5 2 4" xfId="38375" xr:uid="{A506E3DC-5619-4CFA-AB0B-DDBA24FA4ED4}"/>
    <cellStyle name="Normal 17 5 5 3" xfId="6543" xr:uid="{88D51FF8-0ECD-42C1-8F19-EA385B5779C5}"/>
    <cellStyle name="Normal 17 5 5 3 2" xfId="14923" xr:uid="{C18C351D-B9CD-4C09-8627-EAF8ACDF8457}"/>
    <cellStyle name="Normal 17 5 5 3 2 2" xfId="31683" xr:uid="{7CA794C5-656F-4EB7-8CBB-DF776686D116}"/>
    <cellStyle name="Normal 17 5 5 3 2 3" xfId="48442" xr:uid="{EACB5716-96B0-4376-9625-2B239E094836}"/>
    <cellStyle name="Normal 17 5 5 3 3" xfId="23303" xr:uid="{EB75F71F-7729-461D-83D9-63E1A9403E29}"/>
    <cellStyle name="Normal 17 5 5 3 4" xfId="40062" xr:uid="{51ECA0FB-7334-46A1-BE8F-ADF62A9FAADC}"/>
    <cellStyle name="Normal 17 5 5 4" xfId="3279" xr:uid="{AD479CD5-58B2-4380-936E-A721B61BBB36}"/>
    <cellStyle name="Normal 17 5 5 4 2" xfId="11659" xr:uid="{F251AC6A-70AD-4D62-AAA1-78908C6E05AD}"/>
    <cellStyle name="Normal 17 5 5 4 2 2" xfId="28419" xr:uid="{CC99144B-21CB-4F50-8BAE-D6296EEF0D8F}"/>
    <cellStyle name="Normal 17 5 5 4 2 3" xfId="45178" xr:uid="{3837DDFF-F213-4BF1-99C5-443087652C04}"/>
    <cellStyle name="Normal 17 5 5 4 3" xfId="20039" xr:uid="{AC11100B-0F82-48AA-B503-E43ECD56C3C0}"/>
    <cellStyle name="Normal 17 5 5 4 4" xfId="36798" xr:uid="{7A946E53-8471-4221-8406-A225B2B1FD07}"/>
    <cellStyle name="Normal 17 5 5 5" xfId="9856" xr:uid="{91A685D1-C12E-4D1A-9B0B-DD5D2C5AD899}"/>
    <cellStyle name="Normal 17 5 5 5 2" xfId="26616" xr:uid="{A600431A-E21E-4F36-9D34-B29056E7B30D}"/>
    <cellStyle name="Normal 17 5 5 5 3" xfId="43375" xr:uid="{2EFCF086-EC5A-43FF-BC7F-DCF90577E363}"/>
    <cellStyle name="Normal 17 5 5 6" xfId="18236" xr:uid="{F55E9AA8-4BE5-4AA6-B386-8A6EB0C09D6D}"/>
    <cellStyle name="Normal 17 5 5 7" xfId="34995" xr:uid="{4C25B43C-EC5B-4C21-B1F5-7CAF7B20524B}"/>
    <cellStyle name="Normal 17 5 6" xfId="1752" xr:uid="{4B0D4DA1-CE26-472D-AA6B-64021E6AC8C2}"/>
    <cellStyle name="Normal 17 5 6 2" xfId="5141" xr:uid="{E073F1EE-B111-4756-8E0E-62B8CE2F0C46}"/>
    <cellStyle name="Normal 17 5 6 2 2" xfId="13521" xr:uid="{68EE4040-6E63-4A37-9E01-E7CC4F8CB104}"/>
    <cellStyle name="Normal 17 5 6 2 2 2" xfId="30281" xr:uid="{10F5B4DD-200B-4AE9-AB52-546C2BF0AD3C}"/>
    <cellStyle name="Normal 17 5 6 2 2 3" xfId="47040" xr:uid="{CD9B61CF-429B-4519-A8BC-B0A34A6F2DC8}"/>
    <cellStyle name="Normal 17 5 6 2 3" xfId="21901" xr:uid="{5BAFC5A1-6F10-4BEA-9A04-15F0064A06C2}"/>
    <cellStyle name="Normal 17 5 6 2 4" xfId="38660" xr:uid="{97ECE860-F9D3-4FC7-9134-C211CE9AB752}"/>
    <cellStyle name="Normal 17 5 6 3" xfId="6828" xr:uid="{4928BCB1-6FE1-4EE0-A0B7-562E0BD5A406}"/>
    <cellStyle name="Normal 17 5 6 3 2" xfId="15208" xr:uid="{42654779-9A7A-45DF-9FC5-9C8C70D4C3AE}"/>
    <cellStyle name="Normal 17 5 6 3 2 2" xfId="31968" xr:uid="{C7F249FA-D2BF-4C85-BF6A-4B6160FBE5B6}"/>
    <cellStyle name="Normal 17 5 6 3 2 3" xfId="48727" xr:uid="{E11F000D-00C5-4C4B-A9AD-9293BAAD887B}"/>
    <cellStyle name="Normal 17 5 6 3 3" xfId="23588" xr:uid="{CD0F6AD6-21FC-427C-AA6D-1E91D02140EE}"/>
    <cellStyle name="Normal 17 5 6 3 4" xfId="40347" xr:uid="{9B36636C-21B3-46C1-B95C-F3D59F30928F}"/>
    <cellStyle name="Normal 17 5 6 4" xfId="2423" xr:uid="{80596314-606F-424F-8889-57022AE41130}"/>
    <cellStyle name="Normal 17 5 6 4 2" xfId="10805" xr:uid="{36ACCEA9-6459-47CC-96DE-9C6C14D65F45}"/>
    <cellStyle name="Normal 17 5 6 4 2 2" xfId="27565" xr:uid="{EA4AEB8C-4FB9-4AB1-8F3B-486176625100}"/>
    <cellStyle name="Normal 17 5 6 4 2 3" xfId="44324" xr:uid="{AB45CA64-E174-46D4-B9C0-EEFCE22E383E}"/>
    <cellStyle name="Normal 17 5 6 4 3" xfId="19185" xr:uid="{BC9F6622-1E62-4BFA-8E15-107C3333E246}"/>
    <cellStyle name="Normal 17 5 6 4 4" xfId="35944" xr:uid="{9732CF03-40B9-4A78-B610-9A4F7112953C}"/>
    <cellStyle name="Normal 17 5 6 5" xfId="10141" xr:uid="{373C18B9-927C-4C62-A0E2-051E3A8C9E74}"/>
    <cellStyle name="Normal 17 5 6 5 2" xfId="26901" xr:uid="{9E888FC8-B5D4-4193-9629-1657A38542C7}"/>
    <cellStyle name="Normal 17 5 6 5 3" xfId="43660" xr:uid="{87D70F26-D68F-4417-8C1C-04D822B20E9C}"/>
    <cellStyle name="Normal 17 5 6 6" xfId="18521" xr:uid="{45241B10-0717-46D6-B16F-2BE41A63DC5A}"/>
    <cellStyle name="Normal 17 5 6 7" xfId="35280" xr:uid="{0B3BC9B5-DCE5-48F6-AC47-BA9320461EFB}"/>
    <cellStyle name="Normal 17 5 7" xfId="3871" xr:uid="{9DB1282F-0E1E-438F-8B1F-03ABEBF2522D}"/>
    <cellStyle name="Normal 17 5 7 2" xfId="12251" xr:uid="{BB32C01E-D5F8-4D46-A8CD-FD782AB73ECC}"/>
    <cellStyle name="Normal 17 5 7 2 2" xfId="29011" xr:uid="{D69EF59B-2608-4718-8CFC-9C926D363073}"/>
    <cellStyle name="Normal 17 5 7 2 3" xfId="45770" xr:uid="{5B77EA6F-8CA8-4497-B3A7-41DB00180FBA}"/>
    <cellStyle name="Normal 17 5 7 3" xfId="20631" xr:uid="{F930F760-83AF-4812-B8D7-8951CEF4C4A2}"/>
    <cellStyle name="Normal 17 5 7 4" xfId="37390" xr:uid="{DB90D894-B02C-4FDB-9211-5EBBE3162CF0}"/>
    <cellStyle name="Normal 17 5 8" xfId="5689" xr:uid="{6D6B16D3-CDEC-4B0C-BEBE-9F3229B4294F}"/>
    <cellStyle name="Normal 17 5 8 2" xfId="14069" xr:uid="{90893C70-C2FB-4355-8191-0FBF65845A68}"/>
    <cellStyle name="Normal 17 5 8 2 2" xfId="30829" xr:uid="{5B286DA4-403B-4ACE-9E2A-D066A2EF3991}"/>
    <cellStyle name="Normal 17 5 8 2 3" xfId="47588" xr:uid="{4B139017-1CD4-4010-B751-65932D50D17F}"/>
    <cellStyle name="Normal 17 5 8 3" xfId="22449" xr:uid="{F02AECF9-6D4C-44E6-BFEE-FF9C9EB50C4F}"/>
    <cellStyle name="Normal 17 5 8 4" xfId="39208" xr:uid="{B987FC03-4A46-4625-8264-F36F3301BEDD}"/>
    <cellStyle name="Normal 17 5 9" xfId="7234" xr:uid="{CE0D21DA-9F06-4868-B864-AEA8D2527DDA}"/>
    <cellStyle name="Normal 17 5 9 2" xfId="15614" xr:uid="{587DADB9-9CD4-4615-8189-0196275B70F3}"/>
    <cellStyle name="Normal 17 5 9 2 2" xfId="32374" xr:uid="{71A7928C-EAFB-415D-9A75-662E167AA40F}"/>
    <cellStyle name="Normal 17 5 9 2 3" xfId="49133" xr:uid="{5D88E2C4-34CE-4150-92CB-03E2179F108A}"/>
    <cellStyle name="Normal 17 5 9 3" xfId="23994" xr:uid="{CC6218F7-0E12-458C-AAF6-C879CB2DD1C7}"/>
    <cellStyle name="Normal 17 5 9 4" xfId="40753" xr:uid="{76C713FB-0E9E-4890-AA3E-D0E991DAA420}"/>
    <cellStyle name="Normal 17 6" xfId="594" xr:uid="{549CE5A3-280D-49CD-B193-18F5CA264B7F}"/>
    <cellStyle name="Normal 17 6 10" xfId="8519" xr:uid="{03ECD33C-1B72-408D-A6AE-1632D75C70BC}"/>
    <cellStyle name="Normal 17 6 10 2" xfId="16899" xr:uid="{84446B77-B32A-4DEF-8141-ADFE8FE1A3DA}"/>
    <cellStyle name="Normal 17 6 10 2 2" xfId="33659" xr:uid="{E44A127F-C55D-408E-B4CC-44D1A7ECDBF2}"/>
    <cellStyle name="Normal 17 6 10 2 3" xfId="50418" xr:uid="{44F34785-7EA6-4F83-95CD-5E1E93FB40B4}"/>
    <cellStyle name="Normal 17 6 10 3" xfId="25279" xr:uid="{9EFFF1A2-6278-45F5-A245-9A731ECF628B}"/>
    <cellStyle name="Normal 17 6 10 4" xfId="42038" xr:uid="{52905D58-66A4-4C4D-8AB7-A804D6B1041B}"/>
    <cellStyle name="Normal 17 6 11" xfId="2426" xr:uid="{F3EC2AD8-D5DB-46AA-94C1-578B51CEBD57}"/>
    <cellStyle name="Normal 17 6 11 2" xfId="10808" xr:uid="{F1753B9A-6BEF-4815-BC2A-7143E38CC0DF}"/>
    <cellStyle name="Normal 17 6 11 2 2" xfId="27568" xr:uid="{E94C05FB-F9E9-461E-AD94-7924887E08F6}"/>
    <cellStyle name="Normal 17 6 11 2 3" xfId="44327" xr:uid="{CA09555E-9702-4970-9F31-4B5505C1B671}"/>
    <cellStyle name="Normal 17 6 11 3" xfId="19188" xr:uid="{0F7A57A6-8DBF-4CCC-B4F0-EBC20F64EBD7}"/>
    <cellStyle name="Normal 17 6 11 4" xfId="35947" xr:uid="{35FECF63-0622-44C1-9435-BB8184EE0FA9}"/>
    <cellStyle name="Normal 17 6 12" xfId="9005" xr:uid="{90A3466C-50CE-44FC-8D4C-ABCFABE95DFF}"/>
    <cellStyle name="Normal 17 6 12 2" xfId="25765" xr:uid="{CDD8B4D3-E435-478C-B32C-92CBD08494D6}"/>
    <cellStyle name="Normal 17 6 12 3" xfId="42524" xr:uid="{78AF0E93-FE45-4B93-94AE-6EAA54645BA5}"/>
    <cellStyle name="Normal 17 6 13" xfId="17385" xr:uid="{CC80C0AA-F561-48D6-8E15-EE6637C0B53F}"/>
    <cellStyle name="Normal 17 6 14" xfId="34144" xr:uid="{A74C3D48-2715-4A2A-AB9E-92F662240EE6}"/>
    <cellStyle name="Normal 17 6 2" xfId="1036" xr:uid="{375A193B-28C9-478B-A217-3451D4F5CAEF}"/>
    <cellStyle name="Normal 17 6 2 2" xfId="4431" xr:uid="{CB2C2AFE-3768-4509-BFFF-AC2732122509}"/>
    <cellStyle name="Normal 17 6 2 2 2" xfId="12811" xr:uid="{2A4E65E3-F96F-480E-9DEB-83CD7B58C8F6}"/>
    <cellStyle name="Normal 17 6 2 2 2 2" xfId="29571" xr:uid="{1E764AB7-EF82-4E86-9E20-6E90CBB55BB9}"/>
    <cellStyle name="Normal 17 6 2 2 2 3" xfId="46330" xr:uid="{7CBC96BF-1D52-4C7A-BD95-DD60B9CEC4FA}"/>
    <cellStyle name="Normal 17 6 2 2 3" xfId="21191" xr:uid="{4B62F973-FB2F-4A48-9CE2-C12025311D23}"/>
    <cellStyle name="Normal 17 6 2 2 4" xfId="37950" xr:uid="{4638E18B-1477-4DAD-9090-D08030B8010D}"/>
    <cellStyle name="Normal 17 6 2 3" xfId="6118" xr:uid="{256B8342-27AD-42D2-AAD7-9131F6C0E360}"/>
    <cellStyle name="Normal 17 6 2 3 2" xfId="14498" xr:uid="{B9C1F576-296A-4A4F-9CD3-F83E376580F9}"/>
    <cellStyle name="Normal 17 6 2 3 2 2" xfId="31258" xr:uid="{1C93FBFA-BDFB-4AA2-885F-6DE85191C805}"/>
    <cellStyle name="Normal 17 6 2 3 2 3" xfId="48017" xr:uid="{F83B1793-413E-4BBF-B0F5-A198C5156778}"/>
    <cellStyle name="Normal 17 6 2 3 3" xfId="22878" xr:uid="{5378A56E-7D6E-400E-93B8-80800BD1FC70}"/>
    <cellStyle name="Normal 17 6 2 3 4" xfId="39637" xr:uid="{D66F58CD-DF92-4F08-BE66-36B207C4619E}"/>
    <cellStyle name="Normal 17 6 2 4" xfId="2854" xr:uid="{E698E6E7-070E-4B0C-BAC7-DC94FBB036BE}"/>
    <cellStyle name="Normal 17 6 2 4 2" xfId="11234" xr:uid="{520CF13B-BBAF-44D0-9732-912B2AB26CBC}"/>
    <cellStyle name="Normal 17 6 2 4 2 2" xfId="27994" xr:uid="{21694FE1-4EFD-4944-B87D-5EB77E2A2F83}"/>
    <cellStyle name="Normal 17 6 2 4 2 3" xfId="44753" xr:uid="{54499FF1-0D86-4A28-ACCD-596EFC597C98}"/>
    <cellStyle name="Normal 17 6 2 4 3" xfId="19614" xr:uid="{756ACC42-9842-4C0F-A9E4-95F40CB53CF8}"/>
    <cellStyle name="Normal 17 6 2 4 4" xfId="36373" xr:uid="{1E452860-70B1-4536-8C64-F96E93AF7F47}"/>
    <cellStyle name="Normal 17 6 2 5" xfId="9431" xr:uid="{7CFECCDE-F22C-41E4-BF21-79A2FDC595F5}"/>
    <cellStyle name="Normal 17 6 2 5 2" xfId="26191" xr:uid="{C13F3098-46CE-42A4-914B-55DC1FB30F55}"/>
    <cellStyle name="Normal 17 6 2 5 3" xfId="42950" xr:uid="{FB6B82A3-8B36-4633-938B-CE780359F14E}"/>
    <cellStyle name="Normal 17 6 2 6" xfId="17811" xr:uid="{2EB4FAF7-0994-4E3B-91F0-AC842C249CCA}"/>
    <cellStyle name="Normal 17 6 2 7" xfId="34570" xr:uid="{BB18F563-5404-42B8-9DF9-822241EAF396}"/>
    <cellStyle name="Normal 17 6 3" xfId="1470" xr:uid="{CD26E2E6-439E-4659-BB7B-13C0183B520E}"/>
    <cellStyle name="Normal 17 6 3 2" xfId="4859" xr:uid="{2FD135FA-5E07-4B04-A113-A11E09DFD9C8}"/>
    <cellStyle name="Normal 17 6 3 2 2" xfId="13239" xr:uid="{976D4BA2-2DAE-48DB-B2F1-4003611292B7}"/>
    <cellStyle name="Normal 17 6 3 2 2 2" xfId="29999" xr:uid="{16C7EB3E-6F3A-40F3-BC81-7747B1FD5EF5}"/>
    <cellStyle name="Normal 17 6 3 2 2 3" xfId="46758" xr:uid="{6420D4EF-BE3C-4A8E-B576-7BB224F4B75D}"/>
    <cellStyle name="Normal 17 6 3 2 3" xfId="21619" xr:uid="{554C6EE1-3F19-42B1-A42C-B968EEAE26D0}"/>
    <cellStyle name="Normal 17 6 3 2 4" xfId="38378" xr:uid="{5C5DFACE-29C5-4639-824F-65B8149B8846}"/>
    <cellStyle name="Normal 17 6 3 3" xfId="6546" xr:uid="{11A9EAFA-79E2-4CD0-BF98-C6F29FB757C4}"/>
    <cellStyle name="Normal 17 6 3 3 2" xfId="14926" xr:uid="{A622767E-356F-42AC-B7CA-9A35D9E17625}"/>
    <cellStyle name="Normal 17 6 3 3 2 2" xfId="31686" xr:uid="{C3159B31-47EC-499F-A1A2-EA1D7BB85122}"/>
    <cellStyle name="Normal 17 6 3 3 2 3" xfId="48445" xr:uid="{7FF95BB6-EBEC-4A41-8CA1-79A6C17620F2}"/>
    <cellStyle name="Normal 17 6 3 3 3" xfId="23306" xr:uid="{B55FF9B6-D3EA-41DC-A931-8C47427BE5F8}"/>
    <cellStyle name="Normal 17 6 3 3 4" xfId="40065" xr:uid="{0B936F0E-E81C-411A-8A17-4BF138F79E72}"/>
    <cellStyle name="Normal 17 6 3 4" xfId="3282" xr:uid="{0C09568E-B9B2-4058-9F3B-F92ED4D5AB59}"/>
    <cellStyle name="Normal 17 6 3 4 2" xfId="11662" xr:uid="{4EB56F11-5D99-44CF-AAF6-AF537C5D5A9D}"/>
    <cellStyle name="Normal 17 6 3 4 2 2" xfId="28422" xr:uid="{D593235B-C041-4485-A3D3-B7B22F28DD7D}"/>
    <cellStyle name="Normal 17 6 3 4 2 3" xfId="45181" xr:uid="{B4E2470C-B783-4351-AEE0-3D3659734E19}"/>
    <cellStyle name="Normal 17 6 3 4 3" xfId="20042" xr:uid="{E4298B40-5257-40B1-8BFA-873649068B40}"/>
    <cellStyle name="Normal 17 6 3 4 4" xfId="36801" xr:uid="{FAE087E5-3647-4D13-B932-810C4BF56923}"/>
    <cellStyle name="Normal 17 6 3 5" xfId="9859" xr:uid="{1CE7A6C4-4E68-45D8-84C9-3598A6345D84}"/>
    <cellStyle name="Normal 17 6 3 5 2" xfId="26619" xr:uid="{B744A323-E7E0-44A6-9A5E-661811060CA6}"/>
    <cellStyle name="Normal 17 6 3 5 3" xfId="43378" xr:uid="{988A469B-3750-424A-9DE8-18171BE3C8D8}"/>
    <cellStyle name="Normal 17 6 3 6" xfId="18239" xr:uid="{A3334C14-E764-460A-B7B9-0D06D9415257}"/>
    <cellStyle name="Normal 17 6 3 7" xfId="34998" xr:uid="{91B4223C-DEDF-413E-9255-8EF788B3BB4C}"/>
    <cellStyle name="Normal 17 6 4" xfId="1819" xr:uid="{952A911A-D6AA-4BB5-947C-76AF451015A2}"/>
    <cellStyle name="Normal 17 6 4 2" xfId="5208" xr:uid="{231487F7-2863-45CF-BD17-66D866A91A42}"/>
    <cellStyle name="Normal 17 6 4 2 2" xfId="13588" xr:uid="{FE9572BA-5739-4F2D-BFAD-567343C8F819}"/>
    <cellStyle name="Normal 17 6 4 2 2 2" xfId="30348" xr:uid="{D0656EC9-607E-45B6-9F48-0CEE3C01FF65}"/>
    <cellStyle name="Normal 17 6 4 2 2 3" xfId="47107" xr:uid="{7A18E82F-C453-4F32-961E-051A45D401E4}"/>
    <cellStyle name="Normal 17 6 4 2 3" xfId="21968" xr:uid="{8928F061-8857-4A33-83E4-84B55E4ABF87}"/>
    <cellStyle name="Normal 17 6 4 2 4" xfId="38727" xr:uid="{356935B0-755F-4E79-8BC7-E117B9F5FE77}"/>
    <cellStyle name="Normal 17 6 4 3" xfId="6895" xr:uid="{988633CF-24D2-4FF6-945B-0FA9A209A9D7}"/>
    <cellStyle name="Normal 17 6 4 3 2" xfId="15275" xr:uid="{403B534E-42A5-418A-9D8D-E1F6AB0112D0}"/>
    <cellStyle name="Normal 17 6 4 3 2 2" xfId="32035" xr:uid="{FBCEA8AF-307D-49BC-9874-52C89D7D303B}"/>
    <cellStyle name="Normal 17 6 4 3 2 3" xfId="48794" xr:uid="{239017D1-8760-4E2D-8904-E7E721548EE9}"/>
    <cellStyle name="Normal 17 6 4 3 3" xfId="23655" xr:uid="{CDF60EA0-4CD5-4CC4-8EEE-45DEA0915F19}"/>
    <cellStyle name="Normal 17 6 4 3 4" xfId="40414" xr:uid="{9257AECA-AC42-4EB7-A4B6-50E9C69EF71A}"/>
    <cellStyle name="Normal 17 6 4 4" xfId="3519" xr:uid="{A01FDFE8-141F-4C0C-8B5A-6BDE4D7523B5}"/>
    <cellStyle name="Normal 17 6 4 4 2" xfId="11899" xr:uid="{ADA34DDD-98DA-4C70-90C6-1E7B6FB3FC46}"/>
    <cellStyle name="Normal 17 6 4 4 2 2" xfId="28659" xr:uid="{F6F46038-FBEA-4FE4-8F1F-3814CC08505A}"/>
    <cellStyle name="Normal 17 6 4 4 2 3" xfId="45418" xr:uid="{FA9CE6C9-7053-412E-A777-BD0E41CC5384}"/>
    <cellStyle name="Normal 17 6 4 4 3" xfId="20279" xr:uid="{720CA5C6-DA07-43AE-91C3-D36B8820B41E}"/>
    <cellStyle name="Normal 17 6 4 4 4" xfId="37038" xr:uid="{8EC34948-03CC-41AF-96D9-94411AC4963A}"/>
    <cellStyle name="Normal 17 6 4 5" xfId="10208" xr:uid="{CDD90DEB-B8E9-427B-97A0-290EE5B34466}"/>
    <cellStyle name="Normal 17 6 4 5 2" xfId="26968" xr:uid="{1AA6BA44-4932-4A84-B32B-05A9058CAE9F}"/>
    <cellStyle name="Normal 17 6 4 5 3" xfId="43727" xr:uid="{8862021F-3773-4403-A3AB-10CD756C9D4E}"/>
    <cellStyle name="Normal 17 6 4 6" xfId="18588" xr:uid="{F80CF258-206E-43CE-BAFB-DA884E4247DA}"/>
    <cellStyle name="Normal 17 6 4 7" xfId="35347" xr:uid="{6BD42E26-398F-454A-B182-AF99B6E2F6A6}"/>
    <cellStyle name="Normal 17 6 5" xfId="3938" xr:uid="{0F83EAE8-7FB9-4F4A-B979-A67358FD1D41}"/>
    <cellStyle name="Normal 17 6 5 2" xfId="12318" xr:uid="{6AAA0562-EDC9-46CD-9A16-F7D37B041DBC}"/>
    <cellStyle name="Normal 17 6 5 2 2" xfId="29078" xr:uid="{58C9CF4B-721C-40F3-89A7-593774B3BDCF}"/>
    <cellStyle name="Normal 17 6 5 2 3" xfId="45837" xr:uid="{23B4FA88-EA5F-4CEE-BD99-C43B98948706}"/>
    <cellStyle name="Normal 17 6 5 3" xfId="20698" xr:uid="{19C6FFAF-78C1-4EED-8ADE-4183E38C0CE3}"/>
    <cellStyle name="Normal 17 6 5 4" xfId="37457" xr:uid="{933B75C8-BF77-4FEE-93A0-BD21B4DCF6FE}"/>
    <cellStyle name="Normal 17 6 6" xfId="5692" xr:uid="{6DD7EE65-3462-4C1C-A2B1-59AC4925B5A9}"/>
    <cellStyle name="Normal 17 6 6 2" xfId="14072" xr:uid="{C560CAB8-0913-462B-B15A-D2CA856828CD}"/>
    <cellStyle name="Normal 17 6 6 2 2" xfId="30832" xr:uid="{1D9315C9-7B9D-457C-882C-86B72D8BFFEA}"/>
    <cellStyle name="Normal 17 6 6 2 3" xfId="47591" xr:uid="{E31F98E9-50E7-4FD6-B713-FCD8AF907F25}"/>
    <cellStyle name="Normal 17 6 6 3" xfId="22452" xr:uid="{9EAFC12B-5311-461A-A00F-95E8FCFF241E}"/>
    <cellStyle name="Normal 17 6 6 4" xfId="39211" xr:uid="{D3634C3D-3203-4921-9463-9FB40736C5A3}"/>
    <cellStyle name="Normal 17 6 7" xfId="7301" xr:uid="{C07F8844-7FB4-4074-B23F-2A0A80EEC56A}"/>
    <cellStyle name="Normal 17 6 7 2" xfId="15681" xr:uid="{A0D43E7D-4260-4A4C-BBDD-5A38987BD5EE}"/>
    <cellStyle name="Normal 17 6 7 2 2" xfId="32441" xr:uid="{E1B6ADA1-A350-4A72-ACB1-A67A6FB09BCD}"/>
    <cellStyle name="Normal 17 6 7 2 3" xfId="49200" xr:uid="{EAABDA95-18BB-41F5-90EE-85496E0E3E9D}"/>
    <cellStyle name="Normal 17 6 7 3" xfId="24061" xr:uid="{E4180896-23C2-48E9-82BD-2A8DFFE5430C}"/>
    <cellStyle name="Normal 17 6 7 4" xfId="40820" xr:uid="{458CB698-B00A-4B82-9915-DE5EA2E0300B}"/>
    <cellStyle name="Normal 17 6 8" xfId="7707" xr:uid="{83019F14-0B0D-4050-A287-3F995C14F2D3}"/>
    <cellStyle name="Normal 17 6 8 2" xfId="16087" xr:uid="{9FC968DB-C999-4273-9425-022DFF11A769}"/>
    <cellStyle name="Normal 17 6 8 2 2" xfId="32847" xr:uid="{E18C5A46-684B-4C3D-BC9C-7BFE94DD1E60}"/>
    <cellStyle name="Normal 17 6 8 2 3" xfId="49606" xr:uid="{DD0ABD3B-A930-44F5-B0BD-9B07529D92F0}"/>
    <cellStyle name="Normal 17 6 8 3" xfId="24467" xr:uid="{C4641D7B-CE79-4C55-A812-758928983521}"/>
    <cellStyle name="Normal 17 6 8 4" xfId="41226" xr:uid="{8B1522F3-7E30-4881-A5E6-892CFC791CD0}"/>
    <cellStyle name="Normal 17 6 9" xfId="8113" xr:uid="{D59480BF-549A-46D1-92DF-4F3716B7B3FA}"/>
    <cellStyle name="Normal 17 6 9 2" xfId="16493" xr:uid="{40C217BE-1FA6-4C2E-A17D-25658714116D}"/>
    <cellStyle name="Normal 17 6 9 2 2" xfId="33253" xr:uid="{B78FA8D1-9327-4624-83DD-96B9FA73500A}"/>
    <cellStyle name="Normal 17 6 9 2 3" xfId="50012" xr:uid="{36E7E3B5-D2DE-4DDD-9B60-1D23F76AE9EF}"/>
    <cellStyle name="Normal 17 6 9 3" xfId="24873" xr:uid="{C9D66B6C-714E-4092-8940-8DB7D4BE2730}"/>
    <cellStyle name="Normal 17 6 9 4" xfId="41632" xr:uid="{16A272D6-C0C0-46E7-B215-C0B952FE5BA7}"/>
    <cellStyle name="Normal 17 7" xfId="595" xr:uid="{8A071C39-221E-4769-BE1A-ED4E0B1AB880}"/>
    <cellStyle name="Normal 17 7 10" xfId="8608" xr:uid="{459E30BA-C247-491B-9BB9-B44F92C9FC71}"/>
    <cellStyle name="Normal 17 7 10 2" xfId="16988" xr:uid="{D5163089-27A6-4C94-9BD3-DDEE1539B9E7}"/>
    <cellStyle name="Normal 17 7 10 2 2" xfId="33748" xr:uid="{82F84E3D-FAEA-4275-B94D-F84A35291622}"/>
    <cellStyle name="Normal 17 7 10 2 3" xfId="50507" xr:uid="{7053A592-2317-45CB-BE3B-B048866F1F18}"/>
    <cellStyle name="Normal 17 7 10 3" xfId="25368" xr:uid="{3AA90EF5-4C1A-4D68-BCCA-CEA8195B56FA}"/>
    <cellStyle name="Normal 17 7 10 4" xfId="42127" xr:uid="{8555FD65-F4BB-4061-998C-B5A6CBEE3190}"/>
    <cellStyle name="Normal 17 7 11" xfId="2427" xr:uid="{8F0484C0-5E67-4392-930A-A688904231B5}"/>
    <cellStyle name="Normal 17 7 11 2" xfId="10809" xr:uid="{FAE4F46A-111C-49A7-A13F-A4E6D04B66BC}"/>
    <cellStyle name="Normal 17 7 11 2 2" xfId="27569" xr:uid="{A99539F8-2D58-4E99-AD3A-18EFBA7F1E3F}"/>
    <cellStyle name="Normal 17 7 11 2 3" xfId="44328" xr:uid="{5DC8641B-5022-4780-8B03-D89B27BCE5EE}"/>
    <cellStyle name="Normal 17 7 11 3" xfId="19189" xr:uid="{706178AC-3B9B-4DE2-8A6C-2A2C0F057511}"/>
    <cellStyle name="Normal 17 7 11 4" xfId="35948" xr:uid="{FFBCD35E-2026-4B11-9461-2AD5E8D09388}"/>
    <cellStyle name="Normal 17 7 12" xfId="9006" xr:uid="{DD7F42BE-B111-4E18-B042-A856C6F535BC}"/>
    <cellStyle name="Normal 17 7 12 2" xfId="25766" xr:uid="{8FCAE1D1-B17A-4BF7-B079-6A59E7511F2C}"/>
    <cellStyle name="Normal 17 7 12 3" xfId="42525" xr:uid="{873A5747-359C-4514-84D2-DBAEE0E16767}"/>
    <cellStyle name="Normal 17 7 13" xfId="17386" xr:uid="{0D615D08-09D0-4F1B-AB54-44CD4D825CAF}"/>
    <cellStyle name="Normal 17 7 14" xfId="34145" xr:uid="{0EA0A563-F8FD-426B-9906-E4668420302E}"/>
    <cellStyle name="Normal 17 7 2" xfId="1037" xr:uid="{3B318E73-46E6-4E13-8880-19C854C5DB73}"/>
    <cellStyle name="Normal 17 7 2 2" xfId="4432" xr:uid="{45FC5D1E-FF2C-4501-9DBC-FD7F4C62F872}"/>
    <cellStyle name="Normal 17 7 2 2 2" xfId="12812" xr:uid="{C18BDC17-AE3D-4FA7-8A55-9AE061B64906}"/>
    <cellStyle name="Normal 17 7 2 2 2 2" xfId="29572" xr:uid="{49C71160-EC5E-40BF-8DAA-8AB63A63F0D0}"/>
    <cellStyle name="Normal 17 7 2 2 2 3" xfId="46331" xr:uid="{75C81ABE-B12B-413C-863C-E3E252AAAE50}"/>
    <cellStyle name="Normal 17 7 2 2 3" xfId="21192" xr:uid="{318F27E2-0B9A-469C-8328-7BC5D518A63C}"/>
    <cellStyle name="Normal 17 7 2 2 4" xfId="37951" xr:uid="{432DEF68-9785-414B-A357-D083127D66E6}"/>
    <cellStyle name="Normal 17 7 2 3" xfId="6119" xr:uid="{9252BFB5-823C-4F74-94ED-E3486CECAE78}"/>
    <cellStyle name="Normal 17 7 2 3 2" xfId="14499" xr:uid="{B307910B-A54F-4826-BCB4-31CD5E310194}"/>
    <cellStyle name="Normal 17 7 2 3 2 2" xfId="31259" xr:uid="{01A1BAF2-29D0-4CD6-AE63-0616B10C1548}"/>
    <cellStyle name="Normal 17 7 2 3 2 3" xfId="48018" xr:uid="{D8DDA905-04E8-496C-B893-8CA565BB0248}"/>
    <cellStyle name="Normal 17 7 2 3 3" xfId="22879" xr:uid="{49E0EA75-2BF0-4593-9CA6-A53766F2A65A}"/>
    <cellStyle name="Normal 17 7 2 3 4" xfId="39638" xr:uid="{25C4B403-6FF4-4394-8718-4D65C0CE00FE}"/>
    <cellStyle name="Normal 17 7 2 4" xfId="2855" xr:uid="{35C0FF1F-ED39-4A42-85A4-BD8FCC591675}"/>
    <cellStyle name="Normal 17 7 2 4 2" xfId="11235" xr:uid="{1E5C1F4B-7107-4F2F-B2FF-C412B4F7F845}"/>
    <cellStyle name="Normal 17 7 2 4 2 2" xfId="27995" xr:uid="{601981E8-391D-4F10-96B2-D88F03BCBB52}"/>
    <cellStyle name="Normal 17 7 2 4 2 3" xfId="44754" xr:uid="{CD0DC942-4FAB-4292-933B-D9536DD9B2CF}"/>
    <cellStyle name="Normal 17 7 2 4 3" xfId="19615" xr:uid="{AE0B67DD-55C3-40FA-B907-5A189411C8EC}"/>
    <cellStyle name="Normal 17 7 2 4 4" xfId="36374" xr:uid="{02C8EB44-3A3F-48DE-9971-A9E19B5B4B87}"/>
    <cellStyle name="Normal 17 7 2 5" xfId="9432" xr:uid="{7ABA70DC-AFD7-4E66-8575-2D2FC4F4B0F4}"/>
    <cellStyle name="Normal 17 7 2 5 2" xfId="26192" xr:uid="{77BB5110-2F22-4FCC-BF12-27526A1498E5}"/>
    <cellStyle name="Normal 17 7 2 5 3" xfId="42951" xr:uid="{4ECD73E3-7E17-4A9F-937B-0BBEA83FC66C}"/>
    <cellStyle name="Normal 17 7 2 6" xfId="17812" xr:uid="{7BB20194-2F3A-4916-A015-2B94B149B74C}"/>
    <cellStyle name="Normal 17 7 2 7" xfId="34571" xr:uid="{03940074-5089-4589-940B-05813AA5B570}"/>
    <cellStyle name="Normal 17 7 3" xfId="1471" xr:uid="{53775710-7AAF-44CF-9E59-7876CA7A78E0}"/>
    <cellStyle name="Normal 17 7 3 2" xfId="4860" xr:uid="{EA427CC0-6280-4F29-ADB6-2041491B0ECA}"/>
    <cellStyle name="Normal 17 7 3 2 2" xfId="13240" xr:uid="{40D63275-6DB3-4010-8BAD-3B5A3B4DBC78}"/>
    <cellStyle name="Normal 17 7 3 2 2 2" xfId="30000" xr:uid="{98CB7E3B-066C-4DB8-B368-547131FB0F39}"/>
    <cellStyle name="Normal 17 7 3 2 2 3" xfId="46759" xr:uid="{92BDA266-7719-4040-9114-32C398D77484}"/>
    <cellStyle name="Normal 17 7 3 2 3" xfId="21620" xr:uid="{D6D0F34E-4772-45B2-B469-F00345063890}"/>
    <cellStyle name="Normal 17 7 3 2 4" xfId="38379" xr:uid="{8F0BEFCC-EE29-45DE-A5DC-0A8297FF4DDC}"/>
    <cellStyle name="Normal 17 7 3 3" xfId="6547" xr:uid="{E7BBC855-9179-406C-ADC0-B6B4BA078A6C}"/>
    <cellStyle name="Normal 17 7 3 3 2" xfId="14927" xr:uid="{C27DEDB5-955B-4416-815C-C3BE942698A9}"/>
    <cellStyle name="Normal 17 7 3 3 2 2" xfId="31687" xr:uid="{29F00670-A28C-4410-8B6A-AF368699DB0C}"/>
    <cellStyle name="Normal 17 7 3 3 2 3" xfId="48446" xr:uid="{7F6DAE7B-7530-40E5-BA44-61023D7CD326}"/>
    <cellStyle name="Normal 17 7 3 3 3" xfId="23307" xr:uid="{5D7EB4AB-E501-4F03-B09F-2B9AE3633884}"/>
    <cellStyle name="Normal 17 7 3 3 4" xfId="40066" xr:uid="{9BED5172-12AC-41AE-B671-C2C73C5BED7F}"/>
    <cellStyle name="Normal 17 7 3 4" xfId="3283" xr:uid="{F54389B7-BE2A-42AC-AFAB-6D124B88736B}"/>
    <cellStyle name="Normal 17 7 3 4 2" xfId="11663" xr:uid="{177782C1-7D6D-423F-BBC7-8CA2E5F0BD09}"/>
    <cellStyle name="Normal 17 7 3 4 2 2" xfId="28423" xr:uid="{FA19B42F-EDF7-44F1-AB3C-A33FC1856CDB}"/>
    <cellStyle name="Normal 17 7 3 4 2 3" xfId="45182" xr:uid="{F19D4FC3-04B8-45A6-AC9B-1CD4E963CA84}"/>
    <cellStyle name="Normal 17 7 3 4 3" xfId="20043" xr:uid="{50BBD20F-FC15-4E96-B91B-241902512F38}"/>
    <cellStyle name="Normal 17 7 3 4 4" xfId="36802" xr:uid="{FA857838-533D-4F32-8586-6007F26F11A3}"/>
    <cellStyle name="Normal 17 7 3 5" xfId="9860" xr:uid="{932039DF-BE8B-4D34-ACD0-DB1136EC0E8E}"/>
    <cellStyle name="Normal 17 7 3 5 2" xfId="26620" xr:uid="{8C41B9E8-D142-4319-AE3A-FCA9A4A1AB48}"/>
    <cellStyle name="Normal 17 7 3 5 3" xfId="43379" xr:uid="{9026597F-1C21-4850-B410-09591373D204}"/>
    <cellStyle name="Normal 17 7 3 6" xfId="18240" xr:uid="{E9CD52E0-D53C-4635-93AE-0BE17882A91E}"/>
    <cellStyle name="Normal 17 7 3 7" xfId="34999" xr:uid="{9032F3F1-B5FB-464E-ABA0-DA0EB0849973}"/>
    <cellStyle name="Normal 17 7 4" xfId="1908" xr:uid="{CA6B2E2A-7723-423C-9CF9-316597A6BFE9}"/>
    <cellStyle name="Normal 17 7 4 2" xfId="5297" xr:uid="{BB1198B1-CEBD-4E0A-8BDA-9447A9B8F4BA}"/>
    <cellStyle name="Normal 17 7 4 2 2" xfId="13677" xr:uid="{8204A607-1AF3-42B9-9B6E-BB91819AF5BE}"/>
    <cellStyle name="Normal 17 7 4 2 2 2" xfId="30437" xr:uid="{DC43DC86-7646-4AC7-A0B7-CC690C4772A6}"/>
    <cellStyle name="Normal 17 7 4 2 2 3" xfId="47196" xr:uid="{739DD075-DB09-409D-84AA-87D1E84B410A}"/>
    <cellStyle name="Normal 17 7 4 2 3" xfId="22057" xr:uid="{78B13B71-CF4B-4EF0-89A1-EA30A15E6F8D}"/>
    <cellStyle name="Normal 17 7 4 2 4" xfId="38816" xr:uid="{68B9934B-413A-4C76-9055-B2A2333C16BB}"/>
    <cellStyle name="Normal 17 7 4 3" xfId="6984" xr:uid="{FEE3F3E7-E11F-4059-93C5-E1BE09C3C82F}"/>
    <cellStyle name="Normal 17 7 4 3 2" xfId="15364" xr:uid="{DDD85BDB-CE4E-450D-8937-8511533E6329}"/>
    <cellStyle name="Normal 17 7 4 3 2 2" xfId="32124" xr:uid="{82142B5A-F6BB-49C3-9C0D-ABEFD07DCFD5}"/>
    <cellStyle name="Normal 17 7 4 3 2 3" xfId="48883" xr:uid="{F4CE4B8F-0FE3-4390-A5C8-DE911C18620F}"/>
    <cellStyle name="Normal 17 7 4 3 3" xfId="23744" xr:uid="{703B239A-F775-4471-AB17-11A40B3B7A17}"/>
    <cellStyle name="Normal 17 7 4 3 4" xfId="40503" xr:uid="{4891FAD2-B021-4095-86B3-716CE0D7968C}"/>
    <cellStyle name="Normal 17 7 4 4" xfId="3607" xr:uid="{98CD766F-A361-4848-8CC6-6DF6A7091AA0}"/>
    <cellStyle name="Normal 17 7 4 4 2" xfId="11987" xr:uid="{E841DA2B-20EC-4FF0-AD1F-018EA32BCC95}"/>
    <cellStyle name="Normal 17 7 4 4 2 2" xfId="28747" xr:uid="{D138D511-3CF3-490A-9D23-1F72E2D66750}"/>
    <cellStyle name="Normal 17 7 4 4 2 3" xfId="45506" xr:uid="{2F7D19EA-BFD4-4423-B198-742741D9E992}"/>
    <cellStyle name="Normal 17 7 4 4 3" xfId="20367" xr:uid="{7764576A-AF5D-4739-AFF8-F6CE1738B778}"/>
    <cellStyle name="Normal 17 7 4 4 4" xfId="37126" xr:uid="{26BC849C-1E72-46DE-96F5-BF0F272CF213}"/>
    <cellStyle name="Normal 17 7 4 5" xfId="10297" xr:uid="{95328696-AF0E-4116-82EA-A36AC86BF166}"/>
    <cellStyle name="Normal 17 7 4 5 2" xfId="27057" xr:uid="{FEFE27B7-FFDD-4F11-B175-3D84EBBE563A}"/>
    <cellStyle name="Normal 17 7 4 5 3" xfId="43816" xr:uid="{CF4F9560-F65C-40F1-AF1A-7F655714BA95}"/>
    <cellStyle name="Normal 17 7 4 6" xfId="18677" xr:uid="{0716F37C-F92B-420C-A146-971076B9AD80}"/>
    <cellStyle name="Normal 17 7 4 7" xfId="35436" xr:uid="{3EF46797-1B61-46BB-9D20-D18DFF4D2840}"/>
    <cellStyle name="Normal 17 7 5" xfId="4027" xr:uid="{C55A5B9D-AE5E-4E84-B6CD-7BA8C7E0AE9D}"/>
    <cellStyle name="Normal 17 7 5 2" xfId="12407" xr:uid="{10B86A2C-1588-4805-8733-9016C7C6B487}"/>
    <cellStyle name="Normal 17 7 5 2 2" xfId="29167" xr:uid="{BCFD2E01-75CC-4F00-BB06-0E6F40D594E3}"/>
    <cellStyle name="Normal 17 7 5 2 3" xfId="45926" xr:uid="{D8F9DC57-77E5-4D09-9EF9-BFF06F4F0994}"/>
    <cellStyle name="Normal 17 7 5 3" xfId="20787" xr:uid="{8A8A6422-A0B3-4D57-AADD-03514253A8D0}"/>
    <cellStyle name="Normal 17 7 5 4" xfId="37546" xr:uid="{3F1EFCE2-0B5F-4460-B1D9-E77DC6D12A37}"/>
    <cellStyle name="Normal 17 7 6" xfId="5693" xr:uid="{8094F0D3-1883-49ED-9EB1-49A424077FE7}"/>
    <cellStyle name="Normal 17 7 6 2" xfId="14073" xr:uid="{24DA3710-D4F9-49CA-8FB1-8E33E9ECA819}"/>
    <cellStyle name="Normal 17 7 6 2 2" xfId="30833" xr:uid="{C3955AAE-A404-43FC-A79A-C3B43A9D271A}"/>
    <cellStyle name="Normal 17 7 6 2 3" xfId="47592" xr:uid="{A3DE68B0-373E-4AFF-BB23-F1D7A5338566}"/>
    <cellStyle name="Normal 17 7 6 3" xfId="22453" xr:uid="{7F204E67-7C5B-4542-AAFB-B754FD34D61D}"/>
    <cellStyle name="Normal 17 7 6 4" xfId="39212" xr:uid="{04266A73-B132-4703-8DEF-D738A2FF0ADB}"/>
    <cellStyle name="Normal 17 7 7" xfId="7390" xr:uid="{72BF8754-3B65-4859-A800-98C070580B57}"/>
    <cellStyle name="Normal 17 7 7 2" xfId="15770" xr:uid="{D3E22B97-2D7E-474F-AC4B-7782435725B6}"/>
    <cellStyle name="Normal 17 7 7 2 2" xfId="32530" xr:uid="{41762432-1D3B-4A10-8EC0-FD0C0E18ECEC}"/>
    <cellStyle name="Normal 17 7 7 2 3" xfId="49289" xr:uid="{53995C68-D3DF-4DEA-B979-8FA6856A0E51}"/>
    <cellStyle name="Normal 17 7 7 3" xfId="24150" xr:uid="{BDF33BE5-9A86-4255-AA42-02A4A2F0BD7D}"/>
    <cellStyle name="Normal 17 7 7 4" xfId="40909" xr:uid="{B0B058E8-9BFC-43F1-9C39-E7B84BE5647F}"/>
    <cellStyle name="Normal 17 7 8" xfId="7796" xr:uid="{C3CC134B-BFBF-483A-88A7-580CC1728E07}"/>
    <cellStyle name="Normal 17 7 8 2" xfId="16176" xr:uid="{E2578764-3C46-4973-8F9B-07763C3A5C31}"/>
    <cellStyle name="Normal 17 7 8 2 2" xfId="32936" xr:uid="{0DDB0D88-BAF8-498A-8B93-F27C39BEBC93}"/>
    <cellStyle name="Normal 17 7 8 2 3" xfId="49695" xr:uid="{66FCC05B-6463-4E55-ADC3-54164576BDAD}"/>
    <cellStyle name="Normal 17 7 8 3" xfId="24556" xr:uid="{01B70D97-45A2-4209-93B4-034070E866EE}"/>
    <cellStyle name="Normal 17 7 8 4" xfId="41315" xr:uid="{7CC53B20-3A88-43B2-8BF9-4D86D5B97797}"/>
    <cellStyle name="Normal 17 7 9" xfId="8202" xr:uid="{BD7A4EC8-068B-4356-ADAE-82E412FF0367}"/>
    <cellStyle name="Normal 17 7 9 2" xfId="16582" xr:uid="{CF5440BB-B167-4739-BE46-DFCFA0E05A96}"/>
    <cellStyle name="Normal 17 7 9 2 2" xfId="33342" xr:uid="{35583F23-1974-4EFF-A031-13A11C97BA48}"/>
    <cellStyle name="Normal 17 7 9 2 3" xfId="50101" xr:uid="{54661C6B-E91F-4ADF-890A-4705570D5F2B}"/>
    <cellStyle name="Normal 17 7 9 3" xfId="24962" xr:uid="{FB62D06A-34B8-4162-9DFF-8B81932BCD40}"/>
    <cellStyle name="Normal 17 7 9 4" xfId="41721" xr:uid="{EDB90E44-4A62-4C85-BDFF-4494678F9A98}"/>
    <cellStyle name="Normal 17 8" xfId="780" xr:uid="{FBAFB671-794E-44E7-B1E4-D6B0C769AF07}"/>
    <cellStyle name="Normal 17 8 2" xfId="4175" xr:uid="{16EF5103-EC30-4A66-8D78-18EF7D0E729F}"/>
    <cellStyle name="Normal 17 8 2 2" xfId="12555" xr:uid="{2A814C3B-946B-4C18-96D0-9B24DBA6C1D2}"/>
    <cellStyle name="Normal 17 8 2 2 2" xfId="29315" xr:uid="{773D5204-6DBA-4DEE-A3C0-C3FFC1C247FA}"/>
    <cellStyle name="Normal 17 8 2 2 3" xfId="46074" xr:uid="{65ADFB9C-3C10-4F82-BAC3-802B82C3082D}"/>
    <cellStyle name="Normal 17 8 2 3" xfId="20935" xr:uid="{E77C37F9-BDFB-4FC4-98E4-F2D9BECEF47F}"/>
    <cellStyle name="Normal 17 8 2 4" xfId="37694" xr:uid="{39083A0B-3CB9-412E-AABA-D648B0016F57}"/>
    <cellStyle name="Normal 17 8 3" xfId="5862" xr:uid="{967DCBE9-FE8A-4FB7-BA73-507CFECA337A}"/>
    <cellStyle name="Normal 17 8 3 2" xfId="14242" xr:uid="{A2596D72-1FB0-4FA0-B714-D81417F2AB76}"/>
    <cellStyle name="Normal 17 8 3 2 2" xfId="31002" xr:uid="{A4399E5A-8718-4B00-9174-463655076A29}"/>
    <cellStyle name="Normal 17 8 3 2 3" xfId="47761" xr:uid="{D81B8B99-7FFC-4580-8D19-D3DE1FA76551}"/>
    <cellStyle name="Normal 17 8 3 3" xfId="22622" xr:uid="{2C82599B-3AEA-43CE-BAE0-482736D43D89}"/>
    <cellStyle name="Normal 17 8 3 4" xfId="39381" xr:uid="{C72140C8-2D27-431A-9D6C-64B68D199384}"/>
    <cellStyle name="Normal 17 8 4" xfId="2598" xr:uid="{57A008BE-3EBE-4A82-9CF7-49AF291F7A33}"/>
    <cellStyle name="Normal 17 8 4 2" xfId="10978" xr:uid="{233D9BE1-7B6A-49B3-91B2-DFEC4426E186}"/>
    <cellStyle name="Normal 17 8 4 2 2" xfId="27738" xr:uid="{4619646D-459D-4543-9B06-26EB91CBA73E}"/>
    <cellStyle name="Normal 17 8 4 2 3" xfId="44497" xr:uid="{11C317E7-63A1-4BBB-9D9D-A5694943B0BB}"/>
    <cellStyle name="Normal 17 8 4 3" xfId="19358" xr:uid="{18396BAC-061E-4D2B-8963-2A986DF03A1F}"/>
    <cellStyle name="Normal 17 8 4 4" xfId="36117" xr:uid="{E6D29182-F0AE-40C7-89A1-7B2017073A3B}"/>
    <cellStyle name="Normal 17 8 5" xfId="9175" xr:uid="{273B2C59-F792-4E65-91EB-B4E291C64988}"/>
    <cellStyle name="Normal 17 8 5 2" xfId="25935" xr:uid="{63EE78AF-E4B1-463E-B392-896D06852093}"/>
    <cellStyle name="Normal 17 8 5 3" xfId="42694" xr:uid="{97353876-5599-44A5-9F1B-6A6132D756AB}"/>
    <cellStyle name="Normal 17 8 6" xfId="17555" xr:uid="{7CC7F5B5-4192-4E5A-9897-2BCB51731414}"/>
    <cellStyle name="Normal 17 8 7" xfId="34314" xr:uid="{956FFC19-3C88-46CA-9612-5E623D01C412}"/>
    <cellStyle name="Normal 17 9" xfId="1214" xr:uid="{31ACF066-A461-4757-90C0-1C39E845850C}"/>
    <cellStyle name="Normal 17 9 2" xfId="4603" xr:uid="{AB5C5713-B178-47E0-82AA-3B260F40B6A3}"/>
    <cellStyle name="Normal 17 9 2 2" xfId="12983" xr:uid="{DE246049-AF82-4248-AD60-59D86A8819FD}"/>
    <cellStyle name="Normal 17 9 2 2 2" xfId="29743" xr:uid="{2C5F0E80-F490-4A45-B98F-A436AB05BB2F}"/>
    <cellStyle name="Normal 17 9 2 2 3" xfId="46502" xr:uid="{F6CF3D2D-4AE8-4BAA-B0BE-2212556435C5}"/>
    <cellStyle name="Normal 17 9 2 3" xfId="21363" xr:uid="{852F180B-7D62-44C9-A3F7-A62389F0B7C7}"/>
    <cellStyle name="Normal 17 9 2 4" xfId="38122" xr:uid="{4326C3D0-9230-454D-BFC8-5BEEFE59F2C6}"/>
    <cellStyle name="Normal 17 9 3" xfId="6290" xr:uid="{2B0D6C41-9EE8-4326-9D58-8B1FF4BC382A}"/>
    <cellStyle name="Normal 17 9 3 2" xfId="14670" xr:uid="{D3A80BA6-1BEC-46FC-A1B7-827D557605B9}"/>
    <cellStyle name="Normal 17 9 3 2 2" xfId="31430" xr:uid="{D1C8CDF7-9E41-4887-A567-B37F44765FC3}"/>
    <cellStyle name="Normal 17 9 3 2 3" xfId="48189" xr:uid="{365913DD-1643-4234-90CE-3CB7E2E8775A}"/>
    <cellStyle name="Normal 17 9 3 3" xfId="23050" xr:uid="{2CE763F4-BDE5-40E6-9B1D-694776F28922}"/>
    <cellStyle name="Normal 17 9 3 4" xfId="39809" xr:uid="{F8716E03-02C4-4E4F-A2EA-B556902D6FB4}"/>
    <cellStyle name="Normal 17 9 4" xfId="3026" xr:uid="{EC5B225F-D197-496B-A2DB-6F758D06743C}"/>
    <cellStyle name="Normal 17 9 4 2" xfId="11406" xr:uid="{42A40D75-FE6B-4874-808E-55C1FF5C98CD}"/>
    <cellStyle name="Normal 17 9 4 2 2" xfId="28166" xr:uid="{F8537A13-1DE4-4359-9373-B04D4F18F68C}"/>
    <cellStyle name="Normal 17 9 4 2 3" xfId="44925" xr:uid="{4FBBD020-21D9-4CFA-A381-396FD6BD8883}"/>
    <cellStyle name="Normal 17 9 4 3" xfId="19786" xr:uid="{5C84E0B0-1417-43F4-81BA-70D3FEB4A3D3}"/>
    <cellStyle name="Normal 17 9 4 4" xfId="36545" xr:uid="{F7348BDA-BBB3-49DD-8D29-4D3A61AB0186}"/>
    <cellStyle name="Normal 17 9 5" xfId="9603" xr:uid="{789397D1-C78B-497E-AA99-BE38543418EC}"/>
    <cellStyle name="Normal 17 9 5 2" xfId="26363" xr:uid="{EEBED3E2-20A2-4D73-8699-3AA2A9FB26F1}"/>
    <cellStyle name="Normal 17 9 5 3" xfId="43122" xr:uid="{7B27B668-6D71-4B75-A6CE-F391CB7AF332}"/>
    <cellStyle name="Normal 17 9 6" xfId="17983" xr:uid="{BE9BDD3C-5552-49FD-84CF-1DF47B1DBD68}"/>
    <cellStyle name="Normal 17 9 7" xfId="34742" xr:uid="{8070BC95-C7EB-490D-85EE-D5E166866DF8}"/>
    <cellStyle name="Normal 18" xfId="212" xr:uid="{90AA2FFA-AB06-4C14-B0EB-97CC586390E7}"/>
    <cellStyle name="Normal 18 10" xfId="3743" xr:uid="{1AA4EE94-74DA-44E3-967D-318EF51FD039}"/>
    <cellStyle name="Normal 18 10 2" xfId="12123" xr:uid="{9BD508FC-5BD3-43DC-8883-3A8A00D674B1}"/>
    <cellStyle name="Normal 18 10 2 2" xfId="28883" xr:uid="{E64910AC-4E73-43A3-8E77-B3851E92B813}"/>
    <cellStyle name="Normal 18 10 2 3" xfId="45642" xr:uid="{0364519E-C947-4445-BF2A-49A5C334EDDB}"/>
    <cellStyle name="Normal 18 10 3" xfId="20503" xr:uid="{3BD4BA10-990A-41B3-973F-1FEFEEF5A559}"/>
    <cellStyle name="Normal 18 10 4" xfId="37262" xr:uid="{B4C86FC1-4F8A-4DB7-8E07-5CEF01A9D43A}"/>
    <cellStyle name="Normal 18 11" xfId="5437" xr:uid="{64404214-8555-411E-AB21-D52089011E5B}"/>
    <cellStyle name="Normal 18 11 2" xfId="13817" xr:uid="{468EE292-7E8F-4A3A-9E8C-A21FDF87E18F}"/>
    <cellStyle name="Normal 18 11 2 2" xfId="30577" xr:uid="{AC36448D-9265-4011-A449-42DB4D69A8EF}"/>
    <cellStyle name="Normal 18 11 2 3" xfId="47336" xr:uid="{C73816A0-EC89-45F3-9F28-09258E7C85B0}"/>
    <cellStyle name="Normal 18 11 3" xfId="22197" xr:uid="{A31BED8B-F5B8-43CE-9F2C-0702FAF8ED5A}"/>
    <cellStyle name="Normal 18 11 4" xfId="38956" xr:uid="{288C566C-D775-48A7-9F0B-5634B9ADB5EE}"/>
    <cellStyle name="Normal 18 12" xfId="7120" xr:uid="{F94008DA-C7EC-4638-8CB4-1276F204982B}"/>
    <cellStyle name="Normal 18 12 2" xfId="15500" xr:uid="{82D7D3E8-B157-4B35-BB45-94620F5413E7}"/>
    <cellStyle name="Normal 18 12 2 2" xfId="32260" xr:uid="{37998D54-5BBF-4134-ACD5-ABF9F6060B96}"/>
    <cellStyle name="Normal 18 12 2 3" xfId="49019" xr:uid="{3F83694A-928F-4C96-9B26-CD2E845F75E5}"/>
    <cellStyle name="Normal 18 12 3" xfId="23880" xr:uid="{3BC075FC-B3BA-42BB-82AC-4D903DC35774}"/>
    <cellStyle name="Normal 18 12 4" xfId="40639" xr:uid="{1FF0D922-6080-4B68-9FFC-0EF0A32DCDA5}"/>
    <cellStyle name="Normal 18 13" xfId="7526" xr:uid="{86F1D41C-25C3-4CF6-BE56-26C5B4C65015}"/>
    <cellStyle name="Normal 18 13 2" xfId="15906" xr:uid="{9842BC10-FBA6-426F-B716-2BD2EB741704}"/>
    <cellStyle name="Normal 18 13 2 2" xfId="32666" xr:uid="{5B5D6767-CE39-43CF-80B8-704BEE1972C4}"/>
    <cellStyle name="Normal 18 13 2 3" xfId="49425" xr:uid="{AE75AA08-C657-4B5C-85B5-0C01219C6CD5}"/>
    <cellStyle name="Normal 18 13 3" xfId="24286" xr:uid="{C7CEEE47-F6FB-4BEE-81CE-B2DD4449D2BE}"/>
    <cellStyle name="Normal 18 13 4" xfId="41045" xr:uid="{73D4DC84-D7BC-4A13-908A-4219778A6986}"/>
    <cellStyle name="Normal 18 14" xfId="7932" xr:uid="{155B1F38-9D1A-4F56-935A-0A2D3BBBC8B8}"/>
    <cellStyle name="Normal 18 14 2" xfId="16312" xr:uid="{296F35F2-5665-4BDD-B5C8-24AE474E2CFC}"/>
    <cellStyle name="Normal 18 14 2 2" xfId="33072" xr:uid="{F64F2B39-71B5-40AA-80F8-6CD37D275E01}"/>
    <cellStyle name="Normal 18 14 2 3" xfId="49831" xr:uid="{0DBF4499-ED15-4532-9A24-FE417CFE7643}"/>
    <cellStyle name="Normal 18 14 3" xfId="24692" xr:uid="{2222302E-18E3-499D-A93C-90A5A1836A7C}"/>
    <cellStyle name="Normal 18 14 4" xfId="41451" xr:uid="{12DEB532-6E95-4AE4-A041-A4EC87D6959B}"/>
    <cellStyle name="Normal 18 15" xfId="8338" xr:uid="{DA0F12A6-41EB-460C-BD9C-A2EB4A34F881}"/>
    <cellStyle name="Normal 18 15 2" xfId="16718" xr:uid="{42443BC1-A615-4DC9-84D4-BE7AF6529448}"/>
    <cellStyle name="Normal 18 15 2 2" xfId="33478" xr:uid="{FFF0D71F-7D9E-40EC-A19C-7C7503AD1F11}"/>
    <cellStyle name="Normal 18 15 2 3" xfId="50237" xr:uid="{3E2C6321-3FEC-4FC0-AC17-F884066CF9DD}"/>
    <cellStyle name="Normal 18 15 3" xfId="25098" xr:uid="{DC0B505B-B14E-4B0F-8340-E1F5452F30CD}"/>
    <cellStyle name="Normal 18 15 4" xfId="41857" xr:uid="{5BD66D31-6B4C-4FDD-80FE-F04D3E6ED662}"/>
    <cellStyle name="Normal 18 16" xfId="2071" xr:uid="{AAE93247-135A-426C-9953-A3F294B06042}"/>
    <cellStyle name="Normal 18 16 2" xfId="10459" xr:uid="{28BEAF81-AEBD-42DA-B648-BD58FD7298CB}"/>
    <cellStyle name="Normal 18 16 2 2" xfId="27219" xr:uid="{E3A835D9-CC18-48CE-A43F-585DE4ECDB0A}"/>
    <cellStyle name="Normal 18 16 2 3" xfId="43978" xr:uid="{CF8CE427-6824-48C8-AD8B-6D6083F7ACA3}"/>
    <cellStyle name="Normal 18 16 3" xfId="18839" xr:uid="{5A49A2E6-B6CC-47A6-AF7B-4AB0BABAF1D9}"/>
    <cellStyle name="Normal 18 16 4" xfId="35598" xr:uid="{5020B64C-E1F5-46FC-A61B-45010FC024A9}"/>
    <cellStyle name="Normal 18 17" xfId="8750" xr:uid="{C9FE613F-1E2E-49AF-8CC4-FC0816748083}"/>
    <cellStyle name="Normal 18 17 2" xfId="25510" xr:uid="{FEAFF62E-5936-4524-A2C8-8DA295DDB18E}"/>
    <cellStyle name="Normal 18 17 3" xfId="42269" xr:uid="{DDD099D9-3ECE-4F33-B37F-890681930A2F}"/>
    <cellStyle name="Normal 18 18" xfId="17130" xr:uid="{E9A4D865-A8B8-46DC-BBB8-447D8A70744E}"/>
    <cellStyle name="Normal 18 19" xfId="33889" xr:uid="{A1887461-248A-4AC4-8CFB-77F253FA6F5C}"/>
    <cellStyle name="Normal 18 2" xfId="305" xr:uid="{4A3F8E60-E66F-4286-B8B2-C3AC67543CC6}"/>
    <cellStyle name="Normal 18 2 10" xfId="7570" xr:uid="{F3C73030-2606-460F-80C2-F015F98B863C}"/>
    <cellStyle name="Normal 18 2 10 2" xfId="15950" xr:uid="{C2A1EDCA-E527-49DE-B113-3B89B38794AD}"/>
    <cellStyle name="Normal 18 2 10 2 2" xfId="32710" xr:uid="{E1B4EB5C-0547-4772-AA18-A0BA1249E862}"/>
    <cellStyle name="Normal 18 2 10 2 3" xfId="49469" xr:uid="{DC4E64D8-744B-4E11-ADF5-F92F0C9482FB}"/>
    <cellStyle name="Normal 18 2 10 3" xfId="24330" xr:uid="{42A5DA70-E826-4507-8BBA-C0AD58AF47D5}"/>
    <cellStyle name="Normal 18 2 10 4" xfId="41089" xr:uid="{3D7F237F-4B96-4FE2-B303-EF4BE5901EA2}"/>
    <cellStyle name="Normal 18 2 11" xfId="7976" xr:uid="{14753F71-1FF8-419D-90C1-1C462D7681E1}"/>
    <cellStyle name="Normal 18 2 11 2" xfId="16356" xr:uid="{9A10AA88-6751-4068-A1A8-34E6ADD8A803}"/>
    <cellStyle name="Normal 18 2 11 2 2" xfId="33116" xr:uid="{DC70BE4F-2A11-42CA-ACEE-949B33AF86F9}"/>
    <cellStyle name="Normal 18 2 11 2 3" xfId="49875" xr:uid="{AF2E61B9-C424-47F2-A052-912FECA2DF88}"/>
    <cellStyle name="Normal 18 2 11 3" xfId="24736" xr:uid="{F2713245-1A90-400A-ABDF-48491A65F2D8}"/>
    <cellStyle name="Normal 18 2 11 4" xfId="41495" xr:uid="{0085AFB6-D573-473C-A4BF-44AAF3759AC2}"/>
    <cellStyle name="Normal 18 2 12" xfId="8382" xr:uid="{66320DCB-FBD4-40E1-9AD8-2A9BD342603B}"/>
    <cellStyle name="Normal 18 2 12 2" xfId="16762" xr:uid="{6DE2718B-5F78-4CA2-ACF3-D9DBADA234BF}"/>
    <cellStyle name="Normal 18 2 12 2 2" xfId="33522" xr:uid="{BB621880-A844-44E0-8B8F-607C6738DD70}"/>
    <cellStyle name="Normal 18 2 12 2 3" xfId="50281" xr:uid="{B5B7E973-2147-45C8-8D21-96A6DB186312}"/>
    <cellStyle name="Normal 18 2 12 3" xfId="25142" xr:uid="{1F915F07-0740-4865-AC70-E5DD2E06AD3C}"/>
    <cellStyle name="Normal 18 2 12 4" xfId="41901" xr:uid="{55F15E99-65CA-4B4D-A150-6FEC7EBD4794}"/>
    <cellStyle name="Normal 18 2 13" xfId="2090" xr:uid="{33464A9C-FCCE-4E30-823B-674F9B4BCA6E}"/>
    <cellStyle name="Normal 18 2 13 2" xfId="10478" xr:uid="{7AA113A2-485E-4C6B-98C1-D9A36D1A4756}"/>
    <cellStyle name="Normal 18 2 13 2 2" xfId="27238" xr:uid="{6B36CA9E-DD13-4691-82D7-7E4F6CED0920}"/>
    <cellStyle name="Normal 18 2 13 2 3" xfId="43997" xr:uid="{A6624123-AA2C-4E8F-862B-B9BC98594530}"/>
    <cellStyle name="Normal 18 2 13 3" xfId="18858" xr:uid="{83FB172E-C1FF-4673-9D24-10E00A6779EA}"/>
    <cellStyle name="Normal 18 2 13 4" xfId="35617" xr:uid="{3E46135A-F6D0-409E-905B-1B8E0215041D}"/>
    <cellStyle name="Normal 18 2 14" xfId="8778" xr:uid="{5A4F99AD-C294-4200-B3C0-4CC9F79BDEBB}"/>
    <cellStyle name="Normal 18 2 14 2" xfId="25538" xr:uid="{A9198A32-474B-4039-87DB-C5EDD16CF045}"/>
    <cellStyle name="Normal 18 2 14 3" xfId="42297" xr:uid="{72E7E888-177F-4404-BDC6-EB29156F2D4F}"/>
    <cellStyle name="Normal 18 2 15" xfId="17158" xr:uid="{67A7C4CE-89F6-45EF-AFF3-F308DAA98EB3}"/>
    <cellStyle name="Normal 18 2 16" xfId="33917" xr:uid="{6E4829D6-FA0A-44F3-8E9D-F2769E80F489}"/>
    <cellStyle name="Normal 18 2 2" xfId="388" xr:uid="{7B964668-5F9F-4274-9F3E-FE5FE4A15454}"/>
    <cellStyle name="Normal 18 2 2 10" xfId="8525" xr:uid="{DA35D5A5-BB5E-409E-8855-E41963DA6EFB}"/>
    <cellStyle name="Normal 18 2 2 10 2" xfId="16905" xr:uid="{4CFA348A-D993-4031-8D75-890F4DFC9777}"/>
    <cellStyle name="Normal 18 2 2 10 2 2" xfId="33665" xr:uid="{4C551A8E-B03C-4370-89B7-F7E5033BAF38}"/>
    <cellStyle name="Normal 18 2 2 10 2 3" xfId="50424" xr:uid="{CD24452B-D477-4187-BD5A-F5F007E6961D}"/>
    <cellStyle name="Normal 18 2 2 10 3" xfId="25285" xr:uid="{4BB890AA-479A-47FE-B958-4FD80903F919}"/>
    <cellStyle name="Normal 18 2 2 10 4" xfId="42044" xr:uid="{07B13144-5155-48B4-9875-C07670587BBB}"/>
    <cellStyle name="Normal 18 2 2 11" xfId="2271" xr:uid="{AFA58919-7EF3-4E6E-A097-301AE8543FFC}"/>
    <cellStyle name="Normal 18 2 2 11 2" xfId="10655" xr:uid="{26FB5B6F-D7C2-4ED8-A4EE-3BF8144728AB}"/>
    <cellStyle name="Normal 18 2 2 11 2 2" xfId="27415" xr:uid="{1E8099F2-E5CA-4F82-B34D-8D4A62F3CA35}"/>
    <cellStyle name="Normal 18 2 2 11 2 3" xfId="44174" xr:uid="{56B10162-AC29-4F3C-A479-AAF6EB1500F2}"/>
    <cellStyle name="Normal 18 2 2 11 3" xfId="19035" xr:uid="{DAB01067-E024-4C7F-988E-CC1A67B41622}"/>
    <cellStyle name="Normal 18 2 2 11 4" xfId="35794" xr:uid="{92DABE87-C96A-441D-9FB4-AD6D2173FFAE}"/>
    <cellStyle name="Normal 18 2 2 12" xfId="8852" xr:uid="{1AF06AC1-E291-4E28-9F81-F8957948A6EB}"/>
    <cellStyle name="Normal 18 2 2 12 2" xfId="25612" xr:uid="{165329D6-3F66-4DEC-88CC-B54353D3440C}"/>
    <cellStyle name="Normal 18 2 2 12 3" xfId="42371" xr:uid="{8A1DAC3B-94B4-42CA-94EC-ACDB6E072D8D}"/>
    <cellStyle name="Normal 18 2 2 13" xfId="17232" xr:uid="{15510842-3EDA-4F97-BA74-998B16F736C3}"/>
    <cellStyle name="Normal 18 2 2 14" xfId="33991" xr:uid="{08A29701-482D-40AC-87A2-B716959C4556}"/>
    <cellStyle name="Normal 18 2 2 2" xfId="883" xr:uid="{9D431E6C-97E1-4265-A73E-F3300F49721A}"/>
    <cellStyle name="Normal 18 2 2 2 2" xfId="4278" xr:uid="{3C263649-B946-4589-8BA1-BF70358E19CB}"/>
    <cellStyle name="Normal 18 2 2 2 2 2" xfId="12658" xr:uid="{3B0CBCFA-B70B-4593-BC2B-30F5F1BB3723}"/>
    <cellStyle name="Normal 18 2 2 2 2 2 2" xfId="29418" xr:uid="{CFFC9376-CF73-4434-B5A1-7316C6B079A4}"/>
    <cellStyle name="Normal 18 2 2 2 2 2 3" xfId="46177" xr:uid="{FCC7AF67-4102-4392-8F01-413C512963C2}"/>
    <cellStyle name="Normal 18 2 2 2 2 3" xfId="21038" xr:uid="{58832C61-74DE-4FF0-9CF7-F8E603324B22}"/>
    <cellStyle name="Normal 18 2 2 2 2 4" xfId="37797" xr:uid="{FC6FAF1A-EDBE-4079-944D-847AA7DAF138}"/>
    <cellStyle name="Normal 18 2 2 2 3" xfId="5965" xr:uid="{E2594C3B-B59D-45E7-9FA4-1517AEABC0FA}"/>
    <cellStyle name="Normal 18 2 2 2 3 2" xfId="14345" xr:uid="{C5116815-834B-467D-82CB-54EFADB1A7E7}"/>
    <cellStyle name="Normal 18 2 2 2 3 2 2" xfId="31105" xr:uid="{B591F0A1-3649-4481-92C0-4DACF84A3775}"/>
    <cellStyle name="Normal 18 2 2 2 3 2 3" xfId="47864" xr:uid="{433686A5-5E78-4606-8BA7-8AB9D096D49B}"/>
    <cellStyle name="Normal 18 2 2 2 3 3" xfId="22725" xr:uid="{623E2F81-643A-4751-AB53-FC1DC0F87832}"/>
    <cellStyle name="Normal 18 2 2 2 3 4" xfId="39484" xr:uid="{DAE8886D-3F5C-4914-9596-7E637F09A859}"/>
    <cellStyle name="Normal 18 2 2 2 4" xfId="2701" xr:uid="{1A07DBEE-5F25-4882-9F59-FEFE8C73D01D}"/>
    <cellStyle name="Normal 18 2 2 2 4 2" xfId="11081" xr:uid="{6E7E8E8D-1231-4081-8222-AF5047B969DF}"/>
    <cellStyle name="Normal 18 2 2 2 4 2 2" xfId="27841" xr:uid="{1D15E7D2-6FFB-4CAC-9215-8DBB5F0931EC}"/>
    <cellStyle name="Normal 18 2 2 2 4 2 3" xfId="44600" xr:uid="{B20BA0BF-AAF3-43BE-BBBD-0663B144F414}"/>
    <cellStyle name="Normal 18 2 2 2 4 3" xfId="19461" xr:uid="{910EDC32-7653-4CB1-9DD9-9F3F46C3E5D1}"/>
    <cellStyle name="Normal 18 2 2 2 4 4" xfId="36220" xr:uid="{D6CF17C5-24B9-42AE-8E3C-3015C731DECC}"/>
    <cellStyle name="Normal 18 2 2 2 5" xfId="9278" xr:uid="{6D275562-5CED-4953-A235-62585B35A512}"/>
    <cellStyle name="Normal 18 2 2 2 5 2" xfId="26038" xr:uid="{415FA1E6-0C37-4DAC-BF72-19BE5E5B2676}"/>
    <cellStyle name="Normal 18 2 2 2 5 3" xfId="42797" xr:uid="{64BAA506-E02B-4B92-8354-16088C4BB65C}"/>
    <cellStyle name="Normal 18 2 2 2 6" xfId="17658" xr:uid="{DD4AF7DA-8480-455B-B071-F3194475FFBC}"/>
    <cellStyle name="Normal 18 2 2 2 7" xfId="34417" xr:uid="{68896911-71A3-4439-BB4F-589D69202CAA}"/>
    <cellStyle name="Normal 18 2 2 3" xfId="1317" xr:uid="{BB7D61F1-CA14-442B-8632-C58A6985A216}"/>
    <cellStyle name="Normal 18 2 2 3 2" xfId="4706" xr:uid="{7FA0164C-76E8-41A8-B5F4-8A1843910704}"/>
    <cellStyle name="Normal 18 2 2 3 2 2" xfId="13086" xr:uid="{2816B64F-EEB1-40D3-869B-796249C1AE8F}"/>
    <cellStyle name="Normal 18 2 2 3 2 2 2" xfId="29846" xr:uid="{29550A54-3AEF-4648-A082-84B281F1E068}"/>
    <cellStyle name="Normal 18 2 2 3 2 2 3" xfId="46605" xr:uid="{C9542DDD-EAEB-4A68-9287-CFC1A696BB68}"/>
    <cellStyle name="Normal 18 2 2 3 2 3" xfId="21466" xr:uid="{D5B90C3F-3C95-4F94-A8D2-BD520241F955}"/>
    <cellStyle name="Normal 18 2 2 3 2 4" xfId="38225" xr:uid="{0F689F29-AC50-4C0F-876A-FD7B42E712A0}"/>
    <cellStyle name="Normal 18 2 2 3 3" xfId="6393" xr:uid="{B7D16DD3-E2B3-4D8D-9EF4-9B4A74F417A3}"/>
    <cellStyle name="Normal 18 2 2 3 3 2" xfId="14773" xr:uid="{169B8A64-CE7B-456C-A81E-4F2CA69DF388}"/>
    <cellStyle name="Normal 18 2 2 3 3 2 2" xfId="31533" xr:uid="{1D061160-A786-446F-843E-4BFE295CE17E}"/>
    <cellStyle name="Normal 18 2 2 3 3 2 3" xfId="48292" xr:uid="{F334B585-F2BB-4321-9BD5-9F73354C41BD}"/>
    <cellStyle name="Normal 18 2 2 3 3 3" xfId="23153" xr:uid="{F1471CAF-ABF4-491C-AFA8-435013D77D54}"/>
    <cellStyle name="Normal 18 2 2 3 3 4" xfId="39912" xr:uid="{F743F497-07E5-406A-8543-C7A2389A42E5}"/>
    <cellStyle name="Normal 18 2 2 3 4" xfId="3129" xr:uid="{5F1CFF3D-ADED-4D41-82A2-DF345FD6D21E}"/>
    <cellStyle name="Normal 18 2 2 3 4 2" xfId="11509" xr:uid="{263E4287-5E47-4EA7-ABF1-2835F1C585B4}"/>
    <cellStyle name="Normal 18 2 2 3 4 2 2" xfId="28269" xr:uid="{673B94AD-7CC0-4460-ABD5-B6440089624D}"/>
    <cellStyle name="Normal 18 2 2 3 4 2 3" xfId="45028" xr:uid="{D81121BE-4371-4C0A-A8F5-9211F2760BC1}"/>
    <cellStyle name="Normal 18 2 2 3 4 3" xfId="19889" xr:uid="{B32DAC66-DEB8-4EF0-B650-7BB31242C854}"/>
    <cellStyle name="Normal 18 2 2 3 4 4" xfId="36648" xr:uid="{10C2EBF7-2F46-4DFB-A890-331467F70D00}"/>
    <cellStyle name="Normal 18 2 2 3 5" xfId="9706" xr:uid="{A81ED739-1E81-41A1-9F3A-CE0A305C5F42}"/>
    <cellStyle name="Normal 18 2 2 3 5 2" xfId="26466" xr:uid="{52DB8DA9-192A-4E24-9EBE-8B0FA0261D67}"/>
    <cellStyle name="Normal 18 2 2 3 5 3" xfId="43225" xr:uid="{4A97C221-7899-4584-99E3-1B5B709EE4AC}"/>
    <cellStyle name="Normal 18 2 2 3 6" xfId="18086" xr:uid="{5B514C75-3C86-4419-89A3-FD31D5138141}"/>
    <cellStyle name="Normal 18 2 2 3 7" xfId="34845" xr:uid="{DC87A5B5-C5B2-4652-AC0B-517B6DF070B2}"/>
    <cellStyle name="Normal 18 2 2 4" xfId="1825" xr:uid="{CD2C7F62-3DAE-4E94-B84D-0B3DEF5F072F}"/>
    <cellStyle name="Normal 18 2 2 4 2" xfId="5214" xr:uid="{D7EBAFEA-ED38-4FAD-BD6E-A8575703AB57}"/>
    <cellStyle name="Normal 18 2 2 4 2 2" xfId="13594" xr:uid="{6F313D50-C21C-4B96-BACD-E4901029919E}"/>
    <cellStyle name="Normal 18 2 2 4 2 2 2" xfId="30354" xr:uid="{7E2B39E6-7EF1-42F6-A1C4-781F918D29E3}"/>
    <cellStyle name="Normal 18 2 2 4 2 2 3" xfId="47113" xr:uid="{EE518BF4-4B8F-4130-8496-FAAD015F89A9}"/>
    <cellStyle name="Normal 18 2 2 4 2 3" xfId="21974" xr:uid="{E39B76BA-3F94-488D-BC4F-FC8488B37BDB}"/>
    <cellStyle name="Normal 18 2 2 4 2 4" xfId="38733" xr:uid="{88A730A2-5219-4B7F-AD7A-48507FA03BAB}"/>
    <cellStyle name="Normal 18 2 2 4 3" xfId="6901" xr:uid="{6E82919B-75E7-47A5-AC4F-A9657CE33B22}"/>
    <cellStyle name="Normal 18 2 2 4 3 2" xfId="15281" xr:uid="{687E1F8E-477A-4E9B-99BA-295892719AED}"/>
    <cellStyle name="Normal 18 2 2 4 3 2 2" xfId="32041" xr:uid="{71F99CC2-3577-40CB-A984-CAF4F71EB51E}"/>
    <cellStyle name="Normal 18 2 2 4 3 2 3" xfId="48800" xr:uid="{E7553FE0-3087-4E7B-82C3-2B3BEAD65952}"/>
    <cellStyle name="Normal 18 2 2 4 3 3" xfId="23661" xr:uid="{D0FD5F09-7124-4B90-92B8-293219F1A160}"/>
    <cellStyle name="Normal 18 2 2 4 3 4" xfId="40420" xr:uid="{BDCF1F4B-2D87-4A2E-9D0B-80E127C6B81B}"/>
    <cellStyle name="Normal 18 2 2 4 4" xfId="3525" xr:uid="{F75F759B-E363-433B-B825-5DF3E9F200A2}"/>
    <cellStyle name="Normal 18 2 2 4 4 2" xfId="11905" xr:uid="{01089B3E-6730-429B-9A4C-F1642DE9455D}"/>
    <cellStyle name="Normal 18 2 2 4 4 2 2" xfId="28665" xr:uid="{B01A6FEC-9A86-45EA-8B8D-3EEE0E27E6BF}"/>
    <cellStyle name="Normal 18 2 2 4 4 2 3" xfId="45424" xr:uid="{0FA09394-4C6F-4072-9CE6-A7C6DA61684C}"/>
    <cellStyle name="Normal 18 2 2 4 4 3" xfId="20285" xr:uid="{9A6AE079-62F7-478F-96CD-332C008A115D}"/>
    <cellStyle name="Normal 18 2 2 4 4 4" xfId="37044" xr:uid="{6765BDF2-4252-4C78-B385-39ACD9B8E370}"/>
    <cellStyle name="Normal 18 2 2 4 5" xfId="10214" xr:uid="{FA95767C-B806-439E-9790-43B92C6133E1}"/>
    <cellStyle name="Normal 18 2 2 4 5 2" xfId="26974" xr:uid="{5C4A034D-7DFF-42E2-8723-688A5D47F88B}"/>
    <cellStyle name="Normal 18 2 2 4 5 3" xfId="43733" xr:uid="{B21ADB27-4192-4355-A417-2661DACFFC0A}"/>
    <cellStyle name="Normal 18 2 2 4 6" xfId="18594" xr:uid="{B539331F-0318-44A9-833A-937798AFEAF3}"/>
    <cellStyle name="Normal 18 2 2 4 7" xfId="35353" xr:uid="{B01BE7EE-64A6-4290-9F52-5669FF5B80CB}"/>
    <cellStyle name="Normal 18 2 2 5" xfId="3944" xr:uid="{1F45197C-7F3B-44C6-A19D-F99AFAA127D4}"/>
    <cellStyle name="Normal 18 2 2 5 2" xfId="12324" xr:uid="{7C90C541-E277-4B89-836D-7296A14FFAE7}"/>
    <cellStyle name="Normal 18 2 2 5 2 2" xfId="29084" xr:uid="{BB552FB7-5819-4F46-A714-C75631CDFD67}"/>
    <cellStyle name="Normal 18 2 2 5 2 3" xfId="45843" xr:uid="{7FE6794D-3071-48AA-A1E4-29662DED6798}"/>
    <cellStyle name="Normal 18 2 2 5 3" xfId="20704" xr:uid="{8CACCA27-F9C0-4D62-9BB7-95C8126C5124}"/>
    <cellStyle name="Normal 18 2 2 5 4" xfId="37463" xr:uid="{77769816-A1F2-4974-BE08-48C356143D8C}"/>
    <cellStyle name="Normal 18 2 2 6" xfId="5539" xr:uid="{9C18D225-CA48-471F-8388-E8DF0DED760F}"/>
    <cellStyle name="Normal 18 2 2 6 2" xfId="13919" xr:uid="{11F8A3A4-2F9D-4F07-8AFF-260D9B5AF63F}"/>
    <cellStyle name="Normal 18 2 2 6 2 2" xfId="30679" xr:uid="{17CD038A-71C4-4249-93CE-94133D713B8D}"/>
    <cellStyle name="Normal 18 2 2 6 2 3" xfId="47438" xr:uid="{2EA28A31-459D-45AC-8AC9-50EFA59AB840}"/>
    <cellStyle name="Normal 18 2 2 6 3" xfId="22299" xr:uid="{08BD0051-549F-4736-8CEE-9784CF63B762}"/>
    <cellStyle name="Normal 18 2 2 6 4" xfId="39058" xr:uid="{00220235-DA91-4603-B0EB-B3886CAADA1F}"/>
    <cellStyle name="Normal 18 2 2 7" xfId="7307" xr:uid="{685F907D-6971-4794-A1B3-08B7271A34D1}"/>
    <cellStyle name="Normal 18 2 2 7 2" xfId="15687" xr:uid="{D8C18B90-91A2-422D-A945-435196C930E6}"/>
    <cellStyle name="Normal 18 2 2 7 2 2" xfId="32447" xr:uid="{9D86DD65-E269-4219-96D4-58DB35E9818E}"/>
    <cellStyle name="Normal 18 2 2 7 2 3" xfId="49206" xr:uid="{89E3EB4F-4DB9-4A2A-8BED-35560947F5F1}"/>
    <cellStyle name="Normal 18 2 2 7 3" xfId="24067" xr:uid="{B08ECF96-1992-4552-8CD5-F12E5F5A3DCA}"/>
    <cellStyle name="Normal 18 2 2 7 4" xfId="40826" xr:uid="{869B8D40-E8D4-43F4-AF14-2C9DD08E9979}"/>
    <cellStyle name="Normal 18 2 2 8" xfId="7713" xr:uid="{0F54A295-DB10-4D32-8785-F3F7DBAA8CFB}"/>
    <cellStyle name="Normal 18 2 2 8 2" xfId="16093" xr:uid="{884ED239-8CBC-4F27-82EB-CCCADF70D6D8}"/>
    <cellStyle name="Normal 18 2 2 8 2 2" xfId="32853" xr:uid="{AE5DCEF4-A84E-4527-BFC7-3283E99414A3}"/>
    <cellStyle name="Normal 18 2 2 8 2 3" xfId="49612" xr:uid="{765009D5-B2C0-48C3-8003-86E0671241D9}"/>
    <cellStyle name="Normal 18 2 2 8 3" xfId="24473" xr:uid="{BB97F1DE-2469-4F0D-B950-3F3741A33389}"/>
    <cellStyle name="Normal 18 2 2 8 4" xfId="41232" xr:uid="{B7ADD301-76E5-4F5B-93CB-03352E2BBB17}"/>
    <cellStyle name="Normal 18 2 2 9" xfId="8119" xr:uid="{DFBD947A-F3A9-4836-9B42-5D171AAF4427}"/>
    <cellStyle name="Normal 18 2 2 9 2" xfId="16499" xr:uid="{E02BA114-9750-445A-B6E0-8724B41331A4}"/>
    <cellStyle name="Normal 18 2 2 9 2 2" xfId="33259" xr:uid="{B5C723C5-EDC3-4639-B18E-93F6ACD9D1B0}"/>
    <cellStyle name="Normal 18 2 2 9 2 3" xfId="50018" xr:uid="{ED6FCE02-4116-462C-918A-B77D51555966}"/>
    <cellStyle name="Normal 18 2 2 9 3" xfId="24879" xr:uid="{819781BA-09A9-4FE1-BCBB-853FB4021816}"/>
    <cellStyle name="Normal 18 2 2 9 4" xfId="41638" xr:uid="{66D058C1-3659-4DF0-8F6D-92EE1E754F97}"/>
    <cellStyle name="Normal 18 2 3" xfId="596" xr:uid="{8509D7B6-D20F-446C-B692-0DA91513C580}"/>
    <cellStyle name="Normal 18 2 3 10" xfId="8653" xr:uid="{6D2DA458-4D17-4587-9695-C20A5109586C}"/>
    <cellStyle name="Normal 18 2 3 10 2" xfId="17033" xr:uid="{C85BE6BF-C114-4113-9AA4-50A021615F6A}"/>
    <cellStyle name="Normal 18 2 3 10 2 2" xfId="33793" xr:uid="{F16CF0AF-3DBE-4DFE-833C-41DF02EF9FC9}"/>
    <cellStyle name="Normal 18 2 3 10 2 3" xfId="50552" xr:uid="{93320AD6-18B3-47AE-8233-AC7B2D36B20F}"/>
    <cellStyle name="Normal 18 2 3 10 3" xfId="25413" xr:uid="{C407E039-C086-484C-80AC-552E582D0BCA}"/>
    <cellStyle name="Normal 18 2 3 10 4" xfId="42172" xr:uid="{2ACB9EAA-3481-4979-AAC9-726B0433CBBB}"/>
    <cellStyle name="Normal 18 2 3 11" xfId="2428" xr:uid="{7C49E402-5467-43C2-A8CC-35F266B05E41}"/>
    <cellStyle name="Normal 18 2 3 11 2" xfId="10810" xr:uid="{47D551E5-CF35-4D74-A463-381B018CD11B}"/>
    <cellStyle name="Normal 18 2 3 11 2 2" xfId="27570" xr:uid="{4C2B90A4-EBCE-4AE1-9461-4B1158E3684D}"/>
    <cellStyle name="Normal 18 2 3 11 2 3" xfId="44329" xr:uid="{BDDFA9D0-7EF4-4300-BAA5-9FA673872633}"/>
    <cellStyle name="Normal 18 2 3 11 3" xfId="19190" xr:uid="{2994FC2F-22BF-4AAC-B474-C8589F5D2DFC}"/>
    <cellStyle name="Normal 18 2 3 11 4" xfId="35949" xr:uid="{8B825035-B06D-4DE5-B999-0A2346F2B54A}"/>
    <cellStyle name="Normal 18 2 3 12" xfId="9007" xr:uid="{211CCA73-4CE7-457D-944F-1C164F516976}"/>
    <cellStyle name="Normal 18 2 3 12 2" xfId="25767" xr:uid="{7CDCEE14-F3B8-4F14-8C1D-51093921E2E0}"/>
    <cellStyle name="Normal 18 2 3 12 3" xfId="42526" xr:uid="{D13829F5-3F01-48FB-8023-B0FA2FE8FAB4}"/>
    <cellStyle name="Normal 18 2 3 13" xfId="17387" xr:uid="{4821E6AC-D2C1-43C4-B119-580A3B5A0FBD}"/>
    <cellStyle name="Normal 18 2 3 14" xfId="34146" xr:uid="{33377B40-B581-44A3-9370-5702D5FF7B46}"/>
    <cellStyle name="Normal 18 2 3 2" xfId="1038" xr:uid="{8B3B8BB4-4C4A-4B6E-B8AA-9E5F7CFF8925}"/>
    <cellStyle name="Normal 18 2 3 2 2" xfId="4433" xr:uid="{3FC55DA0-0133-414F-A56D-C792C38D396E}"/>
    <cellStyle name="Normal 18 2 3 2 2 2" xfId="12813" xr:uid="{52BD689A-EBB0-4F58-83DA-79D5B4ABBA51}"/>
    <cellStyle name="Normal 18 2 3 2 2 2 2" xfId="29573" xr:uid="{C545D015-A676-47E1-BC9E-EA12F9C2643C}"/>
    <cellStyle name="Normal 18 2 3 2 2 2 3" xfId="46332" xr:uid="{353FC627-B6E8-4999-8029-E52A0D33E8E6}"/>
    <cellStyle name="Normal 18 2 3 2 2 3" xfId="21193" xr:uid="{D292BD39-AD9D-4710-8C80-711F8CA8594A}"/>
    <cellStyle name="Normal 18 2 3 2 2 4" xfId="37952" xr:uid="{90BB8BE3-B69B-49EE-990E-A9D5156E758D}"/>
    <cellStyle name="Normal 18 2 3 2 3" xfId="6120" xr:uid="{328727C0-9329-4029-A5E0-A033D8A94394}"/>
    <cellStyle name="Normal 18 2 3 2 3 2" xfId="14500" xr:uid="{A37A52FB-5FB7-4314-9DB3-7D9A288E529A}"/>
    <cellStyle name="Normal 18 2 3 2 3 2 2" xfId="31260" xr:uid="{F0C230F4-6893-442A-A15C-C3861CA2B153}"/>
    <cellStyle name="Normal 18 2 3 2 3 2 3" xfId="48019" xr:uid="{E52F201F-88BD-4E92-92E1-A5F1244A53D7}"/>
    <cellStyle name="Normal 18 2 3 2 3 3" xfId="22880" xr:uid="{AFFDF4F4-9939-4022-AF6D-904E3E0F7BD0}"/>
    <cellStyle name="Normal 18 2 3 2 3 4" xfId="39639" xr:uid="{4633A026-E169-481C-852D-A24FBB13140C}"/>
    <cellStyle name="Normal 18 2 3 2 4" xfId="2856" xr:uid="{986C9682-3362-4325-BD07-D3E1FD076358}"/>
    <cellStyle name="Normal 18 2 3 2 4 2" xfId="11236" xr:uid="{5E3BD754-65DE-4633-860E-AD7AE4E1504B}"/>
    <cellStyle name="Normal 18 2 3 2 4 2 2" xfId="27996" xr:uid="{238436F2-6D65-414F-A42E-F329506F190F}"/>
    <cellStyle name="Normal 18 2 3 2 4 2 3" xfId="44755" xr:uid="{3BA04E3B-E5B5-4277-8DA7-5B74A7F1FFF3}"/>
    <cellStyle name="Normal 18 2 3 2 4 3" xfId="19616" xr:uid="{A45198BB-55E3-4816-A3F2-07BE2C601C81}"/>
    <cellStyle name="Normal 18 2 3 2 4 4" xfId="36375" xr:uid="{74C04507-3272-4838-A283-F986614733B6}"/>
    <cellStyle name="Normal 18 2 3 2 5" xfId="9433" xr:uid="{8D0A5971-6BBF-4A6C-9B8B-FEF1038E4886}"/>
    <cellStyle name="Normal 18 2 3 2 5 2" xfId="26193" xr:uid="{55E98562-7603-493A-8008-DD39AAA03154}"/>
    <cellStyle name="Normal 18 2 3 2 5 3" xfId="42952" xr:uid="{60FB4E14-99A2-4AB2-AEC0-3788D7A86B5C}"/>
    <cellStyle name="Normal 18 2 3 2 6" xfId="17813" xr:uid="{43C68B22-871D-47F8-B54A-BD6C575AC7C7}"/>
    <cellStyle name="Normal 18 2 3 2 7" xfId="34572" xr:uid="{505F5774-7132-4335-A94B-327C528843BD}"/>
    <cellStyle name="Normal 18 2 3 3" xfId="1472" xr:uid="{CB09F4E5-1379-426C-9D89-A0F1A473FD6A}"/>
    <cellStyle name="Normal 18 2 3 3 2" xfId="4861" xr:uid="{7F6C1E99-333B-4AAC-9D8C-5870788AE1C9}"/>
    <cellStyle name="Normal 18 2 3 3 2 2" xfId="13241" xr:uid="{8DD31790-3A1C-4081-AB07-9D93109B0841}"/>
    <cellStyle name="Normal 18 2 3 3 2 2 2" xfId="30001" xr:uid="{084454C6-81F5-43BE-8119-01E82BF1F277}"/>
    <cellStyle name="Normal 18 2 3 3 2 2 3" xfId="46760" xr:uid="{4F35DE47-A9C2-4AAA-A39E-629DA6162BBA}"/>
    <cellStyle name="Normal 18 2 3 3 2 3" xfId="21621" xr:uid="{AC229762-2EA1-4304-9347-D777F06FC602}"/>
    <cellStyle name="Normal 18 2 3 3 2 4" xfId="38380" xr:uid="{2661E1F1-AF9C-473A-B384-98593E015041}"/>
    <cellStyle name="Normal 18 2 3 3 3" xfId="6548" xr:uid="{0BC64782-7982-4D5F-BF29-C23B76690409}"/>
    <cellStyle name="Normal 18 2 3 3 3 2" xfId="14928" xr:uid="{C711271B-17B0-46FC-8988-5DED3091A5A1}"/>
    <cellStyle name="Normal 18 2 3 3 3 2 2" xfId="31688" xr:uid="{E252FC40-73B7-4E36-9E89-8DAE075EAECF}"/>
    <cellStyle name="Normal 18 2 3 3 3 2 3" xfId="48447" xr:uid="{26530EF2-2B6D-4C9F-8754-F246274CF2E7}"/>
    <cellStyle name="Normal 18 2 3 3 3 3" xfId="23308" xr:uid="{CFF243E6-D4F8-4902-8CEC-8A6F8228DB15}"/>
    <cellStyle name="Normal 18 2 3 3 3 4" xfId="40067" xr:uid="{C38A7E94-4FC3-45C4-BA69-6C44B4274FFB}"/>
    <cellStyle name="Normal 18 2 3 3 4" xfId="3284" xr:uid="{D2C0C76F-0842-4EA5-B6CC-5DED68010E4D}"/>
    <cellStyle name="Normal 18 2 3 3 4 2" xfId="11664" xr:uid="{369F1FF4-D411-40D9-B84B-A829B9ADDF87}"/>
    <cellStyle name="Normal 18 2 3 3 4 2 2" xfId="28424" xr:uid="{63B34FAB-9009-4926-8B56-628ED1AEA0B3}"/>
    <cellStyle name="Normal 18 2 3 3 4 2 3" xfId="45183" xr:uid="{6066B01B-67FD-419F-B31B-E56828E4A997}"/>
    <cellStyle name="Normal 18 2 3 3 4 3" xfId="20044" xr:uid="{B30FAC3D-CC4A-4F8A-9DC5-3923140B6416}"/>
    <cellStyle name="Normal 18 2 3 3 4 4" xfId="36803" xr:uid="{B58B8103-BD91-457E-A2FC-B4ABC8E5B074}"/>
    <cellStyle name="Normal 18 2 3 3 5" xfId="9861" xr:uid="{6763085E-E72F-4D4C-AD47-B8D511EDE5F0}"/>
    <cellStyle name="Normal 18 2 3 3 5 2" xfId="26621" xr:uid="{7A7AEC17-346E-47F5-AED1-0FCD03258911}"/>
    <cellStyle name="Normal 18 2 3 3 5 3" xfId="43380" xr:uid="{80F8E4B3-7103-4BB9-9A64-37E39D563114}"/>
    <cellStyle name="Normal 18 2 3 3 6" xfId="18241" xr:uid="{09C065D5-0182-4994-9424-6D992865A7C4}"/>
    <cellStyle name="Normal 18 2 3 3 7" xfId="35000" xr:uid="{EFA9D309-380F-401E-9CA4-9387E6F18888}"/>
    <cellStyle name="Normal 18 2 3 4" xfId="1953" xr:uid="{61DFCEBB-29CC-4EE2-B41C-293E6240091E}"/>
    <cellStyle name="Normal 18 2 3 4 2" xfId="5342" xr:uid="{7FF6270A-EA8E-4A62-97E7-A8E4A15DD66A}"/>
    <cellStyle name="Normal 18 2 3 4 2 2" xfId="13722" xr:uid="{E5496453-930A-405F-B103-6ACA7BC1C85D}"/>
    <cellStyle name="Normal 18 2 3 4 2 2 2" xfId="30482" xr:uid="{0932D215-16E3-42EC-959B-CD35758FF229}"/>
    <cellStyle name="Normal 18 2 3 4 2 2 3" xfId="47241" xr:uid="{583F0C0C-7058-4C22-B1EB-3CC863B5D9AA}"/>
    <cellStyle name="Normal 18 2 3 4 2 3" xfId="22102" xr:uid="{5EF27395-1A55-45E9-9EAB-9837101BA2FD}"/>
    <cellStyle name="Normal 18 2 3 4 2 4" xfId="38861" xr:uid="{B1F5985F-E796-4E90-A7B2-92E2453DC30D}"/>
    <cellStyle name="Normal 18 2 3 4 3" xfId="7029" xr:uid="{B30A1970-ECA6-49C9-868D-5C4C5CFAB822}"/>
    <cellStyle name="Normal 18 2 3 4 3 2" xfId="15409" xr:uid="{16F0E1E6-9485-44A1-9889-EAB6FC97AE6F}"/>
    <cellStyle name="Normal 18 2 3 4 3 2 2" xfId="32169" xr:uid="{5456DA13-92C5-49D8-8CCD-05F8F1BEAC0D}"/>
    <cellStyle name="Normal 18 2 3 4 3 2 3" xfId="48928" xr:uid="{FB106D5D-FA2D-4D04-BAD5-D68FD4F1051D}"/>
    <cellStyle name="Normal 18 2 3 4 3 3" xfId="23789" xr:uid="{2BEDE77B-18A9-4FF4-9FC4-2C41B45BDBAC}"/>
    <cellStyle name="Normal 18 2 3 4 3 4" xfId="40548" xr:uid="{41E57FD7-EEDE-4750-8872-3374F3136691}"/>
    <cellStyle name="Normal 18 2 3 4 4" xfId="3652" xr:uid="{B85CB16B-91E4-4AE0-A1AA-59B61645D702}"/>
    <cellStyle name="Normal 18 2 3 4 4 2" xfId="12032" xr:uid="{3CCE18A0-DC08-4403-97D9-8653B2EF3D22}"/>
    <cellStyle name="Normal 18 2 3 4 4 2 2" xfId="28792" xr:uid="{837F75AC-425E-4533-8368-BE55A3CED113}"/>
    <cellStyle name="Normal 18 2 3 4 4 2 3" xfId="45551" xr:uid="{60B6B816-1B4F-4E26-88AD-CF2F816F1D0C}"/>
    <cellStyle name="Normal 18 2 3 4 4 3" xfId="20412" xr:uid="{93535DA5-287E-4494-AE30-171E471BFA54}"/>
    <cellStyle name="Normal 18 2 3 4 4 4" xfId="37171" xr:uid="{966C5248-5C44-4BA0-BBEE-82FB0BFC4E47}"/>
    <cellStyle name="Normal 18 2 3 4 5" xfId="10342" xr:uid="{7C2CC522-97CE-432B-913D-C497E9AC4EBC}"/>
    <cellStyle name="Normal 18 2 3 4 5 2" xfId="27102" xr:uid="{3555CF10-8997-4A78-A88F-627A38E78AF5}"/>
    <cellStyle name="Normal 18 2 3 4 5 3" xfId="43861" xr:uid="{829327C3-A2B8-4E76-9518-20B626C13660}"/>
    <cellStyle name="Normal 18 2 3 4 6" xfId="18722" xr:uid="{EA6392E5-F60A-4FA5-B1D6-D1A1BAE439AB}"/>
    <cellStyle name="Normal 18 2 3 4 7" xfId="35481" xr:uid="{A26FA45D-5F56-4DD3-83F2-36516B9F295B}"/>
    <cellStyle name="Normal 18 2 3 5" xfId="4072" xr:uid="{D62FA0F0-7D63-4744-8DBB-94A40ADAC90F}"/>
    <cellStyle name="Normal 18 2 3 5 2" xfId="12452" xr:uid="{C3A9453D-23B6-416A-9008-2F1BABC71F04}"/>
    <cellStyle name="Normal 18 2 3 5 2 2" xfId="29212" xr:uid="{165C9FB9-9576-4A9D-8178-696C4B857249}"/>
    <cellStyle name="Normal 18 2 3 5 2 3" xfId="45971" xr:uid="{33AD9987-AEA5-4258-875D-8A96179A4306}"/>
    <cellStyle name="Normal 18 2 3 5 3" xfId="20832" xr:uid="{A02A1732-72BB-4E75-B74F-53AB5FEC3C86}"/>
    <cellStyle name="Normal 18 2 3 5 4" xfId="37591" xr:uid="{DAF59001-9AF6-4367-855E-8B90B594FDDE}"/>
    <cellStyle name="Normal 18 2 3 6" xfId="5694" xr:uid="{DF4E9E8F-0F66-44E2-9D69-E7C026C43260}"/>
    <cellStyle name="Normal 18 2 3 6 2" xfId="14074" xr:uid="{193BAB10-DD42-4700-B9C9-1600B7BD9746}"/>
    <cellStyle name="Normal 18 2 3 6 2 2" xfId="30834" xr:uid="{41EF31F2-C7EC-4D57-9C85-A5EDACF4102A}"/>
    <cellStyle name="Normal 18 2 3 6 2 3" xfId="47593" xr:uid="{81E775EA-348E-45B6-8F12-1ED8754A8E4C}"/>
    <cellStyle name="Normal 18 2 3 6 3" xfId="22454" xr:uid="{16991EE1-3818-466D-8B0A-5A2731FE106E}"/>
    <cellStyle name="Normal 18 2 3 6 4" xfId="39213" xr:uid="{2CCE3770-B5CA-424E-AED7-852E9CE7FFC1}"/>
    <cellStyle name="Normal 18 2 3 7" xfId="7435" xr:uid="{D15339C9-35E2-4DB5-B17A-471F4414428A}"/>
    <cellStyle name="Normal 18 2 3 7 2" xfId="15815" xr:uid="{AA85C72B-A1E1-46AC-800B-DCADA6724D90}"/>
    <cellStyle name="Normal 18 2 3 7 2 2" xfId="32575" xr:uid="{F7EA19DF-AD83-42C3-BD88-B39C2930CCF1}"/>
    <cellStyle name="Normal 18 2 3 7 2 3" xfId="49334" xr:uid="{6A99B340-35E7-4A59-A918-FEEC77D59D48}"/>
    <cellStyle name="Normal 18 2 3 7 3" xfId="24195" xr:uid="{779DCFB1-117E-4DA2-8494-C0171B907E0A}"/>
    <cellStyle name="Normal 18 2 3 7 4" xfId="40954" xr:uid="{6FCB8B91-AB75-4983-B52D-F52094B5BE9B}"/>
    <cellStyle name="Normal 18 2 3 8" xfId="7841" xr:uid="{E7BC8AD6-5962-43B9-A010-9A1A41E48494}"/>
    <cellStyle name="Normal 18 2 3 8 2" xfId="16221" xr:uid="{052357B0-8FE5-441B-BA60-464FA2D98E31}"/>
    <cellStyle name="Normal 18 2 3 8 2 2" xfId="32981" xr:uid="{9CF6F5F0-0B56-4489-AF97-9CBDD76689EB}"/>
    <cellStyle name="Normal 18 2 3 8 2 3" xfId="49740" xr:uid="{B1CAE8E5-9463-4C47-9E4D-CF87E85AC9A6}"/>
    <cellStyle name="Normal 18 2 3 8 3" xfId="24601" xr:uid="{FB89261D-3256-4548-8F7E-C556B5BEA80E}"/>
    <cellStyle name="Normal 18 2 3 8 4" xfId="41360" xr:uid="{34337B79-6F58-4E69-BC6B-80A43A73EA67}"/>
    <cellStyle name="Normal 18 2 3 9" xfId="8247" xr:uid="{9112FA54-F2FF-4026-9372-AB5FCAC54D03}"/>
    <cellStyle name="Normal 18 2 3 9 2" xfId="16627" xr:uid="{21253A8B-01CB-4CB3-A421-9FA1951E54F1}"/>
    <cellStyle name="Normal 18 2 3 9 2 2" xfId="33387" xr:uid="{7096CC72-454F-4AD6-ADC0-93AC65803A43}"/>
    <cellStyle name="Normal 18 2 3 9 2 3" xfId="50146" xr:uid="{9989628A-5263-4904-983A-E9D3BFD6F654}"/>
    <cellStyle name="Normal 18 2 3 9 3" xfId="25007" xr:uid="{3062986A-E1FF-4371-965D-57DB966163AE}"/>
    <cellStyle name="Normal 18 2 3 9 4" xfId="41766" xr:uid="{242936AF-B856-4036-A1F2-BF79E98F6861}"/>
    <cellStyle name="Normal 18 2 4" xfId="809" xr:uid="{169F0B8E-92A0-4BEA-81B8-BFC341C2AF91}"/>
    <cellStyle name="Normal 18 2 4 2" xfId="4204" xr:uid="{6DA44FE1-1F91-48AD-B6F3-D69FFDCF910D}"/>
    <cellStyle name="Normal 18 2 4 2 2" xfId="12584" xr:uid="{0C6AAC16-1D8A-417F-B812-FE0453561AD2}"/>
    <cellStyle name="Normal 18 2 4 2 2 2" xfId="29344" xr:uid="{731B7988-93B9-4993-B27C-1935CDACA68F}"/>
    <cellStyle name="Normal 18 2 4 2 2 3" xfId="46103" xr:uid="{FC2D716F-D8F6-4731-8167-78252ED903A1}"/>
    <cellStyle name="Normal 18 2 4 2 3" xfId="20964" xr:uid="{D64F7BD4-257B-4CA9-A734-C682F3AEA2C0}"/>
    <cellStyle name="Normal 18 2 4 2 4" xfId="37723" xr:uid="{1CCC9C9D-6905-439C-8D93-9096A2314CE2}"/>
    <cellStyle name="Normal 18 2 4 3" xfId="5891" xr:uid="{AE9DE7B7-D2C8-4934-B0DC-0F7878E3EFB2}"/>
    <cellStyle name="Normal 18 2 4 3 2" xfId="14271" xr:uid="{1D415D54-701C-4B11-BEFE-1DFF990B8B15}"/>
    <cellStyle name="Normal 18 2 4 3 2 2" xfId="31031" xr:uid="{1284B5F8-C810-4EE8-A170-87CE54A8FD6F}"/>
    <cellStyle name="Normal 18 2 4 3 2 3" xfId="47790" xr:uid="{FA922C86-EA35-4FC8-9EE4-4B0EC608606A}"/>
    <cellStyle name="Normal 18 2 4 3 3" xfId="22651" xr:uid="{76EE1C9A-7D7A-467A-A25F-1AA6F910BE09}"/>
    <cellStyle name="Normal 18 2 4 3 4" xfId="39410" xr:uid="{9B74A982-5DD6-41A9-8B40-40023A8D7F1A}"/>
    <cellStyle name="Normal 18 2 4 4" xfId="2627" xr:uid="{6412D3D2-D449-4266-A9D4-B7D14E7394CD}"/>
    <cellStyle name="Normal 18 2 4 4 2" xfId="11007" xr:uid="{9925BC7D-93C0-479F-89E1-27D6179AFC4D}"/>
    <cellStyle name="Normal 18 2 4 4 2 2" xfId="27767" xr:uid="{7D609792-1D68-4075-B07B-496AEE3904EC}"/>
    <cellStyle name="Normal 18 2 4 4 2 3" xfId="44526" xr:uid="{46D9D96A-3752-4CAE-9F49-AB348C4FB452}"/>
    <cellStyle name="Normal 18 2 4 4 3" xfId="19387" xr:uid="{FFAF316E-18CE-46F7-9B03-AF36A439FBE4}"/>
    <cellStyle name="Normal 18 2 4 4 4" xfId="36146" xr:uid="{3D7811CA-7766-4646-A88D-279E287744F7}"/>
    <cellStyle name="Normal 18 2 4 5" xfId="9204" xr:uid="{061D6312-0D3C-4DF1-A80A-5087319E5A45}"/>
    <cellStyle name="Normal 18 2 4 5 2" xfId="25964" xr:uid="{D3585766-DFA7-440B-823C-D35D6F85F001}"/>
    <cellStyle name="Normal 18 2 4 5 3" xfId="42723" xr:uid="{5D546973-8458-4D2B-9A21-1C8DFE595B7A}"/>
    <cellStyle name="Normal 18 2 4 6" xfId="17584" xr:uid="{F370C96F-6745-48AD-AEC7-D498665B773C}"/>
    <cellStyle name="Normal 18 2 4 7" xfId="34343" xr:uid="{7598C4ED-930A-4D6E-A481-C0BCF886726F}"/>
    <cellStyle name="Normal 18 2 5" xfId="1243" xr:uid="{4F9DFFA5-19A6-4DC0-A909-C258AAC78861}"/>
    <cellStyle name="Normal 18 2 5 2" xfId="4632" xr:uid="{C668D1F6-9035-4EE9-95A1-4642CF944EDD}"/>
    <cellStyle name="Normal 18 2 5 2 2" xfId="13012" xr:uid="{8440D858-5075-4922-9558-C927F214B664}"/>
    <cellStyle name="Normal 18 2 5 2 2 2" xfId="29772" xr:uid="{9E0DAB78-35ED-443E-BD2C-D5C524F7A038}"/>
    <cellStyle name="Normal 18 2 5 2 2 3" xfId="46531" xr:uid="{FFAA13EE-C2EF-4713-AEE5-24DD7E315F9F}"/>
    <cellStyle name="Normal 18 2 5 2 3" xfId="21392" xr:uid="{C8C9FAE7-EF4F-440D-BBF1-A33D48543C05}"/>
    <cellStyle name="Normal 18 2 5 2 4" xfId="38151" xr:uid="{71535B7B-1B9B-45B7-82C7-29C0C6ED3F84}"/>
    <cellStyle name="Normal 18 2 5 3" xfId="6319" xr:uid="{D9660893-C3AA-453A-8E83-63D76D65FE68}"/>
    <cellStyle name="Normal 18 2 5 3 2" xfId="14699" xr:uid="{CC88F164-05E3-47CE-A609-D4F1E55AB600}"/>
    <cellStyle name="Normal 18 2 5 3 2 2" xfId="31459" xr:uid="{CE84AFF9-3108-4F4F-AA60-A43BF50D14E4}"/>
    <cellStyle name="Normal 18 2 5 3 2 3" xfId="48218" xr:uid="{5C03D469-8C77-496B-B6EF-3904E7F06EE3}"/>
    <cellStyle name="Normal 18 2 5 3 3" xfId="23079" xr:uid="{36EBA084-4221-4C03-B908-CA3BF4076661}"/>
    <cellStyle name="Normal 18 2 5 3 4" xfId="39838" xr:uid="{6531B039-9FF9-496B-8AFC-026987A98296}"/>
    <cellStyle name="Normal 18 2 5 4" xfId="3055" xr:uid="{F772C92A-B02E-4E41-B7C2-56DA44BDCC74}"/>
    <cellStyle name="Normal 18 2 5 4 2" xfId="11435" xr:uid="{B474E988-EBED-4E8F-8BF8-6FEB65ACF844}"/>
    <cellStyle name="Normal 18 2 5 4 2 2" xfId="28195" xr:uid="{9607FFFC-AEE9-4080-B7B4-6C903BC5A58E}"/>
    <cellStyle name="Normal 18 2 5 4 2 3" xfId="44954" xr:uid="{E5F04433-BB81-48E5-91DB-483A3A7D7DAC}"/>
    <cellStyle name="Normal 18 2 5 4 3" xfId="19815" xr:uid="{EA701A26-3AF5-44FB-8BD5-806A6E37C533}"/>
    <cellStyle name="Normal 18 2 5 4 4" xfId="36574" xr:uid="{34FC5C61-9172-493D-BDF7-0C46966EFC59}"/>
    <cellStyle name="Normal 18 2 5 5" xfId="9632" xr:uid="{CA77D897-C866-4998-8BE0-BDC32C86D12A}"/>
    <cellStyle name="Normal 18 2 5 5 2" xfId="26392" xr:uid="{3C719C0F-22AA-4640-A5A0-11966BF98BBA}"/>
    <cellStyle name="Normal 18 2 5 5 3" xfId="43151" xr:uid="{52B7212E-8FF3-4F5A-81E9-D32FB7517E72}"/>
    <cellStyle name="Normal 18 2 5 6" xfId="18012" xr:uid="{A99F8B39-9261-41CA-9A2A-3C8E49EA8D8D}"/>
    <cellStyle name="Normal 18 2 5 7" xfId="34771" xr:uid="{C818A535-4293-4B14-99EA-1F98C81B4E6E}"/>
    <cellStyle name="Normal 18 2 6" xfId="1682" xr:uid="{B5112FDD-5C59-4685-B03D-D4C3905D7A05}"/>
    <cellStyle name="Normal 18 2 6 2" xfId="5071" xr:uid="{1B592260-5DB0-4F00-97F2-7FF504714371}"/>
    <cellStyle name="Normal 18 2 6 2 2" xfId="13451" xr:uid="{71337FB1-73BC-4D96-A155-7E2DF0D5E7B1}"/>
    <cellStyle name="Normal 18 2 6 2 2 2" xfId="30211" xr:uid="{E1EE8047-48EB-4F3F-92B7-79F004245D7E}"/>
    <cellStyle name="Normal 18 2 6 2 2 3" xfId="46970" xr:uid="{699367CF-1AD2-4A71-B104-716B958F48C8}"/>
    <cellStyle name="Normal 18 2 6 2 3" xfId="21831" xr:uid="{13B83018-8E0A-4C0A-B9DC-EEE3E575079E}"/>
    <cellStyle name="Normal 18 2 6 2 4" xfId="38590" xr:uid="{3C3867ED-0ACC-473E-9222-12ADE1181EB7}"/>
    <cellStyle name="Normal 18 2 6 3" xfId="6758" xr:uid="{7AE2581A-8DD3-465B-98AF-5CFA4C56B25A}"/>
    <cellStyle name="Normal 18 2 6 3 2" xfId="15138" xr:uid="{93E2D1E0-569B-4E4C-BC53-35BE48ED7665}"/>
    <cellStyle name="Normal 18 2 6 3 2 2" xfId="31898" xr:uid="{D81D582D-79F4-4499-B934-9C1EB7244F4C}"/>
    <cellStyle name="Normal 18 2 6 3 2 3" xfId="48657" xr:uid="{C08BC426-6D35-4679-8455-951120DE9C48}"/>
    <cellStyle name="Normal 18 2 6 3 3" xfId="23518" xr:uid="{89AE9328-9DCF-4700-94B7-A7801606D5FB}"/>
    <cellStyle name="Normal 18 2 6 3 4" xfId="40277" xr:uid="{F6C83B58-4E7E-4A79-A8E3-A78FCA27DFE1}"/>
    <cellStyle name="Normal 18 2 6 4" xfId="2194" xr:uid="{DAEDCC6B-B032-493C-862A-E7AF45604740}"/>
    <cellStyle name="Normal 18 2 6 4 2" xfId="10581" xr:uid="{ED5F7353-D61F-4E35-B652-3C0A6D815BEE}"/>
    <cellStyle name="Normal 18 2 6 4 2 2" xfId="27341" xr:uid="{A3DF3153-0800-4528-815E-738D66A93CDD}"/>
    <cellStyle name="Normal 18 2 6 4 2 3" xfId="44100" xr:uid="{F4D30DCB-2422-41F2-8341-CB5C788534A9}"/>
    <cellStyle name="Normal 18 2 6 4 3" xfId="18961" xr:uid="{2A58304E-5321-4AC6-8E4C-EEAA8E89BBA7}"/>
    <cellStyle name="Normal 18 2 6 4 4" xfId="35720" xr:uid="{A841F6B5-146D-4D9D-BBB7-EB72F2789C5C}"/>
    <cellStyle name="Normal 18 2 6 5" xfId="10071" xr:uid="{1474B2FE-7C8F-4181-816E-55CB1869D9E4}"/>
    <cellStyle name="Normal 18 2 6 5 2" xfId="26831" xr:uid="{D1000B05-8215-4100-8E38-8E65A07B19C9}"/>
    <cellStyle name="Normal 18 2 6 5 3" xfId="43590" xr:uid="{3E608904-DBC4-4181-BDE7-BCD322B72C68}"/>
    <cellStyle name="Normal 18 2 6 6" xfId="18451" xr:uid="{C186519E-64F3-47D4-A8EA-91E6A1EAAF55}"/>
    <cellStyle name="Normal 18 2 6 7" xfId="35210" xr:uid="{8EDEB9CA-296B-41B6-8FDC-7F37C51136C6}"/>
    <cellStyle name="Normal 18 2 7" xfId="3800" xr:uid="{9F27D5D4-94F8-4A98-A510-54A12414C91E}"/>
    <cellStyle name="Normal 18 2 7 2" xfId="12180" xr:uid="{F8A6509F-640D-4128-9C20-D751A38AE0FC}"/>
    <cellStyle name="Normal 18 2 7 2 2" xfId="28940" xr:uid="{DEE87B76-B215-49C0-A20E-7B893FDF72F1}"/>
    <cellStyle name="Normal 18 2 7 2 3" xfId="45699" xr:uid="{56C4FA14-24EE-4898-B167-C339221C5954}"/>
    <cellStyle name="Normal 18 2 7 3" xfId="20560" xr:uid="{108EB822-1332-4794-B508-656D5BD7D1BC}"/>
    <cellStyle name="Normal 18 2 7 4" xfId="37319" xr:uid="{E1F0F75D-247B-4E52-A91A-19DC1CCD318F}"/>
    <cellStyle name="Normal 18 2 8" xfId="5465" xr:uid="{31ED7716-40E3-4C48-BE25-EF41E348CE2E}"/>
    <cellStyle name="Normal 18 2 8 2" xfId="13845" xr:uid="{2BF4FB01-ECFC-4AF2-BA7C-E202CD1D18A0}"/>
    <cellStyle name="Normal 18 2 8 2 2" xfId="30605" xr:uid="{51B18D64-5B4D-4379-8DA7-CCF1832E4B1D}"/>
    <cellStyle name="Normal 18 2 8 2 3" xfId="47364" xr:uid="{1012D7B4-CEC8-49A0-BC2E-3A3DF447C496}"/>
    <cellStyle name="Normal 18 2 8 3" xfId="22225" xr:uid="{36667568-1DFC-489A-AA09-4A56C3F9AB84}"/>
    <cellStyle name="Normal 18 2 8 4" xfId="38984" xr:uid="{9E5F3723-BCF4-4C5F-952B-1039304DAD64}"/>
    <cellStyle name="Normal 18 2 9" xfId="7164" xr:uid="{43048094-1681-4ACD-B4EF-959453730E59}"/>
    <cellStyle name="Normal 18 2 9 2" xfId="15544" xr:uid="{BD785D45-B9C0-425D-AA00-B2E64889098E}"/>
    <cellStyle name="Normal 18 2 9 2 2" xfId="32304" xr:uid="{D45FCE1C-FA8D-434D-8C8D-DAF925C5CC77}"/>
    <cellStyle name="Normal 18 2 9 2 3" xfId="49063" xr:uid="{8C014B2F-DC52-4474-95D7-8749A2C2A8BA}"/>
    <cellStyle name="Normal 18 2 9 3" xfId="23924" xr:uid="{68E644EE-9388-4D5E-A45F-75F250B30193}"/>
    <cellStyle name="Normal 18 2 9 4" xfId="40683" xr:uid="{C1EC2417-F883-4BA0-8A84-223BB6EC75EB}"/>
    <cellStyle name="Normal 18 20" xfId="50939" xr:uid="{F242D9AC-329F-47EC-99E2-CAA86F4F4B4A}"/>
    <cellStyle name="Normal 18 21" xfId="276" xr:uid="{1073C678-915D-40AF-A26C-BDC5181651EB}"/>
    <cellStyle name="Normal 18 3" xfId="360" xr:uid="{8108A75E-2A2A-4A31-BD0D-FBA46832D214}"/>
    <cellStyle name="Normal 18 3 10" xfId="7571" xr:uid="{986CBDB5-6246-4C89-B87D-D24F88BDED05}"/>
    <cellStyle name="Normal 18 3 10 2" xfId="15951" xr:uid="{F10AE702-452B-4734-BA97-57447DB6067D}"/>
    <cellStyle name="Normal 18 3 10 2 2" xfId="32711" xr:uid="{F86BB171-3176-480C-90F8-836CC2F7A860}"/>
    <cellStyle name="Normal 18 3 10 2 3" xfId="49470" xr:uid="{65E70B11-C498-48B0-B235-47D0C190E215}"/>
    <cellStyle name="Normal 18 3 10 3" xfId="24331" xr:uid="{F1B5F2C0-BC59-4379-B739-A66E999D12CF}"/>
    <cellStyle name="Normal 18 3 10 4" xfId="41090" xr:uid="{D0B08D11-06CB-4D1E-9484-4559AADC6B38}"/>
    <cellStyle name="Normal 18 3 11" xfId="7977" xr:uid="{FF599C14-9E5B-46B6-BF97-4662EE61392C}"/>
    <cellStyle name="Normal 18 3 11 2" xfId="16357" xr:uid="{122EF487-869A-4213-B6A2-7ECFEB406212}"/>
    <cellStyle name="Normal 18 3 11 2 2" xfId="33117" xr:uid="{297CC9A8-71D7-491D-B11F-9D8778CA33D6}"/>
    <cellStyle name="Normal 18 3 11 2 3" xfId="49876" xr:uid="{4ECC2842-D2B6-468E-B4F7-2DB1AE87024A}"/>
    <cellStyle name="Normal 18 3 11 3" xfId="24737" xr:uid="{DA8213AF-764B-4736-9A87-4DFC49EED2B3}"/>
    <cellStyle name="Normal 18 3 11 4" xfId="41496" xr:uid="{5F979573-073A-47A0-ACBA-1F2E7ED3AC40}"/>
    <cellStyle name="Normal 18 3 12" xfId="8383" xr:uid="{8D65E9CB-D194-4B04-ACFE-C2F55DBBA548}"/>
    <cellStyle name="Normal 18 3 12 2" xfId="16763" xr:uid="{A1EC2A64-39A4-4981-A166-A9ED89164D88}"/>
    <cellStyle name="Normal 18 3 12 2 2" xfId="33523" xr:uid="{E052F6B0-7350-4A8D-82CE-4254EF8C00FB}"/>
    <cellStyle name="Normal 18 3 12 2 3" xfId="50282" xr:uid="{F12959F2-F018-4D0E-8468-B734B1BFF687}"/>
    <cellStyle name="Normal 18 3 12 3" xfId="25143" xr:uid="{DFDB9D24-DCFA-4383-A091-A0332C52CF16}"/>
    <cellStyle name="Normal 18 3 12 4" xfId="41902" xr:uid="{98F70DFC-231F-4BA8-B06D-29E2F8B631E5}"/>
    <cellStyle name="Normal 18 3 13" xfId="2116" xr:uid="{1062F7F4-12B3-4499-8BBB-A9C9579FA4FD}"/>
    <cellStyle name="Normal 18 3 13 2" xfId="10504" xr:uid="{75D1DEF6-551D-47A3-B6F7-BCBB9B896992}"/>
    <cellStyle name="Normal 18 3 13 2 2" xfId="27264" xr:uid="{75FF29C1-E6D9-4BB4-9287-CB2B8B230816}"/>
    <cellStyle name="Normal 18 3 13 2 3" xfId="44023" xr:uid="{51E17BDF-42D5-48B3-9E9A-01DDB451936F}"/>
    <cellStyle name="Normal 18 3 13 3" xfId="18884" xr:uid="{A02D846C-C920-4EA2-9EDD-9304F760CE64}"/>
    <cellStyle name="Normal 18 3 13 4" xfId="35643" xr:uid="{9AA8C9D9-D188-4918-8539-3FD08C70BF6B}"/>
    <cellStyle name="Normal 18 3 14" xfId="8824" xr:uid="{2506A552-E606-4257-878E-007ECA2A2118}"/>
    <cellStyle name="Normal 18 3 14 2" xfId="25584" xr:uid="{0AA337D5-396B-4367-922F-B31CF241F36C}"/>
    <cellStyle name="Normal 18 3 14 3" xfId="42343" xr:uid="{0052E8BB-6EF3-412C-9E22-511D5D154EA7}"/>
    <cellStyle name="Normal 18 3 15" xfId="17204" xr:uid="{13AA889C-D2D5-4F1F-B0D6-0248D5DE6E4A}"/>
    <cellStyle name="Normal 18 3 16" xfId="33963" xr:uid="{B9106289-3E17-4234-A82D-92E17E630189}"/>
    <cellStyle name="Normal 18 3 2" xfId="597" xr:uid="{A381D741-9156-4838-A183-CC8F24218F3A}"/>
    <cellStyle name="Normal 18 3 2 10" xfId="8526" xr:uid="{8121ACCB-2EA3-48D4-BF07-0218AB1309F7}"/>
    <cellStyle name="Normal 18 3 2 10 2" xfId="16906" xr:uid="{1C4C34AC-4219-408A-A0F6-AFA52D7B68D1}"/>
    <cellStyle name="Normal 18 3 2 10 2 2" xfId="33666" xr:uid="{3EFBE86C-1C76-4FEF-9560-D1B4FB4060D6}"/>
    <cellStyle name="Normal 18 3 2 10 2 3" xfId="50425" xr:uid="{0A865019-CFA0-4C18-817D-4CEC5BA92983}"/>
    <cellStyle name="Normal 18 3 2 10 3" xfId="25286" xr:uid="{7D691736-AC66-4698-8ECE-74C7C9210C97}"/>
    <cellStyle name="Normal 18 3 2 10 4" xfId="42045" xr:uid="{589F2230-53A0-41C3-9606-96060A1AD80C}"/>
    <cellStyle name="Normal 18 3 2 11" xfId="2429" xr:uid="{B57D26EA-E3CF-4690-9157-C152E557E89D}"/>
    <cellStyle name="Normal 18 3 2 11 2" xfId="10811" xr:uid="{4ECB031D-1E61-432C-8D57-F3511073D089}"/>
    <cellStyle name="Normal 18 3 2 11 2 2" xfId="27571" xr:uid="{D20457CD-D97E-4400-8A63-EE4621EC8B9A}"/>
    <cellStyle name="Normal 18 3 2 11 2 3" xfId="44330" xr:uid="{EC3D4F8C-8CCE-4476-80A7-6FACC311AE77}"/>
    <cellStyle name="Normal 18 3 2 11 3" xfId="19191" xr:uid="{F960BCEE-8AC5-4FB4-AAF1-A9A7A5477CD5}"/>
    <cellStyle name="Normal 18 3 2 11 4" xfId="35950" xr:uid="{C89564B8-DAF9-46AD-AEE9-2AA403EA1513}"/>
    <cellStyle name="Normal 18 3 2 12" xfId="9008" xr:uid="{99ECADE5-5FA8-48A3-AC8C-48579CC7FFCE}"/>
    <cellStyle name="Normal 18 3 2 12 2" xfId="25768" xr:uid="{052304FC-1E30-4814-815E-7D1F10EAE77A}"/>
    <cellStyle name="Normal 18 3 2 12 3" xfId="42527" xr:uid="{35973AA2-AC83-45C2-931C-9CE10E999D87}"/>
    <cellStyle name="Normal 18 3 2 13" xfId="17388" xr:uid="{97E45488-FEDB-44C7-8873-5646F10B213B}"/>
    <cellStyle name="Normal 18 3 2 14" xfId="34147" xr:uid="{29FB2018-CA71-4D9E-9D69-DC5EC5D7D44F}"/>
    <cellStyle name="Normal 18 3 2 2" xfId="1039" xr:uid="{DA032407-3FA6-4635-A106-569AB8AF937D}"/>
    <cellStyle name="Normal 18 3 2 2 2" xfId="4434" xr:uid="{F1FC9DD5-A048-4D01-A4E9-AC8E985F39EF}"/>
    <cellStyle name="Normal 18 3 2 2 2 2" xfId="12814" xr:uid="{7C75ECF0-F532-4E89-A2A2-ABE239ED4C13}"/>
    <cellStyle name="Normal 18 3 2 2 2 2 2" xfId="29574" xr:uid="{79C41C18-69BE-43B2-82C7-7E51AC1472F4}"/>
    <cellStyle name="Normal 18 3 2 2 2 2 3" xfId="46333" xr:uid="{91C644D0-3EA4-4FFD-A381-C2C697DE2066}"/>
    <cellStyle name="Normal 18 3 2 2 2 3" xfId="21194" xr:uid="{554262FF-F387-4DE3-8CF2-50034D0E9D9D}"/>
    <cellStyle name="Normal 18 3 2 2 2 4" xfId="37953" xr:uid="{AB63DEBD-445A-4746-BE67-F8998DFB6810}"/>
    <cellStyle name="Normal 18 3 2 2 3" xfId="6121" xr:uid="{7BE4A882-2A0B-4948-A90C-3CEA55A11EF6}"/>
    <cellStyle name="Normal 18 3 2 2 3 2" xfId="14501" xr:uid="{08B6C6EA-9709-4059-99E3-146FE40ABD7B}"/>
    <cellStyle name="Normal 18 3 2 2 3 2 2" xfId="31261" xr:uid="{CC9A88B3-E964-425A-A218-96C2558E94AB}"/>
    <cellStyle name="Normal 18 3 2 2 3 2 3" xfId="48020" xr:uid="{49EE0D9E-6513-4096-99C7-2D5EAB5A8C52}"/>
    <cellStyle name="Normal 18 3 2 2 3 3" xfId="22881" xr:uid="{98C9AF2C-342C-485D-A4FA-F5A11F09C030}"/>
    <cellStyle name="Normal 18 3 2 2 3 4" xfId="39640" xr:uid="{8FCB430B-7E0E-4968-A45F-CEB6E813F971}"/>
    <cellStyle name="Normal 18 3 2 2 4" xfId="2857" xr:uid="{7DCA11FF-3D64-4939-BF42-EB95492B7A92}"/>
    <cellStyle name="Normal 18 3 2 2 4 2" xfId="11237" xr:uid="{6A74B0D1-2498-4A10-BAE0-9590608B6D10}"/>
    <cellStyle name="Normal 18 3 2 2 4 2 2" xfId="27997" xr:uid="{DB375D2E-A0A3-4D2F-8733-637EA8DF37DA}"/>
    <cellStyle name="Normal 18 3 2 2 4 2 3" xfId="44756" xr:uid="{A77C98D7-F18A-478B-BA48-6F3ADB1CB173}"/>
    <cellStyle name="Normal 18 3 2 2 4 3" xfId="19617" xr:uid="{49129894-A717-45C0-B1E8-91EB395FCE7F}"/>
    <cellStyle name="Normal 18 3 2 2 4 4" xfId="36376" xr:uid="{21326E53-4DBA-464D-84DF-018BF54269E2}"/>
    <cellStyle name="Normal 18 3 2 2 5" xfId="9434" xr:uid="{E3F5A576-2BFE-49E0-9B2F-DD6FFDB7C2C1}"/>
    <cellStyle name="Normal 18 3 2 2 5 2" xfId="26194" xr:uid="{851F4115-4E6D-4D70-9912-87E7FE76FCBD}"/>
    <cellStyle name="Normal 18 3 2 2 5 3" xfId="42953" xr:uid="{8AF864A4-E665-4331-AFF8-40414DEE3950}"/>
    <cellStyle name="Normal 18 3 2 2 6" xfId="17814" xr:uid="{70941DBF-EC0F-4E25-AFD6-75B29DAD9926}"/>
    <cellStyle name="Normal 18 3 2 2 7" xfId="34573" xr:uid="{1231E6DB-76CC-472B-86A8-86CBD530E372}"/>
    <cellStyle name="Normal 18 3 2 3" xfId="1473" xr:uid="{7A9444DC-D977-41A9-9C3B-A7E0025E2AFD}"/>
    <cellStyle name="Normal 18 3 2 3 2" xfId="4862" xr:uid="{56668ED7-498E-438E-92CD-6FA08B296A71}"/>
    <cellStyle name="Normal 18 3 2 3 2 2" xfId="13242" xr:uid="{7CE7505F-645C-4064-906A-8A5D4D17B363}"/>
    <cellStyle name="Normal 18 3 2 3 2 2 2" xfId="30002" xr:uid="{C7D08384-6866-4C67-9E18-EA7D3633177D}"/>
    <cellStyle name="Normal 18 3 2 3 2 2 3" xfId="46761" xr:uid="{C816FBE7-AC7A-4ECF-A530-28199C5705AA}"/>
    <cellStyle name="Normal 18 3 2 3 2 3" xfId="21622" xr:uid="{5CCC8BD0-E568-4977-8C10-9B0EBD551FFA}"/>
    <cellStyle name="Normal 18 3 2 3 2 4" xfId="38381" xr:uid="{F08FC011-5B74-43DB-A352-FD30DD2D1886}"/>
    <cellStyle name="Normal 18 3 2 3 3" xfId="6549" xr:uid="{F8BF538D-C0EC-4651-B2FA-F7FFFDC45251}"/>
    <cellStyle name="Normal 18 3 2 3 3 2" xfId="14929" xr:uid="{94D1DC93-7673-4C78-B0B7-7484215516DD}"/>
    <cellStyle name="Normal 18 3 2 3 3 2 2" xfId="31689" xr:uid="{F7773D93-49F6-479C-A05C-E385EC295049}"/>
    <cellStyle name="Normal 18 3 2 3 3 2 3" xfId="48448" xr:uid="{8BF4AC29-6681-4B4A-BBB9-53CE6C52C0E3}"/>
    <cellStyle name="Normal 18 3 2 3 3 3" xfId="23309" xr:uid="{E189BCD0-F00E-4250-9ECC-703FA3A34212}"/>
    <cellStyle name="Normal 18 3 2 3 3 4" xfId="40068" xr:uid="{65D11E2E-DCCB-4AD9-869A-4BFDA1B736DB}"/>
    <cellStyle name="Normal 18 3 2 3 4" xfId="3285" xr:uid="{4B660132-8F43-4F06-991C-B3543FAF7961}"/>
    <cellStyle name="Normal 18 3 2 3 4 2" xfId="11665" xr:uid="{7C43155A-33DB-4871-82E3-162F6828D35F}"/>
    <cellStyle name="Normal 18 3 2 3 4 2 2" xfId="28425" xr:uid="{BCDB3063-0AEB-4245-A14D-61F54E638494}"/>
    <cellStyle name="Normal 18 3 2 3 4 2 3" xfId="45184" xr:uid="{6D8A066E-D208-4554-A8E0-E26E1610EAC3}"/>
    <cellStyle name="Normal 18 3 2 3 4 3" xfId="20045" xr:uid="{2B4BEEFC-6D36-4134-AAA5-EF2A6A67259C}"/>
    <cellStyle name="Normal 18 3 2 3 4 4" xfId="36804" xr:uid="{74B591E0-6FC9-4B79-8058-41236A26FE1B}"/>
    <cellStyle name="Normal 18 3 2 3 5" xfId="9862" xr:uid="{EE100939-9108-4D54-87CC-1B6593D2C60E}"/>
    <cellStyle name="Normal 18 3 2 3 5 2" xfId="26622" xr:uid="{A1735988-8FA0-40CD-AE7D-7149E91146EC}"/>
    <cellStyle name="Normal 18 3 2 3 5 3" xfId="43381" xr:uid="{2E524272-036D-4419-8F79-DEDB717B34F1}"/>
    <cellStyle name="Normal 18 3 2 3 6" xfId="18242" xr:uid="{142B82A6-27B7-4DDB-A6DB-CA4DDC165ECF}"/>
    <cellStyle name="Normal 18 3 2 3 7" xfId="35001" xr:uid="{07B7125E-85D1-4081-A806-D3A5D9A956F0}"/>
    <cellStyle name="Normal 18 3 2 4" xfId="1826" xr:uid="{BC91DFAE-6BD5-472E-A97C-354F522BEAB7}"/>
    <cellStyle name="Normal 18 3 2 4 2" xfId="5215" xr:uid="{0AAB1316-1107-4FB8-89B3-F1B2791FDC82}"/>
    <cellStyle name="Normal 18 3 2 4 2 2" xfId="13595" xr:uid="{6635B85A-F981-456D-B216-7D362A046614}"/>
    <cellStyle name="Normal 18 3 2 4 2 2 2" xfId="30355" xr:uid="{4F63DEEF-A1E8-4A4A-8465-9D2662FFDE00}"/>
    <cellStyle name="Normal 18 3 2 4 2 2 3" xfId="47114" xr:uid="{0621E2BF-E033-4973-9729-480623414087}"/>
    <cellStyle name="Normal 18 3 2 4 2 3" xfId="21975" xr:uid="{E079095C-0157-44E6-95CE-2235C8EC8FAC}"/>
    <cellStyle name="Normal 18 3 2 4 2 4" xfId="38734" xr:uid="{486CC1A6-DC66-4021-BAC3-975B24A2B3AC}"/>
    <cellStyle name="Normal 18 3 2 4 3" xfId="6902" xr:uid="{1B180852-D1ED-4B6D-ABC4-AD11594F594B}"/>
    <cellStyle name="Normal 18 3 2 4 3 2" xfId="15282" xr:uid="{C7984549-7446-44C0-889D-0A8A1C493FA1}"/>
    <cellStyle name="Normal 18 3 2 4 3 2 2" xfId="32042" xr:uid="{EB1A0040-308A-4AA0-9655-DBB70BEC54FA}"/>
    <cellStyle name="Normal 18 3 2 4 3 2 3" xfId="48801" xr:uid="{35D88CFB-72FB-4E2F-A71E-9F39256B3130}"/>
    <cellStyle name="Normal 18 3 2 4 3 3" xfId="23662" xr:uid="{AC0279F7-28C0-4001-8D8D-52D582104353}"/>
    <cellStyle name="Normal 18 3 2 4 3 4" xfId="40421" xr:uid="{9AC068E8-43F0-4A53-B1B2-CD82FDA2BF33}"/>
    <cellStyle name="Normal 18 3 2 4 4" xfId="3526" xr:uid="{C3C3BA8C-4AE0-493F-A4D0-9ACE05C0285B}"/>
    <cellStyle name="Normal 18 3 2 4 4 2" xfId="11906" xr:uid="{B7D7EDB0-AA4F-4FC0-B386-327507FB80F4}"/>
    <cellStyle name="Normal 18 3 2 4 4 2 2" xfId="28666" xr:uid="{872F2AD9-F240-4CA5-9C6E-A6E3196D8B6B}"/>
    <cellStyle name="Normal 18 3 2 4 4 2 3" xfId="45425" xr:uid="{9F4604A4-8F95-40F8-9062-ACEC37A0DCFF}"/>
    <cellStyle name="Normal 18 3 2 4 4 3" xfId="20286" xr:uid="{49F168A4-51C2-4866-B27E-536A59264074}"/>
    <cellStyle name="Normal 18 3 2 4 4 4" xfId="37045" xr:uid="{D5DABAF5-2DB6-4FD6-A1FF-576F2B020A13}"/>
    <cellStyle name="Normal 18 3 2 4 5" xfId="10215" xr:uid="{89A90433-3C09-4692-81C6-480F63B9C7B0}"/>
    <cellStyle name="Normal 18 3 2 4 5 2" xfId="26975" xr:uid="{888D2087-7197-4AF3-A39D-AAC99626CEC4}"/>
    <cellStyle name="Normal 18 3 2 4 5 3" xfId="43734" xr:uid="{C23E80F7-4A1D-4765-8A1C-00552E47B497}"/>
    <cellStyle name="Normal 18 3 2 4 6" xfId="18595" xr:uid="{F682558D-B527-4BEA-8C96-43C59BF027FB}"/>
    <cellStyle name="Normal 18 3 2 4 7" xfId="35354" xr:uid="{323BD898-7CC7-40E0-A0C6-93657F3B8C05}"/>
    <cellStyle name="Normal 18 3 2 5" xfId="3945" xr:uid="{B4DC3A03-B9D5-4C7A-B2FB-D36874B868F5}"/>
    <cellStyle name="Normal 18 3 2 5 2" xfId="12325" xr:uid="{7EE0E45E-EAFB-449A-BE6F-CFBA59B4D876}"/>
    <cellStyle name="Normal 18 3 2 5 2 2" xfId="29085" xr:uid="{BAE1A8A6-4F63-4EC4-898D-55AF468549E8}"/>
    <cellStyle name="Normal 18 3 2 5 2 3" xfId="45844" xr:uid="{21F169D1-A0E4-4CF3-BAEA-69036E1C0E85}"/>
    <cellStyle name="Normal 18 3 2 5 3" xfId="20705" xr:uid="{39DC5DBF-EB78-48A0-9983-69A04C6848E6}"/>
    <cellStyle name="Normal 18 3 2 5 4" xfId="37464" xr:uid="{67108E98-0170-4AC4-B349-F123B6DBB74B}"/>
    <cellStyle name="Normal 18 3 2 6" xfId="5695" xr:uid="{1B7476EF-52BD-4496-8720-BC35D4A27187}"/>
    <cellStyle name="Normal 18 3 2 6 2" xfId="14075" xr:uid="{AE286366-0423-4872-AF9D-3AA567F47791}"/>
    <cellStyle name="Normal 18 3 2 6 2 2" xfId="30835" xr:uid="{46D4C100-6551-4B76-8DFD-53EB0C9AA412}"/>
    <cellStyle name="Normal 18 3 2 6 2 3" xfId="47594" xr:uid="{C1765854-DE56-42AA-BD62-C112370A7832}"/>
    <cellStyle name="Normal 18 3 2 6 3" xfId="22455" xr:uid="{CEBB561B-EBB3-418D-8393-9E1C0D29DF3F}"/>
    <cellStyle name="Normal 18 3 2 6 4" xfId="39214" xr:uid="{FDEE735D-3283-4CF4-A516-48A25EDD0737}"/>
    <cellStyle name="Normal 18 3 2 7" xfId="7308" xr:uid="{083FB5CA-748D-4450-BEE7-881A6009DA6F}"/>
    <cellStyle name="Normal 18 3 2 7 2" xfId="15688" xr:uid="{2B9284CB-AA79-4B5B-8E73-4D14AFB60293}"/>
    <cellStyle name="Normal 18 3 2 7 2 2" xfId="32448" xr:uid="{4B2E2360-0398-4402-8DB7-FBCD7CCEAE43}"/>
    <cellStyle name="Normal 18 3 2 7 2 3" xfId="49207" xr:uid="{3E7A01B0-2FF7-44E1-8039-C902E20CB645}"/>
    <cellStyle name="Normal 18 3 2 7 3" xfId="24068" xr:uid="{00B9440D-60B8-4578-9648-69A1E9C97456}"/>
    <cellStyle name="Normal 18 3 2 7 4" xfId="40827" xr:uid="{6141C830-2D6A-4040-94E3-8BA9C7301DD5}"/>
    <cellStyle name="Normal 18 3 2 8" xfId="7714" xr:uid="{F9B0DC51-4045-44A1-99B1-BF27ED7AD716}"/>
    <cellStyle name="Normal 18 3 2 8 2" xfId="16094" xr:uid="{5AC9C5B9-1C24-4409-A5A5-DA565B8AA352}"/>
    <cellStyle name="Normal 18 3 2 8 2 2" xfId="32854" xr:uid="{E7B6AD21-DE59-4340-8085-F70C2FB1194E}"/>
    <cellStyle name="Normal 18 3 2 8 2 3" xfId="49613" xr:uid="{84400458-14E1-4F48-8D0F-B08B7CEBDF9F}"/>
    <cellStyle name="Normal 18 3 2 8 3" xfId="24474" xr:uid="{52881476-B588-409A-B97F-5DB6D40B66E8}"/>
    <cellStyle name="Normal 18 3 2 8 4" xfId="41233" xr:uid="{1D3F1E6E-B574-4FE1-9B27-5D475D2C6B97}"/>
    <cellStyle name="Normal 18 3 2 9" xfId="8120" xr:uid="{C07666E7-E22B-4403-B1A4-19FACD517A12}"/>
    <cellStyle name="Normal 18 3 2 9 2" xfId="16500" xr:uid="{8BB77E8A-6F39-4F64-BA35-99A78C2A7C14}"/>
    <cellStyle name="Normal 18 3 2 9 2 2" xfId="33260" xr:uid="{EDEB5D9B-2A93-48F2-ABE5-2AB111EDC260}"/>
    <cellStyle name="Normal 18 3 2 9 2 3" xfId="50019" xr:uid="{0D272954-C86A-4605-B675-508E99B388C7}"/>
    <cellStyle name="Normal 18 3 2 9 3" xfId="24880" xr:uid="{894C303B-C8E2-40C2-BE3E-81BB1491662E}"/>
    <cellStyle name="Normal 18 3 2 9 4" xfId="41639" xr:uid="{0F253B6E-DCA9-43FA-9C12-31A843A635FC}"/>
    <cellStyle name="Normal 18 3 3" xfId="598" xr:uid="{93987ADF-9831-48B8-9730-100FDF7CAF8C}"/>
    <cellStyle name="Normal 18 3 3 10" xfId="8654" xr:uid="{8CF4B2BA-02F6-4060-8FCE-447E2682A8EB}"/>
    <cellStyle name="Normal 18 3 3 10 2" xfId="17034" xr:uid="{671E500F-B0DF-4B55-BBAE-C5D54B82AD02}"/>
    <cellStyle name="Normal 18 3 3 10 2 2" xfId="33794" xr:uid="{20C5399E-E4BC-479D-B010-576CDCD56FAF}"/>
    <cellStyle name="Normal 18 3 3 10 2 3" xfId="50553" xr:uid="{4FFBCD6C-039D-43FC-BF65-19D347F98437}"/>
    <cellStyle name="Normal 18 3 3 10 3" xfId="25414" xr:uid="{D574CD1B-36CD-424E-BCFF-7386A2180B38}"/>
    <cellStyle name="Normal 18 3 3 10 4" xfId="42173" xr:uid="{F44B63D4-0D21-4B04-9744-B9F4CB92ACFE}"/>
    <cellStyle name="Normal 18 3 3 11" xfId="2430" xr:uid="{E21078DD-001E-42D0-9C92-6927832153DB}"/>
    <cellStyle name="Normal 18 3 3 11 2" xfId="10812" xr:uid="{F28B1D92-1163-4509-ABEC-0059C4CD0A94}"/>
    <cellStyle name="Normal 18 3 3 11 2 2" xfId="27572" xr:uid="{8ABB2249-6CFA-4197-BC5A-3AC69953B88E}"/>
    <cellStyle name="Normal 18 3 3 11 2 3" xfId="44331" xr:uid="{B4763839-AF10-4A71-B68B-8FF00D3CFBC6}"/>
    <cellStyle name="Normal 18 3 3 11 3" xfId="19192" xr:uid="{38E03A45-CDDE-45A5-896C-0C0A6F02ADBE}"/>
    <cellStyle name="Normal 18 3 3 11 4" xfId="35951" xr:uid="{D3EEC5FC-9137-4602-8215-F7992ED71689}"/>
    <cellStyle name="Normal 18 3 3 12" xfId="9009" xr:uid="{7ED5643A-B4E0-4A31-A621-312B1DAE8DBB}"/>
    <cellStyle name="Normal 18 3 3 12 2" xfId="25769" xr:uid="{54792CA4-9033-452D-BE25-D832A5E49FE7}"/>
    <cellStyle name="Normal 18 3 3 12 3" xfId="42528" xr:uid="{3E496C61-069B-48FF-9489-D43370771551}"/>
    <cellStyle name="Normal 18 3 3 13" xfId="17389" xr:uid="{B127B7F6-D17D-44B9-987F-5C0CF1FA6493}"/>
    <cellStyle name="Normal 18 3 3 14" xfId="34148" xr:uid="{4C42B58F-9E1A-43F3-A04A-94FE8705525F}"/>
    <cellStyle name="Normal 18 3 3 2" xfId="1040" xr:uid="{D13BF6ED-47FE-4285-B115-16F60F955346}"/>
    <cellStyle name="Normal 18 3 3 2 2" xfId="4435" xr:uid="{8F6B1CB5-1278-420C-9B59-DE3F8D969EED}"/>
    <cellStyle name="Normal 18 3 3 2 2 2" xfId="12815" xr:uid="{EF053944-C34E-425D-82D6-501938055519}"/>
    <cellStyle name="Normal 18 3 3 2 2 2 2" xfId="29575" xr:uid="{71825BF6-832E-4C1E-869B-17645B97CE23}"/>
    <cellStyle name="Normal 18 3 3 2 2 2 3" xfId="46334" xr:uid="{A2736D2B-6A25-47D3-BA28-A5B50AB737AD}"/>
    <cellStyle name="Normal 18 3 3 2 2 3" xfId="21195" xr:uid="{30C0BFBF-8020-42EB-8FEC-B5612CA59EAF}"/>
    <cellStyle name="Normal 18 3 3 2 2 4" xfId="37954" xr:uid="{D7616EED-9AB5-4B7B-BA42-3B556C766A85}"/>
    <cellStyle name="Normal 18 3 3 2 3" xfId="6122" xr:uid="{4F75FE3A-0272-45F2-8EFC-BAF23652BA39}"/>
    <cellStyle name="Normal 18 3 3 2 3 2" xfId="14502" xr:uid="{75A846E0-9409-42E0-8362-E2BB2DDC33CC}"/>
    <cellStyle name="Normal 18 3 3 2 3 2 2" xfId="31262" xr:uid="{668E5BF0-CB25-4E54-8785-E133229E891C}"/>
    <cellStyle name="Normal 18 3 3 2 3 2 3" xfId="48021" xr:uid="{D94FCDCC-294F-4B97-8FC2-A478897D5B32}"/>
    <cellStyle name="Normal 18 3 3 2 3 3" xfId="22882" xr:uid="{76413883-C3F2-48C0-9B1F-B58238BE71AF}"/>
    <cellStyle name="Normal 18 3 3 2 3 4" xfId="39641" xr:uid="{77B2B778-B72E-4FED-9C36-2BEE9403E2DE}"/>
    <cellStyle name="Normal 18 3 3 2 4" xfId="2858" xr:uid="{A79AAEDE-F296-4885-9CB0-0D643CF29312}"/>
    <cellStyle name="Normal 18 3 3 2 4 2" xfId="11238" xr:uid="{B3561053-5AC9-4785-856D-249D89B3F05C}"/>
    <cellStyle name="Normal 18 3 3 2 4 2 2" xfId="27998" xr:uid="{F6801E89-D08A-4639-BF77-E425BB162549}"/>
    <cellStyle name="Normal 18 3 3 2 4 2 3" xfId="44757" xr:uid="{3D70219C-07AD-4FDC-9BE1-9C03F3A8D2A8}"/>
    <cellStyle name="Normal 18 3 3 2 4 3" xfId="19618" xr:uid="{780B48C4-408B-4FCA-B094-F509B70779B2}"/>
    <cellStyle name="Normal 18 3 3 2 4 4" xfId="36377" xr:uid="{7AA5E201-2D65-4F1E-81D6-0205FCAEA109}"/>
    <cellStyle name="Normal 18 3 3 2 5" xfId="9435" xr:uid="{D479985E-6538-4D4C-A1B8-F489D55293DE}"/>
    <cellStyle name="Normal 18 3 3 2 5 2" xfId="26195" xr:uid="{B05289C9-381D-4EB0-9FD7-9441ADA005F4}"/>
    <cellStyle name="Normal 18 3 3 2 5 3" xfId="42954" xr:uid="{85A8E491-9A49-4D73-9E27-6FE2DC6C2C4D}"/>
    <cellStyle name="Normal 18 3 3 2 6" xfId="17815" xr:uid="{E76E372E-6470-43E8-AB1D-774525DBB752}"/>
    <cellStyle name="Normal 18 3 3 2 7" xfId="34574" xr:uid="{D0490353-8584-41BD-BF9E-C3C70BA384EB}"/>
    <cellStyle name="Normal 18 3 3 3" xfId="1474" xr:uid="{F116D34D-650D-414A-90E0-D416BAA70285}"/>
    <cellStyle name="Normal 18 3 3 3 2" xfId="4863" xr:uid="{0A832B75-3D92-415E-9242-643E793E863E}"/>
    <cellStyle name="Normal 18 3 3 3 2 2" xfId="13243" xr:uid="{536FE2CA-BD39-4EC8-A3BC-967BE42BEED5}"/>
    <cellStyle name="Normal 18 3 3 3 2 2 2" xfId="30003" xr:uid="{36E906BB-92B9-4A01-95B4-2B25EFB64BAD}"/>
    <cellStyle name="Normal 18 3 3 3 2 2 3" xfId="46762" xr:uid="{F04F5DA1-B13E-4C8E-AD38-C1568DA1DB2D}"/>
    <cellStyle name="Normal 18 3 3 3 2 3" xfId="21623" xr:uid="{B8851E85-A081-4723-A29F-C1AA33D5E650}"/>
    <cellStyle name="Normal 18 3 3 3 2 4" xfId="38382" xr:uid="{61CA615B-66F0-4CA4-8C44-3F4C03BBC18B}"/>
    <cellStyle name="Normal 18 3 3 3 3" xfId="6550" xr:uid="{10EE56A4-6278-4FCF-AA00-886C2A09542D}"/>
    <cellStyle name="Normal 18 3 3 3 3 2" xfId="14930" xr:uid="{950F7613-E779-4AA9-B75D-E6BAF7AD9E8D}"/>
    <cellStyle name="Normal 18 3 3 3 3 2 2" xfId="31690" xr:uid="{FB99D48A-2480-4E19-B652-E8143BD42CD0}"/>
    <cellStyle name="Normal 18 3 3 3 3 2 3" xfId="48449" xr:uid="{4DD8B971-EBF7-424A-8C0D-C85BACD92C7A}"/>
    <cellStyle name="Normal 18 3 3 3 3 3" xfId="23310" xr:uid="{C2AB7E4C-A97D-4207-8E0B-2BD3F4FD3AC4}"/>
    <cellStyle name="Normal 18 3 3 3 3 4" xfId="40069" xr:uid="{42D99DAA-1A34-4310-B630-55514C56B6A2}"/>
    <cellStyle name="Normal 18 3 3 3 4" xfId="3286" xr:uid="{BEA33695-668D-4C20-8BAB-82275BCBCC02}"/>
    <cellStyle name="Normal 18 3 3 3 4 2" xfId="11666" xr:uid="{E3D14900-ADBC-48C4-99CE-7FD8F400395E}"/>
    <cellStyle name="Normal 18 3 3 3 4 2 2" xfId="28426" xr:uid="{7BB6D9EF-8B41-4C9E-96DF-C007B13EEA52}"/>
    <cellStyle name="Normal 18 3 3 3 4 2 3" xfId="45185" xr:uid="{5507FAAE-6184-44AD-A866-8F2DB88DB81A}"/>
    <cellStyle name="Normal 18 3 3 3 4 3" xfId="20046" xr:uid="{FF936882-92CD-4873-86E8-A36C901466CC}"/>
    <cellStyle name="Normal 18 3 3 3 4 4" xfId="36805" xr:uid="{D1DAE736-05A5-4CBC-9254-1F93B7FB61B9}"/>
    <cellStyle name="Normal 18 3 3 3 5" xfId="9863" xr:uid="{A721DAB2-0C4C-47AC-B27C-14DD16534E0A}"/>
    <cellStyle name="Normal 18 3 3 3 5 2" xfId="26623" xr:uid="{57E31F49-FFC8-4FD3-9081-89FD8E515D9C}"/>
    <cellStyle name="Normal 18 3 3 3 5 3" xfId="43382" xr:uid="{32E2F892-F1BB-464B-95E0-96E4C8E19EAA}"/>
    <cellStyle name="Normal 18 3 3 3 6" xfId="18243" xr:uid="{3F7F5B8E-73FA-4402-AB09-AC13E4738969}"/>
    <cellStyle name="Normal 18 3 3 3 7" xfId="35002" xr:uid="{4FA5FCE6-CBD5-4237-90E4-C71BACF8F99C}"/>
    <cellStyle name="Normal 18 3 3 4" xfId="1954" xr:uid="{8857456E-4790-47DE-99AD-8351B5CA2629}"/>
    <cellStyle name="Normal 18 3 3 4 2" xfId="5343" xr:uid="{6195C3B4-E146-4A3D-8179-64B8E9CCB58B}"/>
    <cellStyle name="Normal 18 3 3 4 2 2" xfId="13723" xr:uid="{FADAD7FA-6E17-4E69-BBBD-9AB4A039D098}"/>
    <cellStyle name="Normal 18 3 3 4 2 2 2" xfId="30483" xr:uid="{919BE068-7DD1-4988-9F68-CEEEDDA7FEF8}"/>
    <cellStyle name="Normal 18 3 3 4 2 2 3" xfId="47242" xr:uid="{E9C72221-F51D-47DD-AAE1-357376EB5F59}"/>
    <cellStyle name="Normal 18 3 3 4 2 3" xfId="22103" xr:uid="{6D163059-19B4-4B1B-A95B-579535C2BD5E}"/>
    <cellStyle name="Normal 18 3 3 4 2 4" xfId="38862" xr:uid="{B1704665-B59B-4ACB-ABF7-0C640FA5F24F}"/>
    <cellStyle name="Normal 18 3 3 4 3" xfId="7030" xr:uid="{55035A2B-8F4B-408D-9245-2D2B257A91AF}"/>
    <cellStyle name="Normal 18 3 3 4 3 2" xfId="15410" xr:uid="{E826D9DD-E108-4411-813A-66894C491F2A}"/>
    <cellStyle name="Normal 18 3 3 4 3 2 2" xfId="32170" xr:uid="{36A34122-2A9C-4B8B-BFC1-CC628F56C7F0}"/>
    <cellStyle name="Normal 18 3 3 4 3 2 3" xfId="48929" xr:uid="{DF7ACA6D-51E0-47D5-9F7B-9B9DAD076D54}"/>
    <cellStyle name="Normal 18 3 3 4 3 3" xfId="23790" xr:uid="{C3EECBD8-CCA2-4A73-A622-186F211CCCAF}"/>
    <cellStyle name="Normal 18 3 3 4 3 4" xfId="40549" xr:uid="{4E8C3D39-D23D-4455-AC61-AA868F715E04}"/>
    <cellStyle name="Normal 18 3 3 4 4" xfId="3653" xr:uid="{B51FEFBF-1E77-49D0-A25E-9AC98FEFCE3D}"/>
    <cellStyle name="Normal 18 3 3 4 4 2" xfId="12033" xr:uid="{5617EB2E-A1B5-4127-8431-EF4C88B69550}"/>
    <cellStyle name="Normal 18 3 3 4 4 2 2" xfId="28793" xr:uid="{16E5DE72-BA23-4E7B-B5C7-035F82570C3B}"/>
    <cellStyle name="Normal 18 3 3 4 4 2 3" xfId="45552" xr:uid="{60B35C6A-5E8C-4F84-A74C-AC28AF606988}"/>
    <cellStyle name="Normal 18 3 3 4 4 3" xfId="20413" xr:uid="{10DA8B55-2128-4C23-BCAB-DDFD5F11E952}"/>
    <cellStyle name="Normal 18 3 3 4 4 4" xfId="37172" xr:uid="{D83094C5-2AF2-477A-84B1-0FC71A2DFC9F}"/>
    <cellStyle name="Normal 18 3 3 4 5" xfId="10343" xr:uid="{E273B595-1EE9-4C82-9260-CFFFB00AEA32}"/>
    <cellStyle name="Normal 18 3 3 4 5 2" xfId="27103" xr:uid="{8A65F1E4-4D04-4132-881D-0CEE4B336BAF}"/>
    <cellStyle name="Normal 18 3 3 4 5 3" xfId="43862" xr:uid="{92106A72-4E3A-46FB-96F5-D4D12350E55C}"/>
    <cellStyle name="Normal 18 3 3 4 6" xfId="18723" xr:uid="{B56CAA46-7275-4D7C-AA73-F2B99E4BCB54}"/>
    <cellStyle name="Normal 18 3 3 4 7" xfId="35482" xr:uid="{CC105A56-8E8D-4F5B-B0AC-BF3169F0D047}"/>
    <cellStyle name="Normal 18 3 3 5" xfId="4073" xr:uid="{92BC356A-F037-49CC-9403-CCAA3C67B56D}"/>
    <cellStyle name="Normal 18 3 3 5 2" xfId="12453" xr:uid="{0CF7F4F3-177F-46E3-8A22-BB15C9CFE432}"/>
    <cellStyle name="Normal 18 3 3 5 2 2" xfId="29213" xr:uid="{877648D1-8260-4882-9CCA-A562EC539034}"/>
    <cellStyle name="Normal 18 3 3 5 2 3" xfId="45972" xr:uid="{D846D6B0-4F04-4CC7-A0AE-289523CA291D}"/>
    <cellStyle name="Normal 18 3 3 5 3" xfId="20833" xr:uid="{F25244A0-2E7E-42AE-8FBD-DC12A87A119D}"/>
    <cellStyle name="Normal 18 3 3 5 4" xfId="37592" xr:uid="{16613BBE-9C11-4924-98B9-E54E264C435E}"/>
    <cellStyle name="Normal 18 3 3 6" xfId="5696" xr:uid="{8A778A73-1CEF-4828-8C84-ACCAC4FD221B}"/>
    <cellStyle name="Normal 18 3 3 6 2" xfId="14076" xr:uid="{CDCC25CA-9211-4034-99A4-2A7812BB7462}"/>
    <cellStyle name="Normal 18 3 3 6 2 2" xfId="30836" xr:uid="{C6261282-5432-425B-9F4D-3DF7E7B5C474}"/>
    <cellStyle name="Normal 18 3 3 6 2 3" xfId="47595" xr:uid="{553B5310-1483-49C9-8E87-3B692C92627C}"/>
    <cellStyle name="Normal 18 3 3 6 3" xfId="22456" xr:uid="{732A8D71-B5F3-49DA-8116-469212468851}"/>
    <cellStyle name="Normal 18 3 3 6 4" xfId="39215" xr:uid="{B0F84983-603F-46A0-AB64-848A1640F86C}"/>
    <cellStyle name="Normal 18 3 3 7" xfId="7436" xr:uid="{E1534CD8-2CE4-43CA-9838-222D23ECC9B7}"/>
    <cellStyle name="Normal 18 3 3 7 2" xfId="15816" xr:uid="{7A6C68CD-3749-4AC4-9ACC-9195B376C365}"/>
    <cellStyle name="Normal 18 3 3 7 2 2" xfId="32576" xr:uid="{9BE1707A-6508-459F-BB9E-199B8A9027DA}"/>
    <cellStyle name="Normal 18 3 3 7 2 3" xfId="49335" xr:uid="{751894CA-1076-4413-937A-BD2CF66149E7}"/>
    <cellStyle name="Normal 18 3 3 7 3" xfId="24196" xr:uid="{4108CD31-7D02-451F-B90E-F8C1715D28FC}"/>
    <cellStyle name="Normal 18 3 3 7 4" xfId="40955" xr:uid="{F6A55A04-FAC2-4A69-A79B-E2C5BA7DF0B5}"/>
    <cellStyle name="Normal 18 3 3 8" xfId="7842" xr:uid="{8FC6FC0D-BEB0-4DD0-B7BE-E6490EB5F041}"/>
    <cellStyle name="Normal 18 3 3 8 2" xfId="16222" xr:uid="{9BC28CD9-2500-4FCB-A42D-0F8ED86C3E4B}"/>
    <cellStyle name="Normal 18 3 3 8 2 2" xfId="32982" xr:uid="{2BB7ADEC-365E-48EF-B287-CF1D26FFFAA6}"/>
    <cellStyle name="Normal 18 3 3 8 2 3" xfId="49741" xr:uid="{87CEDBD7-2BFF-41FF-A1F4-9F0919683457}"/>
    <cellStyle name="Normal 18 3 3 8 3" xfId="24602" xr:uid="{BAECE640-3A99-4CBD-9651-71247717F2A5}"/>
    <cellStyle name="Normal 18 3 3 8 4" xfId="41361" xr:uid="{2E55B2BC-E71B-460E-9015-270CEB856C25}"/>
    <cellStyle name="Normal 18 3 3 9" xfId="8248" xr:uid="{1AB227A8-35AB-4FD5-8215-6DFFBE079B11}"/>
    <cellStyle name="Normal 18 3 3 9 2" xfId="16628" xr:uid="{BAFD50A3-3242-493B-B2F5-33CC08F0BE3E}"/>
    <cellStyle name="Normal 18 3 3 9 2 2" xfId="33388" xr:uid="{A423A622-381B-4D96-8817-B8EEE1538F29}"/>
    <cellStyle name="Normal 18 3 3 9 2 3" xfId="50147" xr:uid="{EB8EFFF7-BA94-4DB9-9828-F55D4D58A97A}"/>
    <cellStyle name="Normal 18 3 3 9 3" xfId="25008" xr:uid="{8A8C5009-A01F-4B5D-91ED-CEC7D32E5133}"/>
    <cellStyle name="Normal 18 3 3 9 4" xfId="41767" xr:uid="{00690663-F0B5-45BF-8E9C-019985EB5BC4}"/>
    <cellStyle name="Normal 18 3 4" xfId="855" xr:uid="{239C1A10-1BD2-4DD4-9E45-5C01E5B4E495}"/>
    <cellStyle name="Normal 18 3 4 2" xfId="4250" xr:uid="{D5389666-97F6-4341-B70B-708BDF8F4CBA}"/>
    <cellStyle name="Normal 18 3 4 2 2" xfId="12630" xr:uid="{BA3EC856-F4B9-4DD2-9810-2870EF49C23A}"/>
    <cellStyle name="Normal 18 3 4 2 2 2" xfId="29390" xr:uid="{B34E082D-01D6-40BF-9176-61B2C1CC4252}"/>
    <cellStyle name="Normal 18 3 4 2 2 3" xfId="46149" xr:uid="{57C60E84-0DBF-4541-A928-E295300F3690}"/>
    <cellStyle name="Normal 18 3 4 2 3" xfId="21010" xr:uid="{93E53168-F490-4C24-8285-9AF0DEFAD43D}"/>
    <cellStyle name="Normal 18 3 4 2 4" xfId="37769" xr:uid="{E531F809-D497-4C0E-AF42-47034795371E}"/>
    <cellStyle name="Normal 18 3 4 3" xfId="5937" xr:uid="{0EB0A812-B7F0-4B71-9854-1AE96A61F0E6}"/>
    <cellStyle name="Normal 18 3 4 3 2" xfId="14317" xr:uid="{133F502F-E69F-4CE5-B552-E915050D0FDA}"/>
    <cellStyle name="Normal 18 3 4 3 2 2" xfId="31077" xr:uid="{5106C0DC-79E6-474B-82D4-A45DF9B6A38E}"/>
    <cellStyle name="Normal 18 3 4 3 2 3" xfId="47836" xr:uid="{E314C050-6ACB-4E8D-8600-D9F6C9F5DB21}"/>
    <cellStyle name="Normal 18 3 4 3 3" xfId="22697" xr:uid="{AEEB0F25-F9D5-494E-8BFA-8FAC4866CC09}"/>
    <cellStyle name="Normal 18 3 4 3 4" xfId="39456" xr:uid="{4FC7ED27-DB63-41B1-BC35-0D9C55BC671F}"/>
    <cellStyle name="Normal 18 3 4 4" xfId="2673" xr:uid="{110588BC-62FF-4A63-9F8A-0D9E9534FE31}"/>
    <cellStyle name="Normal 18 3 4 4 2" xfId="11053" xr:uid="{43908C4F-B4AA-4E18-BD95-CD186502A223}"/>
    <cellStyle name="Normal 18 3 4 4 2 2" xfId="27813" xr:uid="{9990A5C5-321A-4C7D-9CB4-61B2DD5EC384}"/>
    <cellStyle name="Normal 18 3 4 4 2 3" xfId="44572" xr:uid="{65EA8242-B82D-4AB8-BEAC-BC69F2455122}"/>
    <cellStyle name="Normal 18 3 4 4 3" xfId="19433" xr:uid="{CAF90D54-2F2F-4362-8E4D-D1316C198DE9}"/>
    <cellStyle name="Normal 18 3 4 4 4" xfId="36192" xr:uid="{09A93235-C758-43B7-AC83-1ADD75F6106E}"/>
    <cellStyle name="Normal 18 3 4 5" xfId="9250" xr:uid="{A85D7B58-3153-4852-9736-E3B52A3184C0}"/>
    <cellStyle name="Normal 18 3 4 5 2" xfId="26010" xr:uid="{B6C9DC17-18ED-40FD-A857-EFF5D580FC41}"/>
    <cellStyle name="Normal 18 3 4 5 3" xfId="42769" xr:uid="{C522898E-6FA6-406F-9157-E6E9F98C8B3A}"/>
    <cellStyle name="Normal 18 3 4 6" xfId="17630" xr:uid="{1ED8AF67-3058-498C-864A-77732DBDD868}"/>
    <cellStyle name="Normal 18 3 4 7" xfId="34389" xr:uid="{8FD5D15A-E91B-4112-A009-17E5E54D1021}"/>
    <cellStyle name="Normal 18 3 5" xfId="1289" xr:uid="{373DF398-DB54-443C-9899-5647210614E2}"/>
    <cellStyle name="Normal 18 3 5 2" xfId="4678" xr:uid="{FA027557-97EE-4E97-9E57-98C9FA4694A4}"/>
    <cellStyle name="Normal 18 3 5 2 2" xfId="13058" xr:uid="{7DD1AEE9-15E5-4C62-B892-D7A1CC10E801}"/>
    <cellStyle name="Normal 18 3 5 2 2 2" xfId="29818" xr:uid="{D508D125-DCFF-4F35-98E2-5E367BB8F74D}"/>
    <cellStyle name="Normal 18 3 5 2 2 3" xfId="46577" xr:uid="{E59F01DC-0DB0-4EFD-B6C2-C998DA91E60B}"/>
    <cellStyle name="Normal 18 3 5 2 3" xfId="21438" xr:uid="{BA048244-60B2-4CB5-8A6E-C2ABF93815AF}"/>
    <cellStyle name="Normal 18 3 5 2 4" xfId="38197" xr:uid="{D1CE83A5-2D0B-4438-A6BA-6F1313171C8D}"/>
    <cellStyle name="Normal 18 3 5 3" xfId="6365" xr:uid="{764605C0-7AD9-4D46-8BDE-8CB2A4A20F25}"/>
    <cellStyle name="Normal 18 3 5 3 2" xfId="14745" xr:uid="{DAAF3B2D-DA38-493A-945A-8986763F01DD}"/>
    <cellStyle name="Normal 18 3 5 3 2 2" xfId="31505" xr:uid="{D3202D7D-4477-44D7-A284-20809A03F44D}"/>
    <cellStyle name="Normal 18 3 5 3 2 3" xfId="48264" xr:uid="{3AE93699-9183-4E07-AC1B-2C58AA901006}"/>
    <cellStyle name="Normal 18 3 5 3 3" xfId="23125" xr:uid="{610BE478-2076-4524-984D-6E08FE790CC2}"/>
    <cellStyle name="Normal 18 3 5 3 4" xfId="39884" xr:uid="{9F334025-4520-4973-A529-91031B9B575B}"/>
    <cellStyle name="Normal 18 3 5 4" xfId="3101" xr:uid="{39A1865C-490A-4862-9102-C9B2D203E9FA}"/>
    <cellStyle name="Normal 18 3 5 4 2" xfId="11481" xr:uid="{0AECBC69-FF63-4CB9-B756-70602BDEDA95}"/>
    <cellStyle name="Normal 18 3 5 4 2 2" xfId="28241" xr:uid="{464BF395-D79C-440A-97A3-2D43D8388BE5}"/>
    <cellStyle name="Normal 18 3 5 4 2 3" xfId="45000" xr:uid="{CA1B9721-E930-463A-9931-360EF69D04E5}"/>
    <cellStyle name="Normal 18 3 5 4 3" xfId="19861" xr:uid="{C44782BD-004F-4794-A3FB-7AB3FC465012}"/>
    <cellStyle name="Normal 18 3 5 4 4" xfId="36620" xr:uid="{8A8E134D-805A-4F82-BF49-E601E1A1BD7F}"/>
    <cellStyle name="Normal 18 3 5 5" xfId="9678" xr:uid="{C58FF61B-295B-4ECE-8CA7-C2591F05C010}"/>
    <cellStyle name="Normal 18 3 5 5 2" xfId="26438" xr:uid="{CB44929E-AC6C-4BAF-AF75-308754F411DD}"/>
    <cellStyle name="Normal 18 3 5 5 3" xfId="43197" xr:uid="{697D8242-1027-417F-95E7-A416FD9A4942}"/>
    <cellStyle name="Normal 18 3 5 6" xfId="18058" xr:uid="{B15444C0-441F-4BCF-BB11-1185B62D1797}"/>
    <cellStyle name="Normal 18 3 5 7" xfId="34817" xr:uid="{6447EBCA-2B5B-45D9-B019-BA145C53C587}"/>
    <cellStyle name="Normal 18 3 6" xfId="1683" xr:uid="{9C54F5EF-9AE6-44EB-B401-A5A70009DE03}"/>
    <cellStyle name="Normal 18 3 6 2" xfId="5072" xr:uid="{59A45D5D-EC5A-448C-8F26-3E492D9A4348}"/>
    <cellStyle name="Normal 18 3 6 2 2" xfId="13452" xr:uid="{FB1BBD4B-5A32-425D-8060-0CB69D377658}"/>
    <cellStyle name="Normal 18 3 6 2 2 2" xfId="30212" xr:uid="{AFD9E6CE-16AD-47A0-9216-8AC9E9155018}"/>
    <cellStyle name="Normal 18 3 6 2 2 3" xfId="46971" xr:uid="{6E3A06EE-83AA-4512-B1FC-E02342505E0B}"/>
    <cellStyle name="Normal 18 3 6 2 3" xfId="21832" xr:uid="{734A1EB7-9033-43B4-A399-15D2117DCE75}"/>
    <cellStyle name="Normal 18 3 6 2 4" xfId="38591" xr:uid="{696E9F5F-1E8A-43D4-9CC5-0633CDB1732A}"/>
    <cellStyle name="Normal 18 3 6 3" xfId="6759" xr:uid="{2A9C0196-AF35-480F-96D9-B0AC92173DB0}"/>
    <cellStyle name="Normal 18 3 6 3 2" xfId="15139" xr:uid="{E0DA8A43-557F-4248-8F42-4D5E80AB700E}"/>
    <cellStyle name="Normal 18 3 6 3 2 2" xfId="31899" xr:uid="{6059E856-A18D-454F-8CD5-A151D754D78D}"/>
    <cellStyle name="Normal 18 3 6 3 2 3" xfId="48658" xr:uid="{3120D241-F181-436C-BCEA-B4DF2B42ADC3}"/>
    <cellStyle name="Normal 18 3 6 3 3" xfId="23519" xr:uid="{79515E0E-CB6E-4078-AA7B-3BA07CABA0EC}"/>
    <cellStyle name="Normal 18 3 6 3 4" xfId="40278" xr:uid="{708EA7C1-B3AD-499A-AA8D-03CDF339974F}"/>
    <cellStyle name="Normal 18 3 6 4" xfId="2243" xr:uid="{905FCD05-A5DB-4C25-BF0B-5CA857B2566E}"/>
    <cellStyle name="Normal 18 3 6 4 2" xfId="10627" xr:uid="{7C419A9A-BA5F-4B58-8549-ABDEDFBA02C1}"/>
    <cellStyle name="Normal 18 3 6 4 2 2" xfId="27387" xr:uid="{38100A45-F632-432A-810F-7EE5A82FEFBB}"/>
    <cellStyle name="Normal 18 3 6 4 2 3" xfId="44146" xr:uid="{C50FA1DC-E6AE-47D4-A8BA-22D4EB296C77}"/>
    <cellStyle name="Normal 18 3 6 4 3" xfId="19007" xr:uid="{9004156A-A6F1-42BD-926B-2E1C950A80E4}"/>
    <cellStyle name="Normal 18 3 6 4 4" xfId="35766" xr:uid="{EAFAB9E8-CB0F-4082-9683-BB0AA378BB1C}"/>
    <cellStyle name="Normal 18 3 6 5" xfId="10072" xr:uid="{E961635E-41AF-4CAA-B67C-1028EC42FF93}"/>
    <cellStyle name="Normal 18 3 6 5 2" xfId="26832" xr:uid="{B170E862-FAB6-4B7F-91ED-A9E4E8D010BB}"/>
    <cellStyle name="Normal 18 3 6 5 3" xfId="43591" xr:uid="{3ED937C2-AD2E-4D53-B495-C5F12FED4AF1}"/>
    <cellStyle name="Normal 18 3 6 6" xfId="18452" xr:uid="{066675E9-0E46-41E1-B352-57A5ED40987B}"/>
    <cellStyle name="Normal 18 3 6 7" xfId="35211" xr:uid="{B32D5F73-3674-46B2-B759-34D0812EC6C9}"/>
    <cellStyle name="Normal 18 3 7" xfId="3801" xr:uid="{011AC37D-35F1-424F-8706-EA9AF418E9DE}"/>
    <cellStyle name="Normal 18 3 7 2" xfId="12181" xr:uid="{19F30DDE-0FBC-4EF3-8E5B-95181992F44E}"/>
    <cellStyle name="Normal 18 3 7 2 2" xfId="28941" xr:uid="{BB81BFAB-6B7F-4C83-A090-B81228443541}"/>
    <cellStyle name="Normal 18 3 7 2 3" xfId="45700" xr:uid="{43044474-0CF4-4D78-9CBE-5ADEE76F852B}"/>
    <cellStyle name="Normal 18 3 7 3" xfId="20561" xr:uid="{A1A13DC0-93FB-4B05-9719-0C66AE9E1870}"/>
    <cellStyle name="Normal 18 3 7 4" xfId="37320" xr:uid="{0672FC0B-0686-4A62-8537-AFBD8F337DC6}"/>
    <cellStyle name="Normal 18 3 8" xfId="5511" xr:uid="{AE3A182B-A106-4D94-A296-2C73C957899A}"/>
    <cellStyle name="Normal 18 3 8 2" xfId="13891" xr:uid="{F9A751A0-B505-404D-80A5-5B63F7A9CE4F}"/>
    <cellStyle name="Normal 18 3 8 2 2" xfId="30651" xr:uid="{EA493579-CDCC-4762-8DED-5F07C5833E4F}"/>
    <cellStyle name="Normal 18 3 8 2 3" xfId="47410" xr:uid="{6D192844-29A7-4259-B2A9-DEDBC9757DC2}"/>
    <cellStyle name="Normal 18 3 8 3" xfId="22271" xr:uid="{47B7C078-C71B-4D6D-BFCD-876291A8831F}"/>
    <cellStyle name="Normal 18 3 8 4" xfId="39030" xr:uid="{42F7CEA3-9800-4DF5-9A70-B7BC7A2170E5}"/>
    <cellStyle name="Normal 18 3 9" xfId="7165" xr:uid="{EA752738-0B6B-4385-BFC1-CB26A11EC94A}"/>
    <cellStyle name="Normal 18 3 9 2" xfId="15545" xr:uid="{A3FF0F0A-FE5B-4496-A8EF-BC29C558724D}"/>
    <cellStyle name="Normal 18 3 9 2 2" xfId="32305" xr:uid="{F09E00F5-F198-4935-AD61-74044364B8D5}"/>
    <cellStyle name="Normal 18 3 9 2 3" xfId="49064" xr:uid="{01393166-FC5D-4ADE-A0BF-30460D59992A}"/>
    <cellStyle name="Normal 18 3 9 3" xfId="23925" xr:uid="{1D2D0E89-E33E-4365-92D2-D4F0DF0FE3E4}"/>
    <cellStyle name="Normal 18 3 9 4" xfId="40684" xr:uid="{65A5786C-DE1F-4767-8B67-090883A2E226}"/>
    <cellStyle name="Normal 18 4" xfId="599" xr:uid="{D447E1F1-A138-4EFF-98DC-6F98E7706725}"/>
    <cellStyle name="Normal 18 4 10" xfId="7641" xr:uid="{D490307E-B890-40E3-AD51-04AE1BE7BCDD}"/>
    <cellStyle name="Normal 18 4 10 2" xfId="16021" xr:uid="{AD8082D5-736D-427D-B2F8-207BD46CDD65}"/>
    <cellStyle name="Normal 18 4 10 2 2" xfId="32781" xr:uid="{B28246F6-7012-4593-8674-A06B5256ACB7}"/>
    <cellStyle name="Normal 18 4 10 2 3" xfId="49540" xr:uid="{B93EF484-B569-4A77-AEA5-83353892B11C}"/>
    <cellStyle name="Normal 18 4 10 3" xfId="24401" xr:uid="{3C9AC648-33CE-4058-82B3-21BA0DE68027}"/>
    <cellStyle name="Normal 18 4 10 4" xfId="41160" xr:uid="{3A27B558-EE3F-4191-B2EB-29834378D651}"/>
    <cellStyle name="Normal 18 4 11" xfId="8047" xr:uid="{F9BD7221-7812-40D3-849F-A2C5D3869591}"/>
    <cellStyle name="Normal 18 4 11 2" xfId="16427" xr:uid="{F54FD29C-69F1-47C8-8085-F5692274A78F}"/>
    <cellStyle name="Normal 18 4 11 2 2" xfId="33187" xr:uid="{4A890B8A-CF98-4157-B533-1133F48629E1}"/>
    <cellStyle name="Normal 18 4 11 2 3" xfId="49946" xr:uid="{1DFA8E5F-1404-4543-95C3-BDC019C5BFCE}"/>
    <cellStyle name="Normal 18 4 11 3" xfId="24807" xr:uid="{6E791585-94EE-4D64-B59D-653FF880E875}"/>
    <cellStyle name="Normal 18 4 11 4" xfId="41566" xr:uid="{45D782FB-E4C8-4441-95DB-F00916795D3D}"/>
    <cellStyle name="Normal 18 4 12" xfId="8453" xr:uid="{FD207AEA-4EEC-4DC3-81F4-81CA1ABA93AE}"/>
    <cellStyle name="Normal 18 4 12 2" xfId="16833" xr:uid="{FCD58245-A638-4CAC-A770-DF3E1E5F6E7C}"/>
    <cellStyle name="Normal 18 4 12 2 2" xfId="33593" xr:uid="{858D5941-793A-49B0-96A9-341AE480747F}"/>
    <cellStyle name="Normal 18 4 12 2 3" xfId="50352" xr:uid="{8A6D0222-6D92-433F-B7FB-92C4A7956B42}"/>
    <cellStyle name="Normal 18 4 12 3" xfId="25213" xr:uid="{499F5131-B185-4647-B6CC-9089C414D8D4}"/>
    <cellStyle name="Normal 18 4 12 4" xfId="41972" xr:uid="{90925525-DFAC-438C-BF05-B53B606AB42A}"/>
    <cellStyle name="Normal 18 4 13" xfId="2140" xr:uid="{4E2AA8A2-D074-43DA-A189-B9B0B6DD8B16}"/>
    <cellStyle name="Normal 18 4 13 2" xfId="10528" xr:uid="{D827C17E-1B38-48BD-938D-D9F4BDDD9BE5}"/>
    <cellStyle name="Normal 18 4 13 2 2" xfId="27288" xr:uid="{21ADEE7E-E3CF-4E08-A5B5-786C61D21714}"/>
    <cellStyle name="Normal 18 4 13 2 3" xfId="44047" xr:uid="{4FD09441-0030-4A85-B8EC-28934C039C3B}"/>
    <cellStyle name="Normal 18 4 13 3" xfId="18908" xr:uid="{CEACF23F-95E9-4504-A36B-C4447A128DAF}"/>
    <cellStyle name="Normal 18 4 13 4" xfId="35667" xr:uid="{8D16D555-3CE0-42FC-A5B9-2979CF0DAF57}"/>
    <cellStyle name="Normal 18 4 14" xfId="9010" xr:uid="{A286561E-8071-43B3-891F-948317AAADF0}"/>
    <cellStyle name="Normal 18 4 14 2" xfId="25770" xr:uid="{0A49CB79-E798-4B71-B9E9-B39A64B783D6}"/>
    <cellStyle name="Normal 18 4 14 3" xfId="42529" xr:uid="{FEDCB250-5EBD-48DE-AC81-A98BE19842B8}"/>
    <cellStyle name="Normal 18 4 15" xfId="17390" xr:uid="{78FB0C01-F780-4022-A0AF-50D5B7A3ECDA}"/>
    <cellStyle name="Normal 18 4 16" xfId="34149" xr:uid="{DE4A06CE-400F-4A52-9FA3-4594D304BFDD}"/>
    <cellStyle name="Normal 18 4 2" xfId="600" xr:uid="{690D8FC3-A4AC-4275-A1BF-4C28DF06DEC2}"/>
    <cellStyle name="Normal 18 4 2 10" xfId="8527" xr:uid="{7F1596D5-77D0-44DE-9CDE-968C7C5506B0}"/>
    <cellStyle name="Normal 18 4 2 10 2" xfId="16907" xr:uid="{B6A84521-73E4-4B3A-AE01-C41C3542D29E}"/>
    <cellStyle name="Normal 18 4 2 10 2 2" xfId="33667" xr:uid="{71AA5646-DBA2-4839-AD3F-0263A9D2CE6A}"/>
    <cellStyle name="Normal 18 4 2 10 2 3" xfId="50426" xr:uid="{E341EC41-8886-42A0-98BD-26198B01A07D}"/>
    <cellStyle name="Normal 18 4 2 10 3" xfId="25287" xr:uid="{853251F3-E4E0-435D-890A-945239E2D68C}"/>
    <cellStyle name="Normal 18 4 2 10 4" xfId="42046" xr:uid="{9876E3B0-CA1B-4DB2-962F-D6C60211BBCB}"/>
    <cellStyle name="Normal 18 4 2 11" xfId="2432" xr:uid="{D8F6769A-5D28-4ED8-BD16-6AEAD5C6C299}"/>
    <cellStyle name="Normal 18 4 2 11 2" xfId="10814" xr:uid="{B5D25276-52F5-490E-9876-4392C58D98DA}"/>
    <cellStyle name="Normal 18 4 2 11 2 2" xfId="27574" xr:uid="{8BDF5780-CF0D-45C4-8673-25F6DC4E74B3}"/>
    <cellStyle name="Normal 18 4 2 11 2 3" xfId="44333" xr:uid="{9610DC4F-E8FA-4A9E-A217-828A8EF17776}"/>
    <cellStyle name="Normal 18 4 2 11 3" xfId="19194" xr:uid="{432CE204-C40F-480B-A5A2-24F2AAEF0151}"/>
    <cellStyle name="Normal 18 4 2 11 4" xfId="35953" xr:uid="{0C7BCA0B-36D9-46DC-9D8D-8DF436DD0FDD}"/>
    <cellStyle name="Normal 18 4 2 12" xfId="9011" xr:uid="{5E1CD2EA-E92B-4F47-A3F2-6A30474FC9FC}"/>
    <cellStyle name="Normal 18 4 2 12 2" xfId="25771" xr:uid="{BAE5A931-CAA5-43D8-BBC0-F5C376A59DCB}"/>
    <cellStyle name="Normal 18 4 2 12 3" xfId="42530" xr:uid="{23FE4D4A-0C80-4D07-83E5-97524E3B2E80}"/>
    <cellStyle name="Normal 18 4 2 13" xfId="17391" xr:uid="{D77FC4E8-E2DE-4906-866B-A2132E3C8D9B}"/>
    <cellStyle name="Normal 18 4 2 14" xfId="34150" xr:uid="{B2A9C789-BBF8-43C6-97F3-2723D9713106}"/>
    <cellStyle name="Normal 18 4 2 2" xfId="1042" xr:uid="{47E9861D-707C-46FA-A214-24C8C52F87EF}"/>
    <cellStyle name="Normal 18 4 2 2 2" xfId="4437" xr:uid="{FAA3D779-DA84-41D4-AB1E-B90C4D92CE95}"/>
    <cellStyle name="Normal 18 4 2 2 2 2" xfId="12817" xr:uid="{FE7CA898-E5B2-4897-9512-4F7FD57BE13D}"/>
    <cellStyle name="Normal 18 4 2 2 2 2 2" xfId="29577" xr:uid="{8521FF50-4F12-4F9E-AE2F-FDB39A754C68}"/>
    <cellStyle name="Normal 18 4 2 2 2 2 3" xfId="46336" xr:uid="{958CD9E6-FC76-4339-88DE-0E10813E3E33}"/>
    <cellStyle name="Normal 18 4 2 2 2 3" xfId="21197" xr:uid="{A1841BBD-9376-476D-A691-54683229D7EB}"/>
    <cellStyle name="Normal 18 4 2 2 2 4" xfId="37956" xr:uid="{EFC7F5D5-2EFB-4420-810E-12B61ED5DE62}"/>
    <cellStyle name="Normal 18 4 2 2 3" xfId="6124" xr:uid="{CCB5137A-F6F9-4FA1-9C42-D80A8703CD74}"/>
    <cellStyle name="Normal 18 4 2 2 3 2" xfId="14504" xr:uid="{8CEB0AA0-2FF5-42AE-B186-D18698F3F1A3}"/>
    <cellStyle name="Normal 18 4 2 2 3 2 2" xfId="31264" xr:uid="{46BE2951-3DCB-4B95-AE56-C755BD90732C}"/>
    <cellStyle name="Normal 18 4 2 2 3 2 3" xfId="48023" xr:uid="{09193037-21E1-490A-A5DC-C8265B3C0E1E}"/>
    <cellStyle name="Normal 18 4 2 2 3 3" xfId="22884" xr:uid="{10C4AFAE-331C-4162-8410-B1F565D752A2}"/>
    <cellStyle name="Normal 18 4 2 2 3 4" xfId="39643" xr:uid="{F5D72FA2-A7A7-4B7C-8B29-DE95DB2EEAB7}"/>
    <cellStyle name="Normal 18 4 2 2 4" xfId="2860" xr:uid="{0E9A08EE-0898-4FAF-A91E-E0B2052BF0CA}"/>
    <cellStyle name="Normal 18 4 2 2 4 2" xfId="11240" xr:uid="{936235BF-48A0-4116-A440-79AC0D552CE2}"/>
    <cellStyle name="Normal 18 4 2 2 4 2 2" xfId="28000" xr:uid="{40489E5B-29DA-4816-B518-57D5C9CBD104}"/>
    <cellStyle name="Normal 18 4 2 2 4 2 3" xfId="44759" xr:uid="{C9434AD8-FE38-46D6-B3D8-0039ABE6FB98}"/>
    <cellStyle name="Normal 18 4 2 2 4 3" xfId="19620" xr:uid="{BD9B18B5-8BBA-448D-AD74-033A958E723E}"/>
    <cellStyle name="Normal 18 4 2 2 4 4" xfId="36379" xr:uid="{A43DBA9A-88BC-4675-B082-5FECE4D769D7}"/>
    <cellStyle name="Normal 18 4 2 2 5" xfId="9437" xr:uid="{07772F56-C4EC-4BA5-93D6-30B9E91C5D4C}"/>
    <cellStyle name="Normal 18 4 2 2 5 2" xfId="26197" xr:uid="{28EE686D-7910-4F16-8990-626608B35181}"/>
    <cellStyle name="Normal 18 4 2 2 5 3" xfId="42956" xr:uid="{98E64B85-7326-4B8B-9FE6-8BF6BBCA25D0}"/>
    <cellStyle name="Normal 18 4 2 2 6" xfId="17817" xr:uid="{9B12475C-4132-4C06-9531-A89CDE3783C2}"/>
    <cellStyle name="Normal 18 4 2 2 7" xfId="34576" xr:uid="{C439AB51-C25C-4D87-BBD2-1888F5CB044C}"/>
    <cellStyle name="Normal 18 4 2 3" xfId="1476" xr:uid="{1A54B61E-49BE-436B-99FE-F51C676D2849}"/>
    <cellStyle name="Normal 18 4 2 3 2" xfId="4865" xr:uid="{22BBCF2D-4E39-4261-B05C-60396933E5F8}"/>
    <cellStyle name="Normal 18 4 2 3 2 2" xfId="13245" xr:uid="{D57966AF-704D-4A42-9027-0D735C1E74C1}"/>
    <cellStyle name="Normal 18 4 2 3 2 2 2" xfId="30005" xr:uid="{C0CEFE21-7928-45DC-BB3E-A0E10C8BC5D5}"/>
    <cellStyle name="Normal 18 4 2 3 2 2 3" xfId="46764" xr:uid="{333CB691-DB61-4030-A133-9EB4292EEDA7}"/>
    <cellStyle name="Normal 18 4 2 3 2 3" xfId="21625" xr:uid="{B05A9B5A-DCA1-4BBD-ABBE-2D3F14542B19}"/>
    <cellStyle name="Normal 18 4 2 3 2 4" xfId="38384" xr:uid="{9AC6C11F-3ABA-48CD-85BC-3EE5E78B44BD}"/>
    <cellStyle name="Normal 18 4 2 3 3" xfId="6552" xr:uid="{D46A52E9-09C6-46EC-B94D-79ADB7AFE089}"/>
    <cellStyle name="Normal 18 4 2 3 3 2" xfId="14932" xr:uid="{5DE0153B-4D8E-4B88-857C-4DF477578860}"/>
    <cellStyle name="Normal 18 4 2 3 3 2 2" xfId="31692" xr:uid="{4AD6226B-2193-4836-86ED-CFB1344F15AC}"/>
    <cellStyle name="Normal 18 4 2 3 3 2 3" xfId="48451" xr:uid="{9E712197-44DB-42FA-B9FF-E521FF5FFB9F}"/>
    <cellStyle name="Normal 18 4 2 3 3 3" xfId="23312" xr:uid="{E7EEC179-2E2B-48C7-8C52-E244BEA945A9}"/>
    <cellStyle name="Normal 18 4 2 3 3 4" xfId="40071" xr:uid="{1B9C4CAE-440A-4B2C-B5C6-2E6BBB740DD4}"/>
    <cellStyle name="Normal 18 4 2 3 4" xfId="3288" xr:uid="{E40D665F-B6EF-43F6-A12D-CA6ED8B71EDD}"/>
    <cellStyle name="Normal 18 4 2 3 4 2" xfId="11668" xr:uid="{A995345B-C631-4DB8-86C9-FF612579945C}"/>
    <cellStyle name="Normal 18 4 2 3 4 2 2" xfId="28428" xr:uid="{02E5B4AF-9D14-4F14-8AE5-6043D6EF0C09}"/>
    <cellStyle name="Normal 18 4 2 3 4 2 3" xfId="45187" xr:uid="{61BC8E34-9017-49B6-B048-388BE8870259}"/>
    <cellStyle name="Normal 18 4 2 3 4 3" xfId="20048" xr:uid="{786051C0-1259-4DC8-968B-24C9239BA149}"/>
    <cellStyle name="Normal 18 4 2 3 4 4" xfId="36807" xr:uid="{3724DD98-A6C6-424D-A35E-42BFD0AEB46C}"/>
    <cellStyle name="Normal 18 4 2 3 5" xfId="9865" xr:uid="{4622853E-54C9-480F-9754-E7A827B051BF}"/>
    <cellStyle name="Normal 18 4 2 3 5 2" xfId="26625" xr:uid="{ECE48ACD-0094-420B-904A-F7F9237A6908}"/>
    <cellStyle name="Normal 18 4 2 3 5 3" xfId="43384" xr:uid="{91102496-FABD-42FE-9277-A1A57D69EBC5}"/>
    <cellStyle name="Normal 18 4 2 3 6" xfId="18245" xr:uid="{549EBE4F-E9F9-4FD5-86D2-D38FD2039954}"/>
    <cellStyle name="Normal 18 4 2 3 7" xfId="35004" xr:uid="{E644A753-B8A8-4715-9E0A-1C4449FF7557}"/>
    <cellStyle name="Normal 18 4 2 4" xfId="1827" xr:uid="{87FB1537-BB03-4A4D-A428-218B0CD39DAA}"/>
    <cellStyle name="Normal 18 4 2 4 2" xfId="5216" xr:uid="{CF45FAE3-A9F9-426F-B6BF-5C9575A6D339}"/>
    <cellStyle name="Normal 18 4 2 4 2 2" xfId="13596" xr:uid="{6FBF0484-F924-479E-9398-34BC641A52BA}"/>
    <cellStyle name="Normal 18 4 2 4 2 2 2" xfId="30356" xr:uid="{38EF7656-F95B-4C5A-831A-0706A6A15140}"/>
    <cellStyle name="Normal 18 4 2 4 2 2 3" xfId="47115" xr:uid="{6E796BDF-5EB1-458E-808E-A51A03009635}"/>
    <cellStyle name="Normal 18 4 2 4 2 3" xfId="21976" xr:uid="{66524995-6B33-409A-A542-63D6F471BE51}"/>
    <cellStyle name="Normal 18 4 2 4 2 4" xfId="38735" xr:uid="{3122387C-35AC-42CD-86B6-67FBE9565B01}"/>
    <cellStyle name="Normal 18 4 2 4 3" xfId="6903" xr:uid="{17A988FD-06FF-4C95-B920-C99DC18A8561}"/>
    <cellStyle name="Normal 18 4 2 4 3 2" xfId="15283" xr:uid="{9FA03B7E-37F3-4DC5-9C95-2F877AF9FAAF}"/>
    <cellStyle name="Normal 18 4 2 4 3 2 2" xfId="32043" xr:uid="{E607C893-6CAD-4A99-8CEA-CF275149F14D}"/>
    <cellStyle name="Normal 18 4 2 4 3 2 3" xfId="48802" xr:uid="{6C7F10F8-D81B-4AE4-BB84-035EC4D1A7F5}"/>
    <cellStyle name="Normal 18 4 2 4 3 3" xfId="23663" xr:uid="{A7AD543D-B576-4F37-9696-6D7A0AC36CE1}"/>
    <cellStyle name="Normal 18 4 2 4 3 4" xfId="40422" xr:uid="{BCA08ADB-E157-4FFB-B3C3-31FC25A12DE9}"/>
    <cellStyle name="Normal 18 4 2 4 4" xfId="3527" xr:uid="{6FD09A77-ED2A-45F6-BDE7-D2BDD1400E7B}"/>
    <cellStyle name="Normal 18 4 2 4 4 2" xfId="11907" xr:uid="{9AAE0A82-F934-4E7E-9FCE-7D39A3994346}"/>
    <cellStyle name="Normal 18 4 2 4 4 2 2" xfId="28667" xr:uid="{CDD76ED1-4717-455E-AC01-7C340F53A15C}"/>
    <cellStyle name="Normal 18 4 2 4 4 2 3" xfId="45426" xr:uid="{C266760B-E153-40F9-B25A-B011610D4991}"/>
    <cellStyle name="Normal 18 4 2 4 4 3" xfId="20287" xr:uid="{1E6FB106-8D32-4F08-9A81-AAA7903D6881}"/>
    <cellStyle name="Normal 18 4 2 4 4 4" xfId="37046" xr:uid="{B6C0EA1E-B463-4407-981A-7AE7E49C7D7F}"/>
    <cellStyle name="Normal 18 4 2 4 5" xfId="10216" xr:uid="{A0E80065-F264-40D0-A6AE-B0037E33AEF1}"/>
    <cellStyle name="Normal 18 4 2 4 5 2" xfId="26976" xr:uid="{46FEE8C8-3F0A-483A-B2CF-AC777C485B01}"/>
    <cellStyle name="Normal 18 4 2 4 5 3" xfId="43735" xr:uid="{ECA1F307-269F-44B3-BFDC-AD0C677D5C8A}"/>
    <cellStyle name="Normal 18 4 2 4 6" xfId="18596" xr:uid="{09F14B51-6A81-40B1-9266-D297D67893BF}"/>
    <cellStyle name="Normal 18 4 2 4 7" xfId="35355" xr:uid="{D1C8C1E6-02CA-42CE-91EA-773A1EE66E3E}"/>
    <cellStyle name="Normal 18 4 2 5" xfId="3946" xr:uid="{CD566A48-11AB-40D7-A584-190858DAEACF}"/>
    <cellStyle name="Normal 18 4 2 5 2" xfId="12326" xr:uid="{F9104851-F5A7-42D9-9032-90937A640B67}"/>
    <cellStyle name="Normal 18 4 2 5 2 2" xfId="29086" xr:uid="{87E847CD-ED95-4FF3-9042-6545F04754A4}"/>
    <cellStyle name="Normal 18 4 2 5 2 3" xfId="45845" xr:uid="{8A484FEA-DE57-4F3E-B227-67605B6120B8}"/>
    <cellStyle name="Normal 18 4 2 5 3" xfId="20706" xr:uid="{3108291A-1B45-4DE5-98B0-B419B686F77A}"/>
    <cellStyle name="Normal 18 4 2 5 4" xfId="37465" xr:uid="{961E3B87-C655-46FF-93EB-182FEAEB234E}"/>
    <cellStyle name="Normal 18 4 2 6" xfId="5698" xr:uid="{461F41EE-0DA9-4D6D-8828-D567433B7788}"/>
    <cellStyle name="Normal 18 4 2 6 2" xfId="14078" xr:uid="{DE6940ED-A4C2-4D83-BEF0-8B6A9167AAB7}"/>
    <cellStyle name="Normal 18 4 2 6 2 2" xfId="30838" xr:uid="{4FD10C44-3E5D-49E3-A2A0-FBC3EAB33B75}"/>
    <cellStyle name="Normal 18 4 2 6 2 3" xfId="47597" xr:uid="{29148A24-042C-4BF5-A5E3-64C45E53B91E}"/>
    <cellStyle name="Normal 18 4 2 6 3" xfId="22458" xr:uid="{413A2CBC-7A6F-4EAA-8F66-F31D8CCFDA6E}"/>
    <cellStyle name="Normal 18 4 2 6 4" xfId="39217" xr:uid="{357A71A5-45CC-451A-8553-C01F7C60BB25}"/>
    <cellStyle name="Normal 18 4 2 7" xfId="7309" xr:uid="{EE97EE58-B273-459E-99D2-B5D73C999A84}"/>
    <cellStyle name="Normal 18 4 2 7 2" xfId="15689" xr:uid="{DDCDEE88-EA02-455C-BA3E-A93BCBCA8B97}"/>
    <cellStyle name="Normal 18 4 2 7 2 2" xfId="32449" xr:uid="{C791F930-B329-465E-8410-98BFE5F91929}"/>
    <cellStyle name="Normal 18 4 2 7 2 3" xfId="49208" xr:uid="{A8173359-3073-4318-BB74-319C182D8234}"/>
    <cellStyle name="Normal 18 4 2 7 3" xfId="24069" xr:uid="{106F99A3-F295-40C1-8E4F-04674B0C0F81}"/>
    <cellStyle name="Normal 18 4 2 7 4" xfId="40828" xr:uid="{A3057D22-56B6-4B0D-82B8-9B5C21BA8018}"/>
    <cellStyle name="Normal 18 4 2 8" xfId="7715" xr:uid="{E00918A2-55F0-4400-8C59-810D3CDB486B}"/>
    <cellStyle name="Normal 18 4 2 8 2" xfId="16095" xr:uid="{341053A0-82D1-4E34-BF36-F168C68F8117}"/>
    <cellStyle name="Normal 18 4 2 8 2 2" xfId="32855" xr:uid="{C47BDD0D-0D1E-4277-8827-D14DD05FB50F}"/>
    <cellStyle name="Normal 18 4 2 8 2 3" xfId="49614" xr:uid="{0D90077D-D757-433C-9E43-BD3201F0DCAE}"/>
    <cellStyle name="Normal 18 4 2 8 3" xfId="24475" xr:uid="{83B11A5A-4A00-48DA-AD11-B7567E272982}"/>
    <cellStyle name="Normal 18 4 2 8 4" xfId="41234" xr:uid="{E75BFC57-3E75-4BE1-A91C-535BC68A6B3E}"/>
    <cellStyle name="Normal 18 4 2 9" xfId="8121" xr:uid="{53F8663F-BA20-4AE8-9D07-D7E9C967FB7E}"/>
    <cellStyle name="Normal 18 4 2 9 2" xfId="16501" xr:uid="{FBC8E7E6-4460-4EE5-B371-96A18909DD21}"/>
    <cellStyle name="Normal 18 4 2 9 2 2" xfId="33261" xr:uid="{062AEF20-896A-449B-9377-7F1FF41AB2BA}"/>
    <cellStyle name="Normal 18 4 2 9 2 3" xfId="50020" xr:uid="{0E6F73AE-4CE9-445E-96FB-B95A96890590}"/>
    <cellStyle name="Normal 18 4 2 9 3" xfId="24881" xr:uid="{C7E0759E-7E73-4611-803B-509E5B31BA88}"/>
    <cellStyle name="Normal 18 4 2 9 4" xfId="41640" xr:uid="{D6A6E7F7-A716-4702-83FC-FF892C20D323}"/>
    <cellStyle name="Normal 18 4 3" xfId="601" xr:uid="{9A44B9C1-86A1-4FD7-936A-58BBBE51A82B}"/>
    <cellStyle name="Normal 18 4 3 10" xfId="8724" xr:uid="{390D3579-F6DB-4E89-9F3A-24486900119C}"/>
    <cellStyle name="Normal 18 4 3 10 2" xfId="17104" xr:uid="{7D846BEC-1C45-466C-8178-E7C79CBABA71}"/>
    <cellStyle name="Normal 18 4 3 10 2 2" xfId="33864" xr:uid="{D1E807E6-112F-4EB5-8DC2-87FBB070EEB7}"/>
    <cellStyle name="Normal 18 4 3 10 2 3" xfId="50623" xr:uid="{10777F44-D5BA-468E-A330-A911D3635DCC}"/>
    <cellStyle name="Normal 18 4 3 10 3" xfId="25484" xr:uid="{DFBB281A-95D8-4D26-B40D-3E57D53E9493}"/>
    <cellStyle name="Normal 18 4 3 10 4" xfId="42243" xr:uid="{C8E767BC-3C3F-41AE-8BC9-2DF5E52FBCD1}"/>
    <cellStyle name="Normal 18 4 3 11" xfId="2433" xr:uid="{A63F3132-93DD-49BF-93DE-23A2341716F4}"/>
    <cellStyle name="Normal 18 4 3 11 2" xfId="10815" xr:uid="{EA15C381-6EEE-4AED-9832-5279C02E384E}"/>
    <cellStyle name="Normal 18 4 3 11 2 2" xfId="27575" xr:uid="{D219E4D7-0B0D-4629-9293-93EBCFE03573}"/>
    <cellStyle name="Normal 18 4 3 11 2 3" xfId="44334" xr:uid="{F2ADC28E-7C74-48AF-8FB3-31F2D3C0D17A}"/>
    <cellStyle name="Normal 18 4 3 11 3" xfId="19195" xr:uid="{FA0D0253-B6DA-4542-9AAC-AEED6FDC857B}"/>
    <cellStyle name="Normal 18 4 3 11 4" xfId="35954" xr:uid="{7132212F-7908-4EC2-B894-B4FF857B4AE2}"/>
    <cellStyle name="Normal 18 4 3 12" xfId="9012" xr:uid="{11238C54-46E6-4A8D-8843-68420A205846}"/>
    <cellStyle name="Normal 18 4 3 12 2" xfId="25772" xr:uid="{680F1D75-32BC-4679-A74B-05541A466A9B}"/>
    <cellStyle name="Normal 18 4 3 12 3" xfId="42531" xr:uid="{F1FEF61C-50EC-4F0A-A97E-3794D271ABFE}"/>
    <cellStyle name="Normal 18 4 3 13" xfId="17392" xr:uid="{2048435E-268B-47A0-B245-252297B267B9}"/>
    <cellStyle name="Normal 18 4 3 14" xfId="34151" xr:uid="{F73FFB07-4F13-4920-B6C3-A3C9401F7A4B}"/>
    <cellStyle name="Normal 18 4 3 2" xfId="1043" xr:uid="{DA26B607-7785-478C-8889-6DFEFF690D1A}"/>
    <cellStyle name="Normal 18 4 3 2 2" xfId="4438" xr:uid="{C542A0BE-6F76-47B0-95DF-C9759FE4BAC2}"/>
    <cellStyle name="Normal 18 4 3 2 2 2" xfId="12818" xr:uid="{BD6EA300-DD23-4C36-861A-AFC5604050D6}"/>
    <cellStyle name="Normal 18 4 3 2 2 2 2" xfId="29578" xr:uid="{AD4BDDFD-E1AA-4F75-93E5-D5C42230DAD2}"/>
    <cellStyle name="Normal 18 4 3 2 2 2 3" xfId="46337" xr:uid="{25BF14BE-1CFC-4FDF-9485-B8D7A952442F}"/>
    <cellStyle name="Normal 18 4 3 2 2 3" xfId="21198" xr:uid="{2A6F59D4-A01B-49B4-8BC5-420C024BECD4}"/>
    <cellStyle name="Normal 18 4 3 2 2 4" xfId="37957" xr:uid="{BE28D544-C45A-4AB0-A34E-AEDC7754257D}"/>
    <cellStyle name="Normal 18 4 3 2 3" xfId="6125" xr:uid="{1470FD4D-49B3-40ED-AE27-73203CF70487}"/>
    <cellStyle name="Normal 18 4 3 2 3 2" xfId="14505" xr:uid="{76294D85-DC9B-4BC8-AE84-B857908402E0}"/>
    <cellStyle name="Normal 18 4 3 2 3 2 2" xfId="31265" xr:uid="{173192AA-F64E-4EDD-99CE-0FAAC1698D3B}"/>
    <cellStyle name="Normal 18 4 3 2 3 2 3" xfId="48024" xr:uid="{0D9F509F-91A4-4461-9747-5623781680BC}"/>
    <cellStyle name="Normal 18 4 3 2 3 3" xfId="22885" xr:uid="{703E95F6-6698-400A-A947-FCF647173CE1}"/>
    <cellStyle name="Normal 18 4 3 2 3 4" xfId="39644" xr:uid="{B6C703B6-AC58-48EB-92D2-19898D6EFD7A}"/>
    <cellStyle name="Normal 18 4 3 2 4" xfId="2861" xr:uid="{9AF742F5-3E07-4A51-99E2-F8FE765986F9}"/>
    <cellStyle name="Normal 18 4 3 2 4 2" xfId="11241" xr:uid="{7259DDC1-6C0D-4CD3-A64A-2B7851FB6982}"/>
    <cellStyle name="Normal 18 4 3 2 4 2 2" xfId="28001" xr:uid="{BF59A42A-7690-4A1C-AD08-1883BD68C077}"/>
    <cellStyle name="Normal 18 4 3 2 4 2 3" xfId="44760" xr:uid="{2BCB0943-4D61-4635-916E-54B65F3E9428}"/>
    <cellStyle name="Normal 18 4 3 2 4 3" xfId="19621" xr:uid="{EA76BDDC-5082-49A7-AFA1-50A45A21880F}"/>
    <cellStyle name="Normal 18 4 3 2 4 4" xfId="36380" xr:uid="{B8474AAD-96D4-4401-A728-3967D834BCE3}"/>
    <cellStyle name="Normal 18 4 3 2 5" xfId="9438" xr:uid="{DC478C65-2AA9-4F98-9305-2EF307FD5F27}"/>
    <cellStyle name="Normal 18 4 3 2 5 2" xfId="26198" xr:uid="{DEBF7287-554C-4CA2-A611-0E98CB331F16}"/>
    <cellStyle name="Normal 18 4 3 2 5 3" xfId="42957" xr:uid="{7BFDB70D-27BB-4CD1-9630-EACFF90E4164}"/>
    <cellStyle name="Normal 18 4 3 2 6" xfId="17818" xr:uid="{5DDC4A2D-E4C6-4AA4-8D84-55741FCEE534}"/>
    <cellStyle name="Normal 18 4 3 2 7" xfId="34577" xr:uid="{A1FBC28E-54FC-4D5A-9636-B892FAE7CAEA}"/>
    <cellStyle name="Normal 18 4 3 3" xfId="1477" xr:uid="{CFCB990D-63B5-4F80-8D31-5402B73D31DF}"/>
    <cellStyle name="Normal 18 4 3 3 2" xfId="4866" xr:uid="{72A112AF-0CE5-447B-8D48-939A3594CB39}"/>
    <cellStyle name="Normal 18 4 3 3 2 2" xfId="13246" xr:uid="{4C19BF4B-10A4-4703-B29F-C99D699ADE8B}"/>
    <cellStyle name="Normal 18 4 3 3 2 2 2" xfId="30006" xr:uid="{3F4C96C6-7234-4D3B-A9F8-1DBFDA7AF7BA}"/>
    <cellStyle name="Normal 18 4 3 3 2 2 3" xfId="46765" xr:uid="{2D912109-6BF2-470C-B83D-11A5C7717CD8}"/>
    <cellStyle name="Normal 18 4 3 3 2 3" xfId="21626" xr:uid="{86E8FE16-C6A7-4446-B8F7-A2EC7A7BB510}"/>
    <cellStyle name="Normal 18 4 3 3 2 4" xfId="38385" xr:uid="{DCA60FD3-C5E9-44F4-8272-B4230234D9B9}"/>
    <cellStyle name="Normal 18 4 3 3 3" xfId="6553" xr:uid="{8B0B26F7-D58F-4489-B32C-34C6FC4941B0}"/>
    <cellStyle name="Normal 18 4 3 3 3 2" xfId="14933" xr:uid="{3300AEE7-A071-41CB-AE16-F6444958605B}"/>
    <cellStyle name="Normal 18 4 3 3 3 2 2" xfId="31693" xr:uid="{E7F6E457-742C-428E-A63B-491245765ACE}"/>
    <cellStyle name="Normal 18 4 3 3 3 2 3" xfId="48452" xr:uid="{85A31D8A-01FF-4DAA-A479-4CC449509038}"/>
    <cellStyle name="Normal 18 4 3 3 3 3" xfId="23313" xr:uid="{5B95B130-CA97-40BC-94B1-ED2D808B07A9}"/>
    <cellStyle name="Normal 18 4 3 3 3 4" xfId="40072" xr:uid="{C968B91F-380C-4BDF-8BD8-584EDD47532C}"/>
    <cellStyle name="Normal 18 4 3 3 4" xfId="3289" xr:uid="{99D7B1B3-BEA2-4DD6-A713-A8A15F568121}"/>
    <cellStyle name="Normal 18 4 3 3 4 2" xfId="11669" xr:uid="{0D5B63E9-E3D1-4872-95FB-96F0FF737D38}"/>
    <cellStyle name="Normal 18 4 3 3 4 2 2" xfId="28429" xr:uid="{D99B9BC9-C9B0-4197-856B-A3F222DF3846}"/>
    <cellStyle name="Normal 18 4 3 3 4 2 3" xfId="45188" xr:uid="{3E5D1182-A45D-498F-A4C2-57E68BEEF9B2}"/>
    <cellStyle name="Normal 18 4 3 3 4 3" xfId="20049" xr:uid="{BBDF38F1-A7F9-4975-87B1-1FD18CFDBDCE}"/>
    <cellStyle name="Normal 18 4 3 3 4 4" xfId="36808" xr:uid="{BCD96262-7F76-4049-8FFA-BE220F5ABD37}"/>
    <cellStyle name="Normal 18 4 3 3 5" xfId="9866" xr:uid="{3210CCB8-B952-4D76-8365-F1B8E535C4A1}"/>
    <cellStyle name="Normal 18 4 3 3 5 2" xfId="26626" xr:uid="{05E3C889-03FB-4D88-B3FE-079F8D6977BB}"/>
    <cellStyle name="Normal 18 4 3 3 5 3" xfId="43385" xr:uid="{66F7203D-9F4A-4B7F-BEA0-3B8B88F01D09}"/>
    <cellStyle name="Normal 18 4 3 3 6" xfId="18246" xr:uid="{C20CDAB3-0CC6-40B2-BD99-7B94FFA6C7F4}"/>
    <cellStyle name="Normal 18 4 3 3 7" xfId="35005" xr:uid="{29EA0011-6872-4B73-9A9B-A5B930D88696}"/>
    <cellStyle name="Normal 18 4 3 4" xfId="2024" xr:uid="{3C790522-B3E9-4484-9468-BA0DCEF802AD}"/>
    <cellStyle name="Normal 18 4 3 4 2" xfId="5413" xr:uid="{377A0F5C-FB13-4A41-B054-336727F7C97B}"/>
    <cellStyle name="Normal 18 4 3 4 2 2" xfId="13793" xr:uid="{0F3BE234-BA7E-4498-A0B5-61BA8F29BE1B}"/>
    <cellStyle name="Normal 18 4 3 4 2 2 2" xfId="30553" xr:uid="{D9A4F3C5-0773-4D8E-81CD-F95CA9310A1D}"/>
    <cellStyle name="Normal 18 4 3 4 2 2 3" xfId="47312" xr:uid="{30495957-74C3-46B9-B325-1C8F444464A6}"/>
    <cellStyle name="Normal 18 4 3 4 2 3" xfId="22173" xr:uid="{4858B8D3-4136-4361-9A6B-EBEA78E4A8F1}"/>
    <cellStyle name="Normal 18 4 3 4 2 4" xfId="38932" xr:uid="{E4345E88-2E9E-48B7-A3BD-05E310431CC4}"/>
    <cellStyle name="Normal 18 4 3 4 3" xfId="7100" xr:uid="{E6E1ED49-C936-4FED-BCAF-399F4457751C}"/>
    <cellStyle name="Normal 18 4 3 4 3 2" xfId="15480" xr:uid="{211F1475-C275-4235-B321-36C56A237ECD}"/>
    <cellStyle name="Normal 18 4 3 4 3 2 2" xfId="32240" xr:uid="{5E5C6EBA-A1E5-460D-AFBF-F05F4282191B}"/>
    <cellStyle name="Normal 18 4 3 4 3 2 3" xfId="48999" xr:uid="{C781F121-6A7A-4548-A013-4AA8004C7600}"/>
    <cellStyle name="Normal 18 4 3 4 3 3" xfId="23860" xr:uid="{18AB391D-2B1E-4D0E-A712-E951E4ADF662}"/>
    <cellStyle name="Normal 18 4 3 4 3 4" xfId="40619" xr:uid="{B786696F-1012-45F1-814A-691A04C3C6D0}"/>
    <cellStyle name="Normal 18 4 3 4 4" xfId="3723" xr:uid="{2A484E7F-2666-4780-9789-F7F159BC2DF7}"/>
    <cellStyle name="Normal 18 4 3 4 4 2" xfId="12103" xr:uid="{7A1B91A2-148C-490C-B2D0-D670EA09C9DF}"/>
    <cellStyle name="Normal 18 4 3 4 4 2 2" xfId="28863" xr:uid="{2C9A429F-6A7B-428F-ADA8-C4BE47FE6469}"/>
    <cellStyle name="Normal 18 4 3 4 4 2 3" xfId="45622" xr:uid="{28803648-940E-4E74-9948-6B3C28DA3EF4}"/>
    <cellStyle name="Normal 18 4 3 4 4 3" xfId="20483" xr:uid="{9775D60C-804F-43C1-8264-8440279E3EAD}"/>
    <cellStyle name="Normal 18 4 3 4 4 4" xfId="37242" xr:uid="{0398B9A4-2724-4609-9B81-B511C1A4262E}"/>
    <cellStyle name="Normal 18 4 3 4 5" xfId="10413" xr:uid="{1FF11974-ABEB-47FE-9C0E-D32582F8D0E8}"/>
    <cellStyle name="Normal 18 4 3 4 5 2" xfId="27173" xr:uid="{FF6E8B7E-B6E4-45F8-838E-95DCAC7F32CC}"/>
    <cellStyle name="Normal 18 4 3 4 5 3" xfId="43932" xr:uid="{B68F8CA1-9DFC-47EF-9DAD-C4856B754A1D}"/>
    <cellStyle name="Normal 18 4 3 4 6" xfId="18793" xr:uid="{F4B73FE7-F9D1-4BF7-9677-E0802094540C}"/>
    <cellStyle name="Normal 18 4 3 4 7" xfId="35552" xr:uid="{BF3B7C46-79BA-45BD-9550-DC40C8A508B2}"/>
    <cellStyle name="Normal 18 4 3 5" xfId="4143" xr:uid="{430063F2-E19F-44D9-BAAB-4300E0F3C2D6}"/>
    <cellStyle name="Normal 18 4 3 5 2" xfId="12523" xr:uid="{2269E1FD-0685-478D-84C9-495FFC942EC5}"/>
    <cellStyle name="Normal 18 4 3 5 2 2" xfId="29283" xr:uid="{C69DDE74-1DAB-4A56-BF56-BFBC7F0BE62F}"/>
    <cellStyle name="Normal 18 4 3 5 2 3" xfId="46042" xr:uid="{00759EA5-3C51-420C-BCF4-D0FCCBD56F0B}"/>
    <cellStyle name="Normal 18 4 3 5 3" xfId="20903" xr:uid="{F7F4D38F-3AC4-49F9-BA29-B3BEBC5E1853}"/>
    <cellStyle name="Normal 18 4 3 5 4" xfId="37662" xr:uid="{8C871556-83DB-4221-8D1B-B117D2129E87}"/>
    <cellStyle name="Normal 18 4 3 6" xfId="5699" xr:uid="{BC5A56C2-FBAC-420B-9761-9CD5C36C6DF9}"/>
    <cellStyle name="Normal 18 4 3 6 2" xfId="14079" xr:uid="{170FFE31-56A7-4969-9B90-F3DA461AF5BC}"/>
    <cellStyle name="Normal 18 4 3 6 2 2" xfId="30839" xr:uid="{6BB53FEF-C96E-4ED8-8F64-5F2016500759}"/>
    <cellStyle name="Normal 18 4 3 6 2 3" xfId="47598" xr:uid="{EE7D7C52-0B25-489E-BAC3-59680CAD2AE7}"/>
    <cellStyle name="Normal 18 4 3 6 3" xfId="22459" xr:uid="{958CB871-6B12-47CD-B6DC-5F80878F0DB9}"/>
    <cellStyle name="Normal 18 4 3 6 4" xfId="39218" xr:uid="{D36F624C-8973-406E-AFE4-73FD04697741}"/>
    <cellStyle name="Normal 18 4 3 7" xfId="7506" xr:uid="{06C3941F-ADF7-45E7-8623-5453B033D285}"/>
    <cellStyle name="Normal 18 4 3 7 2" xfId="15886" xr:uid="{F1A0065E-D87F-4AAE-9D64-CE5CD036B54B}"/>
    <cellStyle name="Normal 18 4 3 7 2 2" xfId="32646" xr:uid="{E7378E1D-C26D-43CF-AA44-56A1AE3EA7C7}"/>
    <cellStyle name="Normal 18 4 3 7 2 3" xfId="49405" xr:uid="{F9D672A9-01F6-4B0A-A74D-703DFA77E35E}"/>
    <cellStyle name="Normal 18 4 3 7 3" xfId="24266" xr:uid="{FB246993-6C14-4F33-8FC1-320D6998F47D}"/>
    <cellStyle name="Normal 18 4 3 7 4" xfId="41025" xr:uid="{38CA34AA-CF68-4A1C-A01A-7E35980BB6E4}"/>
    <cellStyle name="Normal 18 4 3 8" xfId="7912" xr:uid="{8C55D32D-168A-4643-AEEA-137AB5C37E6B}"/>
    <cellStyle name="Normal 18 4 3 8 2" xfId="16292" xr:uid="{0B6504BF-03F6-4CA5-A540-2B2F065487B9}"/>
    <cellStyle name="Normal 18 4 3 8 2 2" xfId="33052" xr:uid="{E05EB8AB-7094-45A6-B29B-6C16E916301A}"/>
    <cellStyle name="Normal 18 4 3 8 2 3" xfId="49811" xr:uid="{5C5C6BB0-EDF1-4135-9F57-45B64C2735BE}"/>
    <cellStyle name="Normal 18 4 3 8 3" xfId="24672" xr:uid="{74B98107-0966-43AF-907A-CEB9B0AA6039}"/>
    <cellStyle name="Normal 18 4 3 8 4" xfId="41431" xr:uid="{3E33B03E-DC8C-4BC0-A4E8-29B4FC5C9AB5}"/>
    <cellStyle name="Normal 18 4 3 9" xfId="8318" xr:uid="{92953277-DA7D-4E35-93F2-5728E4598597}"/>
    <cellStyle name="Normal 18 4 3 9 2" xfId="16698" xr:uid="{68AC7B64-888D-4DBA-823D-8CF11151A842}"/>
    <cellStyle name="Normal 18 4 3 9 2 2" xfId="33458" xr:uid="{B02AFCAF-A216-4425-AD76-33A5877BC0A7}"/>
    <cellStyle name="Normal 18 4 3 9 2 3" xfId="50217" xr:uid="{1A385283-1904-41E7-A990-97A266DFE6BD}"/>
    <cellStyle name="Normal 18 4 3 9 3" xfId="25078" xr:uid="{5A222237-38F0-452F-A861-9D8D3C3F072A}"/>
    <cellStyle name="Normal 18 4 3 9 4" xfId="41837" xr:uid="{A2443CC8-658C-43AD-BD19-D1D4D3187109}"/>
    <cellStyle name="Normal 18 4 4" xfId="1041" xr:uid="{7116A8E6-0176-4A8C-8EDF-50479DA77384}"/>
    <cellStyle name="Normal 18 4 4 2" xfId="4436" xr:uid="{948BB892-901A-4BB1-AB15-756FB9F9F502}"/>
    <cellStyle name="Normal 18 4 4 2 2" xfId="12816" xr:uid="{75986AB5-D159-4398-8CD8-81E999408D3F}"/>
    <cellStyle name="Normal 18 4 4 2 2 2" xfId="29576" xr:uid="{54FC451E-95C8-487F-8C7C-7E690B0C3862}"/>
    <cellStyle name="Normal 18 4 4 2 2 3" xfId="46335" xr:uid="{84C2F3F1-015D-44B0-B3CC-C1F1B92081E5}"/>
    <cellStyle name="Normal 18 4 4 2 3" xfId="21196" xr:uid="{E7966769-C73F-4FE4-A017-7894CC1EB34B}"/>
    <cellStyle name="Normal 18 4 4 2 4" xfId="37955" xr:uid="{0BDB10AF-E170-4784-9153-77E9A1B15848}"/>
    <cellStyle name="Normal 18 4 4 3" xfId="6123" xr:uid="{3DCD2F43-3C5A-4187-8543-2A54C4753938}"/>
    <cellStyle name="Normal 18 4 4 3 2" xfId="14503" xr:uid="{3D5DC5CE-027E-4466-BD08-738B3118BC5E}"/>
    <cellStyle name="Normal 18 4 4 3 2 2" xfId="31263" xr:uid="{5230AB96-081F-4F3C-87E4-AC09D1B35DD1}"/>
    <cellStyle name="Normal 18 4 4 3 2 3" xfId="48022" xr:uid="{3C40A909-AF41-4B80-872D-9A86313099F0}"/>
    <cellStyle name="Normal 18 4 4 3 3" xfId="22883" xr:uid="{0D36EAB7-26CD-41A8-9D3C-43EE8039E0DC}"/>
    <cellStyle name="Normal 18 4 4 3 4" xfId="39642" xr:uid="{9BBC48DC-61CA-40A2-B7DB-97687ADEE492}"/>
    <cellStyle name="Normal 18 4 4 4" xfId="2859" xr:uid="{CFFC3EDD-4273-407A-8568-BDCAB2BF48B0}"/>
    <cellStyle name="Normal 18 4 4 4 2" xfId="11239" xr:uid="{1844A24F-9FB7-410B-B5A3-D3072CEFBAF3}"/>
    <cellStyle name="Normal 18 4 4 4 2 2" xfId="27999" xr:uid="{3706E45E-73D6-420B-B5FB-3F2CD2002DDE}"/>
    <cellStyle name="Normal 18 4 4 4 2 3" xfId="44758" xr:uid="{DE60836C-D84E-4202-BC7B-4CEC16C42647}"/>
    <cellStyle name="Normal 18 4 4 4 3" xfId="19619" xr:uid="{524D3342-1569-4EA3-8CAF-B482F6689E58}"/>
    <cellStyle name="Normal 18 4 4 4 4" xfId="36378" xr:uid="{AC58751F-8CD7-4586-A489-1F13DA737284}"/>
    <cellStyle name="Normal 18 4 4 5" xfId="9436" xr:uid="{48CCDB76-F887-40DB-97D8-5A1AD219C8B6}"/>
    <cellStyle name="Normal 18 4 4 5 2" xfId="26196" xr:uid="{98B4B65C-0F8B-449D-80E4-073BDD7EA510}"/>
    <cellStyle name="Normal 18 4 4 5 3" xfId="42955" xr:uid="{237ECDE4-A74E-4351-8F2E-6CB354624B9D}"/>
    <cellStyle name="Normal 18 4 4 6" xfId="17816" xr:uid="{BB1B2A41-09AB-44FB-91EC-210E2444DD6A}"/>
    <cellStyle name="Normal 18 4 4 7" xfId="34575" xr:uid="{A4D29CA9-14A6-43D6-A1EF-8D4472296A40}"/>
    <cellStyle name="Normal 18 4 5" xfId="1475" xr:uid="{9A818A52-1174-4570-9239-16EBF736C3B5}"/>
    <cellStyle name="Normal 18 4 5 2" xfId="4864" xr:uid="{8A8CE370-6FDF-4E68-85EC-257CB84B9394}"/>
    <cellStyle name="Normal 18 4 5 2 2" xfId="13244" xr:uid="{F5160A2F-227A-477B-8BC0-671F90CF27B4}"/>
    <cellStyle name="Normal 18 4 5 2 2 2" xfId="30004" xr:uid="{090C4DA3-1EDB-46D9-9F89-479D789DEFAA}"/>
    <cellStyle name="Normal 18 4 5 2 2 3" xfId="46763" xr:uid="{270C3F6C-AEF1-41BC-BFF2-076748BFB439}"/>
    <cellStyle name="Normal 18 4 5 2 3" xfId="21624" xr:uid="{9AB0A208-46E5-4B70-A212-34FBD35ADB2A}"/>
    <cellStyle name="Normal 18 4 5 2 4" xfId="38383" xr:uid="{01914714-5FE1-4D3A-AA2F-0E633A5F15B2}"/>
    <cellStyle name="Normal 18 4 5 3" xfId="6551" xr:uid="{E8E77326-D3E1-4C1B-9661-7B56E639FE14}"/>
    <cellStyle name="Normal 18 4 5 3 2" xfId="14931" xr:uid="{4A834FA4-C07A-4C5D-B1A0-730DB10FE864}"/>
    <cellStyle name="Normal 18 4 5 3 2 2" xfId="31691" xr:uid="{29AFCF4E-A5AD-491F-A1D2-3D59F287C6DF}"/>
    <cellStyle name="Normal 18 4 5 3 2 3" xfId="48450" xr:uid="{A339E6A7-0FC4-4A44-9BAB-DA5019ABE14B}"/>
    <cellStyle name="Normal 18 4 5 3 3" xfId="23311" xr:uid="{CA2BE271-0D05-441C-8DFA-0E98002127EE}"/>
    <cellStyle name="Normal 18 4 5 3 4" xfId="40070" xr:uid="{CDFC92DA-9C1E-4E7F-B416-537D502ACA01}"/>
    <cellStyle name="Normal 18 4 5 4" xfId="3287" xr:uid="{29B35C8A-99BC-42AC-BBFC-037A75B898F7}"/>
    <cellStyle name="Normal 18 4 5 4 2" xfId="11667" xr:uid="{8B70C57E-64B5-4645-A895-B078D19AEBCF}"/>
    <cellStyle name="Normal 18 4 5 4 2 2" xfId="28427" xr:uid="{90F55C80-70BB-44B1-B573-042D06AA3CCE}"/>
    <cellStyle name="Normal 18 4 5 4 2 3" xfId="45186" xr:uid="{9DF15373-C72B-4139-A572-37315375B230}"/>
    <cellStyle name="Normal 18 4 5 4 3" xfId="20047" xr:uid="{B6503A10-9A3B-4F05-849B-1E5C3DF33B75}"/>
    <cellStyle name="Normal 18 4 5 4 4" xfId="36806" xr:uid="{F81F2030-EDFE-4A14-A96B-91DA279C00AB}"/>
    <cellStyle name="Normal 18 4 5 5" xfId="9864" xr:uid="{6627662C-7E51-4CB7-A516-99A99276A9CE}"/>
    <cellStyle name="Normal 18 4 5 5 2" xfId="26624" xr:uid="{8568C812-3562-4E36-9455-31D56A6E2ADA}"/>
    <cellStyle name="Normal 18 4 5 5 3" xfId="43383" xr:uid="{6927521B-3CB0-4175-8093-6286FADB0F0E}"/>
    <cellStyle name="Normal 18 4 5 6" xfId="18244" xr:uid="{2F401049-E6CE-49A7-B06A-448C5731668C}"/>
    <cellStyle name="Normal 18 4 5 7" xfId="35003" xr:uid="{0C0059EE-CB68-45F9-8106-3059BF446C0E}"/>
    <cellStyle name="Normal 18 4 6" xfId="1753" xr:uid="{B9C488CC-67E5-41F4-A969-1097F89A981B}"/>
    <cellStyle name="Normal 18 4 6 2" xfId="5142" xr:uid="{27283AF5-EF84-4558-BFB2-9D1EA7E64018}"/>
    <cellStyle name="Normal 18 4 6 2 2" xfId="13522" xr:uid="{0EE6C13B-A19B-43B5-BD75-BED702DAD44C}"/>
    <cellStyle name="Normal 18 4 6 2 2 2" xfId="30282" xr:uid="{176DAF96-8B3E-4E5D-96B4-ECB04D7093A1}"/>
    <cellStyle name="Normal 18 4 6 2 2 3" xfId="47041" xr:uid="{DCAED12F-6BFD-440B-9555-1A5C01E274F7}"/>
    <cellStyle name="Normal 18 4 6 2 3" xfId="21902" xr:uid="{B6E724A0-1505-4A07-B21A-59263FE4F836}"/>
    <cellStyle name="Normal 18 4 6 2 4" xfId="38661" xr:uid="{0369DF1C-994D-4798-BCBF-F835DD2EED47}"/>
    <cellStyle name="Normal 18 4 6 3" xfId="6829" xr:uid="{E2781289-73B7-4E10-9607-153311BDA121}"/>
    <cellStyle name="Normal 18 4 6 3 2" xfId="15209" xr:uid="{AB33B6B8-B716-4E1E-8FE9-76A7C43E16DF}"/>
    <cellStyle name="Normal 18 4 6 3 2 2" xfId="31969" xr:uid="{4998816C-6313-41AC-BE09-1A8F928ADD7F}"/>
    <cellStyle name="Normal 18 4 6 3 2 3" xfId="48728" xr:uid="{DF4EEF1B-DCB5-496F-8F51-16605062D92A}"/>
    <cellStyle name="Normal 18 4 6 3 3" xfId="23589" xr:uid="{BF748652-3472-4340-B407-CB4193E655AA}"/>
    <cellStyle name="Normal 18 4 6 3 4" xfId="40348" xr:uid="{1898AF41-FDF6-4890-AC04-BAFA5B5056D3}"/>
    <cellStyle name="Normal 18 4 6 4" xfId="2431" xr:uid="{13E74015-7DAB-44BE-A1FF-78496F502508}"/>
    <cellStyle name="Normal 18 4 6 4 2" xfId="10813" xr:uid="{9FCB0F9A-7287-4D31-B550-245B7F32CDDC}"/>
    <cellStyle name="Normal 18 4 6 4 2 2" xfId="27573" xr:uid="{F2C2DD9B-5BF3-4B0E-AEBB-400ABEBAD935}"/>
    <cellStyle name="Normal 18 4 6 4 2 3" xfId="44332" xr:uid="{ACEFE311-95B6-4AC9-AFF8-2BA38B6DCC27}"/>
    <cellStyle name="Normal 18 4 6 4 3" xfId="19193" xr:uid="{C2052D90-E295-43E2-9C6E-F08E17716607}"/>
    <cellStyle name="Normal 18 4 6 4 4" xfId="35952" xr:uid="{7239434A-4335-458A-820E-D6FD3CCF1527}"/>
    <cellStyle name="Normal 18 4 6 5" xfId="10142" xr:uid="{C97761D6-D390-4E47-8AB0-B78589ED3A63}"/>
    <cellStyle name="Normal 18 4 6 5 2" xfId="26902" xr:uid="{42244655-6ACD-4161-84D2-C186422ADE25}"/>
    <cellStyle name="Normal 18 4 6 5 3" xfId="43661" xr:uid="{11EF936A-8A92-4FA6-9640-87A34DED04AE}"/>
    <cellStyle name="Normal 18 4 6 6" xfId="18522" xr:uid="{84BF34C5-728F-4A1C-95DF-BA3A26521F8D}"/>
    <cellStyle name="Normal 18 4 6 7" xfId="35281" xr:uid="{C79F3991-9252-4A74-AD2C-48CFCB765C3E}"/>
    <cellStyle name="Normal 18 4 7" xfId="3872" xr:uid="{5E078A79-B7EC-47C1-949B-61614E2163D7}"/>
    <cellStyle name="Normal 18 4 7 2" xfId="12252" xr:uid="{AC638BEA-8F3D-40AD-9626-1693107ABF23}"/>
    <cellStyle name="Normal 18 4 7 2 2" xfId="29012" xr:uid="{1EE550B7-092D-4A60-93A9-84C5EA83CC06}"/>
    <cellStyle name="Normal 18 4 7 2 3" xfId="45771" xr:uid="{9AF79D33-940B-448D-B710-0D4E37BA3DA2}"/>
    <cellStyle name="Normal 18 4 7 3" xfId="20632" xr:uid="{CFC8735B-6342-4DC2-90EF-7FAC90C1B414}"/>
    <cellStyle name="Normal 18 4 7 4" xfId="37391" xr:uid="{F2FAFF28-B657-46CC-8CD8-0A127E69AD7F}"/>
    <cellStyle name="Normal 18 4 8" xfId="5697" xr:uid="{CEFABCCC-20C3-4C0E-8C83-FF95187FB5A4}"/>
    <cellStyle name="Normal 18 4 8 2" xfId="14077" xr:uid="{2CB6A8D8-E930-4044-92D3-9DD434A70BED}"/>
    <cellStyle name="Normal 18 4 8 2 2" xfId="30837" xr:uid="{06996390-9059-49CE-847C-11FB6138B721}"/>
    <cellStyle name="Normal 18 4 8 2 3" xfId="47596" xr:uid="{9C9688E8-4366-4CB8-B425-E10700C0B405}"/>
    <cellStyle name="Normal 18 4 8 3" xfId="22457" xr:uid="{FECF4120-B60E-4096-9A19-BC6341DA054B}"/>
    <cellStyle name="Normal 18 4 8 4" xfId="39216" xr:uid="{DD88005E-D5A7-4F89-9E62-D7493B8628CA}"/>
    <cellStyle name="Normal 18 4 9" xfId="7235" xr:uid="{1DC5C9FF-5392-4DAB-A296-47AB246674C2}"/>
    <cellStyle name="Normal 18 4 9 2" xfId="15615" xr:uid="{45BFBDAE-FC6E-4877-BCE1-441DB1CF159F}"/>
    <cellStyle name="Normal 18 4 9 2 2" xfId="32375" xr:uid="{592B47E3-7D77-44C7-B443-1E324FBCFA83}"/>
    <cellStyle name="Normal 18 4 9 2 3" xfId="49134" xr:uid="{17EC2669-0A9F-4547-AF64-2B02230FC047}"/>
    <cellStyle name="Normal 18 4 9 3" xfId="23995" xr:uid="{DE27295E-9AE4-46CB-8B93-270F7068EFBE}"/>
    <cellStyle name="Normal 18 4 9 4" xfId="40754" xr:uid="{CA4EE349-ABFF-431B-9C25-9B3FA69495F7}"/>
    <cellStyle name="Normal 18 5" xfId="602" xr:uid="{3B1A08EA-00D8-4CCD-80A9-5A8A116CD4B9}"/>
    <cellStyle name="Normal 18 5 10" xfId="8524" xr:uid="{DFA9CE4B-5172-45CF-AF7D-5A60AD8F4443}"/>
    <cellStyle name="Normal 18 5 10 2" xfId="16904" xr:uid="{BE958ECB-F0FB-4B50-BC41-21C01957AD30}"/>
    <cellStyle name="Normal 18 5 10 2 2" xfId="33664" xr:uid="{397C2D92-8B8D-409D-9EB1-7697F3F7F38D}"/>
    <cellStyle name="Normal 18 5 10 2 3" xfId="50423" xr:uid="{34F60CF4-667C-4209-B4E7-F110AABC641D}"/>
    <cellStyle name="Normal 18 5 10 3" xfId="25284" xr:uid="{51FBADA8-50BD-4EAE-8714-71C211FB0231}"/>
    <cellStyle name="Normal 18 5 10 4" xfId="42043" xr:uid="{CB5DE22A-D2E7-4E94-A3C1-B0B5EA478E10}"/>
    <cellStyle name="Normal 18 5 11" xfId="2434" xr:uid="{ACE9C255-7B4B-466F-B017-47564DD0BFF7}"/>
    <cellStyle name="Normal 18 5 11 2" xfId="10816" xr:uid="{E6828CAE-6D32-4ABC-BCC5-FA912FCFAA1C}"/>
    <cellStyle name="Normal 18 5 11 2 2" xfId="27576" xr:uid="{C1AB7473-5123-4182-B6AA-4E7051DAC3E0}"/>
    <cellStyle name="Normal 18 5 11 2 3" xfId="44335" xr:uid="{F92BA24E-A6C3-4268-9ED7-7F70F3201A3E}"/>
    <cellStyle name="Normal 18 5 11 3" xfId="19196" xr:uid="{AE0589F9-F044-4303-B889-32BC4F701B5C}"/>
    <cellStyle name="Normal 18 5 11 4" xfId="35955" xr:uid="{AB166216-8B2B-4DC7-B51C-7C06FF4B2A6C}"/>
    <cellStyle name="Normal 18 5 12" xfId="9013" xr:uid="{91F69281-CF46-4082-AA57-1D5CECB1BAF5}"/>
    <cellStyle name="Normal 18 5 12 2" xfId="25773" xr:uid="{B0DC7274-0D74-410E-AAF3-DD7924769D85}"/>
    <cellStyle name="Normal 18 5 12 3" xfId="42532" xr:uid="{FF5EC7A7-18C3-4727-98CC-B67167B88F31}"/>
    <cellStyle name="Normal 18 5 13" xfId="17393" xr:uid="{66120A88-8246-4CB5-91F6-1A421D72EA98}"/>
    <cellStyle name="Normal 18 5 14" xfId="34152" xr:uid="{4857CEBD-017A-46E9-BBD1-B4DE1CC7CD2E}"/>
    <cellStyle name="Normal 18 5 2" xfId="1044" xr:uid="{401AB2FA-523C-4689-8BB3-BC40FC0FFE1F}"/>
    <cellStyle name="Normal 18 5 2 2" xfId="4439" xr:uid="{FBCBA242-00CA-4652-B29B-715BC0CDD1A8}"/>
    <cellStyle name="Normal 18 5 2 2 2" xfId="12819" xr:uid="{68B47712-79AA-44B8-897D-ADAC079F909F}"/>
    <cellStyle name="Normal 18 5 2 2 2 2" xfId="29579" xr:uid="{47A70925-C9E7-4953-9268-9F2ED7FFD848}"/>
    <cellStyle name="Normal 18 5 2 2 2 3" xfId="46338" xr:uid="{6C4293A2-1673-4D7B-B653-486E9CA5EBE8}"/>
    <cellStyle name="Normal 18 5 2 2 3" xfId="21199" xr:uid="{E2E1AF9C-25AF-4BD0-A541-7F621F995C83}"/>
    <cellStyle name="Normal 18 5 2 2 4" xfId="37958" xr:uid="{61A07FCF-F154-4C79-9912-14C6087654DD}"/>
    <cellStyle name="Normal 18 5 2 3" xfId="6126" xr:uid="{389F03C2-BD95-436B-A1D2-E8EF15B57178}"/>
    <cellStyle name="Normal 18 5 2 3 2" xfId="14506" xr:uid="{A8E5DB25-4209-4B09-B083-DE1CDC64DAF1}"/>
    <cellStyle name="Normal 18 5 2 3 2 2" xfId="31266" xr:uid="{19E80E3B-FB77-4372-BBC2-FC7C301FC53E}"/>
    <cellStyle name="Normal 18 5 2 3 2 3" xfId="48025" xr:uid="{C3EF29D1-AC02-4B6D-90BF-9504C5F7EA81}"/>
    <cellStyle name="Normal 18 5 2 3 3" xfId="22886" xr:uid="{A2F677BE-B996-43EF-9D59-8339A2447995}"/>
    <cellStyle name="Normal 18 5 2 3 4" xfId="39645" xr:uid="{7DC4C4AF-9FC0-4399-A50A-603FA0D0273C}"/>
    <cellStyle name="Normal 18 5 2 4" xfId="2862" xr:uid="{CB15B68A-0642-48A5-AE13-4FDE27C6610F}"/>
    <cellStyle name="Normal 18 5 2 4 2" xfId="11242" xr:uid="{1E80F859-1594-4496-B1FE-C53ACF44B133}"/>
    <cellStyle name="Normal 18 5 2 4 2 2" xfId="28002" xr:uid="{6BBE2962-F9F7-4676-AB7A-D4754050A5F7}"/>
    <cellStyle name="Normal 18 5 2 4 2 3" xfId="44761" xr:uid="{055F7947-C2E7-4C9B-8478-5284765B3CD7}"/>
    <cellStyle name="Normal 18 5 2 4 3" xfId="19622" xr:uid="{9784378E-4F39-4444-8A39-BCCA76F1C9EA}"/>
    <cellStyle name="Normal 18 5 2 4 4" xfId="36381" xr:uid="{4E4797BD-6E39-470A-8A57-4F064C9E382E}"/>
    <cellStyle name="Normal 18 5 2 5" xfId="9439" xr:uid="{60188A2A-9EE5-4C2F-A1F0-E589F8673335}"/>
    <cellStyle name="Normal 18 5 2 5 2" xfId="26199" xr:uid="{523120F4-FDC0-4E3B-BEF2-E6BA91B5CFA7}"/>
    <cellStyle name="Normal 18 5 2 5 3" xfId="42958" xr:uid="{E7841217-64EE-482F-90B7-34D44C825D0A}"/>
    <cellStyle name="Normal 18 5 2 6" xfId="17819" xr:uid="{8596DF50-C039-4B6D-A949-6DD04DABCF02}"/>
    <cellStyle name="Normal 18 5 2 7" xfId="34578" xr:uid="{4EB99F51-B451-498F-9817-98900B8AC7C0}"/>
    <cellStyle name="Normal 18 5 3" xfId="1478" xr:uid="{EA7B80B0-BBBF-4D96-B7A6-B09C3E2CBE62}"/>
    <cellStyle name="Normal 18 5 3 2" xfId="4867" xr:uid="{C8C01C32-56D2-4586-9E57-ACFEC824DDD9}"/>
    <cellStyle name="Normal 18 5 3 2 2" xfId="13247" xr:uid="{420984F7-9AF0-4617-9EEF-E5E53D708FB1}"/>
    <cellStyle name="Normal 18 5 3 2 2 2" xfId="30007" xr:uid="{93F3CA09-83A8-4729-9B99-612228921FAE}"/>
    <cellStyle name="Normal 18 5 3 2 2 3" xfId="46766" xr:uid="{C4CE85D4-83AC-4F8E-B13B-019E7BDAC58F}"/>
    <cellStyle name="Normal 18 5 3 2 3" xfId="21627" xr:uid="{80F870F0-5CCF-48D6-8960-A1FFB25FDD0D}"/>
    <cellStyle name="Normal 18 5 3 2 4" xfId="38386" xr:uid="{7E43C5A6-6F1C-4C56-8D75-AB91AFFD008D}"/>
    <cellStyle name="Normal 18 5 3 3" xfId="6554" xr:uid="{D5ED0D1D-3AC5-46DE-A80A-CCC007009398}"/>
    <cellStyle name="Normal 18 5 3 3 2" xfId="14934" xr:uid="{EF01D682-702A-4ED1-B4CC-78225028BFE5}"/>
    <cellStyle name="Normal 18 5 3 3 2 2" xfId="31694" xr:uid="{69D16D63-7528-42E7-B700-4D77AC55FD22}"/>
    <cellStyle name="Normal 18 5 3 3 2 3" xfId="48453" xr:uid="{921468C1-F489-431B-B8ED-F2BD230421F6}"/>
    <cellStyle name="Normal 18 5 3 3 3" xfId="23314" xr:uid="{D6BE36BD-73B4-4DB4-8E55-42EDA48EFB8B}"/>
    <cellStyle name="Normal 18 5 3 3 4" xfId="40073" xr:uid="{A876129F-04E8-4406-A65C-7562E4F9B60A}"/>
    <cellStyle name="Normal 18 5 3 4" xfId="3290" xr:uid="{72E00504-CD39-4CFD-9230-8654077C1071}"/>
    <cellStyle name="Normal 18 5 3 4 2" xfId="11670" xr:uid="{E5B8CCF5-130A-43F0-9754-7D1966905E98}"/>
    <cellStyle name="Normal 18 5 3 4 2 2" xfId="28430" xr:uid="{9BF51CDF-4971-46BD-A98C-681F47353380}"/>
    <cellStyle name="Normal 18 5 3 4 2 3" xfId="45189" xr:uid="{35D4E882-FF08-4AEC-898F-D58030D00611}"/>
    <cellStyle name="Normal 18 5 3 4 3" xfId="20050" xr:uid="{986F390C-B9FF-4EC4-9601-CFCB5612C9B3}"/>
    <cellStyle name="Normal 18 5 3 4 4" xfId="36809" xr:uid="{301DD2E1-B676-4145-967D-249AC32B0658}"/>
    <cellStyle name="Normal 18 5 3 5" xfId="9867" xr:uid="{20DACC95-03C0-4610-BD5E-D85B96CA1368}"/>
    <cellStyle name="Normal 18 5 3 5 2" xfId="26627" xr:uid="{EC700C1F-1B92-4DCB-8AAB-FE66DA9E5BD6}"/>
    <cellStyle name="Normal 18 5 3 5 3" xfId="43386" xr:uid="{5C01DD50-00EA-4F94-B18D-3AA38E468696}"/>
    <cellStyle name="Normal 18 5 3 6" xfId="18247" xr:uid="{8688DB11-2F9F-43FC-84B5-F2B47CF7BA3B}"/>
    <cellStyle name="Normal 18 5 3 7" xfId="35006" xr:uid="{86F34E67-6D7E-42EC-B295-BF98159ABAEC}"/>
    <cellStyle name="Normal 18 5 4" xfId="1824" xr:uid="{37097EC8-692F-4D66-8C4E-AE13C8ABEF9F}"/>
    <cellStyle name="Normal 18 5 4 2" xfId="5213" xr:uid="{67E75E75-4EC4-400A-9AF7-767E4FB62B53}"/>
    <cellStyle name="Normal 18 5 4 2 2" xfId="13593" xr:uid="{DBE3F38B-6E2B-40ED-98E7-9EE258608B61}"/>
    <cellStyle name="Normal 18 5 4 2 2 2" xfId="30353" xr:uid="{E3541F29-E891-4C53-A858-B2D32F0EBDC2}"/>
    <cellStyle name="Normal 18 5 4 2 2 3" xfId="47112" xr:uid="{092905FA-E9C5-47DD-B56C-4D1C3854FBBA}"/>
    <cellStyle name="Normal 18 5 4 2 3" xfId="21973" xr:uid="{5DF2B549-EA08-4E26-81DB-332FF964D14D}"/>
    <cellStyle name="Normal 18 5 4 2 4" xfId="38732" xr:uid="{4F15BAD4-73D9-4ED1-8CB9-ADC9BFC43BFC}"/>
    <cellStyle name="Normal 18 5 4 3" xfId="6900" xr:uid="{EFD5C042-2787-4FF6-BF2A-DEA878A3C422}"/>
    <cellStyle name="Normal 18 5 4 3 2" xfId="15280" xr:uid="{06401D16-25FD-4319-B5AF-8C1262570411}"/>
    <cellStyle name="Normal 18 5 4 3 2 2" xfId="32040" xr:uid="{DC028B5B-8856-4703-B6B0-E9A7F7E91129}"/>
    <cellStyle name="Normal 18 5 4 3 2 3" xfId="48799" xr:uid="{901B6EDD-3908-43EE-8130-352A9FE37785}"/>
    <cellStyle name="Normal 18 5 4 3 3" xfId="23660" xr:uid="{090B4089-8E56-4B1E-8505-5784B469C064}"/>
    <cellStyle name="Normal 18 5 4 3 4" xfId="40419" xr:uid="{0B70861D-3EA8-4440-BFFA-F5E78D9FF2A5}"/>
    <cellStyle name="Normal 18 5 4 4" xfId="3524" xr:uid="{E22BEFE5-94A5-42DC-A633-2D7FB04E8A94}"/>
    <cellStyle name="Normal 18 5 4 4 2" xfId="11904" xr:uid="{B9C0D259-CA74-4F61-8BC3-583F812473E0}"/>
    <cellStyle name="Normal 18 5 4 4 2 2" xfId="28664" xr:uid="{B1228834-8359-4A6C-A5CA-E1EABA3B4C42}"/>
    <cellStyle name="Normal 18 5 4 4 2 3" xfId="45423" xr:uid="{BB656767-CBA3-4B4A-94FE-6BDEBAAD19CD}"/>
    <cellStyle name="Normal 18 5 4 4 3" xfId="20284" xr:uid="{BCCADF41-EE58-4DFC-A79A-1839A262926A}"/>
    <cellStyle name="Normal 18 5 4 4 4" xfId="37043" xr:uid="{30BE5F47-7DA1-4FDF-B3E3-FB73A07856B6}"/>
    <cellStyle name="Normal 18 5 4 5" xfId="10213" xr:uid="{AE64773D-F612-4FB2-8C22-03CF05060B82}"/>
    <cellStyle name="Normal 18 5 4 5 2" xfId="26973" xr:uid="{B199FB52-06F0-44D7-94D8-07C3A3D6E0CE}"/>
    <cellStyle name="Normal 18 5 4 5 3" xfId="43732" xr:uid="{D7FF5A7E-767D-4F77-BF26-8CCC3B153C38}"/>
    <cellStyle name="Normal 18 5 4 6" xfId="18593" xr:uid="{835068F4-BA1C-4512-8555-EB7FAD1747D7}"/>
    <cellStyle name="Normal 18 5 4 7" xfId="35352" xr:uid="{ACC98FC2-D701-40E6-A07D-9E4EA1A83624}"/>
    <cellStyle name="Normal 18 5 5" xfId="3943" xr:uid="{906DDE64-ADA4-4E84-AD40-79A99C89A409}"/>
    <cellStyle name="Normal 18 5 5 2" xfId="12323" xr:uid="{83CEA074-AF05-4764-BF65-3F1888E86E8A}"/>
    <cellStyle name="Normal 18 5 5 2 2" xfId="29083" xr:uid="{0008492B-73CD-4112-B85B-FDFA43DBFE37}"/>
    <cellStyle name="Normal 18 5 5 2 3" xfId="45842" xr:uid="{2F3E43DC-3959-4793-BC29-01428DEDBA47}"/>
    <cellStyle name="Normal 18 5 5 3" xfId="20703" xr:uid="{2A788D7F-BB23-45D3-BFFD-12E50A267FB0}"/>
    <cellStyle name="Normal 18 5 5 4" xfId="37462" xr:uid="{3F3F5E5E-557D-4AC3-9DEE-827AAE731135}"/>
    <cellStyle name="Normal 18 5 6" xfId="5700" xr:uid="{63C3D33E-2D1C-4E54-917C-B78ADED6C07E}"/>
    <cellStyle name="Normal 18 5 6 2" xfId="14080" xr:uid="{249DFF66-3EE0-4654-9ECA-595F727AAF69}"/>
    <cellStyle name="Normal 18 5 6 2 2" xfId="30840" xr:uid="{82717173-3348-4DC2-8C25-1BE5ED40D1EF}"/>
    <cellStyle name="Normal 18 5 6 2 3" xfId="47599" xr:uid="{031732AE-368B-40C7-939D-7083754A7966}"/>
    <cellStyle name="Normal 18 5 6 3" xfId="22460" xr:uid="{669FA3C5-68E1-46C4-885B-4A94F1BE9030}"/>
    <cellStyle name="Normal 18 5 6 4" xfId="39219" xr:uid="{7B118541-4FA1-4CE1-8530-465C31274A02}"/>
    <cellStyle name="Normal 18 5 7" xfId="7306" xr:uid="{1949A70E-A338-4ADF-9D6B-DD5D66D106A4}"/>
    <cellStyle name="Normal 18 5 7 2" xfId="15686" xr:uid="{65A04033-8329-4581-9A4B-CCB3A262EC86}"/>
    <cellStyle name="Normal 18 5 7 2 2" xfId="32446" xr:uid="{69834286-1AA1-455B-B091-053C5FA9F6E2}"/>
    <cellStyle name="Normal 18 5 7 2 3" xfId="49205" xr:uid="{4BF765CE-D0D3-4352-9F42-B1EE953BCD52}"/>
    <cellStyle name="Normal 18 5 7 3" xfId="24066" xr:uid="{17643938-DDA7-4F80-A5E1-E651798E6817}"/>
    <cellStyle name="Normal 18 5 7 4" xfId="40825" xr:uid="{C8ADE922-9782-4C6D-9FE7-883BE3458906}"/>
    <cellStyle name="Normal 18 5 8" xfId="7712" xr:uid="{9B082126-BB03-49D3-90B2-0A97A5113ECC}"/>
    <cellStyle name="Normal 18 5 8 2" xfId="16092" xr:uid="{74475EE1-2AD4-4895-822B-B1D43E8A51A4}"/>
    <cellStyle name="Normal 18 5 8 2 2" xfId="32852" xr:uid="{743B5156-EA28-4C6C-99CA-225EE45C10B2}"/>
    <cellStyle name="Normal 18 5 8 2 3" xfId="49611" xr:uid="{8DE4D570-807A-4ACF-A98F-D7C3884E466C}"/>
    <cellStyle name="Normal 18 5 8 3" xfId="24472" xr:uid="{42DE7C4B-72DE-42CC-8086-C704D15A799F}"/>
    <cellStyle name="Normal 18 5 8 4" xfId="41231" xr:uid="{05A007D5-1AB9-4A52-85E5-A7AFA3ECB95F}"/>
    <cellStyle name="Normal 18 5 9" xfId="8118" xr:uid="{AD327732-A682-4DAC-989D-2AAC76236BD6}"/>
    <cellStyle name="Normal 18 5 9 2" xfId="16498" xr:uid="{ABA156A0-663E-4AF7-A6A1-9CECB2FD9373}"/>
    <cellStyle name="Normal 18 5 9 2 2" xfId="33258" xr:uid="{93977D9C-D228-4433-A6DF-A7FF00C1C6CF}"/>
    <cellStyle name="Normal 18 5 9 2 3" xfId="50017" xr:uid="{5FD4B7C3-FE64-4E74-A7FE-C769BBDB8F38}"/>
    <cellStyle name="Normal 18 5 9 3" xfId="24878" xr:uid="{B5407391-6A65-45E2-BDBB-FBF4DEC8D132}"/>
    <cellStyle name="Normal 18 5 9 4" xfId="41637" xr:uid="{86AADE48-4FCC-470A-887A-2F507B6AD5AA}"/>
    <cellStyle name="Normal 18 6" xfId="603" xr:uid="{9BC452C9-A991-47A5-94A0-983141FF1166}"/>
    <cellStyle name="Normal 18 6 10" xfId="8609" xr:uid="{00989369-B1D7-4550-BA33-1C4AF11B9ADA}"/>
    <cellStyle name="Normal 18 6 10 2" xfId="16989" xr:uid="{A01001CC-AD36-42FF-B4A8-64CADDD244EF}"/>
    <cellStyle name="Normal 18 6 10 2 2" xfId="33749" xr:uid="{5CDF289E-6ABC-4FC4-A75B-EF3BCACC81A3}"/>
    <cellStyle name="Normal 18 6 10 2 3" xfId="50508" xr:uid="{176685F7-A510-4939-A63B-9AE4B07C61DA}"/>
    <cellStyle name="Normal 18 6 10 3" xfId="25369" xr:uid="{75EBC28D-9AA5-4AB6-A196-1B7C5908BC3D}"/>
    <cellStyle name="Normal 18 6 10 4" xfId="42128" xr:uid="{B855ED91-F0A5-46D2-B740-79227F6068C9}"/>
    <cellStyle name="Normal 18 6 11" xfId="2435" xr:uid="{005064D8-1074-4860-9386-BDE5A1CB282C}"/>
    <cellStyle name="Normal 18 6 11 2" xfId="10817" xr:uid="{A8039B63-42DB-4F1C-985C-2FDA0420169B}"/>
    <cellStyle name="Normal 18 6 11 2 2" xfId="27577" xr:uid="{3ACD2036-3D37-4BC0-AF32-A86B2F751F6F}"/>
    <cellStyle name="Normal 18 6 11 2 3" xfId="44336" xr:uid="{570CF852-03FD-429D-92B9-FE1AAEA2697F}"/>
    <cellStyle name="Normal 18 6 11 3" xfId="19197" xr:uid="{3B7F50A1-2311-4003-AED6-03DDAD09D7F4}"/>
    <cellStyle name="Normal 18 6 11 4" xfId="35956" xr:uid="{50FF44D6-5F2E-49C7-8466-549D2E2BD334}"/>
    <cellStyle name="Normal 18 6 12" xfId="9014" xr:uid="{A5083C3A-11F1-49FA-A8BF-0F24C2BBA021}"/>
    <cellStyle name="Normal 18 6 12 2" xfId="25774" xr:uid="{DCB044B9-93AE-4DFE-8B2C-8E6161274D58}"/>
    <cellStyle name="Normal 18 6 12 3" xfId="42533" xr:uid="{2C1251D2-0EA8-4931-838C-95B1120FFC53}"/>
    <cellStyle name="Normal 18 6 13" xfId="17394" xr:uid="{2B32C1C1-02F9-4F4E-977C-68D1EF839194}"/>
    <cellStyle name="Normal 18 6 14" xfId="34153" xr:uid="{C5A7E890-4491-4A81-8F86-1752B9419541}"/>
    <cellStyle name="Normal 18 6 2" xfId="1045" xr:uid="{0ED56073-783F-463F-90D8-39442B38DF7C}"/>
    <cellStyle name="Normal 18 6 2 2" xfId="4440" xr:uid="{7EFD31F3-7077-42F9-8580-37BCDF52FEC4}"/>
    <cellStyle name="Normal 18 6 2 2 2" xfId="12820" xr:uid="{B4365311-AD95-4407-8A02-AB4594AB7832}"/>
    <cellStyle name="Normal 18 6 2 2 2 2" xfId="29580" xr:uid="{D47B8B96-EFE2-46A0-AB38-17A13EBE9E13}"/>
    <cellStyle name="Normal 18 6 2 2 2 3" xfId="46339" xr:uid="{E235C79F-F907-468E-973C-39D21EB6BB8D}"/>
    <cellStyle name="Normal 18 6 2 2 3" xfId="21200" xr:uid="{741F1C45-9D19-4638-A534-C315D76CE67C}"/>
    <cellStyle name="Normal 18 6 2 2 4" xfId="37959" xr:uid="{CE4F5860-5899-4812-BE63-D9B564CB5A90}"/>
    <cellStyle name="Normal 18 6 2 3" xfId="6127" xr:uid="{346E38A1-4131-470F-91D8-05D8733958D0}"/>
    <cellStyle name="Normal 18 6 2 3 2" xfId="14507" xr:uid="{2B015D62-76CF-4C4B-BAB5-1E56360A3E78}"/>
    <cellStyle name="Normal 18 6 2 3 2 2" xfId="31267" xr:uid="{D4085DA9-5700-44CD-9364-112D47792D7A}"/>
    <cellStyle name="Normal 18 6 2 3 2 3" xfId="48026" xr:uid="{605A5714-628B-4BFE-BE33-E368B07F30E5}"/>
    <cellStyle name="Normal 18 6 2 3 3" xfId="22887" xr:uid="{56D18D71-0F41-444C-9BD6-D96AF6EF5D18}"/>
    <cellStyle name="Normal 18 6 2 3 4" xfId="39646" xr:uid="{37659669-4BAE-456A-94E1-022391F5300A}"/>
    <cellStyle name="Normal 18 6 2 4" xfId="2863" xr:uid="{CD326426-D3EA-429B-B7C5-D0F4D9F6F360}"/>
    <cellStyle name="Normal 18 6 2 4 2" xfId="11243" xr:uid="{CF556AE3-EC1A-4E5B-9996-32308626D4C2}"/>
    <cellStyle name="Normal 18 6 2 4 2 2" xfId="28003" xr:uid="{82085F9F-78C5-446C-A494-47487866D4AF}"/>
    <cellStyle name="Normal 18 6 2 4 2 3" xfId="44762" xr:uid="{233BA8B6-B228-46A9-91B9-71519D1E8B83}"/>
    <cellStyle name="Normal 18 6 2 4 3" xfId="19623" xr:uid="{24319750-5AED-4DC3-AD83-7643906A4867}"/>
    <cellStyle name="Normal 18 6 2 4 4" xfId="36382" xr:uid="{7C6A3839-07A3-424B-9D0C-3082211D6E27}"/>
    <cellStyle name="Normal 18 6 2 5" xfId="9440" xr:uid="{AD0E14AC-4D47-44A1-B971-1CC1D95E78EF}"/>
    <cellStyle name="Normal 18 6 2 5 2" xfId="26200" xr:uid="{73E01A86-0240-4975-AFB2-07EEB6E4BA0A}"/>
    <cellStyle name="Normal 18 6 2 5 3" xfId="42959" xr:uid="{BFEF9591-E348-4353-A2F8-4CD3974B7A9F}"/>
    <cellStyle name="Normal 18 6 2 6" xfId="17820" xr:uid="{E697DFE9-8551-4B1D-B81A-2F52C0E67657}"/>
    <cellStyle name="Normal 18 6 2 7" xfId="34579" xr:uid="{371D9BB3-551A-45B2-9898-827C4CEFEA98}"/>
    <cellStyle name="Normal 18 6 3" xfId="1479" xr:uid="{7016B2CC-D7D5-4CE5-9C8C-4388B9B48AA5}"/>
    <cellStyle name="Normal 18 6 3 2" xfId="4868" xr:uid="{3C124BCD-D53E-4039-AD06-8D1CB6CA63E7}"/>
    <cellStyle name="Normal 18 6 3 2 2" xfId="13248" xr:uid="{DD09E3D7-DD9D-4E29-B9B7-217719B9BB2D}"/>
    <cellStyle name="Normal 18 6 3 2 2 2" xfId="30008" xr:uid="{1920BE78-E93A-432E-AEEC-D6579FB3A868}"/>
    <cellStyle name="Normal 18 6 3 2 2 3" xfId="46767" xr:uid="{C46AF162-531B-4351-B4F7-570AEE42293B}"/>
    <cellStyle name="Normal 18 6 3 2 3" xfId="21628" xr:uid="{7AC9E345-5C76-4E07-8C1B-A3E70A24CB5B}"/>
    <cellStyle name="Normal 18 6 3 2 4" xfId="38387" xr:uid="{55AFFD3D-C7C1-4F88-8BE0-E69B405D621E}"/>
    <cellStyle name="Normal 18 6 3 3" xfId="6555" xr:uid="{E45741DF-EFC1-45FB-B27F-15EC75448220}"/>
    <cellStyle name="Normal 18 6 3 3 2" xfId="14935" xr:uid="{4C925E2A-0674-40E4-B4A3-A89E9FEDE331}"/>
    <cellStyle name="Normal 18 6 3 3 2 2" xfId="31695" xr:uid="{584DB8D9-FB72-4F57-A4CA-B10CD5E71598}"/>
    <cellStyle name="Normal 18 6 3 3 2 3" xfId="48454" xr:uid="{995FA4E5-B2EA-42EB-BD2C-F242D4733304}"/>
    <cellStyle name="Normal 18 6 3 3 3" xfId="23315" xr:uid="{8F826DBE-1F2C-40B4-9456-72753E1D08DD}"/>
    <cellStyle name="Normal 18 6 3 3 4" xfId="40074" xr:uid="{0D2E3E9B-0A0B-4C33-9E95-2BE40981E8B6}"/>
    <cellStyle name="Normal 18 6 3 4" xfId="3291" xr:uid="{93845734-71E8-4B81-B423-EED1C6FD8174}"/>
    <cellStyle name="Normal 18 6 3 4 2" xfId="11671" xr:uid="{F3901FF3-9E40-44FF-932D-C195BC72E28F}"/>
    <cellStyle name="Normal 18 6 3 4 2 2" xfId="28431" xr:uid="{F2B9B2D2-143F-4F9B-A9BC-68C9B09FC5C3}"/>
    <cellStyle name="Normal 18 6 3 4 2 3" xfId="45190" xr:uid="{21121CC1-FC08-40D5-8138-F41352DC3D3A}"/>
    <cellStyle name="Normal 18 6 3 4 3" xfId="20051" xr:uid="{3CC0F5A9-5426-4E4F-80FB-4A031ACF7074}"/>
    <cellStyle name="Normal 18 6 3 4 4" xfId="36810" xr:uid="{AD59FE6F-A9D4-424B-8EF4-4A74A0D7A957}"/>
    <cellStyle name="Normal 18 6 3 5" xfId="9868" xr:uid="{A2994B50-94F5-4FF2-BAC8-CA28528D3352}"/>
    <cellStyle name="Normal 18 6 3 5 2" xfId="26628" xr:uid="{0DA08F10-D003-4FE9-A3E1-914758AC896F}"/>
    <cellStyle name="Normal 18 6 3 5 3" xfId="43387" xr:uid="{E5346105-DE2C-44A6-81A5-49DF895DAD31}"/>
    <cellStyle name="Normal 18 6 3 6" xfId="18248" xr:uid="{06C4E01C-500C-43C5-89ED-87BF97E5D120}"/>
    <cellStyle name="Normal 18 6 3 7" xfId="35007" xr:uid="{B10E4508-DA4F-4E66-A7DE-588F8CB6D00C}"/>
    <cellStyle name="Normal 18 6 4" xfId="1909" xr:uid="{DE5ECB15-5550-4DCB-AE79-4C5252D924A5}"/>
    <cellStyle name="Normal 18 6 4 2" xfId="5298" xr:uid="{57B33FAF-C2A0-45B7-B75F-C0F26631C648}"/>
    <cellStyle name="Normal 18 6 4 2 2" xfId="13678" xr:uid="{48C528F2-879E-4594-8BB6-0792CF9C2293}"/>
    <cellStyle name="Normal 18 6 4 2 2 2" xfId="30438" xr:uid="{43C4E97C-CA0B-4407-9D7B-F3201B7E4BE0}"/>
    <cellStyle name="Normal 18 6 4 2 2 3" xfId="47197" xr:uid="{2BA09C33-2167-4A8E-8473-7AF24CB9E16E}"/>
    <cellStyle name="Normal 18 6 4 2 3" xfId="22058" xr:uid="{2A5E52F5-EEA8-4C2E-950E-7A25BEDAADB2}"/>
    <cellStyle name="Normal 18 6 4 2 4" xfId="38817" xr:uid="{F0500CB8-B56A-4B8B-98A5-B06C072FAB40}"/>
    <cellStyle name="Normal 18 6 4 3" xfId="6985" xr:uid="{5752C329-F865-4450-8C61-AC87A236E06C}"/>
    <cellStyle name="Normal 18 6 4 3 2" xfId="15365" xr:uid="{10DFF14C-28AF-487C-9F89-1413E0833BCB}"/>
    <cellStyle name="Normal 18 6 4 3 2 2" xfId="32125" xr:uid="{7F2F14BC-E7F7-4963-BB5C-E648AF39B2DA}"/>
    <cellStyle name="Normal 18 6 4 3 2 3" xfId="48884" xr:uid="{4FB40A62-A4FD-4665-9F41-E00DD41CE5C8}"/>
    <cellStyle name="Normal 18 6 4 3 3" xfId="23745" xr:uid="{E4AD2BAC-B7B5-45C9-9E15-0DE1A425F9C3}"/>
    <cellStyle name="Normal 18 6 4 3 4" xfId="40504" xr:uid="{5C7681FA-693B-4F49-A710-DF2B7A746B9B}"/>
    <cellStyle name="Normal 18 6 4 4" xfId="3608" xr:uid="{9093A6E8-0C63-4C07-96A9-904ABC3F2A4F}"/>
    <cellStyle name="Normal 18 6 4 4 2" xfId="11988" xr:uid="{5BD49B99-B166-44D5-B2A2-D5DB7ED9E642}"/>
    <cellStyle name="Normal 18 6 4 4 2 2" xfId="28748" xr:uid="{4E32F741-BA40-4E83-9D55-713D87BF1B1A}"/>
    <cellStyle name="Normal 18 6 4 4 2 3" xfId="45507" xr:uid="{3370EE00-9EDB-49AA-BB80-9C0C1E93D6FD}"/>
    <cellStyle name="Normal 18 6 4 4 3" xfId="20368" xr:uid="{157C0602-E0A3-44D2-B7F6-F2CD0D74405A}"/>
    <cellStyle name="Normal 18 6 4 4 4" xfId="37127" xr:uid="{7B99BDB5-F11F-4542-BBCA-A16A072DBECE}"/>
    <cellStyle name="Normal 18 6 4 5" xfId="10298" xr:uid="{2C820B45-BF48-4F94-BD61-E4723A3D03F1}"/>
    <cellStyle name="Normal 18 6 4 5 2" xfId="27058" xr:uid="{FA92F0CF-ACDF-4094-A1C1-F3B6D11CB530}"/>
    <cellStyle name="Normal 18 6 4 5 3" xfId="43817" xr:uid="{A0BD85A1-2AE0-4288-B7AE-52DBDD790F16}"/>
    <cellStyle name="Normal 18 6 4 6" xfId="18678" xr:uid="{6AC0F30D-686C-4D56-B0BB-70491FEA2753}"/>
    <cellStyle name="Normal 18 6 4 7" xfId="35437" xr:uid="{D4E1FDB9-10DD-4815-BC61-C884253BBC58}"/>
    <cellStyle name="Normal 18 6 5" xfId="4028" xr:uid="{53467449-3FDC-45D4-AE94-F35375A33C45}"/>
    <cellStyle name="Normal 18 6 5 2" xfId="12408" xr:uid="{AD2473F9-F71D-4623-A10A-21046A7225F2}"/>
    <cellStyle name="Normal 18 6 5 2 2" xfId="29168" xr:uid="{AAD4C678-0F68-419E-A7BE-2DF3D4C3C751}"/>
    <cellStyle name="Normal 18 6 5 2 3" xfId="45927" xr:uid="{DFB439BE-6825-46F1-84B0-9FAB6ED0EAA3}"/>
    <cellStyle name="Normal 18 6 5 3" xfId="20788" xr:uid="{238BA80F-6F2D-43F7-AA3D-3FA4F972C83F}"/>
    <cellStyle name="Normal 18 6 5 4" xfId="37547" xr:uid="{F6BA33E7-FF31-4B51-8770-36D296A50D69}"/>
    <cellStyle name="Normal 18 6 6" xfId="5701" xr:uid="{35AF82B2-7029-402C-8609-2CFC5854077B}"/>
    <cellStyle name="Normal 18 6 6 2" xfId="14081" xr:uid="{0DCE2700-543B-48B2-AC26-25135C758F27}"/>
    <cellStyle name="Normal 18 6 6 2 2" xfId="30841" xr:uid="{F40B6646-D760-4446-AFCC-34E6FD150FBF}"/>
    <cellStyle name="Normal 18 6 6 2 3" xfId="47600" xr:uid="{4AA8A4F7-831C-46A8-8360-469BE4A43888}"/>
    <cellStyle name="Normal 18 6 6 3" xfId="22461" xr:uid="{6C86DE28-DC26-44E4-AFA1-E9EBB3226E32}"/>
    <cellStyle name="Normal 18 6 6 4" xfId="39220" xr:uid="{9A1D0250-575A-44FC-87CD-E470E62224A7}"/>
    <cellStyle name="Normal 18 6 7" xfId="7391" xr:uid="{DD2DA243-32E8-4EEE-A3A7-54540D7AFC0D}"/>
    <cellStyle name="Normal 18 6 7 2" xfId="15771" xr:uid="{43956C6A-55C7-4070-A717-9F72C3E0D898}"/>
    <cellStyle name="Normal 18 6 7 2 2" xfId="32531" xr:uid="{885974D9-1172-4560-ACD9-C030485F2E03}"/>
    <cellStyle name="Normal 18 6 7 2 3" xfId="49290" xr:uid="{70A0768F-1424-433C-87D2-C33C8365F725}"/>
    <cellStyle name="Normal 18 6 7 3" xfId="24151" xr:uid="{D562D04D-568A-4F48-B9E5-92B274561089}"/>
    <cellStyle name="Normal 18 6 7 4" xfId="40910" xr:uid="{A3E658E8-FADE-4D97-9C8C-C4663FF93DB4}"/>
    <cellStyle name="Normal 18 6 8" xfId="7797" xr:uid="{908146E2-3B12-4A83-A9DD-590A139159B5}"/>
    <cellStyle name="Normal 18 6 8 2" xfId="16177" xr:uid="{FBC434EC-E1B4-4E9E-871F-8EA3209443FC}"/>
    <cellStyle name="Normal 18 6 8 2 2" xfId="32937" xr:uid="{FAAA32D2-8499-4E89-9228-45867519CCAF}"/>
    <cellStyle name="Normal 18 6 8 2 3" xfId="49696" xr:uid="{0A1D5F1E-C65B-4415-9F3D-FE5AB4C74CC7}"/>
    <cellStyle name="Normal 18 6 8 3" xfId="24557" xr:uid="{758E88EF-33CD-41C2-A002-018B0D1FBB07}"/>
    <cellStyle name="Normal 18 6 8 4" xfId="41316" xr:uid="{5A81017B-2213-47A4-A815-B6C944FFF053}"/>
    <cellStyle name="Normal 18 6 9" xfId="8203" xr:uid="{3D1E9208-7ADF-48C6-8177-C86CEF479FD3}"/>
    <cellStyle name="Normal 18 6 9 2" xfId="16583" xr:uid="{9BDD20DC-82A3-41A0-A6EC-1C7D582AEFAD}"/>
    <cellStyle name="Normal 18 6 9 2 2" xfId="33343" xr:uid="{2AF79CD5-5331-4DC0-9B8A-C036539C3295}"/>
    <cellStyle name="Normal 18 6 9 2 3" xfId="50102" xr:uid="{5A8D90EB-0CB2-47A0-92AB-500DA7F7887D}"/>
    <cellStyle name="Normal 18 6 9 3" xfId="24963" xr:uid="{75C9E51E-DCFB-456F-BFD0-0E97D2152649}"/>
    <cellStyle name="Normal 18 6 9 4" xfId="41722" xr:uid="{3AEBA43C-D4A1-4961-A88F-6552BEAC56FF}"/>
    <cellStyle name="Normal 18 7" xfId="781" xr:uid="{51260741-E90F-464A-B7DB-D45A26AAEECA}"/>
    <cellStyle name="Normal 18 7 2" xfId="4176" xr:uid="{9D194DCD-58CC-4934-98EA-2DB02C74BDFF}"/>
    <cellStyle name="Normal 18 7 2 2" xfId="12556" xr:uid="{DCB1616F-B90D-4CCE-8FF5-95155604FC20}"/>
    <cellStyle name="Normal 18 7 2 2 2" xfId="29316" xr:uid="{A712A636-4C12-4BEC-A144-ABCDF32F6034}"/>
    <cellStyle name="Normal 18 7 2 2 3" xfId="46075" xr:uid="{E2E1D9D3-6F58-45B5-BCC4-B05BC5D7045A}"/>
    <cellStyle name="Normal 18 7 2 3" xfId="20936" xr:uid="{9C1B5F17-940D-421A-90C3-F260EDEB2A23}"/>
    <cellStyle name="Normal 18 7 2 4" xfId="37695" xr:uid="{EA2D2489-9289-4DA7-B1FB-D079974B05D7}"/>
    <cellStyle name="Normal 18 7 3" xfId="5863" xr:uid="{DC28CB4D-B37B-4120-8039-F29812CDDDD8}"/>
    <cellStyle name="Normal 18 7 3 2" xfId="14243" xr:uid="{A50A9143-BCE0-4CFC-93E9-14B3F1934025}"/>
    <cellStyle name="Normal 18 7 3 2 2" xfId="31003" xr:uid="{982FC09F-6DE7-4D8D-BE17-6D2CCE11C4FB}"/>
    <cellStyle name="Normal 18 7 3 2 3" xfId="47762" xr:uid="{CFD3781F-4382-448F-A38D-12A3C77C153C}"/>
    <cellStyle name="Normal 18 7 3 3" xfId="22623" xr:uid="{8FCCA1D3-BE0A-4A9A-BAF9-AF084CC317AA}"/>
    <cellStyle name="Normal 18 7 3 4" xfId="39382" xr:uid="{E3B9BFB5-65A1-4065-8E93-2C846F84A138}"/>
    <cellStyle name="Normal 18 7 4" xfId="2599" xr:uid="{7FA84F1C-4104-4843-A52B-5B3DA82718EB}"/>
    <cellStyle name="Normal 18 7 4 2" xfId="10979" xr:uid="{DE5F6DB1-FD16-4779-80EB-D2918F0CA548}"/>
    <cellStyle name="Normal 18 7 4 2 2" xfId="27739" xr:uid="{DD2BED9D-F22F-41D2-9C1D-2FDE72AEA880}"/>
    <cellStyle name="Normal 18 7 4 2 3" xfId="44498" xr:uid="{DC1262F5-6D49-406C-86EE-B5915424BE29}"/>
    <cellStyle name="Normal 18 7 4 3" xfId="19359" xr:uid="{FCEFDD5B-F67F-41F3-9FB5-8F4F38409EF7}"/>
    <cellStyle name="Normal 18 7 4 4" xfId="36118" xr:uid="{0F49FA07-F5F8-4E4F-B160-9C332B468C1C}"/>
    <cellStyle name="Normal 18 7 5" xfId="9176" xr:uid="{085C5F33-CFD4-4461-9AC3-80DCE3FFBE5E}"/>
    <cellStyle name="Normal 18 7 5 2" xfId="25936" xr:uid="{C3ECB0E8-0F92-4C11-923E-0434011EB112}"/>
    <cellStyle name="Normal 18 7 5 3" xfId="42695" xr:uid="{B22A6712-0612-4072-97B7-C8031725FA68}"/>
    <cellStyle name="Normal 18 7 6" xfId="17556" xr:uid="{52EFBEE8-0D0B-44C2-9CA1-C97202198342}"/>
    <cellStyle name="Normal 18 7 7" xfId="34315" xr:uid="{8E0561D8-D2AC-4D7F-B77B-B03170DCD1E1}"/>
    <cellStyle name="Normal 18 8" xfId="1215" xr:uid="{BB1DDB6D-32FF-4322-9BC8-47AF77F00F31}"/>
    <cellStyle name="Normal 18 8 2" xfId="4604" xr:uid="{D4939CDE-6008-40D0-85DD-F035A42F263D}"/>
    <cellStyle name="Normal 18 8 2 2" xfId="12984" xr:uid="{0FCC6A4E-A0C1-4FA7-AC2D-D053163899CD}"/>
    <cellStyle name="Normal 18 8 2 2 2" xfId="29744" xr:uid="{BDACF9F4-B78C-4185-B791-1B4D11714D2E}"/>
    <cellStyle name="Normal 18 8 2 2 3" xfId="46503" xr:uid="{9F37A465-323E-49B4-BE4C-4C73DB216112}"/>
    <cellStyle name="Normal 18 8 2 3" xfId="21364" xr:uid="{4C799863-6A4A-463E-B79A-D215B928DD57}"/>
    <cellStyle name="Normal 18 8 2 4" xfId="38123" xr:uid="{B9164F78-7BC9-4887-BEEE-B726A3D12864}"/>
    <cellStyle name="Normal 18 8 3" xfId="6291" xr:uid="{6C337EB7-2A49-40C6-9BD6-BC16E4E2C04F}"/>
    <cellStyle name="Normal 18 8 3 2" xfId="14671" xr:uid="{A6883981-E045-4E36-AD88-33C3E840C007}"/>
    <cellStyle name="Normal 18 8 3 2 2" xfId="31431" xr:uid="{98D4D8B8-B3FB-414B-ACF1-CF834498D370}"/>
    <cellStyle name="Normal 18 8 3 2 3" xfId="48190" xr:uid="{7D9C2AAA-0424-4C18-ACF4-1050A62FAC3F}"/>
    <cellStyle name="Normal 18 8 3 3" xfId="23051" xr:uid="{F9DB590B-0634-423F-917E-FC806D7B474B}"/>
    <cellStyle name="Normal 18 8 3 4" xfId="39810" xr:uid="{261DB691-D0E4-4733-8F43-6D269CD32005}"/>
    <cellStyle name="Normal 18 8 4" xfId="3027" xr:uid="{E8F2D5C4-C2C0-40E6-9A8A-B9200896B027}"/>
    <cellStyle name="Normal 18 8 4 2" xfId="11407" xr:uid="{F5F6B9B1-5E31-47FC-9C71-BCD7472E8848}"/>
    <cellStyle name="Normal 18 8 4 2 2" xfId="28167" xr:uid="{61A7B160-B4C5-495C-A4AB-A1D583D0C246}"/>
    <cellStyle name="Normal 18 8 4 2 3" xfId="44926" xr:uid="{9E943663-4010-4E67-A90B-3408841460EC}"/>
    <cellStyle name="Normal 18 8 4 3" xfId="19787" xr:uid="{3652E5E7-436D-4F51-80A0-7511A47027C5}"/>
    <cellStyle name="Normal 18 8 4 4" xfId="36546" xr:uid="{742CE96C-77A9-4EE9-A4E7-A21E9C606DA0}"/>
    <cellStyle name="Normal 18 8 5" xfId="9604" xr:uid="{9F46AFB7-742C-48CB-A498-848CE723220A}"/>
    <cellStyle name="Normal 18 8 5 2" xfId="26364" xr:uid="{D4B5FE7F-9669-4C2F-9526-9022AE1FBC9F}"/>
    <cellStyle name="Normal 18 8 5 3" xfId="43123" xr:uid="{2B65078F-9802-4168-9427-2C0D5FFF230B}"/>
    <cellStyle name="Normal 18 8 6" xfId="17984" xr:uid="{E3D33B75-3F85-4EAD-AC55-1904C7BF009C}"/>
    <cellStyle name="Normal 18 8 7" xfId="34743" xr:uid="{2017E103-4385-4324-AC32-57991BAC6DFC}"/>
    <cellStyle name="Normal 18 9" xfId="1638" xr:uid="{F3748DC0-30C6-447C-A38E-7D7D9A16D202}"/>
    <cellStyle name="Normal 18 9 2" xfId="5027" xr:uid="{6CF896F7-95ED-4E4D-823B-83B6183BECF4}"/>
    <cellStyle name="Normal 18 9 2 2" xfId="13407" xr:uid="{95D852A8-03EA-4F63-AE34-E15516A091B5}"/>
    <cellStyle name="Normal 18 9 2 2 2" xfId="30167" xr:uid="{6ADEC16F-9EC8-4200-B4C9-363FC2B5BE00}"/>
    <cellStyle name="Normal 18 9 2 2 3" xfId="46926" xr:uid="{91BC912F-028F-4FE9-8C29-78F12DE85B49}"/>
    <cellStyle name="Normal 18 9 2 3" xfId="21787" xr:uid="{BA303F1C-BEFD-4958-913D-5CA7349622AB}"/>
    <cellStyle name="Normal 18 9 2 4" xfId="38546" xr:uid="{EC909B00-28B6-41B9-936D-1B00C367FB99}"/>
    <cellStyle name="Normal 18 9 3" xfId="6714" xr:uid="{13516DEE-215F-4F08-B214-B57F2EE066FE}"/>
    <cellStyle name="Normal 18 9 3 2" xfId="15094" xr:uid="{0F287B0E-A583-49F7-ACC7-1B33573D599D}"/>
    <cellStyle name="Normal 18 9 3 2 2" xfId="31854" xr:uid="{1C5AABDC-C13C-4BE6-BEC9-5461F7D635BE}"/>
    <cellStyle name="Normal 18 9 3 2 3" xfId="48613" xr:uid="{C3E14A2C-33D8-496B-BB88-3C549AC2D31E}"/>
    <cellStyle name="Normal 18 9 3 3" xfId="23474" xr:uid="{BDF8E3C7-8960-48CE-8AF5-A8D5342163F5}"/>
    <cellStyle name="Normal 18 9 3 4" xfId="40233" xr:uid="{235A8D5D-9D16-439D-BA0B-42DD77BDA82E}"/>
    <cellStyle name="Normal 18 9 4" xfId="2165" xr:uid="{B74B9E1D-D9D5-42EF-85D9-0E8D343A1637}"/>
    <cellStyle name="Normal 18 9 4 2" xfId="10553" xr:uid="{47B25D0E-9F9B-46CD-BCC4-E149008CC610}"/>
    <cellStyle name="Normal 18 9 4 2 2" xfId="27313" xr:uid="{AF59B135-AB2E-407C-BED1-FFFB41674A3F}"/>
    <cellStyle name="Normal 18 9 4 2 3" xfId="44072" xr:uid="{AC277B0A-0910-4003-B4AB-61B04E4C55C2}"/>
    <cellStyle name="Normal 18 9 4 3" xfId="18933" xr:uid="{C3E58F8E-739D-41F7-998E-79E954FCECEA}"/>
    <cellStyle name="Normal 18 9 4 4" xfId="35692" xr:uid="{1BD61DA0-5938-4230-960E-FA9C78EBDABC}"/>
    <cellStyle name="Normal 18 9 5" xfId="10027" xr:uid="{CCC783E5-CF4C-42CF-969B-88EC18EC25CF}"/>
    <cellStyle name="Normal 18 9 5 2" xfId="26787" xr:uid="{B6B915A2-6255-48D4-AEBC-D11E5F7145BB}"/>
    <cellStyle name="Normal 18 9 5 3" xfId="43546" xr:uid="{F388321D-86C8-4AEE-972B-1F43D357299F}"/>
    <cellStyle name="Normal 18 9 6" xfId="18407" xr:uid="{0EFC83C0-7DAE-4709-AB77-5A40AE2D2774}"/>
    <cellStyle name="Normal 18 9 7" xfId="35166" xr:uid="{3E66C6D5-2BA5-4C6A-94CA-C3013F4FD15D}"/>
    <cellStyle name="Normal 19" xfId="230" xr:uid="{BC44F607-9EED-443A-91E4-3D95BB98CABD}"/>
    <cellStyle name="Normal 19 10" xfId="5438" xr:uid="{0AFA2294-649A-4C93-AD5C-2CD28FD8D167}"/>
    <cellStyle name="Normal 19 10 2" xfId="13818" xr:uid="{2261D8EB-FA99-4A00-9383-5473A47B6606}"/>
    <cellStyle name="Normal 19 10 2 2" xfId="30578" xr:uid="{17CC3C9F-D126-4AE5-A3C2-628C4250B2AD}"/>
    <cellStyle name="Normal 19 10 2 3" xfId="47337" xr:uid="{7FEACCA6-98C0-4B1E-9127-3417C7AAE072}"/>
    <cellStyle name="Normal 19 10 3" xfId="22198" xr:uid="{E762555F-1246-42D6-8D7E-C6ABBC3407B2}"/>
    <cellStyle name="Normal 19 10 4" xfId="38957" xr:uid="{07F6C8A5-CC55-445A-AD76-0F500BCB2435}"/>
    <cellStyle name="Normal 19 11" xfId="7109" xr:uid="{29C8B9AB-7C59-45E3-A2CB-8E7A1076959E}"/>
    <cellStyle name="Normal 19 11 2" xfId="15489" xr:uid="{669949AE-7163-4C23-AA6E-CF410AA4C17B}"/>
    <cellStyle name="Normal 19 11 2 2" xfId="32249" xr:uid="{A776419F-A2C4-467D-8D6F-35A89AE00F82}"/>
    <cellStyle name="Normal 19 11 2 3" xfId="49008" xr:uid="{28825B94-478E-4CF2-A205-23D6741D698C}"/>
    <cellStyle name="Normal 19 11 3" xfId="23869" xr:uid="{21D86B09-20C2-43D3-B4DE-534F6980912D}"/>
    <cellStyle name="Normal 19 11 4" xfId="40628" xr:uid="{48A8638D-B0D3-489D-97E9-24E9416DF2B3}"/>
    <cellStyle name="Normal 19 12" xfId="7515" xr:uid="{05E48A29-6FAB-4A72-BCC8-6AAEA680B1E5}"/>
    <cellStyle name="Normal 19 12 2" xfId="15895" xr:uid="{512C4175-96DF-4149-9EFC-69DFD37D549C}"/>
    <cellStyle name="Normal 19 12 2 2" xfId="32655" xr:uid="{1D414B82-521C-4CA2-9840-FD4476AD2F86}"/>
    <cellStyle name="Normal 19 12 2 3" xfId="49414" xr:uid="{EAD15B87-37A2-4F00-BD4F-0712BE1EF9D7}"/>
    <cellStyle name="Normal 19 12 3" xfId="24275" xr:uid="{AF3FDEF0-A762-435E-96FF-396AAABEC489}"/>
    <cellStyle name="Normal 19 12 4" xfId="41034" xr:uid="{984A3026-5F3F-4A59-8DBD-5CEDFB07C700}"/>
    <cellStyle name="Normal 19 13" xfId="7921" xr:uid="{587009CA-5E3B-4EC3-8BF7-A8C81EFE98D4}"/>
    <cellStyle name="Normal 19 13 2" xfId="16301" xr:uid="{1FCC34F1-B3DD-48F6-ACE9-76C67B650795}"/>
    <cellStyle name="Normal 19 13 2 2" xfId="33061" xr:uid="{25E5C96C-3351-4B9C-9D87-53616C05CD7D}"/>
    <cellStyle name="Normal 19 13 2 3" xfId="49820" xr:uid="{C7BADB8F-101B-4278-8B62-67160EC20E05}"/>
    <cellStyle name="Normal 19 13 3" xfId="24681" xr:uid="{7792B5DC-26FE-4BF7-B05D-BB739D5B7A85}"/>
    <cellStyle name="Normal 19 13 4" xfId="41440" xr:uid="{58AB2485-ED50-4F5E-AACF-7BB94CB0A92F}"/>
    <cellStyle name="Normal 19 14" xfId="8327" xr:uid="{1042FFD9-C001-4154-8B19-067CFAFFF4FD}"/>
    <cellStyle name="Normal 19 14 2" xfId="16707" xr:uid="{1237F170-6DAF-43A6-893C-BC9FE9CCC64E}"/>
    <cellStyle name="Normal 19 14 2 2" xfId="33467" xr:uid="{5349D7FF-4E7C-40A4-8226-16F0CA19E814}"/>
    <cellStyle name="Normal 19 14 2 3" xfId="50226" xr:uid="{4A3062C9-4412-4D4B-ADC5-4C6722927F7E}"/>
    <cellStyle name="Normal 19 14 3" xfId="25087" xr:uid="{4676C1CA-65C8-4582-8DEC-334AA88585A9}"/>
    <cellStyle name="Normal 19 14 4" xfId="41846" xr:uid="{DD2825D5-4625-49D4-AF95-29EE9BD1F9CB}"/>
    <cellStyle name="Normal 19 15" xfId="2091" xr:uid="{7029A98A-139F-4C9E-AB2D-1A0AC5B33A3F}"/>
    <cellStyle name="Normal 19 15 2" xfId="10479" xr:uid="{F76D84DB-B413-487B-ACEC-82A78F5D7807}"/>
    <cellStyle name="Normal 19 15 2 2" xfId="27239" xr:uid="{4A3BC45B-1A0B-4ED8-A374-E2DC62C37648}"/>
    <cellStyle name="Normal 19 15 2 3" xfId="43998" xr:uid="{2E46F896-66CC-4205-9C4F-DC6CC56A4F71}"/>
    <cellStyle name="Normal 19 15 3" xfId="18859" xr:uid="{E99490E6-3E8D-4CA8-AC30-AA20DA60E596}"/>
    <cellStyle name="Normal 19 15 4" xfId="35618" xr:uid="{194BED8E-0F67-4323-8C71-3E2E1A5EC3C5}"/>
    <cellStyle name="Normal 19 16" xfId="8751" xr:uid="{09EB9C8D-4591-4227-9C20-27C556088B4E}"/>
    <cellStyle name="Normal 19 16 2" xfId="25511" xr:uid="{DE56F862-C2DF-4737-B59B-A46233B51B8D}"/>
    <cellStyle name="Normal 19 16 3" xfId="42270" xr:uid="{DE06D97D-0B1B-43D8-98DC-887D4AF3363F}"/>
    <cellStyle name="Normal 19 17" xfId="17131" xr:uid="{3AFA7192-E1AF-428F-8FE8-7887CED5C1B1}"/>
    <cellStyle name="Normal 19 18" xfId="33890" xr:uid="{9C11428C-2C22-4AC9-9BEE-CA9929CEC30D}"/>
    <cellStyle name="Normal 19 19" xfId="50940" xr:uid="{74541F90-BE8B-485B-89D8-6E36BEFA6BD7}"/>
    <cellStyle name="Normal 19 2" xfId="306" xr:uid="{B9BE25CE-480B-48A4-A290-895BD5292F44}"/>
    <cellStyle name="Normal 19 2 10" xfId="7572" xr:uid="{C7BCD6D7-4770-4328-BDB9-F826CC738CAA}"/>
    <cellStyle name="Normal 19 2 10 2" xfId="15952" xr:uid="{8D3DB803-F43E-4186-AE8A-E1E097268430}"/>
    <cellStyle name="Normal 19 2 10 2 2" xfId="32712" xr:uid="{A32EDFAC-1228-4D63-9B0B-902517225AAA}"/>
    <cellStyle name="Normal 19 2 10 2 3" xfId="49471" xr:uid="{FF4A0AEA-B3B7-41CA-81B5-D0298C0543F2}"/>
    <cellStyle name="Normal 19 2 10 3" xfId="24332" xr:uid="{DC1B75AA-4A2B-40B2-AB9B-E0A0535B1659}"/>
    <cellStyle name="Normal 19 2 10 4" xfId="41091" xr:uid="{EFDCE367-E63E-402C-B3B1-B0A511EEA527}"/>
    <cellStyle name="Normal 19 2 11" xfId="7978" xr:uid="{1B20C1E2-92A5-428E-835E-0301BA9D61B4}"/>
    <cellStyle name="Normal 19 2 11 2" xfId="16358" xr:uid="{7CF15B9C-BFEB-4CB9-8E08-9385865E13B5}"/>
    <cellStyle name="Normal 19 2 11 2 2" xfId="33118" xr:uid="{6F6813B3-5D9F-43F0-8C5D-528B9F83CA98}"/>
    <cellStyle name="Normal 19 2 11 2 3" xfId="49877" xr:uid="{2EFBE93C-15B9-446D-B8B6-5D3CCAD9E763}"/>
    <cellStyle name="Normal 19 2 11 3" xfId="24738" xr:uid="{ECD0F762-072E-45D2-B813-FBEC60D8F232}"/>
    <cellStyle name="Normal 19 2 11 4" xfId="41497" xr:uid="{0CA590EB-174D-48B8-972A-09E4AE6C5518}"/>
    <cellStyle name="Normal 19 2 12" xfId="8384" xr:uid="{47D39CA6-6086-40F7-B978-29587B0E141B}"/>
    <cellStyle name="Normal 19 2 12 2" xfId="16764" xr:uid="{54526712-3459-42B7-92F5-1BB378715AE8}"/>
    <cellStyle name="Normal 19 2 12 2 2" xfId="33524" xr:uid="{621F9DCE-444C-484E-B6F5-1A9A21914319}"/>
    <cellStyle name="Normal 19 2 12 2 3" xfId="50283" xr:uid="{B9755DCF-715E-4BA0-92C5-6A2FA545421E}"/>
    <cellStyle name="Normal 19 2 12 3" xfId="25144" xr:uid="{396FF192-CAFA-43CD-8A3D-7DB418D11961}"/>
    <cellStyle name="Normal 19 2 12 4" xfId="41903" xr:uid="{DC5C6350-D3EB-4F5E-8F28-2B0193397E88}"/>
    <cellStyle name="Normal 19 2 13" xfId="2117" xr:uid="{B8E36BD9-6E64-47CC-A410-13C3FBBF02C7}"/>
    <cellStyle name="Normal 19 2 13 2" xfId="10505" xr:uid="{5FA0DC6E-09A2-43AE-86CB-1CEB8E9668E5}"/>
    <cellStyle name="Normal 19 2 13 2 2" xfId="27265" xr:uid="{4523E32E-6AEB-4E74-8FDF-80B9B3D853C8}"/>
    <cellStyle name="Normal 19 2 13 2 3" xfId="44024" xr:uid="{87F221EA-2720-40D8-9E9A-C471B6CCF6E7}"/>
    <cellStyle name="Normal 19 2 13 3" xfId="18885" xr:uid="{5BA1659E-5569-4DD9-B2BE-3EDF7E873ADD}"/>
    <cellStyle name="Normal 19 2 13 4" xfId="35644" xr:uid="{C0E686C4-F748-4772-8D31-8F9235019711}"/>
    <cellStyle name="Normal 19 2 14" xfId="8779" xr:uid="{A4BA7F6C-7C9C-4BDB-B3C9-9256EC89B0B6}"/>
    <cellStyle name="Normal 19 2 14 2" xfId="25539" xr:uid="{971333D3-5BBA-49D2-A9FD-01983ADFD582}"/>
    <cellStyle name="Normal 19 2 14 3" xfId="42298" xr:uid="{AC1BAA81-A41C-4CA0-8BA7-593FECB229E2}"/>
    <cellStyle name="Normal 19 2 15" xfId="17159" xr:uid="{95A307FD-0DC2-4214-9B7B-4D271BA5A0A6}"/>
    <cellStyle name="Normal 19 2 16" xfId="33918" xr:uid="{D2CD05D9-3624-4750-A6F7-4C7CF281AAFA}"/>
    <cellStyle name="Normal 19 2 2" xfId="389" xr:uid="{EB540F05-CD98-495E-8DB4-B7DE44F73CBA}"/>
    <cellStyle name="Normal 19 2 2 10" xfId="8529" xr:uid="{B3774DBF-B8CA-4D2F-8BE6-D9B4DBDB8865}"/>
    <cellStyle name="Normal 19 2 2 10 2" xfId="16909" xr:uid="{8A184773-7BE9-4CA4-BC2E-10049D284AF3}"/>
    <cellStyle name="Normal 19 2 2 10 2 2" xfId="33669" xr:uid="{A78CB6F0-3764-458C-BED6-3E386A70FE79}"/>
    <cellStyle name="Normal 19 2 2 10 2 3" xfId="50428" xr:uid="{79375EDE-E2AA-4DCE-A450-FCD33232ECE7}"/>
    <cellStyle name="Normal 19 2 2 10 3" xfId="25289" xr:uid="{0B00A884-7B33-4E3E-B7E2-2954F4D275C9}"/>
    <cellStyle name="Normal 19 2 2 10 4" xfId="42048" xr:uid="{FDC6AF8B-6E40-49F3-AB42-483132091FFE}"/>
    <cellStyle name="Normal 19 2 2 11" xfId="2272" xr:uid="{C410B483-920B-482F-B2B7-32382720E2FE}"/>
    <cellStyle name="Normal 19 2 2 11 2" xfId="10656" xr:uid="{3C1CE992-0CF4-43B6-AD0B-55C507E72178}"/>
    <cellStyle name="Normal 19 2 2 11 2 2" xfId="27416" xr:uid="{DCDA4D89-6F54-4DA4-BEB5-BB7F65AB8ED6}"/>
    <cellStyle name="Normal 19 2 2 11 2 3" xfId="44175" xr:uid="{9B6E82F7-23C7-421D-B418-0E09D33292A0}"/>
    <cellStyle name="Normal 19 2 2 11 3" xfId="19036" xr:uid="{493810F9-C33B-41FA-AFFB-B45638DC323A}"/>
    <cellStyle name="Normal 19 2 2 11 4" xfId="35795" xr:uid="{C9A12FE7-585B-4691-A5EC-C6C028598844}"/>
    <cellStyle name="Normal 19 2 2 12" xfId="8853" xr:uid="{25E91DD8-8808-4B4A-920F-4B6CE3ACA786}"/>
    <cellStyle name="Normal 19 2 2 12 2" xfId="25613" xr:uid="{2D0338F5-1121-4A25-9E4C-7A7065D37FC5}"/>
    <cellStyle name="Normal 19 2 2 12 3" xfId="42372" xr:uid="{432A748B-9BEF-479A-9D1A-5A0470AC3306}"/>
    <cellStyle name="Normal 19 2 2 13" xfId="17233" xr:uid="{8450608F-E0CA-4D2A-9D73-1438002A6E8F}"/>
    <cellStyle name="Normal 19 2 2 14" xfId="33992" xr:uid="{CF584534-D988-4DF0-98DA-8BB4EB375767}"/>
    <cellStyle name="Normal 19 2 2 2" xfId="884" xr:uid="{24395411-1B63-4301-9ADF-4B0C5AE4597A}"/>
    <cellStyle name="Normal 19 2 2 2 2" xfId="4279" xr:uid="{8801848F-F4F6-401A-B7BB-52ABD1FD1360}"/>
    <cellStyle name="Normal 19 2 2 2 2 2" xfId="12659" xr:uid="{03B768A0-C702-403A-98EB-A66994B25503}"/>
    <cellStyle name="Normal 19 2 2 2 2 2 2" xfId="29419" xr:uid="{23F84816-7C24-4C90-B996-F4CE6E513E73}"/>
    <cellStyle name="Normal 19 2 2 2 2 2 3" xfId="46178" xr:uid="{086A857A-6B16-40E3-A0AB-10AB19339862}"/>
    <cellStyle name="Normal 19 2 2 2 2 3" xfId="21039" xr:uid="{A446A95A-AB92-4809-B328-6441FAB16DAD}"/>
    <cellStyle name="Normal 19 2 2 2 2 4" xfId="37798" xr:uid="{CD89A97F-6DD6-4F6A-B8D7-FEE9DD87F4EC}"/>
    <cellStyle name="Normal 19 2 2 2 3" xfId="5966" xr:uid="{ED033198-FF36-4415-BC0A-69ECAFE1D1F0}"/>
    <cellStyle name="Normal 19 2 2 2 3 2" xfId="14346" xr:uid="{CA750A44-2C72-4621-98B5-35BE61CFE7E8}"/>
    <cellStyle name="Normal 19 2 2 2 3 2 2" xfId="31106" xr:uid="{DE824947-30B9-419A-890B-2AE2381E5C8E}"/>
    <cellStyle name="Normal 19 2 2 2 3 2 3" xfId="47865" xr:uid="{22253AF5-F1AB-49E6-A131-16D07CF66801}"/>
    <cellStyle name="Normal 19 2 2 2 3 3" xfId="22726" xr:uid="{B392ACD8-2D23-4F45-9457-E94CC17F0708}"/>
    <cellStyle name="Normal 19 2 2 2 3 4" xfId="39485" xr:uid="{7EEB3C9C-AF60-4746-89B1-F3872A0ED4AF}"/>
    <cellStyle name="Normal 19 2 2 2 4" xfId="2702" xr:uid="{FB5B4518-52D0-41A7-BF04-1FFBD6F9F7B8}"/>
    <cellStyle name="Normal 19 2 2 2 4 2" xfId="11082" xr:uid="{DF7A3C74-0CA8-43E8-BC11-51D28525A2DD}"/>
    <cellStyle name="Normal 19 2 2 2 4 2 2" xfId="27842" xr:uid="{42182240-2E63-4239-AFDB-CD008AA52181}"/>
    <cellStyle name="Normal 19 2 2 2 4 2 3" xfId="44601" xr:uid="{E2613899-B07E-4FBA-A82E-BBA1A99DBC19}"/>
    <cellStyle name="Normal 19 2 2 2 4 3" xfId="19462" xr:uid="{29B6E206-0467-4F8D-9AB7-29EBDE88B83A}"/>
    <cellStyle name="Normal 19 2 2 2 4 4" xfId="36221" xr:uid="{AACC43AB-38F1-4388-98D2-6778693B42D0}"/>
    <cellStyle name="Normal 19 2 2 2 5" xfId="9279" xr:uid="{243431A0-7C4B-4FE1-A97A-62C1B4351587}"/>
    <cellStyle name="Normal 19 2 2 2 5 2" xfId="26039" xr:uid="{430FE095-4158-414A-9780-26DB3D023A6E}"/>
    <cellStyle name="Normal 19 2 2 2 5 3" xfId="42798" xr:uid="{493020CE-2666-48BE-88D2-A2A60411E543}"/>
    <cellStyle name="Normal 19 2 2 2 6" xfId="17659" xr:uid="{EBEB570C-3303-4116-A29B-194B9B5CB24B}"/>
    <cellStyle name="Normal 19 2 2 2 7" xfId="34418" xr:uid="{24D1D18E-587D-4191-AA46-AE75DAF87EAF}"/>
    <cellStyle name="Normal 19 2 2 3" xfId="1318" xr:uid="{BEA63FDE-42F9-4A4D-BB9A-FF1859A935B7}"/>
    <cellStyle name="Normal 19 2 2 3 2" xfId="4707" xr:uid="{45CCE242-FC3E-4401-9FAB-F1B151F9024D}"/>
    <cellStyle name="Normal 19 2 2 3 2 2" xfId="13087" xr:uid="{86E63476-6436-4B2C-9F5A-4F13073AC716}"/>
    <cellStyle name="Normal 19 2 2 3 2 2 2" xfId="29847" xr:uid="{169DC016-8DE8-492E-BE26-DD25584E212A}"/>
    <cellStyle name="Normal 19 2 2 3 2 2 3" xfId="46606" xr:uid="{E5D8BB8D-40CA-4D45-9078-6591D733780A}"/>
    <cellStyle name="Normal 19 2 2 3 2 3" xfId="21467" xr:uid="{C5438B3A-4B1D-481C-9629-C1BCB53B827B}"/>
    <cellStyle name="Normal 19 2 2 3 2 4" xfId="38226" xr:uid="{8A37F0DD-AC19-4FDD-8665-657FFE26E907}"/>
    <cellStyle name="Normal 19 2 2 3 3" xfId="6394" xr:uid="{96CB49B4-DC58-4A3E-B1B8-AE0B2B4FF48B}"/>
    <cellStyle name="Normal 19 2 2 3 3 2" xfId="14774" xr:uid="{BFF70098-3BD9-4637-9DB8-D39FF75F28F4}"/>
    <cellStyle name="Normal 19 2 2 3 3 2 2" xfId="31534" xr:uid="{61DB730C-264C-4176-898D-29A2CEDBE529}"/>
    <cellStyle name="Normal 19 2 2 3 3 2 3" xfId="48293" xr:uid="{107E4157-F528-4E1A-9304-045B5F7A98FB}"/>
    <cellStyle name="Normal 19 2 2 3 3 3" xfId="23154" xr:uid="{271B6111-7DA1-4A1B-B97E-E9ADC8EE529B}"/>
    <cellStyle name="Normal 19 2 2 3 3 4" xfId="39913" xr:uid="{5F740F9D-D879-48AD-AA4D-2C871A6BD05D}"/>
    <cellStyle name="Normal 19 2 2 3 4" xfId="3130" xr:uid="{971F50BC-4665-44C1-984A-F29CC93FCF32}"/>
    <cellStyle name="Normal 19 2 2 3 4 2" xfId="11510" xr:uid="{69D17DC5-41A3-4959-83F1-EF6D839800DF}"/>
    <cellStyle name="Normal 19 2 2 3 4 2 2" xfId="28270" xr:uid="{B5D19EF7-C427-4416-ACBD-DAAAAF93711A}"/>
    <cellStyle name="Normal 19 2 2 3 4 2 3" xfId="45029" xr:uid="{C8673FAC-1576-44B7-9865-A37C4B6E9D18}"/>
    <cellStyle name="Normal 19 2 2 3 4 3" xfId="19890" xr:uid="{65784FA2-FBA4-49C8-B80A-82C49E7C92CB}"/>
    <cellStyle name="Normal 19 2 2 3 4 4" xfId="36649" xr:uid="{8D0194DA-3E11-4A3B-A5AA-FE7298B7557E}"/>
    <cellStyle name="Normal 19 2 2 3 5" xfId="9707" xr:uid="{356D51D9-4C29-4141-AB37-06C65237D8BA}"/>
    <cellStyle name="Normal 19 2 2 3 5 2" xfId="26467" xr:uid="{1EBB049C-934B-4D37-99A9-8E9397E91D59}"/>
    <cellStyle name="Normal 19 2 2 3 5 3" xfId="43226" xr:uid="{ED98F75B-D105-40CE-8EEF-6194BB525793}"/>
    <cellStyle name="Normal 19 2 2 3 6" xfId="18087" xr:uid="{9E450856-1CEB-4AC9-8F9B-74D64DD6C3EA}"/>
    <cellStyle name="Normal 19 2 2 3 7" xfId="34846" xr:uid="{60B2CD52-6CC1-43B2-B398-351F4C28A781}"/>
    <cellStyle name="Normal 19 2 2 4" xfId="1829" xr:uid="{66EC3131-DA5C-48ED-9B56-8E9AF6D4F560}"/>
    <cellStyle name="Normal 19 2 2 4 2" xfId="5218" xr:uid="{E4235CE2-9365-4F31-8C28-57087986F128}"/>
    <cellStyle name="Normal 19 2 2 4 2 2" xfId="13598" xr:uid="{D38B1BA5-B59A-44C3-80BB-E02A4EEB4C38}"/>
    <cellStyle name="Normal 19 2 2 4 2 2 2" xfId="30358" xr:uid="{548F8656-9223-41AE-9C3A-2523F9220AA2}"/>
    <cellStyle name="Normal 19 2 2 4 2 2 3" xfId="47117" xr:uid="{477BE328-FC80-4EF3-BC1B-B5A7358EAAE5}"/>
    <cellStyle name="Normal 19 2 2 4 2 3" xfId="21978" xr:uid="{6ADC1EF4-AA5F-4801-B486-5664191C5179}"/>
    <cellStyle name="Normal 19 2 2 4 2 4" xfId="38737" xr:uid="{D5F3BA18-57E1-4D49-9105-B27D76805668}"/>
    <cellStyle name="Normal 19 2 2 4 3" xfId="6905" xr:uid="{8BD6E7B4-7338-441D-9F03-05D8DE1BCDF5}"/>
    <cellStyle name="Normal 19 2 2 4 3 2" xfId="15285" xr:uid="{801E09FB-68A1-4E4D-99E6-EE5A85485855}"/>
    <cellStyle name="Normal 19 2 2 4 3 2 2" xfId="32045" xr:uid="{A4DFE5F7-CBC0-47C7-8A3B-21D750F4ECB3}"/>
    <cellStyle name="Normal 19 2 2 4 3 2 3" xfId="48804" xr:uid="{1D65F144-7EFA-4D00-B6A4-89B2D2735621}"/>
    <cellStyle name="Normal 19 2 2 4 3 3" xfId="23665" xr:uid="{83845D86-35B8-4908-98F7-514DB8E2BDFC}"/>
    <cellStyle name="Normal 19 2 2 4 3 4" xfId="40424" xr:uid="{E69D5ED8-9052-447A-A6F6-86A58F06F1CD}"/>
    <cellStyle name="Normal 19 2 2 4 4" xfId="3529" xr:uid="{E2BEF4EC-0ADA-40BD-9F2D-C2DE43DF736E}"/>
    <cellStyle name="Normal 19 2 2 4 4 2" xfId="11909" xr:uid="{7382F6F1-C66F-4580-985C-DBC867C1D20B}"/>
    <cellStyle name="Normal 19 2 2 4 4 2 2" xfId="28669" xr:uid="{1BFC668B-5968-4C2A-A589-FE37ADCB2207}"/>
    <cellStyle name="Normal 19 2 2 4 4 2 3" xfId="45428" xr:uid="{5EE7A5CD-C2F3-4EDC-BF12-D6D6B0E888F6}"/>
    <cellStyle name="Normal 19 2 2 4 4 3" xfId="20289" xr:uid="{8462FCB2-CD23-42DD-B638-4D3CF263AB57}"/>
    <cellStyle name="Normal 19 2 2 4 4 4" xfId="37048" xr:uid="{7F0B920C-CE6B-436F-8F79-0DDE42C6543F}"/>
    <cellStyle name="Normal 19 2 2 4 5" xfId="10218" xr:uid="{9A2370BC-013A-44B6-A44F-CAACF52D50CA}"/>
    <cellStyle name="Normal 19 2 2 4 5 2" xfId="26978" xr:uid="{0E33D2AA-EAC4-42DD-8F51-8FA0D1E655F9}"/>
    <cellStyle name="Normal 19 2 2 4 5 3" xfId="43737" xr:uid="{7DED9109-3574-4B4D-9E7D-7531FED96460}"/>
    <cellStyle name="Normal 19 2 2 4 6" xfId="18598" xr:uid="{27CF7C65-8B88-4A4C-A5F1-FF17DAA6F1A9}"/>
    <cellStyle name="Normal 19 2 2 4 7" xfId="35357" xr:uid="{67C9D22F-A336-4B88-9F23-C38092E5B500}"/>
    <cellStyle name="Normal 19 2 2 5" xfId="3948" xr:uid="{8476E1E8-D1B4-4023-97B4-DDFA696D95FE}"/>
    <cellStyle name="Normal 19 2 2 5 2" xfId="12328" xr:uid="{838487D9-5EFB-424B-A751-00567A5AA4D4}"/>
    <cellStyle name="Normal 19 2 2 5 2 2" xfId="29088" xr:uid="{038997E5-0CA4-4195-8405-A21DA7D50D37}"/>
    <cellStyle name="Normal 19 2 2 5 2 3" xfId="45847" xr:uid="{673AD153-89B0-48B7-9C65-62A32D87B3E6}"/>
    <cellStyle name="Normal 19 2 2 5 3" xfId="20708" xr:uid="{300ABEBD-D23A-486F-B8F5-F2BA2ED7E7B9}"/>
    <cellStyle name="Normal 19 2 2 5 4" xfId="37467" xr:uid="{5517B4C1-73AE-4A88-856E-27BE82106710}"/>
    <cellStyle name="Normal 19 2 2 6" xfId="5540" xr:uid="{AB260107-9C39-4630-B01D-D4136FC3A701}"/>
    <cellStyle name="Normal 19 2 2 6 2" xfId="13920" xr:uid="{D75C864F-7701-4DA7-BAB2-9386254E8928}"/>
    <cellStyle name="Normal 19 2 2 6 2 2" xfId="30680" xr:uid="{7B20FAAD-ED32-4CAA-BCC2-32380DDA0287}"/>
    <cellStyle name="Normal 19 2 2 6 2 3" xfId="47439" xr:uid="{07B0C8EF-1AEB-4628-876A-7143A39F9FAA}"/>
    <cellStyle name="Normal 19 2 2 6 3" xfId="22300" xr:uid="{1DF57C1C-DAF3-4A78-BE3D-945D2ED491AD}"/>
    <cellStyle name="Normal 19 2 2 6 4" xfId="39059" xr:uid="{D0EB14F8-5D5D-49E9-9033-3D65580EBADC}"/>
    <cellStyle name="Normal 19 2 2 7" xfId="7311" xr:uid="{639F7B0D-1D4B-45D4-9C6C-5D3C0DA15D37}"/>
    <cellStyle name="Normal 19 2 2 7 2" xfId="15691" xr:uid="{C590F6B3-B4F7-458A-BD21-9C422EE9795C}"/>
    <cellStyle name="Normal 19 2 2 7 2 2" xfId="32451" xr:uid="{E59BEF3F-CA0F-4959-9170-1E4BBBAF7950}"/>
    <cellStyle name="Normal 19 2 2 7 2 3" xfId="49210" xr:uid="{E5AECD81-9E8B-47D6-8B82-0D7EAA8C2FA0}"/>
    <cellStyle name="Normal 19 2 2 7 3" xfId="24071" xr:uid="{6B5051DB-717D-4385-8135-2D10280FBD18}"/>
    <cellStyle name="Normal 19 2 2 7 4" xfId="40830" xr:uid="{C34513F9-0A53-4375-AB87-F03B2263268A}"/>
    <cellStyle name="Normal 19 2 2 8" xfId="7717" xr:uid="{9A55C01F-3183-42C7-BC9C-EF06D77B3183}"/>
    <cellStyle name="Normal 19 2 2 8 2" xfId="16097" xr:uid="{70010D75-F1A7-4C4B-99CC-7FF96D634259}"/>
    <cellStyle name="Normal 19 2 2 8 2 2" xfId="32857" xr:uid="{8F5C43C7-5A2D-4934-8016-46F217F428AD}"/>
    <cellStyle name="Normal 19 2 2 8 2 3" xfId="49616" xr:uid="{55080EE5-7317-4334-B1FC-72F92D1D7183}"/>
    <cellStyle name="Normal 19 2 2 8 3" xfId="24477" xr:uid="{AFA05766-431B-45FA-8090-79BE6116E5A2}"/>
    <cellStyle name="Normal 19 2 2 8 4" xfId="41236" xr:uid="{FE6CABF9-6424-4A4C-A189-81C0461E8B4D}"/>
    <cellStyle name="Normal 19 2 2 9" xfId="8123" xr:uid="{1DD4C3B7-4EB6-4527-8A38-8DF19E21C46E}"/>
    <cellStyle name="Normal 19 2 2 9 2" xfId="16503" xr:uid="{680DC9C2-AE7D-4DEB-BAF2-6D1FB6CAC088}"/>
    <cellStyle name="Normal 19 2 2 9 2 2" xfId="33263" xr:uid="{C525485E-6905-4DFA-B840-B71AEEF5E7C8}"/>
    <cellStyle name="Normal 19 2 2 9 2 3" xfId="50022" xr:uid="{F01FD60D-6448-4C6D-A5F0-E345C4C1CBC9}"/>
    <cellStyle name="Normal 19 2 2 9 3" xfId="24883" xr:uid="{EA913D48-4C0E-4387-A2F8-D8466BC47B4C}"/>
    <cellStyle name="Normal 19 2 2 9 4" xfId="41642" xr:uid="{514EB948-FB55-4AF8-ACEE-2AEFA2A75102}"/>
    <cellStyle name="Normal 19 2 3" xfId="604" xr:uid="{49E00153-4B97-4699-B80A-ED971A7975F9}"/>
    <cellStyle name="Normal 19 2 3 10" xfId="8655" xr:uid="{AFDE11AF-64B9-4F44-A313-FEABB301F4D7}"/>
    <cellStyle name="Normal 19 2 3 10 2" xfId="17035" xr:uid="{D32CA265-7CEB-4C68-B06B-D8A05BD95003}"/>
    <cellStyle name="Normal 19 2 3 10 2 2" xfId="33795" xr:uid="{2D236696-E45C-44F1-B686-83EF84F0252B}"/>
    <cellStyle name="Normal 19 2 3 10 2 3" xfId="50554" xr:uid="{59B028BF-8B2B-47B9-9F4B-E1DD0DE79F61}"/>
    <cellStyle name="Normal 19 2 3 10 3" xfId="25415" xr:uid="{004E8CAA-9166-4E35-869E-E1BF47CC44C6}"/>
    <cellStyle name="Normal 19 2 3 10 4" xfId="42174" xr:uid="{D6222FC9-2662-4B4C-A783-F1ECCA93CACD}"/>
    <cellStyle name="Normal 19 2 3 11" xfId="2436" xr:uid="{C77289C4-1AEC-44D5-96B4-0B8539E49E28}"/>
    <cellStyle name="Normal 19 2 3 11 2" xfId="10818" xr:uid="{37890A56-4DED-4AF0-8AEA-8DCC2CFB4A2E}"/>
    <cellStyle name="Normal 19 2 3 11 2 2" xfId="27578" xr:uid="{176D076A-DD01-4286-8B80-3356BD3DCD87}"/>
    <cellStyle name="Normal 19 2 3 11 2 3" xfId="44337" xr:uid="{56FB3722-063D-4145-9817-761234A96544}"/>
    <cellStyle name="Normal 19 2 3 11 3" xfId="19198" xr:uid="{D228968D-9EF2-4E3B-AFA5-ABFC9C8A859E}"/>
    <cellStyle name="Normal 19 2 3 11 4" xfId="35957" xr:uid="{6CFBEDBA-9BED-4524-8D80-D477B2289E03}"/>
    <cellStyle name="Normal 19 2 3 12" xfId="9015" xr:uid="{AD5F68A8-75D9-498A-A661-04C00B057F43}"/>
    <cellStyle name="Normal 19 2 3 12 2" xfId="25775" xr:uid="{5672E399-0A02-4A39-9CE1-975338BC594B}"/>
    <cellStyle name="Normal 19 2 3 12 3" xfId="42534" xr:uid="{5474F218-D3D5-4E6B-9DE3-6DBBD8D10791}"/>
    <cellStyle name="Normal 19 2 3 13" xfId="17395" xr:uid="{0DCBFFFB-C708-4F57-86F0-97039C6BBCA1}"/>
    <cellStyle name="Normal 19 2 3 14" xfId="34154" xr:uid="{24F1DDA7-243E-404B-8FAF-BAEE92A9CF4B}"/>
    <cellStyle name="Normal 19 2 3 2" xfId="1046" xr:uid="{7D4998BD-49A3-43B0-B82D-9ECD640F315E}"/>
    <cellStyle name="Normal 19 2 3 2 2" xfId="4441" xr:uid="{0A7A52BA-93E8-41F9-9CD6-2B004D5DC4C6}"/>
    <cellStyle name="Normal 19 2 3 2 2 2" xfId="12821" xr:uid="{A6CD6607-2A4B-498A-B86C-7C3B6C0250F7}"/>
    <cellStyle name="Normal 19 2 3 2 2 2 2" xfId="29581" xr:uid="{35CDCF1C-F831-40D9-9EA3-B7A863C00199}"/>
    <cellStyle name="Normal 19 2 3 2 2 2 3" xfId="46340" xr:uid="{DA1543D0-68C2-4326-AA24-89F68BC14590}"/>
    <cellStyle name="Normal 19 2 3 2 2 3" xfId="21201" xr:uid="{0DFFF3E2-FD51-4CC6-8A30-A28D0A57BD23}"/>
    <cellStyle name="Normal 19 2 3 2 2 4" xfId="37960" xr:uid="{E3F71BC0-FB27-453D-8E15-3C05D7628E78}"/>
    <cellStyle name="Normal 19 2 3 2 3" xfId="6128" xr:uid="{D06B6FFC-040B-45A0-9278-BC8E433E7A27}"/>
    <cellStyle name="Normal 19 2 3 2 3 2" xfId="14508" xr:uid="{5E44CB15-80C7-4418-BD6C-B4E446B64FB8}"/>
    <cellStyle name="Normal 19 2 3 2 3 2 2" xfId="31268" xr:uid="{C0113C1E-3D45-4B03-BF51-DF5CBB4ABED0}"/>
    <cellStyle name="Normal 19 2 3 2 3 2 3" xfId="48027" xr:uid="{F07883BA-681F-453F-AB76-E5089D1F8590}"/>
    <cellStyle name="Normal 19 2 3 2 3 3" xfId="22888" xr:uid="{7B51E73E-860A-496C-94E0-D5269468118F}"/>
    <cellStyle name="Normal 19 2 3 2 3 4" xfId="39647" xr:uid="{9792905A-2004-4666-B38C-F9EB384996CD}"/>
    <cellStyle name="Normal 19 2 3 2 4" xfId="2864" xr:uid="{FEB6EE58-12E6-4C61-99BF-149007EAC77F}"/>
    <cellStyle name="Normal 19 2 3 2 4 2" xfId="11244" xr:uid="{62E38EC9-D58A-47C8-99A4-5E458387AA03}"/>
    <cellStyle name="Normal 19 2 3 2 4 2 2" xfId="28004" xr:uid="{F81EDCB0-B0DD-448F-BF1B-085B150825A3}"/>
    <cellStyle name="Normal 19 2 3 2 4 2 3" xfId="44763" xr:uid="{D6345C4B-F3F5-461E-8B85-089940D4CFBD}"/>
    <cellStyle name="Normal 19 2 3 2 4 3" xfId="19624" xr:uid="{0F36E9D7-B1B3-421A-9F67-EFA42C3A980A}"/>
    <cellStyle name="Normal 19 2 3 2 4 4" xfId="36383" xr:uid="{579D37F0-2633-4AE0-8D4A-ECBEF625F4EB}"/>
    <cellStyle name="Normal 19 2 3 2 5" xfId="9441" xr:uid="{76067DE1-6B28-4157-8BFA-3F770835A7CF}"/>
    <cellStyle name="Normal 19 2 3 2 5 2" xfId="26201" xr:uid="{34525892-C6EA-4275-ACC5-B84DD1456109}"/>
    <cellStyle name="Normal 19 2 3 2 5 3" xfId="42960" xr:uid="{CC00A28A-3AD3-4327-886E-603F55001A11}"/>
    <cellStyle name="Normal 19 2 3 2 6" xfId="17821" xr:uid="{0E3F6D06-2DBC-42BC-96AB-78F3001D1370}"/>
    <cellStyle name="Normal 19 2 3 2 7" xfId="34580" xr:uid="{1D26FAF7-E83F-484A-9BF4-9D144D2783CF}"/>
    <cellStyle name="Normal 19 2 3 3" xfId="1480" xr:uid="{0B7EB4F7-4048-4E81-BC85-B40363B0CF36}"/>
    <cellStyle name="Normal 19 2 3 3 2" xfId="4869" xr:uid="{A1185516-9BA7-46FA-92C1-E239C7C656DB}"/>
    <cellStyle name="Normal 19 2 3 3 2 2" xfId="13249" xr:uid="{807F2800-561A-4C41-A34E-A2CDA3840435}"/>
    <cellStyle name="Normal 19 2 3 3 2 2 2" xfId="30009" xr:uid="{8EEC2872-2F48-41AD-A16F-CA8F16EE0C6A}"/>
    <cellStyle name="Normal 19 2 3 3 2 2 3" xfId="46768" xr:uid="{E7FE5DEB-93D3-4710-AE47-0854A52DA0A0}"/>
    <cellStyle name="Normal 19 2 3 3 2 3" xfId="21629" xr:uid="{8C1EAB3A-2A9B-4C7C-BE5D-01A3C6F05312}"/>
    <cellStyle name="Normal 19 2 3 3 2 4" xfId="38388" xr:uid="{0F2FDC14-48B8-4751-9D43-CA01D5B7BEC1}"/>
    <cellStyle name="Normal 19 2 3 3 3" xfId="6556" xr:uid="{949A8CC3-5890-4FEB-8001-AFC0FC06F14C}"/>
    <cellStyle name="Normal 19 2 3 3 3 2" xfId="14936" xr:uid="{64EA5B5E-58FA-4354-A6A2-0FAE5D652988}"/>
    <cellStyle name="Normal 19 2 3 3 3 2 2" xfId="31696" xr:uid="{3979354C-2E0C-4956-B090-1743F5415FDB}"/>
    <cellStyle name="Normal 19 2 3 3 3 2 3" xfId="48455" xr:uid="{D4B0CC24-CD1C-4796-B421-E25E9529BEB2}"/>
    <cellStyle name="Normal 19 2 3 3 3 3" xfId="23316" xr:uid="{6D2C345F-1A57-4572-BB68-590D4EE12619}"/>
    <cellStyle name="Normal 19 2 3 3 3 4" xfId="40075" xr:uid="{AB1BDFBE-CBCD-4A1A-AD51-D7752469DBEE}"/>
    <cellStyle name="Normal 19 2 3 3 4" xfId="3292" xr:uid="{335D1F91-03F5-4DEC-86C4-8A77483BD630}"/>
    <cellStyle name="Normal 19 2 3 3 4 2" xfId="11672" xr:uid="{40054CEA-05D1-440A-8D6B-7782C646C967}"/>
    <cellStyle name="Normal 19 2 3 3 4 2 2" xfId="28432" xr:uid="{8F6F893F-4E59-4551-93C5-A8E2FB865171}"/>
    <cellStyle name="Normal 19 2 3 3 4 2 3" xfId="45191" xr:uid="{26E8A518-CE39-4BE9-86CC-503220362084}"/>
    <cellStyle name="Normal 19 2 3 3 4 3" xfId="20052" xr:uid="{5AFB5BFE-0221-4A12-90B7-9B18F991B6FF}"/>
    <cellStyle name="Normal 19 2 3 3 4 4" xfId="36811" xr:uid="{A7733219-4DB6-486B-9AF3-85ED47137F05}"/>
    <cellStyle name="Normal 19 2 3 3 5" xfId="9869" xr:uid="{91FFEEC8-3D62-4EE9-965C-E605B61712B0}"/>
    <cellStyle name="Normal 19 2 3 3 5 2" xfId="26629" xr:uid="{11C91E01-BDB1-491F-8D13-BA58DC5EF66E}"/>
    <cellStyle name="Normal 19 2 3 3 5 3" xfId="43388" xr:uid="{3836C8AF-CF6B-4650-8193-75059005BD4D}"/>
    <cellStyle name="Normal 19 2 3 3 6" xfId="18249" xr:uid="{D894FCF7-B88C-4068-ABF3-2597AD0E47CE}"/>
    <cellStyle name="Normal 19 2 3 3 7" xfId="35008" xr:uid="{C9859737-D62E-4FE0-B51E-A18C95937611}"/>
    <cellStyle name="Normal 19 2 3 4" xfId="1955" xr:uid="{5DD5E8B2-C4A3-48BF-A863-2361BBC6DD95}"/>
    <cellStyle name="Normal 19 2 3 4 2" xfId="5344" xr:uid="{B777B2D4-D164-4061-8A8E-BF3E4919E1AA}"/>
    <cellStyle name="Normal 19 2 3 4 2 2" xfId="13724" xr:uid="{14831607-C6B4-4904-ACEC-1AA4794BC8CF}"/>
    <cellStyle name="Normal 19 2 3 4 2 2 2" xfId="30484" xr:uid="{20981A5F-F705-4193-B29D-1CAEC6B3686B}"/>
    <cellStyle name="Normal 19 2 3 4 2 2 3" xfId="47243" xr:uid="{87CEFA41-3B28-44EA-9176-8F3663E9EAA1}"/>
    <cellStyle name="Normal 19 2 3 4 2 3" xfId="22104" xr:uid="{38E3FC8A-00BC-4983-970D-142A17FE0AA9}"/>
    <cellStyle name="Normal 19 2 3 4 2 4" xfId="38863" xr:uid="{D1E940CB-1836-4387-B199-5F36FC131C91}"/>
    <cellStyle name="Normal 19 2 3 4 3" xfId="7031" xr:uid="{D8252E50-A78E-4EFC-B574-FFAEABE10F79}"/>
    <cellStyle name="Normal 19 2 3 4 3 2" xfId="15411" xr:uid="{279D49BD-0AE9-44E8-A751-232D0825DE15}"/>
    <cellStyle name="Normal 19 2 3 4 3 2 2" xfId="32171" xr:uid="{C02C16BC-4AE4-486E-B0A8-5F6CD0852109}"/>
    <cellStyle name="Normal 19 2 3 4 3 2 3" xfId="48930" xr:uid="{91F4B277-B873-461E-A092-7971690B9E9F}"/>
    <cellStyle name="Normal 19 2 3 4 3 3" xfId="23791" xr:uid="{2FA338EB-B53A-4C70-A9A5-6A5FD95B7EB0}"/>
    <cellStyle name="Normal 19 2 3 4 3 4" xfId="40550" xr:uid="{8585970B-2CDF-48E1-80CF-F15F30DECED1}"/>
    <cellStyle name="Normal 19 2 3 4 4" xfId="3654" xr:uid="{BB29C0EB-578C-4058-847A-736B7165CC1B}"/>
    <cellStyle name="Normal 19 2 3 4 4 2" xfId="12034" xr:uid="{420B2264-0AAB-4800-8583-DF3951926054}"/>
    <cellStyle name="Normal 19 2 3 4 4 2 2" xfId="28794" xr:uid="{25FB1ABA-2509-4C22-B3D2-B863B81E2D4C}"/>
    <cellStyle name="Normal 19 2 3 4 4 2 3" xfId="45553" xr:uid="{D1261B2D-7E6F-4B97-9288-2556D37B82BE}"/>
    <cellStyle name="Normal 19 2 3 4 4 3" xfId="20414" xr:uid="{10E3EE1D-8223-4BA0-9584-F9DD61FCB4F0}"/>
    <cellStyle name="Normal 19 2 3 4 4 4" xfId="37173" xr:uid="{32EF63C3-1FE6-4405-9E29-4C79EF72087F}"/>
    <cellStyle name="Normal 19 2 3 4 5" xfId="10344" xr:uid="{4A375885-5184-4B51-926D-334C8584FD85}"/>
    <cellStyle name="Normal 19 2 3 4 5 2" xfId="27104" xr:uid="{92C7950E-C70D-447D-8EC4-B00381CD6B54}"/>
    <cellStyle name="Normal 19 2 3 4 5 3" xfId="43863" xr:uid="{7760293A-A7EB-47EE-B137-ACF12CE5B6BD}"/>
    <cellStyle name="Normal 19 2 3 4 6" xfId="18724" xr:uid="{C2866427-A3ED-4725-B07A-94286F290B86}"/>
    <cellStyle name="Normal 19 2 3 4 7" xfId="35483" xr:uid="{72A0BAF5-D05C-4F27-9B50-BD08BD44EA38}"/>
    <cellStyle name="Normal 19 2 3 5" xfId="4074" xr:uid="{C6649740-25E5-4DC8-B32C-5A026EAE7EDB}"/>
    <cellStyle name="Normal 19 2 3 5 2" xfId="12454" xr:uid="{BCE8F4E3-A8AD-4D31-AE91-1D3ED86298D1}"/>
    <cellStyle name="Normal 19 2 3 5 2 2" xfId="29214" xr:uid="{026FFF01-0351-4871-AC96-8A523A7CB174}"/>
    <cellStyle name="Normal 19 2 3 5 2 3" xfId="45973" xr:uid="{38A782CA-176D-4AB4-BD83-96CA066211DB}"/>
    <cellStyle name="Normal 19 2 3 5 3" xfId="20834" xr:uid="{D78FD10F-5F1B-4324-B033-DD019A4FB63C}"/>
    <cellStyle name="Normal 19 2 3 5 4" xfId="37593" xr:uid="{364764B5-F3CE-4806-9DB9-F6A38F7C190B}"/>
    <cellStyle name="Normal 19 2 3 6" xfId="5702" xr:uid="{93103F77-2B31-4477-83D9-B4B804FC4392}"/>
    <cellStyle name="Normal 19 2 3 6 2" xfId="14082" xr:uid="{6A4F2EB3-C916-49D0-8B4F-338EAEFDFBE4}"/>
    <cellStyle name="Normal 19 2 3 6 2 2" xfId="30842" xr:uid="{C1838F5C-C331-4D6D-A0FB-552BB9633C91}"/>
    <cellStyle name="Normal 19 2 3 6 2 3" xfId="47601" xr:uid="{D7871A87-F7BC-4DB5-8DEF-6B1CAD72A907}"/>
    <cellStyle name="Normal 19 2 3 6 3" xfId="22462" xr:uid="{B81F62BA-B185-486B-BC4C-D85F1493F2F5}"/>
    <cellStyle name="Normal 19 2 3 6 4" xfId="39221" xr:uid="{ED8E610B-7F22-44EE-9E26-4BA3AC667074}"/>
    <cellStyle name="Normal 19 2 3 7" xfId="7437" xr:uid="{87124934-B4E4-4EFC-904D-43E9B6F891DB}"/>
    <cellStyle name="Normal 19 2 3 7 2" xfId="15817" xr:uid="{CF154433-180F-4C87-9148-78E93AEE1B34}"/>
    <cellStyle name="Normal 19 2 3 7 2 2" xfId="32577" xr:uid="{695ABCFD-F6C5-46F0-83AA-9BB22968471B}"/>
    <cellStyle name="Normal 19 2 3 7 2 3" xfId="49336" xr:uid="{F7AD48C7-530F-4C89-8CCC-952F5ED38496}"/>
    <cellStyle name="Normal 19 2 3 7 3" xfId="24197" xr:uid="{D2DB2070-65DD-464F-9DC2-F55FA8E4A87E}"/>
    <cellStyle name="Normal 19 2 3 7 4" xfId="40956" xr:uid="{03F2448B-0C44-4808-8E4C-AD5BD755AB36}"/>
    <cellStyle name="Normal 19 2 3 8" xfId="7843" xr:uid="{1BCD0560-1B72-49C9-8157-B0401E66D02E}"/>
    <cellStyle name="Normal 19 2 3 8 2" xfId="16223" xr:uid="{D51A5CD4-2269-4206-9E6D-937CCEE88224}"/>
    <cellStyle name="Normal 19 2 3 8 2 2" xfId="32983" xr:uid="{0795FA8C-6463-4217-B269-A9E9BEEBCC29}"/>
    <cellStyle name="Normal 19 2 3 8 2 3" xfId="49742" xr:uid="{C742C7D2-701F-415B-BAC6-BA0A0421C935}"/>
    <cellStyle name="Normal 19 2 3 8 3" xfId="24603" xr:uid="{873CEC2B-6527-411E-8E37-7571A2B0BEBB}"/>
    <cellStyle name="Normal 19 2 3 8 4" xfId="41362" xr:uid="{2750B352-EF08-4B3A-A8D6-C4ABE599C38B}"/>
    <cellStyle name="Normal 19 2 3 9" xfId="8249" xr:uid="{D29368C0-6981-4702-867B-58D34CC59775}"/>
    <cellStyle name="Normal 19 2 3 9 2" xfId="16629" xr:uid="{4EAD4974-7A78-46AE-B494-FEA9FA9655B0}"/>
    <cellStyle name="Normal 19 2 3 9 2 2" xfId="33389" xr:uid="{DCD8CC44-8177-4311-BCBE-F0202846B499}"/>
    <cellStyle name="Normal 19 2 3 9 2 3" xfId="50148" xr:uid="{FDAC4A7D-1F8F-4964-BBF6-10A7B6FE0539}"/>
    <cellStyle name="Normal 19 2 3 9 3" xfId="25009" xr:uid="{15F3DB1D-D7D5-4F41-AE16-EA97D5D71C2E}"/>
    <cellStyle name="Normal 19 2 3 9 4" xfId="41768" xr:uid="{244A1B27-071B-4BD0-9964-AF1925DB7E27}"/>
    <cellStyle name="Normal 19 2 4" xfId="810" xr:uid="{8C36C9B9-250B-4FC8-8CB8-AB61F3A23161}"/>
    <cellStyle name="Normal 19 2 4 2" xfId="4205" xr:uid="{073EB1F3-E940-410E-AF26-F04D265FF548}"/>
    <cellStyle name="Normal 19 2 4 2 2" xfId="12585" xr:uid="{A4EE8DCA-3B25-40F3-9C64-E77D77124E59}"/>
    <cellStyle name="Normal 19 2 4 2 2 2" xfId="29345" xr:uid="{C9F799A0-76E8-4D4F-93DB-6BD6353E027B}"/>
    <cellStyle name="Normal 19 2 4 2 2 3" xfId="46104" xr:uid="{E9F946E8-B36E-47C0-B682-8E04B5EBB896}"/>
    <cellStyle name="Normal 19 2 4 2 3" xfId="20965" xr:uid="{667A5C94-B075-48B4-8D6D-A745E8094A11}"/>
    <cellStyle name="Normal 19 2 4 2 4" xfId="37724" xr:uid="{0DA0B62F-987E-465A-A3E6-027F64B9CDE7}"/>
    <cellStyle name="Normal 19 2 4 3" xfId="5892" xr:uid="{C2DB4FFF-BE93-4E9A-B285-95BE2C36DBF8}"/>
    <cellStyle name="Normal 19 2 4 3 2" xfId="14272" xr:uid="{B2A4438B-D5C4-459C-9E77-D6226094898B}"/>
    <cellStyle name="Normal 19 2 4 3 2 2" xfId="31032" xr:uid="{8BDF60DA-7BA1-40D4-AD00-604EE3B9AA02}"/>
    <cellStyle name="Normal 19 2 4 3 2 3" xfId="47791" xr:uid="{37FBFF46-3E5C-4B9C-A5EC-5BF74B3D13D7}"/>
    <cellStyle name="Normal 19 2 4 3 3" xfId="22652" xr:uid="{C0EDB9DD-E725-43B0-831E-8410F1DA4039}"/>
    <cellStyle name="Normal 19 2 4 3 4" xfId="39411" xr:uid="{418BA358-7511-4FFA-9C96-E0A07F65E6F1}"/>
    <cellStyle name="Normal 19 2 4 4" xfId="2628" xr:uid="{52723202-F6E3-44C3-BD9A-E17470296247}"/>
    <cellStyle name="Normal 19 2 4 4 2" xfId="11008" xr:uid="{CF41DE07-9D16-4433-8C60-E41C85AAA765}"/>
    <cellStyle name="Normal 19 2 4 4 2 2" xfId="27768" xr:uid="{D327590F-CBF3-4F5D-A38B-C7DD980DDF72}"/>
    <cellStyle name="Normal 19 2 4 4 2 3" xfId="44527" xr:uid="{0107A337-690D-4E2F-8150-A3A3B55D5D4E}"/>
    <cellStyle name="Normal 19 2 4 4 3" xfId="19388" xr:uid="{7F678745-C34C-41A9-A1FE-84B398B50CB0}"/>
    <cellStyle name="Normal 19 2 4 4 4" xfId="36147" xr:uid="{D52AB7C6-101C-4D23-BEF0-0C31E6696C87}"/>
    <cellStyle name="Normal 19 2 4 5" xfId="9205" xr:uid="{C6A6B309-C28E-4BF9-9416-B89E2FDAEF3B}"/>
    <cellStyle name="Normal 19 2 4 5 2" xfId="25965" xr:uid="{D8AFAD11-85AD-4DD9-9144-D723D8DD8992}"/>
    <cellStyle name="Normal 19 2 4 5 3" xfId="42724" xr:uid="{C34BE27D-6DF6-428F-8C74-8A41D38B961E}"/>
    <cellStyle name="Normal 19 2 4 6" xfId="17585" xr:uid="{29B088AE-D5A0-45CD-B18C-D3E1CE04D7DD}"/>
    <cellStyle name="Normal 19 2 4 7" xfId="34344" xr:uid="{866315AC-3912-4735-8614-94D3D406ED14}"/>
    <cellStyle name="Normal 19 2 5" xfId="1244" xr:uid="{9207F885-5207-4501-8A3D-D1DC79E9FC83}"/>
    <cellStyle name="Normal 19 2 5 2" xfId="4633" xr:uid="{ABD9A6BC-BA72-4518-8E2E-6C7970204376}"/>
    <cellStyle name="Normal 19 2 5 2 2" xfId="13013" xr:uid="{70B79365-01BD-473B-9617-39BFA0819544}"/>
    <cellStyle name="Normal 19 2 5 2 2 2" xfId="29773" xr:uid="{FD6F3E1C-4B8F-4B21-B2E9-C993428EA1A9}"/>
    <cellStyle name="Normal 19 2 5 2 2 3" xfId="46532" xr:uid="{8EE94A4F-692E-4EC7-A57D-FF73EDC7A76E}"/>
    <cellStyle name="Normal 19 2 5 2 3" xfId="21393" xr:uid="{9E569C95-B267-4538-AA2A-B2033142DB91}"/>
    <cellStyle name="Normal 19 2 5 2 4" xfId="38152" xr:uid="{872ED118-264A-435F-B64F-AC1EEBC3B8A6}"/>
    <cellStyle name="Normal 19 2 5 3" xfId="6320" xr:uid="{D6EFC5BC-DC17-45D5-B4CD-8446AD01AE70}"/>
    <cellStyle name="Normal 19 2 5 3 2" xfId="14700" xr:uid="{8ED2168F-592A-4478-AB42-C42F9253AE36}"/>
    <cellStyle name="Normal 19 2 5 3 2 2" xfId="31460" xr:uid="{B5EA582C-75A9-4A3F-BAD2-46630176AAB3}"/>
    <cellStyle name="Normal 19 2 5 3 2 3" xfId="48219" xr:uid="{F82A7523-2830-4735-B8B2-E0AEA92B526A}"/>
    <cellStyle name="Normal 19 2 5 3 3" xfId="23080" xr:uid="{CB81CE46-1E31-44F2-8245-8BD280737FC1}"/>
    <cellStyle name="Normal 19 2 5 3 4" xfId="39839" xr:uid="{18174205-DAB0-4417-A582-37A86685F651}"/>
    <cellStyle name="Normal 19 2 5 4" xfId="3056" xr:uid="{52817F35-DF94-4ACC-BC29-AE34634C2066}"/>
    <cellStyle name="Normal 19 2 5 4 2" xfId="11436" xr:uid="{C9539F25-0604-4DFB-9A00-97C03F7970F9}"/>
    <cellStyle name="Normal 19 2 5 4 2 2" xfId="28196" xr:uid="{FDB62EC0-1D2F-436E-B494-B597E4AA333D}"/>
    <cellStyle name="Normal 19 2 5 4 2 3" xfId="44955" xr:uid="{19A61905-F593-44E1-B1F2-A35D7EA3F0CD}"/>
    <cellStyle name="Normal 19 2 5 4 3" xfId="19816" xr:uid="{C2491677-F9D9-4388-A037-CBFAD75AA65D}"/>
    <cellStyle name="Normal 19 2 5 4 4" xfId="36575" xr:uid="{3DFDE8A7-69F1-45D6-94F9-213E53170300}"/>
    <cellStyle name="Normal 19 2 5 5" xfId="9633" xr:uid="{1406777D-7BF7-4675-94A4-BC55412A07C0}"/>
    <cellStyle name="Normal 19 2 5 5 2" xfId="26393" xr:uid="{64F7982A-9531-4262-BE18-841A7253E127}"/>
    <cellStyle name="Normal 19 2 5 5 3" xfId="43152" xr:uid="{22A33246-0181-4C86-8B06-5F1774526783}"/>
    <cellStyle name="Normal 19 2 5 6" xfId="18013" xr:uid="{5D89BB68-2D18-44A7-B52C-88B4B28EE047}"/>
    <cellStyle name="Normal 19 2 5 7" xfId="34772" xr:uid="{8CCED407-B212-4CE4-8A72-65FFE50204F5}"/>
    <cellStyle name="Normal 19 2 6" xfId="1684" xr:uid="{AFC0373C-5E3D-4046-B833-5D8A4E13DC3F}"/>
    <cellStyle name="Normal 19 2 6 2" xfId="5073" xr:uid="{0C39248C-A1A9-475C-AF09-147D889BA07D}"/>
    <cellStyle name="Normal 19 2 6 2 2" xfId="13453" xr:uid="{7D675CA8-EB98-4D12-AB7A-0A91C09A61B2}"/>
    <cellStyle name="Normal 19 2 6 2 2 2" xfId="30213" xr:uid="{D191850F-A6F4-4ABE-A4D9-FF0E188A0667}"/>
    <cellStyle name="Normal 19 2 6 2 2 3" xfId="46972" xr:uid="{3DBC65BC-CF97-440E-B155-2B85E571C618}"/>
    <cellStyle name="Normal 19 2 6 2 3" xfId="21833" xr:uid="{2828479A-4B64-4B32-AD19-910A6C48689A}"/>
    <cellStyle name="Normal 19 2 6 2 4" xfId="38592" xr:uid="{3C4C51B8-D0C4-4777-9461-F65DD67327E5}"/>
    <cellStyle name="Normal 19 2 6 3" xfId="6760" xr:uid="{B090A39F-D06E-4D9B-9C64-9E9B64F0B653}"/>
    <cellStyle name="Normal 19 2 6 3 2" xfId="15140" xr:uid="{7F5E27AB-5015-4031-A0F2-9B387CB40DE3}"/>
    <cellStyle name="Normal 19 2 6 3 2 2" xfId="31900" xr:uid="{659FA78B-5A4E-4E49-8EFF-25222D724443}"/>
    <cellStyle name="Normal 19 2 6 3 2 3" xfId="48659" xr:uid="{7676B744-7FCC-46B7-870B-7189EC2DA782}"/>
    <cellStyle name="Normal 19 2 6 3 3" xfId="23520" xr:uid="{432E28BA-406E-4906-B0F7-F1DB2B705CB9}"/>
    <cellStyle name="Normal 19 2 6 3 4" xfId="40279" xr:uid="{6243364B-83A3-4CC5-92E4-124B53F25F83}"/>
    <cellStyle name="Normal 19 2 6 4" xfId="2195" xr:uid="{D55E5859-EE8B-47CB-B199-26ECCE74FEE7}"/>
    <cellStyle name="Normal 19 2 6 4 2" xfId="10582" xr:uid="{130EFEEC-F096-420F-AF8B-2ECE7AF0D474}"/>
    <cellStyle name="Normal 19 2 6 4 2 2" xfId="27342" xr:uid="{9EEB246C-6108-4DEF-80A1-D32262E12204}"/>
    <cellStyle name="Normal 19 2 6 4 2 3" xfId="44101" xr:uid="{0CE0D9B7-DD59-4CE1-BDFA-975C16B4A395}"/>
    <cellStyle name="Normal 19 2 6 4 3" xfId="18962" xr:uid="{BF620E04-6525-4F49-BDE6-A535B382A9E8}"/>
    <cellStyle name="Normal 19 2 6 4 4" xfId="35721" xr:uid="{CC9A9EB3-0D10-419E-8006-3C9A7B9B6D1A}"/>
    <cellStyle name="Normal 19 2 6 5" xfId="10073" xr:uid="{FCEF1FBE-43B7-4684-8437-BB146C84DF4E}"/>
    <cellStyle name="Normal 19 2 6 5 2" xfId="26833" xr:uid="{E68C19B8-2F36-401D-9187-CF2051DBE711}"/>
    <cellStyle name="Normal 19 2 6 5 3" xfId="43592" xr:uid="{6B8A5823-1E06-4DE8-9E43-9FCCD66080A7}"/>
    <cellStyle name="Normal 19 2 6 6" xfId="18453" xr:uid="{EF8E35ED-1538-485E-B5BB-0519BC933F55}"/>
    <cellStyle name="Normal 19 2 6 7" xfId="35212" xr:uid="{20CB60EE-3447-41E9-81CC-423DE50ECBB3}"/>
    <cellStyle name="Normal 19 2 7" xfId="3802" xr:uid="{EC6461D6-EF1A-4011-B0E7-DCD48ADCA61B}"/>
    <cellStyle name="Normal 19 2 7 2" xfId="12182" xr:uid="{7C379A25-CB3A-4520-BE11-019CC4D92528}"/>
    <cellStyle name="Normal 19 2 7 2 2" xfId="28942" xr:uid="{6FAAC7FE-B580-4EAB-BF0E-11CFCD908A03}"/>
    <cellStyle name="Normal 19 2 7 2 3" xfId="45701" xr:uid="{46C29D4C-457A-4777-AD87-80A0B074174D}"/>
    <cellStyle name="Normal 19 2 7 3" xfId="20562" xr:uid="{E8D39AFE-80B4-4C13-A0C5-16BE03C09546}"/>
    <cellStyle name="Normal 19 2 7 4" xfId="37321" xr:uid="{35CE6A04-AB5A-42A3-B26B-8C6776ADF00A}"/>
    <cellStyle name="Normal 19 2 8" xfId="5466" xr:uid="{75CBA2FB-0D6D-45FB-913E-CB5405247070}"/>
    <cellStyle name="Normal 19 2 8 2" xfId="13846" xr:uid="{68F1F8A8-B68F-4990-B662-91FF998B9838}"/>
    <cellStyle name="Normal 19 2 8 2 2" xfId="30606" xr:uid="{2C132CBD-BB43-46B0-A206-F766032368AF}"/>
    <cellStyle name="Normal 19 2 8 2 3" xfId="47365" xr:uid="{69E50290-5B86-4AFF-BD29-B3BBABE16958}"/>
    <cellStyle name="Normal 19 2 8 3" xfId="22226" xr:uid="{237775BF-1DCC-4A5E-BE1F-93240FF6C9D3}"/>
    <cellStyle name="Normal 19 2 8 4" xfId="38985" xr:uid="{EDE44799-CF91-4C2B-B72D-F749BC504EB3}"/>
    <cellStyle name="Normal 19 2 9" xfId="7166" xr:uid="{E3924FA9-4885-4E14-937C-99BCD150E6C8}"/>
    <cellStyle name="Normal 19 2 9 2" xfId="15546" xr:uid="{65AA7B8D-4288-429A-B9DA-CAB02681DC3B}"/>
    <cellStyle name="Normal 19 2 9 2 2" xfId="32306" xr:uid="{7BBA9C87-247C-4438-9140-32D96E239047}"/>
    <cellStyle name="Normal 19 2 9 2 3" xfId="49065" xr:uid="{B3809CBF-04CB-405C-97D1-8CEAF2857B06}"/>
    <cellStyle name="Normal 19 2 9 3" xfId="23926" xr:uid="{04B19D15-2AAC-40C7-8C50-60C41338A2D4}"/>
    <cellStyle name="Normal 19 2 9 4" xfId="40685" xr:uid="{A904FA3A-2220-4F25-8681-DDD3327ECB9C}"/>
    <cellStyle name="Normal 19 20" xfId="277" xr:uid="{B20BD3CD-290F-4AAC-A577-B6576C8959D7}"/>
    <cellStyle name="Normal 19 3" xfId="361" xr:uid="{982EF657-A271-4C36-BE04-4163C48B5491}"/>
    <cellStyle name="Normal 19 3 10" xfId="7642" xr:uid="{D8828D6A-AFA8-4259-A9A2-9DB583BFBF4D}"/>
    <cellStyle name="Normal 19 3 10 2" xfId="16022" xr:uid="{F41A5752-A8DB-45C6-9E10-6154A2D5AD04}"/>
    <cellStyle name="Normal 19 3 10 2 2" xfId="32782" xr:uid="{49C9C627-313A-42DD-98CF-A4715C8D0CB3}"/>
    <cellStyle name="Normal 19 3 10 2 3" xfId="49541" xr:uid="{1468A788-1611-4191-B378-3816838FFDC4}"/>
    <cellStyle name="Normal 19 3 10 3" xfId="24402" xr:uid="{9AD52A38-0716-4397-BB09-ACA7A94AB8F5}"/>
    <cellStyle name="Normal 19 3 10 4" xfId="41161" xr:uid="{309D7F15-0049-4B33-98FE-AEAFDD9B7186}"/>
    <cellStyle name="Normal 19 3 11" xfId="8048" xr:uid="{8F223B34-AF4C-45CE-B36E-5C0AEF100028}"/>
    <cellStyle name="Normal 19 3 11 2" xfId="16428" xr:uid="{B00C0D15-91B8-4BBD-A68D-C82649F259CD}"/>
    <cellStyle name="Normal 19 3 11 2 2" xfId="33188" xr:uid="{D7E0C5ED-F490-4262-8318-17A1C99887BC}"/>
    <cellStyle name="Normal 19 3 11 2 3" xfId="49947" xr:uid="{B5B16F29-0006-4BF0-8188-88EF63ED91DE}"/>
    <cellStyle name="Normal 19 3 11 3" xfId="24808" xr:uid="{FDD01362-1E0B-40C5-B023-B9305848AF52}"/>
    <cellStyle name="Normal 19 3 11 4" xfId="41567" xr:uid="{76F33B0C-14C3-4F45-B56E-3535E90A0C3E}"/>
    <cellStyle name="Normal 19 3 12" xfId="8454" xr:uid="{E7E7533F-29DB-467B-8734-A8CA8A686311}"/>
    <cellStyle name="Normal 19 3 12 2" xfId="16834" xr:uid="{2EEE27A6-26F6-4509-803B-3CB6DDF16632}"/>
    <cellStyle name="Normal 19 3 12 2 2" xfId="33594" xr:uid="{69F1F67D-82F7-41D9-8437-C29FE4B42224}"/>
    <cellStyle name="Normal 19 3 12 2 3" xfId="50353" xr:uid="{162A6237-93FC-4BFD-95FD-F7B2F3352696}"/>
    <cellStyle name="Normal 19 3 12 3" xfId="25214" xr:uid="{B6B579C5-1226-4D53-B271-D3047BC4FEED}"/>
    <cellStyle name="Normal 19 3 12 4" xfId="41973" xr:uid="{8DD5F172-BE6E-496A-A07D-DEC5A86467CC}"/>
    <cellStyle name="Normal 19 3 13" xfId="2141" xr:uid="{4719B2D6-F784-40FC-B70B-557389519E2A}"/>
    <cellStyle name="Normal 19 3 13 2" xfId="10529" xr:uid="{52F9494C-1934-4305-83DF-1BD9CE6B61C2}"/>
    <cellStyle name="Normal 19 3 13 2 2" xfId="27289" xr:uid="{3949955E-76FC-4763-BB5D-BE0F2C25EA53}"/>
    <cellStyle name="Normal 19 3 13 2 3" xfId="44048" xr:uid="{09F49290-C566-4DEA-A3C7-B8C166348305}"/>
    <cellStyle name="Normal 19 3 13 3" xfId="18909" xr:uid="{1450F1CA-78E4-43B3-B873-A43B66837E22}"/>
    <cellStyle name="Normal 19 3 13 4" xfId="35668" xr:uid="{98274459-9C18-441E-9D0F-EFE57F9A3A41}"/>
    <cellStyle name="Normal 19 3 14" xfId="8825" xr:uid="{00E44BA1-9873-423A-8E47-C93259D94B0B}"/>
    <cellStyle name="Normal 19 3 14 2" xfId="25585" xr:uid="{AF4AF603-F5AF-4E3B-91CB-D278DC5E56C0}"/>
    <cellStyle name="Normal 19 3 14 3" xfId="42344" xr:uid="{CDBE4857-BA80-4104-820B-86C22F501D66}"/>
    <cellStyle name="Normal 19 3 15" xfId="17205" xr:uid="{B83B3A70-6092-4FDF-A60A-F98D37E51F01}"/>
    <cellStyle name="Normal 19 3 16" xfId="33964" xr:uid="{62476867-6A53-461D-B170-D43C2D2C4711}"/>
    <cellStyle name="Normal 19 3 2" xfId="605" xr:uid="{3F3300F1-0895-479B-A884-EDE622253B07}"/>
    <cellStyle name="Normal 19 3 2 10" xfId="8530" xr:uid="{E6E155A5-3EB0-470E-A986-7E417B28E637}"/>
    <cellStyle name="Normal 19 3 2 10 2" xfId="16910" xr:uid="{B14FB959-CF7A-45A1-89EC-14F577F56612}"/>
    <cellStyle name="Normal 19 3 2 10 2 2" xfId="33670" xr:uid="{51213D72-2826-4B9D-95AB-0791D200C881}"/>
    <cellStyle name="Normal 19 3 2 10 2 3" xfId="50429" xr:uid="{D6B44A53-1317-4D95-8B4E-D8ABD98AFE07}"/>
    <cellStyle name="Normal 19 3 2 10 3" xfId="25290" xr:uid="{75618828-F566-485D-AB80-2B9AF1FA3101}"/>
    <cellStyle name="Normal 19 3 2 10 4" xfId="42049" xr:uid="{9CDEB3AF-C318-4467-8183-1CE5E633B908}"/>
    <cellStyle name="Normal 19 3 2 11" xfId="2437" xr:uid="{EA8162E4-8595-4CBC-8269-A8E402890F50}"/>
    <cellStyle name="Normal 19 3 2 11 2" xfId="10819" xr:uid="{9ED2AD74-93F7-42FF-8022-8E09AD825F98}"/>
    <cellStyle name="Normal 19 3 2 11 2 2" xfId="27579" xr:uid="{3F28DF2B-0130-4A76-A3B1-20A04FA1C6C2}"/>
    <cellStyle name="Normal 19 3 2 11 2 3" xfId="44338" xr:uid="{E6B5049D-0174-4ED2-B9AD-58566E20A83B}"/>
    <cellStyle name="Normal 19 3 2 11 3" xfId="19199" xr:uid="{E35C71F8-BDC6-4D71-A641-4C58EECF7DF5}"/>
    <cellStyle name="Normal 19 3 2 11 4" xfId="35958" xr:uid="{0E5E711E-1107-40D8-B143-3ADAA2491F26}"/>
    <cellStyle name="Normal 19 3 2 12" xfId="9016" xr:uid="{A523907F-3646-4DA7-92B5-BECB1D0101DC}"/>
    <cellStyle name="Normal 19 3 2 12 2" xfId="25776" xr:uid="{518F751C-348B-4388-A5FB-F6CC8BA18C8B}"/>
    <cellStyle name="Normal 19 3 2 12 3" xfId="42535" xr:uid="{FD5426CB-97AF-4C9F-87A0-E55923B0D401}"/>
    <cellStyle name="Normal 19 3 2 13" xfId="17396" xr:uid="{39D4116D-91FC-4614-8D87-1E72B10B8461}"/>
    <cellStyle name="Normal 19 3 2 14" xfId="34155" xr:uid="{CCED81B0-2EF1-4DA5-8371-1147D373730B}"/>
    <cellStyle name="Normal 19 3 2 2" xfId="1047" xr:uid="{3E694558-DBAD-4601-AEF5-9B67C6B81D57}"/>
    <cellStyle name="Normal 19 3 2 2 2" xfId="4442" xr:uid="{96165594-510B-4DFB-BDF0-772B3C2576D2}"/>
    <cellStyle name="Normal 19 3 2 2 2 2" xfId="12822" xr:uid="{92D489C4-6A48-411F-88B5-A2401ADE75DD}"/>
    <cellStyle name="Normal 19 3 2 2 2 2 2" xfId="29582" xr:uid="{6063B79D-B794-4341-864B-04BB912B39E0}"/>
    <cellStyle name="Normal 19 3 2 2 2 2 3" xfId="46341" xr:uid="{F562B21E-4DF5-4DBC-8FD7-124C3272F3C3}"/>
    <cellStyle name="Normal 19 3 2 2 2 3" xfId="21202" xr:uid="{FAFAC34D-05B9-4C6F-AD47-7C51ACAF4216}"/>
    <cellStyle name="Normal 19 3 2 2 2 4" xfId="37961" xr:uid="{BEE19D9B-AC07-4CBF-82EF-7070C82E6F3B}"/>
    <cellStyle name="Normal 19 3 2 2 3" xfId="6129" xr:uid="{B1EA9EF0-F3AE-46EF-96C6-8DFA1B8DE533}"/>
    <cellStyle name="Normal 19 3 2 2 3 2" xfId="14509" xr:uid="{90E5E592-DEFF-45D8-8962-865AFF9A1E0B}"/>
    <cellStyle name="Normal 19 3 2 2 3 2 2" xfId="31269" xr:uid="{7F4E3349-973F-4BE6-9EE3-E5CD7091BAF1}"/>
    <cellStyle name="Normal 19 3 2 2 3 2 3" xfId="48028" xr:uid="{AC63D17F-ADFD-4BDE-A921-7DFA4AFBE217}"/>
    <cellStyle name="Normal 19 3 2 2 3 3" xfId="22889" xr:uid="{73615D76-6A3E-40E9-8821-FD6A6B44364C}"/>
    <cellStyle name="Normal 19 3 2 2 3 4" xfId="39648" xr:uid="{F948D7A2-F47B-40A7-8618-5C1090B415F4}"/>
    <cellStyle name="Normal 19 3 2 2 4" xfId="2865" xr:uid="{B3B94AE8-0502-45E1-84CB-8F8CDB1C9A05}"/>
    <cellStyle name="Normal 19 3 2 2 4 2" xfId="11245" xr:uid="{16BF0316-170D-4B95-82BA-FCD8D1B7DEF1}"/>
    <cellStyle name="Normal 19 3 2 2 4 2 2" xfId="28005" xr:uid="{64ADE684-9B53-495E-968F-EAD6F4F05FA2}"/>
    <cellStyle name="Normal 19 3 2 2 4 2 3" xfId="44764" xr:uid="{1ECC48AF-811D-4106-8FDB-CB185CB6EB87}"/>
    <cellStyle name="Normal 19 3 2 2 4 3" xfId="19625" xr:uid="{A18B116D-90EC-4BAF-AD2D-9AF7663B6D66}"/>
    <cellStyle name="Normal 19 3 2 2 4 4" xfId="36384" xr:uid="{09226F30-4953-4F17-A028-56B687E14EA9}"/>
    <cellStyle name="Normal 19 3 2 2 5" xfId="9442" xr:uid="{CB32DA08-8876-489B-9FDE-62D910CC147A}"/>
    <cellStyle name="Normal 19 3 2 2 5 2" xfId="26202" xr:uid="{381ABEE4-7AED-465C-9436-7F6755C8C19E}"/>
    <cellStyle name="Normal 19 3 2 2 5 3" xfId="42961" xr:uid="{72ED2C40-B467-4C8D-BAD9-517D537E2D85}"/>
    <cellStyle name="Normal 19 3 2 2 6" xfId="17822" xr:uid="{CEA86377-C0A2-426A-9F8B-981A932408DB}"/>
    <cellStyle name="Normal 19 3 2 2 7" xfId="34581" xr:uid="{3FB67A74-50B9-4C64-B27D-DF683B456FA6}"/>
    <cellStyle name="Normal 19 3 2 3" xfId="1481" xr:uid="{139E5503-4F63-4B5C-8D1B-60FCF2F897E3}"/>
    <cellStyle name="Normal 19 3 2 3 2" xfId="4870" xr:uid="{DF0C3420-1B3B-44B5-9AA1-6BE9A380E251}"/>
    <cellStyle name="Normal 19 3 2 3 2 2" xfId="13250" xr:uid="{5D35551D-6D00-45A1-A935-E9E2AF0182C2}"/>
    <cellStyle name="Normal 19 3 2 3 2 2 2" xfId="30010" xr:uid="{542270E1-CB2F-4481-BEE0-87E11041303D}"/>
    <cellStyle name="Normal 19 3 2 3 2 2 3" xfId="46769" xr:uid="{0D4C1F0F-9E78-41D8-AA0D-1291201B0095}"/>
    <cellStyle name="Normal 19 3 2 3 2 3" xfId="21630" xr:uid="{BEE1123D-A950-4A57-A786-C441076A65D5}"/>
    <cellStyle name="Normal 19 3 2 3 2 4" xfId="38389" xr:uid="{7D0A3AF8-83DB-4731-BD9A-58FD39D29CE2}"/>
    <cellStyle name="Normal 19 3 2 3 3" xfId="6557" xr:uid="{4B29226F-36B5-4371-B971-4882335512F4}"/>
    <cellStyle name="Normal 19 3 2 3 3 2" xfId="14937" xr:uid="{53639D93-BCB4-433F-9691-1A4DEDB4803D}"/>
    <cellStyle name="Normal 19 3 2 3 3 2 2" xfId="31697" xr:uid="{1FE691CC-BA52-4949-8F1B-9541A9690947}"/>
    <cellStyle name="Normal 19 3 2 3 3 2 3" xfId="48456" xr:uid="{B61A12F7-51AB-4106-B72A-52846A6D2019}"/>
    <cellStyle name="Normal 19 3 2 3 3 3" xfId="23317" xr:uid="{7B761BA8-74E5-454E-A4BC-1147D4AC2B79}"/>
    <cellStyle name="Normal 19 3 2 3 3 4" xfId="40076" xr:uid="{CB1B4829-A085-476D-89A4-D8F148757250}"/>
    <cellStyle name="Normal 19 3 2 3 4" xfId="3293" xr:uid="{11029523-14F1-49F5-8157-B9B590E9D5F5}"/>
    <cellStyle name="Normal 19 3 2 3 4 2" xfId="11673" xr:uid="{2C0BD75D-822D-406D-B4CE-CCF23DE033AD}"/>
    <cellStyle name="Normal 19 3 2 3 4 2 2" xfId="28433" xr:uid="{A7D5438C-07A1-4A70-BF12-CD79D4AADF47}"/>
    <cellStyle name="Normal 19 3 2 3 4 2 3" xfId="45192" xr:uid="{F8698B10-71EA-4175-863D-7ED98AC0BA01}"/>
    <cellStyle name="Normal 19 3 2 3 4 3" xfId="20053" xr:uid="{61E8AC7E-2FEC-4533-BCA7-31C4E4FDA42E}"/>
    <cellStyle name="Normal 19 3 2 3 4 4" xfId="36812" xr:uid="{A84F89F4-4993-4070-BD36-941AC7C32CB8}"/>
    <cellStyle name="Normal 19 3 2 3 5" xfId="9870" xr:uid="{E76517AA-5743-4461-868D-76776454ED0E}"/>
    <cellStyle name="Normal 19 3 2 3 5 2" xfId="26630" xr:uid="{44318695-4F7F-4AA5-B569-9A1C6CE578FE}"/>
    <cellStyle name="Normal 19 3 2 3 5 3" xfId="43389" xr:uid="{D2348B63-0D7A-49DA-B9D8-5AA0A8070A9F}"/>
    <cellStyle name="Normal 19 3 2 3 6" xfId="18250" xr:uid="{EB962993-E956-4175-B94D-881F3E48747A}"/>
    <cellStyle name="Normal 19 3 2 3 7" xfId="35009" xr:uid="{9C689FE5-C186-459B-A2DE-3AF6F7D16106}"/>
    <cellStyle name="Normal 19 3 2 4" xfId="1830" xr:uid="{3F9348E5-7A99-470E-97B5-DC3C6858EFE1}"/>
    <cellStyle name="Normal 19 3 2 4 2" xfId="5219" xr:uid="{969B040C-B0D9-490C-83A0-BC2A16040E99}"/>
    <cellStyle name="Normal 19 3 2 4 2 2" xfId="13599" xr:uid="{58A0FA9F-4157-48DE-B9C8-67E2D454BDFF}"/>
    <cellStyle name="Normal 19 3 2 4 2 2 2" xfId="30359" xr:uid="{4E2859F4-D472-4ADA-8C81-A0E9FEC0EEBE}"/>
    <cellStyle name="Normal 19 3 2 4 2 2 3" xfId="47118" xr:uid="{115F16BB-DF20-4039-83B9-11D97CB8954F}"/>
    <cellStyle name="Normal 19 3 2 4 2 3" xfId="21979" xr:uid="{477453B7-9136-4AD8-8536-09FD79AC99F5}"/>
    <cellStyle name="Normal 19 3 2 4 2 4" xfId="38738" xr:uid="{3A7EF9AC-D18D-45A9-A4E2-690926B83333}"/>
    <cellStyle name="Normal 19 3 2 4 3" xfId="6906" xr:uid="{AE593C85-BB19-40CF-9F48-10FE0FB4DDBF}"/>
    <cellStyle name="Normal 19 3 2 4 3 2" xfId="15286" xr:uid="{DD525B92-3952-48DD-B8C3-761A3FF31673}"/>
    <cellStyle name="Normal 19 3 2 4 3 2 2" xfId="32046" xr:uid="{0E79822C-3E0E-4259-8A95-888F77B60000}"/>
    <cellStyle name="Normal 19 3 2 4 3 2 3" xfId="48805" xr:uid="{EED39DE0-8385-4106-AE8A-9398B074B60D}"/>
    <cellStyle name="Normal 19 3 2 4 3 3" xfId="23666" xr:uid="{82EDB38C-7728-448E-A239-262C4E406776}"/>
    <cellStyle name="Normal 19 3 2 4 3 4" xfId="40425" xr:uid="{8D6D664D-677B-46CD-80CE-6E8BA4918F23}"/>
    <cellStyle name="Normal 19 3 2 4 4" xfId="3530" xr:uid="{A66222E3-F78C-4A6A-8D11-BDD013799693}"/>
    <cellStyle name="Normal 19 3 2 4 4 2" xfId="11910" xr:uid="{65254979-2489-4D84-961B-4DC25CC5448C}"/>
    <cellStyle name="Normal 19 3 2 4 4 2 2" xfId="28670" xr:uid="{95EDBA05-C398-4863-BBD8-5FCA20A221A0}"/>
    <cellStyle name="Normal 19 3 2 4 4 2 3" xfId="45429" xr:uid="{09BE79C7-1896-4F8B-8FCD-052799CAD796}"/>
    <cellStyle name="Normal 19 3 2 4 4 3" xfId="20290" xr:uid="{1E4E71B5-2B1E-4F7D-B65F-FF1708F920B0}"/>
    <cellStyle name="Normal 19 3 2 4 4 4" xfId="37049" xr:uid="{82F373C9-12C7-44AB-9592-D194DEE49888}"/>
    <cellStyle name="Normal 19 3 2 4 5" xfId="10219" xr:uid="{C88A6544-2F3C-4CF4-A978-676E1D0C9A1A}"/>
    <cellStyle name="Normal 19 3 2 4 5 2" xfId="26979" xr:uid="{98DA2364-C648-4ED4-A05D-1B43585D49FE}"/>
    <cellStyle name="Normal 19 3 2 4 5 3" xfId="43738" xr:uid="{F38C31CD-18B3-453C-8570-427576B56474}"/>
    <cellStyle name="Normal 19 3 2 4 6" xfId="18599" xr:uid="{BCA21788-BF9A-4E87-A596-1101947F1E2D}"/>
    <cellStyle name="Normal 19 3 2 4 7" xfId="35358" xr:uid="{DCF07E26-3B79-433F-8C28-3F225679AB86}"/>
    <cellStyle name="Normal 19 3 2 5" xfId="3949" xr:uid="{63F14FA0-6253-48D6-A02B-C8A024DF82C2}"/>
    <cellStyle name="Normal 19 3 2 5 2" xfId="12329" xr:uid="{2CFAC112-56E9-40CE-B19C-F34FA324B73E}"/>
    <cellStyle name="Normal 19 3 2 5 2 2" xfId="29089" xr:uid="{A674A5A9-670E-4508-9BDE-5531AD2E2215}"/>
    <cellStyle name="Normal 19 3 2 5 2 3" xfId="45848" xr:uid="{2C118219-509A-4272-98D6-40E88C21B5A2}"/>
    <cellStyle name="Normal 19 3 2 5 3" xfId="20709" xr:uid="{C4565DA7-0AB7-47B1-95D6-C43B38B28C7F}"/>
    <cellStyle name="Normal 19 3 2 5 4" xfId="37468" xr:uid="{476C04B5-4C72-49C0-BE49-DDA5407A982B}"/>
    <cellStyle name="Normal 19 3 2 6" xfId="5703" xr:uid="{599D0B07-71FC-40CD-B829-6D1A06D55BFB}"/>
    <cellStyle name="Normal 19 3 2 6 2" xfId="14083" xr:uid="{64AFEB45-FC0E-495F-8E56-D441B3195EA6}"/>
    <cellStyle name="Normal 19 3 2 6 2 2" xfId="30843" xr:uid="{A3048609-0195-4194-A698-A1168896B1DE}"/>
    <cellStyle name="Normal 19 3 2 6 2 3" xfId="47602" xr:uid="{637F288F-21AD-4E87-A9BA-0F5448D8B9F5}"/>
    <cellStyle name="Normal 19 3 2 6 3" xfId="22463" xr:uid="{19C2AB77-48C8-42A7-8732-03B20CD43CF7}"/>
    <cellStyle name="Normal 19 3 2 6 4" xfId="39222" xr:uid="{AD153F84-B301-4A29-9479-A8B10D59B9D0}"/>
    <cellStyle name="Normal 19 3 2 7" xfId="7312" xr:uid="{9074B718-6A52-49A4-B87E-59EE259E71FD}"/>
    <cellStyle name="Normal 19 3 2 7 2" xfId="15692" xr:uid="{EB9645EA-B649-401D-B9F1-EFB6781E8714}"/>
    <cellStyle name="Normal 19 3 2 7 2 2" xfId="32452" xr:uid="{EFF426C0-624A-4577-933C-9F1EE88FA160}"/>
    <cellStyle name="Normal 19 3 2 7 2 3" xfId="49211" xr:uid="{58B99227-0875-4985-A626-656C93C4AF31}"/>
    <cellStyle name="Normal 19 3 2 7 3" xfId="24072" xr:uid="{5A2C0DFD-1310-44EE-8BF5-5D578C7BEBD2}"/>
    <cellStyle name="Normal 19 3 2 7 4" xfId="40831" xr:uid="{B8CCF238-E4FF-4D9F-BD47-DC4C2032F435}"/>
    <cellStyle name="Normal 19 3 2 8" xfId="7718" xr:uid="{B35B0453-3D2E-46FF-9407-52ACD503B670}"/>
    <cellStyle name="Normal 19 3 2 8 2" xfId="16098" xr:uid="{D05731FB-AB5E-40F1-B6E6-063A945116B6}"/>
    <cellStyle name="Normal 19 3 2 8 2 2" xfId="32858" xr:uid="{D35F205F-62CC-4FAA-B5CC-9832CF862F76}"/>
    <cellStyle name="Normal 19 3 2 8 2 3" xfId="49617" xr:uid="{B205C221-F945-4F6D-B354-FD13BED11183}"/>
    <cellStyle name="Normal 19 3 2 8 3" xfId="24478" xr:uid="{A35B659E-6A74-40F4-B234-DB2574484F15}"/>
    <cellStyle name="Normal 19 3 2 8 4" xfId="41237" xr:uid="{2975EA02-8303-4040-87EA-EE6EDA0DEFDA}"/>
    <cellStyle name="Normal 19 3 2 9" xfId="8124" xr:uid="{1EA283E8-F571-43C0-98B5-1554BEDA4833}"/>
    <cellStyle name="Normal 19 3 2 9 2" xfId="16504" xr:uid="{136E55C5-9FFB-4342-9043-D0C586E3E5B8}"/>
    <cellStyle name="Normal 19 3 2 9 2 2" xfId="33264" xr:uid="{C30784CB-CDBD-4484-9A8F-32E5B851D711}"/>
    <cellStyle name="Normal 19 3 2 9 2 3" xfId="50023" xr:uid="{5B252C29-3980-4EA9-8C41-00FD6DFF0EDF}"/>
    <cellStyle name="Normal 19 3 2 9 3" xfId="24884" xr:uid="{CD9D5305-68C4-40C9-BC66-52E057C00BBF}"/>
    <cellStyle name="Normal 19 3 2 9 4" xfId="41643" xr:uid="{3F0C6B8F-85E6-4243-A818-ABDF5D76BE9F}"/>
    <cellStyle name="Normal 19 3 3" xfId="606" xr:uid="{95065381-C4D9-4DC3-A4A3-7E1FB94F5F67}"/>
    <cellStyle name="Normal 19 3 3 10" xfId="8725" xr:uid="{FCB39219-A710-478A-A91C-3EA02F847C29}"/>
    <cellStyle name="Normal 19 3 3 10 2" xfId="17105" xr:uid="{5A6FFF07-3505-4AD0-AE53-1F87BECA1648}"/>
    <cellStyle name="Normal 19 3 3 10 2 2" xfId="33865" xr:uid="{2E5CBA28-AED4-4058-88FF-B542D59133BA}"/>
    <cellStyle name="Normal 19 3 3 10 2 3" xfId="50624" xr:uid="{5413BDB9-8570-40F7-A2D2-C17F7C59A07B}"/>
    <cellStyle name="Normal 19 3 3 10 3" xfId="25485" xr:uid="{D104484A-86C9-4D54-BAFB-909283FF21D8}"/>
    <cellStyle name="Normal 19 3 3 10 4" xfId="42244" xr:uid="{32C0E048-109E-4487-A462-6918122D34D3}"/>
    <cellStyle name="Normal 19 3 3 11" xfId="2438" xr:uid="{7953C3F4-9660-43F6-A402-1377670121F1}"/>
    <cellStyle name="Normal 19 3 3 11 2" xfId="10820" xr:uid="{2339C9DB-1320-48A7-8DD6-ECD1CDFFD99A}"/>
    <cellStyle name="Normal 19 3 3 11 2 2" xfId="27580" xr:uid="{320B7695-404D-4110-B3BB-4D03CCF6249B}"/>
    <cellStyle name="Normal 19 3 3 11 2 3" xfId="44339" xr:uid="{EEBF0E76-3BBA-4F15-B184-EDE2EF9796E4}"/>
    <cellStyle name="Normal 19 3 3 11 3" xfId="19200" xr:uid="{B1217B97-7DEE-4D80-BBFE-2F411E557F90}"/>
    <cellStyle name="Normal 19 3 3 11 4" xfId="35959" xr:uid="{99AF4F5D-C8E8-48D3-8A18-A2732EE9761F}"/>
    <cellStyle name="Normal 19 3 3 12" xfId="9017" xr:uid="{3B20E249-0C6D-47BA-B29E-BBFF52E2CC30}"/>
    <cellStyle name="Normal 19 3 3 12 2" xfId="25777" xr:uid="{4C5F7052-4BE0-4ACA-98EA-2F4318057D9B}"/>
    <cellStyle name="Normal 19 3 3 12 3" xfId="42536" xr:uid="{24CCC660-0D0A-4E2E-AE24-FE9767FA290A}"/>
    <cellStyle name="Normal 19 3 3 13" xfId="17397" xr:uid="{F7299653-A687-4FB4-8A1E-0641C551D8E1}"/>
    <cellStyle name="Normal 19 3 3 14" xfId="34156" xr:uid="{39281D5D-E758-4D3A-A6E1-EB024B073CE0}"/>
    <cellStyle name="Normal 19 3 3 2" xfId="1048" xr:uid="{2C31B556-5CF6-41E4-B6D8-AE581F5B3A02}"/>
    <cellStyle name="Normal 19 3 3 2 2" xfId="4443" xr:uid="{745BC6A8-E7D8-4C2B-918E-8B0C93D0C39E}"/>
    <cellStyle name="Normal 19 3 3 2 2 2" xfId="12823" xr:uid="{AFB52B2C-8865-46F9-8368-B7F067E3C23F}"/>
    <cellStyle name="Normal 19 3 3 2 2 2 2" xfId="29583" xr:uid="{DDC1F263-8EDD-49C9-90C3-2A8ED86FC102}"/>
    <cellStyle name="Normal 19 3 3 2 2 2 3" xfId="46342" xr:uid="{8501905F-7DEE-4CD8-B47C-3079169F076A}"/>
    <cellStyle name="Normal 19 3 3 2 2 3" xfId="21203" xr:uid="{AADFEB7F-4A67-4B5C-9E2C-0FB5B315FB5C}"/>
    <cellStyle name="Normal 19 3 3 2 2 4" xfId="37962" xr:uid="{DD76014C-603E-4C9C-AD7D-6999EF51555F}"/>
    <cellStyle name="Normal 19 3 3 2 3" xfId="6130" xr:uid="{8F6A976C-6A76-42F5-B2C7-FD39BB6C2136}"/>
    <cellStyle name="Normal 19 3 3 2 3 2" xfId="14510" xr:uid="{5E3E880B-4BFA-42BF-8622-97C405F86A60}"/>
    <cellStyle name="Normal 19 3 3 2 3 2 2" xfId="31270" xr:uid="{891DA041-501E-47FD-8A49-D9A969BA2133}"/>
    <cellStyle name="Normal 19 3 3 2 3 2 3" xfId="48029" xr:uid="{03E57F6D-7710-4A37-BD92-1FC08203F8DA}"/>
    <cellStyle name="Normal 19 3 3 2 3 3" xfId="22890" xr:uid="{CC639FE4-2E6B-4A49-8DEB-9A518C8ACD95}"/>
    <cellStyle name="Normal 19 3 3 2 3 4" xfId="39649" xr:uid="{94276BE8-70C2-4C02-9804-20C28DD7E42E}"/>
    <cellStyle name="Normal 19 3 3 2 4" xfId="2866" xr:uid="{64C0C515-D489-49AE-BA56-22B386699A9B}"/>
    <cellStyle name="Normal 19 3 3 2 4 2" xfId="11246" xr:uid="{B3A3BBB7-E6B1-420C-A350-6DC3B510FB40}"/>
    <cellStyle name="Normal 19 3 3 2 4 2 2" xfId="28006" xr:uid="{8113DD22-A229-47D2-9D58-C6D555213646}"/>
    <cellStyle name="Normal 19 3 3 2 4 2 3" xfId="44765" xr:uid="{98620DC2-3E6F-49F2-96D7-5D5D032CEB42}"/>
    <cellStyle name="Normal 19 3 3 2 4 3" xfId="19626" xr:uid="{788DB9F7-FD5F-4A4F-81C3-D0B9DDE426DC}"/>
    <cellStyle name="Normal 19 3 3 2 4 4" xfId="36385" xr:uid="{7F69126A-A9D9-4DA3-928B-14D98714162D}"/>
    <cellStyle name="Normal 19 3 3 2 5" xfId="9443" xr:uid="{C6A81CBF-95C5-4648-9C21-D1BC8082D5BB}"/>
    <cellStyle name="Normal 19 3 3 2 5 2" xfId="26203" xr:uid="{0562F6B6-1F8F-4962-9473-A9C4EAE1894A}"/>
    <cellStyle name="Normal 19 3 3 2 5 3" xfId="42962" xr:uid="{076EE092-B6B0-46F4-BB4D-8145B2DEEAD7}"/>
    <cellStyle name="Normal 19 3 3 2 6" xfId="17823" xr:uid="{1776FAA9-D57A-471A-8545-F10FE1CFD711}"/>
    <cellStyle name="Normal 19 3 3 2 7" xfId="34582" xr:uid="{7236BE15-152D-4C4D-B468-1ADF90AAFAB7}"/>
    <cellStyle name="Normal 19 3 3 3" xfId="1482" xr:uid="{2A4DFDA5-38B3-4B11-9E30-893B2CDA699B}"/>
    <cellStyle name="Normal 19 3 3 3 2" xfId="4871" xr:uid="{9BF67FCB-C7DB-462A-8F4E-3A01E6233A44}"/>
    <cellStyle name="Normal 19 3 3 3 2 2" xfId="13251" xr:uid="{3F222E5C-26EA-4700-BF09-58FB94D78776}"/>
    <cellStyle name="Normal 19 3 3 3 2 2 2" xfId="30011" xr:uid="{7E90D950-5D79-4550-B342-FB4DDC643A90}"/>
    <cellStyle name="Normal 19 3 3 3 2 2 3" xfId="46770" xr:uid="{AE405300-7AAF-4B71-A44D-99102ADB5D29}"/>
    <cellStyle name="Normal 19 3 3 3 2 3" xfId="21631" xr:uid="{CFA8A598-A8BD-42E5-8D9E-C4DAC1AA340C}"/>
    <cellStyle name="Normal 19 3 3 3 2 4" xfId="38390" xr:uid="{2E07F557-ECDE-4295-A039-037920DA60C3}"/>
    <cellStyle name="Normal 19 3 3 3 3" xfId="6558" xr:uid="{47888146-4D35-495B-A481-C8A5BE87D25F}"/>
    <cellStyle name="Normal 19 3 3 3 3 2" xfId="14938" xr:uid="{1286D4AF-76BC-4FA9-A39C-ED663C619882}"/>
    <cellStyle name="Normal 19 3 3 3 3 2 2" xfId="31698" xr:uid="{61CF2935-7E26-4D93-AC2E-2195F5AD443E}"/>
    <cellStyle name="Normal 19 3 3 3 3 2 3" xfId="48457" xr:uid="{AC1DAD04-8A5F-4408-96B5-69A7C68588D4}"/>
    <cellStyle name="Normal 19 3 3 3 3 3" xfId="23318" xr:uid="{077F221D-82FF-42C4-BBF3-DD2789635804}"/>
    <cellStyle name="Normal 19 3 3 3 3 4" xfId="40077" xr:uid="{93B36C65-A737-4856-A45A-1C853BEE3869}"/>
    <cellStyle name="Normal 19 3 3 3 4" xfId="3294" xr:uid="{5C4F79C7-57AA-43D1-BF2C-38F4884D85C0}"/>
    <cellStyle name="Normal 19 3 3 3 4 2" xfId="11674" xr:uid="{875050CE-5095-4115-8EDE-42A4AE009363}"/>
    <cellStyle name="Normal 19 3 3 3 4 2 2" xfId="28434" xr:uid="{51CE7198-E110-4CBB-BAFC-B4A80CB2D766}"/>
    <cellStyle name="Normal 19 3 3 3 4 2 3" xfId="45193" xr:uid="{2C5DAA93-CB97-4EF3-9268-7F173589C70A}"/>
    <cellStyle name="Normal 19 3 3 3 4 3" xfId="20054" xr:uid="{53218E1A-2D31-46AD-8341-585E6389B439}"/>
    <cellStyle name="Normal 19 3 3 3 4 4" xfId="36813" xr:uid="{69C033CB-22A8-471C-B7DA-AA1FD86E4922}"/>
    <cellStyle name="Normal 19 3 3 3 5" xfId="9871" xr:uid="{F5AADE63-208E-49AA-8A5B-9A844122DB2E}"/>
    <cellStyle name="Normal 19 3 3 3 5 2" xfId="26631" xr:uid="{13BBC6D4-5FEF-4262-91B4-9E78C2F57B52}"/>
    <cellStyle name="Normal 19 3 3 3 5 3" xfId="43390" xr:uid="{DF53FE33-AE29-42F1-BFE0-00DB3866E8B9}"/>
    <cellStyle name="Normal 19 3 3 3 6" xfId="18251" xr:uid="{1EEEAD35-A0E4-429A-BB37-3C15F69DA6BE}"/>
    <cellStyle name="Normal 19 3 3 3 7" xfId="35010" xr:uid="{661D65A4-B09A-46E4-915E-E7FEDB268420}"/>
    <cellStyle name="Normal 19 3 3 4" xfId="2025" xr:uid="{62363EC6-04F4-4FF4-94FF-42FD7A7516F1}"/>
    <cellStyle name="Normal 19 3 3 4 2" xfId="5414" xr:uid="{8BE42801-241F-477F-B65F-E2B7586E2A41}"/>
    <cellStyle name="Normal 19 3 3 4 2 2" xfId="13794" xr:uid="{BAA8AFEF-0DF9-4F13-9F47-20187138BA5B}"/>
    <cellStyle name="Normal 19 3 3 4 2 2 2" xfId="30554" xr:uid="{ECEBDC0E-9251-47F9-8675-E32A3478698E}"/>
    <cellStyle name="Normal 19 3 3 4 2 2 3" xfId="47313" xr:uid="{D65634F9-2D83-4978-A164-7F9E8F37C456}"/>
    <cellStyle name="Normal 19 3 3 4 2 3" xfId="22174" xr:uid="{F634B5A2-ED44-4BD1-B589-6FBF438B3219}"/>
    <cellStyle name="Normal 19 3 3 4 2 4" xfId="38933" xr:uid="{124964BB-BCDE-426A-B69A-EBF9DCF262AD}"/>
    <cellStyle name="Normal 19 3 3 4 3" xfId="7101" xr:uid="{0C49B1D6-1C82-44B9-8D8E-5B9FF047764C}"/>
    <cellStyle name="Normal 19 3 3 4 3 2" xfId="15481" xr:uid="{A550DF2F-867A-4A31-B449-24F41C5D421A}"/>
    <cellStyle name="Normal 19 3 3 4 3 2 2" xfId="32241" xr:uid="{B6937B42-8EBF-42A4-9927-01F6BD8E0F36}"/>
    <cellStyle name="Normal 19 3 3 4 3 2 3" xfId="49000" xr:uid="{2E3E4102-016F-4877-A249-C8B557092E20}"/>
    <cellStyle name="Normal 19 3 3 4 3 3" xfId="23861" xr:uid="{4501BBF3-F77A-45A6-AE41-ACF0F4AB98A1}"/>
    <cellStyle name="Normal 19 3 3 4 3 4" xfId="40620" xr:uid="{E1A91A25-56B2-4142-A24A-4F61CA5A7B02}"/>
    <cellStyle name="Normal 19 3 3 4 4" xfId="3724" xr:uid="{C8A89328-9495-43E7-8235-F4A70365154A}"/>
    <cellStyle name="Normal 19 3 3 4 4 2" xfId="12104" xr:uid="{617F3BDF-93EB-4CB3-90A3-1B9F466233B5}"/>
    <cellStyle name="Normal 19 3 3 4 4 2 2" xfId="28864" xr:uid="{6D051B7B-6837-4C9A-BE23-47B9AB1B976A}"/>
    <cellStyle name="Normal 19 3 3 4 4 2 3" xfId="45623" xr:uid="{F216EB76-B74B-4236-AE72-D81CB5BD762C}"/>
    <cellStyle name="Normal 19 3 3 4 4 3" xfId="20484" xr:uid="{28AC97EA-15AB-4659-9E1B-4979B78D7B62}"/>
    <cellStyle name="Normal 19 3 3 4 4 4" xfId="37243" xr:uid="{1F6EA093-8F19-4E23-96C0-011F4DA31838}"/>
    <cellStyle name="Normal 19 3 3 4 5" xfId="10414" xr:uid="{03FC16CF-676E-4D29-BEF5-404F5AA88693}"/>
    <cellStyle name="Normal 19 3 3 4 5 2" xfId="27174" xr:uid="{576DF67A-17A1-47C7-A72E-20032EB19F50}"/>
    <cellStyle name="Normal 19 3 3 4 5 3" xfId="43933" xr:uid="{A8F026F6-D3E3-4FA8-AFDB-92683E9869F7}"/>
    <cellStyle name="Normal 19 3 3 4 6" xfId="18794" xr:uid="{42D7EE29-84D4-4727-860C-908887A916D4}"/>
    <cellStyle name="Normal 19 3 3 4 7" xfId="35553" xr:uid="{5A6DB8A6-6212-4BC8-8E9B-E4EA1BB0DF22}"/>
    <cellStyle name="Normal 19 3 3 5" xfId="4144" xr:uid="{22E60D6C-992A-41BC-B649-2D4F73052D60}"/>
    <cellStyle name="Normal 19 3 3 5 2" xfId="12524" xr:uid="{8FD36050-BD3D-486C-B15C-1AD1A43C5224}"/>
    <cellStyle name="Normal 19 3 3 5 2 2" xfId="29284" xr:uid="{FA972E54-6BB3-41B5-9016-DA0359E6B356}"/>
    <cellStyle name="Normal 19 3 3 5 2 3" xfId="46043" xr:uid="{8B9F323C-EAE4-440E-A25D-E6680452367D}"/>
    <cellStyle name="Normal 19 3 3 5 3" xfId="20904" xr:uid="{6BF90CAB-E388-4C09-A369-C66E66F1EDDE}"/>
    <cellStyle name="Normal 19 3 3 5 4" xfId="37663" xr:uid="{692621D1-BF67-41B6-9C7F-0E2A6C4A733A}"/>
    <cellStyle name="Normal 19 3 3 6" xfId="5704" xr:uid="{959E0EC1-D45D-47A0-8AC8-26B7DAA45455}"/>
    <cellStyle name="Normal 19 3 3 6 2" xfId="14084" xr:uid="{323D2D1A-CA09-4742-8014-611227A69A40}"/>
    <cellStyle name="Normal 19 3 3 6 2 2" xfId="30844" xr:uid="{1209AF10-8E2D-4B3C-A5BB-2EF46FAA9340}"/>
    <cellStyle name="Normal 19 3 3 6 2 3" xfId="47603" xr:uid="{131079B7-84CE-401D-803C-EBEE7D9954FB}"/>
    <cellStyle name="Normal 19 3 3 6 3" xfId="22464" xr:uid="{4B1DF232-3E8E-4439-8CD2-A19FBC18A087}"/>
    <cellStyle name="Normal 19 3 3 6 4" xfId="39223" xr:uid="{14E654EE-AFD1-4562-BCA6-3AE6B791E3D4}"/>
    <cellStyle name="Normal 19 3 3 7" xfId="7507" xr:uid="{BE210052-5E3E-4576-B333-27881614BF72}"/>
    <cellStyle name="Normal 19 3 3 7 2" xfId="15887" xr:uid="{0224108D-B127-41AE-9D26-A56E1F03A358}"/>
    <cellStyle name="Normal 19 3 3 7 2 2" xfId="32647" xr:uid="{FF5E7120-53C6-454C-9483-BE33C86382EF}"/>
    <cellStyle name="Normal 19 3 3 7 2 3" xfId="49406" xr:uid="{45CC0410-AE66-4C1A-8171-A9BEF33F2189}"/>
    <cellStyle name="Normal 19 3 3 7 3" xfId="24267" xr:uid="{8AE62B9E-EF69-439D-B6AD-BB3FDCD16695}"/>
    <cellStyle name="Normal 19 3 3 7 4" xfId="41026" xr:uid="{5F2778B3-3F6A-41D8-AB1B-43E4A457FEAE}"/>
    <cellStyle name="Normal 19 3 3 8" xfId="7913" xr:uid="{13AEADFD-AFFE-46B9-AFB7-9EB11FF37209}"/>
    <cellStyle name="Normal 19 3 3 8 2" xfId="16293" xr:uid="{76C4077D-8CCB-4EF4-B972-1E36452FD399}"/>
    <cellStyle name="Normal 19 3 3 8 2 2" xfId="33053" xr:uid="{C23ADA34-0524-4A95-AD01-E020EB7AC27C}"/>
    <cellStyle name="Normal 19 3 3 8 2 3" xfId="49812" xr:uid="{226C6681-8D4C-4181-94A9-2C595C87987B}"/>
    <cellStyle name="Normal 19 3 3 8 3" xfId="24673" xr:uid="{B3ACF061-D2CA-41B6-9729-0F1C4B092086}"/>
    <cellStyle name="Normal 19 3 3 8 4" xfId="41432" xr:uid="{354D37B6-0CF3-464C-8309-D74EEEB53B09}"/>
    <cellStyle name="Normal 19 3 3 9" xfId="8319" xr:uid="{E6305ED1-7FA2-4625-9E41-CC4D4A6565E5}"/>
    <cellStyle name="Normal 19 3 3 9 2" xfId="16699" xr:uid="{2C5AA9D4-F7E8-4C95-ABEF-85BE2D22439C}"/>
    <cellStyle name="Normal 19 3 3 9 2 2" xfId="33459" xr:uid="{DB7516E6-344D-4271-8FD1-CE370622F7B9}"/>
    <cellStyle name="Normal 19 3 3 9 2 3" xfId="50218" xr:uid="{117AE1B7-935F-4924-85C2-A0F992A91305}"/>
    <cellStyle name="Normal 19 3 3 9 3" xfId="25079" xr:uid="{1984DC83-CE71-4AB3-A70D-6750005464D7}"/>
    <cellStyle name="Normal 19 3 3 9 4" xfId="41838" xr:uid="{D097C055-61B6-4C07-AFBE-CAC8B3507E23}"/>
    <cellStyle name="Normal 19 3 4" xfId="856" xr:uid="{BAF2F426-0A06-45B2-A0DD-8A5C64A41F0B}"/>
    <cellStyle name="Normal 19 3 4 2" xfId="4251" xr:uid="{8F92EF50-61EA-4B35-A136-92A4240B369C}"/>
    <cellStyle name="Normal 19 3 4 2 2" xfId="12631" xr:uid="{20563CAA-94D0-42DA-AD88-8E8ADB33FB2D}"/>
    <cellStyle name="Normal 19 3 4 2 2 2" xfId="29391" xr:uid="{AFBD8016-20C0-49F3-BEF4-2FEC6A9B0053}"/>
    <cellStyle name="Normal 19 3 4 2 2 3" xfId="46150" xr:uid="{9C15E816-BEF8-4B60-AEC3-A81770749519}"/>
    <cellStyle name="Normal 19 3 4 2 3" xfId="21011" xr:uid="{CCE34DFE-8F28-44FF-8265-2B378F3EB29B}"/>
    <cellStyle name="Normal 19 3 4 2 4" xfId="37770" xr:uid="{F3D85B39-5FC7-468C-BC85-71F397F999DF}"/>
    <cellStyle name="Normal 19 3 4 3" xfId="5938" xr:uid="{544CCBA3-93A9-473E-A2E8-69EBABDC04F5}"/>
    <cellStyle name="Normal 19 3 4 3 2" xfId="14318" xr:uid="{9037ED43-8B50-458B-A3D0-D1BAD6D05585}"/>
    <cellStyle name="Normal 19 3 4 3 2 2" xfId="31078" xr:uid="{34EFC5FA-A080-46EC-BED8-47A77E00C53C}"/>
    <cellStyle name="Normal 19 3 4 3 2 3" xfId="47837" xr:uid="{7D810CF4-1AAC-4445-918E-E158E3AF8D01}"/>
    <cellStyle name="Normal 19 3 4 3 3" xfId="22698" xr:uid="{12986AE7-5D20-44FC-9654-59406C5A47BE}"/>
    <cellStyle name="Normal 19 3 4 3 4" xfId="39457" xr:uid="{CABFFB08-D284-44BD-8F9E-DC0FCF8EBC12}"/>
    <cellStyle name="Normal 19 3 4 4" xfId="2674" xr:uid="{2CBA046A-47F8-4145-9C10-D47E09584B63}"/>
    <cellStyle name="Normal 19 3 4 4 2" xfId="11054" xr:uid="{03F39C2D-194B-48AA-8AC8-8203F3FB021D}"/>
    <cellStyle name="Normal 19 3 4 4 2 2" xfId="27814" xr:uid="{A36A2157-3D8F-4FF9-83DE-F96DE5A8F009}"/>
    <cellStyle name="Normal 19 3 4 4 2 3" xfId="44573" xr:uid="{869C086A-60FB-46C3-89AB-8A8B010EAF55}"/>
    <cellStyle name="Normal 19 3 4 4 3" xfId="19434" xr:uid="{C00E3444-F391-47A2-AF26-C50917D32811}"/>
    <cellStyle name="Normal 19 3 4 4 4" xfId="36193" xr:uid="{C7184E2F-7E51-4E5A-9373-D85EB3CDD81D}"/>
    <cellStyle name="Normal 19 3 4 5" xfId="9251" xr:uid="{70F12969-10F5-4AEB-B0B7-EB874A9F0373}"/>
    <cellStyle name="Normal 19 3 4 5 2" xfId="26011" xr:uid="{AF92E96E-38D4-4B7A-8D8A-827A695FF49D}"/>
    <cellStyle name="Normal 19 3 4 5 3" xfId="42770" xr:uid="{4DAFA33A-A858-4DEA-85A5-846D5BAF7E20}"/>
    <cellStyle name="Normal 19 3 4 6" xfId="17631" xr:uid="{EE51D62B-63F0-42AB-B12C-2326A272360C}"/>
    <cellStyle name="Normal 19 3 4 7" xfId="34390" xr:uid="{B9B75F30-76B6-436C-BBDB-EC13EC7E1659}"/>
    <cellStyle name="Normal 19 3 5" xfId="1290" xr:uid="{751967B7-10EC-430F-A11E-76D06669A166}"/>
    <cellStyle name="Normal 19 3 5 2" xfId="4679" xr:uid="{919ACDBC-5317-4849-BF5F-E47D63EBD30D}"/>
    <cellStyle name="Normal 19 3 5 2 2" xfId="13059" xr:uid="{FFBE982F-E223-49DC-8B8F-967BAD30DAB3}"/>
    <cellStyle name="Normal 19 3 5 2 2 2" xfId="29819" xr:uid="{ABB98E26-7ABE-40AC-A066-75147DA50806}"/>
    <cellStyle name="Normal 19 3 5 2 2 3" xfId="46578" xr:uid="{24A14CC8-7A73-4BCA-8558-F734A49656FB}"/>
    <cellStyle name="Normal 19 3 5 2 3" xfId="21439" xr:uid="{701E6409-5C27-41A6-B327-ADC02AA3EE02}"/>
    <cellStyle name="Normal 19 3 5 2 4" xfId="38198" xr:uid="{4E3D589B-0DC2-45C1-B9E8-C72B26037286}"/>
    <cellStyle name="Normal 19 3 5 3" xfId="6366" xr:uid="{FB9C4B50-2FF5-496B-B66C-3E7FCB41DBA6}"/>
    <cellStyle name="Normal 19 3 5 3 2" xfId="14746" xr:uid="{A6F64811-1DA5-464E-AA86-9C2174526DFD}"/>
    <cellStyle name="Normal 19 3 5 3 2 2" xfId="31506" xr:uid="{B5508F30-C9C7-448A-B28C-92359EAEB4BE}"/>
    <cellStyle name="Normal 19 3 5 3 2 3" xfId="48265" xr:uid="{5237FADA-6C19-4704-85DB-AB53713F327E}"/>
    <cellStyle name="Normal 19 3 5 3 3" xfId="23126" xr:uid="{0113E1AF-7A66-4578-9F97-A518C2ECB8B6}"/>
    <cellStyle name="Normal 19 3 5 3 4" xfId="39885" xr:uid="{16BFFC37-5F54-442E-954E-87EE3F00905D}"/>
    <cellStyle name="Normal 19 3 5 4" xfId="3102" xr:uid="{7EA92A8A-64F1-470F-A2E2-64940A0DC490}"/>
    <cellStyle name="Normal 19 3 5 4 2" xfId="11482" xr:uid="{A7C1BC81-5570-4B7B-9C72-16F6682C768D}"/>
    <cellStyle name="Normal 19 3 5 4 2 2" xfId="28242" xr:uid="{93348549-E19D-46F8-BD12-F6FC7735B0D8}"/>
    <cellStyle name="Normal 19 3 5 4 2 3" xfId="45001" xr:uid="{606CFBBF-03A9-4AE1-A72B-3B9FDCDB135E}"/>
    <cellStyle name="Normal 19 3 5 4 3" xfId="19862" xr:uid="{FE9C1AD2-96BE-4982-9A07-C19A792620E6}"/>
    <cellStyle name="Normal 19 3 5 4 4" xfId="36621" xr:uid="{9D7220DE-A754-46C9-AB22-5A6D354042E4}"/>
    <cellStyle name="Normal 19 3 5 5" xfId="9679" xr:uid="{AE818F60-4BA7-4DA8-A088-E75EA13AD96D}"/>
    <cellStyle name="Normal 19 3 5 5 2" xfId="26439" xr:uid="{6569D32F-0E68-431C-96F6-881A6ED7900A}"/>
    <cellStyle name="Normal 19 3 5 5 3" xfId="43198" xr:uid="{B5065734-C365-4A72-824F-907C0479CE61}"/>
    <cellStyle name="Normal 19 3 5 6" xfId="18059" xr:uid="{85008DE1-B7FD-431C-AC56-FACE4CF23F12}"/>
    <cellStyle name="Normal 19 3 5 7" xfId="34818" xr:uid="{C3026C5C-8946-4518-98BC-8889187ADC8B}"/>
    <cellStyle name="Normal 19 3 6" xfId="1754" xr:uid="{8658AB95-5C9D-405F-94A6-6A4CD33FBA47}"/>
    <cellStyle name="Normal 19 3 6 2" xfId="5143" xr:uid="{6F6410CA-430E-4A09-AECC-C0EE1CC0A7FD}"/>
    <cellStyle name="Normal 19 3 6 2 2" xfId="13523" xr:uid="{FFE94F10-69AC-4E43-ADAE-430285E7E705}"/>
    <cellStyle name="Normal 19 3 6 2 2 2" xfId="30283" xr:uid="{7493041D-0EAD-4D2C-B0AE-9429EC28BFC0}"/>
    <cellStyle name="Normal 19 3 6 2 2 3" xfId="47042" xr:uid="{4C370D0B-3C46-45EF-BFD8-B215751BE406}"/>
    <cellStyle name="Normal 19 3 6 2 3" xfId="21903" xr:uid="{D0D12BFA-F8E7-4238-BE3F-6EA87319AE52}"/>
    <cellStyle name="Normal 19 3 6 2 4" xfId="38662" xr:uid="{4EB83234-D9CD-4F4D-BF20-8ED1FB8A3F3F}"/>
    <cellStyle name="Normal 19 3 6 3" xfId="6830" xr:uid="{C57B70A8-2215-4097-9265-1DAC2E397A61}"/>
    <cellStyle name="Normal 19 3 6 3 2" xfId="15210" xr:uid="{92F300B4-7072-46F2-BD34-1CF276F62515}"/>
    <cellStyle name="Normal 19 3 6 3 2 2" xfId="31970" xr:uid="{3491A60D-E3C5-4D22-9CE0-1D5972EA49A8}"/>
    <cellStyle name="Normal 19 3 6 3 2 3" xfId="48729" xr:uid="{026A0FC2-68CF-43C0-B35F-5E559724FD1D}"/>
    <cellStyle name="Normal 19 3 6 3 3" xfId="23590" xr:uid="{7731FD03-C046-4245-9F0E-7799BB615F64}"/>
    <cellStyle name="Normal 19 3 6 3 4" xfId="40349" xr:uid="{E701D386-2DFA-43E5-947B-3FB7B0180A15}"/>
    <cellStyle name="Normal 19 3 6 4" xfId="2244" xr:uid="{776B4102-D320-4A0B-AE84-AD1B1F043401}"/>
    <cellStyle name="Normal 19 3 6 4 2" xfId="10628" xr:uid="{B8257781-91DD-46D4-B662-20BFF8373177}"/>
    <cellStyle name="Normal 19 3 6 4 2 2" xfId="27388" xr:uid="{33077F41-6120-4C47-9EE6-3CD77B278AF0}"/>
    <cellStyle name="Normal 19 3 6 4 2 3" xfId="44147" xr:uid="{F6905044-FBB8-422C-9AAD-F71A5530EB0F}"/>
    <cellStyle name="Normal 19 3 6 4 3" xfId="19008" xr:uid="{A2B60FCC-7823-4DB1-B04B-912330839DE2}"/>
    <cellStyle name="Normal 19 3 6 4 4" xfId="35767" xr:uid="{2F9EBDE2-ECA9-444D-B873-EF4595C49794}"/>
    <cellStyle name="Normal 19 3 6 5" xfId="10143" xr:uid="{87CA12EA-57D1-4046-96A8-D03AE49805C5}"/>
    <cellStyle name="Normal 19 3 6 5 2" xfId="26903" xr:uid="{51918AC7-C247-4114-8DBE-24C6652C4E27}"/>
    <cellStyle name="Normal 19 3 6 5 3" xfId="43662" xr:uid="{B92B7D46-BC2D-4695-8199-038BE95BC2E8}"/>
    <cellStyle name="Normal 19 3 6 6" xfId="18523" xr:uid="{617633DD-0B9C-450E-8E78-58E537448F5D}"/>
    <cellStyle name="Normal 19 3 6 7" xfId="35282" xr:uid="{964E4AB9-B767-4123-B408-8722D5D0CDE7}"/>
    <cellStyle name="Normal 19 3 7" xfId="3873" xr:uid="{35D4CFFE-486C-4DB8-A191-16ACFD771D4A}"/>
    <cellStyle name="Normal 19 3 7 2" xfId="12253" xr:uid="{1A489A20-3427-4812-B1AF-DC4FCC658292}"/>
    <cellStyle name="Normal 19 3 7 2 2" xfId="29013" xr:uid="{8BA1824F-63ED-4421-AD1E-3C1D3938466D}"/>
    <cellStyle name="Normal 19 3 7 2 3" xfId="45772" xr:uid="{65232679-25CA-4BE3-BA4F-D9AA407771CC}"/>
    <cellStyle name="Normal 19 3 7 3" xfId="20633" xr:uid="{9273BB8D-E435-466A-A4F5-BA8CA55DAB94}"/>
    <cellStyle name="Normal 19 3 7 4" xfId="37392" xr:uid="{22524C51-91E7-4471-91FF-C29E4FD8C449}"/>
    <cellStyle name="Normal 19 3 8" xfId="5512" xr:uid="{13032FC4-3110-498A-B28D-D3F1393EDE64}"/>
    <cellStyle name="Normal 19 3 8 2" xfId="13892" xr:uid="{5DA76B98-19A1-4084-90F0-A0C2FD08E2C4}"/>
    <cellStyle name="Normal 19 3 8 2 2" xfId="30652" xr:uid="{DE778FD4-EF2E-4E4F-A060-491153162617}"/>
    <cellStyle name="Normal 19 3 8 2 3" xfId="47411" xr:uid="{5886AC33-B365-4D81-837E-114B05A9CBDD}"/>
    <cellStyle name="Normal 19 3 8 3" xfId="22272" xr:uid="{ACBD2731-4318-4063-A0E7-95558A118348}"/>
    <cellStyle name="Normal 19 3 8 4" xfId="39031" xr:uid="{1D858E2B-7E68-45D5-B23B-E28A83ADEFBE}"/>
    <cellStyle name="Normal 19 3 9" xfId="7236" xr:uid="{BF3AB11B-C5A9-4613-B125-7D450597C06C}"/>
    <cellStyle name="Normal 19 3 9 2" xfId="15616" xr:uid="{9B541C87-8A06-42AA-8CFC-F83B5C14B67D}"/>
    <cellStyle name="Normal 19 3 9 2 2" xfId="32376" xr:uid="{BA1268CB-B4FA-4D51-93D4-AC8BFF5D1273}"/>
    <cellStyle name="Normal 19 3 9 2 3" xfId="49135" xr:uid="{B549698C-45F5-4CF7-981E-C9C2A698FF05}"/>
    <cellStyle name="Normal 19 3 9 3" xfId="23996" xr:uid="{3ED862B8-E97E-4C7A-A98B-693587CC99B1}"/>
    <cellStyle name="Normal 19 3 9 4" xfId="40755" xr:uid="{355E29CF-9BC2-4D59-AA1A-F625A8D3948B}"/>
    <cellStyle name="Normal 19 4" xfId="607" xr:uid="{73E7DEC0-A592-425F-B5E9-0D9C15E815AC}"/>
    <cellStyle name="Normal 19 4 10" xfId="8528" xr:uid="{2B4EE65A-E0A3-4CC1-A393-0FD404CCAA69}"/>
    <cellStyle name="Normal 19 4 10 2" xfId="16908" xr:uid="{926C570C-6F29-442C-9CD0-C10AB089335C}"/>
    <cellStyle name="Normal 19 4 10 2 2" xfId="33668" xr:uid="{9AE5AB88-83F4-420D-A3B7-5028BB620635}"/>
    <cellStyle name="Normal 19 4 10 2 3" xfId="50427" xr:uid="{9B81E7C6-07B3-40F0-96FE-5D6D92C5BD13}"/>
    <cellStyle name="Normal 19 4 10 3" xfId="25288" xr:uid="{4960034E-A496-482E-B8EF-25D465AC9D18}"/>
    <cellStyle name="Normal 19 4 10 4" xfId="42047" xr:uid="{C4733B3F-F211-458A-872A-0EE133737F43}"/>
    <cellStyle name="Normal 19 4 11" xfId="2439" xr:uid="{83CFB64B-24D7-4ABA-8923-277097D40A26}"/>
    <cellStyle name="Normal 19 4 11 2" xfId="10821" xr:uid="{9469CAEA-3351-46D1-A681-B7E185B09977}"/>
    <cellStyle name="Normal 19 4 11 2 2" xfId="27581" xr:uid="{6E73B6DF-835D-48E8-9D26-E12C7C6823F5}"/>
    <cellStyle name="Normal 19 4 11 2 3" xfId="44340" xr:uid="{31E785CC-8843-4A6C-B973-10897B74B949}"/>
    <cellStyle name="Normal 19 4 11 3" xfId="19201" xr:uid="{2FE28D15-BDBE-4D53-89AF-A985D090309A}"/>
    <cellStyle name="Normal 19 4 11 4" xfId="35960" xr:uid="{3BCAF593-2C47-4B6B-9B69-F591E4360944}"/>
    <cellStyle name="Normal 19 4 12" xfId="9018" xr:uid="{000E3AE6-2AA4-4DBA-AE28-A52676C1C3C7}"/>
    <cellStyle name="Normal 19 4 12 2" xfId="25778" xr:uid="{38F3886C-342F-4B5E-90EE-47FC45AB9A93}"/>
    <cellStyle name="Normal 19 4 12 3" xfId="42537" xr:uid="{D1DF774F-7399-47C7-B0CB-D2E22B18E17A}"/>
    <cellStyle name="Normal 19 4 13" xfId="17398" xr:uid="{3B4ADC46-A4C0-424A-9F5B-14FE6FC4ECB7}"/>
    <cellStyle name="Normal 19 4 14" xfId="34157" xr:uid="{4681F713-C0F9-44F6-A480-2D7413D8145F}"/>
    <cellStyle name="Normal 19 4 2" xfId="1049" xr:uid="{827D9FF0-3554-461F-866D-70593E66EFCA}"/>
    <cellStyle name="Normal 19 4 2 2" xfId="4444" xr:uid="{AA2BD53A-27D2-4032-93C4-67173C0FA92E}"/>
    <cellStyle name="Normal 19 4 2 2 2" xfId="12824" xr:uid="{C10BF993-BB78-4C1F-993B-66FF4E3AC7AE}"/>
    <cellStyle name="Normal 19 4 2 2 2 2" xfId="29584" xr:uid="{F646FDF4-8C86-4C5D-8E77-5173C140DDC3}"/>
    <cellStyle name="Normal 19 4 2 2 2 3" xfId="46343" xr:uid="{314A3E59-2A77-46E0-9235-C65C55BC0549}"/>
    <cellStyle name="Normal 19 4 2 2 3" xfId="21204" xr:uid="{925DE43A-E723-42AB-924C-E208EDDF822C}"/>
    <cellStyle name="Normal 19 4 2 2 4" xfId="37963" xr:uid="{79373B1D-3FE6-45DD-86BE-939CBD9D49C3}"/>
    <cellStyle name="Normal 19 4 2 3" xfId="6131" xr:uid="{3BBBAFD5-C008-4499-9A34-2CA2D76CBAFA}"/>
    <cellStyle name="Normal 19 4 2 3 2" xfId="14511" xr:uid="{B08E9996-3BBF-4BF1-A94B-7F6D37D772D7}"/>
    <cellStyle name="Normal 19 4 2 3 2 2" xfId="31271" xr:uid="{AA0598CC-9081-4491-AB4A-F49BC86185C1}"/>
    <cellStyle name="Normal 19 4 2 3 2 3" xfId="48030" xr:uid="{165CB879-9B72-4574-A167-BB395D7C79DC}"/>
    <cellStyle name="Normal 19 4 2 3 3" xfId="22891" xr:uid="{8FD8993B-1987-45CD-9182-0BC16C941E0E}"/>
    <cellStyle name="Normal 19 4 2 3 4" xfId="39650" xr:uid="{F17FCE27-C85F-4B93-B2AD-BF44C50E4248}"/>
    <cellStyle name="Normal 19 4 2 4" xfId="2867" xr:uid="{9C497D0E-B2C3-4127-A132-D52A92E0201E}"/>
    <cellStyle name="Normal 19 4 2 4 2" xfId="11247" xr:uid="{058C48BB-21A5-4C3A-B5A4-D0A2A535B279}"/>
    <cellStyle name="Normal 19 4 2 4 2 2" xfId="28007" xr:uid="{06AE46EA-EBDE-4A44-8C9F-88175C81C1E4}"/>
    <cellStyle name="Normal 19 4 2 4 2 3" xfId="44766" xr:uid="{8E3A2230-054C-48AA-BF9C-8D978AC8C79C}"/>
    <cellStyle name="Normal 19 4 2 4 3" xfId="19627" xr:uid="{521B0651-9E4B-420C-946C-B7926FD677F8}"/>
    <cellStyle name="Normal 19 4 2 4 4" xfId="36386" xr:uid="{A2F8C049-94AD-4CCB-B325-95C5CEEE9270}"/>
    <cellStyle name="Normal 19 4 2 5" xfId="9444" xr:uid="{CA45C2CF-C0FE-4D99-8A1F-3D71F9C3A18C}"/>
    <cellStyle name="Normal 19 4 2 5 2" xfId="26204" xr:uid="{308B2EAB-3ED2-499D-A141-1FF2C8C3AAD6}"/>
    <cellStyle name="Normal 19 4 2 5 3" xfId="42963" xr:uid="{2EFA0FB8-9238-4855-86E6-E4E70E51D520}"/>
    <cellStyle name="Normal 19 4 2 6" xfId="17824" xr:uid="{BB7448C0-4D05-4D12-8213-27CE2838FEF6}"/>
    <cellStyle name="Normal 19 4 2 7" xfId="34583" xr:uid="{B2266394-63CA-4A0F-A8DF-D7BB0C65C72B}"/>
    <cellStyle name="Normal 19 4 3" xfId="1483" xr:uid="{4102E64E-5D12-42DE-AD16-7BFC6D942C3F}"/>
    <cellStyle name="Normal 19 4 3 2" xfId="4872" xr:uid="{2E855517-42BB-4125-B5C9-0054B28A72F0}"/>
    <cellStyle name="Normal 19 4 3 2 2" xfId="13252" xr:uid="{66A6248E-8FA9-461A-8923-CE2F22DCD344}"/>
    <cellStyle name="Normal 19 4 3 2 2 2" xfId="30012" xr:uid="{0540976E-8D72-495B-BB5C-B324F4843D8F}"/>
    <cellStyle name="Normal 19 4 3 2 2 3" xfId="46771" xr:uid="{F466432F-D13D-444A-B971-206FF0C6A06A}"/>
    <cellStyle name="Normal 19 4 3 2 3" xfId="21632" xr:uid="{4BFF79CD-38AF-43D3-B464-64C183353C46}"/>
    <cellStyle name="Normal 19 4 3 2 4" xfId="38391" xr:uid="{8D59D0EA-739D-4DC0-8EB4-E7401C1B48D9}"/>
    <cellStyle name="Normal 19 4 3 3" xfId="6559" xr:uid="{1C7FE181-B58F-422D-BB94-6DA075DEFBA0}"/>
    <cellStyle name="Normal 19 4 3 3 2" xfId="14939" xr:uid="{54D83FFE-8997-4F82-860D-A099FF46E418}"/>
    <cellStyle name="Normal 19 4 3 3 2 2" xfId="31699" xr:uid="{83E63322-5A71-48CD-A541-3CAC46B201ED}"/>
    <cellStyle name="Normal 19 4 3 3 2 3" xfId="48458" xr:uid="{178DD6C4-C773-484A-8D42-271DDB971314}"/>
    <cellStyle name="Normal 19 4 3 3 3" xfId="23319" xr:uid="{CA6F313C-A4F0-409B-A7B0-6B55CAB934FC}"/>
    <cellStyle name="Normal 19 4 3 3 4" xfId="40078" xr:uid="{6D464510-DE57-4A29-AB29-56AEF447B276}"/>
    <cellStyle name="Normal 19 4 3 4" xfId="3295" xr:uid="{F883A921-E8DC-478A-A4A1-F3B8EA6AA552}"/>
    <cellStyle name="Normal 19 4 3 4 2" xfId="11675" xr:uid="{94F59893-9F13-443A-B201-7D7C3D213BFA}"/>
    <cellStyle name="Normal 19 4 3 4 2 2" xfId="28435" xr:uid="{81041439-8418-4E6E-A738-FFA62DA1E06B}"/>
    <cellStyle name="Normal 19 4 3 4 2 3" xfId="45194" xr:uid="{1A858B50-4E5F-47C2-AB14-3A2982621EFA}"/>
    <cellStyle name="Normal 19 4 3 4 3" xfId="20055" xr:uid="{C653A21F-E9AE-48D4-A4E7-84AD04F33BB0}"/>
    <cellStyle name="Normal 19 4 3 4 4" xfId="36814" xr:uid="{5003551E-7961-4344-9985-C51FD5868A46}"/>
    <cellStyle name="Normal 19 4 3 5" xfId="9872" xr:uid="{9EC573C8-9280-40EC-B514-3477A266BCD8}"/>
    <cellStyle name="Normal 19 4 3 5 2" xfId="26632" xr:uid="{0818408B-FB3F-443B-985C-AAA1DF2469D4}"/>
    <cellStyle name="Normal 19 4 3 5 3" xfId="43391" xr:uid="{0433906F-8045-486C-85C6-D90317ADDDCC}"/>
    <cellStyle name="Normal 19 4 3 6" xfId="18252" xr:uid="{2FB5B905-2633-40FC-9B18-ADFCD5E3A694}"/>
    <cellStyle name="Normal 19 4 3 7" xfId="35011" xr:uid="{15ECE4AD-C546-4AE6-A64B-9FEE88AFF777}"/>
    <cellStyle name="Normal 19 4 4" xfId="1828" xr:uid="{477898C8-9BDC-42A5-B348-3F489D44787E}"/>
    <cellStyle name="Normal 19 4 4 2" xfId="5217" xr:uid="{1E09605E-6E2F-46C9-BF4F-ED12BC4B0647}"/>
    <cellStyle name="Normal 19 4 4 2 2" xfId="13597" xr:uid="{5E215869-1006-4695-897A-A95A40449F3F}"/>
    <cellStyle name="Normal 19 4 4 2 2 2" xfId="30357" xr:uid="{C574775A-6AE9-4E28-A910-122774BF4821}"/>
    <cellStyle name="Normal 19 4 4 2 2 3" xfId="47116" xr:uid="{21DA4709-095C-4067-8C6E-EE51A62E613F}"/>
    <cellStyle name="Normal 19 4 4 2 3" xfId="21977" xr:uid="{FE2D95B6-BBA3-4967-BE0B-BC8F143CBF87}"/>
    <cellStyle name="Normal 19 4 4 2 4" xfId="38736" xr:uid="{47D36A41-9145-4D86-9477-E0D1A5954611}"/>
    <cellStyle name="Normal 19 4 4 3" xfId="6904" xr:uid="{B0BB6EE6-58F1-4CD4-8C8B-C03416FBB3AE}"/>
    <cellStyle name="Normal 19 4 4 3 2" xfId="15284" xr:uid="{0C492DDA-DDD2-483D-98B4-F86C1644E0C4}"/>
    <cellStyle name="Normal 19 4 4 3 2 2" xfId="32044" xr:uid="{70F89B86-26D1-4E7C-B1D1-278664C6D21B}"/>
    <cellStyle name="Normal 19 4 4 3 2 3" xfId="48803" xr:uid="{ADB9FD15-8A5C-4878-896D-ECA7FE1FF2BC}"/>
    <cellStyle name="Normal 19 4 4 3 3" xfId="23664" xr:uid="{B5DB8889-32DB-42FE-995D-4748AB171D6D}"/>
    <cellStyle name="Normal 19 4 4 3 4" xfId="40423" xr:uid="{5B70FF26-65F1-4ABF-B87A-B873067178C9}"/>
    <cellStyle name="Normal 19 4 4 4" xfId="3528" xr:uid="{688C366E-FAA6-4280-915F-44ABD3BDA7DF}"/>
    <cellStyle name="Normal 19 4 4 4 2" xfId="11908" xr:uid="{424BBE9E-521C-4DB2-8C53-AF5342CFF708}"/>
    <cellStyle name="Normal 19 4 4 4 2 2" xfId="28668" xr:uid="{6D0B8BD2-7D6C-4D86-9822-CF4400A79DF2}"/>
    <cellStyle name="Normal 19 4 4 4 2 3" xfId="45427" xr:uid="{665AB556-EEE3-4365-B3F1-70EB08429A88}"/>
    <cellStyle name="Normal 19 4 4 4 3" xfId="20288" xr:uid="{ED63C689-2FBC-4A13-B73A-028BADB6816D}"/>
    <cellStyle name="Normal 19 4 4 4 4" xfId="37047" xr:uid="{8D71F883-E0BF-45E1-93A9-43A3256CEAD2}"/>
    <cellStyle name="Normal 19 4 4 5" xfId="10217" xr:uid="{73A38B3F-EF69-454B-B764-533F7EB9AAE1}"/>
    <cellStyle name="Normal 19 4 4 5 2" xfId="26977" xr:uid="{480DE9AF-5B06-4423-B346-D51A10C058F7}"/>
    <cellStyle name="Normal 19 4 4 5 3" xfId="43736" xr:uid="{9261D600-BE14-4476-9E88-7C3A5D7827B4}"/>
    <cellStyle name="Normal 19 4 4 6" xfId="18597" xr:uid="{9D7CA694-B8D5-44AC-BA53-D65DDD9FF3DB}"/>
    <cellStyle name="Normal 19 4 4 7" xfId="35356" xr:uid="{AC7F7BBC-55E3-45B3-A980-2C9B1146885A}"/>
    <cellStyle name="Normal 19 4 5" xfId="3947" xr:uid="{61163479-56A1-42DF-A018-AB71DF938AD6}"/>
    <cellStyle name="Normal 19 4 5 2" xfId="12327" xr:uid="{993D1EE6-2A74-4D30-99E9-86275743FCF7}"/>
    <cellStyle name="Normal 19 4 5 2 2" xfId="29087" xr:uid="{B398CDB8-416D-41E2-8724-A44480D48CEF}"/>
    <cellStyle name="Normal 19 4 5 2 3" xfId="45846" xr:uid="{2A985F3D-D440-4B37-961E-B25C3773346B}"/>
    <cellStyle name="Normal 19 4 5 3" xfId="20707" xr:uid="{7491B260-1309-47A8-B56C-8927B5D3DC7B}"/>
    <cellStyle name="Normal 19 4 5 4" xfId="37466" xr:uid="{A56BD192-9744-4263-AFEC-08A10CE0FE8C}"/>
    <cellStyle name="Normal 19 4 6" xfId="5705" xr:uid="{44AB97D5-E825-4CAE-ACAA-DA83032C535D}"/>
    <cellStyle name="Normal 19 4 6 2" xfId="14085" xr:uid="{B518508A-A94F-4449-85F1-033BD55901D1}"/>
    <cellStyle name="Normal 19 4 6 2 2" xfId="30845" xr:uid="{6788D045-2E4B-4231-9AC6-A55DD9D49625}"/>
    <cellStyle name="Normal 19 4 6 2 3" xfId="47604" xr:uid="{58ECDD09-D7E5-4E43-A467-4D4053C70EB0}"/>
    <cellStyle name="Normal 19 4 6 3" xfId="22465" xr:uid="{E5D6A800-113C-425A-87B9-7D48287049E9}"/>
    <cellStyle name="Normal 19 4 6 4" xfId="39224" xr:uid="{A7D5CD5F-6F08-4D9A-BE79-2293D9A6D8C3}"/>
    <cellStyle name="Normal 19 4 7" xfId="7310" xr:uid="{A67F4143-97AB-4D26-AD1C-AC00F15D4055}"/>
    <cellStyle name="Normal 19 4 7 2" xfId="15690" xr:uid="{3F4CEEF0-2A40-4996-8C41-D6D412AD9A80}"/>
    <cellStyle name="Normal 19 4 7 2 2" xfId="32450" xr:uid="{D2206980-CA9B-4A16-A694-D329EAF02DB5}"/>
    <cellStyle name="Normal 19 4 7 2 3" xfId="49209" xr:uid="{360DFCD1-DFBB-4999-BB1A-BFB23A6BBC3A}"/>
    <cellStyle name="Normal 19 4 7 3" xfId="24070" xr:uid="{1805188E-4110-4FDA-8A0F-5084F165CC57}"/>
    <cellStyle name="Normal 19 4 7 4" xfId="40829" xr:uid="{2DD90BFE-128A-4327-99BE-90C4A6DA6B37}"/>
    <cellStyle name="Normal 19 4 8" xfId="7716" xr:uid="{92581883-F7E0-4E20-9DC1-1E5F9C3E3E1B}"/>
    <cellStyle name="Normal 19 4 8 2" xfId="16096" xr:uid="{C8873BDB-C6D0-45C4-9BB2-1F1B2C260DD6}"/>
    <cellStyle name="Normal 19 4 8 2 2" xfId="32856" xr:uid="{475A2B99-ACB3-4C9E-918E-3C98F8E890A1}"/>
    <cellStyle name="Normal 19 4 8 2 3" xfId="49615" xr:uid="{0960E5D8-9BD9-416B-80BA-165D9529C2C9}"/>
    <cellStyle name="Normal 19 4 8 3" xfId="24476" xr:uid="{557A4643-2FB6-4CE9-9C6D-B10CE4373BE0}"/>
    <cellStyle name="Normal 19 4 8 4" xfId="41235" xr:uid="{4D43786B-B0D5-4C43-8C56-30FF9C1E290D}"/>
    <cellStyle name="Normal 19 4 9" xfId="8122" xr:uid="{270D5831-CDA8-42F2-A326-FD38F0589CA5}"/>
    <cellStyle name="Normal 19 4 9 2" xfId="16502" xr:uid="{056BC0E5-294D-46F4-B829-2648556016B8}"/>
    <cellStyle name="Normal 19 4 9 2 2" xfId="33262" xr:uid="{2BB7EE44-BD3C-4F85-933E-8A8914982363}"/>
    <cellStyle name="Normal 19 4 9 2 3" xfId="50021" xr:uid="{F93FF6E6-FCB9-48E0-B96D-F22BA8A7F455}"/>
    <cellStyle name="Normal 19 4 9 3" xfId="24882" xr:uid="{E02DD830-A0F9-46F3-907C-20196FC979BD}"/>
    <cellStyle name="Normal 19 4 9 4" xfId="41641" xr:uid="{2DF6FFCF-E01B-43E6-9065-C8B33C05FF5A}"/>
    <cellStyle name="Normal 19 5" xfId="608" xr:uid="{8CDDE0B8-D0F2-45BE-8C39-2A3A4B02395C}"/>
    <cellStyle name="Normal 19 5 10" xfId="8598" xr:uid="{B8F28A10-67FA-492D-9379-AE17251AD539}"/>
    <cellStyle name="Normal 19 5 10 2" xfId="16978" xr:uid="{790DD2C0-07D2-4BD4-8F9C-D7B401940680}"/>
    <cellStyle name="Normal 19 5 10 2 2" xfId="33738" xr:uid="{91446D3D-E701-47F2-B39F-61D0F2553495}"/>
    <cellStyle name="Normal 19 5 10 2 3" xfId="50497" xr:uid="{D19D5A9A-2AF4-454B-8CD0-11452D7DC19D}"/>
    <cellStyle name="Normal 19 5 10 3" xfId="25358" xr:uid="{E5688712-0646-4F5B-BFF3-961A934ABA04}"/>
    <cellStyle name="Normal 19 5 10 4" xfId="42117" xr:uid="{96DCB2D2-EDF2-4551-95B0-BFF5CAEADD30}"/>
    <cellStyle name="Normal 19 5 11" xfId="2440" xr:uid="{09DE7C3F-D8CB-4320-8B70-7BD52AEAA892}"/>
    <cellStyle name="Normal 19 5 11 2" xfId="10822" xr:uid="{7089F535-E334-441C-AD58-E8855EE307F4}"/>
    <cellStyle name="Normal 19 5 11 2 2" xfId="27582" xr:uid="{1BDE54B1-79FE-49A0-83AA-7ABC7B68D022}"/>
    <cellStyle name="Normal 19 5 11 2 3" xfId="44341" xr:uid="{83D24943-9B4A-44AE-98B1-696802411205}"/>
    <cellStyle name="Normal 19 5 11 3" xfId="19202" xr:uid="{F852B840-2573-46AA-92CD-E52864E93C2D}"/>
    <cellStyle name="Normal 19 5 11 4" xfId="35961" xr:uid="{80818781-72DE-4C28-8264-375AF6F508A4}"/>
    <cellStyle name="Normal 19 5 12" xfId="9019" xr:uid="{AFCF1DDC-6EBF-4E90-A54C-1BC50977C2BB}"/>
    <cellStyle name="Normal 19 5 12 2" xfId="25779" xr:uid="{E9D50E2E-27D0-481C-9474-45FCF540B230}"/>
    <cellStyle name="Normal 19 5 12 3" xfId="42538" xr:uid="{4ACAFC8E-1B92-4DD1-AAA9-D637136DFA35}"/>
    <cellStyle name="Normal 19 5 13" xfId="17399" xr:uid="{EA0DE148-9233-4EE0-8AC2-C368D6100580}"/>
    <cellStyle name="Normal 19 5 14" xfId="34158" xr:uid="{8754D31A-E375-41F7-8D5E-7C1660860B39}"/>
    <cellStyle name="Normal 19 5 2" xfId="1050" xr:uid="{396F2222-7458-41B4-96A3-1636ACD13A59}"/>
    <cellStyle name="Normal 19 5 2 2" xfId="4445" xr:uid="{45C2E9FA-1C81-474A-8FAC-D1B9B5866A83}"/>
    <cellStyle name="Normal 19 5 2 2 2" xfId="12825" xr:uid="{79575BD5-A696-4B71-8C77-507395774BDF}"/>
    <cellStyle name="Normal 19 5 2 2 2 2" xfId="29585" xr:uid="{4A519B95-6163-43C4-A638-819EAB722022}"/>
    <cellStyle name="Normal 19 5 2 2 2 3" xfId="46344" xr:uid="{63D225E8-0BEE-401D-80E1-334EAFBF47FD}"/>
    <cellStyle name="Normal 19 5 2 2 3" xfId="21205" xr:uid="{F24A78FE-0338-4188-BC3D-7DCF2872A423}"/>
    <cellStyle name="Normal 19 5 2 2 4" xfId="37964" xr:uid="{1136CD76-38A5-48D8-973E-424FC324C846}"/>
    <cellStyle name="Normal 19 5 2 3" xfId="6132" xr:uid="{0349B215-7A6A-46D2-89F4-1D71DDB1DB7E}"/>
    <cellStyle name="Normal 19 5 2 3 2" xfId="14512" xr:uid="{E4B3D011-AFFC-4259-B77F-6292A5974197}"/>
    <cellStyle name="Normal 19 5 2 3 2 2" xfId="31272" xr:uid="{56231939-25AF-4D01-AAB6-83E030C142FA}"/>
    <cellStyle name="Normal 19 5 2 3 2 3" xfId="48031" xr:uid="{EBA5F789-7E18-4D8E-8ADB-2B2B7136E65F}"/>
    <cellStyle name="Normal 19 5 2 3 3" xfId="22892" xr:uid="{5CD99982-D12A-40E9-A2FA-75621033EFC1}"/>
    <cellStyle name="Normal 19 5 2 3 4" xfId="39651" xr:uid="{B71EA49B-5FE7-49AF-9353-F33658403865}"/>
    <cellStyle name="Normal 19 5 2 4" xfId="2868" xr:uid="{45CF8E2D-31E7-4EC8-A17F-35108DF7F739}"/>
    <cellStyle name="Normal 19 5 2 4 2" xfId="11248" xr:uid="{B2EAFB65-7D6A-43F9-BB45-CB76A91F8033}"/>
    <cellStyle name="Normal 19 5 2 4 2 2" xfId="28008" xr:uid="{077ED90F-84FD-4137-BDCE-1AFC5EEF9C48}"/>
    <cellStyle name="Normal 19 5 2 4 2 3" xfId="44767" xr:uid="{A4DDD41E-D7D0-4F38-AD9C-513415175C2D}"/>
    <cellStyle name="Normal 19 5 2 4 3" xfId="19628" xr:uid="{58FB7369-F87A-4B87-84C4-11C01C5D63D6}"/>
    <cellStyle name="Normal 19 5 2 4 4" xfId="36387" xr:uid="{F21C8BB7-AD96-4030-BFD9-CC1B78A0F7CB}"/>
    <cellStyle name="Normal 19 5 2 5" xfId="9445" xr:uid="{0642D3E0-0571-4A89-9B2F-08AE0C13D467}"/>
    <cellStyle name="Normal 19 5 2 5 2" xfId="26205" xr:uid="{FAE2F499-BCD0-4A33-8DEE-A95B05DF5E3F}"/>
    <cellStyle name="Normal 19 5 2 5 3" xfId="42964" xr:uid="{40C9AF07-58B2-4A7D-836C-E0366008D42C}"/>
    <cellStyle name="Normal 19 5 2 6" xfId="17825" xr:uid="{37D17952-8EAC-4C5D-85D7-0D50E3C3901F}"/>
    <cellStyle name="Normal 19 5 2 7" xfId="34584" xr:uid="{BA7DABF9-A8DF-48BA-BBB7-641FD62233C5}"/>
    <cellStyle name="Normal 19 5 3" xfId="1484" xr:uid="{4426ACC0-6A2A-4A25-AE9E-EC4CCDA18BD4}"/>
    <cellStyle name="Normal 19 5 3 2" xfId="4873" xr:uid="{49D9FC39-B566-42DF-9688-8C97107E25CD}"/>
    <cellStyle name="Normal 19 5 3 2 2" xfId="13253" xr:uid="{683F7D8B-B0ED-4ACF-B86B-93DAF08FC310}"/>
    <cellStyle name="Normal 19 5 3 2 2 2" xfId="30013" xr:uid="{ABB9A4CE-9A7C-4883-85B2-087A3F363834}"/>
    <cellStyle name="Normal 19 5 3 2 2 3" xfId="46772" xr:uid="{F6860921-BC65-452A-9379-EFAAB40909B9}"/>
    <cellStyle name="Normal 19 5 3 2 3" xfId="21633" xr:uid="{CB785A92-0EAC-43DE-96FA-0D1389C8F98A}"/>
    <cellStyle name="Normal 19 5 3 2 4" xfId="38392" xr:uid="{1DFA4C3D-BFF2-4BB0-95D3-9894B3FE75B1}"/>
    <cellStyle name="Normal 19 5 3 3" xfId="6560" xr:uid="{1C5ABF6C-0778-4E42-9703-F412DD47AFFC}"/>
    <cellStyle name="Normal 19 5 3 3 2" xfId="14940" xr:uid="{AD53163A-2307-47DB-99B9-841792DAB74D}"/>
    <cellStyle name="Normal 19 5 3 3 2 2" xfId="31700" xr:uid="{4184B869-5104-473D-AF3F-2511DEDDE61F}"/>
    <cellStyle name="Normal 19 5 3 3 2 3" xfId="48459" xr:uid="{B42B38BF-DB68-4D00-9F2C-5DF81E742323}"/>
    <cellStyle name="Normal 19 5 3 3 3" xfId="23320" xr:uid="{513A68B9-35C1-47A9-A97F-750A755E0391}"/>
    <cellStyle name="Normal 19 5 3 3 4" xfId="40079" xr:uid="{A8613C38-A71C-4FFB-BF3F-892806260478}"/>
    <cellStyle name="Normal 19 5 3 4" xfId="3296" xr:uid="{73348CB0-BF12-4C32-85E2-97FD9C741F7C}"/>
    <cellStyle name="Normal 19 5 3 4 2" xfId="11676" xr:uid="{0017BE8E-ED01-4F08-8AEF-3B3909DC17F2}"/>
    <cellStyle name="Normal 19 5 3 4 2 2" xfId="28436" xr:uid="{C4CDC0AC-2BA0-4DF9-8505-79358A6CD429}"/>
    <cellStyle name="Normal 19 5 3 4 2 3" xfId="45195" xr:uid="{B7BCA536-7218-4F88-9232-9A1C5F99EFCF}"/>
    <cellStyle name="Normal 19 5 3 4 3" xfId="20056" xr:uid="{9C69A23F-5944-40C5-812B-139A420E6C52}"/>
    <cellStyle name="Normal 19 5 3 4 4" xfId="36815" xr:uid="{A9FE5FA2-E9B3-49D5-B07D-2E60AE69DACB}"/>
    <cellStyle name="Normal 19 5 3 5" xfId="9873" xr:uid="{3858D6C0-6782-4224-AF35-2CA3F2095CF4}"/>
    <cellStyle name="Normal 19 5 3 5 2" xfId="26633" xr:uid="{9B738877-A8F9-4083-963D-FA4093BECAB6}"/>
    <cellStyle name="Normal 19 5 3 5 3" xfId="43392" xr:uid="{207324AA-93AC-4A4D-801C-26519F84DAB0}"/>
    <cellStyle name="Normal 19 5 3 6" xfId="18253" xr:uid="{0F83636B-D340-4097-A5F8-B64144D009B1}"/>
    <cellStyle name="Normal 19 5 3 7" xfId="35012" xr:uid="{EAE0C778-745D-4521-BFC4-2352A80BB386}"/>
    <cellStyle name="Normal 19 5 4" xfId="1898" xr:uid="{79146295-2731-4B53-B3DA-90343216D0A4}"/>
    <cellStyle name="Normal 19 5 4 2" xfId="5287" xr:uid="{025D5FF9-CAF2-4C0E-AF51-FB04D6C192CF}"/>
    <cellStyle name="Normal 19 5 4 2 2" xfId="13667" xr:uid="{954F6CB8-C9DE-4078-ACB1-CBD0A45BE3F9}"/>
    <cellStyle name="Normal 19 5 4 2 2 2" xfId="30427" xr:uid="{F0B8D90D-61A4-4243-88FF-6296108ECF43}"/>
    <cellStyle name="Normal 19 5 4 2 2 3" xfId="47186" xr:uid="{2BC9BDD1-C71D-4A10-8AEE-762931D2638B}"/>
    <cellStyle name="Normal 19 5 4 2 3" xfId="22047" xr:uid="{79F0040C-8F76-4BC7-81EC-BED6BFC4AA2F}"/>
    <cellStyle name="Normal 19 5 4 2 4" xfId="38806" xr:uid="{C7D54C29-029F-4C90-8C3D-815C14823900}"/>
    <cellStyle name="Normal 19 5 4 3" xfId="6974" xr:uid="{B1A0BF1D-4B6E-4265-B4F5-2D426BFAC713}"/>
    <cellStyle name="Normal 19 5 4 3 2" xfId="15354" xr:uid="{BF476116-899C-492D-8212-FE73CE094875}"/>
    <cellStyle name="Normal 19 5 4 3 2 2" xfId="32114" xr:uid="{195A3874-3946-4F75-BC12-FE42126DC5B4}"/>
    <cellStyle name="Normal 19 5 4 3 2 3" xfId="48873" xr:uid="{39429DD2-103A-4044-AF0F-296E0BE1E038}"/>
    <cellStyle name="Normal 19 5 4 3 3" xfId="23734" xr:uid="{CB76F6CF-448C-4331-B6BF-E00FB10FC1DC}"/>
    <cellStyle name="Normal 19 5 4 3 4" xfId="40493" xr:uid="{876F4456-787B-4D95-8967-FA1A912F0E31}"/>
    <cellStyle name="Normal 19 5 4 4" xfId="3597" xr:uid="{4179306E-7110-4366-8CCA-26726F37D765}"/>
    <cellStyle name="Normal 19 5 4 4 2" xfId="11977" xr:uid="{4F577387-9728-40A6-949A-FD56BB6A355E}"/>
    <cellStyle name="Normal 19 5 4 4 2 2" xfId="28737" xr:uid="{ABD1BECB-18AB-4028-9EF1-E577CBE1F0BE}"/>
    <cellStyle name="Normal 19 5 4 4 2 3" xfId="45496" xr:uid="{15487770-8315-4530-BCD5-9ACD23C48679}"/>
    <cellStyle name="Normal 19 5 4 4 3" xfId="20357" xr:uid="{12FD3FC0-A11E-4FCD-A800-75B77F915C4E}"/>
    <cellStyle name="Normal 19 5 4 4 4" xfId="37116" xr:uid="{5FE9A3C9-B237-46ED-8544-FC08AF01269F}"/>
    <cellStyle name="Normal 19 5 4 5" xfId="10287" xr:uid="{8F148BC2-A2CB-490D-8634-458C531A9EC2}"/>
    <cellStyle name="Normal 19 5 4 5 2" xfId="27047" xr:uid="{9F79C5D2-1A44-476C-B86C-FA309234F733}"/>
    <cellStyle name="Normal 19 5 4 5 3" xfId="43806" xr:uid="{792C4B3E-10A1-4E46-B527-AF33C4B0E220}"/>
    <cellStyle name="Normal 19 5 4 6" xfId="18667" xr:uid="{0318149C-32D3-4A3B-8D78-6BFEC1A5D35E}"/>
    <cellStyle name="Normal 19 5 4 7" xfId="35426" xr:uid="{1D759FAE-1146-420D-876D-62DBB06CC054}"/>
    <cellStyle name="Normal 19 5 5" xfId="4017" xr:uid="{B7667625-019A-4E26-B002-F77F962448D9}"/>
    <cellStyle name="Normal 19 5 5 2" xfId="12397" xr:uid="{C44E3BB9-E575-41CD-ACD5-AC5840F21088}"/>
    <cellStyle name="Normal 19 5 5 2 2" xfId="29157" xr:uid="{186E307A-6FC7-4758-8D56-985762E39011}"/>
    <cellStyle name="Normal 19 5 5 2 3" xfId="45916" xr:uid="{58EF0A00-A862-4010-90DA-462C647CFCBA}"/>
    <cellStyle name="Normal 19 5 5 3" xfId="20777" xr:uid="{4343D7A1-5C23-4EF5-A157-7A4189CED696}"/>
    <cellStyle name="Normal 19 5 5 4" xfId="37536" xr:uid="{EB1D802E-4B99-485B-A87F-5EB0D55E58A2}"/>
    <cellStyle name="Normal 19 5 6" xfId="5706" xr:uid="{A0B6514A-D779-4453-A6AF-3E1A5859EB45}"/>
    <cellStyle name="Normal 19 5 6 2" xfId="14086" xr:uid="{BF1C9DAD-B975-44E0-8A3D-F8488CD5F8B2}"/>
    <cellStyle name="Normal 19 5 6 2 2" xfId="30846" xr:uid="{497ABBE7-AE9A-46AF-8382-E6D2F7F16A18}"/>
    <cellStyle name="Normal 19 5 6 2 3" xfId="47605" xr:uid="{201FF92F-C386-4AEC-9255-D77CB4F26298}"/>
    <cellStyle name="Normal 19 5 6 3" xfId="22466" xr:uid="{BAF2644F-F882-4AE6-8335-2DE237A90FAD}"/>
    <cellStyle name="Normal 19 5 6 4" xfId="39225" xr:uid="{18938F4B-D338-4213-AC1B-87A97357B3AA}"/>
    <cellStyle name="Normal 19 5 7" xfId="7380" xr:uid="{665FD8D1-0785-482B-8D26-66EDC6411541}"/>
    <cellStyle name="Normal 19 5 7 2" xfId="15760" xr:uid="{528C2615-2E79-46E8-97AA-AC8C89EF682B}"/>
    <cellStyle name="Normal 19 5 7 2 2" xfId="32520" xr:uid="{7DC363AB-C9CF-4A93-9E3D-8471B23B68CF}"/>
    <cellStyle name="Normal 19 5 7 2 3" xfId="49279" xr:uid="{F96AEB62-B576-47D3-AEF6-67FA9006C7F6}"/>
    <cellStyle name="Normal 19 5 7 3" xfId="24140" xr:uid="{7791A54E-933D-4168-9572-FC2E1E47EBFE}"/>
    <cellStyle name="Normal 19 5 7 4" xfId="40899" xr:uid="{067C4B5D-75F8-4C22-AFEB-0FA649EB664B}"/>
    <cellStyle name="Normal 19 5 8" xfId="7786" xr:uid="{CA41D372-FC63-4E0F-9509-A1EC48C9F946}"/>
    <cellStyle name="Normal 19 5 8 2" xfId="16166" xr:uid="{B7697A8D-CF17-4D70-AD6D-BD0528417458}"/>
    <cellStyle name="Normal 19 5 8 2 2" xfId="32926" xr:uid="{061F4874-17FB-4AA4-8619-82C14FA5B9C8}"/>
    <cellStyle name="Normal 19 5 8 2 3" xfId="49685" xr:uid="{6E8FEBAC-A37B-4C84-88AF-BD49265B86E6}"/>
    <cellStyle name="Normal 19 5 8 3" xfId="24546" xr:uid="{58E0AC02-EAA8-4F9F-9A48-77C9E18A1602}"/>
    <cellStyle name="Normal 19 5 8 4" xfId="41305" xr:uid="{29C74957-0FEC-45EC-AF7C-67056681083B}"/>
    <cellStyle name="Normal 19 5 9" xfId="8192" xr:uid="{4A10704B-9452-44CE-9D09-2309D14B398F}"/>
    <cellStyle name="Normal 19 5 9 2" xfId="16572" xr:uid="{7510A27B-FF4B-4223-91CE-33CE22BB36DE}"/>
    <cellStyle name="Normal 19 5 9 2 2" xfId="33332" xr:uid="{6BD5FECA-E681-4DA5-A114-B2AF00FFDC93}"/>
    <cellStyle name="Normal 19 5 9 2 3" xfId="50091" xr:uid="{5B1E96A7-8993-4115-926C-2504DD09B97E}"/>
    <cellStyle name="Normal 19 5 9 3" xfId="24952" xr:uid="{30D819A2-C1FF-49B8-B0F3-CC2E3252B2D9}"/>
    <cellStyle name="Normal 19 5 9 4" xfId="41711" xr:uid="{151F672F-613B-4B9C-B606-A4DE381CD8E0}"/>
    <cellStyle name="Normal 19 6" xfId="782" xr:uid="{A04FC204-3073-4BEB-9DA6-EA88711F40AB}"/>
    <cellStyle name="Normal 19 6 2" xfId="4177" xr:uid="{D7627D50-A483-4E44-81B3-6E9281800315}"/>
    <cellStyle name="Normal 19 6 2 2" xfId="12557" xr:uid="{572E8B19-6FD2-47E8-9E2C-D737A11A9EFE}"/>
    <cellStyle name="Normal 19 6 2 2 2" xfId="29317" xr:uid="{01EDBEB1-4174-4EA6-B863-6A87600B2485}"/>
    <cellStyle name="Normal 19 6 2 2 3" xfId="46076" xr:uid="{D69C0DF6-1C87-45A2-9112-B28AE4D80E75}"/>
    <cellStyle name="Normal 19 6 2 3" xfId="20937" xr:uid="{33B65CBD-0C92-4091-B56C-DFDCEEA3A055}"/>
    <cellStyle name="Normal 19 6 2 4" xfId="37696" xr:uid="{E20C628D-34CF-41F4-B5DC-795C449F5CC1}"/>
    <cellStyle name="Normal 19 6 3" xfId="5864" xr:uid="{2B892F82-AB3F-4295-A3BB-AED9EC0C3D57}"/>
    <cellStyle name="Normal 19 6 3 2" xfId="14244" xr:uid="{45431353-AB10-4334-9E96-7D22739963A3}"/>
    <cellStyle name="Normal 19 6 3 2 2" xfId="31004" xr:uid="{AAE62E2D-E774-40EA-9BCF-91167623BA67}"/>
    <cellStyle name="Normal 19 6 3 2 3" xfId="47763" xr:uid="{4EF19303-B566-4C64-8152-587DDFD6A82B}"/>
    <cellStyle name="Normal 19 6 3 3" xfId="22624" xr:uid="{783E3A8C-840C-4D19-8306-DEA34FACC086}"/>
    <cellStyle name="Normal 19 6 3 4" xfId="39383" xr:uid="{2B787355-8BB1-4A6F-924A-0364C197C422}"/>
    <cellStyle name="Normal 19 6 4" xfId="2600" xr:uid="{84350B28-9722-4E65-905E-87C76C24608A}"/>
    <cellStyle name="Normal 19 6 4 2" xfId="10980" xr:uid="{BF6DDE21-46E2-4A76-934F-B485B3EE5EE0}"/>
    <cellStyle name="Normal 19 6 4 2 2" xfId="27740" xr:uid="{DB33F93E-A22D-493F-BE33-867782DDCE1A}"/>
    <cellStyle name="Normal 19 6 4 2 3" xfId="44499" xr:uid="{5B2F22A9-C3D3-4DB3-B177-DD7AB1260038}"/>
    <cellStyle name="Normal 19 6 4 3" xfId="19360" xr:uid="{1CDBDC79-9856-405F-9F88-41580AC9C103}"/>
    <cellStyle name="Normal 19 6 4 4" xfId="36119" xr:uid="{600E53AF-F8D6-421A-9A50-121F7F737E38}"/>
    <cellStyle name="Normal 19 6 5" xfId="9177" xr:uid="{AB8152CA-8539-4946-9C9D-B97F0A8275DC}"/>
    <cellStyle name="Normal 19 6 5 2" xfId="25937" xr:uid="{2C43D1BF-4EC9-492D-8236-5CFEC58E44FE}"/>
    <cellStyle name="Normal 19 6 5 3" xfId="42696" xr:uid="{4C791FA6-EB13-47FC-A0EC-FA4EE93B6C2A}"/>
    <cellStyle name="Normal 19 6 6" xfId="17557" xr:uid="{B30F3F78-2B5F-42FB-B172-82347AAD28DC}"/>
    <cellStyle name="Normal 19 6 7" xfId="34316" xr:uid="{48E50A76-B921-4766-9FA3-45A56171535E}"/>
    <cellStyle name="Normal 19 7" xfId="1216" xr:uid="{EABAD744-3F27-4997-AF95-88B38E8E0AD3}"/>
    <cellStyle name="Normal 19 7 2" xfId="4605" xr:uid="{9CF601B3-AD5C-48EC-BFF6-1F80764CD577}"/>
    <cellStyle name="Normal 19 7 2 2" xfId="12985" xr:uid="{517A12D6-2805-4A75-B618-FFD16138BB97}"/>
    <cellStyle name="Normal 19 7 2 2 2" xfId="29745" xr:uid="{9F759A2C-7324-4B1F-9F7A-C750E4F50A26}"/>
    <cellStyle name="Normal 19 7 2 2 3" xfId="46504" xr:uid="{D2D2EF17-6B7E-4610-ADDD-DEBCA18A6A4C}"/>
    <cellStyle name="Normal 19 7 2 3" xfId="21365" xr:uid="{869CA8CD-2CE4-4F21-A0CA-BA4271ACF690}"/>
    <cellStyle name="Normal 19 7 2 4" xfId="38124" xr:uid="{B220E099-BCDE-4817-9303-1EF5170D70B2}"/>
    <cellStyle name="Normal 19 7 3" xfId="6292" xr:uid="{2355B4FA-0549-4111-B38C-7402445A5EB4}"/>
    <cellStyle name="Normal 19 7 3 2" xfId="14672" xr:uid="{6A1A6E6C-A768-434E-9E4F-211DD7DBCB94}"/>
    <cellStyle name="Normal 19 7 3 2 2" xfId="31432" xr:uid="{1CE64C52-DE0F-44B2-B0E7-311E75F1C828}"/>
    <cellStyle name="Normal 19 7 3 2 3" xfId="48191" xr:uid="{51E54E62-1087-44C8-AD1A-00255BDBA409}"/>
    <cellStyle name="Normal 19 7 3 3" xfId="23052" xr:uid="{92C64334-64F1-44DE-A2A6-99E7DF18DEE5}"/>
    <cellStyle name="Normal 19 7 3 4" xfId="39811" xr:uid="{3E4A758F-7F16-43ED-944C-F9CEDBFF5802}"/>
    <cellStyle name="Normal 19 7 4" xfId="3028" xr:uid="{4F18108D-B809-4F61-BC59-866C51089CDA}"/>
    <cellStyle name="Normal 19 7 4 2" xfId="11408" xr:uid="{822FA863-2B9F-43DA-B6B6-AE192ED6F204}"/>
    <cellStyle name="Normal 19 7 4 2 2" xfId="28168" xr:uid="{3A7534E1-C268-4F03-9122-99ABDE3A6F23}"/>
    <cellStyle name="Normal 19 7 4 2 3" xfId="44927" xr:uid="{68722DE9-0ABA-423C-A2AE-D6A6B1801676}"/>
    <cellStyle name="Normal 19 7 4 3" xfId="19788" xr:uid="{162ACD5F-BB93-419E-8F37-F4278A8E2405}"/>
    <cellStyle name="Normal 19 7 4 4" xfId="36547" xr:uid="{4CC12FAD-9EA6-44C1-9772-DDD28456A141}"/>
    <cellStyle name="Normal 19 7 5" xfId="9605" xr:uid="{FADF2665-7EB7-4A07-8A15-15E655843FC3}"/>
    <cellStyle name="Normal 19 7 5 2" xfId="26365" xr:uid="{71C96AC2-5FF4-48BE-83A0-9A7A2BFB188B}"/>
    <cellStyle name="Normal 19 7 5 3" xfId="43124" xr:uid="{72D23B67-9DF8-4A58-8623-777541BB2DBC}"/>
    <cellStyle name="Normal 19 7 6" xfId="17985" xr:uid="{6224B7EC-7765-4BE4-AE82-AA80E580462A}"/>
    <cellStyle name="Normal 19 7 7" xfId="34744" xr:uid="{CF16B05F-7570-47C4-8A65-C6E676793266}"/>
    <cellStyle name="Normal 19 8" xfId="1627" xr:uid="{7882CEFF-09CA-44B0-B83C-7F348F9E80F2}"/>
    <cellStyle name="Normal 19 8 2" xfId="5016" xr:uid="{B46BB2BC-A710-42F5-ADDF-429E29E22D4E}"/>
    <cellStyle name="Normal 19 8 2 2" xfId="13396" xr:uid="{6D261704-77CE-42D5-A20D-66A52C2AA27A}"/>
    <cellStyle name="Normal 19 8 2 2 2" xfId="30156" xr:uid="{2E2F9146-18BD-4834-8343-06D07499BC7A}"/>
    <cellStyle name="Normal 19 8 2 2 3" xfId="46915" xr:uid="{DEE95344-98D5-4E3B-80B5-3C178C06DA88}"/>
    <cellStyle name="Normal 19 8 2 3" xfId="21776" xr:uid="{54715B06-26B7-4103-8390-38483E120E9B}"/>
    <cellStyle name="Normal 19 8 2 4" xfId="38535" xr:uid="{A54DA88D-662F-4084-99BB-44CEC9E36EDD}"/>
    <cellStyle name="Normal 19 8 3" xfId="6703" xr:uid="{961174B2-47E0-47BA-A510-DCDC65A5114D}"/>
    <cellStyle name="Normal 19 8 3 2" xfId="15083" xr:uid="{27DF3E41-D05A-433D-B290-D346D579D27B}"/>
    <cellStyle name="Normal 19 8 3 2 2" xfId="31843" xr:uid="{78A11BF6-4DE2-47B0-A4E1-0A1248817641}"/>
    <cellStyle name="Normal 19 8 3 2 3" xfId="48602" xr:uid="{ECF0B53B-51AA-42D3-BD2B-69FDFD3ECF54}"/>
    <cellStyle name="Normal 19 8 3 3" xfId="23463" xr:uid="{7A23DDD9-A26C-4D23-BBEF-8F07201A5F64}"/>
    <cellStyle name="Normal 19 8 3 4" xfId="40222" xr:uid="{0EBABE6E-CC5F-495E-8ECF-EBC1C8538E9F}"/>
    <cellStyle name="Normal 19 8 4" xfId="2166" xr:uid="{AB7CA123-D3C1-4A6F-86A2-24B9F91BB925}"/>
    <cellStyle name="Normal 19 8 4 2" xfId="10554" xr:uid="{AAE9194F-AC87-43C7-8AE5-C01700407237}"/>
    <cellStyle name="Normal 19 8 4 2 2" xfId="27314" xr:uid="{8F850B9E-C236-48B7-80CE-E680B8446D5A}"/>
    <cellStyle name="Normal 19 8 4 2 3" xfId="44073" xr:uid="{BF224946-B8AD-4C42-98BF-156A5284DE78}"/>
    <cellStyle name="Normal 19 8 4 3" xfId="18934" xr:uid="{3F62DCDB-3304-4FB5-98F4-E5AD02C0CB65}"/>
    <cellStyle name="Normal 19 8 4 4" xfId="35693" xr:uid="{30F655A9-B322-49E3-B6FA-32DE11EEA469}"/>
    <cellStyle name="Normal 19 8 5" xfId="10016" xr:uid="{B102F33E-18E2-4B9A-BA01-2498169B4400}"/>
    <cellStyle name="Normal 19 8 5 2" xfId="26776" xr:uid="{B8EDE6B0-726D-4F41-8BF1-66051D5D7AF3}"/>
    <cellStyle name="Normal 19 8 5 3" xfId="43535" xr:uid="{F89832CF-B4E0-4B0B-A198-758648BEED7A}"/>
    <cellStyle name="Normal 19 8 6" xfId="18396" xr:uid="{5D9165FA-AFF4-431E-A6E2-009ADC5C968E}"/>
    <cellStyle name="Normal 19 8 7" xfId="35155" xr:uid="{A190CE94-310E-44F7-B30B-19952F61F6A8}"/>
    <cellStyle name="Normal 19 9" xfId="3732" xr:uid="{858EAB97-C36A-4AA9-99BA-EB53B5501039}"/>
    <cellStyle name="Normal 19 9 2" xfId="12112" xr:uid="{16954309-1853-46EF-8180-B618320F6A23}"/>
    <cellStyle name="Normal 19 9 2 2" xfId="28872" xr:uid="{C712C7C6-9F64-4F72-9ED4-297B0DD6836D}"/>
    <cellStyle name="Normal 19 9 2 3" xfId="45631" xr:uid="{E24F8A2A-117B-41A9-923A-0BB87F09AD3D}"/>
    <cellStyle name="Normal 19 9 3" xfId="20492" xr:uid="{DA5D5B61-DEA8-4F29-8F7F-40E3BF92817B}"/>
    <cellStyle name="Normal 19 9 4" xfId="37251" xr:uid="{9BE8F1F4-69FC-48E1-8EA7-5938D6AAB0A6}"/>
    <cellStyle name="Normal 2" xfId="2" xr:uid="{FA465AAE-DA64-4872-B3F6-836CE2066A48}"/>
    <cellStyle name="Normal 2 2" xfId="55" xr:uid="{F5CD1EC7-603F-40D9-82C3-9F1C2CC5EECF}"/>
    <cellStyle name="Normal 2 2 10" xfId="1189" xr:uid="{03A9FA63-F53F-433E-BAE5-3C451E09B1C5}"/>
    <cellStyle name="Normal 2 2 11" xfId="1198" xr:uid="{7835C7F1-0766-453A-9EE1-5F4754F81167}"/>
    <cellStyle name="Normal 2 2 11 2" xfId="4587" xr:uid="{C376D75A-1F48-48BE-BBF8-93C268F52B77}"/>
    <cellStyle name="Normal 2 2 11 2 2" xfId="12967" xr:uid="{86294AFF-1055-4317-BC11-094506458F3D}"/>
    <cellStyle name="Normal 2 2 11 2 2 2" xfId="29727" xr:uid="{BEFCEAC6-F43F-4CF1-96E2-E5601C6BA647}"/>
    <cellStyle name="Normal 2 2 11 2 2 3" xfId="46486" xr:uid="{DC9A6784-7FD9-44D2-8E6B-F83474728437}"/>
    <cellStyle name="Normal 2 2 11 2 3" xfId="21347" xr:uid="{332CE488-BEC4-4363-AA14-4FD711437B8A}"/>
    <cellStyle name="Normal 2 2 11 2 4" xfId="38106" xr:uid="{4FD24EE6-572A-40F2-9BEC-7CE5A6B715FC}"/>
    <cellStyle name="Normal 2 2 11 3" xfId="6274" xr:uid="{F9C00CD5-5EB3-469B-A8FD-166B497A9FF8}"/>
    <cellStyle name="Normal 2 2 11 3 2" xfId="14654" xr:uid="{78FFFCA3-6D5B-4AAF-9A83-3AB98BE086BB}"/>
    <cellStyle name="Normal 2 2 11 3 2 2" xfId="31414" xr:uid="{15F0DE42-31EA-41C9-BC61-A509B4827145}"/>
    <cellStyle name="Normal 2 2 11 3 2 3" xfId="48173" xr:uid="{28A35C06-330F-4F6E-BF23-7A2BBB4BAA45}"/>
    <cellStyle name="Normal 2 2 11 3 3" xfId="23034" xr:uid="{374D729C-83DD-491B-BBF8-8F0F4E201B79}"/>
    <cellStyle name="Normal 2 2 11 3 4" xfId="39793" xr:uid="{D717CC9C-2A21-4CF8-A26A-1E83C97DFD94}"/>
    <cellStyle name="Normal 2 2 11 4" xfId="3010" xr:uid="{7D69EB67-4537-41EC-92B1-41A7E037D5AB}"/>
    <cellStyle name="Normal 2 2 11 4 2" xfId="11390" xr:uid="{2D236505-D2A7-4429-BCF5-856DD1AF39D3}"/>
    <cellStyle name="Normal 2 2 11 4 2 2" xfId="28150" xr:uid="{28A57346-7121-46D4-A062-2098692AD57B}"/>
    <cellStyle name="Normal 2 2 11 4 2 3" xfId="44909" xr:uid="{EE00C68D-4123-4BF1-A6FE-4D69874C9FAB}"/>
    <cellStyle name="Normal 2 2 11 4 3" xfId="19770" xr:uid="{578D78F9-874E-48C8-A23B-9A8FE5A59B6D}"/>
    <cellStyle name="Normal 2 2 11 4 4" xfId="36529" xr:uid="{01EDA7BC-9C26-4BAB-A0B6-2BEF3EF34A1F}"/>
    <cellStyle name="Normal 2 2 11 5" xfId="9587" xr:uid="{4EA8A66F-8A62-46A9-A936-1A2B25FD8738}"/>
    <cellStyle name="Normal 2 2 11 5 2" xfId="26347" xr:uid="{8BCBC594-F52C-41D8-99FF-FBB91DDD1392}"/>
    <cellStyle name="Normal 2 2 11 5 3" xfId="43106" xr:uid="{78B2B040-627A-4BF4-844F-E8C352357B83}"/>
    <cellStyle name="Normal 2 2 11 6" xfId="17967" xr:uid="{BE59DE53-C850-4C73-9D4A-E759F3F910C6}"/>
    <cellStyle name="Normal 2 2 11 7" xfId="34726" xr:uid="{D6D02D22-E173-419B-BC1B-3675B38DEBE7}"/>
    <cellStyle name="Normal 2 2 12" xfId="2148" xr:uid="{ED14E375-699A-4CB0-A518-73B0F6431CA0}"/>
    <cellStyle name="Normal 2 2 12 2" xfId="10536" xr:uid="{2E1EA448-0A15-4289-9C52-43F5E37FA5B8}"/>
    <cellStyle name="Normal 2 2 12 2 2" xfId="27296" xr:uid="{794B4BAC-F8E7-4778-AEFD-DFACA3B971C5}"/>
    <cellStyle name="Normal 2 2 12 2 3" xfId="44055" xr:uid="{A86D535A-E3D1-4339-9F5E-9FC92B836BA9}"/>
    <cellStyle name="Normal 2 2 12 3" xfId="18916" xr:uid="{E8AFBCFB-7205-43A7-9BD9-B4DE23F15A36}"/>
    <cellStyle name="Normal 2 2 12 4" xfId="35675" xr:uid="{60F951AB-007F-400E-8D40-CB6A81EDE180}"/>
    <cellStyle name="Normal 2 2 13" xfId="5420" xr:uid="{02384381-A5A7-423F-ABAD-D8FF94DC62E0}"/>
    <cellStyle name="Normal 2 2 13 2" xfId="13800" xr:uid="{F0B9BB74-9D5C-48EC-BEF5-54160C966942}"/>
    <cellStyle name="Normal 2 2 13 2 2" xfId="30560" xr:uid="{521A6748-0217-4503-A145-9946F832681B}"/>
    <cellStyle name="Normal 2 2 13 2 3" xfId="47319" xr:uid="{FBCDF5CD-F31F-4009-BA40-0194A76CFFC8}"/>
    <cellStyle name="Normal 2 2 13 3" xfId="22180" xr:uid="{59C041C3-6E77-40DE-B9A2-49B8D46E33DA}"/>
    <cellStyle name="Normal 2 2 13 4" xfId="38939" xr:uid="{600BCA09-795A-4A12-B091-0EB9B572FE52}"/>
    <cellStyle name="Normal 2 2 14" xfId="8733" xr:uid="{9792CAB0-71D9-47B4-BF98-92E749C9C98F}"/>
    <cellStyle name="Normal 2 2 14 2" xfId="25493" xr:uid="{53356134-FEE4-4E2D-89BB-EC2A17A477B4}"/>
    <cellStyle name="Normal 2 2 14 3" xfId="42252" xr:uid="{4D6F1661-30EB-4864-AD29-4DE58D49DC0C}"/>
    <cellStyle name="Normal 2 2 15" xfId="17113" xr:uid="{BF6F8FCD-ADDD-41BC-96AD-0568309650A2}"/>
    <cellStyle name="Normal 2 2 16" xfId="33872" xr:uid="{7492A812-D188-4C46-9EF4-9EA1B972F3CF}"/>
    <cellStyle name="Normal 2 2 17" xfId="257" xr:uid="{D6255D9F-CF92-4A82-B62C-AD7C0724390F}"/>
    <cellStyle name="Normal 2 2 2" xfId="264" xr:uid="{F49C935D-18F3-4E15-806D-80C855B5E98F}"/>
    <cellStyle name="Normal 2 2 2 10" xfId="1201" xr:uid="{A104C44B-504D-4A11-B69D-B3582F2B5655}"/>
    <cellStyle name="Normal 2 2 2 10 2" xfId="4590" xr:uid="{93E817F8-3C24-405D-81F3-A3588001A54A}"/>
    <cellStyle name="Normal 2 2 2 10 2 2" xfId="12970" xr:uid="{FEB0389A-5759-4926-9805-303A8A7381DB}"/>
    <cellStyle name="Normal 2 2 2 10 2 2 2" xfId="29730" xr:uid="{6B8A47D6-2A5F-43FD-8102-D6026002F9A7}"/>
    <cellStyle name="Normal 2 2 2 10 2 2 3" xfId="46489" xr:uid="{878ADD4E-0E95-42E0-8840-418AB00682C5}"/>
    <cellStyle name="Normal 2 2 2 10 2 3" xfId="21350" xr:uid="{A817B0C4-2651-4261-BB34-85697FEF6EB8}"/>
    <cellStyle name="Normal 2 2 2 10 2 4" xfId="38109" xr:uid="{C118BFA8-E55C-47D7-804A-6EA12622F7DB}"/>
    <cellStyle name="Normal 2 2 2 10 3" xfId="6277" xr:uid="{6680776B-4AB2-4F12-833A-C91D8608BEDF}"/>
    <cellStyle name="Normal 2 2 2 10 3 2" xfId="14657" xr:uid="{EA99AE85-7F14-44C7-87AF-7361805D1EAB}"/>
    <cellStyle name="Normal 2 2 2 10 3 2 2" xfId="31417" xr:uid="{C4D01FB7-A374-45FE-A65C-A243A4F2B498}"/>
    <cellStyle name="Normal 2 2 2 10 3 2 3" xfId="48176" xr:uid="{463F9D01-7021-435D-94DA-15AEFB8FF0AA}"/>
    <cellStyle name="Normal 2 2 2 10 3 3" xfId="23037" xr:uid="{C8A790A7-A79A-4C1B-8E97-1864F918496C}"/>
    <cellStyle name="Normal 2 2 2 10 3 4" xfId="39796" xr:uid="{89291C83-C2E0-47BA-BFF1-4467DEB352E4}"/>
    <cellStyle name="Normal 2 2 2 10 4" xfId="3013" xr:uid="{6824975B-24C5-46C8-99A2-65BBA64C61FA}"/>
    <cellStyle name="Normal 2 2 2 10 4 2" xfId="11393" xr:uid="{B4A921CB-6FE5-4ECF-A7E4-149DAC456BC0}"/>
    <cellStyle name="Normal 2 2 2 10 4 2 2" xfId="28153" xr:uid="{458B13CD-45FD-49ED-AF05-744CEC0C4C62}"/>
    <cellStyle name="Normal 2 2 2 10 4 2 3" xfId="44912" xr:uid="{1376B7F6-478F-4593-B3DA-CED3E953FCFC}"/>
    <cellStyle name="Normal 2 2 2 10 4 3" xfId="19773" xr:uid="{F3CCF42C-89A6-42E5-AE2A-9E4951AEA200}"/>
    <cellStyle name="Normal 2 2 2 10 4 4" xfId="36532" xr:uid="{4475122E-7F58-47BF-9085-F66D0334EBCF}"/>
    <cellStyle name="Normal 2 2 2 10 5" xfId="9590" xr:uid="{7027242A-FA18-49DD-8C8A-3C3AC5DAAF85}"/>
    <cellStyle name="Normal 2 2 2 10 5 2" xfId="26350" xr:uid="{8EB9293C-60F8-4807-A026-8E28A6296B90}"/>
    <cellStyle name="Normal 2 2 2 10 5 3" xfId="43109" xr:uid="{84219DD0-18AD-4864-95EB-45BA6D9FE033}"/>
    <cellStyle name="Normal 2 2 2 10 6" xfId="17970" xr:uid="{B542FFC3-18C8-4B07-93F7-72215AFFE44A}"/>
    <cellStyle name="Normal 2 2 2 10 7" xfId="34729" xr:uid="{CA3849E0-25F8-46F9-AA03-7E06E4292911}"/>
    <cellStyle name="Normal 2 2 2 11" xfId="1639" xr:uid="{FE792C89-4B78-4F92-98C6-19E558689C87}"/>
    <cellStyle name="Normal 2 2 2 11 2" xfId="5028" xr:uid="{98FC17E0-F76D-48C2-848F-0344523C5CBF}"/>
    <cellStyle name="Normal 2 2 2 11 2 2" xfId="13408" xr:uid="{AAA928BC-4A7D-4C65-8125-4BE43110C918}"/>
    <cellStyle name="Normal 2 2 2 11 2 2 2" xfId="30168" xr:uid="{142D92C8-42CF-49D2-9D61-E720434F729E}"/>
    <cellStyle name="Normal 2 2 2 11 2 2 3" xfId="46927" xr:uid="{9AF6D822-57EA-4CB9-B695-2F2590EF3176}"/>
    <cellStyle name="Normal 2 2 2 11 2 3" xfId="21788" xr:uid="{AA4CA62E-7364-4FBC-AD84-62A59AC20172}"/>
    <cellStyle name="Normal 2 2 2 11 2 4" xfId="38547" xr:uid="{2E8C3DB5-4F8B-45B6-899F-B3911D121AE4}"/>
    <cellStyle name="Normal 2 2 2 11 3" xfId="6715" xr:uid="{25B3BA17-1BE7-46FE-95EF-BBF5B4BCB8E5}"/>
    <cellStyle name="Normal 2 2 2 11 3 2" xfId="15095" xr:uid="{C32CA522-C52B-4494-A167-EB81E54F9958}"/>
    <cellStyle name="Normal 2 2 2 11 3 2 2" xfId="31855" xr:uid="{E0E45BA4-C6B5-4B2F-BACE-95F589BE0CA9}"/>
    <cellStyle name="Normal 2 2 2 11 3 2 3" xfId="48614" xr:uid="{9B27DDD4-244D-4F23-9EFC-B9D438E64243}"/>
    <cellStyle name="Normal 2 2 2 11 3 3" xfId="23475" xr:uid="{550ACBDD-19CA-4E91-86A9-4F1B53C5085C}"/>
    <cellStyle name="Normal 2 2 2 11 3 4" xfId="40234" xr:uid="{80B66A2D-F8C7-4413-99D4-38331172CFB3}"/>
    <cellStyle name="Normal 2 2 2 11 4" xfId="2151" xr:uid="{DF3B31BA-E775-4CC7-8575-44BAB64255DC}"/>
    <cellStyle name="Normal 2 2 2 11 4 2" xfId="10539" xr:uid="{F1528F8D-C657-48F1-AE38-6900CD33A2E6}"/>
    <cellStyle name="Normal 2 2 2 11 4 2 2" xfId="27299" xr:uid="{37A5A235-9951-4783-880C-D0959CE97D88}"/>
    <cellStyle name="Normal 2 2 2 11 4 2 3" xfId="44058" xr:uid="{38FE00EF-38E2-4A65-B566-FA34EF878581}"/>
    <cellStyle name="Normal 2 2 2 11 4 3" xfId="18919" xr:uid="{C5224CE1-327D-442A-BF92-9A800FAB8FD7}"/>
    <cellStyle name="Normal 2 2 2 11 4 4" xfId="35678" xr:uid="{6E1FACB4-5A88-4B64-9809-431FC61B04E9}"/>
    <cellStyle name="Normal 2 2 2 11 5" xfId="10028" xr:uid="{113C0CD4-5D9D-47B0-A05E-8EFCB1EB3E92}"/>
    <cellStyle name="Normal 2 2 2 11 5 2" xfId="26788" xr:uid="{1238DC55-B666-4DDB-9282-44E69ECC7DDE}"/>
    <cellStyle name="Normal 2 2 2 11 5 3" xfId="43547" xr:uid="{037829CE-BF89-4FBF-9CD3-E0A7013C3755}"/>
    <cellStyle name="Normal 2 2 2 11 6" xfId="18408" xr:uid="{A15C0911-4A3F-4067-84A7-797D94D8EB8F}"/>
    <cellStyle name="Normal 2 2 2 11 7" xfId="35167" xr:uid="{CDF99EE5-72F5-415A-B6FC-4369D0F53EAC}"/>
    <cellStyle name="Normal 2 2 2 12" xfId="3744" xr:uid="{1B3EE811-2E36-45A0-8336-198E41F8DCC8}"/>
    <cellStyle name="Normal 2 2 2 12 2" xfId="12124" xr:uid="{E961897D-9925-4147-923F-ED568D2F3E98}"/>
    <cellStyle name="Normal 2 2 2 12 2 2" xfId="28884" xr:uid="{AA190A2D-2F85-4576-A1F7-25DB0166503B}"/>
    <cellStyle name="Normal 2 2 2 12 2 3" xfId="45643" xr:uid="{C06DCA6B-4503-434D-8C18-875A5C80E9CB}"/>
    <cellStyle name="Normal 2 2 2 12 3" xfId="20504" xr:uid="{45813CF5-0CF9-4B99-AE3C-0C2D4FA56A3E}"/>
    <cellStyle name="Normal 2 2 2 12 4" xfId="37263" xr:uid="{B3FDD835-2A5E-4A65-A46C-1A8F656D46E9}"/>
    <cellStyle name="Normal 2 2 2 13" xfId="5423" xr:uid="{D9B6450C-9BF4-417E-87E7-31D1B9419437}"/>
    <cellStyle name="Normal 2 2 2 13 2" xfId="13803" xr:uid="{D7420D24-0B9B-42BE-A2FA-5E97E9646B07}"/>
    <cellStyle name="Normal 2 2 2 13 2 2" xfId="30563" xr:uid="{43763443-A2F3-4161-8524-5245DEBCCAA0}"/>
    <cellStyle name="Normal 2 2 2 13 2 3" xfId="47322" xr:uid="{3ED55429-ACB4-4D00-AE45-E587C0190698}"/>
    <cellStyle name="Normal 2 2 2 13 3" xfId="22183" xr:uid="{42942BBF-BF4D-486C-8695-7CBD4DC2F782}"/>
    <cellStyle name="Normal 2 2 2 13 4" xfId="38942" xr:uid="{8D9C9C6F-FEA4-4E95-A349-A25B6640D35B}"/>
    <cellStyle name="Normal 2 2 2 14" xfId="7121" xr:uid="{BCCFA745-113D-4EE5-A1AE-5BC4543D63A9}"/>
    <cellStyle name="Normal 2 2 2 14 2" xfId="15501" xr:uid="{EE3AAD9E-23A9-4808-83D6-1E01E48B0CD2}"/>
    <cellStyle name="Normal 2 2 2 14 2 2" xfId="32261" xr:uid="{687A38A8-080C-4EAD-B8C1-A945EFCB7945}"/>
    <cellStyle name="Normal 2 2 2 14 2 3" xfId="49020" xr:uid="{D929BA7B-82A9-4BC4-A9D1-6E98AD36E541}"/>
    <cellStyle name="Normal 2 2 2 14 3" xfId="23881" xr:uid="{1557A433-DA39-4F67-A798-CC90A9324E83}"/>
    <cellStyle name="Normal 2 2 2 14 4" xfId="40640" xr:uid="{5FC7A977-D4E0-43E3-84DB-DBBC14035B5E}"/>
    <cellStyle name="Normal 2 2 2 15" xfId="7527" xr:uid="{120C0201-7D5C-41F0-8E15-8E2EAE55C2B9}"/>
    <cellStyle name="Normal 2 2 2 15 2" xfId="15907" xr:uid="{F5F2E8D9-0A6C-4F59-B3B8-59264F5C602F}"/>
    <cellStyle name="Normal 2 2 2 15 2 2" xfId="32667" xr:uid="{CC428602-EA13-42CF-A557-2DFF8F1D7F07}"/>
    <cellStyle name="Normal 2 2 2 15 2 3" xfId="49426" xr:uid="{87C737CD-6B7B-43AC-990B-C422EE4D4535}"/>
    <cellStyle name="Normal 2 2 2 15 3" xfId="24287" xr:uid="{CED17A99-0BDE-44AD-829E-23F5B7B609AD}"/>
    <cellStyle name="Normal 2 2 2 15 4" xfId="41046" xr:uid="{CDAE9BCC-B900-4CBE-86AB-AD2D89339EBE}"/>
    <cellStyle name="Normal 2 2 2 16" xfId="7933" xr:uid="{2DFA8A94-687B-4A74-9FFC-84D3DE2C50E7}"/>
    <cellStyle name="Normal 2 2 2 16 2" xfId="16313" xr:uid="{6BDB6AF2-93F7-41A1-B236-4EF1E6975BF1}"/>
    <cellStyle name="Normal 2 2 2 16 2 2" xfId="33073" xr:uid="{AEA3095D-0A71-498E-8AA0-101631E85B06}"/>
    <cellStyle name="Normal 2 2 2 16 2 3" xfId="49832" xr:uid="{FE755B13-9DD0-4D5F-937E-31EB518CA2D4}"/>
    <cellStyle name="Normal 2 2 2 16 3" xfId="24693" xr:uid="{75586F2B-D1B9-4721-90F5-52E5A5A78869}"/>
    <cellStyle name="Normal 2 2 2 16 4" xfId="41452" xr:uid="{479482EC-9034-4E6B-9BFA-80024F7E6275}"/>
    <cellStyle name="Normal 2 2 2 17" xfId="8339" xr:uid="{9AC5D57E-8018-4B2A-93F3-2E5A4D6FAC50}"/>
    <cellStyle name="Normal 2 2 2 17 2" xfId="16719" xr:uid="{659A5A23-CE1C-41B7-B8CB-EC6CEC793761}"/>
    <cellStyle name="Normal 2 2 2 17 2 2" xfId="33479" xr:uid="{0D05B881-F811-447F-AD86-9966C3D359F4}"/>
    <cellStyle name="Normal 2 2 2 17 2 3" xfId="50238" xr:uid="{D7E09670-FF40-456D-9406-901558565FE8}"/>
    <cellStyle name="Normal 2 2 2 17 3" xfId="25099" xr:uid="{970118B2-2A9F-4CDE-A2C2-183F0931F4E8}"/>
    <cellStyle name="Normal 2 2 2 17 4" xfId="41858" xr:uid="{0D08EC44-2679-4505-82DC-7E3C56315741}"/>
    <cellStyle name="Normal 2 2 2 18" xfId="2039" xr:uid="{B3AB9476-16F9-4A51-A724-8F7D4DE96E30}"/>
    <cellStyle name="Normal 2 2 2 18 2" xfId="10427" xr:uid="{FF8ABB25-D1A9-4B7E-B786-B8B3816B6CA6}"/>
    <cellStyle name="Normal 2 2 2 18 2 2" xfId="27187" xr:uid="{6752E7A8-EA34-4425-AF7D-5AE38BCACDED}"/>
    <cellStyle name="Normal 2 2 2 18 2 3" xfId="43946" xr:uid="{B824E6AE-6E8E-430A-85B5-20E1C3C0448F}"/>
    <cellStyle name="Normal 2 2 2 18 3" xfId="18807" xr:uid="{649C4F63-450F-439D-9177-AE06817642F7}"/>
    <cellStyle name="Normal 2 2 2 18 4" xfId="35566" xr:uid="{41DF5888-79CE-4FE3-931D-C84B0FA406C2}"/>
    <cellStyle name="Normal 2 2 2 19" xfId="8736" xr:uid="{E07B864B-4E4C-4761-B547-8F0BA8E84778}"/>
    <cellStyle name="Normal 2 2 2 19 2" xfId="25496" xr:uid="{1C6A9909-6667-47E1-A453-C02FC41AB5B5}"/>
    <cellStyle name="Normal 2 2 2 19 3" xfId="42255" xr:uid="{B11EA4DC-BC98-4C7E-AEF7-2A7E5BB2E5DE}"/>
    <cellStyle name="Normal 2 2 2 2" xfId="269" xr:uid="{2B86E4F2-4EFE-430A-8603-0052076D338C}"/>
    <cellStyle name="Normal 2 2 2 2 10" xfId="1640" xr:uid="{8A435B89-0901-4CD3-9201-48A83807ADBE}"/>
    <cellStyle name="Normal 2 2 2 2 10 2" xfId="5029" xr:uid="{6F1658FD-DE0D-4D04-AF16-A6C380627D26}"/>
    <cellStyle name="Normal 2 2 2 2 10 2 2" xfId="13409" xr:uid="{BA3AA67B-44B1-4F31-8AFF-D22BE188EDED}"/>
    <cellStyle name="Normal 2 2 2 2 10 2 2 2" xfId="30169" xr:uid="{00BA9A87-F340-417F-B74A-9947CC2ABA3C}"/>
    <cellStyle name="Normal 2 2 2 2 10 2 2 3" xfId="46928" xr:uid="{BEF5CD27-4862-4E8E-AB04-9A7B8FD22D5F}"/>
    <cellStyle name="Normal 2 2 2 2 10 2 3" xfId="21789" xr:uid="{F36ABC3E-44D8-47E7-96E2-E8CBE98F0C5C}"/>
    <cellStyle name="Normal 2 2 2 2 10 2 4" xfId="38548" xr:uid="{1A447A3B-3466-43C7-A99B-DB9DB6F575E2}"/>
    <cellStyle name="Normal 2 2 2 2 10 3" xfId="6716" xr:uid="{F1BF6A66-3BAF-43C2-B999-D18A9FC30D78}"/>
    <cellStyle name="Normal 2 2 2 2 10 3 2" xfId="15096" xr:uid="{BD49D9D1-314E-4CBB-993D-3A1B5A9B6FDB}"/>
    <cellStyle name="Normal 2 2 2 2 10 3 2 2" xfId="31856" xr:uid="{B3AD9072-6EF9-44BC-8F99-C1571DA4888E}"/>
    <cellStyle name="Normal 2 2 2 2 10 3 2 3" xfId="48615" xr:uid="{EB77B292-D9D0-41E6-BFF7-5D3AD2CA3ECD}"/>
    <cellStyle name="Normal 2 2 2 2 10 3 3" xfId="23476" xr:uid="{DE953542-F9FC-4C65-A49A-6013BCAEF1F1}"/>
    <cellStyle name="Normal 2 2 2 2 10 3 4" xfId="40235" xr:uid="{87F902E4-D215-4ECB-A53A-64E39F6CD5C2}"/>
    <cellStyle name="Normal 2 2 2 2 10 4" xfId="2158" xr:uid="{18335A16-5802-4EF1-81E3-EC7956415D0C}"/>
    <cellStyle name="Normal 2 2 2 2 10 4 2" xfId="10546" xr:uid="{E41CA88A-A1E9-4BE7-8E49-D6FD6AD875C2}"/>
    <cellStyle name="Normal 2 2 2 2 10 4 2 2" xfId="27306" xr:uid="{0481E4C9-0A0D-4162-9E6B-A22ACC341A19}"/>
    <cellStyle name="Normal 2 2 2 2 10 4 2 3" xfId="44065" xr:uid="{D385370D-CF37-4CC8-836D-AFFB5896B033}"/>
    <cellStyle name="Normal 2 2 2 2 10 4 3" xfId="18926" xr:uid="{46AB4C82-3D7C-49B2-ADA4-241ECD5D8923}"/>
    <cellStyle name="Normal 2 2 2 2 10 4 4" xfId="35685" xr:uid="{06FC0CA4-FDB2-4AE3-8EFB-E8E89685E130}"/>
    <cellStyle name="Normal 2 2 2 2 10 5" xfId="10029" xr:uid="{0703450C-9342-44C1-8EFB-D48CF5DAB5D1}"/>
    <cellStyle name="Normal 2 2 2 2 10 5 2" xfId="26789" xr:uid="{23D0DE8F-C441-4B68-B997-992DFA97D573}"/>
    <cellStyle name="Normal 2 2 2 2 10 5 3" xfId="43548" xr:uid="{608602C3-BB63-45D6-8417-5DEAA97DC3B4}"/>
    <cellStyle name="Normal 2 2 2 2 10 6" xfId="18409" xr:uid="{FD321AC1-55EA-469C-A7DD-A1F4AF044DB6}"/>
    <cellStyle name="Normal 2 2 2 2 10 7" xfId="35168" xr:uid="{84903AF3-FCA2-4C6F-AF46-7BA9588C65AA}"/>
    <cellStyle name="Normal 2 2 2 2 11" xfId="3745" xr:uid="{74826651-EFB7-482E-A7EF-C1435964D594}"/>
    <cellStyle name="Normal 2 2 2 2 11 2" xfId="12125" xr:uid="{D729FB6D-AFB1-44AC-B233-4DDC1608A011}"/>
    <cellStyle name="Normal 2 2 2 2 11 2 2" xfId="28885" xr:uid="{583B9F8C-DE3D-4EF3-968D-3042D88EED83}"/>
    <cellStyle name="Normal 2 2 2 2 11 2 3" xfId="45644" xr:uid="{F8D3D4A4-DAFB-4D38-82B6-CD93DF1AEB64}"/>
    <cellStyle name="Normal 2 2 2 2 11 3" xfId="20505" xr:uid="{F29F5899-E44B-41C7-8885-392020E207CE}"/>
    <cellStyle name="Normal 2 2 2 2 11 4" xfId="37264" xr:uid="{D93EFD02-7C5D-401B-8E33-9DFE4083AFF4}"/>
    <cellStyle name="Normal 2 2 2 2 12" xfId="5430" xr:uid="{019F96ED-B032-41D8-83EC-4849966D4C04}"/>
    <cellStyle name="Normal 2 2 2 2 12 2" xfId="13810" xr:uid="{F70DD459-D68D-45AE-AD65-BF70062B32FB}"/>
    <cellStyle name="Normal 2 2 2 2 12 2 2" xfId="30570" xr:uid="{305569D4-97F6-4BBE-A44D-5C3D3EA3E633}"/>
    <cellStyle name="Normal 2 2 2 2 12 2 3" xfId="47329" xr:uid="{92B28238-ED48-47B9-8014-91CC7ED0D51D}"/>
    <cellStyle name="Normal 2 2 2 2 12 3" xfId="22190" xr:uid="{C7F2831B-7A29-4F9A-9BF0-BFF196034CB1}"/>
    <cellStyle name="Normal 2 2 2 2 12 4" xfId="38949" xr:uid="{F4E0B367-E18B-4324-A523-958ED2E11EA9}"/>
    <cellStyle name="Normal 2 2 2 2 13" xfId="7122" xr:uid="{ECE41DBA-44B2-4D64-9FB7-164096EA02DF}"/>
    <cellStyle name="Normal 2 2 2 2 13 2" xfId="15502" xr:uid="{DF56B3D8-C6A2-4522-BF49-8D5FF5C035E8}"/>
    <cellStyle name="Normal 2 2 2 2 13 2 2" xfId="32262" xr:uid="{4A8EB0D9-4358-4DBB-8FD7-ED3756B594A8}"/>
    <cellStyle name="Normal 2 2 2 2 13 2 3" xfId="49021" xr:uid="{6C15B613-0CB0-4E66-B559-DB39CD6E1E68}"/>
    <cellStyle name="Normal 2 2 2 2 13 3" xfId="23882" xr:uid="{3836819F-7E7E-4ACC-BA57-7A05450FB9B8}"/>
    <cellStyle name="Normal 2 2 2 2 13 4" xfId="40641" xr:uid="{B8AC0F48-8E2D-40FD-9125-75A255076525}"/>
    <cellStyle name="Normal 2 2 2 2 14" xfId="7528" xr:uid="{77F55763-76B3-4057-A4CC-9B363CF1A5B5}"/>
    <cellStyle name="Normal 2 2 2 2 14 2" xfId="15908" xr:uid="{1ECAF5F7-A1E2-4CEA-A9E7-8D899CC854ED}"/>
    <cellStyle name="Normal 2 2 2 2 14 2 2" xfId="32668" xr:uid="{DCCF9F09-4583-4ED8-872D-B26CCB89DB29}"/>
    <cellStyle name="Normal 2 2 2 2 14 2 3" xfId="49427" xr:uid="{52232D56-0DD0-470C-804E-6712CC3A0BF0}"/>
    <cellStyle name="Normal 2 2 2 2 14 3" xfId="24288" xr:uid="{BDFCD72E-2298-43F5-86AD-EA9296B1273A}"/>
    <cellStyle name="Normal 2 2 2 2 14 4" xfId="41047" xr:uid="{E6A77E0F-86C9-4F7A-A81B-A38F9ADB215A}"/>
    <cellStyle name="Normal 2 2 2 2 15" xfId="7934" xr:uid="{FC3347F7-BFA0-41EF-8F61-C42540EB0330}"/>
    <cellStyle name="Normal 2 2 2 2 15 2" xfId="16314" xr:uid="{AB2D57B5-EE2A-49ED-8451-AB3AED924BC6}"/>
    <cellStyle name="Normal 2 2 2 2 15 2 2" xfId="33074" xr:uid="{08BCD26D-5C1D-4289-BDBA-AC66B6731ECB}"/>
    <cellStyle name="Normal 2 2 2 2 15 2 3" xfId="49833" xr:uid="{A52F4591-ACEA-4BF6-8481-14D4881C2C63}"/>
    <cellStyle name="Normal 2 2 2 2 15 3" xfId="24694" xr:uid="{B4A9CBB6-C8B9-4B8F-918F-382B5F116370}"/>
    <cellStyle name="Normal 2 2 2 2 15 4" xfId="41453" xr:uid="{DD0712DB-8635-4F09-B249-E5B59BF45657}"/>
    <cellStyle name="Normal 2 2 2 2 16" xfId="8340" xr:uid="{B24103DB-06D6-4158-A501-59720B2FB4B7}"/>
    <cellStyle name="Normal 2 2 2 2 16 2" xfId="16720" xr:uid="{C3471D2A-555F-4C0D-95F1-8351446DD618}"/>
    <cellStyle name="Normal 2 2 2 2 16 2 2" xfId="33480" xr:uid="{ADC91FBC-37EB-4FB4-A2E4-312B615FA2E3}"/>
    <cellStyle name="Normal 2 2 2 2 16 2 3" xfId="50239" xr:uid="{3552CE4D-03AA-49DB-8A1E-240823A746AF}"/>
    <cellStyle name="Normal 2 2 2 2 16 3" xfId="25100" xr:uid="{E4629E3B-71D4-4B70-9067-E042464B9169}"/>
    <cellStyle name="Normal 2 2 2 2 16 4" xfId="41859" xr:uid="{1D7BD24B-2859-4CD8-B4E8-7BB36279DD69}"/>
    <cellStyle name="Normal 2 2 2 2 17" xfId="2046" xr:uid="{8F53B83A-DFFE-4044-A61D-A55BD4D7A8B6}"/>
    <cellStyle name="Normal 2 2 2 2 17 2" xfId="10434" xr:uid="{9E271504-42D2-472E-9ACB-6EE6FE27BA67}"/>
    <cellStyle name="Normal 2 2 2 2 17 2 2" xfId="27194" xr:uid="{47D0D424-FB09-48FC-B209-780693EBF757}"/>
    <cellStyle name="Normal 2 2 2 2 17 2 3" xfId="43953" xr:uid="{4DABD74A-97AB-4882-9D0E-D427FB6A7A0C}"/>
    <cellStyle name="Normal 2 2 2 2 17 3" xfId="18814" xr:uid="{DDCD7753-E7DF-4CF2-BC95-04941B46F35A}"/>
    <cellStyle name="Normal 2 2 2 2 17 4" xfId="35573" xr:uid="{E76D0042-F878-4A43-8869-A57A006AF676}"/>
    <cellStyle name="Normal 2 2 2 2 18" xfId="8743" xr:uid="{878F6276-4C17-492B-B696-980B44C8AE57}"/>
    <cellStyle name="Normal 2 2 2 2 18 2" xfId="25503" xr:uid="{F05D5205-9456-4CD1-9892-D1621EC0CAAA}"/>
    <cellStyle name="Normal 2 2 2 2 18 3" xfId="42262" xr:uid="{23E3E135-21A6-4897-8123-A7DCC9051044}"/>
    <cellStyle name="Normal 2 2 2 2 19" xfId="17123" xr:uid="{EBB3736F-DEE3-46F3-BD4D-3347753F0D4B}"/>
    <cellStyle name="Normal 2 2 2 2 2" xfId="298" xr:uid="{4E41CD3C-B9E6-4644-87C5-27F46E7204B7}"/>
    <cellStyle name="Normal 2 2 2 2 2 10" xfId="7167" xr:uid="{971D923F-20E6-4CA6-96BF-2D413627F287}"/>
    <cellStyle name="Normal 2 2 2 2 2 10 2" xfId="15547" xr:uid="{48BD92C3-3E9D-4417-9E42-404C2D8F954D}"/>
    <cellStyle name="Normal 2 2 2 2 2 10 2 2" xfId="32307" xr:uid="{74BADE5F-F4BF-4CAA-B7FC-B9ED130EDE40}"/>
    <cellStyle name="Normal 2 2 2 2 2 10 2 3" xfId="49066" xr:uid="{37CC282B-5213-4D8F-8F03-0CB378234DFA}"/>
    <cellStyle name="Normal 2 2 2 2 2 10 3" xfId="23927" xr:uid="{B2F64F5A-A595-46CE-808F-B092D77485A6}"/>
    <cellStyle name="Normal 2 2 2 2 2 10 4" xfId="40686" xr:uid="{6951CA7F-2622-4F94-B412-F51DCCC32484}"/>
    <cellStyle name="Normal 2 2 2 2 2 11" xfId="7573" xr:uid="{B3EA3FBB-C220-4EDE-B5E2-6F6C29C50203}"/>
    <cellStyle name="Normal 2 2 2 2 2 11 2" xfId="15953" xr:uid="{11F0BB2C-DB5A-4DEC-965D-7F033C2FF8B7}"/>
    <cellStyle name="Normal 2 2 2 2 2 11 2 2" xfId="32713" xr:uid="{147AE663-9961-43EB-A7C5-66D5A15D9704}"/>
    <cellStyle name="Normal 2 2 2 2 2 11 2 3" xfId="49472" xr:uid="{A4BF0B12-9724-4679-92B0-85946B5D2EA6}"/>
    <cellStyle name="Normal 2 2 2 2 2 11 3" xfId="24333" xr:uid="{47288D92-2B97-4CEE-AD08-56D8A186CCD0}"/>
    <cellStyle name="Normal 2 2 2 2 2 11 4" xfId="41092" xr:uid="{CD2BC022-A083-4E1B-BA2A-BEB9AC75AC5E}"/>
    <cellStyle name="Normal 2 2 2 2 2 12" xfId="7979" xr:uid="{ABD8F3E3-3DD2-4ECA-A6CA-A944AD9ABE8E}"/>
    <cellStyle name="Normal 2 2 2 2 2 12 2" xfId="16359" xr:uid="{FDDA63BF-E65B-4E65-9D6C-4F497198EB44}"/>
    <cellStyle name="Normal 2 2 2 2 2 12 2 2" xfId="33119" xr:uid="{59601923-DDD2-4489-A7ED-72F70B1C23B9}"/>
    <cellStyle name="Normal 2 2 2 2 2 12 2 3" xfId="49878" xr:uid="{9D073000-811E-4251-BC4A-0AD73A005B7E}"/>
    <cellStyle name="Normal 2 2 2 2 2 12 3" xfId="24739" xr:uid="{474082A5-039A-4E4B-897D-63DB19C4D3B3}"/>
    <cellStyle name="Normal 2 2 2 2 2 12 4" xfId="41498" xr:uid="{30975478-CE10-40FB-9118-9D8B2B847AF9}"/>
    <cellStyle name="Normal 2 2 2 2 2 13" xfId="8385" xr:uid="{1ABDC118-197A-490D-8B1F-B7C8F4F1AEB7}"/>
    <cellStyle name="Normal 2 2 2 2 2 13 2" xfId="16765" xr:uid="{E5112DBF-2B03-4117-BA28-C72C049B35EB}"/>
    <cellStyle name="Normal 2 2 2 2 2 13 2 2" xfId="33525" xr:uid="{FDD07900-8DB9-4A43-A3A4-3F6360EFFDF9}"/>
    <cellStyle name="Normal 2 2 2 2 2 13 2 3" xfId="50284" xr:uid="{832D9C69-EF8D-4CF6-8155-146C8B9924BE}"/>
    <cellStyle name="Normal 2 2 2 2 2 13 3" xfId="25145" xr:uid="{731B638D-69ED-4BFD-842B-841CFDE12B4D}"/>
    <cellStyle name="Normal 2 2 2 2 2 13 4" xfId="41904" xr:uid="{7B1A1A8A-F302-4D6A-A6AF-41C7479A730F}"/>
    <cellStyle name="Normal 2 2 2 2 2 14" xfId="2064" xr:uid="{144B5B14-E43A-436E-8E41-FFBBCC0038E7}"/>
    <cellStyle name="Normal 2 2 2 2 2 14 2" xfId="10452" xr:uid="{52C588AB-0650-4E24-B8A6-34244D3BFF74}"/>
    <cellStyle name="Normal 2 2 2 2 2 14 2 2" xfId="27212" xr:uid="{250CE417-B501-48D8-BFF9-15E1AEDEE397}"/>
    <cellStyle name="Normal 2 2 2 2 2 14 2 3" xfId="43971" xr:uid="{E7C9476A-2872-4729-BA7D-82D65C799D27}"/>
    <cellStyle name="Normal 2 2 2 2 2 14 3" xfId="18832" xr:uid="{A43A886A-9BD1-4C98-A1A7-2902087C7623}"/>
    <cellStyle name="Normal 2 2 2 2 2 14 4" xfId="35591" xr:uid="{22B4545F-940A-499D-B8CB-3DC1579B5357}"/>
    <cellStyle name="Normal 2 2 2 2 2 15" xfId="8771" xr:uid="{36B07A96-9962-446F-AB63-7F15465F68B2}"/>
    <cellStyle name="Normal 2 2 2 2 2 15 2" xfId="25531" xr:uid="{FCAF9BAC-E4A3-4FE1-9A28-B3410DA16A26}"/>
    <cellStyle name="Normal 2 2 2 2 2 15 3" xfId="42290" xr:uid="{75A23C9F-8602-4F64-ADE1-CB6F8DF745D4}"/>
    <cellStyle name="Normal 2 2 2 2 2 16" xfId="17151" xr:uid="{73C8C26D-736D-4D79-91FC-6D7C33B1EE69}"/>
    <cellStyle name="Normal 2 2 2 2 2 17" xfId="33910" xr:uid="{05034707-AB24-40B3-8C17-E5CCC33DD4E5}"/>
    <cellStyle name="Normal 2 2 2 2 2 2" xfId="381" xr:uid="{D5A3BAD1-A352-4127-A7E5-55839C512892}"/>
    <cellStyle name="Normal 2 2 2 2 2 2 10" xfId="7611" xr:uid="{D2504B36-58EF-4FA7-8F5E-049F42D09B10}"/>
    <cellStyle name="Normal 2 2 2 2 2 2 10 2" xfId="15991" xr:uid="{243F2C4D-D461-4FE0-8689-A028D691DA0C}"/>
    <cellStyle name="Normal 2 2 2 2 2 2 10 2 2" xfId="32751" xr:uid="{469E00EF-62BD-4710-A835-946F43FB4DE4}"/>
    <cellStyle name="Normal 2 2 2 2 2 2 10 2 3" xfId="49510" xr:uid="{95249018-9075-4D58-9FDE-7DDD4AC49678}"/>
    <cellStyle name="Normal 2 2 2 2 2 2 10 3" xfId="24371" xr:uid="{80646265-3017-48AF-AB39-089D09F9821C}"/>
    <cellStyle name="Normal 2 2 2 2 2 2 10 4" xfId="41130" xr:uid="{52190105-EE47-458A-B833-0C8EAC432434}"/>
    <cellStyle name="Normal 2 2 2 2 2 2 11" xfId="8017" xr:uid="{2B86A9E0-D73A-4441-8661-2339B284AD2F}"/>
    <cellStyle name="Normal 2 2 2 2 2 2 11 2" xfId="16397" xr:uid="{3968E63E-6F57-42CA-B8E3-22E20D0C05A8}"/>
    <cellStyle name="Normal 2 2 2 2 2 2 11 2 2" xfId="33157" xr:uid="{BCA46792-830D-44F7-BAE0-6A5C571E243D}"/>
    <cellStyle name="Normal 2 2 2 2 2 2 11 2 3" xfId="49916" xr:uid="{F2F4C366-416A-461E-9154-5C8C0133EF97}"/>
    <cellStyle name="Normal 2 2 2 2 2 2 11 3" xfId="24777" xr:uid="{84CC07D2-3504-40E2-848A-8B02DBB4F57F}"/>
    <cellStyle name="Normal 2 2 2 2 2 2 11 4" xfId="41536" xr:uid="{4DCCFF32-3162-45DE-83E3-A673A2651EC7}"/>
    <cellStyle name="Normal 2 2 2 2 2 2 12" xfId="8423" xr:uid="{7363D238-4012-44A0-ADC1-70C5EDFDB01A}"/>
    <cellStyle name="Normal 2 2 2 2 2 2 12 2" xfId="16803" xr:uid="{5E6D64CC-E96E-40C9-BBE6-174DD9F9FCD4}"/>
    <cellStyle name="Normal 2 2 2 2 2 2 12 2 2" xfId="33563" xr:uid="{61AD3028-5386-4A13-9561-F1D6B9050B08}"/>
    <cellStyle name="Normal 2 2 2 2 2 2 12 2 3" xfId="50322" xr:uid="{7740BFC2-6418-44A3-A627-B46EAE7C446A}"/>
    <cellStyle name="Normal 2 2 2 2 2 2 12 3" xfId="25183" xr:uid="{6A5DC05B-B8FE-4E03-92B6-89D19AF364E8}"/>
    <cellStyle name="Normal 2 2 2 2 2 2 12 4" xfId="41942" xr:uid="{A27B2E32-DBEB-459F-BF37-703108BA8700}"/>
    <cellStyle name="Normal 2 2 2 2 2 2 13" xfId="2264" xr:uid="{008B176E-BA15-4184-A340-60E9996AA797}"/>
    <cellStyle name="Normal 2 2 2 2 2 2 13 2" xfId="10648" xr:uid="{DF2C3520-A151-4CF0-A053-5B6F69C7DC0A}"/>
    <cellStyle name="Normal 2 2 2 2 2 2 13 2 2" xfId="27408" xr:uid="{C7E1BD1A-509B-449D-A5B7-D60101043B25}"/>
    <cellStyle name="Normal 2 2 2 2 2 2 13 2 3" xfId="44167" xr:uid="{663A07CE-8EDA-42CB-8806-4A07FB263465}"/>
    <cellStyle name="Normal 2 2 2 2 2 2 13 3" xfId="19028" xr:uid="{9F224166-F3BF-4A5D-8504-1A5CC1374074}"/>
    <cellStyle name="Normal 2 2 2 2 2 2 13 4" xfId="35787" xr:uid="{E2BE5222-F0B8-4D47-BE7B-54D3FA19225E}"/>
    <cellStyle name="Normal 2 2 2 2 2 2 14" xfId="8845" xr:uid="{DFD899CF-E262-4FC3-B582-A773BBA2A7D6}"/>
    <cellStyle name="Normal 2 2 2 2 2 2 14 2" xfId="25605" xr:uid="{C352C96A-D931-46B1-ADEB-ED9F65C12DB0}"/>
    <cellStyle name="Normal 2 2 2 2 2 2 14 3" xfId="42364" xr:uid="{E6763D3A-A448-4760-8AA1-2E5E76109426}"/>
    <cellStyle name="Normal 2 2 2 2 2 2 15" xfId="17225" xr:uid="{356E242A-BD52-4887-B4D2-A1BCCF8480B2}"/>
    <cellStyle name="Normal 2 2 2 2 2 2 16" xfId="33984" xr:uid="{59EDE536-2E65-40FE-B9BB-83F65110093A}"/>
    <cellStyle name="Normal 2 2 2 2 2 2 2" xfId="609" xr:uid="{4570C177-0FCE-444A-92CA-D3069A9B990B}"/>
    <cellStyle name="Normal 2 2 2 2 2 2 2 10" xfId="8534" xr:uid="{1355F853-8E89-4F86-AE69-EEE657442EE2}"/>
    <cellStyle name="Normal 2 2 2 2 2 2 2 10 2" xfId="16914" xr:uid="{E30DAB64-47BE-4462-89EA-DF4DBE6C951D}"/>
    <cellStyle name="Normal 2 2 2 2 2 2 2 10 2 2" xfId="33674" xr:uid="{AE35A44F-C49D-4786-8672-69939207D095}"/>
    <cellStyle name="Normal 2 2 2 2 2 2 2 10 2 3" xfId="50433" xr:uid="{29E7BE88-17B8-4969-AEEE-914BCF0D7C7D}"/>
    <cellStyle name="Normal 2 2 2 2 2 2 2 10 3" xfId="25294" xr:uid="{C2B0D8E1-5A4D-4952-9CEF-DC5FD7D92E80}"/>
    <cellStyle name="Normal 2 2 2 2 2 2 2 10 4" xfId="42053" xr:uid="{801CFF07-3FCB-4A45-A012-E6BD13EE194E}"/>
    <cellStyle name="Normal 2 2 2 2 2 2 2 11" xfId="2441" xr:uid="{7668FD7A-873A-42CF-956D-9DF632DFFD21}"/>
    <cellStyle name="Normal 2 2 2 2 2 2 2 11 2" xfId="10823" xr:uid="{CB06359A-3C37-45A8-AB52-EA6454D3477C}"/>
    <cellStyle name="Normal 2 2 2 2 2 2 2 11 2 2" xfId="27583" xr:uid="{3F4F81C5-EB32-4EF6-8D42-5FFCA536FEB6}"/>
    <cellStyle name="Normal 2 2 2 2 2 2 2 11 2 3" xfId="44342" xr:uid="{6722B6A9-6716-4AF8-B026-F32C54E368CB}"/>
    <cellStyle name="Normal 2 2 2 2 2 2 2 11 3" xfId="19203" xr:uid="{4798715C-BB17-43D9-98CA-39D3AD358A78}"/>
    <cellStyle name="Normal 2 2 2 2 2 2 2 11 4" xfId="35962" xr:uid="{30D3A191-5B29-469D-B954-0CDDE75D54BA}"/>
    <cellStyle name="Normal 2 2 2 2 2 2 2 12" xfId="9020" xr:uid="{E14A6279-BB88-491E-8B6F-EFFB1A5634E3}"/>
    <cellStyle name="Normal 2 2 2 2 2 2 2 12 2" xfId="25780" xr:uid="{0AE62AA1-5070-4C6C-B8A2-979962337608}"/>
    <cellStyle name="Normal 2 2 2 2 2 2 2 12 3" xfId="42539" xr:uid="{30846A11-F55A-45E5-B592-E67CFC93DB54}"/>
    <cellStyle name="Normal 2 2 2 2 2 2 2 13" xfId="17400" xr:uid="{3BFFE0B7-CE3A-459B-9723-C80BEA9B5D23}"/>
    <cellStyle name="Normal 2 2 2 2 2 2 2 14" xfId="34159" xr:uid="{E9DF137E-8E86-43A8-9AC8-F500E7778ABA}"/>
    <cellStyle name="Normal 2 2 2 2 2 2 2 2" xfId="1051" xr:uid="{7B757E2B-66CF-4B99-8F0D-644188B8ECE4}"/>
    <cellStyle name="Normal 2 2 2 2 2 2 2 2 2" xfId="4446" xr:uid="{8A7F06DA-79B6-44C9-AAD2-6B9DF5D53F1B}"/>
    <cellStyle name="Normal 2 2 2 2 2 2 2 2 2 2" xfId="12826" xr:uid="{8EDE61C7-3CD2-4446-8E8F-4F9D130E17ED}"/>
    <cellStyle name="Normal 2 2 2 2 2 2 2 2 2 2 2" xfId="29586" xr:uid="{D4FFF4AF-BEF9-4FA8-B442-4E5CBBCDB19C}"/>
    <cellStyle name="Normal 2 2 2 2 2 2 2 2 2 2 3" xfId="46345" xr:uid="{E716F5DA-867C-4EF6-A3EB-C567025C161C}"/>
    <cellStyle name="Normal 2 2 2 2 2 2 2 2 2 3" xfId="21206" xr:uid="{6A092B98-A0D6-45DA-A150-ABB02C3DE3FC}"/>
    <cellStyle name="Normal 2 2 2 2 2 2 2 2 2 4" xfId="37965" xr:uid="{C9098E7C-F874-486C-B56F-189AE289F411}"/>
    <cellStyle name="Normal 2 2 2 2 2 2 2 2 3" xfId="6133" xr:uid="{D5396A0A-84FC-4BC9-9D85-07D10876C2AF}"/>
    <cellStyle name="Normal 2 2 2 2 2 2 2 2 3 2" xfId="14513" xr:uid="{1E2601C0-3E52-470E-BEF4-EF0532853B9B}"/>
    <cellStyle name="Normal 2 2 2 2 2 2 2 2 3 2 2" xfId="31273" xr:uid="{25F3ACC1-2EE9-49C2-B37E-108FEF0EC18B}"/>
    <cellStyle name="Normal 2 2 2 2 2 2 2 2 3 2 3" xfId="48032" xr:uid="{DA68BCD9-5F6C-4C2C-B740-037EA6BEBB95}"/>
    <cellStyle name="Normal 2 2 2 2 2 2 2 2 3 3" xfId="22893" xr:uid="{4CF074E0-3A56-4DFB-88AD-CF54C47B0303}"/>
    <cellStyle name="Normal 2 2 2 2 2 2 2 2 3 4" xfId="39652" xr:uid="{A0F4E593-AA7B-4E90-8B6E-209795649761}"/>
    <cellStyle name="Normal 2 2 2 2 2 2 2 2 4" xfId="2869" xr:uid="{277BE462-E3D8-46ED-B67C-A90D23DBF40D}"/>
    <cellStyle name="Normal 2 2 2 2 2 2 2 2 4 2" xfId="11249" xr:uid="{BC5A8A09-8042-47FE-A940-78DFD7DA31B3}"/>
    <cellStyle name="Normal 2 2 2 2 2 2 2 2 4 2 2" xfId="28009" xr:uid="{718F2065-22B8-40FF-9838-5BE328214C49}"/>
    <cellStyle name="Normal 2 2 2 2 2 2 2 2 4 2 3" xfId="44768" xr:uid="{5233402D-7604-4B77-B29F-26C24372106B}"/>
    <cellStyle name="Normal 2 2 2 2 2 2 2 2 4 3" xfId="19629" xr:uid="{6A679229-93E1-477A-B5ED-567FB5AF402D}"/>
    <cellStyle name="Normal 2 2 2 2 2 2 2 2 4 4" xfId="36388" xr:uid="{CBA3F2CA-ED8C-48F5-BE2C-12CB13C321A9}"/>
    <cellStyle name="Normal 2 2 2 2 2 2 2 2 5" xfId="9446" xr:uid="{E1E7BDE8-55D0-48D9-A0ED-ED3B38AC8954}"/>
    <cellStyle name="Normal 2 2 2 2 2 2 2 2 5 2" xfId="26206" xr:uid="{72430FEB-EC36-4B9E-8A47-F1E3C7EDE7BC}"/>
    <cellStyle name="Normal 2 2 2 2 2 2 2 2 5 3" xfId="42965" xr:uid="{AF259F47-ACAE-4E29-B525-E8FC8209AA98}"/>
    <cellStyle name="Normal 2 2 2 2 2 2 2 2 6" xfId="17826" xr:uid="{BE756D7E-7402-4AB1-BD72-598146FBEF12}"/>
    <cellStyle name="Normal 2 2 2 2 2 2 2 2 7" xfId="34585" xr:uid="{EE87933B-22AC-48BC-A7FE-57CD871E6E53}"/>
    <cellStyle name="Normal 2 2 2 2 2 2 2 3" xfId="1485" xr:uid="{3C4BE2BD-AE47-472F-BD31-C6B94E2B1F97}"/>
    <cellStyle name="Normal 2 2 2 2 2 2 2 3 2" xfId="4874" xr:uid="{B1DBA7F8-25F2-4090-B19F-8D20F44E05A7}"/>
    <cellStyle name="Normal 2 2 2 2 2 2 2 3 2 2" xfId="13254" xr:uid="{9AF1DE08-DF41-4E1A-820E-F19A9C238133}"/>
    <cellStyle name="Normal 2 2 2 2 2 2 2 3 2 2 2" xfId="30014" xr:uid="{A9D9C0B2-527C-4045-A774-46DDFD9639EF}"/>
    <cellStyle name="Normal 2 2 2 2 2 2 2 3 2 2 3" xfId="46773" xr:uid="{22FED7EE-E6C9-4221-AA99-783DA513C691}"/>
    <cellStyle name="Normal 2 2 2 2 2 2 2 3 2 3" xfId="21634" xr:uid="{E40C9328-A803-46DF-A7B6-0A4D872FD6ED}"/>
    <cellStyle name="Normal 2 2 2 2 2 2 2 3 2 4" xfId="38393" xr:uid="{53CAA860-8E84-4AF9-8309-D3749DFC2DCC}"/>
    <cellStyle name="Normal 2 2 2 2 2 2 2 3 3" xfId="6561" xr:uid="{738AFC37-C15D-421F-A406-7172377F8792}"/>
    <cellStyle name="Normal 2 2 2 2 2 2 2 3 3 2" xfId="14941" xr:uid="{84891FA2-1C2F-48E5-BA7F-371FA96FB99D}"/>
    <cellStyle name="Normal 2 2 2 2 2 2 2 3 3 2 2" xfId="31701" xr:uid="{0AB83657-874B-42C7-8F28-1261F6C33AE5}"/>
    <cellStyle name="Normal 2 2 2 2 2 2 2 3 3 2 3" xfId="48460" xr:uid="{99EDC71A-7E1C-43D5-8184-2FDB48D3BD5C}"/>
    <cellStyle name="Normal 2 2 2 2 2 2 2 3 3 3" xfId="23321" xr:uid="{F9FBC541-9D19-45B1-9B58-C57DFC5EEF2D}"/>
    <cellStyle name="Normal 2 2 2 2 2 2 2 3 3 4" xfId="40080" xr:uid="{424667A5-5FFC-481B-84EE-7B800B0FB584}"/>
    <cellStyle name="Normal 2 2 2 2 2 2 2 3 4" xfId="3297" xr:uid="{6C4CCA3E-6D8D-45D3-A82D-47D8D58F90C2}"/>
    <cellStyle name="Normal 2 2 2 2 2 2 2 3 4 2" xfId="11677" xr:uid="{8EE008D8-20BB-47AF-9010-AF9846BDD8B8}"/>
    <cellStyle name="Normal 2 2 2 2 2 2 2 3 4 2 2" xfId="28437" xr:uid="{13607A1F-7693-4EE5-A3A5-1BE334B3EB97}"/>
    <cellStyle name="Normal 2 2 2 2 2 2 2 3 4 2 3" xfId="45196" xr:uid="{49131F3D-DD83-459C-80C8-4D8BEC05B233}"/>
    <cellStyle name="Normal 2 2 2 2 2 2 2 3 4 3" xfId="20057" xr:uid="{067E121B-D9CB-453B-A677-93CEAAB62959}"/>
    <cellStyle name="Normal 2 2 2 2 2 2 2 3 4 4" xfId="36816" xr:uid="{F22E3263-84B7-4A3F-AE05-B06B438A2C56}"/>
    <cellStyle name="Normal 2 2 2 2 2 2 2 3 5" xfId="9874" xr:uid="{3B081601-BBED-4F73-8526-F75CB54D32A9}"/>
    <cellStyle name="Normal 2 2 2 2 2 2 2 3 5 2" xfId="26634" xr:uid="{0FAD7AF7-0131-4788-BF37-6A3EB630527E}"/>
    <cellStyle name="Normal 2 2 2 2 2 2 2 3 5 3" xfId="43393" xr:uid="{5E83D9D8-7EC1-4E3D-AECC-9C1F25DBEA12}"/>
    <cellStyle name="Normal 2 2 2 2 2 2 2 3 6" xfId="18254" xr:uid="{55413D2E-1D61-46D4-8A0F-D862B759D328}"/>
    <cellStyle name="Normal 2 2 2 2 2 2 2 3 7" xfId="35013" xr:uid="{842D48A4-99C1-4EED-879C-4DC78DD49089}"/>
    <cellStyle name="Normal 2 2 2 2 2 2 2 4" xfId="1834" xr:uid="{D9E34857-75D9-4246-94D9-14EDD80F64D8}"/>
    <cellStyle name="Normal 2 2 2 2 2 2 2 4 2" xfId="5223" xr:uid="{22AAF256-A51A-43E2-B35D-B808B1DB5292}"/>
    <cellStyle name="Normal 2 2 2 2 2 2 2 4 2 2" xfId="13603" xr:uid="{C53986F5-C879-4CDF-8A4B-4B2B50FE0464}"/>
    <cellStyle name="Normal 2 2 2 2 2 2 2 4 2 2 2" xfId="30363" xr:uid="{A6EAE8F7-D4A4-4E78-A9B6-CA03F60BA1DA}"/>
    <cellStyle name="Normal 2 2 2 2 2 2 2 4 2 2 3" xfId="47122" xr:uid="{D68CD592-636B-4A65-9D5B-E029BA2FE790}"/>
    <cellStyle name="Normal 2 2 2 2 2 2 2 4 2 3" xfId="21983" xr:uid="{5ADE3845-27E6-4C74-94FE-064D788293CF}"/>
    <cellStyle name="Normal 2 2 2 2 2 2 2 4 2 4" xfId="38742" xr:uid="{E1DB0F1B-6BE8-46BB-BCF6-C84C2F66D1B4}"/>
    <cellStyle name="Normal 2 2 2 2 2 2 2 4 3" xfId="6910" xr:uid="{E31C46B6-99DF-4886-A5D4-841B5DBE046D}"/>
    <cellStyle name="Normal 2 2 2 2 2 2 2 4 3 2" xfId="15290" xr:uid="{23D87118-07F3-40D1-9538-A7D8765627A4}"/>
    <cellStyle name="Normal 2 2 2 2 2 2 2 4 3 2 2" xfId="32050" xr:uid="{95A67853-C280-4645-9B5E-2F2A0482B1A4}"/>
    <cellStyle name="Normal 2 2 2 2 2 2 2 4 3 2 3" xfId="48809" xr:uid="{B6A97C0F-49A6-4818-A8D4-D3E185F3E0F6}"/>
    <cellStyle name="Normal 2 2 2 2 2 2 2 4 3 3" xfId="23670" xr:uid="{ADBB5F48-2E2B-4202-B1C2-4AFB40829A58}"/>
    <cellStyle name="Normal 2 2 2 2 2 2 2 4 3 4" xfId="40429" xr:uid="{8CA8AC2A-52E9-4928-A57B-739D4CAED49D}"/>
    <cellStyle name="Normal 2 2 2 2 2 2 2 4 4" xfId="3534" xr:uid="{1F83FD9F-28C6-43CD-A8FE-CB9CB9F79525}"/>
    <cellStyle name="Normal 2 2 2 2 2 2 2 4 4 2" xfId="11914" xr:uid="{E5532854-9A30-4854-9D97-871894A17884}"/>
    <cellStyle name="Normal 2 2 2 2 2 2 2 4 4 2 2" xfId="28674" xr:uid="{82257EA5-6AFA-47C0-9008-D96FF6003D18}"/>
    <cellStyle name="Normal 2 2 2 2 2 2 2 4 4 2 3" xfId="45433" xr:uid="{5DDCF75E-A9AB-4669-96D3-C29BF406A92A}"/>
    <cellStyle name="Normal 2 2 2 2 2 2 2 4 4 3" xfId="20294" xr:uid="{C6F9B217-8F7C-4A9A-BF1B-C225BB08EC37}"/>
    <cellStyle name="Normal 2 2 2 2 2 2 2 4 4 4" xfId="37053" xr:uid="{DC230888-BA69-41DE-BC39-82603E4E07F1}"/>
    <cellStyle name="Normal 2 2 2 2 2 2 2 4 5" xfId="10223" xr:uid="{4AE26E16-8FDC-48CD-A8CD-0F25075C9883}"/>
    <cellStyle name="Normal 2 2 2 2 2 2 2 4 5 2" xfId="26983" xr:uid="{BF4EE2C4-7AC1-493A-9D71-90B3DFE8BA39}"/>
    <cellStyle name="Normal 2 2 2 2 2 2 2 4 5 3" xfId="43742" xr:uid="{F7A9C11A-9C0D-4BC2-8838-AD92447CC525}"/>
    <cellStyle name="Normal 2 2 2 2 2 2 2 4 6" xfId="18603" xr:uid="{3B28A492-0E48-4FBA-BD97-0E6FDF7B80CD}"/>
    <cellStyle name="Normal 2 2 2 2 2 2 2 4 7" xfId="35362" xr:uid="{41714468-2437-4166-BC5F-46B9760D077A}"/>
    <cellStyle name="Normal 2 2 2 2 2 2 2 5" xfId="3953" xr:uid="{98C1480E-5721-4A60-B06F-6E85775E3012}"/>
    <cellStyle name="Normal 2 2 2 2 2 2 2 5 2" xfId="12333" xr:uid="{22340A3A-CCDE-4B05-A0A7-C1BC52797821}"/>
    <cellStyle name="Normal 2 2 2 2 2 2 2 5 2 2" xfId="29093" xr:uid="{A0954E3E-BCED-45AA-9B4E-5D5709CF91FC}"/>
    <cellStyle name="Normal 2 2 2 2 2 2 2 5 2 3" xfId="45852" xr:uid="{E8BA6373-6C3C-403C-B1AC-4E796B5BEBAE}"/>
    <cellStyle name="Normal 2 2 2 2 2 2 2 5 3" xfId="20713" xr:uid="{EA4D563A-C4FE-49E4-B70F-BA1DF1CE5A7E}"/>
    <cellStyle name="Normal 2 2 2 2 2 2 2 5 4" xfId="37472" xr:uid="{237A7A4F-3F23-45E2-AC3E-3B9E5374E64A}"/>
    <cellStyle name="Normal 2 2 2 2 2 2 2 6" xfId="5707" xr:uid="{DD4B2B24-0091-498A-B8BE-5D88E3B77811}"/>
    <cellStyle name="Normal 2 2 2 2 2 2 2 6 2" xfId="14087" xr:uid="{DDCAEEA6-B8DC-4636-BFC0-9CB47DB012B8}"/>
    <cellStyle name="Normal 2 2 2 2 2 2 2 6 2 2" xfId="30847" xr:uid="{C2486F66-521F-49AB-9B5F-F3BCD1D3A837}"/>
    <cellStyle name="Normal 2 2 2 2 2 2 2 6 2 3" xfId="47606" xr:uid="{84E5E0A9-BDDC-4078-995A-7C66C57D5352}"/>
    <cellStyle name="Normal 2 2 2 2 2 2 2 6 3" xfId="22467" xr:uid="{5CD6CA14-8B3F-48DC-8C50-7062589E951D}"/>
    <cellStyle name="Normal 2 2 2 2 2 2 2 6 4" xfId="39226" xr:uid="{F103CBC2-7625-4FD0-BB7E-85F33345C93C}"/>
    <cellStyle name="Normal 2 2 2 2 2 2 2 7" xfId="7316" xr:uid="{F9982A6F-9269-4AF1-8955-6A4F5ECFD5F0}"/>
    <cellStyle name="Normal 2 2 2 2 2 2 2 7 2" xfId="15696" xr:uid="{45A6AC68-81D0-4F96-ADA6-6BAC41AD7D79}"/>
    <cellStyle name="Normal 2 2 2 2 2 2 2 7 2 2" xfId="32456" xr:uid="{C518D951-A04E-460C-B62D-F9DE2BF9F3C3}"/>
    <cellStyle name="Normal 2 2 2 2 2 2 2 7 2 3" xfId="49215" xr:uid="{4C72C561-3B0A-4D74-8287-D0070AEB519D}"/>
    <cellStyle name="Normal 2 2 2 2 2 2 2 7 3" xfId="24076" xr:uid="{EA61D4C8-599C-4271-BE95-E3EA8E031A7D}"/>
    <cellStyle name="Normal 2 2 2 2 2 2 2 7 4" xfId="40835" xr:uid="{3A529C49-4BA3-47CC-BB0A-ED03AF02B11E}"/>
    <cellStyle name="Normal 2 2 2 2 2 2 2 8" xfId="7722" xr:uid="{3044BFC8-32F5-4792-97B4-A72D40A29BB5}"/>
    <cellStyle name="Normal 2 2 2 2 2 2 2 8 2" xfId="16102" xr:uid="{61B52D72-DDA7-4E77-8810-01B551A959CD}"/>
    <cellStyle name="Normal 2 2 2 2 2 2 2 8 2 2" xfId="32862" xr:uid="{8AC16C41-AAC7-4505-8911-0EBD1510DF6A}"/>
    <cellStyle name="Normal 2 2 2 2 2 2 2 8 2 3" xfId="49621" xr:uid="{7DE6D67E-40E6-4A08-88B2-8F7B1E83EA00}"/>
    <cellStyle name="Normal 2 2 2 2 2 2 2 8 3" xfId="24482" xr:uid="{4C8C35F8-DB1A-444A-B950-C40F15BD386B}"/>
    <cellStyle name="Normal 2 2 2 2 2 2 2 8 4" xfId="41241" xr:uid="{2766C862-73F3-432F-B61F-9220BB90BA2F}"/>
    <cellStyle name="Normal 2 2 2 2 2 2 2 9" xfId="8128" xr:uid="{D1C967AB-23EC-474D-AEF9-4DDF3FDC718C}"/>
    <cellStyle name="Normal 2 2 2 2 2 2 2 9 2" xfId="16508" xr:uid="{834AFFAE-F8C3-4DE7-AF5F-47A4F769C7FE}"/>
    <cellStyle name="Normal 2 2 2 2 2 2 2 9 2 2" xfId="33268" xr:uid="{3F3A4CCF-7D04-4F52-B870-D46E1CE1291B}"/>
    <cellStyle name="Normal 2 2 2 2 2 2 2 9 2 3" xfId="50027" xr:uid="{DCA897E5-EC60-4112-86B4-561FC48BE8A9}"/>
    <cellStyle name="Normal 2 2 2 2 2 2 2 9 3" xfId="24888" xr:uid="{1D13A592-50BB-4B34-BA40-09586D6D2046}"/>
    <cellStyle name="Normal 2 2 2 2 2 2 2 9 4" xfId="41647" xr:uid="{49680C33-0F30-4C55-9E52-2C4933C3B246}"/>
    <cellStyle name="Normal 2 2 2 2 2 2 3" xfId="610" xr:uid="{1C8ED144-102B-4DDB-A56B-845208DB4A58}"/>
    <cellStyle name="Normal 2 2 2 2 2 2 3 10" xfId="8694" xr:uid="{0CF20C3A-99FE-4871-BBDE-AAB3D610B0D8}"/>
    <cellStyle name="Normal 2 2 2 2 2 2 3 10 2" xfId="17074" xr:uid="{92F39488-F186-4D95-B701-863C3EDA8D91}"/>
    <cellStyle name="Normal 2 2 2 2 2 2 3 10 2 2" xfId="33834" xr:uid="{3FC0BD77-D976-4A12-836E-2E682AAB8405}"/>
    <cellStyle name="Normal 2 2 2 2 2 2 3 10 2 3" xfId="50593" xr:uid="{0E1F7183-EB16-4B3B-947B-BE97950FF1A3}"/>
    <cellStyle name="Normal 2 2 2 2 2 2 3 10 3" xfId="25454" xr:uid="{1E405035-193C-4D19-AD70-A9C9E13CF9BB}"/>
    <cellStyle name="Normal 2 2 2 2 2 2 3 10 4" xfId="42213" xr:uid="{773AFF29-4EEE-42C2-8744-87FD343ADFBC}"/>
    <cellStyle name="Normal 2 2 2 2 2 2 3 11" xfId="2442" xr:uid="{4785A72A-BCB9-49B9-A294-AF9FC4F15F67}"/>
    <cellStyle name="Normal 2 2 2 2 2 2 3 11 2" xfId="10824" xr:uid="{62BC62E5-AB3F-498C-80CA-6A5D986C0EE4}"/>
    <cellStyle name="Normal 2 2 2 2 2 2 3 11 2 2" xfId="27584" xr:uid="{C23FF9CA-7C46-4A07-A018-39D730E84B32}"/>
    <cellStyle name="Normal 2 2 2 2 2 2 3 11 2 3" xfId="44343" xr:uid="{8119D08A-4F08-4028-BD41-120A203FF3A7}"/>
    <cellStyle name="Normal 2 2 2 2 2 2 3 11 3" xfId="19204" xr:uid="{7AAC4AE4-A70C-45D4-BCAA-D70017F03F62}"/>
    <cellStyle name="Normal 2 2 2 2 2 2 3 11 4" xfId="35963" xr:uid="{CB9A8B1C-D557-4247-9657-D16C55B8E114}"/>
    <cellStyle name="Normal 2 2 2 2 2 2 3 12" xfId="9021" xr:uid="{3689AF64-BDB6-44F5-83B0-10D8ADE196F8}"/>
    <cellStyle name="Normal 2 2 2 2 2 2 3 12 2" xfId="25781" xr:uid="{503B2CE8-EAD3-4AD4-BA82-4BC3EB6A0A4A}"/>
    <cellStyle name="Normal 2 2 2 2 2 2 3 12 3" xfId="42540" xr:uid="{7E501993-DFC5-476B-9FDA-4E9688B521D9}"/>
    <cellStyle name="Normal 2 2 2 2 2 2 3 13" xfId="17401" xr:uid="{6DF0B898-3F10-488A-BDC3-61447218942B}"/>
    <cellStyle name="Normal 2 2 2 2 2 2 3 14" xfId="34160" xr:uid="{DE13D7E3-4A0E-403D-AFF5-19ED527D9022}"/>
    <cellStyle name="Normal 2 2 2 2 2 2 3 2" xfId="1052" xr:uid="{25AF54BF-12CF-402F-BB0D-E5B4A0835F0C}"/>
    <cellStyle name="Normal 2 2 2 2 2 2 3 2 2" xfId="4447" xr:uid="{B2A98513-6290-47CA-9F20-D45D691E8686}"/>
    <cellStyle name="Normal 2 2 2 2 2 2 3 2 2 2" xfId="12827" xr:uid="{986717B3-4A40-4B6C-BD21-A42AA7609713}"/>
    <cellStyle name="Normal 2 2 2 2 2 2 3 2 2 2 2" xfId="29587" xr:uid="{3EDAE370-9DA1-4354-A752-DBFF39413331}"/>
    <cellStyle name="Normal 2 2 2 2 2 2 3 2 2 2 3" xfId="46346" xr:uid="{4F5B487C-0594-4C58-8E9A-B727E9063DF1}"/>
    <cellStyle name="Normal 2 2 2 2 2 2 3 2 2 3" xfId="21207" xr:uid="{8E111E20-49A7-4FA3-98AA-F794F5CEB13C}"/>
    <cellStyle name="Normal 2 2 2 2 2 2 3 2 2 4" xfId="37966" xr:uid="{12F6FA71-94D5-48AE-A57F-7E05F8E97973}"/>
    <cellStyle name="Normal 2 2 2 2 2 2 3 2 3" xfId="6134" xr:uid="{E312C419-30F0-4C70-B316-6C4DC5C8CC6E}"/>
    <cellStyle name="Normal 2 2 2 2 2 2 3 2 3 2" xfId="14514" xr:uid="{723C1E30-1362-4015-861A-A01860F5F754}"/>
    <cellStyle name="Normal 2 2 2 2 2 2 3 2 3 2 2" xfId="31274" xr:uid="{17D45277-3B3B-4209-B33C-5B2AEBC9F02D}"/>
    <cellStyle name="Normal 2 2 2 2 2 2 3 2 3 2 3" xfId="48033" xr:uid="{4D684D40-DFE9-45B4-A0DB-54FA949D6C69}"/>
    <cellStyle name="Normal 2 2 2 2 2 2 3 2 3 3" xfId="22894" xr:uid="{D8F557A8-380C-4890-9D3B-25DB02E519FC}"/>
    <cellStyle name="Normal 2 2 2 2 2 2 3 2 3 4" xfId="39653" xr:uid="{29E6AF83-F4C4-432B-A055-52106915DC8A}"/>
    <cellStyle name="Normal 2 2 2 2 2 2 3 2 4" xfId="2870" xr:uid="{4958F452-138D-448D-92F2-FBCCBEC11C2A}"/>
    <cellStyle name="Normal 2 2 2 2 2 2 3 2 4 2" xfId="11250" xr:uid="{6B4EB3B1-E757-4996-9FFA-E5B617841038}"/>
    <cellStyle name="Normal 2 2 2 2 2 2 3 2 4 2 2" xfId="28010" xr:uid="{8742F6A6-1A2C-4EC0-9B41-C6319933577B}"/>
    <cellStyle name="Normal 2 2 2 2 2 2 3 2 4 2 3" xfId="44769" xr:uid="{3663674F-8635-465A-BF63-F687074F86C4}"/>
    <cellStyle name="Normal 2 2 2 2 2 2 3 2 4 3" xfId="19630" xr:uid="{1259C78E-FF6B-42B3-95D5-C2776566EFFC}"/>
    <cellStyle name="Normal 2 2 2 2 2 2 3 2 4 4" xfId="36389" xr:uid="{751E8398-633A-4165-9B7C-3E0CF1E6B2C2}"/>
    <cellStyle name="Normal 2 2 2 2 2 2 3 2 5" xfId="9447" xr:uid="{8425F078-43D0-4383-954A-82E880D7C34E}"/>
    <cellStyle name="Normal 2 2 2 2 2 2 3 2 5 2" xfId="26207" xr:uid="{2B241BFF-04CB-4D5C-89D1-2D78BCF60F67}"/>
    <cellStyle name="Normal 2 2 2 2 2 2 3 2 5 3" xfId="42966" xr:uid="{4170D2FE-F9D4-4157-8D5A-0B35521534BA}"/>
    <cellStyle name="Normal 2 2 2 2 2 2 3 2 6" xfId="17827" xr:uid="{ABEC3E0D-B13E-40A4-B3F0-04C6BD1C9406}"/>
    <cellStyle name="Normal 2 2 2 2 2 2 3 2 7" xfId="34586" xr:uid="{05F46682-9AA8-47FB-9957-193A6136A42D}"/>
    <cellStyle name="Normal 2 2 2 2 2 2 3 3" xfId="1486" xr:uid="{587967B0-DA70-43FF-A56B-700F30E393DD}"/>
    <cellStyle name="Normal 2 2 2 2 2 2 3 3 2" xfId="4875" xr:uid="{EBF6C029-7C7F-4717-9DCD-63AD77908A45}"/>
    <cellStyle name="Normal 2 2 2 2 2 2 3 3 2 2" xfId="13255" xr:uid="{CE8A929A-B60F-4BBD-9C70-AAEBC9BD9A68}"/>
    <cellStyle name="Normal 2 2 2 2 2 2 3 3 2 2 2" xfId="30015" xr:uid="{B65BCCA3-5F95-4394-BAA4-A5313D57617C}"/>
    <cellStyle name="Normal 2 2 2 2 2 2 3 3 2 2 3" xfId="46774" xr:uid="{99FD035A-7238-4F7A-AAF1-305C6FA2CABE}"/>
    <cellStyle name="Normal 2 2 2 2 2 2 3 3 2 3" xfId="21635" xr:uid="{E1D60079-C966-4B89-9408-0BEE555753B1}"/>
    <cellStyle name="Normal 2 2 2 2 2 2 3 3 2 4" xfId="38394" xr:uid="{E6CE48B6-97B0-41CE-B6A5-00AB7F353977}"/>
    <cellStyle name="Normal 2 2 2 2 2 2 3 3 3" xfId="6562" xr:uid="{A094BB9A-F138-4A59-995D-4528285744A5}"/>
    <cellStyle name="Normal 2 2 2 2 2 2 3 3 3 2" xfId="14942" xr:uid="{A657C357-70A4-47DE-A516-03A48B3EC1CD}"/>
    <cellStyle name="Normal 2 2 2 2 2 2 3 3 3 2 2" xfId="31702" xr:uid="{F6C3DCC6-4A01-477D-BED0-6554A9D4CF31}"/>
    <cellStyle name="Normal 2 2 2 2 2 2 3 3 3 2 3" xfId="48461" xr:uid="{21FA2D0E-14E8-44B8-B906-B35820BE9CA0}"/>
    <cellStyle name="Normal 2 2 2 2 2 2 3 3 3 3" xfId="23322" xr:uid="{7165AB5C-911E-426C-82D6-AC89BFC647B6}"/>
    <cellStyle name="Normal 2 2 2 2 2 2 3 3 3 4" xfId="40081" xr:uid="{B0063EFF-F44F-4B59-8A8F-E801B3E31FB5}"/>
    <cellStyle name="Normal 2 2 2 2 2 2 3 3 4" xfId="3298" xr:uid="{12074419-6386-4C03-88D9-B532755A7356}"/>
    <cellStyle name="Normal 2 2 2 2 2 2 3 3 4 2" xfId="11678" xr:uid="{782E0DC8-8723-49EA-BE04-3B04A9FFC877}"/>
    <cellStyle name="Normal 2 2 2 2 2 2 3 3 4 2 2" xfId="28438" xr:uid="{B1FB46EA-2EED-4BF4-A161-81C2982EB7A7}"/>
    <cellStyle name="Normal 2 2 2 2 2 2 3 3 4 2 3" xfId="45197" xr:uid="{60786E76-225E-46D9-B17F-596BAA7DD327}"/>
    <cellStyle name="Normal 2 2 2 2 2 2 3 3 4 3" xfId="20058" xr:uid="{2D2CECB9-DD6F-4ADC-B324-971C873A9686}"/>
    <cellStyle name="Normal 2 2 2 2 2 2 3 3 4 4" xfId="36817" xr:uid="{9133E2AD-0A5E-4CF0-8F68-EE82B410284E}"/>
    <cellStyle name="Normal 2 2 2 2 2 2 3 3 5" xfId="9875" xr:uid="{45CC1028-167E-448C-B986-82129E303A75}"/>
    <cellStyle name="Normal 2 2 2 2 2 2 3 3 5 2" xfId="26635" xr:uid="{9DCDFF99-183A-4A44-A5BA-D4BC89ED5755}"/>
    <cellStyle name="Normal 2 2 2 2 2 2 3 3 5 3" xfId="43394" xr:uid="{3DBBF00B-91EE-4E55-A924-F49426B93AC2}"/>
    <cellStyle name="Normal 2 2 2 2 2 2 3 3 6" xfId="18255" xr:uid="{BA5BC24D-4EE5-4BA8-B759-5C3041FC6F46}"/>
    <cellStyle name="Normal 2 2 2 2 2 2 3 3 7" xfId="35014" xr:uid="{BF5C0A75-6A7A-42CC-9615-951CA00F835D}"/>
    <cellStyle name="Normal 2 2 2 2 2 2 3 4" xfId="1994" xr:uid="{3A27B37F-F09C-4035-B3FF-4B9D40E33C65}"/>
    <cellStyle name="Normal 2 2 2 2 2 2 3 4 2" xfId="5383" xr:uid="{05C17841-627D-4ACF-B40D-6D1EB22B1705}"/>
    <cellStyle name="Normal 2 2 2 2 2 2 3 4 2 2" xfId="13763" xr:uid="{1E02F2AB-54E4-4D2B-88F1-F9819C633101}"/>
    <cellStyle name="Normal 2 2 2 2 2 2 3 4 2 2 2" xfId="30523" xr:uid="{4F7EB276-FBFC-4AE9-A825-168A1B5D20A3}"/>
    <cellStyle name="Normal 2 2 2 2 2 2 3 4 2 2 3" xfId="47282" xr:uid="{76552C6C-3A89-4610-8803-627874E82073}"/>
    <cellStyle name="Normal 2 2 2 2 2 2 3 4 2 3" xfId="22143" xr:uid="{86E09123-F6DB-4FB5-A37F-DA5EE10E7E6F}"/>
    <cellStyle name="Normal 2 2 2 2 2 2 3 4 2 4" xfId="38902" xr:uid="{A4F474FB-9C23-413A-B663-4C5CC9399CCF}"/>
    <cellStyle name="Normal 2 2 2 2 2 2 3 4 3" xfId="7070" xr:uid="{D4D4293D-13EF-4FCF-9CAC-D3B552386970}"/>
    <cellStyle name="Normal 2 2 2 2 2 2 3 4 3 2" xfId="15450" xr:uid="{00B1D8CD-85B8-4352-834D-DED59E9799C5}"/>
    <cellStyle name="Normal 2 2 2 2 2 2 3 4 3 2 2" xfId="32210" xr:uid="{3E58766E-8D7F-4EAF-B431-5C7528E0DE9A}"/>
    <cellStyle name="Normal 2 2 2 2 2 2 3 4 3 2 3" xfId="48969" xr:uid="{AA8C19BB-07CE-4A58-9CEA-A263A6EDC48C}"/>
    <cellStyle name="Normal 2 2 2 2 2 2 3 4 3 3" xfId="23830" xr:uid="{CA0FF3D5-4001-492B-B114-A870F16F8DCF}"/>
    <cellStyle name="Normal 2 2 2 2 2 2 3 4 3 4" xfId="40589" xr:uid="{D44799FA-2771-46EE-88B2-1B4BD953C8E8}"/>
    <cellStyle name="Normal 2 2 2 2 2 2 3 4 4" xfId="3693" xr:uid="{90A75CE7-26A6-4EA2-AA72-8406D0AB8068}"/>
    <cellStyle name="Normal 2 2 2 2 2 2 3 4 4 2" xfId="12073" xr:uid="{5E54FC03-F2C3-4B09-868A-0F4FEC5CD016}"/>
    <cellStyle name="Normal 2 2 2 2 2 2 3 4 4 2 2" xfId="28833" xr:uid="{75338372-C887-4431-953F-26BF7CF19940}"/>
    <cellStyle name="Normal 2 2 2 2 2 2 3 4 4 2 3" xfId="45592" xr:uid="{1793E780-538C-40C0-A9E9-A6637AB87AD8}"/>
    <cellStyle name="Normal 2 2 2 2 2 2 3 4 4 3" xfId="20453" xr:uid="{20D6D748-5B43-40FF-A447-0074C4237A9C}"/>
    <cellStyle name="Normal 2 2 2 2 2 2 3 4 4 4" xfId="37212" xr:uid="{9B9741C2-840C-47C8-B943-134A89A7292D}"/>
    <cellStyle name="Normal 2 2 2 2 2 2 3 4 5" xfId="10383" xr:uid="{DC252344-3DF9-4420-AF6E-FD50E148DCB1}"/>
    <cellStyle name="Normal 2 2 2 2 2 2 3 4 5 2" xfId="27143" xr:uid="{E81FA3E9-823D-4F8E-97C9-53E25C9D23F9}"/>
    <cellStyle name="Normal 2 2 2 2 2 2 3 4 5 3" xfId="43902" xr:uid="{A440B503-6E4F-4EB0-9B9A-2DD4828E5F8A}"/>
    <cellStyle name="Normal 2 2 2 2 2 2 3 4 6" xfId="18763" xr:uid="{24BABDF5-9415-445A-B507-B2228A2A66AD}"/>
    <cellStyle name="Normal 2 2 2 2 2 2 3 4 7" xfId="35522" xr:uid="{F2ED4E46-B212-4390-98CB-246C22D0B254}"/>
    <cellStyle name="Normal 2 2 2 2 2 2 3 5" xfId="4113" xr:uid="{923D76C5-0C00-4E1A-A432-B137F381C3BA}"/>
    <cellStyle name="Normal 2 2 2 2 2 2 3 5 2" xfId="12493" xr:uid="{83DFA7D8-1F09-41B4-826D-0A8AC4010621}"/>
    <cellStyle name="Normal 2 2 2 2 2 2 3 5 2 2" xfId="29253" xr:uid="{2B3259E4-42AF-4FFC-BDD3-5A59179C0B10}"/>
    <cellStyle name="Normal 2 2 2 2 2 2 3 5 2 3" xfId="46012" xr:uid="{C043C8E1-F153-4D5B-8307-9B1B35F87CB2}"/>
    <cellStyle name="Normal 2 2 2 2 2 2 3 5 3" xfId="20873" xr:uid="{9678BBB4-C733-4E50-8BCA-C947879BFE1F}"/>
    <cellStyle name="Normal 2 2 2 2 2 2 3 5 4" xfId="37632" xr:uid="{2A294594-1155-457A-89E6-66DC395DD53A}"/>
    <cellStyle name="Normal 2 2 2 2 2 2 3 6" xfId="5708" xr:uid="{BC3BA01F-22BA-467B-BBC3-0B25E5D45BD7}"/>
    <cellStyle name="Normal 2 2 2 2 2 2 3 6 2" xfId="14088" xr:uid="{0F344BB7-DBD2-4D7B-8318-EBEE5843DB53}"/>
    <cellStyle name="Normal 2 2 2 2 2 2 3 6 2 2" xfId="30848" xr:uid="{B72956D0-C072-48A6-A599-E3169A55B037}"/>
    <cellStyle name="Normal 2 2 2 2 2 2 3 6 2 3" xfId="47607" xr:uid="{B6C86248-1892-444F-A08C-0C6D8137D269}"/>
    <cellStyle name="Normal 2 2 2 2 2 2 3 6 3" xfId="22468" xr:uid="{0360D439-D4DD-4934-AD96-4CC6002B9B86}"/>
    <cellStyle name="Normal 2 2 2 2 2 2 3 6 4" xfId="39227" xr:uid="{21E33D6E-0AD8-4E85-900B-165E45472F73}"/>
    <cellStyle name="Normal 2 2 2 2 2 2 3 7" xfId="7476" xr:uid="{7F3CB2AA-9DF9-4A9B-A205-7DA827FA0F94}"/>
    <cellStyle name="Normal 2 2 2 2 2 2 3 7 2" xfId="15856" xr:uid="{561479D4-F042-4A44-B20E-3799F0D100B8}"/>
    <cellStyle name="Normal 2 2 2 2 2 2 3 7 2 2" xfId="32616" xr:uid="{C923B7DD-C64F-4686-B9D6-F6E6B8D75EF6}"/>
    <cellStyle name="Normal 2 2 2 2 2 2 3 7 2 3" xfId="49375" xr:uid="{1E4CC5CF-87D1-48E9-B215-5CA09AC66678}"/>
    <cellStyle name="Normal 2 2 2 2 2 2 3 7 3" xfId="24236" xr:uid="{2F3B2952-9DE3-4A69-9743-9CB9E8792FA7}"/>
    <cellStyle name="Normal 2 2 2 2 2 2 3 7 4" xfId="40995" xr:uid="{4D44E10A-FC05-4404-ADEA-71D9BA66AC8F}"/>
    <cellStyle name="Normal 2 2 2 2 2 2 3 8" xfId="7882" xr:uid="{079985CD-0B8D-4F00-A808-81C7784E19DE}"/>
    <cellStyle name="Normal 2 2 2 2 2 2 3 8 2" xfId="16262" xr:uid="{49D8E7B5-E77C-4EAD-B0EC-A04F297DECFA}"/>
    <cellStyle name="Normal 2 2 2 2 2 2 3 8 2 2" xfId="33022" xr:uid="{29FD0694-E3A3-4420-B0D7-A812B6B4A780}"/>
    <cellStyle name="Normal 2 2 2 2 2 2 3 8 2 3" xfId="49781" xr:uid="{B45E1656-CA38-4380-99C3-CCD60BCFB9C5}"/>
    <cellStyle name="Normal 2 2 2 2 2 2 3 8 3" xfId="24642" xr:uid="{51A833BB-871C-4B99-969D-A3522FBBA2CB}"/>
    <cellStyle name="Normal 2 2 2 2 2 2 3 8 4" xfId="41401" xr:uid="{6FF3EC18-BCE3-40FE-B9E6-FA4484722B38}"/>
    <cellStyle name="Normal 2 2 2 2 2 2 3 9" xfId="8288" xr:uid="{0287579D-871E-45D8-BAF6-9D822AD5F9B8}"/>
    <cellStyle name="Normal 2 2 2 2 2 2 3 9 2" xfId="16668" xr:uid="{5185D2BA-3DC7-43EA-88AC-0A1B8E36E114}"/>
    <cellStyle name="Normal 2 2 2 2 2 2 3 9 2 2" xfId="33428" xr:uid="{D5B6DDB9-4417-4FD6-8496-4AFF4703EA18}"/>
    <cellStyle name="Normal 2 2 2 2 2 2 3 9 2 3" xfId="50187" xr:uid="{B3620648-0D95-4527-9AC9-1738B71BF6F5}"/>
    <cellStyle name="Normal 2 2 2 2 2 2 3 9 3" xfId="25048" xr:uid="{B088D5EF-A59C-4E78-9DDB-A403C62E5007}"/>
    <cellStyle name="Normal 2 2 2 2 2 2 3 9 4" xfId="41807" xr:uid="{D90098AB-53F1-490D-B77E-590ECAAEB194}"/>
    <cellStyle name="Normal 2 2 2 2 2 2 4" xfId="876" xr:uid="{FAE8B24C-8869-4B1F-ACE6-0FEFD7990D11}"/>
    <cellStyle name="Normal 2 2 2 2 2 2 4 2" xfId="4271" xr:uid="{11797C5A-EA24-49AF-AFFE-8F9A56251740}"/>
    <cellStyle name="Normal 2 2 2 2 2 2 4 2 2" xfId="12651" xr:uid="{8427E0FD-FA50-4F08-B6EE-12A10E4D340E}"/>
    <cellStyle name="Normal 2 2 2 2 2 2 4 2 2 2" xfId="29411" xr:uid="{AA516643-A602-465A-841B-674961789E48}"/>
    <cellStyle name="Normal 2 2 2 2 2 2 4 2 2 3" xfId="46170" xr:uid="{D93235CE-BC8D-4D21-B03C-1128D2794439}"/>
    <cellStyle name="Normal 2 2 2 2 2 2 4 2 3" xfId="21031" xr:uid="{8FDC6757-E68D-474F-A9D8-D6E004F82020}"/>
    <cellStyle name="Normal 2 2 2 2 2 2 4 2 4" xfId="37790" xr:uid="{E400A7A1-8B4A-4880-9E67-A86E1E0E6970}"/>
    <cellStyle name="Normal 2 2 2 2 2 2 4 3" xfId="5958" xr:uid="{90F85D2C-12A7-48E4-A403-C6AF5FCBAF79}"/>
    <cellStyle name="Normal 2 2 2 2 2 2 4 3 2" xfId="14338" xr:uid="{7034B141-2138-4966-A8D3-A9218F48A72D}"/>
    <cellStyle name="Normal 2 2 2 2 2 2 4 3 2 2" xfId="31098" xr:uid="{92E256D3-54D6-4D88-8F01-09F3D22FB6F7}"/>
    <cellStyle name="Normal 2 2 2 2 2 2 4 3 2 3" xfId="47857" xr:uid="{FBCE9D28-2454-4DD6-9CF5-2E809FF10077}"/>
    <cellStyle name="Normal 2 2 2 2 2 2 4 3 3" xfId="22718" xr:uid="{FE3D8EEB-ECB7-43C0-879E-4167F7696D58}"/>
    <cellStyle name="Normal 2 2 2 2 2 2 4 3 4" xfId="39477" xr:uid="{171FE09A-5750-423D-9085-7CFC6BE70AEC}"/>
    <cellStyle name="Normal 2 2 2 2 2 2 4 4" xfId="2694" xr:uid="{49A3D88C-59E1-4290-8131-9F58BC06170C}"/>
    <cellStyle name="Normal 2 2 2 2 2 2 4 4 2" xfId="11074" xr:uid="{8E2BF3F5-D39A-425D-97D3-C74420B359EF}"/>
    <cellStyle name="Normal 2 2 2 2 2 2 4 4 2 2" xfId="27834" xr:uid="{70C8A10D-1FDB-4E0B-8AD0-A4B8CD6ADF52}"/>
    <cellStyle name="Normal 2 2 2 2 2 2 4 4 2 3" xfId="44593" xr:uid="{61A1D58A-25F9-48D7-8539-59567F28EDA8}"/>
    <cellStyle name="Normal 2 2 2 2 2 2 4 4 3" xfId="19454" xr:uid="{8953323B-2782-44EE-9FA9-63F511010C5E}"/>
    <cellStyle name="Normal 2 2 2 2 2 2 4 4 4" xfId="36213" xr:uid="{7CFBE994-69C4-45A0-AD64-131DD06486D2}"/>
    <cellStyle name="Normal 2 2 2 2 2 2 4 5" xfId="9271" xr:uid="{B751B346-2528-4B4E-9650-DCDB8DAB36F1}"/>
    <cellStyle name="Normal 2 2 2 2 2 2 4 5 2" xfId="26031" xr:uid="{B6B34A32-7F30-494F-AA9F-7E49470FB065}"/>
    <cellStyle name="Normal 2 2 2 2 2 2 4 5 3" xfId="42790" xr:uid="{8E631444-98A5-43C4-9F17-3017E98B4DD2}"/>
    <cellStyle name="Normal 2 2 2 2 2 2 4 6" xfId="17651" xr:uid="{0C160809-CBC5-4CB1-9C97-80A282A5340B}"/>
    <cellStyle name="Normal 2 2 2 2 2 2 4 7" xfId="34410" xr:uid="{DBE6505E-C2D8-47BF-80B9-6FB086D9F908}"/>
    <cellStyle name="Normal 2 2 2 2 2 2 5" xfId="1310" xr:uid="{A04D947D-815E-4439-8CEF-8C9FA1655261}"/>
    <cellStyle name="Normal 2 2 2 2 2 2 5 2" xfId="4699" xr:uid="{A96BB1EA-F8BD-459F-93FA-E293B2AFBD2B}"/>
    <cellStyle name="Normal 2 2 2 2 2 2 5 2 2" xfId="13079" xr:uid="{34BD5132-AE62-4412-99F9-8CA97C142298}"/>
    <cellStyle name="Normal 2 2 2 2 2 2 5 2 2 2" xfId="29839" xr:uid="{80A796B6-4496-44F0-BC09-864ABA985488}"/>
    <cellStyle name="Normal 2 2 2 2 2 2 5 2 2 3" xfId="46598" xr:uid="{4604276E-E5A6-46F4-A137-C9C8356F4CB8}"/>
    <cellStyle name="Normal 2 2 2 2 2 2 5 2 3" xfId="21459" xr:uid="{84502292-99A5-426B-8E97-AA30809F3CB5}"/>
    <cellStyle name="Normal 2 2 2 2 2 2 5 2 4" xfId="38218" xr:uid="{51CD6E34-2182-47BB-B552-43A16798CF70}"/>
    <cellStyle name="Normal 2 2 2 2 2 2 5 3" xfId="6386" xr:uid="{A7FF8B10-2F1E-4CD5-8D9F-D392C48EA43C}"/>
    <cellStyle name="Normal 2 2 2 2 2 2 5 3 2" xfId="14766" xr:uid="{AC356178-00A0-40DF-85FC-A1F73F9BF292}"/>
    <cellStyle name="Normal 2 2 2 2 2 2 5 3 2 2" xfId="31526" xr:uid="{CA581718-3465-40D2-BD4F-5974A6A09377}"/>
    <cellStyle name="Normal 2 2 2 2 2 2 5 3 2 3" xfId="48285" xr:uid="{EB60E8D9-F925-4038-8B28-FAF486B95861}"/>
    <cellStyle name="Normal 2 2 2 2 2 2 5 3 3" xfId="23146" xr:uid="{4775A4DB-C365-47DB-BFF5-FAEB92EB3E13}"/>
    <cellStyle name="Normal 2 2 2 2 2 2 5 3 4" xfId="39905" xr:uid="{951B7ACD-42C7-4CAE-9027-53EA06BBB281}"/>
    <cellStyle name="Normal 2 2 2 2 2 2 5 4" xfId="3122" xr:uid="{4284243C-0C31-4999-9847-7C7D8F5FDEEC}"/>
    <cellStyle name="Normal 2 2 2 2 2 2 5 4 2" xfId="11502" xr:uid="{40C04366-E4CE-4775-B6D5-9E8AAC0747C7}"/>
    <cellStyle name="Normal 2 2 2 2 2 2 5 4 2 2" xfId="28262" xr:uid="{207954EF-2B38-437C-8132-F11F41CD0AFE}"/>
    <cellStyle name="Normal 2 2 2 2 2 2 5 4 2 3" xfId="45021" xr:uid="{1A07E447-1121-4835-89FF-EB3F302DD40F}"/>
    <cellStyle name="Normal 2 2 2 2 2 2 5 4 3" xfId="19882" xr:uid="{D90C4176-B4A7-47DE-9327-8E896C319D3C}"/>
    <cellStyle name="Normal 2 2 2 2 2 2 5 4 4" xfId="36641" xr:uid="{7E83822B-27FF-4EEB-992F-E2E46DC629F9}"/>
    <cellStyle name="Normal 2 2 2 2 2 2 5 5" xfId="9699" xr:uid="{FBFA654B-C834-48CB-8B76-27FA8F786D48}"/>
    <cellStyle name="Normal 2 2 2 2 2 2 5 5 2" xfId="26459" xr:uid="{7D273BA0-C6A0-4FA6-8CAA-D53F3699A461}"/>
    <cellStyle name="Normal 2 2 2 2 2 2 5 5 3" xfId="43218" xr:uid="{A2FFC34E-FD77-4206-B98F-CCF28E1849A9}"/>
    <cellStyle name="Normal 2 2 2 2 2 2 5 6" xfId="18079" xr:uid="{72E7CCDD-3D96-4BAC-B32C-0DA67F61CED9}"/>
    <cellStyle name="Normal 2 2 2 2 2 2 5 7" xfId="34838" xr:uid="{F003CE33-A1D8-464B-A3C6-E917EA78FF25}"/>
    <cellStyle name="Normal 2 2 2 2 2 2 6" xfId="1723" xr:uid="{3CDAFB01-4616-40F2-B4F7-9A6E5B3046A6}"/>
    <cellStyle name="Normal 2 2 2 2 2 2 6 2" xfId="5112" xr:uid="{64210348-72C3-4017-96D3-0F73F8521AFC}"/>
    <cellStyle name="Normal 2 2 2 2 2 2 6 2 2" xfId="13492" xr:uid="{4C6A8E93-3776-4CAC-AEC2-65AB16250092}"/>
    <cellStyle name="Normal 2 2 2 2 2 2 6 2 2 2" xfId="30252" xr:uid="{70AB8920-60BF-4C30-B0A9-AC449675359E}"/>
    <cellStyle name="Normal 2 2 2 2 2 2 6 2 2 3" xfId="47011" xr:uid="{B893A121-3AE1-4B10-A31E-BCCFD3C1A209}"/>
    <cellStyle name="Normal 2 2 2 2 2 2 6 2 3" xfId="21872" xr:uid="{C1040DC9-ED2B-4B35-86AC-793CA2BF3E82}"/>
    <cellStyle name="Normal 2 2 2 2 2 2 6 2 4" xfId="38631" xr:uid="{534BA64E-91EE-483C-A97F-3B039F541F11}"/>
    <cellStyle name="Normal 2 2 2 2 2 2 6 3" xfId="6799" xr:uid="{305DAC01-74D5-43B2-9400-48371C320EE1}"/>
    <cellStyle name="Normal 2 2 2 2 2 2 6 3 2" xfId="15179" xr:uid="{67A2AFF6-1EA4-41E0-A070-8200F2FAD2C7}"/>
    <cellStyle name="Normal 2 2 2 2 2 2 6 3 2 2" xfId="31939" xr:uid="{7CA8A52A-031B-489D-9089-8E545879D624}"/>
    <cellStyle name="Normal 2 2 2 2 2 2 6 3 2 3" xfId="48698" xr:uid="{0C965358-EEE9-4BD7-A2C1-45D3D9FC6500}"/>
    <cellStyle name="Normal 2 2 2 2 2 2 6 3 3" xfId="23559" xr:uid="{024A0403-FA4E-42A8-BE9D-4967DBD61CF5}"/>
    <cellStyle name="Normal 2 2 2 2 2 2 6 3 4" xfId="40318" xr:uid="{D02C4AC3-3AF9-4ED7-BD3A-A1544613B707}"/>
    <cellStyle name="Normal 2 2 2 2 2 2 6 4" xfId="3446" xr:uid="{C978697B-006C-4DBB-BB8B-6BF5453FF041}"/>
    <cellStyle name="Normal 2 2 2 2 2 2 6 4 2" xfId="11826" xr:uid="{858D11D7-454D-4CD0-A5B7-BF52275ECB40}"/>
    <cellStyle name="Normal 2 2 2 2 2 2 6 4 2 2" xfId="28586" xr:uid="{47940E1C-F551-4687-AAD7-F6CA4C875A8F}"/>
    <cellStyle name="Normal 2 2 2 2 2 2 6 4 2 3" xfId="45345" xr:uid="{CD69819A-7BA7-4E1C-8BB5-0E7376D7BAD7}"/>
    <cellStyle name="Normal 2 2 2 2 2 2 6 4 3" xfId="20206" xr:uid="{2DDD82C4-799B-4691-B2CF-3B633AC8AFF2}"/>
    <cellStyle name="Normal 2 2 2 2 2 2 6 4 4" xfId="36965" xr:uid="{9A8F5324-F3F7-41FA-9F68-7D25F5CF1152}"/>
    <cellStyle name="Normal 2 2 2 2 2 2 6 5" xfId="10112" xr:uid="{B0276536-6FC5-496A-AF38-BFC3E58C76D5}"/>
    <cellStyle name="Normal 2 2 2 2 2 2 6 5 2" xfId="26872" xr:uid="{C06D9C28-1127-43EB-9846-BE018A54EDBC}"/>
    <cellStyle name="Normal 2 2 2 2 2 2 6 5 3" xfId="43631" xr:uid="{6F9764AA-2380-4CF7-9CF9-BA1B76CD903B}"/>
    <cellStyle name="Normal 2 2 2 2 2 2 6 6" xfId="18492" xr:uid="{D46A5396-8508-42FB-8AE1-32C15467FCED}"/>
    <cellStyle name="Normal 2 2 2 2 2 2 6 7" xfId="35251" xr:uid="{E6669369-3C72-434E-8284-7B04F5198BA6}"/>
    <cellStyle name="Normal 2 2 2 2 2 2 7" xfId="3842" xr:uid="{1D60D4B2-36AA-461A-8687-5E9E1D6222A7}"/>
    <cellStyle name="Normal 2 2 2 2 2 2 7 2" xfId="12222" xr:uid="{D0251014-5479-4AFE-934F-9E509DF724F8}"/>
    <cellStyle name="Normal 2 2 2 2 2 2 7 2 2" xfId="28982" xr:uid="{44B475CB-D0C0-4723-8EBF-3C6ED8D3CD8A}"/>
    <cellStyle name="Normal 2 2 2 2 2 2 7 2 3" xfId="45741" xr:uid="{4B1B1D83-A239-4210-B118-DD663E748664}"/>
    <cellStyle name="Normal 2 2 2 2 2 2 7 3" xfId="20602" xr:uid="{C7991F21-42D6-4971-908F-0449DDEE3235}"/>
    <cellStyle name="Normal 2 2 2 2 2 2 7 4" xfId="37361" xr:uid="{6951F976-8C25-4437-B5DD-1C681CE42F49}"/>
    <cellStyle name="Normal 2 2 2 2 2 2 8" xfId="5532" xr:uid="{5533B992-00AF-4DB9-9A94-04094603060D}"/>
    <cellStyle name="Normal 2 2 2 2 2 2 8 2" xfId="13912" xr:uid="{7D876B23-3E12-49B7-86D4-79F3C805D494}"/>
    <cellStyle name="Normal 2 2 2 2 2 2 8 2 2" xfId="30672" xr:uid="{15BF8F5D-B625-40D1-8420-14CA9FBFADDD}"/>
    <cellStyle name="Normal 2 2 2 2 2 2 8 2 3" xfId="47431" xr:uid="{E33483E7-A68E-4EF9-8301-6145664F306E}"/>
    <cellStyle name="Normal 2 2 2 2 2 2 8 3" xfId="22292" xr:uid="{3D567941-7888-43FB-9A3F-B01FEAD415E6}"/>
    <cellStyle name="Normal 2 2 2 2 2 2 8 4" xfId="39051" xr:uid="{793E4322-6A9E-46A7-A88E-1F91E301105F}"/>
    <cellStyle name="Normal 2 2 2 2 2 2 9" xfId="7205" xr:uid="{0F4C48FF-515D-4704-A245-57A5E68B5BF6}"/>
    <cellStyle name="Normal 2 2 2 2 2 2 9 2" xfId="15585" xr:uid="{0E9AB693-1E98-43EC-9FC9-146EF62C39E9}"/>
    <cellStyle name="Normal 2 2 2 2 2 2 9 2 2" xfId="32345" xr:uid="{6F5ACEBF-0797-4A0E-8DE3-3BEB2C12002E}"/>
    <cellStyle name="Normal 2 2 2 2 2 2 9 2 3" xfId="49104" xr:uid="{D775C134-47F4-4579-A318-EF5777CC8275}"/>
    <cellStyle name="Normal 2 2 2 2 2 2 9 3" xfId="23965" xr:uid="{F33EE89F-6F69-4E15-95CA-79FDE2BC35CF}"/>
    <cellStyle name="Normal 2 2 2 2 2 2 9 4" xfId="40724" xr:uid="{A338226D-38EE-43E4-A40D-61941310D572}"/>
    <cellStyle name="Normal 2 2 2 2 2 3" xfId="611" xr:uid="{73787757-31CD-4CBD-BB7C-E08595C4CA5D}"/>
    <cellStyle name="Normal 2 2 2 2 2 3 10" xfId="8533" xr:uid="{C4741400-DE2C-4F13-86EB-671B7F596B84}"/>
    <cellStyle name="Normal 2 2 2 2 2 3 10 2" xfId="16913" xr:uid="{2D3FF1BE-1282-4E69-B0A8-69E3CF5E41DD}"/>
    <cellStyle name="Normal 2 2 2 2 2 3 10 2 2" xfId="33673" xr:uid="{7873898E-9D39-49C2-8CD1-A3372CA6363C}"/>
    <cellStyle name="Normal 2 2 2 2 2 3 10 2 3" xfId="50432" xr:uid="{2010ACF7-6EC4-4DF8-8C61-44F8551122F4}"/>
    <cellStyle name="Normal 2 2 2 2 2 3 10 3" xfId="25293" xr:uid="{94360DAA-6596-4B64-983E-647203D7863B}"/>
    <cellStyle name="Normal 2 2 2 2 2 3 10 4" xfId="42052" xr:uid="{6D0D6F54-65B9-4662-830A-E26709C1EDBD}"/>
    <cellStyle name="Normal 2 2 2 2 2 3 11" xfId="2443" xr:uid="{736B17CA-A9D1-4E7B-8BB1-3139F35735B2}"/>
    <cellStyle name="Normal 2 2 2 2 2 3 11 2" xfId="10825" xr:uid="{845C374A-5326-4A6A-8CF2-349788C15223}"/>
    <cellStyle name="Normal 2 2 2 2 2 3 11 2 2" xfId="27585" xr:uid="{3F3BD378-2ECD-483B-BEFD-A39E51456223}"/>
    <cellStyle name="Normal 2 2 2 2 2 3 11 2 3" xfId="44344" xr:uid="{AD70FB09-7EF0-43C7-BE3C-D00030453614}"/>
    <cellStyle name="Normal 2 2 2 2 2 3 11 3" xfId="19205" xr:uid="{9655366F-BEFE-443D-82AC-F6F311FF1D52}"/>
    <cellStyle name="Normal 2 2 2 2 2 3 11 4" xfId="35964" xr:uid="{89C08022-FA5E-4020-87E2-0D9FD124636D}"/>
    <cellStyle name="Normal 2 2 2 2 2 3 12" xfId="9022" xr:uid="{E8F11B6B-5622-40A9-9E52-D4C5836DC484}"/>
    <cellStyle name="Normal 2 2 2 2 2 3 12 2" xfId="25782" xr:uid="{FAF52896-F945-49F4-BA1A-13C717DD9553}"/>
    <cellStyle name="Normal 2 2 2 2 2 3 12 3" xfId="42541" xr:uid="{4DA39FD1-A3B1-4984-A07E-D98C8FA5DADB}"/>
    <cellStyle name="Normal 2 2 2 2 2 3 13" xfId="17402" xr:uid="{DD095CBE-AB2F-47BB-878F-77B1F2FFE65A}"/>
    <cellStyle name="Normal 2 2 2 2 2 3 14" xfId="34161" xr:uid="{98F0279D-FFBB-4D55-B180-B7ACD0E1C120}"/>
    <cellStyle name="Normal 2 2 2 2 2 3 2" xfId="1053" xr:uid="{3B3149BB-2A67-42E7-A34D-190FDDF3EC97}"/>
    <cellStyle name="Normal 2 2 2 2 2 3 2 2" xfId="4448" xr:uid="{C26497D8-B66F-4E58-A49B-D57A517648C4}"/>
    <cellStyle name="Normal 2 2 2 2 2 3 2 2 2" xfId="12828" xr:uid="{8A6C9EC1-4FAE-494C-A0E5-2B081F987A97}"/>
    <cellStyle name="Normal 2 2 2 2 2 3 2 2 2 2" xfId="29588" xr:uid="{1FE787FA-5027-4BCD-9005-6A68C190F826}"/>
    <cellStyle name="Normal 2 2 2 2 2 3 2 2 2 3" xfId="46347" xr:uid="{664C1859-990C-4CE9-BA4D-C33BD3B8EB4A}"/>
    <cellStyle name="Normal 2 2 2 2 2 3 2 2 3" xfId="21208" xr:uid="{21F6B7E2-0A39-4DA2-8ECF-648F07B4FBEC}"/>
    <cellStyle name="Normal 2 2 2 2 2 3 2 2 4" xfId="37967" xr:uid="{DEB2D0C1-E42D-4248-BB95-F3AE7D11A1A1}"/>
    <cellStyle name="Normal 2 2 2 2 2 3 2 3" xfId="6135" xr:uid="{CF99977B-A070-4B3C-9030-67549624C433}"/>
    <cellStyle name="Normal 2 2 2 2 2 3 2 3 2" xfId="14515" xr:uid="{6F99E2F8-EBF2-462B-B34C-27B539D60F9F}"/>
    <cellStyle name="Normal 2 2 2 2 2 3 2 3 2 2" xfId="31275" xr:uid="{4E89F90B-3805-48BF-BD0D-94283B195E3D}"/>
    <cellStyle name="Normal 2 2 2 2 2 3 2 3 2 3" xfId="48034" xr:uid="{FBA5FCB0-8912-4F0B-B853-0CEB135C4939}"/>
    <cellStyle name="Normal 2 2 2 2 2 3 2 3 3" xfId="22895" xr:uid="{9CDE798D-2257-49CB-99FC-4225CC6C5B59}"/>
    <cellStyle name="Normal 2 2 2 2 2 3 2 3 4" xfId="39654" xr:uid="{F9CFEF9E-C679-4D35-BA80-BD0F0DD1F8A6}"/>
    <cellStyle name="Normal 2 2 2 2 2 3 2 4" xfId="2871" xr:uid="{5C247A78-DC96-4550-A6C9-0C21E4A62493}"/>
    <cellStyle name="Normal 2 2 2 2 2 3 2 4 2" xfId="11251" xr:uid="{C99B0493-9007-44E3-9A6D-41010727EA3B}"/>
    <cellStyle name="Normal 2 2 2 2 2 3 2 4 2 2" xfId="28011" xr:uid="{06D8DF87-AF6B-461F-A994-8A83DB3BBA5A}"/>
    <cellStyle name="Normal 2 2 2 2 2 3 2 4 2 3" xfId="44770" xr:uid="{46464AC8-F527-4786-9970-39AD575EAE81}"/>
    <cellStyle name="Normal 2 2 2 2 2 3 2 4 3" xfId="19631" xr:uid="{E1D5E5AC-9AED-43F0-BBAE-8FF85AF57E98}"/>
    <cellStyle name="Normal 2 2 2 2 2 3 2 4 4" xfId="36390" xr:uid="{ACA4F855-D9F2-4930-8431-4CA898D3ADC4}"/>
    <cellStyle name="Normal 2 2 2 2 2 3 2 5" xfId="9448" xr:uid="{BA5247B9-FD34-42EA-A82A-9E2C8DE0073F}"/>
    <cellStyle name="Normal 2 2 2 2 2 3 2 5 2" xfId="26208" xr:uid="{7765430E-7791-4B9E-94E2-B49FD0B565E5}"/>
    <cellStyle name="Normal 2 2 2 2 2 3 2 5 3" xfId="42967" xr:uid="{85B9572F-4067-4FFF-B0B6-C83B497247E9}"/>
    <cellStyle name="Normal 2 2 2 2 2 3 2 6" xfId="17828" xr:uid="{C8EABAA5-0093-4087-AA7A-915DF22598E5}"/>
    <cellStyle name="Normal 2 2 2 2 2 3 2 7" xfId="34587" xr:uid="{5435C4F1-7F3B-4925-98EF-C987193E7595}"/>
    <cellStyle name="Normal 2 2 2 2 2 3 3" xfId="1487" xr:uid="{C8FBF273-1767-4917-9ABF-42AFE5E8EB3E}"/>
    <cellStyle name="Normal 2 2 2 2 2 3 3 2" xfId="4876" xr:uid="{8A13820A-B666-4CE4-86E1-D30258E8768E}"/>
    <cellStyle name="Normal 2 2 2 2 2 3 3 2 2" xfId="13256" xr:uid="{4190951C-5874-4424-9269-8D4B461411D2}"/>
    <cellStyle name="Normal 2 2 2 2 2 3 3 2 2 2" xfId="30016" xr:uid="{4F99F879-D593-4EB2-9FB6-E094F12ABD1B}"/>
    <cellStyle name="Normal 2 2 2 2 2 3 3 2 2 3" xfId="46775" xr:uid="{E88CD225-1F97-4E0E-ABF5-DE4206DBA90F}"/>
    <cellStyle name="Normal 2 2 2 2 2 3 3 2 3" xfId="21636" xr:uid="{EFFABC02-A368-4384-BE25-7A3C099646FA}"/>
    <cellStyle name="Normal 2 2 2 2 2 3 3 2 4" xfId="38395" xr:uid="{5D13D15B-8762-424C-BD79-9E1B28F7DD48}"/>
    <cellStyle name="Normal 2 2 2 2 2 3 3 3" xfId="6563" xr:uid="{5EAD23F0-7905-46DE-865C-83435249088E}"/>
    <cellStyle name="Normal 2 2 2 2 2 3 3 3 2" xfId="14943" xr:uid="{7B950B9C-14BB-4086-B57C-76720EEE40DF}"/>
    <cellStyle name="Normal 2 2 2 2 2 3 3 3 2 2" xfId="31703" xr:uid="{BDA40A26-0BDD-4CDC-AA20-5F5A0DFCA457}"/>
    <cellStyle name="Normal 2 2 2 2 2 3 3 3 2 3" xfId="48462" xr:uid="{F4432FA1-AF4F-4FF3-AAB6-ADDAF0EBE153}"/>
    <cellStyle name="Normal 2 2 2 2 2 3 3 3 3" xfId="23323" xr:uid="{BA0B4B42-946E-406F-9913-910B1186B04D}"/>
    <cellStyle name="Normal 2 2 2 2 2 3 3 3 4" xfId="40082" xr:uid="{809F57E8-E096-47AF-B213-EFC6B3BA7300}"/>
    <cellStyle name="Normal 2 2 2 2 2 3 3 4" xfId="3299" xr:uid="{87D54D45-9441-445B-B6B9-DF06C53A247F}"/>
    <cellStyle name="Normal 2 2 2 2 2 3 3 4 2" xfId="11679" xr:uid="{FF218C57-4F24-480A-89A4-AA9372138B81}"/>
    <cellStyle name="Normal 2 2 2 2 2 3 3 4 2 2" xfId="28439" xr:uid="{CA031CD9-96C6-41C4-8D41-13064746CB0E}"/>
    <cellStyle name="Normal 2 2 2 2 2 3 3 4 2 3" xfId="45198" xr:uid="{E0346678-8A4F-48A5-8E4C-CD77882FF3FB}"/>
    <cellStyle name="Normal 2 2 2 2 2 3 3 4 3" xfId="20059" xr:uid="{5D017DFF-175A-422B-B5F3-1D1FBEFF7800}"/>
    <cellStyle name="Normal 2 2 2 2 2 3 3 4 4" xfId="36818" xr:uid="{C22BF40A-8E91-4304-B1CC-D97F7698A264}"/>
    <cellStyle name="Normal 2 2 2 2 2 3 3 5" xfId="9876" xr:uid="{B91FEE1D-D465-4B4E-8079-19E5391E42CB}"/>
    <cellStyle name="Normal 2 2 2 2 2 3 3 5 2" xfId="26636" xr:uid="{BDE61BFB-7E73-49DA-AA98-9504C4119C67}"/>
    <cellStyle name="Normal 2 2 2 2 2 3 3 5 3" xfId="43395" xr:uid="{1B121955-226B-4833-BD82-240DCB3EBB3F}"/>
    <cellStyle name="Normal 2 2 2 2 2 3 3 6" xfId="18256" xr:uid="{E6CCAF67-8747-4504-8F30-B6DE9359C64E}"/>
    <cellStyle name="Normal 2 2 2 2 2 3 3 7" xfId="35015" xr:uid="{98F30DF3-1A09-4256-8F17-BBF664E1FB76}"/>
    <cellStyle name="Normal 2 2 2 2 2 3 4" xfId="1833" xr:uid="{235F57FF-8982-46A9-A532-832E67688F18}"/>
    <cellStyle name="Normal 2 2 2 2 2 3 4 2" xfId="5222" xr:uid="{F77AB7BB-B5B7-49E4-AB17-085D0D60B065}"/>
    <cellStyle name="Normal 2 2 2 2 2 3 4 2 2" xfId="13602" xr:uid="{2CF8427E-87B1-4895-AFDA-12C38945D821}"/>
    <cellStyle name="Normal 2 2 2 2 2 3 4 2 2 2" xfId="30362" xr:uid="{F051333D-FF0F-4DB9-AF97-AB598C392D66}"/>
    <cellStyle name="Normal 2 2 2 2 2 3 4 2 2 3" xfId="47121" xr:uid="{F0C5003D-8EC0-469D-93F6-8CC05C536A8F}"/>
    <cellStyle name="Normal 2 2 2 2 2 3 4 2 3" xfId="21982" xr:uid="{543EB1BA-E049-4C6A-910A-BEE83F03D380}"/>
    <cellStyle name="Normal 2 2 2 2 2 3 4 2 4" xfId="38741" xr:uid="{158DADF4-976A-4BF2-9263-607783AD7A30}"/>
    <cellStyle name="Normal 2 2 2 2 2 3 4 3" xfId="6909" xr:uid="{65864D56-5BC3-4B88-BE33-8E7966246E08}"/>
    <cellStyle name="Normal 2 2 2 2 2 3 4 3 2" xfId="15289" xr:uid="{2A0A386A-6EA1-4191-A394-E981FA9C91B0}"/>
    <cellStyle name="Normal 2 2 2 2 2 3 4 3 2 2" xfId="32049" xr:uid="{BC5413E8-547D-4B21-B7E0-6938C2E8067A}"/>
    <cellStyle name="Normal 2 2 2 2 2 3 4 3 2 3" xfId="48808" xr:uid="{18057FBF-27B1-41DB-9DA1-C8A8CA90BBD7}"/>
    <cellStyle name="Normal 2 2 2 2 2 3 4 3 3" xfId="23669" xr:uid="{8A4D53ED-B21F-4324-924D-E3A8FF5ED719}"/>
    <cellStyle name="Normal 2 2 2 2 2 3 4 3 4" xfId="40428" xr:uid="{26C1E366-EC20-4309-8C03-8478407CFCB8}"/>
    <cellStyle name="Normal 2 2 2 2 2 3 4 4" xfId="3533" xr:uid="{85808D3C-F547-419A-8B35-98DEABE5DB2C}"/>
    <cellStyle name="Normal 2 2 2 2 2 3 4 4 2" xfId="11913" xr:uid="{A7BD7CCD-2BB8-4021-ABA3-869B226616F5}"/>
    <cellStyle name="Normal 2 2 2 2 2 3 4 4 2 2" xfId="28673" xr:uid="{8FD362FF-6692-45AF-B81C-BB7EE59F793E}"/>
    <cellStyle name="Normal 2 2 2 2 2 3 4 4 2 3" xfId="45432" xr:uid="{BD59E7E3-A815-4991-ACE5-B671C3DB2BE8}"/>
    <cellStyle name="Normal 2 2 2 2 2 3 4 4 3" xfId="20293" xr:uid="{0FFA9286-1B54-4CCA-B861-DB7C7B6C464E}"/>
    <cellStyle name="Normal 2 2 2 2 2 3 4 4 4" xfId="37052" xr:uid="{B0A63015-3415-4B78-ACD1-C3D0BC2C952D}"/>
    <cellStyle name="Normal 2 2 2 2 2 3 4 5" xfId="10222" xr:uid="{F579CB7B-5F2E-4AD5-804E-4037DF872955}"/>
    <cellStyle name="Normal 2 2 2 2 2 3 4 5 2" xfId="26982" xr:uid="{0CAF3D64-F001-49FB-8054-14DC9DC91FDD}"/>
    <cellStyle name="Normal 2 2 2 2 2 3 4 5 3" xfId="43741" xr:uid="{FDDE05B0-D35B-4CE7-AEB6-C17E37813012}"/>
    <cellStyle name="Normal 2 2 2 2 2 3 4 6" xfId="18602" xr:uid="{59E1A1EA-5CD7-4DF9-B8A4-01F9C86D5B70}"/>
    <cellStyle name="Normal 2 2 2 2 2 3 4 7" xfId="35361" xr:uid="{CB8AD1EB-9308-4F5D-9483-7B6759E72AEE}"/>
    <cellStyle name="Normal 2 2 2 2 2 3 5" xfId="3952" xr:uid="{BE9B2EC5-ED32-4FA0-B6C7-6AE5C6F62F42}"/>
    <cellStyle name="Normal 2 2 2 2 2 3 5 2" xfId="12332" xr:uid="{049467EB-2E9F-4E0C-AB09-D39A3D3A9280}"/>
    <cellStyle name="Normal 2 2 2 2 2 3 5 2 2" xfId="29092" xr:uid="{3A4C5DCC-4500-49BA-9881-FE6BA56A9C32}"/>
    <cellStyle name="Normal 2 2 2 2 2 3 5 2 3" xfId="45851" xr:uid="{F92F6925-93C0-4606-A352-DC277CF48ADA}"/>
    <cellStyle name="Normal 2 2 2 2 2 3 5 3" xfId="20712" xr:uid="{7C066A78-D4BA-4549-8A6C-EDF4C7B67B92}"/>
    <cellStyle name="Normal 2 2 2 2 2 3 5 4" xfId="37471" xr:uid="{5A3B23F6-1554-4852-9FC0-3D1387A63149}"/>
    <cellStyle name="Normal 2 2 2 2 2 3 6" xfId="5709" xr:uid="{30BB1E68-739E-4B13-BD58-41B166CBC1FC}"/>
    <cellStyle name="Normal 2 2 2 2 2 3 6 2" xfId="14089" xr:uid="{9A93CD6F-AA7D-4756-B426-F984DED1A903}"/>
    <cellStyle name="Normal 2 2 2 2 2 3 6 2 2" xfId="30849" xr:uid="{AC977FDE-5D1E-4D8E-BBCE-44F810DABC82}"/>
    <cellStyle name="Normal 2 2 2 2 2 3 6 2 3" xfId="47608" xr:uid="{353A38E7-8916-475D-A298-C77641E428F9}"/>
    <cellStyle name="Normal 2 2 2 2 2 3 6 3" xfId="22469" xr:uid="{40614CEF-5087-4251-B7C6-B9D90AF57D6B}"/>
    <cellStyle name="Normal 2 2 2 2 2 3 6 4" xfId="39228" xr:uid="{8F64C9CD-7791-4799-BA5B-01AB9EF98F6B}"/>
    <cellStyle name="Normal 2 2 2 2 2 3 7" xfId="7315" xr:uid="{37520D60-C861-4D7B-B173-63E3561922EF}"/>
    <cellStyle name="Normal 2 2 2 2 2 3 7 2" xfId="15695" xr:uid="{1D67DC28-2502-4EDD-AFD0-3F64C96A5DA4}"/>
    <cellStyle name="Normal 2 2 2 2 2 3 7 2 2" xfId="32455" xr:uid="{E55048AB-BE8F-4F8B-B8A3-7A83D91A95CB}"/>
    <cellStyle name="Normal 2 2 2 2 2 3 7 2 3" xfId="49214" xr:uid="{42950E37-20B2-4056-8753-36CBA60F0E40}"/>
    <cellStyle name="Normal 2 2 2 2 2 3 7 3" xfId="24075" xr:uid="{4A12FBF8-3A17-4888-8BD1-80BCD39F93B7}"/>
    <cellStyle name="Normal 2 2 2 2 2 3 7 4" xfId="40834" xr:uid="{7956F7CF-0E83-45C1-9361-8F2707FB6AA6}"/>
    <cellStyle name="Normal 2 2 2 2 2 3 8" xfId="7721" xr:uid="{441F6E53-BB6C-49DB-BA2C-15BB378AD391}"/>
    <cellStyle name="Normal 2 2 2 2 2 3 8 2" xfId="16101" xr:uid="{285B2373-F6E6-455F-B977-5748FF080572}"/>
    <cellStyle name="Normal 2 2 2 2 2 3 8 2 2" xfId="32861" xr:uid="{0F5BDFEF-E761-4FEF-823F-11391C916D4C}"/>
    <cellStyle name="Normal 2 2 2 2 2 3 8 2 3" xfId="49620" xr:uid="{927D4BB0-2DAC-445F-84F0-DFCFC66A8E94}"/>
    <cellStyle name="Normal 2 2 2 2 2 3 8 3" xfId="24481" xr:uid="{580E9575-AE54-4553-845C-AC74E0C12149}"/>
    <cellStyle name="Normal 2 2 2 2 2 3 8 4" xfId="41240" xr:uid="{DAB7E33E-EBD2-4A4C-B8E2-8F31B3125611}"/>
    <cellStyle name="Normal 2 2 2 2 2 3 9" xfId="8127" xr:uid="{27F0DC3B-10A3-4F3F-A4D1-AE2687B29054}"/>
    <cellStyle name="Normal 2 2 2 2 2 3 9 2" xfId="16507" xr:uid="{D90F540E-516D-482A-8F9E-C0EA72B85CC8}"/>
    <cellStyle name="Normal 2 2 2 2 2 3 9 2 2" xfId="33267" xr:uid="{980393A0-C8D3-4EC8-AE6F-4A2575D942EA}"/>
    <cellStyle name="Normal 2 2 2 2 2 3 9 2 3" xfId="50026" xr:uid="{BF4DF1F1-C58D-434A-A089-C80B3B0689A2}"/>
    <cellStyle name="Normal 2 2 2 2 2 3 9 3" xfId="24887" xr:uid="{E74E7EB0-C157-4D17-A8EF-95EB88538F5C}"/>
    <cellStyle name="Normal 2 2 2 2 2 3 9 4" xfId="41646" xr:uid="{B4246E21-F914-4547-A1B1-15F0C94AF0D7}"/>
    <cellStyle name="Normal 2 2 2 2 2 4" xfId="612" xr:uid="{67F957F9-D84A-4046-85FC-C9A1C00B6394}"/>
    <cellStyle name="Normal 2 2 2 2 2 4 10" xfId="8656" xr:uid="{32BF0FCE-BF90-495D-8F9F-050557F25CA7}"/>
    <cellStyle name="Normal 2 2 2 2 2 4 10 2" xfId="17036" xr:uid="{B7B4B460-169E-4EC1-8B83-6E45CE9B9C2F}"/>
    <cellStyle name="Normal 2 2 2 2 2 4 10 2 2" xfId="33796" xr:uid="{202FC692-F965-4ADB-BC51-92B0024DBAF5}"/>
    <cellStyle name="Normal 2 2 2 2 2 4 10 2 3" xfId="50555" xr:uid="{A6616825-9CC2-49D0-8CEA-DAEEE311FDB6}"/>
    <cellStyle name="Normal 2 2 2 2 2 4 10 3" xfId="25416" xr:uid="{E485A09F-A905-4F1A-A997-DFDB6804EA81}"/>
    <cellStyle name="Normal 2 2 2 2 2 4 10 4" xfId="42175" xr:uid="{CE0E6762-7D75-4D71-86EC-304465572204}"/>
    <cellStyle name="Normal 2 2 2 2 2 4 11" xfId="2444" xr:uid="{97C7D81E-CECC-4DCC-84D3-FD1CAAEB3FE3}"/>
    <cellStyle name="Normal 2 2 2 2 2 4 11 2" xfId="10826" xr:uid="{114DF887-B624-46F4-8489-18269E59F56B}"/>
    <cellStyle name="Normal 2 2 2 2 2 4 11 2 2" xfId="27586" xr:uid="{2E21D600-0D74-47C0-A22C-DACF9CC3ED8A}"/>
    <cellStyle name="Normal 2 2 2 2 2 4 11 2 3" xfId="44345" xr:uid="{E694C7FF-5407-4A8B-827B-23F8D57EEA45}"/>
    <cellStyle name="Normal 2 2 2 2 2 4 11 3" xfId="19206" xr:uid="{D1AE8B7A-2C24-44FF-ABCA-3922813E7611}"/>
    <cellStyle name="Normal 2 2 2 2 2 4 11 4" xfId="35965" xr:uid="{9944978B-77FC-460E-9EEE-CB44DD1F60D7}"/>
    <cellStyle name="Normal 2 2 2 2 2 4 12" xfId="9023" xr:uid="{F9A2F990-244C-45F3-BE15-04A2415C794C}"/>
    <cellStyle name="Normal 2 2 2 2 2 4 12 2" xfId="25783" xr:uid="{9C744AE9-3E56-4B3D-98F6-BF4B981DA5D9}"/>
    <cellStyle name="Normal 2 2 2 2 2 4 12 3" xfId="42542" xr:uid="{D3E689F2-A9A1-4CB8-A430-3752D39EEDA5}"/>
    <cellStyle name="Normal 2 2 2 2 2 4 13" xfId="17403" xr:uid="{D4D1C0E0-05E7-40B9-ACF9-25F2512A9FD2}"/>
    <cellStyle name="Normal 2 2 2 2 2 4 14" xfId="34162" xr:uid="{9EBDF4E9-D3C7-4E64-B4B3-65A8C0245C50}"/>
    <cellStyle name="Normal 2 2 2 2 2 4 2" xfId="1054" xr:uid="{A8131B63-73D4-4478-931E-1A37FF0417D1}"/>
    <cellStyle name="Normal 2 2 2 2 2 4 2 2" xfId="4449" xr:uid="{8B30689B-F93C-41BA-B734-7A0840BA0529}"/>
    <cellStyle name="Normal 2 2 2 2 2 4 2 2 2" xfId="12829" xr:uid="{C195CFA3-D4E3-4049-AC52-239FDD0AD8E6}"/>
    <cellStyle name="Normal 2 2 2 2 2 4 2 2 2 2" xfId="29589" xr:uid="{513C0E10-940C-4258-979F-6006443C28B3}"/>
    <cellStyle name="Normal 2 2 2 2 2 4 2 2 2 3" xfId="46348" xr:uid="{DCDA6928-CB87-46C0-B8E5-302C99F57762}"/>
    <cellStyle name="Normal 2 2 2 2 2 4 2 2 3" xfId="21209" xr:uid="{7F142D89-FF8B-4942-89CA-A4043D7E590C}"/>
    <cellStyle name="Normal 2 2 2 2 2 4 2 2 4" xfId="37968" xr:uid="{A4D875A6-D4B9-4516-BA50-F7C26572D39E}"/>
    <cellStyle name="Normal 2 2 2 2 2 4 2 3" xfId="6136" xr:uid="{4B4C8CC5-8D72-4289-A746-312D50A28A11}"/>
    <cellStyle name="Normal 2 2 2 2 2 4 2 3 2" xfId="14516" xr:uid="{1366C034-60F1-454C-BD8E-46FAA81239C4}"/>
    <cellStyle name="Normal 2 2 2 2 2 4 2 3 2 2" xfId="31276" xr:uid="{53313F5E-120C-4DAE-94D9-750A82371330}"/>
    <cellStyle name="Normal 2 2 2 2 2 4 2 3 2 3" xfId="48035" xr:uid="{EC42CEBF-184A-423D-AFB9-49F4EF8851B0}"/>
    <cellStyle name="Normal 2 2 2 2 2 4 2 3 3" xfId="22896" xr:uid="{673FD0C3-C893-4C28-A7F9-0C76A5CCFBB2}"/>
    <cellStyle name="Normal 2 2 2 2 2 4 2 3 4" xfId="39655" xr:uid="{F3D04FB6-E8E4-4DDE-879B-A7F0BEA9932F}"/>
    <cellStyle name="Normal 2 2 2 2 2 4 2 4" xfId="2872" xr:uid="{A716F20D-C9F4-464C-8365-4C0D09A51D6C}"/>
    <cellStyle name="Normal 2 2 2 2 2 4 2 4 2" xfId="11252" xr:uid="{5D341505-B273-45F2-B695-7234D2F046F5}"/>
    <cellStyle name="Normal 2 2 2 2 2 4 2 4 2 2" xfId="28012" xr:uid="{315D948C-0109-42E3-A9D0-00C52EC33698}"/>
    <cellStyle name="Normal 2 2 2 2 2 4 2 4 2 3" xfId="44771" xr:uid="{EF7FFE4B-7A5D-4407-ADEF-DEF8796B640A}"/>
    <cellStyle name="Normal 2 2 2 2 2 4 2 4 3" xfId="19632" xr:uid="{4EBBA658-52AB-42D4-A81C-FCF87F4A4E2C}"/>
    <cellStyle name="Normal 2 2 2 2 2 4 2 4 4" xfId="36391" xr:uid="{9B8A6CF9-A09A-4968-9F04-EBB243AC127A}"/>
    <cellStyle name="Normal 2 2 2 2 2 4 2 5" xfId="9449" xr:uid="{30B7A39E-0D84-4C1B-BBD2-F838069E75D5}"/>
    <cellStyle name="Normal 2 2 2 2 2 4 2 5 2" xfId="26209" xr:uid="{4C9C09FC-916D-44B4-9CE1-BDD28ADF0DB8}"/>
    <cellStyle name="Normal 2 2 2 2 2 4 2 5 3" xfId="42968" xr:uid="{D0899B07-BCE1-421D-8C62-961460464726}"/>
    <cellStyle name="Normal 2 2 2 2 2 4 2 6" xfId="17829" xr:uid="{935BFB24-8FC9-48A9-8F4B-02030D0B5FAF}"/>
    <cellStyle name="Normal 2 2 2 2 2 4 2 7" xfId="34588" xr:uid="{008D635B-48D8-495B-95A7-F9B1275675FD}"/>
    <cellStyle name="Normal 2 2 2 2 2 4 3" xfId="1488" xr:uid="{26116F76-D952-4400-B844-6BF9074F6E06}"/>
    <cellStyle name="Normal 2 2 2 2 2 4 3 2" xfId="4877" xr:uid="{43B5E06F-08B6-47D4-8C14-039337F65841}"/>
    <cellStyle name="Normal 2 2 2 2 2 4 3 2 2" xfId="13257" xr:uid="{81B823A7-A166-4C3F-ADF2-9C553529D02C}"/>
    <cellStyle name="Normal 2 2 2 2 2 4 3 2 2 2" xfId="30017" xr:uid="{D1096B56-770D-437D-ABEB-8D4EB865785C}"/>
    <cellStyle name="Normal 2 2 2 2 2 4 3 2 2 3" xfId="46776" xr:uid="{E055BED8-E08A-4FDE-826C-BCC587F7356C}"/>
    <cellStyle name="Normal 2 2 2 2 2 4 3 2 3" xfId="21637" xr:uid="{90022D2D-518D-4C15-8790-FAD00DDC1750}"/>
    <cellStyle name="Normal 2 2 2 2 2 4 3 2 4" xfId="38396" xr:uid="{EA63B223-D00F-47A5-993B-8ACD771A6B88}"/>
    <cellStyle name="Normal 2 2 2 2 2 4 3 3" xfId="6564" xr:uid="{8C0F12B6-A935-40F2-B69E-44D5C38BF3DF}"/>
    <cellStyle name="Normal 2 2 2 2 2 4 3 3 2" xfId="14944" xr:uid="{E53B7CC8-4EFF-43FB-930C-0A87B809DCFD}"/>
    <cellStyle name="Normal 2 2 2 2 2 4 3 3 2 2" xfId="31704" xr:uid="{8B037BAA-20E8-4A86-BB62-6CBB9F75C270}"/>
    <cellStyle name="Normal 2 2 2 2 2 4 3 3 2 3" xfId="48463" xr:uid="{0D9568F8-16FE-41F4-AF3F-D73C998D0F6D}"/>
    <cellStyle name="Normal 2 2 2 2 2 4 3 3 3" xfId="23324" xr:uid="{20885AF4-E826-4D20-BFB5-AC34B7CFE27D}"/>
    <cellStyle name="Normal 2 2 2 2 2 4 3 3 4" xfId="40083" xr:uid="{07EB09B5-0A10-4A46-869B-9248878238BE}"/>
    <cellStyle name="Normal 2 2 2 2 2 4 3 4" xfId="3300" xr:uid="{B5132695-D1CA-45AA-82E7-05A79B84FA73}"/>
    <cellStyle name="Normal 2 2 2 2 2 4 3 4 2" xfId="11680" xr:uid="{AB91D548-C212-461C-A2B5-0A03BA3C08E6}"/>
    <cellStyle name="Normal 2 2 2 2 2 4 3 4 2 2" xfId="28440" xr:uid="{F612CDCA-D7B2-4BFE-88E2-115E848BCFD2}"/>
    <cellStyle name="Normal 2 2 2 2 2 4 3 4 2 3" xfId="45199" xr:uid="{A2D2326E-000C-4EA5-A941-83DD9A3FBFFF}"/>
    <cellStyle name="Normal 2 2 2 2 2 4 3 4 3" xfId="20060" xr:uid="{0301D21E-98EC-486B-94C8-A2239559E060}"/>
    <cellStyle name="Normal 2 2 2 2 2 4 3 4 4" xfId="36819" xr:uid="{35907E0E-CC19-4D2F-B3EA-CB85F2F8F4C8}"/>
    <cellStyle name="Normal 2 2 2 2 2 4 3 5" xfId="9877" xr:uid="{229F34AB-24A6-4C45-8FAF-C684EF529B2E}"/>
    <cellStyle name="Normal 2 2 2 2 2 4 3 5 2" xfId="26637" xr:uid="{600519D2-E04E-4E17-AD47-643294387DB6}"/>
    <cellStyle name="Normal 2 2 2 2 2 4 3 5 3" xfId="43396" xr:uid="{DAD1E707-2CAD-412B-BBD1-C5259498C971}"/>
    <cellStyle name="Normal 2 2 2 2 2 4 3 6" xfId="18257" xr:uid="{2C9F338E-EA80-4204-A1C1-811A7EB57988}"/>
    <cellStyle name="Normal 2 2 2 2 2 4 3 7" xfId="35016" xr:uid="{46460E55-E0DD-43DE-9241-A1D8E69DC01A}"/>
    <cellStyle name="Normal 2 2 2 2 2 4 4" xfId="1956" xr:uid="{2823FBA4-DC77-4BCA-BA27-E30CCC124A56}"/>
    <cellStyle name="Normal 2 2 2 2 2 4 4 2" xfId="5345" xr:uid="{B0E2A8D8-462F-4284-835D-F78224767627}"/>
    <cellStyle name="Normal 2 2 2 2 2 4 4 2 2" xfId="13725" xr:uid="{7CBD2B7F-8D55-4A6C-AA67-84926DCC2D00}"/>
    <cellStyle name="Normal 2 2 2 2 2 4 4 2 2 2" xfId="30485" xr:uid="{96786A35-BFBF-4FD2-A236-DDD9AA06E8A8}"/>
    <cellStyle name="Normal 2 2 2 2 2 4 4 2 2 3" xfId="47244" xr:uid="{08120C4D-AA3A-4FBE-BFBE-27A9A9251104}"/>
    <cellStyle name="Normal 2 2 2 2 2 4 4 2 3" xfId="22105" xr:uid="{096ACE45-124F-406E-882B-73103F66DC5E}"/>
    <cellStyle name="Normal 2 2 2 2 2 4 4 2 4" xfId="38864" xr:uid="{DE994779-7439-447E-AF6F-7630ABDD3462}"/>
    <cellStyle name="Normal 2 2 2 2 2 4 4 3" xfId="7032" xr:uid="{1354F8BA-D6F7-4D15-8F69-5E65996229B3}"/>
    <cellStyle name="Normal 2 2 2 2 2 4 4 3 2" xfId="15412" xr:uid="{1DDE4B89-AD6B-40C1-BBDF-2E7572BBDC31}"/>
    <cellStyle name="Normal 2 2 2 2 2 4 4 3 2 2" xfId="32172" xr:uid="{6FF4ADE6-B8E6-4677-B9B2-3ECC1E8677E6}"/>
    <cellStyle name="Normal 2 2 2 2 2 4 4 3 2 3" xfId="48931" xr:uid="{E3139E55-E77A-4F12-9AE2-971CA2AB9D46}"/>
    <cellStyle name="Normal 2 2 2 2 2 4 4 3 3" xfId="23792" xr:uid="{C4938EE1-075E-47DF-B261-F28351AC61C7}"/>
    <cellStyle name="Normal 2 2 2 2 2 4 4 3 4" xfId="40551" xr:uid="{8D43C06A-F24F-4BCC-9749-AF2772F8B696}"/>
    <cellStyle name="Normal 2 2 2 2 2 4 4 4" xfId="3655" xr:uid="{3DABA4B0-A15A-4CEA-9D7F-31F201505696}"/>
    <cellStyle name="Normal 2 2 2 2 2 4 4 4 2" xfId="12035" xr:uid="{C12CC332-D989-461B-A361-A3AC7226E5D2}"/>
    <cellStyle name="Normal 2 2 2 2 2 4 4 4 2 2" xfId="28795" xr:uid="{4B8DD325-B82A-4120-8086-51C3C446AEE4}"/>
    <cellStyle name="Normal 2 2 2 2 2 4 4 4 2 3" xfId="45554" xr:uid="{77AB9768-0119-4468-B95D-50700842E849}"/>
    <cellStyle name="Normal 2 2 2 2 2 4 4 4 3" xfId="20415" xr:uid="{4C7BFF50-F0FE-41A8-AD25-7EC0B201C185}"/>
    <cellStyle name="Normal 2 2 2 2 2 4 4 4 4" xfId="37174" xr:uid="{67B97C8E-9754-4DD9-8A5B-F0A53F010B03}"/>
    <cellStyle name="Normal 2 2 2 2 2 4 4 5" xfId="10345" xr:uid="{8A253C3A-617B-4DE2-A722-5A1BD6BD3EE4}"/>
    <cellStyle name="Normal 2 2 2 2 2 4 4 5 2" xfId="27105" xr:uid="{96E7C468-F56E-4670-A81D-0CB2ACE5A70B}"/>
    <cellStyle name="Normal 2 2 2 2 2 4 4 5 3" xfId="43864" xr:uid="{2A56FC08-DB9B-48AF-982A-C4B820D67F64}"/>
    <cellStyle name="Normal 2 2 2 2 2 4 4 6" xfId="18725" xr:uid="{3840A870-90C7-4366-A7D2-BAD94302B512}"/>
    <cellStyle name="Normal 2 2 2 2 2 4 4 7" xfId="35484" xr:uid="{791A8C21-652C-4158-8E2C-2529DB17F9AA}"/>
    <cellStyle name="Normal 2 2 2 2 2 4 5" xfId="4075" xr:uid="{7A870C41-20FB-4698-8A65-B5D5B5D54AB9}"/>
    <cellStyle name="Normal 2 2 2 2 2 4 5 2" xfId="12455" xr:uid="{C22B9E48-A1F8-47AB-A5E6-EE276F9C4241}"/>
    <cellStyle name="Normal 2 2 2 2 2 4 5 2 2" xfId="29215" xr:uid="{6B83652A-412C-40D4-86B6-0F1DD9EF3349}"/>
    <cellStyle name="Normal 2 2 2 2 2 4 5 2 3" xfId="45974" xr:uid="{CF411A15-9094-44EB-A12E-81F5D6E5F8EF}"/>
    <cellStyle name="Normal 2 2 2 2 2 4 5 3" xfId="20835" xr:uid="{25EC855C-5DDF-48C3-AFEE-BC55A7FED17D}"/>
    <cellStyle name="Normal 2 2 2 2 2 4 5 4" xfId="37594" xr:uid="{7AA610A1-138C-458B-AAB7-15C7CDF655D3}"/>
    <cellStyle name="Normal 2 2 2 2 2 4 6" xfId="5710" xr:uid="{7F46A666-955C-487F-B4BE-544B5B730311}"/>
    <cellStyle name="Normal 2 2 2 2 2 4 6 2" xfId="14090" xr:uid="{C7209147-04DE-4ED9-BE99-02093F66FDFF}"/>
    <cellStyle name="Normal 2 2 2 2 2 4 6 2 2" xfId="30850" xr:uid="{67DD53DE-5B16-4594-B2BB-1940562B9ABC}"/>
    <cellStyle name="Normal 2 2 2 2 2 4 6 2 3" xfId="47609" xr:uid="{8A9D27ED-7225-44C1-B5C1-538FD7807B32}"/>
    <cellStyle name="Normal 2 2 2 2 2 4 6 3" xfId="22470" xr:uid="{B5AD3CE3-3BD3-4649-B3AF-8984732823DE}"/>
    <cellStyle name="Normal 2 2 2 2 2 4 6 4" xfId="39229" xr:uid="{0D342ED8-AE73-4699-AB12-56C6385B2882}"/>
    <cellStyle name="Normal 2 2 2 2 2 4 7" xfId="7438" xr:uid="{1EA5CFC4-BCB0-45C2-B4C2-9C22AEDAB0F2}"/>
    <cellStyle name="Normal 2 2 2 2 2 4 7 2" xfId="15818" xr:uid="{ABB7E9B3-9169-4862-B3C0-8389A07829F2}"/>
    <cellStyle name="Normal 2 2 2 2 2 4 7 2 2" xfId="32578" xr:uid="{443F77D8-4593-4B2E-BF63-A569B5B61D4C}"/>
    <cellStyle name="Normal 2 2 2 2 2 4 7 2 3" xfId="49337" xr:uid="{9448720D-C10D-4539-82C9-FECF26DD2CC1}"/>
    <cellStyle name="Normal 2 2 2 2 2 4 7 3" xfId="24198" xr:uid="{B9E0E530-7B91-446C-BBE9-8A622FA74A0A}"/>
    <cellStyle name="Normal 2 2 2 2 2 4 7 4" xfId="40957" xr:uid="{C27B6C4D-B083-4CA2-AE03-8D603E5E8A8F}"/>
    <cellStyle name="Normal 2 2 2 2 2 4 8" xfId="7844" xr:uid="{8C51D0A7-31A9-4E44-A019-151691625014}"/>
    <cellStyle name="Normal 2 2 2 2 2 4 8 2" xfId="16224" xr:uid="{690E120B-54B6-47CA-BE85-DAFC8BB49574}"/>
    <cellStyle name="Normal 2 2 2 2 2 4 8 2 2" xfId="32984" xr:uid="{4369B0E2-C5EA-4C21-A805-1B14C0620AB5}"/>
    <cellStyle name="Normal 2 2 2 2 2 4 8 2 3" xfId="49743" xr:uid="{7A915FB9-A717-4B1A-A409-E38810F3973C}"/>
    <cellStyle name="Normal 2 2 2 2 2 4 8 3" xfId="24604" xr:uid="{F337F562-46A8-4E5A-A630-9183B6798737}"/>
    <cellStyle name="Normal 2 2 2 2 2 4 8 4" xfId="41363" xr:uid="{6190EA51-58D9-4C04-B146-26486B15B6D0}"/>
    <cellStyle name="Normal 2 2 2 2 2 4 9" xfId="8250" xr:uid="{A05E028D-76F9-47E0-8083-2FC065A01ED2}"/>
    <cellStyle name="Normal 2 2 2 2 2 4 9 2" xfId="16630" xr:uid="{CEF8545C-81AF-4D24-8B17-C46FE4D2AC17}"/>
    <cellStyle name="Normal 2 2 2 2 2 4 9 2 2" xfId="33390" xr:uid="{EB9329C7-C8F9-4412-BEAE-4053A4C01C0F}"/>
    <cellStyle name="Normal 2 2 2 2 2 4 9 2 3" xfId="50149" xr:uid="{B5858337-6F82-4FEB-A82C-9B6776ADDC92}"/>
    <cellStyle name="Normal 2 2 2 2 2 4 9 3" xfId="25010" xr:uid="{5BCC5D09-44CA-4C95-BEE2-72F332A8400B}"/>
    <cellStyle name="Normal 2 2 2 2 2 4 9 4" xfId="41769" xr:uid="{1B675863-90B7-4C45-A290-605A6FD6BDF0}"/>
    <cellStyle name="Normal 2 2 2 2 2 5" xfId="802" xr:uid="{F702BDB8-915C-42E5-A3F4-5989D2DFBB07}"/>
    <cellStyle name="Normal 2 2 2 2 2 5 2" xfId="4197" xr:uid="{CB578049-14DD-4897-9549-306B6978FAEC}"/>
    <cellStyle name="Normal 2 2 2 2 2 5 2 2" xfId="12577" xr:uid="{ADD7478C-858B-4235-8907-E3661AE005FD}"/>
    <cellStyle name="Normal 2 2 2 2 2 5 2 2 2" xfId="29337" xr:uid="{36BAF800-64D8-469C-B148-149918651256}"/>
    <cellStyle name="Normal 2 2 2 2 2 5 2 2 3" xfId="46096" xr:uid="{AD33290C-2947-41DB-8645-0C7107CA457C}"/>
    <cellStyle name="Normal 2 2 2 2 2 5 2 3" xfId="20957" xr:uid="{C316F7FF-8172-4C32-B480-9CF507A1B0AA}"/>
    <cellStyle name="Normal 2 2 2 2 2 5 2 4" xfId="37716" xr:uid="{3832230E-EC14-402E-B9A0-4FE1FD9D92BD}"/>
    <cellStyle name="Normal 2 2 2 2 2 5 3" xfId="5884" xr:uid="{A5232DF5-8E24-4D83-983E-80F43D744327}"/>
    <cellStyle name="Normal 2 2 2 2 2 5 3 2" xfId="14264" xr:uid="{0FE6E49C-CEC9-4281-9052-210F9A49466E}"/>
    <cellStyle name="Normal 2 2 2 2 2 5 3 2 2" xfId="31024" xr:uid="{262FCC4E-2766-4038-8A06-F5D36EECE585}"/>
    <cellStyle name="Normal 2 2 2 2 2 5 3 2 3" xfId="47783" xr:uid="{8E5E5E99-F61B-43C6-916D-F3AD4380CC9C}"/>
    <cellStyle name="Normal 2 2 2 2 2 5 3 3" xfId="22644" xr:uid="{215F3EFB-EF39-4D8B-AA5D-748C3B938098}"/>
    <cellStyle name="Normal 2 2 2 2 2 5 3 4" xfId="39403" xr:uid="{8CAFC5F8-01CD-4AB3-B4BB-82AD3E32C597}"/>
    <cellStyle name="Normal 2 2 2 2 2 5 4" xfId="2620" xr:uid="{2B990B9A-8848-4258-B476-E5E2C3C78695}"/>
    <cellStyle name="Normal 2 2 2 2 2 5 4 2" xfId="11000" xr:uid="{9DE94583-1FBA-4F05-8DE6-473D353DEFF9}"/>
    <cellStyle name="Normal 2 2 2 2 2 5 4 2 2" xfId="27760" xr:uid="{F365A715-F172-47C1-A020-1EB680C7EDCE}"/>
    <cellStyle name="Normal 2 2 2 2 2 5 4 2 3" xfId="44519" xr:uid="{51DB434F-283E-4465-BCF0-1385186C97B0}"/>
    <cellStyle name="Normal 2 2 2 2 2 5 4 3" xfId="19380" xr:uid="{C0715B43-7FA0-42F6-B481-771D4C294FAD}"/>
    <cellStyle name="Normal 2 2 2 2 2 5 4 4" xfId="36139" xr:uid="{9C63ED24-0529-472E-93E8-2EC95A1D0BFF}"/>
    <cellStyle name="Normal 2 2 2 2 2 5 5" xfId="9197" xr:uid="{5A9082F4-2469-47AC-B78B-1749AF03C03D}"/>
    <cellStyle name="Normal 2 2 2 2 2 5 5 2" xfId="25957" xr:uid="{B970A534-D32D-432B-8517-12E58E48F044}"/>
    <cellStyle name="Normal 2 2 2 2 2 5 5 3" xfId="42716" xr:uid="{0E5DA1A0-9CBB-4EA6-A1C9-E6FED70C8DDB}"/>
    <cellStyle name="Normal 2 2 2 2 2 5 6" xfId="17577" xr:uid="{EFD17F2C-71E1-4049-84FB-04ECD2662540}"/>
    <cellStyle name="Normal 2 2 2 2 2 5 7" xfId="34336" xr:uid="{7E91BAF2-7262-4CB6-8AB7-055A99D7637C}"/>
    <cellStyle name="Normal 2 2 2 2 2 6" xfId="1236" xr:uid="{80AEB1EF-AE25-460E-A8D5-3DCF8259D15B}"/>
    <cellStyle name="Normal 2 2 2 2 2 6 2" xfId="4625" xr:uid="{33DF7303-7A91-4C1B-80DB-B263E9F898FF}"/>
    <cellStyle name="Normal 2 2 2 2 2 6 2 2" xfId="13005" xr:uid="{5C92383C-D2ED-4DF5-9A6C-047FC876E89A}"/>
    <cellStyle name="Normal 2 2 2 2 2 6 2 2 2" xfId="29765" xr:uid="{3CEDB79D-6053-4760-BA7C-5F3779B10039}"/>
    <cellStyle name="Normal 2 2 2 2 2 6 2 2 3" xfId="46524" xr:uid="{0C4564C5-27A8-4827-9FBE-5C903A4C3B28}"/>
    <cellStyle name="Normal 2 2 2 2 2 6 2 3" xfId="21385" xr:uid="{62F248FD-3E92-4D92-B749-D292137CC723}"/>
    <cellStyle name="Normal 2 2 2 2 2 6 2 4" xfId="38144" xr:uid="{E49B7B9A-2E14-4E9B-9E18-9F48B6D28718}"/>
    <cellStyle name="Normal 2 2 2 2 2 6 3" xfId="6312" xr:uid="{CDFB235E-9B09-4E47-9EBD-5C7369F6C924}"/>
    <cellStyle name="Normal 2 2 2 2 2 6 3 2" xfId="14692" xr:uid="{6C305869-A850-412A-95D9-00BDAE90D2FE}"/>
    <cellStyle name="Normal 2 2 2 2 2 6 3 2 2" xfId="31452" xr:uid="{4F476008-98E4-4583-8BA8-AFAFB49C7E66}"/>
    <cellStyle name="Normal 2 2 2 2 2 6 3 2 3" xfId="48211" xr:uid="{352AEF10-6A33-4C7E-9CB0-9AA6242471CB}"/>
    <cellStyle name="Normal 2 2 2 2 2 6 3 3" xfId="23072" xr:uid="{5854100B-EF3A-41CE-8216-4AC23A98768D}"/>
    <cellStyle name="Normal 2 2 2 2 2 6 3 4" xfId="39831" xr:uid="{0431E228-B17E-4B08-9EC4-301E5E746DAF}"/>
    <cellStyle name="Normal 2 2 2 2 2 6 4" xfId="3048" xr:uid="{1A2CD951-F4D3-4908-B41E-D3C21BDF7A44}"/>
    <cellStyle name="Normal 2 2 2 2 2 6 4 2" xfId="11428" xr:uid="{9FE0798E-5456-4653-9E85-C0955884BA73}"/>
    <cellStyle name="Normal 2 2 2 2 2 6 4 2 2" xfId="28188" xr:uid="{F3393445-B4A8-4471-A519-0788709B78D5}"/>
    <cellStyle name="Normal 2 2 2 2 2 6 4 2 3" xfId="44947" xr:uid="{26E470E8-F401-4E85-9929-7DBE99A0FD4D}"/>
    <cellStyle name="Normal 2 2 2 2 2 6 4 3" xfId="19808" xr:uid="{423796DC-410D-4FED-B4F2-64B75C885A67}"/>
    <cellStyle name="Normal 2 2 2 2 2 6 4 4" xfId="36567" xr:uid="{B1DA26E9-6EA3-4EE9-B5FA-40FA7581E3E2}"/>
    <cellStyle name="Normal 2 2 2 2 2 6 5" xfId="9625" xr:uid="{CA36A3E8-02F1-4B79-9CAB-A26907CD225F}"/>
    <cellStyle name="Normal 2 2 2 2 2 6 5 2" xfId="26385" xr:uid="{0CEA12A0-CBD4-440A-8950-AC6C0EC73CC0}"/>
    <cellStyle name="Normal 2 2 2 2 2 6 5 3" xfId="43144" xr:uid="{2D961D36-F56A-4107-86BB-E4CBC7DF59AB}"/>
    <cellStyle name="Normal 2 2 2 2 2 6 6" xfId="18005" xr:uid="{1AB91FF2-F948-4315-B82A-85C222063FAA}"/>
    <cellStyle name="Normal 2 2 2 2 2 6 7" xfId="34764" xr:uid="{37E94A7E-0022-48CF-8398-E97271BC1BA9}"/>
    <cellStyle name="Normal 2 2 2 2 2 7" xfId="1685" xr:uid="{187553FF-7F8F-4E19-B027-52B81BD6696E}"/>
    <cellStyle name="Normal 2 2 2 2 2 7 2" xfId="5074" xr:uid="{67E33F55-35B2-483E-A420-67DD15FF1A25}"/>
    <cellStyle name="Normal 2 2 2 2 2 7 2 2" xfId="13454" xr:uid="{B4AED70A-F4DD-49AA-877A-5D55487589B2}"/>
    <cellStyle name="Normal 2 2 2 2 2 7 2 2 2" xfId="30214" xr:uid="{EDC296EB-D77D-4BFA-86C1-652BBC0014E7}"/>
    <cellStyle name="Normal 2 2 2 2 2 7 2 2 3" xfId="46973" xr:uid="{C2EE484C-C449-46FB-A0C7-8B9EE6B387F7}"/>
    <cellStyle name="Normal 2 2 2 2 2 7 2 3" xfId="21834" xr:uid="{B2A122FE-9E3D-4938-BF0D-7BB313DB449E}"/>
    <cellStyle name="Normal 2 2 2 2 2 7 2 4" xfId="38593" xr:uid="{274D3F4C-127D-435B-AAD8-BE1161A06881}"/>
    <cellStyle name="Normal 2 2 2 2 2 7 3" xfId="6761" xr:uid="{2FF9DF1A-3936-467D-B726-B196E8082A5A}"/>
    <cellStyle name="Normal 2 2 2 2 2 7 3 2" xfId="15141" xr:uid="{E2DD91AE-A5BE-40C4-BC9D-C1B498CF8E3B}"/>
    <cellStyle name="Normal 2 2 2 2 2 7 3 2 2" xfId="31901" xr:uid="{82A5DCDC-B3C5-4298-A89C-0A7233AC46B5}"/>
    <cellStyle name="Normal 2 2 2 2 2 7 3 2 3" xfId="48660" xr:uid="{659FB0B1-A26F-4D01-A3A4-72739EBCAE1F}"/>
    <cellStyle name="Normal 2 2 2 2 2 7 3 3" xfId="23521" xr:uid="{23F476FC-D582-45BF-8566-5F93653684C1}"/>
    <cellStyle name="Normal 2 2 2 2 2 7 3 4" xfId="40280" xr:uid="{68A4D272-72B4-4E1F-B989-0A7BEFB21E0A}"/>
    <cellStyle name="Normal 2 2 2 2 2 7 4" xfId="2187" xr:uid="{871522A0-5060-470B-AD09-CB85D618580D}"/>
    <cellStyle name="Normal 2 2 2 2 2 7 4 2" xfId="10574" xr:uid="{22511D11-E9B1-4001-B563-4B1B6E4117B7}"/>
    <cellStyle name="Normal 2 2 2 2 2 7 4 2 2" xfId="27334" xr:uid="{F369EB11-DC84-45C3-A3A0-CF33C60A38F9}"/>
    <cellStyle name="Normal 2 2 2 2 2 7 4 2 3" xfId="44093" xr:uid="{BBB0B0DB-D5A6-4FA0-8DBB-95C3DD039343}"/>
    <cellStyle name="Normal 2 2 2 2 2 7 4 3" xfId="18954" xr:uid="{A3222B87-6FE5-4EAC-947F-F2F925A4B2D7}"/>
    <cellStyle name="Normal 2 2 2 2 2 7 4 4" xfId="35713" xr:uid="{E28B891B-E4BD-48AC-99BB-D0B0AACB3B66}"/>
    <cellStyle name="Normal 2 2 2 2 2 7 5" xfId="10074" xr:uid="{CFD6465C-E8C5-4D8F-90AF-DB67BBD99B75}"/>
    <cellStyle name="Normal 2 2 2 2 2 7 5 2" xfId="26834" xr:uid="{7811BE5C-E06A-40B7-9760-61022582C413}"/>
    <cellStyle name="Normal 2 2 2 2 2 7 5 3" xfId="43593" xr:uid="{CA1105A5-4339-4F1C-8B54-D579C4B21156}"/>
    <cellStyle name="Normal 2 2 2 2 2 7 6" xfId="18454" xr:uid="{C349DD67-BBC7-4DB3-99C1-DD9EEDF3E6B6}"/>
    <cellStyle name="Normal 2 2 2 2 2 7 7" xfId="35213" xr:uid="{FBC03EA2-638E-4DB3-ACB7-69C1B8976070}"/>
    <cellStyle name="Normal 2 2 2 2 2 8" xfId="3803" xr:uid="{8D28C6FF-B498-451D-BCCB-48E9BE86EB4D}"/>
    <cellStyle name="Normal 2 2 2 2 2 8 2" xfId="12183" xr:uid="{D06FE847-1DAF-4352-873C-BE1D732C3EFD}"/>
    <cellStyle name="Normal 2 2 2 2 2 8 2 2" xfId="28943" xr:uid="{D0FC7EC4-4243-48BF-BDCE-95C690F75ED9}"/>
    <cellStyle name="Normal 2 2 2 2 2 8 2 3" xfId="45702" xr:uid="{D6021F6F-CE79-4055-8D84-5B23A5451AB1}"/>
    <cellStyle name="Normal 2 2 2 2 2 8 3" xfId="20563" xr:uid="{E73A5D93-5581-419F-B668-9610B80A2042}"/>
    <cellStyle name="Normal 2 2 2 2 2 8 4" xfId="37322" xr:uid="{B3BC8029-322A-4FFA-BB0A-C168C5BB265C}"/>
    <cellStyle name="Normal 2 2 2 2 2 9" xfId="5458" xr:uid="{BF2B2C3C-E7F7-4619-92A5-47312C5BEE9F}"/>
    <cellStyle name="Normal 2 2 2 2 2 9 2" xfId="13838" xr:uid="{D55A7177-1B94-475C-8BBB-1E9A0697BEDA}"/>
    <cellStyle name="Normal 2 2 2 2 2 9 2 2" xfId="30598" xr:uid="{D250D0EF-E3F9-43F1-B74B-A451344366EF}"/>
    <cellStyle name="Normal 2 2 2 2 2 9 2 3" xfId="47357" xr:uid="{B519B33F-75EF-43F6-92CD-4D96F66C3EDA}"/>
    <cellStyle name="Normal 2 2 2 2 2 9 3" xfId="22218" xr:uid="{55F2AB8D-475A-411A-BE2A-6470A969FD30}"/>
    <cellStyle name="Normal 2 2 2 2 2 9 4" xfId="38977" xr:uid="{44242D5B-6B8B-4565-867A-7465A286B2FF}"/>
    <cellStyle name="Normal 2 2 2 2 20" xfId="33882" xr:uid="{E49FD714-1CE1-41FA-8ED2-DD998D399DDF}"/>
    <cellStyle name="Normal 2 2 2 2 21" xfId="51083" xr:uid="{6CDAC0B0-774B-407F-AA95-B3DF20A0016E}"/>
    <cellStyle name="Normal 2 2 2 2 22" xfId="51557" xr:uid="{D592594F-64EC-4C3D-A447-1BD8B40FC20B}"/>
    <cellStyle name="Normal 2 2 2 2 23" xfId="52035" xr:uid="{3EAEDBCB-8356-4E53-8174-C4F8CE2DE737}"/>
    <cellStyle name="Normal 2 2 2 2 3" xfId="353" xr:uid="{85C23E24-BDBD-4DA9-97F5-6B0DF4B18264}"/>
    <cellStyle name="Normal 2 2 2 2 3 10" xfId="7574" xr:uid="{480B0859-2082-4467-8D29-2A46AD45B9A9}"/>
    <cellStyle name="Normal 2 2 2 2 3 10 2" xfId="15954" xr:uid="{9A61A802-36D9-4C81-841A-E0B8B4FD48A1}"/>
    <cellStyle name="Normal 2 2 2 2 3 10 2 2" xfId="32714" xr:uid="{72D738AF-8895-4A58-BF9B-4F23877F54AA}"/>
    <cellStyle name="Normal 2 2 2 2 3 10 2 3" xfId="49473" xr:uid="{84E33B50-3753-4084-9B08-473F1A295673}"/>
    <cellStyle name="Normal 2 2 2 2 3 10 3" xfId="24334" xr:uid="{8703E8AA-11F6-4455-87A9-ED1B5BC56861}"/>
    <cellStyle name="Normal 2 2 2 2 3 10 4" xfId="41093" xr:uid="{94EB0337-AF10-4C1B-9B98-774DA4AB999C}"/>
    <cellStyle name="Normal 2 2 2 2 3 11" xfId="7980" xr:uid="{E1C0B782-D288-4E07-8B1F-B4681DAEAEB0}"/>
    <cellStyle name="Normal 2 2 2 2 3 11 2" xfId="16360" xr:uid="{4C2CBCE2-57D9-42D1-B11F-B88F4389D176}"/>
    <cellStyle name="Normal 2 2 2 2 3 11 2 2" xfId="33120" xr:uid="{2D4221B3-60CB-48C3-ADBD-84F2D5F0B063}"/>
    <cellStyle name="Normal 2 2 2 2 3 11 2 3" xfId="49879" xr:uid="{A79E865C-1715-435D-B7C7-52AF8B2EE422}"/>
    <cellStyle name="Normal 2 2 2 2 3 11 3" xfId="24740" xr:uid="{5F28045E-B649-43F9-B6FA-955F35DF9BEF}"/>
    <cellStyle name="Normal 2 2 2 2 3 11 4" xfId="41499" xr:uid="{9771B563-540F-4359-9BE4-5FAA28289945}"/>
    <cellStyle name="Normal 2 2 2 2 3 12" xfId="8386" xr:uid="{E790D7A6-BC5B-4A03-AF9E-2B92A6B12578}"/>
    <cellStyle name="Normal 2 2 2 2 3 12 2" xfId="16766" xr:uid="{6ED478C3-4291-4373-8B9F-449BDCA5F75C}"/>
    <cellStyle name="Normal 2 2 2 2 3 12 2 2" xfId="33526" xr:uid="{ACA31D30-4A5D-4962-B022-4F608304EC63}"/>
    <cellStyle name="Normal 2 2 2 2 3 12 2 3" xfId="50285" xr:uid="{2BA01EEC-7230-4BEA-97BC-3E2C45ECE790}"/>
    <cellStyle name="Normal 2 2 2 2 3 12 3" xfId="25146" xr:uid="{9C76B64A-348A-492C-BB72-73C901A5F7C2}"/>
    <cellStyle name="Normal 2 2 2 2 3 12 4" xfId="41905" xr:uid="{AEA15B4E-ECFA-456A-B377-A76FE7D515B3}"/>
    <cellStyle name="Normal 2 2 2 2 3 13" xfId="2083" xr:uid="{08DB4F65-7000-45C8-9A4C-F25C68ED303B}"/>
    <cellStyle name="Normal 2 2 2 2 3 13 2" xfId="10471" xr:uid="{770A5E1E-9518-4BAD-A07A-03D8BF89AFB1}"/>
    <cellStyle name="Normal 2 2 2 2 3 13 2 2" xfId="27231" xr:uid="{A49AD682-7806-469C-990C-D0DE5FC40895}"/>
    <cellStyle name="Normal 2 2 2 2 3 13 2 3" xfId="43990" xr:uid="{D01191B3-D19D-420F-A1ED-4ADF8984E756}"/>
    <cellStyle name="Normal 2 2 2 2 3 13 3" xfId="18851" xr:uid="{3BB1D48E-0C8F-418A-9D66-2BA827C020CF}"/>
    <cellStyle name="Normal 2 2 2 2 3 13 4" xfId="35610" xr:uid="{2C6CC598-8D7D-41C3-88FD-FBDCE056B496}"/>
    <cellStyle name="Normal 2 2 2 2 3 14" xfId="8817" xr:uid="{F2555590-78B6-44FC-9F7E-2F7C0887482E}"/>
    <cellStyle name="Normal 2 2 2 2 3 14 2" xfId="25577" xr:uid="{2A5AB151-63B3-4899-A165-0876EF17BA56}"/>
    <cellStyle name="Normal 2 2 2 2 3 14 3" xfId="42336" xr:uid="{8D428DF4-C94D-467D-9955-98CB2F71D91A}"/>
    <cellStyle name="Normal 2 2 2 2 3 15" xfId="17197" xr:uid="{28F4D409-4DDF-463A-BAF4-92F95EDCAE25}"/>
    <cellStyle name="Normal 2 2 2 2 3 16" xfId="33956" xr:uid="{05857D32-9524-4479-BABD-23105C3AA604}"/>
    <cellStyle name="Normal 2 2 2 2 3 2" xfId="613" xr:uid="{2758481E-19C1-4AC5-B36A-F2CE20D703A9}"/>
    <cellStyle name="Normal 2 2 2 2 3 2 10" xfId="8535" xr:uid="{F663A994-279B-401F-98EA-BD83847FB7A7}"/>
    <cellStyle name="Normal 2 2 2 2 3 2 10 2" xfId="16915" xr:uid="{491E2A4D-C647-46E6-BC79-9E67485AA542}"/>
    <cellStyle name="Normal 2 2 2 2 3 2 10 2 2" xfId="33675" xr:uid="{6136CBE5-C1EC-460D-A170-AC32F86E1C52}"/>
    <cellStyle name="Normal 2 2 2 2 3 2 10 2 3" xfId="50434" xr:uid="{8541FF24-280F-4AE5-ACFF-4E570949B47A}"/>
    <cellStyle name="Normal 2 2 2 2 3 2 10 3" xfId="25295" xr:uid="{8534C82B-B368-4C42-866B-940A04A9755C}"/>
    <cellStyle name="Normal 2 2 2 2 3 2 10 4" xfId="42054" xr:uid="{B5900A30-059D-418F-9E0A-E183CCFB7BDF}"/>
    <cellStyle name="Normal 2 2 2 2 3 2 11" xfId="2445" xr:uid="{B0E2E7A2-6526-4824-A65F-A2314B7CC096}"/>
    <cellStyle name="Normal 2 2 2 2 3 2 11 2" xfId="10827" xr:uid="{159F8D7E-4103-4BCF-82DB-0CD3589CCA6C}"/>
    <cellStyle name="Normal 2 2 2 2 3 2 11 2 2" xfId="27587" xr:uid="{9CA9B08F-4AD0-43ED-8CCE-2500F078127F}"/>
    <cellStyle name="Normal 2 2 2 2 3 2 11 2 3" xfId="44346" xr:uid="{84BACF55-8A14-413F-B52D-BB8E4DF68A0B}"/>
    <cellStyle name="Normal 2 2 2 2 3 2 11 3" xfId="19207" xr:uid="{A95117C6-AE8B-4C98-9261-56A928CF92AF}"/>
    <cellStyle name="Normal 2 2 2 2 3 2 11 4" xfId="35966" xr:uid="{C9C9A406-D87B-46A3-96D8-6C24900E01F1}"/>
    <cellStyle name="Normal 2 2 2 2 3 2 12" xfId="9024" xr:uid="{E0C6D25C-BF2F-47D4-A6E5-982FDB85182E}"/>
    <cellStyle name="Normal 2 2 2 2 3 2 12 2" xfId="25784" xr:uid="{2583079A-DBF5-4F04-BC5E-244E921A5B17}"/>
    <cellStyle name="Normal 2 2 2 2 3 2 12 3" xfId="42543" xr:uid="{AC9C5D83-9106-440F-98EC-9CEDD9AC69C9}"/>
    <cellStyle name="Normal 2 2 2 2 3 2 13" xfId="17404" xr:uid="{1E3A4BB7-5214-446B-9299-076F45E8B53F}"/>
    <cellStyle name="Normal 2 2 2 2 3 2 14" xfId="34163" xr:uid="{887386ED-DDEA-4822-AE04-FE628C312D1A}"/>
    <cellStyle name="Normal 2 2 2 2 3 2 2" xfId="1055" xr:uid="{FBB43A1D-154F-4D9D-A154-98757AA4463E}"/>
    <cellStyle name="Normal 2 2 2 2 3 2 2 2" xfId="4450" xr:uid="{BC2BB5A5-EB9B-4B48-A8A8-101EB12F3492}"/>
    <cellStyle name="Normal 2 2 2 2 3 2 2 2 2" xfId="12830" xr:uid="{8DFD4354-BA95-47A6-87C0-A1C76D8ECAE5}"/>
    <cellStyle name="Normal 2 2 2 2 3 2 2 2 2 2" xfId="29590" xr:uid="{F6681641-FFE0-4BE4-92C0-258293EDA0AD}"/>
    <cellStyle name="Normal 2 2 2 2 3 2 2 2 2 3" xfId="46349" xr:uid="{9D599F2E-CC4F-4F42-9148-2D5A45437119}"/>
    <cellStyle name="Normal 2 2 2 2 3 2 2 2 3" xfId="21210" xr:uid="{3BE91E87-60B0-4B53-B54C-6C04933E0426}"/>
    <cellStyle name="Normal 2 2 2 2 3 2 2 2 4" xfId="37969" xr:uid="{69882A45-BD09-4503-BE06-5B3B06B6C93F}"/>
    <cellStyle name="Normal 2 2 2 2 3 2 2 3" xfId="6137" xr:uid="{E619AA00-1DC8-4154-8C44-4A0FCFE90BB9}"/>
    <cellStyle name="Normal 2 2 2 2 3 2 2 3 2" xfId="14517" xr:uid="{16A346FA-CC90-4862-A154-6377A8E43BE9}"/>
    <cellStyle name="Normal 2 2 2 2 3 2 2 3 2 2" xfId="31277" xr:uid="{BAC83088-8500-4A8B-AA7E-A14D6986A696}"/>
    <cellStyle name="Normal 2 2 2 2 3 2 2 3 2 3" xfId="48036" xr:uid="{D20106D1-3BD0-4757-A359-C693B2A35281}"/>
    <cellStyle name="Normal 2 2 2 2 3 2 2 3 3" xfId="22897" xr:uid="{BA3F43DD-5CE0-4572-B40A-DF2201013A22}"/>
    <cellStyle name="Normal 2 2 2 2 3 2 2 3 4" xfId="39656" xr:uid="{26BCF1EF-4F1F-48D2-B3AB-AD2CD6F947E6}"/>
    <cellStyle name="Normal 2 2 2 2 3 2 2 4" xfId="2873" xr:uid="{08168646-D13C-427A-9F88-7FCE69768219}"/>
    <cellStyle name="Normal 2 2 2 2 3 2 2 4 2" xfId="11253" xr:uid="{801952E0-DF4A-4A39-9C6E-F73A40EAE718}"/>
    <cellStyle name="Normal 2 2 2 2 3 2 2 4 2 2" xfId="28013" xr:uid="{9140EF74-E33C-4628-B571-20463F5C54CF}"/>
    <cellStyle name="Normal 2 2 2 2 3 2 2 4 2 3" xfId="44772" xr:uid="{74BDCA65-F76B-4D56-B63C-043CFB452F80}"/>
    <cellStyle name="Normal 2 2 2 2 3 2 2 4 3" xfId="19633" xr:uid="{0AB85B64-01C1-4506-A0C0-7F9C871382F0}"/>
    <cellStyle name="Normal 2 2 2 2 3 2 2 4 4" xfId="36392" xr:uid="{5EB63688-2FC5-4894-B3A0-C962748AE80B}"/>
    <cellStyle name="Normal 2 2 2 2 3 2 2 5" xfId="9450" xr:uid="{DAF39012-1D27-49D1-89EE-309A097C5DDC}"/>
    <cellStyle name="Normal 2 2 2 2 3 2 2 5 2" xfId="26210" xr:uid="{8389DC5A-2721-4591-8D3C-C7EA2E0054BB}"/>
    <cellStyle name="Normal 2 2 2 2 3 2 2 5 3" xfId="42969" xr:uid="{3FF9966C-D98B-4A08-89F6-1E77F288B118}"/>
    <cellStyle name="Normal 2 2 2 2 3 2 2 6" xfId="17830" xr:uid="{8D12339E-220E-4BAB-89C7-C5A554E4B57F}"/>
    <cellStyle name="Normal 2 2 2 2 3 2 2 7" xfId="34589" xr:uid="{184065F8-62A8-4E21-B482-D15F56EE66E6}"/>
    <cellStyle name="Normal 2 2 2 2 3 2 3" xfId="1489" xr:uid="{FD53951B-7AF5-4583-AAFB-9864DCE0DC03}"/>
    <cellStyle name="Normal 2 2 2 2 3 2 3 2" xfId="4878" xr:uid="{CB4D9E66-9445-47CD-B130-780714DE4A97}"/>
    <cellStyle name="Normal 2 2 2 2 3 2 3 2 2" xfId="13258" xr:uid="{73594FD0-A16D-45BE-966E-5227BAEDB796}"/>
    <cellStyle name="Normal 2 2 2 2 3 2 3 2 2 2" xfId="30018" xr:uid="{97EA9DCE-9465-418D-A914-08B4A66CC325}"/>
    <cellStyle name="Normal 2 2 2 2 3 2 3 2 2 3" xfId="46777" xr:uid="{B842778C-7A1F-4B4B-9F15-A6F669726C7C}"/>
    <cellStyle name="Normal 2 2 2 2 3 2 3 2 3" xfId="21638" xr:uid="{B02A373A-B318-47AB-BC74-9B24F2E63FBC}"/>
    <cellStyle name="Normal 2 2 2 2 3 2 3 2 4" xfId="38397" xr:uid="{C3F70998-949A-4ACB-BFD2-4B4CB241512B}"/>
    <cellStyle name="Normal 2 2 2 2 3 2 3 3" xfId="6565" xr:uid="{5E61F24F-D924-4CB6-9420-62E7BB3B017D}"/>
    <cellStyle name="Normal 2 2 2 2 3 2 3 3 2" xfId="14945" xr:uid="{87E62C38-F588-457C-B9F4-8460BA0F64FF}"/>
    <cellStyle name="Normal 2 2 2 2 3 2 3 3 2 2" xfId="31705" xr:uid="{C2C7DEB1-8AE6-4F2A-A9D0-64B05B4EFCE1}"/>
    <cellStyle name="Normal 2 2 2 2 3 2 3 3 2 3" xfId="48464" xr:uid="{55D3252D-1576-4EE7-BAE3-CEF3FCAEB724}"/>
    <cellStyle name="Normal 2 2 2 2 3 2 3 3 3" xfId="23325" xr:uid="{4FC49087-5B45-4263-A804-B490767CBF3A}"/>
    <cellStyle name="Normal 2 2 2 2 3 2 3 3 4" xfId="40084" xr:uid="{3FC8462A-84CB-4871-8F1B-4DA9104FEFB8}"/>
    <cellStyle name="Normal 2 2 2 2 3 2 3 4" xfId="3301" xr:uid="{08A0B89C-A1D4-4ADA-978C-893BB4BB44A8}"/>
    <cellStyle name="Normal 2 2 2 2 3 2 3 4 2" xfId="11681" xr:uid="{19D0171B-E5A6-45B2-8FAB-FA9818908265}"/>
    <cellStyle name="Normal 2 2 2 2 3 2 3 4 2 2" xfId="28441" xr:uid="{9E8B40D0-FBB7-4862-B125-E211F89F63CF}"/>
    <cellStyle name="Normal 2 2 2 2 3 2 3 4 2 3" xfId="45200" xr:uid="{E1BF9ABA-5D0A-4F84-926F-F01ADBF0CD52}"/>
    <cellStyle name="Normal 2 2 2 2 3 2 3 4 3" xfId="20061" xr:uid="{79250D56-3291-4259-A0B8-D694F5F2839F}"/>
    <cellStyle name="Normal 2 2 2 2 3 2 3 4 4" xfId="36820" xr:uid="{13361909-FBAA-4B2C-90B1-EBF5AE4F8537}"/>
    <cellStyle name="Normal 2 2 2 2 3 2 3 5" xfId="9878" xr:uid="{C39ED9D7-60F0-440D-991F-60D9C4922FED}"/>
    <cellStyle name="Normal 2 2 2 2 3 2 3 5 2" xfId="26638" xr:uid="{9E770B80-597A-410A-86B8-6EF7E3E6F296}"/>
    <cellStyle name="Normal 2 2 2 2 3 2 3 5 3" xfId="43397" xr:uid="{A0E29EC7-1942-4F95-BF0B-610BB5EF7F49}"/>
    <cellStyle name="Normal 2 2 2 2 3 2 3 6" xfId="18258" xr:uid="{A13AABD3-D926-44CA-A38A-5AC035B229A1}"/>
    <cellStyle name="Normal 2 2 2 2 3 2 3 7" xfId="35017" xr:uid="{D9175405-2D25-4708-B5CF-180657B2E9B2}"/>
    <cellStyle name="Normal 2 2 2 2 3 2 4" xfId="1835" xr:uid="{CCA6015C-5542-403A-B17D-52A4AD4C50E8}"/>
    <cellStyle name="Normal 2 2 2 2 3 2 4 2" xfId="5224" xr:uid="{699590D6-05D0-4789-84FC-F1955D943877}"/>
    <cellStyle name="Normal 2 2 2 2 3 2 4 2 2" xfId="13604" xr:uid="{D16FEC71-DD2E-44DF-8B2A-894D55DF9DAF}"/>
    <cellStyle name="Normal 2 2 2 2 3 2 4 2 2 2" xfId="30364" xr:uid="{BCC81CA4-3366-4334-9041-FF35AF06C105}"/>
    <cellStyle name="Normal 2 2 2 2 3 2 4 2 2 3" xfId="47123" xr:uid="{E629C546-A927-4C50-A1AB-54CEA749F949}"/>
    <cellStyle name="Normal 2 2 2 2 3 2 4 2 3" xfId="21984" xr:uid="{A7BA5CAC-6028-4B4E-8457-74F1B5DE2DFF}"/>
    <cellStyle name="Normal 2 2 2 2 3 2 4 2 4" xfId="38743" xr:uid="{D0B4A486-7C0D-4542-8181-D47F393014D4}"/>
    <cellStyle name="Normal 2 2 2 2 3 2 4 3" xfId="6911" xr:uid="{BD3229F5-82B7-4226-B8EE-3D5205FC3067}"/>
    <cellStyle name="Normal 2 2 2 2 3 2 4 3 2" xfId="15291" xr:uid="{0CABFE60-3DB4-45CD-8F9A-662041D26E9A}"/>
    <cellStyle name="Normal 2 2 2 2 3 2 4 3 2 2" xfId="32051" xr:uid="{36C7DAA5-04AC-4010-B711-032DF9FA65FD}"/>
    <cellStyle name="Normal 2 2 2 2 3 2 4 3 2 3" xfId="48810" xr:uid="{76977BE7-FA45-4D21-B354-5F74327C5DB1}"/>
    <cellStyle name="Normal 2 2 2 2 3 2 4 3 3" xfId="23671" xr:uid="{2523612F-AC29-49EF-9FAA-99C7C214DC05}"/>
    <cellStyle name="Normal 2 2 2 2 3 2 4 3 4" xfId="40430" xr:uid="{B41FE8D3-6AAF-4BC4-AE46-AE6B15CE9666}"/>
    <cellStyle name="Normal 2 2 2 2 3 2 4 4" xfId="3535" xr:uid="{DE1763E1-21C9-41D5-B6AC-1E095CCDDD88}"/>
    <cellStyle name="Normal 2 2 2 2 3 2 4 4 2" xfId="11915" xr:uid="{37B56263-D3A0-4C97-8437-B3618DE11CE9}"/>
    <cellStyle name="Normal 2 2 2 2 3 2 4 4 2 2" xfId="28675" xr:uid="{FE7CCE77-814E-4845-8A14-750E4DB99D46}"/>
    <cellStyle name="Normal 2 2 2 2 3 2 4 4 2 3" xfId="45434" xr:uid="{50804FEB-F05D-4FA2-859C-7342BB3E17BD}"/>
    <cellStyle name="Normal 2 2 2 2 3 2 4 4 3" xfId="20295" xr:uid="{5C05B82D-B0F0-4D28-A1F4-383F55EF6F63}"/>
    <cellStyle name="Normal 2 2 2 2 3 2 4 4 4" xfId="37054" xr:uid="{4BC5246F-D6F9-4D95-B8D1-95E77DFA3D28}"/>
    <cellStyle name="Normal 2 2 2 2 3 2 4 5" xfId="10224" xr:uid="{BBF084A5-0651-4518-824A-C0753A169824}"/>
    <cellStyle name="Normal 2 2 2 2 3 2 4 5 2" xfId="26984" xr:uid="{C17707E2-DC6A-4FB7-80AB-4582C118F447}"/>
    <cellStyle name="Normal 2 2 2 2 3 2 4 5 3" xfId="43743" xr:uid="{C0C0AE56-22AC-4CF7-AA90-049D6B3A8AC2}"/>
    <cellStyle name="Normal 2 2 2 2 3 2 4 6" xfId="18604" xr:uid="{FDBF1198-0285-4ABE-9AFB-B19CB7CFA152}"/>
    <cellStyle name="Normal 2 2 2 2 3 2 4 7" xfId="35363" xr:uid="{5DFF0A96-FA3F-4D02-B3D8-9A3D5B8A9AEC}"/>
    <cellStyle name="Normal 2 2 2 2 3 2 5" xfId="3954" xr:uid="{5828ECC8-C1A5-4360-9EC6-990F41DB45E7}"/>
    <cellStyle name="Normal 2 2 2 2 3 2 5 2" xfId="12334" xr:uid="{F2F7620A-3DCE-49F3-AD57-33BAF039B857}"/>
    <cellStyle name="Normal 2 2 2 2 3 2 5 2 2" xfId="29094" xr:uid="{0FC8465C-C85B-4756-B34F-646A6CBC9B25}"/>
    <cellStyle name="Normal 2 2 2 2 3 2 5 2 3" xfId="45853" xr:uid="{A29B7C03-2AC0-4842-8819-2C4C22B2C606}"/>
    <cellStyle name="Normal 2 2 2 2 3 2 5 3" xfId="20714" xr:uid="{E7B25A45-B7D2-45D4-9316-2908F611F607}"/>
    <cellStyle name="Normal 2 2 2 2 3 2 5 4" xfId="37473" xr:uid="{6B3B78D6-4FA4-40B9-BF78-C0A297306D1B}"/>
    <cellStyle name="Normal 2 2 2 2 3 2 6" xfId="5711" xr:uid="{D99DCEE2-4A69-4C10-9BFE-41701D3EA9E4}"/>
    <cellStyle name="Normal 2 2 2 2 3 2 6 2" xfId="14091" xr:uid="{5E7BACBC-31A4-4518-B8A8-31030261FD7E}"/>
    <cellStyle name="Normal 2 2 2 2 3 2 6 2 2" xfId="30851" xr:uid="{5B1B3757-2493-48CC-BEC1-B3DEAB04A817}"/>
    <cellStyle name="Normal 2 2 2 2 3 2 6 2 3" xfId="47610" xr:uid="{7A4E6A53-3617-42E7-A210-88A6CB51E1CD}"/>
    <cellStyle name="Normal 2 2 2 2 3 2 6 3" xfId="22471" xr:uid="{6212EE58-A7DD-46B1-88D4-6E4CD237C7F1}"/>
    <cellStyle name="Normal 2 2 2 2 3 2 6 4" xfId="39230" xr:uid="{E3B24C08-B81A-4519-AD40-8BCE4E636D77}"/>
    <cellStyle name="Normal 2 2 2 2 3 2 7" xfId="7317" xr:uid="{A30DCCC1-C47B-4066-A13E-8C44300F0601}"/>
    <cellStyle name="Normal 2 2 2 2 3 2 7 2" xfId="15697" xr:uid="{BD297CF0-C701-4CF8-8F96-77C9A328B927}"/>
    <cellStyle name="Normal 2 2 2 2 3 2 7 2 2" xfId="32457" xr:uid="{ECDE4EC2-E1D2-4673-BB98-A499EFCAA282}"/>
    <cellStyle name="Normal 2 2 2 2 3 2 7 2 3" xfId="49216" xr:uid="{11E99337-27BF-4EC4-BCC8-817B9FB3754F}"/>
    <cellStyle name="Normal 2 2 2 2 3 2 7 3" xfId="24077" xr:uid="{9EF8F044-7F54-49A4-9919-12C697730913}"/>
    <cellStyle name="Normal 2 2 2 2 3 2 7 4" xfId="40836" xr:uid="{201B9DBB-6D0C-40C0-9C2C-7D8816457512}"/>
    <cellStyle name="Normal 2 2 2 2 3 2 8" xfId="7723" xr:uid="{C6678270-1F7C-4CAB-8524-C21C261A1DF4}"/>
    <cellStyle name="Normal 2 2 2 2 3 2 8 2" xfId="16103" xr:uid="{9CAF5443-09E4-4236-80E9-5F442A77C593}"/>
    <cellStyle name="Normal 2 2 2 2 3 2 8 2 2" xfId="32863" xr:uid="{5CB2F3A9-74F7-4060-A67C-879D0BE2EC28}"/>
    <cellStyle name="Normal 2 2 2 2 3 2 8 2 3" xfId="49622" xr:uid="{FC454C2E-AA9D-442B-8712-E5C08000DF32}"/>
    <cellStyle name="Normal 2 2 2 2 3 2 8 3" xfId="24483" xr:uid="{A4ADF757-4B35-4268-871D-CC04A56F784E}"/>
    <cellStyle name="Normal 2 2 2 2 3 2 8 4" xfId="41242" xr:uid="{D4A2F68E-2950-43A6-88DC-712714786F15}"/>
    <cellStyle name="Normal 2 2 2 2 3 2 9" xfId="8129" xr:uid="{5ABFD469-6F29-46CA-970E-B5C8793674DD}"/>
    <cellStyle name="Normal 2 2 2 2 3 2 9 2" xfId="16509" xr:uid="{2BA52A27-84DB-40FA-BA64-678B62BF0EFF}"/>
    <cellStyle name="Normal 2 2 2 2 3 2 9 2 2" xfId="33269" xr:uid="{4BD0195F-ED45-4BBC-A3AD-0E28919A1312}"/>
    <cellStyle name="Normal 2 2 2 2 3 2 9 2 3" xfId="50028" xr:uid="{E742189F-D587-4BE8-8BAD-4D4A174D3DE3}"/>
    <cellStyle name="Normal 2 2 2 2 3 2 9 3" xfId="24889" xr:uid="{DA843670-B56D-4BB8-A6CB-879C9F31AFFB}"/>
    <cellStyle name="Normal 2 2 2 2 3 2 9 4" xfId="41648" xr:uid="{4E26DAA1-01D2-46CF-9328-6786639C6EEE}"/>
    <cellStyle name="Normal 2 2 2 2 3 3" xfId="614" xr:uid="{F10D063C-76B5-4BFC-BEE7-DA74858A47BE}"/>
    <cellStyle name="Normal 2 2 2 2 3 3 10" xfId="8657" xr:uid="{AB88E817-FF43-45C2-BF49-B80A8FE4572D}"/>
    <cellStyle name="Normal 2 2 2 2 3 3 10 2" xfId="17037" xr:uid="{6A2B4395-B1A6-4265-B194-B966A87E48EA}"/>
    <cellStyle name="Normal 2 2 2 2 3 3 10 2 2" xfId="33797" xr:uid="{198E399E-4740-4084-9EA1-2EBAE941CE2E}"/>
    <cellStyle name="Normal 2 2 2 2 3 3 10 2 3" xfId="50556" xr:uid="{8BEE72B5-1AA5-446D-8468-F5A72167A6A6}"/>
    <cellStyle name="Normal 2 2 2 2 3 3 10 3" xfId="25417" xr:uid="{1B176EF5-4BD8-4441-B62A-22C41576DC54}"/>
    <cellStyle name="Normal 2 2 2 2 3 3 10 4" xfId="42176" xr:uid="{BBA72EAC-7E56-4A90-A54D-0185B0E89B73}"/>
    <cellStyle name="Normal 2 2 2 2 3 3 11" xfId="2446" xr:uid="{E6307AB2-DBC1-43F3-B7CB-D8FAE604A4C9}"/>
    <cellStyle name="Normal 2 2 2 2 3 3 11 2" xfId="10828" xr:uid="{918C23F8-42BA-4BAF-8BC6-BA74B66292A1}"/>
    <cellStyle name="Normal 2 2 2 2 3 3 11 2 2" xfId="27588" xr:uid="{7ADE26B1-DE5E-4C7C-A1E7-C41AFCB1121E}"/>
    <cellStyle name="Normal 2 2 2 2 3 3 11 2 3" xfId="44347" xr:uid="{BFD8D197-0141-42E5-8971-75E6089672EF}"/>
    <cellStyle name="Normal 2 2 2 2 3 3 11 3" xfId="19208" xr:uid="{29AAC975-FEBD-46A2-AFEB-78AB49667958}"/>
    <cellStyle name="Normal 2 2 2 2 3 3 11 4" xfId="35967" xr:uid="{72224D1B-5DF4-4179-A9D9-897AD47107BB}"/>
    <cellStyle name="Normal 2 2 2 2 3 3 12" xfId="9025" xr:uid="{1A5DA7D2-61EB-4641-AA6D-575CA0CC919C}"/>
    <cellStyle name="Normal 2 2 2 2 3 3 12 2" xfId="25785" xr:uid="{0F3FFB59-6966-4DE9-9EAE-8760C02622DD}"/>
    <cellStyle name="Normal 2 2 2 2 3 3 12 3" xfId="42544" xr:uid="{8F672B15-89FC-4F9C-AC79-B49F3F0F007C}"/>
    <cellStyle name="Normal 2 2 2 2 3 3 13" xfId="17405" xr:uid="{698191F7-BB66-4FAB-AC3C-49E61CE4F8E2}"/>
    <cellStyle name="Normal 2 2 2 2 3 3 14" xfId="34164" xr:uid="{03E311E5-359F-4A43-98F7-A2E69D072BA2}"/>
    <cellStyle name="Normal 2 2 2 2 3 3 2" xfId="1056" xr:uid="{1337767A-5788-4603-BD51-982D0A1A7F7E}"/>
    <cellStyle name="Normal 2 2 2 2 3 3 2 2" xfId="4451" xr:uid="{63EC78C2-FACE-4EC7-804E-8576F2D77657}"/>
    <cellStyle name="Normal 2 2 2 2 3 3 2 2 2" xfId="12831" xr:uid="{D35F193A-F4B8-48B8-8D44-6BB728D191F7}"/>
    <cellStyle name="Normal 2 2 2 2 3 3 2 2 2 2" xfId="29591" xr:uid="{BA44E907-CC23-41D2-BA96-536811E35B6E}"/>
    <cellStyle name="Normal 2 2 2 2 3 3 2 2 2 3" xfId="46350" xr:uid="{6544AB84-7250-46F2-AA3E-6C8C3F5F288C}"/>
    <cellStyle name="Normal 2 2 2 2 3 3 2 2 3" xfId="21211" xr:uid="{EF352409-173C-49D3-B033-1E862ED932C5}"/>
    <cellStyle name="Normal 2 2 2 2 3 3 2 2 4" xfId="37970" xr:uid="{1F144D35-6A4A-4B0D-BECC-8B07CA556CA2}"/>
    <cellStyle name="Normal 2 2 2 2 3 3 2 3" xfId="6138" xr:uid="{8ACA3871-D801-4619-91E7-26BABA11A8CC}"/>
    <cellStyle name="Normal 2 2 2 2 3 3 2 3 2" xfId="14518" xr:uid="{8B2EB734-D8B9-4CED-91A5-F22C01E58405}"/>
    <cellStyle name="Normal 2 2 2 2 3 3 2 3 2 2" xfId="31278" xr:uid="{DB524A00-0403-4C93-BFD9-81A1B2406AB7}"/>
    <cellStyle name="Normal 2 2 2 2 3 3 2 3 2 3" xfId="48037" xr:uid="{7EB96C39-14E2-4747-810E-0EEA97585E50}"/>
    <cellStyle name="Normal 2 2 2 2 3 3 2 3 3" xfId="22898" xr:uid="{992AF92E-3FB9-418C-8D70-3467C73AF0CC}"/>
    <cellStyle name="Normal 2 2 2 2 3 3 2 3 4" xfId="39657" xr:uid="{6887C6E6-599A-48CC-9E35-6A2AC8663F5E}"/>
    <cellStyle name="Normal 2 2 2 2 3 3 2 4" xfId="2874" xr:uid="{8F47F406-344A-4471-9E2E-C80899C2A00F}"/>
    <cellStyle name="Normal 2 2 2 2 3 3 2 4 2" xfId="11254" xr:uid="{B6744B79-69D6-4229-A8AB-7C6A0774CF35}"/>
    <cellStyle name="Normal 2 2 2 2 3 3 2 4 2 2" xfId="28014" xr:uid="{6BF91AF2-DF63-4337-945E-D91D98D7AC06}"/>
    <cellStyle name="Normal 2 2 2 2 3 3 2 4 2 3" xfId="44773" xr:uid="{57E4C0BF-53BD-46A0-8C14-8554100FA866}"/>
    <cellStyle name="Normal 2 2 2 2 3 3 2 4 3" xfId="19634" xr:uid="{3E276813-CB4A-42C8-B645-205CD9C8D6BB}"/>
    <cellStyle name="Normal 2 2 2 2 3 3 2 4 4" xfId="36393" xr:uid="{B914C75C-7BE4-4FD8-B2A7-D9BB73D5FD40}"/>
    <cellStyle name="Normal 2 2 2 2 3 3 2 5" xfId="9451" xr:uid="{77DA0BF3-88AE-44C3-8A22-F517E3892F71}"/>
    <cellStyle name="Normal 2 2 2 2 3 3 2 5 2" xfId="26211" xr:uid="{E08E9C80-3A28-4EAD-A2E5-11AD834249F3}"/>
    <cellStyle name="Normal 2 2 2 2 3 3 2 5 3" xfId="42970" xr:uid="{83ACB26E-99B5-495E-8A7C-C14DB3B570F5}"/>
    <cellStyle name="Normal 2 2 2 2 3 3 2 6" xfId="17831" xr:uid="{4A50FBD8-500C-4753-9367-DCD169BE87B1}"/>
    <cellStyle name="Normal 2 2 2 2 3 3 2 7" xfId="34590" xr:uid="{F264D828-8EC9-40FA-9E8D-66AC63CA839B}"/>
    <cellStyle name="Normal 2 2 2 2 3 3 3" xfId="1490" xr:uid="{C24B54B0-DA89-45D7-815C-FF6710CF04B9}"/>
    <cellStyle name="Normal 2 2 2 2 3 3 3 2" xfId="4879" xr:uid="{2602CB22-78AC-4EAE-B736-C75E267DC07F}"/>
    <cellStyle name="Normal 2 2 2 2 3 3 3 2 2" xfId="13259" xr:uid="{2CC0419D-8E84-4D46-B4D0-8DF850695EC0}"/>
    <cellStyle name="Normal 2 2 2 2 3 3 3 2 2 2" xfId="30019" xr:uid="{C6761EDD-0476-4D3A-B57C-229928B6677B}"/>
    <cellStyle name="Normal 2 2 2 2 3 3 3 2 2 3" xfId="46778" xr:uid="{6AEA949A-A379-4185-9DE7-A75DCB836004}"/>
    <cellStyle name="Normal 2 2 2 2 3 3 3 2 3" xfId="21639" xr:uid="{6FF67E28-ECF2-4F90-B49F-4AF060BD9F95}"/>
    <cellStyle name="Normal 2 2 2 2 3 3 3 2 4" xfId="38398" xr:uid="{24CA3183-6B15-48E9-BCBF-398C5EC8C038}"/>
    <cellStyle name="Normal 2 2 2 2 3 3 3 3" xfId="6566" xr:uid="{08F2D839-3D95-456B-AA2D-E0D4756DCEE1}"/>
    <cellStyle name="Normal 2 2 2 2 3 3 3 3 2" xfId="14946" xr:uid="{8D8C533C-0588-4ABA-986A-F2BB1B8136A1}"/>
    <cellStyle name="Normal 2 2 2 2 3 3 3 3 2 2" xfId="31706" xr:uid="{83D91177-FE07-4350-A336-9B3B3665C7C8}"/>
    <cellStyle name="Normal 2 2 2 2 3 3 3 3 2 3" xfId="48465" xr:uid="{3BACF669-A1D4-44F6-823B-60EAAD07434B}"/>
    <cellStyle name="Normal 2 2 2 2 3 3 3 3 3" xfId="23326" xr:uid="{DE82E76B-24F5-4B74-8AD9-9210A98ABFE8}"/>
    <cellStyle name="Normal 2 2 2 2 3 3 3 3 4" xfId="40085" xr:uid="{BD27252F-6185-45B4-9525-DC2F87FAD46A}"/>
    <cellStyle name="Normal 2 2 2 2 3 3 3 4" xfId="3302" xr:uid="{03FB4DF1-ACE0-42AC-A9DD-E00B5ABF8B2D}"/>
    <cellStyle name="Normal 2 2 2 2 3 3 3 4 2" xfId="11682" xr:uid="{447EDC4E-C363-4E51-A834-9840AE1CD333}"/>
    <cellStyle name="Normal 2 2 2 2 3 3 3 4 2 2" xfId="28442" xr:uid="{C6BD9E6B-F31B-4D00-B497-4CB9A991F326}"/>
    <cellStyle name="Normal 2 2 2 2 3 3 3 4 2 3" xfId="45201" xr:uid="{22C61EA8-9182-4A07-8E0B-F408BDC9C6AF}"/>
    <cellStyle name="Normal 2 2 2 2 3 3 3 4 3" xfId="20062" xr:uid="{17C58396-338E-4158-9DC6-31C7B7E45A68}"/>
    <cellStyle name="Normal 2 2 2 2 3 3 3 4 4" xfId="36821" xr:uid="{6B33AFC6-AA61-4C51-8389-BAD6E30D01A4}"/>
    <cellStyle name="Normal 2 2 2 2 3 3 3 5" xfId="9879" xr:uid="{596AAD36-B411-4768-BA8A-D2E83F6C45FC}"/>
    <cellStyle name="Normal 2 2 2 2 3 3 3 5 2" xfId="26639" xr:uid="{1AF72C56-FB7B-4554-A459-080AEDB85DF3}"/>
    <cellStyle name="Normal 2 2 2 2 3 3 3 5 3" xfId="43398" xr:uid="{D7D95463-4939-4999-9858-C3BB00E2D4C1}"/>
    <cellStyle name="Normal 2 2 2 2 3 3 3 6" xfId="18259" xr:uid="{5ABE3508-88C0-49AB-BC59-80C1041C646A}"/>
    <cellStyle name="Normal 2 2 2 2 3 3 3 7" xfId="35018" xr:uid="{1BD86BE2-EAD2-4E52-BB44-ACD1ACC0EF4D}"/>
    <cellStyle name="Normal 2 2 2 2 3 3 4" xfId="1957" xr:uid="{38F3AA08-A655-4280-9530-6186297AF925}"/>
    <cellStyle name="Normal 2 2 2 2 3 3 4 2" xfId="5346" xr:uid="{ECAF7C76-D7ED-4349-9281-64D90473FEF0}"/>
    <cellStyle name="Normal 2 2 2 2 3 3 4 2 2" xfId="13726" xr:uid="{2B0A3DFB-9627-495C-8258-62C25ABB56D6}"/>
    <cellStyle name="Normal 2 2 2 2 3 3 4 2 2 2" xfId="30486" xr:uid="{ECFF1A58-E650-4FCE-B0F8-33C2B2938663}"/>
    <cellStyle name="Normal 2 2 2 2 3 3 4 2 2 3" xfId="47245" xr:uid="{65C7F91E-C346-460B-A54F-7842030766F0}"/>
    <cellStyle name="Normal 2 2 2 2 3 3 4 2 3" xfId="22106" xr:uid="{3AA69F51-3A95-404E-96DF-2860089E98FF}"/>
    <cellStyle name="Normal 2 2 2 2 3 3 4 2 4" xfId="38865" xr:uid="{541B90C8-687E-44D8-89FF-38E90777A6EE}"/>
    <cellStyle name="Normal 2 2 2 2 3 3 4 3" xfId="7033" xr:uid="{ED192D78-E3A3-4141-B091-BC3FEF159BB4}"/>
    <cellStyle name="Normal 2 2 2 2 3 3 4 3 2" xfId="15413" xr:uid="{E50FB75C-7C6E-4A5C-BD32-D4CB4D9702AF}"/>
    <cellStyle name="Normal 2 2 2 2 3 3 4 3 2 2" xfId="32173" xr:uid="{B43CC99E-09A8-40C4-8867-D948F4E5EFC2}"/>
    <cellStyle name="Normal 2 2 2 2 3 3 4 3 2 3" xfId="48932" xr:uid="{0EC9A074-C524-4108-9F82-06CAA74C78DA}"/>
    <cellStyle name="Normal 2 2 2 2 3 3 4 3 3" xfId="23793" xr:uid="{A63DAC7E-5CED-4523-82F1-54CE10356556}"/>
    <cellStyle name="Normal 2 2 2 2 3 3 4 3 4" xfId="40552" xr:uid="{32EC54DA-8B42-45A1-AE07-A92BDC9FC7FC}"/>
    <cellStyle name="Normal 2 2 2 2 3 3 4 4" xfId="3656" xr:uid="{D34A3DC5-58F1-4046-8154-873D9401C7C3}"/>
    <cellStyle name="Normal 2 2 2 2 3 3 4 4 2" xfId="12036" xr:uid="{0C5D63EA-9947-442E-94D3-19DC3BF6F978}"/>
    <cellStyle name="Normal 2 2 2 2 3 3 4 4 2 2" xfId="28796" xr:uid="{18271432-139B-4B62-866D-F62A75E2758C}"/>
    <cellStyle name="Normal 2 2 2 2 3 3 4 4 2 3" xfId="45555" xr:uid="{D7478E6B-A73E-4F20-9732-09F6DE29408D}"/>
    <cellStyle name="Normal 2 2 2 2 3 3 4 4 3" xfId="20416" xr:uid="{6DCB45EF-6B14-4762-BF44-3BF71232D359}"/>
    <cellStyle name="Normal 2 2 2 2 3 3 4 4 4" xfId="37175" xr:uid="{2D22DD6A-20E7-40C0-AD50-90A534075F58}"/>
    <cellStyle name="Normal 2 2 2 2 3 3 4 5" xfId="10346" xr:uid="{99042FF2-0D10-449E-9C22-E59A02187BFE}"/>
    <cellStyle name="Normal 2 2 2 2 3 3 4 5 2" xfId="27106" xr:uid="{F3501407-6EB5-4421-9ECC-60CFF06D7D76}"/>
    <cellStyle name="Normal 2 2 2 2 3 3 4 5 3" xfId="43865" xr:uid="{E7323411-F853-4788-BFDB-306AAC12C697}"/>
    <cellStyle name="Normal 2 2 2 2 3 3 4 6" xfId="18726" xr:uid="{8BC097FD-723B-415C-BE5C-F4F50C0A2A5D}"/>
    <cellStyle name="Normal 2 2 2 2 3 3 4 7" xfId="35485" xr:uid="{F0B39AF9-4DD1-4637-8233-C14A68164781}"/>
    <cellStyle name="Normal 2 2 2 2 3 3 5" xfId="4076" xr:uid="{538F868E-6F9A-46D6-A8C7-F3D14BEC48F3}"/>
    <cellStyle name="Normal 2 2 2 2 3 3 5 2" xfId="12456" xr:uid="{DCF8FCFF-0A94-4D6B-ADAA-368598C67C93}"/>
    <cellStyle name="Normal 2 2 2 2 3 3 5 2 2" xfId="29216" xr:uid="{3F279243-575A-4003-8A4C-F9EC870E01C9}"/>
    <cellStyle name="Normal 2 2 2 2 3 3 5 2 3" xfId="45975" xr:uid="{724D8B3C-923C-4128-9D89-AD62591C8472}"/>
    <cellStyle name="Normal 2 2 2 2 3 3 5 3" xfId="20836" xr:uid="{810B7BE0-06F5-4A5C-99AE-68ED1EA43820}"/>
    <cellStyle name="Normal 2 2 2 2 3 3 5 4" xfId="37595" xr:uid="{E274BFD0-4532-485B-9D4D-56EE1EA787B8}"/>
    <cellStyle name="Normal 2 2 2 2 3 3 6" xfId="5712" xr:uid="{636D727B-EC72-49DD-8163-B3EA02CD7178}"/>
    <cellStyle name="Normal 2 2 2 2 3 3 6 2" xfId="14092" xr:uid="{8F220D20-F598-4744-BF2B-98D8DAD64F8B}"/>
    <cellStyle name="Normal 2 2 2 2 3 3 6 2 2" xfId="30852" xr:uid="{7C436677-D721-4E0F-ACAB-CA3CF86822B1}"/>
    <cellStyle name="Normal 2 2 2 2 3 3 6 2 3" xfId="47611" xr:uid="{D0669C4B-18EC-4DA7-8638-EF4F4EB57506}"/>
    <cellStyle name="Normal 2 2 2 2 3 3 6 3" xfId="22472" xr:uid="{5BF24627-25CB-40BF-B041-4D21F91B2310}"/>
    <cellStyle name="Normal 2 2 2 2 3 3 6 4" xfId="39231" xr:uid="{5C902ABB-4888-4415-AD3C-8639581666DA}"/>
    <cellStyle name="Normal 2 2 2 2 3 3 7" xfId="7439" xr:uid="{4BBFB18F-C210-4596-9313-4DC13CCAF55F}"/>
    <cellStyle name="Normal 2 2 2 2 3 3 7 2" xfId="15819" xr:uid="{4B469176-B9E7-4FEC-95B2-18BB13FF4611}"/>
    <cellStyle name="Normal 2 2 2 2 3 3 7 2 2" xfId="32579" xr:uid="{2690AD8F-2EC4-4E4C-B82C-DDF05D72C20C}"/>
    <cellStyle name="Normal 2 2 2 2 3 3 7 2 3" xfId="49338" xr:uid="{95CEE02B-52BC-4982-9325-2CB96934FF90}"/>
    <cellStyle name="Normal 2 2 2 2 3 3 7 3" xfId="24199" xr:uid="{11177083-70E7-44B6-BA81-924E52297377}"/>
    <cellStyle name="Normal 2 2 2 2 3 3 7 4" xfId="40958" xr:uid="{2369F22C-39F5-4A4C-BE2F-F6E29FD8B262}"/>
    <cellStyle name="Normal 2 2 2 2 3 3 8" xfId="7845" xr:uid="{943FF856-C65B-4406-8A1F-482FDE08E60A}"/>
    <cellStyle name="Normal 2 2 2 2 3 3 8 2" xfId="16225" xr:uid="{939A45A2-4311-49D6-BDAF-4B8C42E83123}"/>
    <cellStyle name="Normal 2 2 2 2 3 3 8 2 2" xfId="32985" xr:uid="{26BC1B76-93F4-427E-83D2-5B3281B148AE}"/>
    <cellStyle name="Normal 2 2 2 2 3 3 8 2 3" xfId="49744" xr:uid="{5E650D6D-7828-4803-B22B-0C2A950076B6}"/>
    <cellStyle name="Normal 2 2 2 2 3 3 8 3" xfId="24605" xr:uid="{189FB6C1-DD7C-4BAA-BAC4-AF73200C621A}"/>
    <cellStyle name="Normal 2 2 2 2 3 3 8 4" xfId="41364" xr:uid="{69572B50-A993-48B6-8132-D6C56C9BE2EF}"/>
    <cellStyle name="Normal 2 2 2 2 3 3 9" xfId="8251" xr:uid="{972CB178-963B-47C0-A4E2-EA62380B2E4D}"/>
    <cellStyle name="Normal 2 2 2 2 3 3 9 2" xfId="16631" xr:uid="{D1F9C662-2387-4BF5-AC8C-61A0F87C2E55}"/>
    <cellStyle name="Normal 2 2 2 2 3 3 9 2 2" xfId="33391" xr:uid="{00B0E396-5E78-4D58-A4B1-CF06F0ED57D1}"/>
    <cellStyle name="Normal 2 2 2 2 3 3 9 2 3" xfId="50150" xr:uid="{F9F88D57-1C9A-4FEB-B075-517458B17205}"/>
    <cellStyle name="Normal 2 2 2 2 3 3 9 3" xfId="25011" xr:uid="{4354C389-E21C-49A3-906B-70E2ECB210AA}"/>
    <cellStyle name="Normal 2 2 2 2 3 3 9 4" xfId="41770" xr:uid="{D51217F6-615E-48B9-9AF1-D685AD5B0D27}"/>
    <cellStyle name="Normal 2 2 2 2 3 4" xfId="848" xr:uid="{5FA2357A-6588-47C4-B315-2C4B397A9B59}"/>
    <cellStyle name="Normal 2 2 2 2 3 4 2" xfId="4243" xr:uid="{D6A7009E-B5C6-47B4-BE0C-B61E136C695D}"/>
    <cellStyle name="Normal 2 2 2 2 3 4 2 2" xfId="12623" xr:uid="{D7CD424D-8588-42BE-BF4B-867E9EEBC974}"/>
    <cellStyle name="Normal 2 2 2 2 3 4 2 2 2" xfId="29383" xr:uid="{13C8E017-3DC5-49A5-8C15-79D405C43913}"/>
    <cellStyle name="Normal 2 2 2 2 3 4 2 2 3" xfId="46142" xr:uid="{37B88171-D36D-41EF-87CD-14BA411962B0}"/>
    <cellStyle name="Normal 2 2 2 2 3 4 2 3" xfId="21003" xr:uid="{49D4D2BD-2EC7-484B-8FD2-892C842B1117}"/>
    <cellStyle name="Normal 2 2 2 2 3 4 2 4" xfId="37762" xr:uid="{FC60843A-7C52-4AFC-B348-84E0E04B64DC}"/>
    <cellStyle name="Normal 2 2 2 2 3 4 3" xfId="5930" xr:uid="{11213F4B-04C6-49F0-9FF5-D12F77B3827C}"/>
    <cellStyle name="Normal 2 2 2 2 3 4 3 2" xfId="14310" xr:uid="{8064B1D5-1179-4EC8-8FB1-8C4294FAEE38}"/>
    <cellStyle name="Normal 2 2 2 2 3 4 3 2 2" xfId="31070" xr:uid="{948058B0-143A-4F67-A86E-0979C35DB5C5}"/>
    <cellStyle name="Normal 2 2 2 2 3 4 3 2 3" xfId="47829" xr:uid="{C87FCBCE-A10F-46C8-8F75-82ECFF3D4D3A}"/>
    <cellStyle name="Normal 2 2 2 2 3 4 3 3" xfId="22690" xr:uid="{9BA25494-FCCA-4961-997D-6CA1EDE711B1}"/>
    <cellStyle name="Normal 2 2 2 2 3 4 3 4" xfId="39449" xr:uid="{AAEE593E-0DA5-43BC-A3A7-D4B576383C5A}"/>
    <cellStyle name="Normal 2 2 2 2 3 4 4" xfId="2666" xr:uid="{621D601D-FEDB-45EB-B20B-019D94604A7D}"/>
    <cellStyle name="Normal 2 2 2 2 3 4 4 2" xfId="11046" xr:uid="{FF17A83C-7A22-49CF-A874-362D6B45AF46}"/>
    <cellStyle name="Normal 2 2 2 2 3 4 4 2 2" xfId="27806" xr:uid="{424943D8-6438-474E-A621-D27F7635E50E}"/>
    <cellStyle name="Normal 2 2 2 2 3 4 4 2 3" xfId="44565" xr:uid="{BE1E1646-7A06-4D7F-A48E-9B8475BB4A3E}"/>
    <cellStyle name="Normal 2 2 2 2 3 4 4 3" xfId="19426" xr:uid="{C08899DE-0B10-45B5-8232-3823B42CF237}"/>
    <cellStyle name="Normal 2 2 2 2 3 4 4 4" xfId="36185" xr:uid="{41D39279-5062-40DA-A179-DC3C75708EF4}"/>
    <cellStyle name="Normal 2 2 2 2 3 4 5" xfId="9243" xr:uid="{EF69879F-1131-480A-ABB7-6ECC9BE28C09}"/>
    <cellStyle name="Normal 2 2 2 2 3 4 5 2" xfId="26003" xr:uid="{05FD9B55-6B94-4FA6-A24D-B21E187C1B2B}"/>
    <cellStyle name="Normal 2 2 2 2 3 4 5 3" xfId="42762" xr:uid="{7413AB13-1751-427A-99E5-76A2E03F6456}"/>
    <cellStyle name="Normal 2 2 2 2 3 4 6" xfId="17623" xr:uid="{986FECDC-D971-4474-ADF8-C21CEE069B3D}"/>
    <cellStyle name="Normal 2 2 2 2 3 4 7" xfId="34382" xr:uid="{BBB28ED0-0C7B-4916-BCFF-2A1FA5169F87}"/>
    <cellStyle name="Normal 2 2 2 2 3 5" xfId="1282" xr:uid="{EB005688-FF26-402E-B486-C3F1A19CC770}"/>
    <cellStyle name="Normal 2 2 2 2 3 5 2" xfId="4671" xr:uid="{A7518719-A93A-49AD-BB69-1041A520AA9A}"/>
    <cellStyle name="Normal 2 2 2 2 3 5 2 2" xfId="13051" xr:uid="{2F27B0C9-B9AD-4626-B9E6-E9DB6C28899E}"/>
    <cellStyle name="Normal 2 2 2 2 3 5 2 2 2" xfId="29811" xr:uid="{8312DEC5-86D2-4890-AA5C-05459B5EE16C}"/>
    <cellStyle name="Normal 2 2 2 2 3 5 2 2 3" xfId="46570" xr:uid="{104B4A8B-9638-4FA1-AA1D-13CA25F4055D}"/>
    <cellStyle name="Normal 2 2 2 2 3 5 2 3" xfId="21431" xr:uid="{6B1E6E38-03A8-4BB9-BAB7-2B189601E6A7}"/>
    <cellStyle name="Normal 2 2 2 2 3 5 2 4" xfId="38190" xr:uid="{0A5E82D6-199D-45A4-BFF2-9E3D863FED6F}"/>
    <cellStyle name="Normal 2 2 2 2 3 5 3" xfId="6358" xr:uid="{68D04A51-6783-43BE-8F96-3F64C188E856}"/>
    <cellStyle name="Normal 2 2 2 2 3 5 3 2" xfId="14738" xr:uid="{61F17602-EDCE-4292-83EE-296AF58769D1}"/>
    <cellStyle name="Normal 2 2 2 2 3 5 3 2 2" xfId="31498" xr:uid="{297153D6-7F6E-496A-9277-EFA5000C79CE}"/>
    <cellStyle name="Normal 2 2 2 2 3 5 3 2 3" xfId="48257" xr:uid="{CC69EB69-9743-497F-B6A2-2126DBE083B2}"/>
    <cellStyle name="Normal 2 2 2 2 3 5 3 3" xfId="23118" xr:uid="{1916D4C6-C4FF-4F74-9D54-E562A41D0C64}"/>
    <cellStyle name="Normal 2 2 2 2 3 5 3 4" xfId="39877" xr:uid="{0C83B155-6107-4404-BDB5-BE5CECBEBBF1}"/>
    <cellStyle name="Normal 2 2 2 2 3 5 4" xfId="3094" xr:uid="{EF5361D9-DDDF-4A77-9993-FB8708F7665D}"/>
    <cellStyle name="Normal 2 2 2 2 3 5 4 2" xfId="11474" xr:uid="{77227711-EAB0-4FD3-B3D2-CDCE8E6B5573}"/>
    <cellStyle name="Normal 2 2 2 2 3 5 4 2 2" xfId="28234" xr:uid="{4F3A3B86-5B67-48C5-905B-6562BC8F591B}"/>
    <cellStyle name="Normal 2 2 2 2 3 5 4 2 3" xfId="44993" xr:uid="{8EFD53B2-2803-4698-A9D6-CECFC49DCD0E}"/>
    <cellStyle name="Normal 2 2 2 2 3 5 4 3" xfId="19854" xr:uid="{CA36BBD4-2014-46B8-B67D-0501FA98A54D}"/>
    <cellStyle name="Normal 2 2 2 2 3 5 4 4" xfId="36613" xr:uid="{63C449D4-0CF6-4638-91DD-F1EF2F4E83A4}"/>
    <cellStyle name="Normal 2 2 2 2 3 5 5" xfId="9671" xr:uid="{85B087A1-5755-4ABC-9AD8-C35FA3364771}"/>
    <cellStyle name="Normal 2 2 2 2 3 5 5 2" xfId="26431" xr:uid="{509254BF-3D49-4C0B-87E3-32361CC0972F}"/>
    <cellStyle name="Normal 2 2 2 2 3 5 5 3" xfId="43190" xr:uid="{5E3A13A0-1B3D-4C73-8C97-E910BA90CD36}"/>
    <cellStyle name="Normal 2 2 2 2 3 5 6" xfId="18051" xr:uid="{740AED76-667A-413E-9C67-C34D40ABA183}"/>
    <cellStyle name="Normal 2 2 2 2 3 5 7" xfId="34810" xr:uid="{B0ED7F80-279A-4783-ACE0-4B7FCEBF8D16}"/>
    <cellStyle name="Normal 2 2 2 2 3 6" xfId="1686" xr:uid="{3A225279-FCF0-4348-89DF-6D0ED31B3859}"/>
    <cellStyle name="Normal 2 2 2 2 3 6 2" xfId="5075" xr:uid="{58970394-E4B9-4B7E-8C64-6E00DD7A15F9}"/>
    <cellStyle name="Normal 2 2 2 2 3 6 2 2" xfId="13455" xr:uid="{C8F44566-9073-4BF1-ABEF-8DB09445EC4B}"/>
    <cellStyle name="Normal 2 2 2 2 3 6 2 2 2" xfId="30215" xr:uid="{B4A44264-4538-42FF-82CD-F04965FD37D5}"/>
    <cellStyle name="Normal 2 2 2 2 3 6 2 2 3" xfId="46974" xr:uid="{A46034D2-1D68-4168-A6B7-D2E6DC203F89}"/>
    <cellStyle name="Normal 2 2 2 2 3 6 2 3" xfId="21835" xr:uid="{A2A6FA58-D084-4547-93A1-096DAD5023C0}"/>
    <cellStyle name="Normal 2 2 2 2 3 6 2 4" xfId="38594" xr:uid="{0BFE0E52-ECD4-4578-9A6C-24331B68D88C}"/>
    <cellStyle name="Normal 2 2 2 2 3 6 3" xfId="6762" xr:uid="{196B60DD-5180-4E08-9A53-3772D934E65D}"/>
    <cellStyle name="Normal 2 2 2 2 3 6 3 2" xfId="15142" xr:uid="{6B4CFB86-C2BB-4E00-92EE-D71EF70DC8F7}"/>
    <cellStyle name="Normal 2 2 2 2 3 6 3 2 2" xfId="31902" xr:uid="{E9453744-FAB3-4AAE-A2AB-2BEF3BCBD2A1}"/>
    <cellStyle name="Normal 2 2 2 2 3 6 3 2 3" xfId="48661" xr:uid="{7F340BA5-C32E-46E1-AC37-41A959155F8B}"/>
    <cellStyle name="Normal 2 2 2 2 3 6 3 3" xfId="23522" xr:uid="{D4D946A2-6F89-4B1B-9266-E67BBABFCE99}"/>
    <cellStyle name="Normal 2 2 2 2 3 6 3 4" xfId="40281" xr:uid="{73197235-8645-4F60-A0F2-6162C7C8357F}"/>
    <cellStyle name="Normal 2 2 2 2 3 6 4" xfId="2236" xr:uid="{DE284D82-152A-43E5-88F5-CB99291F1C0E}"/>
    <cellStyle name="Normal 2 2 2 2 3 6 4 2" xfId="10620" xr:uid="{80AD252C-22D5-47B7-B870-6AA9B4E51153}"/>
    <cellStyle name="Normal 2 2 2 2 3 6 4 2 2" xfId="27380" xr:uid="{D0A7EFB6-B2A7-4390-BD90-C070B7B0D4A7}"/>
    <cellStyle name="Normal 2 2 2 2 3 6 4 2 3" xfId="44139" xr:uid="{361D681B-64E5-41BE-A3A9-CD7E4745B102}"/>
    <cellStyle name="Normal 2 2 2 2 3 6 4 3" xfId="19000" xr:uid="{2E34C171-5F28-4424-9B35-079F1C5285DB}"/>
    <cellStyle name="Normal 2 2 2 2 3 6 4 4" xfId="35759" xr:uid="{BDBED4C3-0079-4CAD-9B20-5715E4AFDF9A}"/>
    <cellStyle name="Normal 2 2 2 2 3 6 5" xfId="10075" xr:uid="{6F118FE4-DB19-41E4-B3DC-63461A053733}"/>
    <cellStyle name="Normal 2 2 2 2 3 6 5 2" xfId="26835" xr:uid="{05FEAB4F-8C1F-4107-9127-9A46E5C31C03}"/>
    <cellStyle name="Normal 2 2 2 2 3 6 5 3" xfId="43594" xr:uid="{91CAB9E8-0C33-4E66-A292-393F6583CC31}"/>
    <cellStyle name="Normal 2 2 2 2 3 6 6" xfId="18455" xr:uid="{2F081195-5E8D-4F61-B83E-FC559F6BF197}"/>
    <cellStyle name="Normal 2 2 2 2 3 6 7" xfId="35214" xr:uid="{33B2C093-5D9B-41DD-A344-DDFFDD4A6A78}"/>
    <cellStyle name="Normal 2 2 2 2 3 7" xfId="3804" xr:uid="{9F50FE86-543D-451B-922D-3C00A0C060B8}"/>
    <cellStyle name="Normal 2 2 2 2 3 7 2" xfId="12184" xr:uid="{FE7A931A-8EE3-4431-9DFB-74F5428B8236}"/>
    <cellStyle name="Normal 2 2 2 2 3 7 2 2" xfId="28944" xr:uid="{95093C9B-E22B-4EE2-9F7B-A7B47F791F48}"/>
    <cellStyle name="Normal 2 2 2 2 3 7 2 3" xfId="45703" xr:uid="{DDC5BF72-EC5C-4B12-883B-5DEB297904C2}"/>
    <cellStyle name="Normal 2 2 2 2 3 7 3" xfId="20564" xr:uid="{B5359D2A-28E4-4C94-98F0-B2CD9F22F40B}"/>
    <cellStyle name="Normal 2 2 2 2 3 7 4" xfId="37323" xr:uid="{BD19D13C-7274-4595-99F2-1EDEDE17EB9B}"/>
    <cellStyle name="Normal 2 2 2 2 3 8" xfId="5504" xr:uid="{BB7F9BFB-563A-40F9-966A-68A07CB1EF17}"/>
    <cellStyle name="Normal 2 2 2 2 3 8 2" xfId="13884" xr:uid="{D2BFE914-6669-45F0-A9FD-0B306530188A}"/>
    <cellStyle name="Normal 2 2 2 2 3 8 2 2" xfId="30644" xr:uid="{2C09AFC7-5C73-4CE7-80D6-8F9B5177CA84}"/>
    <cellStyle name="Normal 2 2 2 2 3 8 2 3" xfId="47403" xr:uid="{06C82362-E920-4F2A-922A-9E66F9976E3A}"/>
    <cellStyle name="Normal 2 2 2 2 3 8 3" xfId="22264" xr:uid="{23F95228-6772-427A-B95D-E2AB795062EC}"/>
    <cellStyle name="Normal 2 2 2 2 3 8 4" xfId="39023" xr:uid="{141F6576-7B0C-46F5-9530-F28A34F5114B}"/>
    <cellStyle name="Normal 2 2 2 2 3 9" xfId="7168" xr:uid="{D8A8938B-AF1C-4A8C-83F5-3E96F1A02D0E}"/>
    <cellStyle name="Normal 2 2 2 2 3 9 2" xfId="15548" xr:uid="{6E2C5529-6A58-4D96-9AB9-10720FEB1FCC}"/>
    <cellStyle name="Normal 2 2 2 2 3 9 2 2" xfId="32308" xr:uid="{0BCDAC0A-58E5-42A2-9EE5-5D7CE5AE9EEA}"/>
    <cellStyle name="Normal 2 2 2 2 3 9 2 3" xfId="49067" xr:uid="{1F94EED2-B18A-45C4-857E-B3294A205AF3}"/>
    <cellStyle name="Normal 2 2 2 2 3 9 3" xfId="23928" xr:uid="{23C5A440-8F4E-4789-A5BF-86F0128804FB}"/>
    <cellStyle name="Normal 2 2 2 2 3 9 4" xfId="40687" xr:uid="{69C66419-9848-4509-849D-266A876CB354}"/>
    <cellStyle name="Normal 2 2 2 2 4" xfId="615" xr:uid="{AFAF0359-F65E-452E-9D9E-06B44940EDD6}"/>
    <cellStyle name="Normal 2 2 2 2 4 10" xfId="7575" xr:uid="{8B979AB9-7CB8-43A2-A89D-64088F308B0F}"/>
    <cellStyle name="Normal 2 2 2 2 4 10 2" xfId="15955" xr:uid="{AEB39E1A-9274-40EF-840B-1705E01A9794}"/>
    <cellStyle name="Normal 2 2 2 2 4 10 2 2" xfId="32715" xr:uid="{405D7285-14B9-4A17-8616-A66283B54236}"/>
    <cellStyle name="Normal 2 2 2 2 4 10 2 3" xfId="49474" xr:uid="{47A5862E-6CF3-434C-83AD-BD96795812F9}"/>
    <cellStyle name="Normal 2 2 2 2 4 10 3" xfId="24335" xr:uid="{975EC650-31CB-4528-A48A-AA5C99DF0A9C}"/>
    <cellStyle name="Normal 2 2 2 2 4 10 4" xfId="41094" xr:uid="{803DBE35-38F8-4304-BB34-C1C23EFED816}"/>
    <cellStyle name="Normal 2 2 2 2 4 11" xfId="7981" xr:uid="{71C2495A-B8E3-488A-A65C-C24DE4E7AD3D}"/>
    <cellStyle name="Normal 2 2 2 2 4 11 2" xfId="16361" xr:uid="{CF3F052E-0F08-48F7-9AB5-EC5A4BF46ADC}"/>
    <cellStyle name="Normal 2 2 2 2 4 11 2 2" xfId="33121" xr:uid="{DB77F06C-CFAB-4E85-8C35-4AA361666404}"/>
    <cellStyle name="Normal 2 2 2 2 4 11 2 3" xfId="49880" xr:uid="{7AA88D5C-7F08-4CFA-8AFE-64FD2F29E752}"/>
    <cellStyle name="Normal 2 2 2 2 4 11 3" xfId="24741" xr:uid="{ACCF134A-F584-416B-9BB8-5E5910B36801}"/>
    <cellStyle name="Normal 2 2 2 2 4 11 4" xfId="41500" xr:uid="{FE58F889-8E48-4F78-9A11-52FABAEDE984}"/>
    <cellStyle name="Normal 2 2 2 2 4 12" xfId="8387" xr:uid="{AB892B48-E188-48CB-B207-694F05C61571}"/>
    <cellStyle name="Normal 2 2 2 2 4 12 2" xfId="16767" xr:uid="{91DBAF0A-DD73-434A-A76D-4F5A08835FDE}"/>
    <cellStyle name="Normal 2 2 2 2 4 12 2 2" xfId="33527" xr:uid="{6688350D-6A0B-4B87-AD44-A019A7B419B9}"/>
    <cellStyle name="Normal 2 2 2 2 4 12 2 3" xfId="50286" xr:uid="{562330DD-9818-44B3-A9B8-B6547482AEAF}"/>
    <cellStyle name="Normal 2 2 2 2 4 12 3" xfId="25147" xr:uid="{1BE70577-9A55-4A07-A8B2-2AD5B5D5EA13}"/>
    <cellStyle name="Normal 2 2 2 2 4 12 4" xfId="41906" xr:uid="{49A9B241-3FBD-4D49-834F-9AAE938CE34D}"/>
    <cellStyle name="Normal 2 2 2 2 4 13" xfId="2120" xr:uid="{8A78B114-C473-4B28-881F-3E64D6C1C60F}"/>
    <cellStyle name="Normal 2 2 2 2 4 13 2" xfId="10508" xr:uid="{2AC563CB-7474-4CBF-87E9-A9B2059268F1}"/>
    <cellStyle name="Normal 2 2 2 2 4 13 2 2" xfId="27268" xr:uid="{A34790B1-DD3B-4082-8BD9-40B029F51116}"/>
    <cellStyle name="Normal 2 2 2 2 4 13 2 3" xfId="44027" xr:uid="{725B3ED5-C6F2-460C-932D-B75295B3CDCF}"/>
    <cellStyle name="Normal 2 2 2 2 4 13 3" xfId="18888" xr:uid="{25B5137D-347C-433C-B970-A6C2A5D53096}"/>
    <cellStyle name="Normal 2 2 2 2 4 13 4" xfId="35647" xr:uid="{BD328345-286F-458E-861F-7A88446F899D}"/>
    <cellStyle name="Normal 2 2 2 2 4 14" xfId="9026" xr:uid="{062B1F2D-7BCE-4DAF-83B5-F26D1F5DBDB2}"/>
    <cellStyle name="Normal 2 2 2 2 4 14 2" xfId="25786" xr:uid="{FBEA322C-E936-436C-AA39-FDCFF3EF052C}"/>
    <cellStyle name="Normal 2 2 2 2 4 14 3" xfId="42545" xr:uid="{38A2AE0C-8191-4274-A5AB-AFB98CDDFC2E}"/>
    <cellStyle name="Normal 2 2 2 2 4 15" xfId="17406" xr:uid="{5E015774-F5AD-47C2-B750-090E0CD996F0}"/>
    <cellStyle name="Normal 2 2 2 2 4 16" xfId="34165" xr:uid="{EB37DE50-29C1-4F25-8803-51F96540A7DC}"/>
    <cellStyle name="Normal 2 2 2 2 4 2" xfId="616" xr:uid="{55068E23-5F4C-4E76-A22C-035848264709}"/>
    <cellStyle name="Normal 2 2 2 2 4 2 10" xfId="8536" xr:uid="{D86B25BF-8B0E-4273-9111-98EACC39FD1A}"/>
    <cellStyle name="Normal 2 2 2 2 4 2 10 2" xfId="16916" xr:uid="{B8212883-534B-43A8-BD7B-5B58B4DD2A94}"/>
    <cellStyle name="Normal 2 2 2 2 4 2 10 2 2" xfId="33676" xr:uid="{194BEBC9-0DA7-4F51-ACB7-50DB2AD80FA2}"/>
    <cellStyle name="Normal 2 2 2 2 4 2 10 2 3" xfId="50435" xr:uid="{2EA5178E-CB82-4724-B026-CFEA9AF45A11}"/>
    <cellStyle name="Normal 2 2 2 2 4 2 10 3" xfId="25296" xr:uid="{FE83F127-87DF-40B6-9ECB-6D72235655A2}"/>
    <cellStyle name="Normal 2 2 2 2 4 2 10 4" xfId="42055" xr:uid="{350EA25F-2FC4-4F55-B024-AF7CA7BC14B3}"/>
    <cellStyle name="Normal 2 2 2 2 4 2 11" xfId="2448" xr:uid="{2E291705-4B61-4EB8-A75F-9C5AF187BF92}"/>
    <cellStyle name="Normal 2 2 2 2 4 2 11 2" xfId="10830" xr:uid="{EFE3C374-618B-4630-92A3-003E500F00A9}"/>
    <cellStyle name="Normal 2 2 2 2 4 2 11 2 2" xfId="27590" xr:uid="{250FF58F-9076-4A55-9156-D896F8B5FEE8}"/>
    <cellStyle name="Normal 2 2 2 2 4 2 11 2 3" xfId="44349" xr:uid="{FC03D569-9543-40D9-A21A-80951AD2A162}"/>
    <cellStyle name="Normal 2 2 2 2 4 2 11 3" xfId="19210" xr:uid="{186D6411-BF29-470B-A17D-8E1BE242256F}"/>
    <cellStyle name="Normal 2 2 2 2 4 2 11 4" xfId="35969" xr:uid="{1990E0E7-3A44-448D-8460-557EF041D3A4}"/>
    <cellStyle name="Normal 2 2 2 2 4 2 12" xfId="9027" xr:uid="{E845EDE2-C6B4-4F98-AC0B-D469DB0E4664}"/>
    <cellStyle name="Normal 2 2 2 2 4 2 12 2" xfId="25787" xr:uid="{9DB751D7-3C4B-403D-8852-BC4669A36110}"/>
    <cellStyle name="Normal 2 2 2 2 4 2 12 3" xfId="42546" xr:uid="{861EF5E9-E3F4-409A-AF3F-5A7358A87E0A}"/>
    <cellStyle name="Normal 2 2 2 2 4 2 13" xfId="17407" xr:uid="{1C1E2329-6D83-4DAF-8592-76C0AEF6B5AA}"/>
    <cellStyle name="Normal 2 2 2 2 4 2 14" xfId="34166" xr:uid="{6F73CFD0-829C-4325-9E9C-7B53571736C2}"/>
    <cellStyle name="Normal 2 2 2 2 4 2 2" xfId="1058" xr:uid="{01B4C9DF-1411-4CB6-975A-BE10CC6D2B52}"/>
    <cellStyle name="Normal 2 2 2 2 4 2 2 2" xfId="4453" xr:uid="{18B61F2E-51EB-41FA-A0E0-A0F107CAFD16}"/>
    <cellStyle name="Normal 2 2 2 2 4 2 2 2 2" xfId="12833" xr:uid="{83695E19-F2D0-42B4-976C-37D993EC0F50}"/>
    <cellStyle name="Normal 2 2 2 2 4 2 2 2 2 2" xfId="29593" xr:uid="{B34CE93D-8EFC-4F7C-BEFF-794670626D3E}"/>
    <cellStyle name="Normal 2 2 2 2 4 2 2 2 2 3" xfId="46352" xr:uid="{C0FEE291-88DA-40F7-AB86-CC6BD4E9E99C}"/>
    <cellStyle name="Normal 2 2 2 2 4 2 2 2 3" xfId="21213" xr:uid="{C763B03C-4CEF-4B7A-96FB-D81DA52589A6}"/>
    <cellStyle name="Normal 2 2 2 2 4 2 2 2 4" xfId="37972" xr:uid="{8115C436-A547-4954-8AC6-E9FAA0BDB6F7}"/>
    <cellStyle name="Normal 2 2 2 2 4 2 2 3" xfId="6140" xr:uid="{8C24D92A-8F8D-4E7E-8169-3C72316537F7}"/>
    <cellStyle name="Normal 2 2 2 2 4 2 2 3 2" xfId="14520" xr:uid="{AD1C116D-DE52-43B5-9415-748278DB680D}"/>
    <cellStyle name="Normal 2 2 2 2 4 2 2 3 2 2" xfId="31280" xr:uid="{9F8562B4-883C-49FD-B688-171B991D8B37}"/>
    <cellStyle name="Normal 2 2 2 2 4 2 2 3 2 3" xfId="48039" xr:uid="{2CABF79C-EF6A-4D23-AF6E-3B7EBA7F8A64}"/>
    <cellStyle name="Normal 2 2 2 2 4 2 2 3 3" xfId="22900" xr:uid="{E6448A7F-180E-49E5-A2E4-395A42FC6513}"/>
    <cellStyle name="Normal 2 2 2 2 4 2 2 3 4" xfId="39659" xr:uid="{6562040D-AAB3-467D-863B-E98CAA6F220D}"/>
    <cellStyle name="Normal 2 2 2 2 4 2 2 4" xfId="2876" xr:uid="{19FD7470-23DD-423A-B62E-711FBC69D5C8}"/>
    <cellStyle name="Normal 2 2 2 2 4 2 2 4 2" xfId="11256" xr:uid="{9144195D-E3DE-4FE7-ACC8-96A0171974EB}"/>
    <cellStyle name="Normal 2 2 2 2 4 2 2 4 2 2" xfId="28016" xr:uid="{10202193-C7EA-4421-AF46-E0512BD6C05D}"/>
    <cellStyle name="Normal 2 2 2 2 4 2 2 4 2 3" xfId="44775" xr:uid="{69873D7F-9798-402A-9EE3-6F6EBD81E11F}"/>
    <cellStyle name="Normal 2 2 2 2 4 2 2 4 3" xfId="19636" xr:uid="{955C57BD-6F1F-4CF9-A0A2-165FB8DFCAD9}"/>
    <cellStyle name="Normal 2 2 2 2 4 2 2 4 4" xfId="36395" xr:uid="{092C1004-2F1C-4DF5-939A-07467C8496F9}"/>
    <cellStyle name="Normal 2 2 2 2 4 2 2 5" xfId="9453" xr:uid="{77E6C25D-F877-4CF4-BE83-D342AB5ED96D}"/>
    <cellStyle name="Normal 2 2 2 2 4 2 2 5 2" xfId="26213" xr:uid="{9989F03C-37EA-4584-9BDC-8F10F07DBDF9}"/>
    <cellStyle name="Normal 2 2 2 2 4 2 2 5 3" xfId="42972" xr:uid="{5263667F-64D6-4932-80FF-606C52EBE3C1}"/>
    <cellStyle name="Normal 2 2 2 2 4 2 2 6" xfId="17833" xr:uid="{A1912153-A479-4C5B-87CC-E67616DA41E3}"/>
    <cellStyle name="Normal 2 2 2 2 4 2 2 7" xfId="34592" xr:uid="{BAAAECA2-D603-4CD3-98EF-8CBCB22C4182}"/>
    <cellStyle name="Normal 2 2 2 2 4 2 3" xfId="1492" xr:uid="{B8EBAD94-694B-4263-B9C2-1391024A3438}"/>
    <cellStyle name="Normal 2 2 2 2 4 2 3 2" xfId="4881" xr:uid="{E3CAF582-6D45-422C-BC35-B965562B8A80}"/>
    <cellStyle name="Normal 2 2 2 2 4 2 3 2 2" xfId="13261" xr:uid="{592EBB01-7430-4B04-A7A3-A8049A3735A8}"/>
    <cellStyle name="Normal 2 2 2 2 4 2 3 2 2 2" xfId="30021" xr:uid="{5437EC4A-EA99-4906-992C-DF5C8DCCD4C8}"/>
    <cellStyle name="Normal 2 2 2 2 4 2 3 2 2 3" xfId="46780" xr:uid="{41091455-6CDE-4A70-91D6-5ACF9667DD7B}"/>
    <cellStyle name="Normal 2 2 2 2 4 2 3 2 3" xfId="21641" xr:uid="{BCDEFB47-7E09-4260-8408-D2195C3ED35C}"/>
    <cellStyle name="Normal 2 2 2 2 4 2 3 2 4" xfId="38400" xr:uid="{308E331F-9C5D-4BB8-886C-A89AF7F84B3C}"/>
    <cellStyle name="Normal 2 2 2 2 4 2 3 3" xfId="6568" xr:uid="{E8D83B7B-CFA3-4D4D-BB19-809661A10F63}"/>
    <cellStyle name="Normal 2 2 2 2 4 2 3 3 2" xfId="14948" xr:uid="{B3438B28-8A85-4568-9104-82912C734CF6}"/>
    <cellStyle name="Normal 2 2 2 2 4 2 3 3 2 2" xfId="31708" xr:uid="{F6397E7D-5357-412C-ACAF-C448BB7FF4FC}"/>
    <cellStyle name="Normal 2 2 2 2 4 2 3 3 2 3" xfId="48467" xr:uid="{D22569A8-95DF-4CEF-B9FA-101FFDF6E1FA}"/>
    <cellStyle name="Normal 2 2 2 2 4 2 3 3 3" xfId="23328" xr:uid="{3D4ED687-B08F-4FC1-84EB-756A753E7A51}"/>
    <cellStyle name="Normal 2 2 2 2 4 2 3 3 4" xfId="40087" xr:uid="{2719280B-8199-40EE-8183-6E51D92A8F6E}"/>
    <cellStyle name="Normal 2 2 2 2 4 2 3 4" xfId="3304" xr:uid="{586BBB02-7987-435C-8824-DF79DD180B65}"/>
    <cellStyle name="Normal 2 2 2 2 4 2 3 4 2" xfId="11684" xr:uid="{00C0EAEB-D64E-49AC-B102-D65962C34D2F}"/>
    <cellStyle name="Normal 2 2 2 2 4 2 3 4 2 2" xfId="28444" xr:uid="{8F29C24D-DAB4-42DD-B23D-7F6F97CB4831}"/>
    <cellStyle name="Normal 2 2 2 2 4 2 3 4 2 3" xfId="45203" xr:uid="{DEAB4A55-5FD5-4D46-9167-4F151D72F1C8}"/>
    <cellStyle name="Normal 2 2 2 2 4 2 3 4 3" xfId="20064" xr:uid="{A2510645-4EBB-41AA-8B9B-848660DF3A9B}"/>
    <cellStyle name="Normal 2 2 2 2 4 2 3 4 4" xfId="36823" xr:uid="{1106449C-127E-42DA-B0AF-8FE4C8F2D96E}"/>
    <cellStyle name="Normal 2 2 2 2 4 2 3 5" xfId="9881" xr:uid="{39C7EB4C-BB74-4AA0-8A95-2505B9DEDE99}"/>
    <cellStyle name="Normal 2 2 2 2 4 2 3 5 2" xfId="26641" xr:uid="{561BB642-F9FF-4AA6-B9F5-DC7532167EAF}"/>
    <cellStyle name="Normal 2 2 2 2 4 2 3 5 3" xfId="43400" xr:uid="{01BB6891-0E75-4B3B-B701-2C662C8EF1D4}"/>
    <cellStyle name="Normal 2 2 2 2 4 2 3 6" xfId="18261" xr:uid="{71116EA5-D268-4B10-B29F-B41D977CEF01}"/>
    <cellStyle name="Normal 2 2 2 2 4 2 3 7" xfId="35020" xr:uid="{44C68037-0242-410D-9358-B64E09F9C825}"/>
    <cellStyle name="Normal 2 2 2 2 4 2 4" xfId="1836" xr:uid="{1BF9064F-2BF0-4144-A155-07C4F93FDD50}"/>
    <cellStyle name="Normal 2 2 2 2 4 2 4 2" xfId="5225" xr:uid="{44A6D3DE-62DA-4132-A32F-6BAE2BD1A6AA}"/>
    <cellStyle name="Normal 2 2 2 2 4 2 4 2 2" xfId="13605" xr:uid="{320D2941-6003-4A5D-8572-8117A68D0E72}"/>
    <cellStyle name="Normal 2 2 2 2 4 2 4 2 2 2" xfId="30365" xr:uid="{073B3560-A99B-418F-9F78-C323ED00C140}"/>
    <cellStyle name="Normal 2 2 2 2 4 2 4 2 2 3" xfId="47124" xr:uid="{E40144DA-8A6C-4036-B467-B0C463759AE6}"/>
    <cellStyle name="Normal 2 2 2 2 4 2 4 2 3" xfId="21985" xr:uid="{ED3B1070-1226-406A-ACCF-586DCF746218}"/>
    <cellStyle name="Normal 2 2 2 2 4 2 4 2 4" xfId="38744" xr:uid="{6A2AAD21-BB1A-4AF4-94FD-72B4F9A20C21}"/>
    <cellStyle name="Normal 2 2 2 2 4 2 4 3" xfId="6912" xr:uid="{EBB27865-D5A3-4393-9DC3-6EA67E6C270D}"/>
    <cellStyle name="Normal 2 2 2 2 4 2 4 3 2" xfId="15292" xr:uid="{1F91C21F-577A-4FC0-9CE4-C34DB0F193A8}"/>
    <cellStyle name="Normal 2 2 2 2 4 2 4 3 2 2" xfId="32052" xr:uid="{0A7EF09B-FC2D-4256-B72C-55885A345E02}"/>
    <cellStyle name="Normal 2 2 2 2 4 2 4 3 2 3" xfId="48811" xr:uid="{C5CC0031-C5CB-49DF-8B7B-FB2AAFFB0B78}"/>
    <cellStyle name="Normal 2 2 2 2 4 2 4 3 3" xfId="23672" xr:uid="{99B6CB3D-9793-47A1-913B-DB8BA1E83CF2}"/>
    <cellStyle name="Normal 2 2 2 2 4 2 4 3 4" xfId="40431" xr:uid="{0CAE71D4-4546-476B-8629-B5E672DBECDC}"/>
    <cellStyle name="Normal 2 2 2 2 4 2 4 4" xfId="3536" xr:uid="{7FB6D46B-C611-49D7-8534-F46A75EF1F81}"/>
    <cellStyle name="Normal 2 2 2 2 4 2 4 4 2" xfId="11916" xr:uid="{593D7774-9090-4663-8C78-AD4BA0BA42C8}"/>
    <cellStyle name="Normal 2 2 2 2 4 2 4 4 2 2" xfId="28676" xr:uid="{94D1495B-F698-42A6-A5B7-B8D129C45CE3}"/>
    <cellStyle name="Normal 2 2 2 2 4 2 4 4 2 3" xfId="45435" xr:uid="{E3E762B0-7A83-452B-AA18-83F8DDF0D35C}"/>
    <cellStyle name="Normal 2 2 2 2 4 2 4 4 3" xfId="20296" xr:uid="{F74F5691-6732-45ED-A10E-6E4C19ECFD9F}"/>
    <cellStyle name="Normal 2 2 2 2 4 2 4 4 4" xfId="37055" xr:uid="{265D7388-A97E-44F6-BD93-09258E0E9993}"/>
    <cellStyle name="Normal 2 2 2 2 4 2 4 5" xfId="10225" xr:uid="{094A4BBB-BF4F-41B5-89A5-71A106B04125}"/>
    <cellStyle name="Normal 2 2 2 2 4 2 4 5 2" xfId="26985" xr:uid="{0EC0D2E3-0379-4B33-91EE-9FD7C838D36D}"/>
    <cellStyle name="Normal 2 2 2 2 4 2 4 5 3" xfId="43744" xr:uid="{D43CCAF1-8B4B-4D11-BEEC-3093C571BFBC}"/>
    <cellStyle name="Normal 2 2 2 2 4 2 4 6" xfId="18605" xr:uid="{D78C8D01-FD03-4E2A-8103-DBACF24B17C1}"/>
    <cellStyle name="Normal 2 2 2 2 4 2 4 7" xfId="35364" xr:uid="{6314D4FD-23C6-432C-8793-685AD1A1D8E4}"/>
    <cellStyle name="Normal 2 2 2 2 4 2 5" xfId="3955" xr:uid="{18F0652A-4F88-43C1-889F-D29B6AEED7F8}"/>
    <cellStyle name="Normal 2 2 2 2 4 2 5 2" xfId="12335" xr:uid="{BDF0FB0B-26DA-4392-A9E8-B53632624F84}"/>
    <cellStyle name="Normal 2 2 2 2 4 2 5 2 2" xfId="29095" xr:uid="{FAC1EFBE-B0B4-42DA-92B6-5F3E6314A348}"/>
    <cellStyle name="Normal 2 2 2 2 4 2 5 2 3" xfId="45854" xr:uid="{EA702A09-4096-4A70-95A0-F3170D48E7C3}"/>
    <cellStyle name="Normal 2 2 2 2 4 2 5 3" xfId="20715" xr:uid="{6B10709C-5D4E-4B0E-B4BE-90F6AF48FB9E}"/>
    <cellStyle name="Normal 2 2 2 2 4 2 5 4" xfId="37474" xr:uid="{D9EE0855-BF81-45C5-8A16-E7E02C668FD1}"/>
    <cellStyle name="Normal 2 2 2 2 4 2 6" xfId="5714" xr:uid="{3748831D-A377-4A4E-8EEB-EB411554A5FB}"/>
    <cellStyle name="Normal 2 2 2 2 4 2 6 2" xfId="14094" xr:uid="{14C558FE-17E5-495A-ACAF-D8E4E981A63F}"/>
    <cellStyle name="Normal 2 2 2 2 4 2 6 2 2" xfId="30854" xr:uid="{C66572A2-1B15-4393-A539-0C22682E2F50}"/>
    <cellStyle name="Normal 2 2 2 2 4 2 6 2 3" xfId="47613" xr:uid="{26EF5AF2-8D02-4A26-AA75-48A8399D8675}"/>
    <cellStyle name="Normal 2 2 2 2 4 2 6 3" xfId="22474" xr:uid="{6CF29FAB-0AC8-40BA-8600-39D7E9127012}"/>
    <cellStyle name="Normal 2 2 2 2 4 2 6 4" xfId="39233" xr:uid="{415866BD-D604-4653-B3FB-E075BCC3A2FD}"/>
    <cellStyle name="Normal 2 2 2 2 4 2 7" xfId="7318" xr:uid="{2B74B122-DA5E-40C4-A7B9-1335AF937A1C}"/>
    <cellStyle name="Normal 2 2 2 2 4 2 7 2" xfId="15698" xr:uid="{9F2A5F1C-7003-4FA5-BD91-8E5A0441D2D9}"/>
    <cellStyle name="Normal 2 2 2 2 4 2 7 2 2" xfId="32458" xr:uid="{51BBB385-B2C2-485C-B4CA-BAFEA7B26CE9}"/>
    <cellStyle name="Normal 2 2 2 2 4 2 7 2 3" xfId="49217" xr:uid="{298B5AC2-804B-4F82-82FA-4DB409E27E13}"/>
    <cellStyle name="Normal 2 2 2 2 4 2 7 3" xfId="24078" xr:uid="{AB9193D9-5D56-4096-8A0D-8A3DF6A240A7}"/>
    <cellStyle name="Normal 2 2 2 2 4 2 7 4" xfId="40837" xr:uid="{B059529D-3E5A-4CC0-AEAF-615383482009}"/>
    <cellStyle name="Normal 2 2 2 2 4 2 8" xfId="7724" xr:uid="{3AEE4891-44E4-49B6-89F9-A9EE36C4B305}"/>
    <cellStyle name="Normal 2 2 2 2 4 2 8 2" xfId="16104" xr:uid="{CB6E8C7E-BDB0-4487-B3BB-4C67A29516BF}"/>
    <cellStyle name="Normal 2 2 2 2 4 2 8 2 2" xfId="32864" xr:uid="{E2D7BB3C-735A-4274-A3AC-6E7764544DE4}"/>
    <cellStyle name="Normal 2 2 2 2 4 2 8 2 3" xfId="49623" xr:uid="{B5627C66-5B13-47A9-860B-455485B2E1F9}"/>
    <cellStyle name="Normal 2 2 2 2 4 2 8 3" xfId="24484" xr:uid="{C7603E59-F8DC-40EC-91A1-5D25B6DC408A}"/>
    <cellStyle name="Normal 2 2 2 2 4 2 8 4" xfId="41243" xr:uid="{A721E860-BB93-413B-B15C-C667B62792C2}"/>
    <cellStyle name="Normal 2 2 2 2 4 2 9" xfId="8130" xr:uid="{03F7983F-D2DD-4807-B13F-6395FC6283F0}"/>
    <cellStyle name="Normal 2 2 2 2 4 2 9 2" xfId="16510" xr:uid="{668105BE-121D-47BE-BC21-687529398B76}"/>
    <cellStyle name="Normal 2 2 2 2 4 2 9 2 2" xfId="33270" xr:uid="{1F6CBFDB-A92E-4E3C-BBEE-D53C50936963}"/>
    <cellStyle name="Normal 2 2 2 2 4 2 9 2 3" xfId="50029" xr:uid="{2DCA6521-CDF6-45F5-B6C0-6799E9EB068D}"/>
    <cellStyle name="Normal 2 2 2 2 4 2 9 3" xfId="24890" xr:uid="{8DCE86A6-FE1F-421C-9BEE-BB55633E66AA}"/>
    <cellStyle name="Normal 2 2 2 2 4 2 9 4" xfId="41649" xr:uid="{2EBFE873-11CA-4200-A262-BDF7AB77555E}"/>
    <cellStyle name="Normal 2 2 2 2 4 3" xfId="617" xr:uid="{57DF2564-D67E-4C82-BF55-274D42DF10DE}"/>
    <cellStyle name="Normal 2 2 2 2 4 3 10" xfId="8658" xr:uid="{E4DE484D-FD61-4F77-941C-64C0CE808CB5}"/>
    <cellStyle name="Normal 2 2 2 2 4 3 10 2" xfId="17038" xr:uid="{F134CE0D-5B8A-4CE1-82A2-210CE6EE8DB0}"/>
    <cellStyle name="Normal 2 2 2 2 4 3 10 2 2" xfId="33798" xr:uid="{59EA901F-9725-4FD9-B8D5-D19C32F0A93B}"/>
    <cellStyle name="Normal 2 2 2 2 4 3 10 2 3" xfId="50557" xr:uid="{55075D22-D215-429D-9822-8EE16915ED7F}"/>
    <cellStyle name="Normal 2 2 2 2 4 3 10 3" xfId="25418" xr:uid="{06985531-46DD-4E1E-A59B-168B98E3CCB1}"/>
    <cellStyle name="Normal 2 2 2 2 4 3 10 4" xfId="42177" xr:uid="{7C68671A-ABB5-4DDD-ABBE-E310B959250B}"/>
    <cellStyle name="Normal 2 2 2 2 4 3 11" xfId="2449" xr:uid="{112DAB20-1040-467D-AE80-7B7C37D4A417}"/>
    <cellStyle name="Normal 2 2 2 2 4 3 11 2" xfId="10831" xr:uid="{719C21EA-9260-4446-B099-617C41653E63}"/>
    <cellStyle name="Normal 2 2 2 2 4 3 11 2 2" xfId="27591" xr:uid="{72179E58-AAE0-42D4-866F-CCB0EA1BFEF2}"/>
    <cellStyle name="Normal 2 2 2 2 4 3 11 2 3" xfId="44350" xr:uid="{E2EA0077-E65C-4694-8C59-AC2E23807ABC}"/>
    <cellStyle name="Normal 2 2 2 2 4 3 11 3" xfId="19211" xr:uid="{BFE3B4D8-C564-4AD1-8EE0-BC1C47D56482}"/>
    <cellStyle name="Normal 2 2 2 2 4 3 11 4" xfId="35970" xr:uid="{87D99105-6C50-4959-A705-807093626993}"/>
    <cellStyle name="Normal 2 2 2 2 4 3 12" xfId="9028" xr:uid="{98BD0BFA-1B2C-47B2-9F1D-0B1E32103B08}"/>
    <cellStyle name="Normal 2 2 2 2 4 3 12 2" xfId="25788" xr:uid="{41B1FDAA-560D-49A1-9B10-E648719D6F26}"/>
    <cellStyle name="Normal 2 2 2 2 4 3 12 3" xfId="42547" xr:uid="{E2FCF7D9-DF53-46B3-995C-57A94B8658DB}"/>
    <cellStyle name="Normal 2 2 2 2 4 3 13" xfId="17408" xr:uid="{4BA9DB1B-1CE9-4013-A4ED-9C0C05157BCE}"/>
    <cellStyle name="Normal 2 2 2 2 4 3 14" xfId="34167" xr:uid="{BFE8CDB2-55E7-4817-95D0-4A3BFF4E3422}"/>
    <cellStyle name="Normal 2 2 2 2 4 3 2" xfId="1059" xr:uid="{1D5B914F-5AD7-4394-B165-E3FCF07E56BE}"/>
    <cellStyle name="Normal 2 2 2 2 4 3 2 2" xfId="4454" xr:uid="{B52DE604-6FEC-4F2C-AB85-11DCE001851A}"/>
    <cellStyle name="Normal 2 2 2 2 4 3 2 2 2" xfId="12834" xr:uid="{AB55FD42-B388-46F2-80A5-F5CFD57C5D87}"/>
    <cellStyle name="Normal 2 2 2 2 4 3 2 2 2 2" xfId="29594" xr:uid="{A70569D4-CE31-4B8E-B5D4-3479A660E909}"/>
    <cellStyle name="Normal 2 2 2 2 4 3 2 2 2 3" xfId="46353" xr:uid="{3C6727B0-9C84-488B-B711-F777F3E043F4}"/>
    <cellStyle name="Normal 2 2 2 2 4 3 2 2 3" xfId="21214" xr:uid="{D8910F26-3B00-40FC-9A45-0F72134866A7}"/>
    <cellStyle name="Normal 2 2 2 2 4 3 2 2 4" xfId="37973" xr:uid="{9156F896-0E4D-4430-BB86-EB64A3BFFEC6}"/>
    <cellStyle name="Normal 2 2 2 2 4 3 2 3" xfId="6141" xr:uid="{645B5C35-4016-43EC-975F-EB0125CEE380}"/>
    <cellStyle name="Normal 2 2 2 2 4 3 2 3 2" xfId="14521" xr:uid="{01EA25B2-2234-41AB-B7CF-62B8D8460E21}"/>
    <cellStyle name="Normal 2 2 2 2 4 3 2 3 2 2" xfId="31281" xr:uid="{DAB1C069-3E8A-46B6-AD60-22C38ADBD1F4}"/>
    <cellStyle name="Normal 2 2 2 2 4 3 2 3 2 3" xfId="48040" xr:uid="{B3D93C16-DEDA-4F24-9509-6F37C8205D5D}"/>
    <cellStyle name="Normal 2 2 2 2 4 3 2 3 3" xfId="22901" xr:uid="{7CC73BA2-F2A6-45FD-A82B-C6CA721DDA87}"/>
    <cellStyle name="Normal 2 2 2 2 4 3 2 3 4" xfId="39660" xr:uid="{84F7EB6F-19D1-4535-9E4A-4BD8D33CD06D}"/>
    <cellStyle name="Normal 2 2 2 2 4 3 2 4" xfId="2877" xr:uid="{8D0F768E-6C03-4ED8-A7FC-8A1F584F63EC}"/>
    <cellStyle name="Normal 2 2 2 2 4 3 2 4 2" xfId="11257" xr:uid="{36B759FC-66D6-4D3B-84B1-7FE28C717717}"/>
    <cellStyle name="Normal 2 2 2 2 4 3 2 4 2 2" xfId="28017" xr:uid="{00BE90D4-A5EE-4452-8272-634A527B2A9A}"/>
    <cellStyle name="Normal 2 2 2 2 4 3 2 4 2 3" xfId="44776" xr:uid="{7D5CEE05-0888-4280-BA69-4676A76253A4}"/>
    <cellStyle name="Normal 2 2 2 2 4 3 2 4 3" xfId="19637" xr:uid="{69261E53-4981-488C-A1C0-BB87F849625E}"/>
    <cellStyle name="Normal 2 2 2 2 4 3 2 4 4" xfId="36396" xr:uid="{52A84F9C-17A2-4DBB-8AA0-9CBCD6BDC189}"/>
    <cellStyle name="Normal 2 2 2 2 4 3 2 5" xfId="9454" xr:uid="{724A3E45-353F-4797-988F-78B4F65009E8}"/>
    <cellStyle name="Normal 2 2 2 2 4 3 2 5 2" xfId="26214" xr:uid="{83BFFF00-9812-46BC-B0A8-21C99410EE34}"/>
    <cellStyle name="Normal 2 2 2 2 4 3 2 5 3" xfId="42973" xr:uid="{2DF64F28-8A60-4319-B269-CA30E537EAB7}"/>
    <cellStyle name="Normal 2 2 2 2 4 3 2 6" xfId="17834" xr:uid="{99A7577A-3935-42B1-BA43-5E34D1528179}"/>
    <cellStyle name="Normal 2 2 2 2 4 3 2 7" xfId="34593" xr:uid="{AE342B45-3402-4DA7-9864-2D30C454D513}"/>
    <cellStyle name="Normal 2 2 2 2 4 3 3" xfId="1493" xr:uid="{9400244F-AEBF-496D-8566-9422853EB0D9}"/>
    <cellStyle name="Normal 2 2 2 2 4 3 3 2" xfId="4882" xr:uid="{36BB87EC-BF28-4F71-86AF-1EB975FD89F4}"/>
    <cellStyle name="Normal 2 2 2 2 4 3 3 2 2" xfId="13262" xr:uid="{062679FC-108D-429C-B953-8F650FBC7213}"/>
    <cellStyle name="Normal 2 2 2 2 4 3 3 2 2 2" xfId="30022" xr:uid="{2ADD0119-DF5B-401E-A68E-326E69FD4AC9}"/>
    <cellStyle name="Normal 2 2 2 2 4 3 3 2 2 3" xfId="46781" xr:uid="{08027CAC-CB20-4035-947E-5806B80B3670}"/>
    <cellStyle name="Normal 2 2 2 2 4 3 3 2 3" xfId="21642" xr:uid="{0CE6AB25-4AD9-4945-9D1E-6EB16902B5C5}"/>
    <cellStyle name="Normal 2 2 2 2 4 3 3 2 4" xfId="38401" xr:uid="{89E2F44E-1053-45FF-824A-DB45A04E5D8A}"/>
    <cellStyle name="Normal 2 2 2 2 4 3 3 3" xfId="6569" xr:uid="{07F34087-15E0-4693-B1E4-D7DFD5E8109A}"/>
    <cellStyle name="Normal 2 2 2 2 4 3 3 3 2" xfId="14949" xr:uid="{6E70C7CA-FA7E-465F-9AC5-F8F6CF77021F}"/>
    <cellStyle name="Normal 2 2 2 2 4 3 3 3 2 2" xfId="31709" xr:uid="{0D0631BB-3F9D-421A-8C6C-74F1D82E1773}"/>
    <cellStyle name="Normal 2 2 2 2 4 3 3 3 2 3" xfId="48468" xr:uid="{1CD56718-A4E6-48C7-BC57-99297299C448}"/>
    <cellStyle name="Normal 2 2 2 2 4 3 3 3 3" xfId="23329" xr:uid="{B48BB3F1-0629-4138-B4FB-846BBAA1CE78}"/>
    <cellStyle name="Normal 2 2 2 2 4 3 3 3 4" xfId="40088" xr:uid="{E5501A77-F41A-4670-BA64-5BF3966F2F3F}"/>
    <cellStyle name="Normal 2 2 2 2 4 3 3 4" xfId="3305" xr:uid="{4ED56559-E9E9-43F7-87A6-8382F6141527}"/>
    <cellStyle name="Normal 2 2 2 2 4 3 3 4 2" xfId="11685" xr:uid="{2DFDB334-11A0-4FD9-81FB-9DF73E409801}"/>
    <cellStyle name="Normal 2 2 2 2 4 3 3 4 2 2" xfId="28445" xr:uid="{2863031A-6C15-4B3F-9FB7-2AC29B33E0FB}"/>
    <cellStyle name="Normal 2 2 2 2 4 3 3 4 2 3" xfId="45204" xr:uid="{1D38FB7D-FE99-4D4C-B3A2-3B64BC4B7B5B}"/>
    <cellStyle name="Normal 2 2 2 2 4 3 3 4 3" xfId="20065" xr:uid="{CF2DD290-6643-41FF-B5F7-1ED7461B73D4}"/>
    <cellStyle name="Normal 2 2 2 2 4 3 3 4 4" xfId="36824" xr:uid="{AD894FBE-FB82-44BC-A3DE-3CF5851C7BBF}"/>
    <cellStyle name="Normal 2 2 2 2 4 3 3 5" xfId="9882" xr:uid="{2605E770-2C42-42BA-9253-B833C683702B}"/>
    <cellStyle name="Normal 2 2 2 2 4 3 3 5 2" xfId="26642" xr:uid="{23F4D342-6196-4FF0-81A7-E517A5079ADB}"/>
    <cellStyle name="Normal 2 2 2 2 4 3 3 5 3" xfId="43401" xr:uid="{54619D63-E06D-4C3F-BFF4-BE685379BF0E}"/>
    <cellStyle name="Normal 2 2 2 2 4 3 3 6" xfId="18262" xr:uid="{E027CAF5-AE1D-4B13-A92C-F9AB396F4A4A}"/>
    <cellStyle name="Normal 2 2 2 2 4 3 3 7" xfId="35021" xr:uid="{7A038E29-59B3-4A75-8D6E-2AFF3158D1E9}"/>
    <cellStyle name="Normal 2 2 2 2 4 3 4" xfId="1958" xr:uid="{2E029362-C219-4203-B739-D931927E8C2E}"/>
    <cellStyle name="Normal 2 2 2 2 4 3 4 2" xfId="5347" xr:uid="{6EC31BDA-9E99-485D-965D-447A5458F1D9}"/>
    <cellStyle name="Normal 2 2 2 2 4 3 4 2 2" xfId="13727" xr:uid="{B74D514F-ADE7-4B62-B504-2967AB80F5A8}"/>
    <cellStyle name="Normal 2 2 2 2 4 3 4 2 2 2" xfId="30487" xr:uid="{62933443-24D9-42BF-93E2-67AD017DACF3}"/>
    <cellStyle name="Normal 2 2 2 2 4 3 4 2 2 3" xfId="47246" xr:uid="{0C3AE09E-584B-4CB9-8C78-B0D9C9C6F6BD}"/>
    <cellStyle name="Normal 2 2 2 2 4 3 4 2 3" xfId="22107" xr:uid="{323100D5-2C83-49AB-AF43-496B1EA73B59}"/>
    <cellStyle name="Normal 2 2 2 2 4 3 4 2 4" xfId="38866" xr:uid="{3B685D9F-8BEA-4903-999D-16449A3C125F}"/>
    <cellStyle name="Normal 2 2 2 2 4 3 4 3" xfId="7034" xr:uid="{D33D3605-27D1-46D3-B628-37CFD15EA86A}"/>
    <cellStyle name="Normal 2 2 2 2 4 3 4 3 2" xfId="15414" xr:uid="{673A7CC7-AB99-4069-BDCD-5E22D5ACEDC5}"/>
    <cellStyle name="Normal 2 2 2 2 4 3 4 3 2 2" xfId="32174" xr:uid="{8EA4A1E6-7670-4371-900F-125F23AE22CB}"/>
    <cellStyle name="Normal 2 2 2 2 4 3 4 3 2 3" xfId="48933" xr:uid="{3743E355-F72A-4A5B-84F0-FBA05E3E7E23}"/>
    <cellStyle name="Normal 2 2 2 2 4 3 4 3 3" xfId="23794" xr:uid="{19DC4664-5879-4E05-822A-7D471EFAD77A}"/>
    <cellStyle name="Normal 2 2 2 2 4 3 4 3 4" xfId="40553" xr:uid="{A24041AF-5BAA-4F95-8E34-1FCD122CD445}"/>
    <cellStyle name="Normal 2 2 2 2 4 3 4 4" xfId="3657" xr:uid="{FDC7C0BE-F7EF-4971-925C-CDE98ACF399B}"/>
    <cellStyle name="Normal 2 2 2 2 4 3 4 4 2" xfId="12037" xr:uid="{818DBAE0-D7BA-48BA-BBF5-FB958352D1B0}"/>
    <cellStyle name="Normal 2 2 2 2 4 3 4 4 2 2" xfId="28797" xr:uid="{6924CC6C-10DA-48CC-B86E-05D978D4E58E}"/>
    <cellStyle name="Normal 2 2 2 2 4 3 4 4 2 3" xfId="45556" xr:uid="{970B2FC5-1103-4452-B480-E12C745E0AC6}"/>
    <cellStyle name="Normal 2 2 2 2 4 3 4 4 3" xfId="20417" xr:uid="{9D5D0D4E-B763-4DBA-BC78-98E49115D274}"/>
    <cellStyle name="Normal 2 2 2 2 4 3 4 4 4" xfId="37176" xr:uid="{EA2DB876-4C27-4869-ACFD-45647A00E4DC}"/>
    <cellStyle name="Normal 2 2 2 2 4 3 4 5" xfId="10347" xr:uid="{2A139757-CE63-4FE9-9700-9FB45972DBCA}"/>
    <cellStyle name="Normal 2 2 2 2 4 3 4 5 2" xfId="27107" xr:uid="{357348AB-86C7-45E0-9956-174F657EB200}"/>
    <cellStyle name="Normal 2 2 2 2 4 3 4 5 3" xfId="43866" xr:uid="{5B0B8FDD-A9AC-4420-A746-48C8E02F4534}"/>
    <cellStyle name="Normal 2 2 2 2 4 3 4 6" xfId="18727" xr:uid="{B3287097-5A77-4807-B331-983BE272DA60}"/>
    <cellStyle name="Normal 2 2 2 2 4 3 4 7" xfId="35486" xr:uid="{05A529B0-C14C-4EA5-861E-671F703BAA12}"/>
    <cellStyle name="Normal 2 2 2 2 4 3 5" xfId="4077" xr:uid="{033A04F2-2995-4984-B7AD-B4FF64E15081}"/>
    <cellStyle name="Normal 2 2 2 2 4 3 5 2" xfId="12457" xr:uid="{875B75B9-2710-4337-A025-2DB6A642F546}"/>
    <cellStyle name="Normal 2 2 2 2 4 3 5 2 2" xfId="29217" xr:uid="{4E6239EB-0AD7-4C09-A1A2-5D0CAC6A133C}"/>
    <cellStyle name="Normal 2 2 2 2 4 3 5 2 3" xfId="45976" xr:uid="{A05C366B-DD81-432D-986E-4A6234FF1705}"/>
    <cellStyle name="Normal 2 2 2 2 4 3 5 3" xfId="20837" xr:uid="{F235FD7D-9017-4660-8265-9CBCA60E33CD}"/>
    <cellStyle name="Normal 2 2 2 2 4 3 5 4" xfId="37596" xr:uid="{F4817629-CC25-4948-ACA0-6DC4FF69B291}"/>
    <cellStyle name="Normal 2 2 2 2 4 3 6" xfId="5715" xr:uid="{67F2E555-FF11-4280-B438-F17D5935AE0A}"/>
    <cellStyle name="Normal 2 2 2 2 4 3 6 2" xfId="14095" xr:uid="{5E971FD1-2552-473A-882C-EE5DFAF939C9}"/>
    <cellStyle name="Normal 2 2 2 2 4 3 6 2 2" xfId="30855" xr:uid="{9577CA7A-E43A-4897-BD6B-A5B54BF5DB91}"/>
    <cellStyle name="Normal 2 2 2 2 4 3 6 2 3" xfId="47614" xr:uid="{316C0CD3-7569-47EE-AA27-8CB6E3877800}"/>
    <cellStyle name="Normal 2 2 2 2 4 3 6 3" xfId="22475" xr:uid="{DB6B5D80-A297-484F-9F5D-A2FDB524554F}"/>
    <cellStyle name="Normal 2 2 2 2 4 3 6 4" xfId="39234" xr:uid="{97706682-7842-4E76-A5C1-A3F00A2BCD77}"/>
    <cellStyle name="Normal 2 2 2 2 4 3 7" xfId="7440" xr:uid="{6363B180-0ADE-46AD-9223-D5EBB637CDDC}"/>
    <cellStyle name="Normal 2 2 2 2 4 3 7 2" xfId="15820" xr:uid="{3259E5F4-DAD8-4D84-B9A5-2BCA95FB8361}"/>
    <cellStyle name="Normal 2 2 2 2 4 3 7 2 2" xfId="32580" xr:uid="{5AC0E9B5-19CB-4BFA-81B2-CB1505CF42CB}"/>
    <cellStyle name="Normal 2 2 2 2 4 3 7 2 3" xfId="49339" xr:uid="{31F46DB7-972A-41A7-A4EF-D8CBB16315CE}"/>
    <cellStyle name="Normal 2 2 2 2 4 3 7 3" xfId="24200" xr:uid="{9E0FCCD6-32C3-4F3C-89C2-395384DE1952}"/>
    <cellStyle name="Normal 2 2 2 2 4 3 7 4" xfId="40959" xr:uid="{01AC05F3-003C-4EB4-A1FF-61E4E0BFD017}"/>
    <cellStyle name="Normal 2 2 2 2 4 3 8" xfId="7846" xr:uid="{CEFFA4D6-E22E-4369-BCD6-1109578DC041}"/>
    <cellStyle name="Normal 2 2 2 2 4 3 8 2" xfId="16226" xr:uid="{AD8EE668-E066-490E-99E6-CA9CE59E7D7A}"/>
    <cellStyle name="Normal 2 2 2 2 4 3 8 2 2" xfId="32986" xr:uid="{EA5A65BF-3741-4D73-A535-72AC0DBA01D4}"/>
    <cellStyle name="Normal 2 2 2 2 4 3 8 2 3" xfId="49745" xr:uid="{D43C6EAA-2923-4B79-AC88-F66D67313358}"/>
    <cellStyle name="Normal 2 2 2 2 4 3 8 3" xfId="24606" xr:uid="{FCB3D279-6537-42CC-BDAE-927782865860}"/>
    <cellStyle name="Normal 2 2 2 2 4 3 8 4" xfId="41365" xr:uid="{B4F146EC-CD69-4FCE-9D87-365CA2643434}"/>
    <cellStyle name="Normal 2 2 2 2 4 3 9" xfId="8252" xr:uid="{415D310B-7F2D-4D8E-ACF0-B1C6AB929A3D}"/>
    <cellStyle name="Normal 2 2 2 2 4 3 9 2" xfId="16632" xr:uid="{8046B98E-E05D-4A64-B5CE-CA7C7891FFB8}"/>
    <cellStyle name="Normal 2 2 2 2 4 3 9 2 2" xfId="33392" xr:uid="{E85D6318-0A33-4F16-8470-CC2B63EAC78F}"/>
    <cellStyle name="Normal 2 2 2 2 4 3 9 2 3" xfId="50151" xr:uid="{18F94708-D3D4-46F4-9CF6-D4D3294133F0}"/>
    <cellStyle name="Normal 2 2 2 2 4 3 9 3" xfId="25012" xr:uid="{B1A860C0-3A00-4D2F-9BC2-17B48E218971}"/>
    <cellStyle name="Normal 2 2 2 2 4 3 9 4" xfId="41771" xr:uid="{67984291-CEC6-4933-B72D-3FA34BC18298}"/>
    <cellStyle name="Normal 2 2 2 2 4 4" xfId="1057" xr:uid="{8D1AFCC8-5CF3-436D-8089-104B55B04F4D}"/>
    <cellStyle name="Normal 2 2 2 2 4 4 2" xfId="4452" xr:uid="{C7ED56F1-6BB8-4A3A-80C1-671A3185735D}"/>
    <cellStyle name="Normal 2 2 2 2 4 4 2 2" xfId="12832" xr:uid="{4B7D366C-169B-4FE5-84B7-523612764E74}"/>
    <cellStyle name="Normal 2 2 2 2 4 4 2 2 2" xfId="29592" xr:uid="{C979ACC8-7B18-49BE-9C5E-0807F93FCB55}"/>
    <cellStyle name="Normal 2 2 2 2 4 4 2 2 3" xfId="46351" xr:uid="{C6AD1166-E05A-444F-A5F9-FE7296EDEB93}"/>
    <cellStyle name="Normal 2 2 2 2 4 4 2 3" xfId="21212" xr:uid="{828A264F-DC66-4BC7-8F85-E928D54ABE7C}"/>
    <cellStyle name="Normal 2 2 2 2 4 4 2 4" xfId="37971" xr:uid="{99624ADF-FA81-45A9-AFE4-D7F04E2777A1}"/>
    <cellStyle name="Normal 2 2 2 2 4 4 3" xfId="6139" xr:uid="{C30AEDBC-2B24-480A-AE4D-EF21D877B09E}"/>
    <cellStyle name="Normal 2 2 2 2 4 4 3 2" xfId="14519" xr:uid="{77F6E082-420B-44CF-83EB-3325FCB4F0FF}"/>
    <cellStyle name="Normal 2 2 2 2 4 4 3 2 2" xfId="31279" xr:uid="{8A318B06-40CB-4E9A-B61C-EA583D394B50}"/>
    <cellStyle name="Normal 2 2 2 2 4 4 3 2 3" xfId="48038" xr:uid="{4183B082-0E81-4D78-BD3D-CF2FA6E25870}"/>
    <cellStyle name="Normal 2 2 2 2 4 4 3 3" xfId="22899" xr:uid="{38D5F08C-3CDA-4442-8280-37278DBDE26D}"/>
    <cellStyle name="Normal 2 2 2 2 4 4 3 4" xfId="39658" xr:uid="{0E85E5B2-1A8F-4AF7-8D74-9A261ECC5D88}"/>
    <cellStyle name="Normal 2 2 2 2 4 4 4" xfId="2875" xr:uid="{D8CC6DE9-EA25-4544-9A02-24B926803C46}"/>
    <cellStyle name="Normal 2 2 2 2 4 4 4 2" xfId="11255" xr:uid="{7F3DD3AC-3F9F-4D10-AFEE-4E6139E6AA6A}"/>
    <cellStyle name="Normal 2 2 2 2 4 4 4 2 2" xfId="28015" xr:uid="{BE82F2DC-A9CA-46D7-80EE-7598524E2806}"/>
    <cellStyle name="Normal 2 2 2 2 4 4 4 2 3" xfId="44774" xr:uid="{30002CDC-B11D-4AB9-899E-8360CF23DF6D}"/>
    <cellStyle name="Normal 2 2 2 2 4 4 4 3" xfId="19635" xr:uid="{CADBC671-EB53-4FE8-8D80-A3B96C6DDD60}"/>
    <cellStyle name="Normal 2 2 2 2 4 4 4 4" xfId="36394" xr:uid="{FC7E037C-EF38-43FA-AB28-7445137F7C97}"/>
    <cellStyle name="Normal 2 2 2 2 4 4 5" xfId="9452" xr:uid="{DF7310FF-3286-4636-BCA7-BAE27B433ECB}"/>
    <cellStyle name="Normal 2 2 2 2 4 4 5 2" xfId="26212" xr:uid="{34DAE63F-540F-4EEC-B9D8-E812ED345A02}"/>
    <cellStyle name="Normal 2 2 2 2 4 4 5 3" xfId="42971" xr:uid="{6CB802DA-640F-402A-9680-05FD6DDACA8F}"/>
    <cellStyle name="Normal 2 2 2 2 4 4 6" xfId="17832" xr:uid="{B664AED8-0211-4F86-AC62-6176B97CF9C7}"/>
    <cellStyle name="Normal 2 2 2 2 4 4 7" xfId="34591" xr:uid="{36522949-BC42-4A98-A8E3-FE24ADECD34A}"/>
    <cellStyle name="Normal 2 2 2 2 4 5" xfId="1491" xr:uid="{DF242C7F-853E-4575-9C6D-B65D428EC5F5}"/>
    <cellStyle name="Normal 2 2 2 2 4 5 2" xfId="4880" xr:uid="{C4EEE7EB-700A-4E11-9F10-9C80452F501A}"/>
    <cellStyle name="Normal 2 2 2 2 4 5 2 2" xfId="13260" xr:uid="{D12C0D1F-B54B-4F6B-A5AB-FA1DF2C845E5}"/>
    <cellStyle name="Normal 2 2 2 2 4 5 2 2 2" xfId="30020" xr:uid="{91601D3C-7112-4A8D-ACBE-DB1D617B8723}"/>
    <cellStyle name="Normal 2 2 2 2 4 5 2 2 3" xfId="46779" xr:uid="{25027DB7-0D4B-48DE-B658-8A773728BDC2}"/>
    <cellStyle name="Normal 2 2 2 2 4 5 2 3" xfId="21640" xr:uid="{1B872591-FFE1-450D-9A68-E687AB55BDDC}"/>
    <cellStyle name="Normal 2 2 2 2 4 5 2 4" xfId="38399" xr:uid="{9F8F3578-9A3B-4BC9-87FE-636855AB4BA0}"/>
    <cellStyle name="Normal 2 2 2 2 4 5 3" xfId="6567" xr:uid="{D6294990-52CA-42EE-B077-BC0A8C3134D5}"/>
    <cellStyle name="Normal 2 2 2 2 4 5 3 2" xfId="14947" xr:uid="{9DD15E4B-C8FD-45E0-AD5E-C9881DE29885}"/>
    <cellStyle name="Normal 2 2 2 2 4 5 3 2 2" xfId="31707" xr:uid="{95F27B8F-8E88-40F2-9238-C643C2D2A2EB}"/>
    <cellStyle name="Normal 2 2 2 2 4 5 3 2 3" xfId="48466" xr:uid="{E7A660A2-6DD2-40E0-931F-A7231D7AD0AC}"/>
    <cellStyle name="Normal 2 2 2 2 4 5 3 3" xfId="23327" xr:uid="{359A30A9-0BE8-420F-BB1B-4470B9EC3237}"/>
    <cellStyle name="Normal 2 2 2 2 4 5 3 4" xfId="40086" xr:uid="{571CC9A2-5C05-40FB-BE61-4E064F02F4FE}"/>
    <cellStyle name="Normal 2 2 2 2 4 5 4" xfId="3303" xr:uid="{5CB1CBBB-7981-4752-AA52-75FED7AD1795}"/>
    <cellStyle name="Normal 2 2 2 2 4 5 4 2" xfId="11683" xr:uid="{FE060F86-EBD0-4B67-8963-8AA90EAB4C32}"/>
    <cellStyle name="Normal 2 2 2 2 4 5 4 2 2" xfId="28443" xr:uid="{CD7034B2-C9C3-4330-B1E9-886C3484099C}"/>
    <cellStyle name="Normal 2 2 2 2 4 5 4 2 3" xfId="45202" xr:uid="{D8B20F44-3E83-476D-839C-4ED85BB368EB}"/>
    <cellStyle name="Normal 2 2 2 2 4 5 4 3" xfId="20063" xr:uid="{DE396BF3-CD8E-4A18-93DD-F7C97667FDA9}"/>
    <cellStyle name="Normal 2 2 2 2 4 5 4 4" xfId="36822" xr:uid="{5E3AF415-538B-4608-A885-B709A43E8E33}"/>
    <cellStyle name="Normal 2 2 2 2 4 5 5" xfId="9880" xr:uid="{5574FDFB-A525-41DC-97A4-8466D1FAAC55}"/>
    <cellStyle name="Normal 2 2 2 2 4 5 5 2" xfId="26640" xr:uid="{061D00C1-BCBF-44CA-90F8-B48CC49B1A59}"/>
    <cellStyle name="Normal 2 2 2 2 4 5 5 3" xfId="43399" xr:uid="{5A87397C-1A79-4819-9837-D1DD732B8D86}"/>
    <cellStyle name="Normal 2 2 2 2 4 5 6" xfId="18260" xr:uid="{A373B15C-DEF4-4550-94B9-64DB845A0BDC}"/>
    <cellStyle name="Normal 2 2 2 2 4 5 7" xfId="35019" xr:uid="{7CDD85FE-C582-4A1C-ACF2-81F9A586D3F6}"/>
    <cellStyle name="Normal 2 2 2 2 4 6" xfId="1687" xr:uid="{BD7C0926-C14C-4E80-8F6A-CDF3F0DF8EFB}"/>
    <cellStyle name="Normal 2 2 2 2 4 6 2" xfId="5076" xr:uid="{DD03D9A4-254F-4F2F-9C89-F23C61A28436}"/>
    <cellStyle name="Normal 2 2 2 2 4 6 2 2" xfId="13456" xr:uid="{0A75A9A2-52C5-46FE-878A-F28EF83A24A5}"/>
    <cellStyle name="Normal 2 2 2 2 4 6 2 2 2" xfId="30216" xr:uid="{3620F1C6-3144-4C41-BA55-51E351059282}"/>
    <cellStyle name="Normal 2 2 2 2 4 6 2 2 3" xfId="46975" xr:uid="{A0780277-D038-4EB3-928A-F38664AABBF4}"/>
    <cellStyle name="Normal 2 2 2 2 4 6 2 3" xfId="21836" xr:uid="{7442CE4A-980D-4134-854E-6B30F00247B0}"/>
    <cellStyle name="Normal 2 2 2 2 4 6 2 4" xfId="38595" xr:uid="{BF8EC5A4-1114-4F77-B6AF-6B242C3E23F0}"/>
    <cellStyle name="Normal 2 2 2 2 4 6 3" xfId="6763" xr:uid="{F033EF10-D6B1-486B-B0C8-2BB45A1C3642}"/>
    <cellStyle name="Normal 2 2 2 2 4 6 3 2" xfId="15143" xr:uid="{B7666E49-B3BB-4599-A184-6BB0DB922847}"/>
    <cellStyle name="Normal 2 2 2 2 4 6 3 2 2" xfId="31903" xr:uid="{FF378C38-A6B7-4032-8600-511833D57248}"/>
    <cellStyle name="Normal 2 2 2 2 4 6 3 2 3" xfId="48662" xr:uid="{090BA18F-4593-4BF0-810D-24D613078F3A}"/>
    <cellStyle name="Normal 2 2 2 2 4 6 3 3" xfId="23523" xr:uid="{84AEEACF-683C-46C6-851F-2B0B80DF2BAA}"/>
    <cellStyle name="Normal 2 2 2 2 4 6 3 4" xfId="40282" xr:uid="{D2499309-C2CB-44A7-8895-E2751589143A}"/>
    <cellStyle name="Normal 2 2 2 2 4 6 4" xfId="2447" xr:uid="{28E9DB53-DF1A-4421-ACA4-12912C9E4723}"/>
    <cellStyle name="Normal 2 2 2 2 4 6 4 2" xfId="10829" xr:uid="{3567F048-DBAA-4622-9831-98CBE1481B20}"/>
    <cellStyle name="Normal 2 2 2 2 4 6 4 2 2" xfId="27589" xr:uid="{86E0A2A1-6809-466D-8ABA-F2E52F845770}"/>
    <cellStyle name="Normal 2 2 2 2 4 6 4 2 3" xfId="44348" xr:uid="{BD832C37-7D3E-475B-8596-E44A4BBC46B4}"/>
    <cellStyle name="Normal 2 2 2 2 4 6 4 3" xfId="19209" xr:uid="{A43BA276-29EB-4EEC-81B2-AC4D429285E2}"/>
    <cellStyle name="Normal 2 2 2 2 4 6 4 4" xfId="35968" xr:uid="{C07C2DA8-ECB3-4EFE-B0B0-E7CFEF3F5C22}"/>
    <cellStyle name="Normal 2 2 2 2 4 6 5" xfId="10076" xr:uid="{28168FC7-12E3-45AF-A8CE-F769B9B5B965}"/>
    <cellStyle name="Normal 2 2 2 2 4 6 5 2" xfId="26836" xr:uid="{0019A1D4-108A-4308-B051-4D99BAEBCB8B}"/>
    <cellStyle name="Normal 2 2 2 2 4 6 5 3" xfId="43595" xr:uid="{A617C2E7-B6D0-4D4D-A209-764A443B7E84}"/>
    <cellStyle name="Normal 2 2 2 2 4 6 6" xfId="18456" xr:uid="{F53F51D7-5A30-468E-ABF8-CB7C9DE3D3FD}"/>
    <cellStyle name="Normal 2 2 2 2 4 6 7" xfId="35215" xr:uid="{4DAC8DDE-2A23-4BC8-9925-E0E64F390DD5}"/>
    <cellStyle name="Normal 2 2 2 2 4 7" xfId="3805" xr:uid="{A4218A95-6B93-4E38-9394-C90D39F39587}"/>
    <cellStyle name="Normal 2 2 2 2 4 7 2" xfId="12185" xr:uid="{7EDCF330-585C-4D53-86B2-1DE45A816A7D}"/>
    <cellStyle name="Normal 2 2 2 2 4 7 2 2" xfId="28945" xr:uid="{E5FF77C6-A778-4014-9A95-72DF7069D855}"/>
    <cellStyle name="Normal 2 2 2 2 4 7 2 3" xfId="45704" xr:uid="{878A081C-687B-4F3F-AF87-F878E95F4A2A}"/>
    <cellStyle name="Normal 2 2 2 2 4 7 3" xfId="20565" xr:uid="{9DD7C939-56FD-42B5-96C6-27E50D628F55}"/>
    <cellStyle name="Normal 2 2 2 2 4 7 4" xfId="37324" xr:uid="{1D5CA993-DFF5-412F-A338-70FDB46C4071}"/>
    <cellStyle name="Normal 2 2 2 2 4 8" xfId="5713" xr:uid="{5BF4D31F-6A8D-490B-BC0D-A8E71C453BDA}"/>
    <cellStyle name="Normal 2 2 2 2 4 8 2" xfId="14093" xr:uid="{5AA24375-24DF-4095-BBDA-332E05E0E700}"/>
    <cellStyle name="Normal 2 2 2 2 4 8 2 2" xfId="30853" xr:uid="{45312A72-7B3F-417D-A36C-A5D801EEB564}"/>
    <cellStyle name="Normal 2 2 2 2 4 8 2 3" xfId="47612" xr:uid="{9535E836-D17E-4261-8ABA-66463330F64C}"/>
    <cellStyle name="Normal 2 2 2 2 4 8 3" xfId="22473" xr:uid="{3C27177E-BF20-4D41-8E33-D5D492F485BD}"/>
    <cellStyle name="Normal 2 2 2 2 4 8 4" xfId="39232" xr:uid="{AA0904B2-7383-4B75-9984-B61509504F40}"/>
    <cellStyle name="Normal 2 2 2 2 4 9" xfId="7169" xr:uid="{281F2F31-0F47-408B-BCFA-848DAF7E9682}"/>
    <cellStyle name="Normal 2 2 2 2 4 9 2" xfId="15549" xr:uid="{F5D79466-289C-4C33-961F-3FDBAC4F3C79}"/>
    <cellStyle name="Normal 2 2 2 2 4 9 2 2" xfId="32309" xr:uid="{4F62FF6A-1943-48B3-9D7B-341C04762D39}"/>
    <cellStyle name="Normal 2 2 2 2 4 9 2 3" xfId="49068" xr:uid="{46A098C7-DFC6-4A39-8D4C-57A856387257}"/>
    <cellStyle name="Normal 2 2 2 2 4 9 3" xfId="23929" xr:uid="{6910BD75-D8E8-40C2-8B56-95F03FA27D48}"/>
    <cellStyle name="Normal 2 2 2 2 4 9 4" xfId="40688" xr:uid="{BD8AD13A-67EA-4A43-A41B-F31384B0DFAB}"/>
    <cellStyle name="Normal 2 2 2 2 5" xfId="618" xr:uid="{789D149B-7CAC-4AF3-A479-D8684DE91F90}"/>
    <cellStyle name="Normal 2 2 2 2 5 10" xfId="7634" xr:uid="{5CEFC1F7-26F5-4CAD-8480-D2A7C9AED69D}"/>
    <cellStyle name="Normal 2 2 2 2 5 10 2" xfId="16014" xr:uid="{F4E1A507-BAA9-4E1F-AE2C-5C2590A2A338}"/>
    <cellStyle name="Normal 2 2 2 2 5 10 2 2" xfId="32774" xr:uid="{1AE5717F-C549-4293-B438-0799324AF73A}"/>
    <cellStyle name="Normal 2 2 2 2 5 10 2 3" xfId="49533" xr:uid="{A5C82804-2B11-4995-B5A1-B3F834B3E031}"/>
    <cellStyle name="Normal 2 2 2 2 5 10 3" xfId="24394" xr:uid="{E6A32FC7-3919-4024-980F-9511BA3D05B4}"/>
    <cellStyle name="Normal 2 2 2 2 5 10 4" xfId="41153" xr:uid="{20F78CAC-56B8-48E8-B476-B1CE35C03DC4}"/>
    <cellStyle name="Normal 2 2 2 2 5 11" xfId="8040" xr:uid="{FFA298A5-D5AB-41C4-903C-4FFDAA9B9132}"/>
    <cellStyle name="Normal 2 2 2 2 5 11 2" xfId="16420" xr:uid="{97E35BCA-BF4A-45B5-8895-38E8CE054DF9}"/>
    <cellStyle name="Normal 2 2 2 2 5 11 2 2" xfId="33180" xr:uid="{1A81AEDA-8EFF-4645-95F6-5083A6C0CE67}"/>
    <cellStyle name="Normal 2 2 2 2 5 11 2 3" xfId="49939" xr:uid="{D9D23FE0-59BE-4A81-B653-9C10BD43F5C1}"/>
    <cellStyle name="Normal 2 2 2 2 5 11 3" xfId="24800" xr:uid="{A44BD061-912F-4CCE-914F-292C559BC660}"/>
    <cellStyle name="Normal 2 2 2 2 5 11 4" xfId="41559" xr:uid="{FEBF413B-D24B-4BA2-93D7-61C4AE19624B}"/>
    <cellStyle name="Normal 2 2 2 2 5 12" xfId="8446" xr:uid="{8DCD6190-4E73-455C-896E-D591C6889D49}"/>
    <cellStyle name="Normal 2 2 2 2 5 12 2" xfId="16826" xr:uid="{3C11AFF5-AA96-4B51-9DDC-38E81EE666E7}"/>
    <cellStyle name="Normal 2 2 2 2 5 12 2 2" xfId="33586" xr:uid="{EEA71958-80A9-46C0-8AA5-CF8C74F2961A}"/>
    <cellStyle name="Normal 2 2 2 2 5 12 2 3" xfId="50345" xr:uid="{15FF0B39-9B3F-48DA-89A5-DA593E0875F9}"/>
    <cellStyle name="Normal 2 2 2 2 5 12 3" xfId="25206" xr:uid="{5255F03F-CCB5-4D9E-B6DF-84C3A2DDABAF}"/>
    <cellStyle name="Normal 2 2 2 2 5 12 4" xfId="41965" xr:uid="{FEDFD30A-0821-4E18-B5C7-9B924CC784BF}"/>
    <cellStyle name="Normal 2 2 2 2 5 13" xfId="2133" xr:uid="{47C6C965-6AD3-4031-B44D-130382EC09FE}"/>
    <cellStyle name="Normal 2 2 2 2 5 13 2" xfId="10521" xr:uid="{313E355B-18FE-42B3-BC28-F88731CDDB53}"/>
    <cellStyle name="Normal 2 2 2 2 5 13 2 2" xfId="27281" xr:uid="{12BA8EFD-304A-49E3-9C97-434C339620BA}"/>
    <cellStyle name="Normal 2 2 2 2 5 13 2 3" xfId="44040" xr:uid="{FAC39326-D530-4EBB-B453-34BB5AEA3E2A}"/>
    <cellStyle name="Normal 2 2 2 2 5 13 3" xfId="18901" xr:uid="{EFEC684A-1341-41CA-B5C9-BB90ACFE2AC6}"/>
    <cellStyle name="Normal 2 2 2 2 5 13 4" xfId="35660" xr:uid="{3C1BB0D9-3420-4092-91BF-6D4AEF849C69}"/>
    <cellStyle name="Normal 2 2 2 2 5 14" xfId="9029" xr:uid="{0153DEB4-693E-4DBF-BD34-EDC4F2D9C650}"/>
    <cellStyle name="Normal 2 2 2 2 5 14 2" xfId="25789" xr:uid="{37454AB3-94CE-4AD2-B4C4-D86D5521F21C}"/>
    <cellStyle name="Normal 2 2 2 2 5 14 3" xfId="42548" xr:uid="{A7EE1D27-DB56-4B1A-B2DE-B72FA618E770}"/>
    <cellStyle name="Normal 2 2 2 2 5 15" xfId="17409" xr:uid="{7546CF2F-41E3-445C-8702-E97B63EFB3F9}"/>
    <cellStyle name="Normal 2 2 2 2 5 16" xfId="34168" xr:uid="{9D0A6330-C892-4A1A-B10C-AC0F2EFDD0D7}"/>
    <cellStyle name="Normal 2 2 2 2 5 2" xfId="619" xr:uid="{6481254F-C743-42EA-B0CA-A9B77FB1A3B5}"/>
    <cellStyle name="Normal 2 2 2 2 5 2 10" xfId="8537" xr:uid="{84FD7679-F843-4779-AC76-FF11127195A7}"/>
    <cellStyle name="Normal 2 2 2 2 5 2 10 2" xfId="16917" xr:uid="{EADFD088-8568-47FD-9220-0103EDA88E44}"/>
    <cellStyle name="Normal 2 2 2 2 5 2 10 2 2" xfId="33677" xr:uid="{CA6F4581-4BBC-4CD2-B8A8-0DC2636401C7}"/>
    <cellStyle name="Normal 2 2 2 2 5 2 10 2 3" xfId="50436" xr:uid="{28F17D50-06EE-4790-9078-4AEF0B36582F}"/>
    <cellStyle name="Normal 2 2 2 2 5 2 10 3" xfId="25297" xr:uid="{314DBE79-8E50-45BF-848E-4809C364557A}"/>
    <cellStyle name="Normal 2 2 2 2 5 2 10 4" xfId="42056" xr:uid="{856B1722-F0B3-4C99-BF4B-4D18DE30B00C}"/>
    <cellStyle name="Normal 2 2 2 2 5 2 11" xfId="2451" xr:uid="{8433CE30-07A5-4FE6-8F21-772256A79558}"/>
    <cellStyle name="Normal 2 2 2 2 5 2 11 2" xfId="10833" xr:uid="{A99F7036-E86F-4812-9A7C-7F7867254C05}"/>
    <cellStyle name="Normal 2 2 2 2 5 2 11 2 2" xfId="27593" xr:uid="{336FB666-28D4-4B2B-8274-6E9EE2A1FC3D}"/>
    <cellStyle name="Normal 2 2 2 2 5 2 11 2 3" xfId="44352" xr:uid="{72D7F9C5-D8C1-4781-B744-A142ED4ED3E2}"/>
    <cellStyle name="Normal 2 2 2 2 5 2 11 3" xfId="19213" xr:uid="{B3AA2B68-2DED-4423-92C9-52535FB8280B}"/>
    <cellStyle name="Normal 2 2 2 2 5 2 11 4" xfId="35972" xr:uid="{2B2E3DFF-B056-4236-9C32-DB2012721D14}"/>
    <cellStyle name="Normal 2 2 2 2 5 2 12" xfId="9030" xr:uid="{2FAB7E2C-81D3-4569-B122-D2C909F81442}"/>
    <cellStyle name="Normal 2 2 2 2 5 2 12 2" xfId="25790" xr:uid="{40201366-5B5F-4F41-B8E9-D42492C12A6F}"/>
    <cellStyle name="Normal 2 2 2 2 5 2 12 3" xfId="42549" xr:uid="{B3F8C0B0-1E86-4B34-BBBF-E361C1166630}"/>
    <cellStyle name="Normal 2 2 2 2 5 2 13" xfId="17410" xr:uid="{93BE45FC-A8B9-4441-96B6-92C46C1DFAF8}"/>
    <cellStyle name="Normal 2 2 2 2 5 2 14" xfId="34169" xr:uid="{7DDFED9A-6118-4F23-9531-747344BF6B27}"/>
    <cellStyle name="Normal 2 2 2 2 5 2 2" xfId="1061" xr:uid="{9CD2218E-628A-4C9B-8E9F-FE4D7E3802E8}"/>
    <cellStyle name="Normal 2 2 2 2 5 2 2 2" xfId="4456" xr:uid="{74B379A0-6255-427A-B23A-31DBF5013F4B}"/>
    <cellStyle name="Normal 2 2 2 2 5 2 2 2 2" xfId="12836" xr:uid="{A3F8CA1E-C9FC-4EAE-8F9D-33063D8BBEF5}"/>
    <cellStyle name="Normal 2 2 2 2 5 2 2 2 2 2" xfId="29596" xr:uid="{66D95418-338F-4735-80CD-399DECF60599}"/>
    <cellStyle name="Normal 2 2 2 2 5 2 2 2 2 3" xfId="46355" xr:uid="{ABA3E175-91BF-4C5D-82DA-29CFB7908884}"/>
    <cellStyle name="Normal 2 2 2 2 5 2 2 2 3" xfId="21216" xr:uid="{150DCF0A-82E9-4788-9910-B1C9C5519C48}"/>
    <cellStyle name="Normal 2 2 2 2 5 2 2 2 4" xfId="37975" xr:uid="{C2FCEAEA-1860-4371-B3DC-8AB009B4E682}"/>
    <cellStyle name="Normal 2 2 2 2 5 2 2 3" xfId="6143" xr:uid="{FF537813-3B5E-4324-8554-3279D818D9F5}"/>
    <cellStyle name="Normal 2 2 2 2 5 2 2 3 2" xfId="14523" xr:uid="{C8C32985-799C-40F9-8142-8645774835EA}"/>
    <cellStyle name="Normal 2 2 2 2 5 2 2 3 2 2" xfId="31283" xr:uid="{57D0CE6F-B927-412E-BF2F-81BF8389DE9B}"/>
    <cellStyle name="Normal 2 2 2 2 5 2 2 3 2 3" xfId="48042" xr:uid="{BCD44491-42F8-4A41-8A71-7F8A3CE2BE9E}"/>
    <cellStyle name="Normal 2 2 2 2 5 2 2 3 3" xfId="22903" xr:uid="{3A915AB3-3968-4559-9AAB-E0EE0310518A}"/>
    <cellStyle name="Normal 2 2 2 2 5 2 2 3 4" xfId="39662" xr:uid="{3DD3A959-CDC6-4C9A-AD38-A984663DA97B}"/>
    <cellStyle name="Normal 2 2 2 2 5 2 2 4" xfId="2879" xr:uid="{711014BD-D340-42B1-B926-FDCC779421F9}"/>
    <cellStyle name="Normal 2 2 2 2 5 2 2 4 2" xfId="11259" xr:uid="{F9245DEE-9015-4134-9FDC-5AA079D85933}"/>
    <cellStyle name="Normal 2 2 2 2 5 2 2 4 2 2" xfId="28019" xr:uid="{5BD1A8A6-AFDB-491B-94EB-096070163833}"/>
    <cellStyle name="Normal 2 2 2 2 5 2 2 4 2 3" xfId="44778" xr:uid="{5D6BD4D8-A259-41A4-B3C6-E496062315F7}"/>
    <cellStyle name="Normal 2 2 2 2 5 2 2 4 3" xfId="19639" xr:uid="{040C6262-8003-4AC7-9537-9EEF9F186C50}"/>
    <cellStyle name="Normal 2 2 2 2 5 2 2 4 4" xfId="36398" xr:uid="{EE45094C-1B8F-4823-812A-42CEB0D4B908}"/>
    <cellStyle name="Normal 2 2 2 2 5 2 2 5" xfId="9456" xr:uid="{DBBD1334-98A6-4CD1-B55D-35C07F949061}"/>
    <cellStyle name="Normal 2 2 2 2 5 2 2 5 2" xfId="26216" xr:uid="{5EACE003-6762-4FDB-965A-F78B3DDB55BB}"/>
    <cellStyle name="Normal 2 2 2 2 5 2 2 5 3" xfId="42975" xr:uid="{07916294-08BB-420B-896A-19ACF3677627}"/>
    <cellStyle name="Normal 2 2 2 2 5 2 2 6" xfId="17836" xr:uid="{31DC5F4B-7DFB-43D6-A35A-25D087817CEC}"/>
    <cellStyle name="Normal 2 2 2 2 5 2 2 7" xfId="34595" xr:uid="{13463A97-8580-4D56-8F57-4CD43CCD8CE3}"/>
    <cellStyle name="Normal 2 2 2 2 5 2 3" xfId="1495" xr:uid="{913FBF49-956D-4BF3-8481-DA2CC677939C}"/>
    <cellStyle name="Normal 2 2 2 2 5 2 3 2" xfId="4884" xr:uid="{26462C73-8728-412C-BED1-D378E7983046}"/>
    <cellStyle name="Normal 2 2 2 2 5 2 3 2 2" xfId="13264" xr:uid="{5995430A-B23C-4971-8EA4-32847DE4DF30}"/>
    <cellStyle name="Normal 2 2 2 2 5 2 3 2 2 2" xfId="30024" xr:uid="{BCC8AFA3-A1D3-4CBA-966E-479FDDAF7242}"/>
    <cellStyle name="Normal 2 2 2 2 5 2 3 2 2 3" xfId="46783" xr:uid="{54D2AC8D-512F-4596-9F97-34A6FB69D6EE}"/>
    <cellStyle name="Normal 2 2 2 2 5 2 3 2 3" xfId="21644" xr:uid="{7B6BBB4D-2FF7-4B65-86CA-523E65A42A2E}"/>
    <cellStyle name="Normal 2 2 2 2 5 2 3 2 4" xfId="38403" xr:uid="{BC9ED0AF-DF8D-4C35-954D-21FD63D67D7D}"/>
    <cellStyle name="Normal 2 2 2 2 5 2 3 3" xfId="6571" xr:uid="{343863B9-3B8B-4A3E-9ECE-49E0317CBCC6}"/>
    <cellStyle name="Normal 2 2 2 2 5 2 3 3 2" xfId="14951" xr:uid="{D8B6FB5F-0500-41F9-8700-65956DFB8ADE}"/>
    <cellStyle name="Normal 2 2 2 2 5 2 3 3 2 2" xfId="31711" xr:uid="{D9CCA3BC-8698-4299-9C6F-E3B0AFDC4B18}"/>
    <cellStyle name="Normal 2 2 2 2 5 2 3 3 2 3" xfId="48470" xr:uid="{7377FC82-734A-4700-B573-2E71B1892029}"/>
    <cellStyle name="Normal 2 2 2 2 5 2 3 3 3" xfId="23331" xr:uid="{0F9D9C62-6281-421E-B8CF-DDE6D5887B9A}"/>
    <cellStyle name="Normal 2 2 2 2 5 2 3 3 4" xfId="40090" xr:uid="{20A284D8-34C8-4C31-B843-DF5D7846CD11}"/>
    <cellStyle name="Normal 2 2 2 2 5 2 3 4" xfId="3307" xr:uid="{02B99755-C563-4BF8-8434-87A1F9B5AC5B}"/>
    <cellStyle name="Normal 2 2 2 2 5 2 3 4 2" xfId="11687" xr:uid="{D6008409-A71E-4131-9C1C-77CBAEA324AA}"/>
    <cellStyle name="Normal 2 2 2 2 5 2 3 4 2 2" xfId="28447" xr:uid="{F0844620-40ED-4583-AD67-0E9B8FC48859}"/>
    <cellStyle name="Normal 2 2 2 2 5 2 3 4 2 3" xfId="45206" xr:uid="{8911E53F-70E8-4C23-B362-F1648309F85E}"/>
    <cellStyle name="Normal 2 2 2 2 5 2 3 4 3" xfId="20067" xr:uid="{1A52B190-1760-4B7B-A75F-B65C65BECEA0}"/>
    <cellStyle name="Normal 2 2 2 2 5 2 3 4 4" xfId="36826" xr:uid="{07A85C07-0C28-4413-B82F-98842F8FBEB5}"/>
    <cellStyle name="Normal 2 2 2 2 5 2 3 5" xfId="9884" xr:uid="{BD988D25-BA19-451E-B6FF-B86F10D87ED7}"/>
    <cellStyle name="Normal 2 2 2 2 5 2 3 5 2" xfId="26644" xr:uid="{6C152C3E-4F5A-42FC-85F8-3FE74A694D03}"/>
    <cellStyle name="Normal 2 2 2 2 5 2 3 5 3" xfId="43403" xr:uid="{8FD07FF6-6DBD-48CD-913C-526B268C0367}"/>
    <cellStyle name="Normal 2 2 2 2 5 2 3 6" xfId="18264" xr:uid="{F9CC00F2-B9BD-430D-BEDD-E03130D3A53A}"/>
    <cellStyle name="Normal 2 2 2 2 5 2 3 7" xfId="35023" xr:uid="{6B546187-BD43-45E0-AA64-FB942CDD9A01}"/>
    <cellStyle name="Normal 2 2 2 2 5 2 4" xfId="1837" xr:uid="{9B7EE3BF-4DDA-483B-94EC-15D25F4D59F5}"/>
    <cellStyle name="Normal 2 2 2 2 5 2 4 2" xfId="5226" xr:uid="{70F8FA01-1324-48AE-9BF5-56FC573F1B4E}"/>
    <cellStyle name="Normal 2 2 2 2 5 2 4 2 2" xfId="13606" xr:uid="{869D55AD-42F8-4FBC-AED1-83BFE688CA2E}"/>
    <cellStyle name="Normal 2 2 2 2 5 2 4 2 2 2" xfId="30366" xr:uid="{496E46D4-FE49-43AB-A957-1C496C27F8CB}"/>
    <cellStyle name="Normal 2 2 2 2 5 2 4 2 2 3" xfId="47125" xr:uid="{09322683-3D13-4BFD-81DA-8CE2B93C7B7F}"/>
    <cellStyle name="Normal 2 2 2 2 5 2 4 2 3" xfId="21986" xr:uid="{7BA74CC3-4CF5-4774-B443-E1B5CD5E3819}"/>
    <cellStyle name="Normal 2 2 2 2 5 2 4 2 4" xfId="38745" xr:uid="{C62C5530-3936-4164-A1A3-55614D16C2AB}"/>
    <cellStyle name="Normal 2 2 2 2 5 2 4 3" xfId="6913" xr:uid="{DE0E3F7D-C829-4565-9646-76B842511510}"/>
    <cellStyle name="Normal 2 2 2 2 5 2 4 3 2" xfId="15293" xr:uid="{619304CF-484A-499C-89BA-D278308D2FF7}"/>
    <cellStyle name="Normal 2 2 2 2 5 2 4 3 2 2" xfId="32053" xr:uid="{CF2070C5-A0EE-42EE-AE82-7EC3E9625E21}"/>
    <cellStyle name="Normal 2 2 2 2 5 2 4 3 2 3" xfId="48812" xr:uid="{911B5476-F664-41DA-8024-0B317889D30B}"/>
    <cellStyle name="Normal 2 2 2 2 5 2 4 3 3" xfId="23673" xr:uid="{B30E2A09-78A4-4168-A26C-50A14490B8CD}"/>
    <cellStyle name="Normal 2 2 2 2 5 2 4 3 4" xfId="40432" xr:uid="{34C25DFE-C000-4EBE-8857-A93508FC63B8}"/>
    <cellStyle name="Normal 2 2 2 2 5 2 4 4" xfId="3537" xr:uid="{804100CE-65A1-45A3-A47A-689670307343}"/>
    <cellStyle name="Normal 2 2 2 2 5 2 4 4 2" xfId="11917" xr:uid="{7ED4B473-1191-44CA-BC2E-D2FF130040A0}"/>
    <cellStyle name="Normal 2 2 2 2 5 2 4 4 2 2" xfId="28677" xr:uid="{A7A2FA0F-3C8F-446B-89FE-05590724899A}"/>
    <cellStyle name="Normal 2 2 2 2 5 2 4 4 2 3" xfId="45436" xr:uid="{B2D2B13B-32EC-4268-9466-B7FB1B266C43}"/>
    <cellStyle name="Normal 2 2 2 2 5 2 4 4 3" xfId="20297" xr:uid="{91EFEEA5-7CF2-476F-B849-BE03BC2D53FB}"/>
    <cellStyle name="Normal 2 2 2 2 5 2 4 4 4" xfId="37056" xr:uid="{20037D89-990D-4131-B367-2CB188578393}"/>
    <cellStyle name="Normal 2 2 2 2 5 2 4 5" xfId="10226" xr:uid="{C3212C5E-7A41-4EA8-BF0B-8C1DDD783025}"/>
    <cellStyle name="Normal 2 2 2 2 5 2 4 5 2" xfId="26986" xr:uid="{B780BE57-3972-4F74-9172-616F1F25CAFD}"/>
    <cellStyle name="Normal 2 2 2 2 5 2 4 5 3" xfId="43745" xr:uid="{49B5D892-1728-408B-93E4-BD218E3E7C83}"/>
    <cellStyle name="Normal 2 2 2 2 5 2 4 6" xfId="18606" xr:uid="{664BDF21-1827-4526-BA24-0431ECCAE0C3}"/>
    <cellStyle name="Normal 2 2 2 2 5 2 4 7" xfId="35365" xr:uid="{E59C3B1E-0FF6-4378-A7D5-962370C87C65}"/>
    <cellStyle name="Normal 2 2 2 2 5 2 5" xfId="3956" xr:uid="{9C833BC0-2B03-438C-A17A-0E257679572E}"/>
    <cellStyle name="Normal 2 2 2 2 5 2 5 2" xfId="12336" xr:uid="{71D09AF1-437D-4EC1-B20C-FFECBF9A8B34}"/>
    <cellStyle name="Normal 2 2 2 2 5 2 5 2 2" xfId="29096" xr:uid="{EEE4E670-DA0E-4DEF-BD98-F2401D25E967}"/>
    <cellStyle name="Normal 2 2 2 2 5 2 5 2 3" xfId="45855" xr:uid="{34BF4FBB-0D44-4AE7-9485-085D5BB71417}"/>
    <cellStyle name="Normal 2 2 2 2 5 2 5 3" xfId="20716" xr:uid="{B0A66E60-68FE-4747-854D-2917A7F5D3A2}"/>
    <cellStyle name="Normal 2 2 2 2 5 2 5 4" xfId="37475" xr:uid="{E5911AD6-6B68-43DD-8681-106701BA5D6E}"/>
    <cellStyle name="Normal 2 2 2 2 5 2 6" xfId="5717" xr:uid="{5B42BE4A-2238-4364-B3BC-21BCE1773738}"/>
    <cellStyle name="Normal 2 2 2 2 5 2 6 2" xfId="14097" xr:uid="{77999F5B-71A7-485D-8383-4AB9CDF90E0B}"/>
    <cellStyle name="Normal 2 2 2 2 5 2 6 2 2" xfId="30857" xr:uid="{D2FB7BF1-B3FD-4CEB-B369-C8225622A72D}"/>
    <cellStyle name="Normal 2 2 2 2 5 2 6 2 3" xfId="47616" xr:uid="{33968023-40CF-4505-9F34-2EDD906B85D3}"/>
    <cellStyle name="Normal 2 2 2 2 5 2 6 3" xfId="22477" xr:uid="{FC97D22F-7ACD-4497-BB2D-864B77D8F011}"/>
    <cellStyle name="Normal 2 2 2 2 5 2 6 4" xfId="39236" xr:uid="{DF8F25FB-7BC1-4AD0-8534-67AB3D3E4D30}"/>
    <cellStyle name="Normal 2 2 2 2 5 2 7" xfId="7319" xr:uid="{928D3242-5D32-4EF0-B544-89254881C94F}"/>
    <cellStyle name="Normal 2 2 2 2 5 2 7 2" xfId="15699" xr:uid="{D8A8A6AB-25EE-44AC-9FC3-C01ECB751CB4}"/>
    <cellStyle name="Normal 2 2 2 2 5 2 7 2 2" xfId="32459" xr:uid="{65B98E5A-E797-48E6-85A2-548B3040C5D1}"/>
    <cellStyle name="Normal 2 2 2 2 5 2 7 2 3" xfId="49218" xr:uid="{0A7A602C-73F3-45E4-BA7D-3EE0FB169FC0}"/>
    <cellStyle name="Normal 2 2 2 2 5 2 7 3" xfId="24079" xr:uid="{229D1348-1CFB-4A07-A6FB-FB2695AB067E}"/>
    <cellStyle name="Normal 2 2 2 2 5 2 7 4" xfId="40838" xr:uid="{883DD2D6-9CBB-4B1A-9F43-F333A118EA78}"/>
    <cellStyle name="Normal 2 2 2 2 5 2 8" xfId="7725" xr:uid="{A7D8878B-B71B-48A3-A91A-5C667A453B15}"/>
    <cellStyle name="Normal 2 2 2 2 5 2 8 2" xfId="16105" xr:uid="{70B4F61B-44A6-4742-87D9-0A5DC561D70C}"/>
    <cellStyle name="Normal 2 2 2 2 5 2 8 2 2" xfId="32865" xr:uid="{C0DBF850-2B76-4BF3-8BF8-61182D4EC0CC}"/>
    <cellStyle name="Normal 2 2 2 2 5 2 8 2 3" xfId="49624" xr:uid="{AC3414F3-B57C-47B4-8702-D4BA1A8DD6EE}"/>
    <cellStyle name="Normal 2 2 2 2 5 2 8 3" xfId="24485" xr:uid="{DC09FC6B-0B26-421B-B66F-9252F20F0DED}"/>
    <cellStyle name="Normal 2 2 2 2 5 2 8 4" xfId="41244" xr:uid="{8B3573BE-4D06-4345-8214-1F21B5495601}"/>
    <cellStyle name="Normal 2 2 2 2 5 2 9" xfId="8131" xr:uid="{FBB6C062-258D-48FA-B63F-A5490318CF78}"/>
    <cellStyle name="Normal 2 2 2 2 5 2 9 2" xfId="16511" xr:uid="{CC167F5E-F3FA-4C0E-91B4-8759D91C09F4}"/>
    <cellStyle name="Normal 2 2 2 2 5 2 9 2 2" xfId="33271" xr:uid="{62CA4D42-E881-4EB9-8B81-89F2D30C916B}"/>
    <cellStyle name="Normal 2 2 2 2 5 2 9 2 3" xfId="50030" xr:uid="{B49012FB-FE94-4378-B5EC-B51A75020774}"/>
    <cellStyle name="Normal 2 2 2 2 5 2 9 3" xfId="24891" xr:uid="{7A36CBD8-9321-4384-ABA1-6CFF7571B1C5}"/>
    <cellStyle name="Normal 2 2 2 2 5 2 9 4" xfId="41650" xr:uid="{96E7758E-A6FD-454E-852D-E3BBBC15248B}"/>
    <cellStyle name="Normal 2 2 2 2 5 3" xfId="620" xr:uid="{EC98009B-7514-4776-A615-DB3E12C04D2F}"/>
    <cellStyle name="Normal 2 2 2 2 5 3 10" xfId="8717" xr:uid="{6421A3E6-9BE0-46D7-8A19-46903AC2BC99}"/>
    <cellStyle name="Normal 2 2 2 2 5 3 10 2" xfId="17097" xr:uid="{28B25EB9-8B56-4423-9C9F-D8B859DD6ED4}"/>
    <cellStyle name="Normal 2 2 2 2 5 3 10 2 2" xfId="33857" xr:uid="{460A0BA4-03AB-415D-867E-323BBB6E6A2E}"/>
    <cellStyle name="Normal 2 2 2 2 5 3 10 2 3" xfId="50616" xr:uid="{8DFA3884-2A98-403A-A766-D5F10E0A42A7}"/>
    <cellStyle name="Normal 2 2 2 2 5 3 10 3" xfId="25477" xr:uid="{1655D85B-066F-4C47-949E-58FE84A78819}"/>
    <cellStyle name="Normal 2 2 2 2 5 3 10 4" xfId="42236" xr:uid="{908BAB3D-FBA1-440C-9261-69F7A88E7121}"/>
    <cellStyle name="Normal 2 2 2 2 5 3 11" xfId="2452" xr:uid="{BA4462A2-0C50-42A6-8086-95C51B657B8B}"/>
    <cellStyle name="Normal 2 2 2 2 5 3 11 2" xfId="10834" xr:uid="{3A181168-7277-4D7B-86CF-50E2A4C0EA06}"/>
    <cellStyle name="Normal 2 2 2 2 5 3 11 2 2" xfId="27594" xr:uid="{4B14681D-09B8-47DB-BF45-8BE55C14BC94}"/>
    <cellStyle name="Normal 2 2 2 2 5 3 11 2 3" xfId="44353" xr:uid="{DBB0A424-9F63-4A64-BC1E-77D0D1875928}"/>
    <cellStyle name="Normal 2 2 2 2 5 3 11 3" xfId="19214" xr:uid="{24A170FE-D8E3-4232-9E9D-9746E7A9B17F}"/>
    <cellStyle name="Normal 2 2 2 2 5 3 11 4" xfId="35973" xr:uid="{448383FD-0A50-457C-82B7-C500878A344E}"/>
    <cellStyle name="Normal 2 2 2 2 5 3 12" xfId="9031" xr:uid="{27967E2F-D033-4B1F-BF1B-A477B59BA316}"/>
    <cellStyle name="Normal 2 2 2 2 5 3 12 2" xfId="25791" xr:uid="{931EB314-C8B0-4B7B-BC2D-F2005B45FF7B}"/>
    <cellStyle name="Normal 2 2 2 2 5 3 12 3" xfId="42550" xr:uid="{594C6B11-35DD-4DC9-BB5F-EE7A7D79CCD2}"/>
    <cellStyle name="Normal 2 2 2 2 5 3 13" xfId="17411" xr:uid="{93C3C956-30E4-4CAE-8BDE-3992185F53B8}"/>
    <cellStyle name="Normal 2 2 2 2 5 3 14" xfId="34170" xr:uid="{FE20DAA1-BDE4-457B-A4EA-20A24F9DE73C}"/>
    <cellStyle name="Normal 2 2 2 2 5 3 2" xfId="1062" xr:uid="{6F9712A5-8228-4C7E-8B74-7BAC961CE81B}"/>
    <cellStyle name="Normal 2 2 2 2 5 3 2 2" xfId="4457" xr:uid="{B0131CFE-1013-47DE-920B-DF1CF419D2EE}"/>
    <cellStyle name="Normal 2 2 2 2 5 3 2 2 2" xfId="12837" xr:uid="{D375F9DA-B5BD-4744-ADF6-CE0AF05B55B4}"/>
    <cellStyle name="Normal 2 2 2 2 5 3 2 2 2 2" xfId="29597" xr:uid="{A9EF2F12-684D-4687-996A-D4E320307EAB}"/>
    <cellStyle name="Normal 2 2 2 2 5 3 2 2 2 3" xfId="46356" xr:uid="{C9E0BAA3-9A9B-4CDF-BF9D-166303F64A19}"/>
    <cellStyle name="Normal 2 2 2 2 5 3 2 2 3" xfId="21217" xr:uid="{E677F8D3-30C3-44CE-A75F-BC49F7B9A96A}"/>
    <cellStyle name="Normal 2 2 2 2 5 3 2 2 4" xfId="37976" xr:uid="{64A20FA4-C8E4-495A-8CB0-2C47E87200B8}"/>
    <cellStyle name="Normal 2 2 2 2 5 3 2 3" xfId="6144" xr:uid="{9A851E9A-AFB4-42DF-B31C-A7FCBCBCE75F}"/>
    <cellStyle name="Normal 2 2 2 2 5 3 2 3 2" xfId="14524" xr:uid="{331499AB-70FA-49C0-B9FB-4083A37F2538}"/>
    <cellStyle name="Normal 2 2 2 2 5 3 2 3 2 2" xfId="31284" xr:uid="{9308431F-4F73-44EC-854D-1F63A92FA8F8}"/>
    <cellStyle name="Normal 2 2 2 2 5 3 2 3 2 3" xfId="48043" xr:uid="{7E00E30A-C239-4991-928A-854C5E90BD01}"/>
    <cellStyle name="Normal 2 2 2 2 5 3 2 3 3" xfId="22904" xr:uid="{460F9ADB-0EBA-45F3-9627-2CA966875B5E}"/>
    <cellStyle name="Normal 2 2 2 2 5 3 2 3 4" xfId="39663" xr:uid="{F9EE55AD-6625-4DF5-BBA2-9ACFBB84AC38}"/>
    <cellStyle name="Normal 2 2 2 2 5 3 2 4" xfId="2880" xr:uid="{1CA24CB9-85D4-4D9A-9F4D-18E8C225FFB3}"/>
    <cellStyle name="Normal 2 2 2 2 5 3 2 4 2" xfId="11260" xr:uid="{E50A5934-D4AD-4602-A070-17594216604E}"/>
    <cellStyle name="Normal 2 2 2 2 5 3 2 4 2 2" xfId="28020" xr:uid="{F6C6A761-E113-493D-A895-5405510C8366}"/>
    <cellStyle name="Normal 2 2 2 2 5 3 2 4 2 3" xfId="44779" xr:uid="{30080DAA-9BC4-47BF-A553-47DBDCB3E3BC}"/>
    <cellStyle name="Normal 2 2 2 2 5 3 2 4 3" xfId="19640" xr:uid="{5BB0AB0A-140E-4D36-8E1C-8E39EDB17F06}"/>
    <cellStyle name="Normal 2 2 2 2 5 3 2 4 4" xfId="36399" xr:uid="{40ED81B8-8CF0-4143-AEE8-EBB9DC587528}"/>
    <cellStyle name="Normal 2 2 2 2 5 3 2 5" xfId="9457" xr:uid="{B3ABE85B-14FE-4E65-AE89-00A88238B681}"/>
    <cellStyle name="Normal 2 2 2 2 5 3 2 5 2" xfId="26217" xr:uid="{B7286A9A-32B1-434D-8CBA-11417F316DB8}"/>
    <cellStyle name="Normal 2 2 2 2 5 3 2 5 3" xfId="42976" xr:uid="{D72C408A-84C1-45A6-B703-A172A7625652}"/>
    <cellStyle name="Normal 2 2 2 2 5 3 2 6" xfId="17837" xr:uid="{A3A2FE3F-153E-4616-93EE-D6B0CB4FD04B}"/>
    <cellStyle name="Normal 2 2 2 2 5 3 2 7" xfId="34596" xr:uid="{9840A4F1-ACB8-4FA7-BB5E-7010C2711602}"/>
    <cellStyle name="Normal 2 2 2 2 5 3 3" xfId="1496" xr:uid="{9A1B234C-B127-45F9-9705-87CB15F1036B}"/>
    <cellStyle name="Normal 2 2 2 2 5 3 3 2" xfId="4885" xr:uid="{D77FC9A9-5E77-4BFC-A612-3E9DB421BEAF}"/>
    <cellStyle name="Normal 2 2 2 2 5 3 3 2 2" xfId="13265" xr:uid="{059E4EC6-4872-400B-844F-B5566416C7F4}"/>
    <cellStyle name="Normal 2 2 2 2 5 3 3 2 2 2" xfId="30025" xr:uid="{B72F01E5-1376-48FE-A59A-DDA80DD9688E}"/>
    <cellStyle name="Normal 2 2 2 2 5 3 3 2 2 3" xfId="46784" xr:uid="{EA4A9042-FB17-4E19-9298-4FA8288E6A1C}"/>
    <cellStyle name="Normal 2 2 2 2 5 3 3 2 3" xfId="21645" xr:uid="{42986125-0625-47CD-84F0-94E29EEFD4CE}"/>
    <cellStyle name="Normal 2 2 2 2 5 3 3 2 4" xfId="38404" xr:uid="{0335B234-C1F9-44D7-BD71-E236A6DC93EE}"/>
    <cellStyle name="Normal 2 2 2 2 5 3 3 3" xfId="6572" xr:uid="{06A3F745-41B9-4B3F-895D-BAC1F9018622}"/>
    <cellStyle name="Normal 2 2 2 2 5 3 3 3 2" xfId="14952" xr:uid="{D9BFC91A-FB1D-4776-9297-D7CF8FD36F04}"/>
    <cellStyle name="Normal 2 2 2 2 5 3 3 3 2 2" xfId="31712" xr:uid="{76D551FB-0B30-4BBD-AC54-0BE7234B52F3}"/>
    <cellStyle name="Normal 2 2 2 2 5 3 3 3 2 3" xfId="48471" xr:uid="{903484EF-C235-4026-8FD6-639D0A12FB19}"/>
    <cellStyle name="Normal 2 2 2 2 5 3 3 3 3" xfId="23332" xr:uid="{90EDEFE8-19B5-4A61-BE0F-733CC79B2FBE}"/>
    <cellStyle name="Normal 2 2 2 2 5 3 3 3 4" xfId="40091" xr:uid="{DCDCE1F7-9781-4A82-A2CE-6B7EC8248D56}"/>
    <cellStyle name="Normal 2 2 2 2 5 3 3 4" xfId="3308" xr:uid="{DC8A79B0-5729-418C-9C37-DB19D4CF2BC2}"/>
    <cellStyle name="Normal 2 2 2 2 5 3 3 4 2" xfId="11688" xr:uid="{ECA16FA6-5F7E-4E19-866E-FD102F2B07AE}"/>
    <cellStyle name="Normal 2 2 2 2 5 3 3 4 2 2" xfId="28448" xr:uid="{847D354A-A1EB-465D-BB37-8727B21AE74B}"/>
    <cellStyle name="Normal 2 2 2 2 5 3 3 4 2 3" xfId="45207" xr:uid="{2D91923C-4C55-46DF-8501-8632D5245C8A}"/>
    <cellStyle name="Normal 2 2 2 2 5 3 3 4 3" xfId="20068" xr:uid="{C99FC3EA-BF52-41E0-989C-86F0BF38DED2}"/>
    <cellStyle name="Normal 2 2 2 2 5 3 3 4 4" xfId="36827" xr:uid="{213B48CA-BCAB-4742-AD6B-AF63F3F8E5D9}"/>
    <cellStyle name="Normal 2 2 2 2 5 3 3 5" xfId="9885" xr:uid="{E7B951AA-5F22-42C1-853C-9F725FFA47FA}"/>
    <cellStyle name="Normal 2 2 2 2 5 3 3 5 2" xfId="26645" xr:uid="{B05B8C82-3AF2-49BE-9B18-FFEDBE7D30DB}"/>
    <cellStyle name="Normal 2 2 2 2 5 3 3 5 3" xfId="43404" xr:uid="{21AAA997-7A67-4745-9FF0-29863054CC2C}"/>
    <cellStyle name="Normal 2 2 2 2 5 3 3 6" xfId="18265" xr:uid="{AEDE44CA-9343-495F-83BF-E56F6820BDD3}"/>
    <cellStyle name="Normal 2 2 2 2 5 3 3 7" xfId="35024" xr:uid="{72E7BAA2-599D-4EC7-9E58-6676F163415F}"/>
    <cellStyle name="Normal 2 2 2 2 5 3 4" xfId="2017" xr:uid="{C73CEAE7-3918-4656-894E-6C1761A5216F}"/>
    <cellStyle name="Normal 2 2 2 2 5 3 4 2" xfId="5406" xr:uid="{1F022BB5-0EA3-49F3-A07E-08D99BCEEADB}"/>
    <cellStyle name="Normal 2 2 2 2 5 3 4 2 2" xfId="13786" xr:uid="{F6BFCAD4-D83D-4667-A1F1-7A122D88170C}"/>
    <cellStyle name="Normal 2 2 2 2 5 3 4 2 2 2" xfId="30546" xr:uid="{7955512E-4AFF-4CA4-B26E-9D60D950FA93}"/>
    <cellStyle name="Normal 2 2 2 2 5 3 4 2 2 3" xfId="47305" xr:uid="{2666A51C-B6B5-41E6-A5DD-D782BF8112D9}"/>
    <cellStyle name="Normal 2 2 2 2 5 3 4 2 3" xfId="22166" xr:uid="{DCA3B898-2B04-4B0C-8079-098F7FC5AD86}"/>
    <cellStyle name="Normal 2 2 2 2 5 3 4 2 4" xfId="38925" xr:uid="{2E29197C-B228-42D6-BD49-EA7E7B529EA8}"/>
    <cellStyle name="Normal 2 2 2 2 5 3 4 3" xfId="7093" xr:uid="{C3C1D2F9-9F99-4161-B0B9-1DBDBDC827B1}"/>
    <cellStyle name="Normal 2 2 2 2 5 3 4 3 2" xfId="15473" xr:uid="{DBC291B5-CD56-4805-A610-82F481646266}"/>
    <cellStyle name="Normal 2 2 2 2 5 3 4 3 2 2" xfId="32233" xr:uid="{D863971F-CC2C-4E0F-AB9B-638C16F66AAC}"/>
    <cellStyle name="Normal 2 2 2 2 5 3 4 3 2 3" xfId="48992" xr:uid="{4E3BB3D4-8184-4FC0-BFFE-89F07A9D0AB0}"/>
    <cellStyle name="Normal 2 2 2 2 5 3 4 3 3" xfId="23853" xr:uid="{01D9CA1E-945A-4B9C-B1A4-9982C80D286B}"/>
    <cellStyle name="Normal 2 2 2 2 5 3 4 3 4" xfId="40612" xr:uid="{67AC5FF4-77E5-4F40-B769-DAD2CD0AE860}"/>
    <cellStyle name="Normal 2 2 2 2 5 3 4 4" xfId="3716" xr:uid="{9B934E8A-C820-44F3-BE5F-1D1004478CBD}"/>
    <cellStyle name="Normal 2 2 2 2 5 3 4 4 2" xfId="12096" xr:uid="{CE01F61A-EF6D-464E-AC60-6FB3FD20FE75}"/>
    <cellStyle name="Normal 2 2 2 2 5 3 4 4 2 2" xfId="28856" xr:uid="{DC3B44BC-8950-4156-9B17-7B3992E3F344}"/>
    <cellStyle name="Normal 2 2 2 2 5 3 4 4 2 3" xfId="45615" xr:uid="{D3F1CB56-A715-413A-BBD4-002B2A69C7FF}"/>
    <cellStyle name="Normal 2 2 2 2 5 3 4 4 3" xfId="20476" xr:uid="{2C947D83-0552-40B1-B8E4-951BF8116CB8}"/>
    <cellStyle name="Normal 2 2 2 2 5 3 4 4 4" xfId="37235" xr:uid="{7A254149-0BC4-492D-BDF6-602EEB9850BD}"/>
    <cellStyle name="Normal 2 2 2 2 5 3 4 5" xfId="10406" xr:uid="{11F197D1-6A17-41E3-9161-1FDECC54729E}"/>
    <cellStyle name="Normal 2 2 2 2 5 3 4 5 2" xfId="27166" xr:uid="{AC4236C2-9C9F-475C-B517-CAF47C7024E8}"/>
    <cellStyle name="Normal 2 2 2 2 5 3 4 5 3" xfId="43925" xr:uid="{BFDFD597-89B0-4117-80FC-58D2FE6969B1}"/>
    <cellStyle name="Normal 2 2 2 2 5 3 4 6" xfId="18786" xr:uid="{1A21D0AD-52F3-4184-9BED-8D64EADE8CBE}"/>
    <cellStyle name="Normal 2 2 2 2 5 3 4 7" xfId="35545" xr:uid="{345746A2-3597-46A0-AF8C-A3908373ACEE}"/>
    <cellStyle name="Normal 2 2 2 2 5 3 5" xfId="4136" xr:uid="{D73A6F3E-445D-4ED6-A3C0-26F3058915D7}"/>
    <cellStyle name="Normal 2 2 2 2 5 3 5 2" xfId="12516" xr:uid="{CB7BF406-6DF4-4D09-A7E2-FFF1AE412A24}"/>
    <cellStyle name="Normal 2 2 2 2 5 3 5 2 2" xfId="29276" xr:uid="{BD12FD0A-ADFC-47BA-8DA5-042156411151}"/>
    <cellStyle name="Normal 2 2 2 2 5 3 5 2 3" xfId="46035" xr:uid="{EBC170C1-C1B7-4BB3-A7EC-698F19CD04FD}"/>
    <cellStyle name="Normal 2 2 2 2 5 3 5 3" xfId="20896" xr:uid="{86BD051E-006B-451D-9783-FF7B16781B11}"/>
    <cellStyle name="Normal 2 2 2 2 5 3 5 4" xfId="37655" xr:uid="{9781D776-C384-436E-AEFA-C546D77E79C5}"/>
    <cellStyle name="Normal 2 2 2 2 5 3 6" xfId="5718" xr:uid="{C7622B61-64A6-4416-A8A0-C8D402277125}"/>
    <cellStyle name="Normal 2 2 2 2 5 3 6 2" xfId="14098" xr:uid="{4824830A-F2E3-46DD-A8E8-3EC99080073B}"/>
    <cellStyle name="Normal 2 2 2 2 5 3 6 2 2" xfId="30858" xr:uid="{13FDCA63-A0D8-4201-A3C3-7BF2BF100887}"/>
    <cellStyle name="Normal 2 2 2 2 5 3 6 2 3" xfId="47617" xr:uid="{B7491BD6-15E2-478E-B869-6A69F1DB7C5B}"/>
    <cellStyle name="Normal 2 2 2 2 5 3 6 3" xfId="22478" xr:uid="{C46A4AF9-62CE-43D7-ACFC-139522CE3E50}"/>
    <cellStyle name="Normal 2 2 2 2 5 3 6 4" xfId="39237" xr:uid="{B02C8708-673D-4B54-A011-7F3572DC95AF}"/>
    <cellStyle name="Normal 2 2 2 2 5 3 7" xfId="7499" xr:uid="{9B6CEAAD-A596-40A2-AE5D-3DC5C15AA882}"/>
    <cellStyle name="Normal 2 2 2 2 5 3 7 2" xfId="15879" xr:uid="{520046BE-5F6F-46C4-A719-0BEA711DAC5B}"/>
    <cellStyle name="Normal 2 2 2 2 5 3 7 2 2" xfId="32639" xr:uid="{10E04CB4-B7A3-45C1-832A-5AF73955114B}"/>
    <cellStyle name="Normal 2 2 2 2 5 3 7 2 3" xfId="49398" xr:uid="{1DDEA2F3-8825-4BBC-924D-9438D538C4AE}"/>
    <cellStyle name="Normal 2 2 2 2 5 3 7 3" xfId="24259" xr:uid="{D782B349-ED95-43CB-9174-455791F96984}"/>
    <cellStyle name="Normal 2 2 2 2 5 3 7 4" xfId="41018" xr:uid="{ABA946A5-33AF-48BE-8683-7454AF7248E0}"/>
    <cellStyle name="Normal 2 2 2 2 5 3 8" xfId="7905" xr:uid="{54179AB0-1925-46A6-AC92-88AE58F854AA}"/>
    <cellStyle name="Normal 2 2 2 2 5 3 8 2" xfId="16285" xr:uid="{022316E4-C655-4804-8DC6-B26D2331A8E4}"/>
    <cellStyle name="Normal 2 2 2 2 5 3 8 2 2" xfId="33045" xr:uid="{ACE377D8-480A-49E2-808C-9421517C085E}"/>
    <cellStyle name="Normal 2 2 2 2 5 3 8 2 3" xfId="49804" xr:uid="{6B7B9D39-A22E-4F19-9B00-55E82C5F6CE7}"/>
    <cellStyle name="Normal 2 2 2 2 5 3 8 3" xfId="24665" xr:uid="{4F3F5E50-5D1B-4F75-BB27-437AFF9E63C6}"/>
    <cellStyle name="Normal 2 2 2 2 5 3 8 4" xfId="41424" xr:uid="{10E05C49-6FB4-46D2-8711-4441791C8BE6}"/>
    <cellStyle name="Normal 2 2 2 2 5 3 9" xfId="8311" xr:uid="{97EE454C-112A-40AA-9BE7-7FF27D111D65}"/>
    <cellStyle name="Normal 2 2 2 2 5 3 9 2" xfId="16691" xr:uid="{F3E6DF48-DB9C-4A35-BD36-18A746422F8D}"/>
    <cellStyle name="Normal 2 2 2 2 5 3 9 2 2" xfId="33451" xr:uid="{25B2B6A5-9793-4010-BD72-9AF8731D48AD}"/>
    <cellStyle name="Normal 2 2 2 2 5 3 9 2 3" xfId="50210" xr:uid="{306CDAA8-666A-4199-977F-F375F43DF8D4}"/>
    <cellStyle name="Normal 2 2 2 2 5 3 9 3" xfId="25071" xr:uid="{08C001FA-38AF-4AD2-B26E-F3BAFA496A40}"/>
    <cellStyle name="Normal 2 2 2 2 5 3 9 4" xfId="41830" xr:uid="{AFCE2AEF-BDB8-45CC-8FC7-DE884F6663F7}"/>
    <cellStyle name="Normal 2 2 2 2 5 4" xfId="1060" xr:uid="{EE64A64F-DE57-4DEF-8EFC-F7B471BCF94D}"/>
    <cellStyle name="Normal 2 2 2 2 5 4 2" xfId="4455" xr:uid="{1955AAD6-6E41-4259-A45F-9141A478A298}"/>
    <cellStyle name="Normal 2 2 2 2 5 4 2 2" xfId="12835" xr:uid="{16717CF3-CB0E-48AF-AC5F-67340043937E}"/>
    <cellStyle name="Normal 2 2 2 2 5 4 2 2 2" xfId="29595" xr:uid="{B4FBCAAB-BDE9-469F-AB69-6C3306A8292A}"/>
    <cellStyle name="Normal 2 2 2 2 5 4 2 2 3" xfId="46354" xr:uid="{1ABED563-C4C4-437A-ADE3-64A37E224D00}"/>
    <cellStyle name="Normal 2 2 2 2 5 4 2 3" xfId="21215" xr:uid="{520224EC-ED67-4B20-A210-6825E317F468}"/>
    <cellStyle name="Normal 2 2 2 2 5 4 2 4" xfId="37974" xr:uid="{A865CE19-1D59-4F8B-8013-2C208AF21774}"/>
    <cellStyle name="Normal 2 2 2 2 5 4 3" xfId="6142" xr:uid="{22E4C2AB-8D53-45AA-A10F-1E36DD5B2088}"/>
    <cellStyle name="Normal 2 2 2 2 5 4 3 2" xfId="14522" xr:uid="{30151A32-5FB1-447D-9791-BB43E2A9838B}"/>
    <cellStyle name="Normal 2 2 2 2 5 4 3 2 2" xfId="31282" xr:uid="{672A555C-5AA3-4645-9B50-906B8F1DD3AE}"/>
    <cellStyle name="Normal 2 2 2 2 5 4 3 2 3" xfId="48041" xr:uid="{6B4F1701-59E3-4D2F-B4AB-A963737AFF02}"/>
    <cellStyle name="Normal 2 2 2 2 5 4 3 3" xfId="22902" xr:uid="{CB4C5D5A-DA6C-43AF-AD19-FD3B094CFF0D}"/>
    <cellStyle name="Normal 2 2 2 2 5 4 3 4" xfId="39661" xr:uid="{C9ED32EB-5194-4849-B777-DE9521C1C075}"/>
    <cellStyle name="Normal 2 2 2 2 5 4 4" xfId="2878" xr:uid="{FAEF22FF-C806-49D4-9374-C9C8C6CF4340}"/>
    <cellStyle name="Normal 2 2 2 2 5 4 4 2" xfId="11258" xr:uid="{DEFA5BBB-F09C-431D-AA71-7CC845D3173B}"/>
    <cellStyle name="Normal 2 2 2 2 5 4 4 2 2" xfId="28018" xr:uid="{868B323B-9E25-4932-8801-A763783ABC37}"/>
    <cellStyle name="Normal 2 2 2 2 5 4 4 2 3" xfId="44777" xr:uid="{8942CBFC-F8C3-43C9-B95E-CE9EC9D9555B}"/>
    <cellStyle name="Normal 2 2 2 2 5 4 4 3" xfId="19638" xr:uid="{28703222-44C8-47BE-AFEC-E6776B5B51B4}"/>
    <cellStyle name="Normal 2 2 2 2 5 4 4 4" xfId="36397" xr:uid="{7C4D623C-B5B3-42F5-A9E2-F9BEA2DCD04A}"/>
    <cellStyle name="Normal 2 2 2 2 5 4 5" xfId="9455" xr:uid="{307ADB8D-D0A2-4AFF-8789-8601AD3502C7}"/>
    <cellStyle name="Normal 2 2 2 2 5 4 5 2" xfId="26215" xr:uid="{D7F6D37C-DC01-4DC6-9101-A2E62414DDA6}"/>
    <cellStyle name="Normal 2 2 2 2 5 4 5 3" xfId="42974" xr:uid="{BD875E66-F30F-46C2-986F-8351B7B3080A}"/>
    <cellStyle name="Normal 2 2 2 2 5 4 6" xfId="17835" xr:uid="{A4BD24C9-C470-43E6-836F-660D2C8BBD57}"/>
    <cellStyle name="Normal 2 2 2 2 5 4 7" xfId="34594" xr:uid="{CBC8C0FF-9F44-4490-BD99-476FE5B17308}"/>
    <cellStyle name="Normal 2 2 2 2 5 5" xfId="1494" xr:uid="{5E5178D1-E78A-4784-B785-706FB5F423CC}"/>
    <cellStyle name="Normal 2 2 2 2 5 5 2" xfId="4883" xr:uid="{B544DD7C-C6C7-4678-AF28-55711185C659}"/>
    <cellStyle name="Normal 2 2 2 2 5 5 2 2" xfId="13263" xr:uid="{DC993316-F4B9-44C5-8F1A-066C0FF9796C}"/>
    <cellStyle name="Normal 2 2 2 2 5 5 2 2 2" xfId="30023" xr:uid="{4BFE52B1-2B8E-444C-9726-D9D92EC84A57}"/>
    <cellStyle name="Normal 2 2 2 2 5 5 2 2 3" xfId="46782" xr:uid="{CE2BC082-BBB2-4D16-B490-B7148A47144D}"/>
    <cellStyle name="Normal 2 2 2 2 5 5 2 3" xfId="21643" xr:uid="{15DDC77F-7AFB-4E26-AFF1-A3C059AF29BE}"/>
    <cellStyle name="Normal 2 2 2 2 5 5 2 4" xfId="38402" xr:uid="{94A5E65B-CC32-4029-88A6-24991A9A6B09}"/>
    <cellStyle name="Normal 2 2 2 2 5 5 3" xfId="6570" xr:uid="{AC020AD5-7564-45FF-A8A7-E9109C7A823F}"/>
    <cellStyle name="Normal 2 2 2 2 5 5 3 2" xfId="14950" xr:uid="{270F5680-A29A-46F4-9375-85BE553105A4}"/>
    <cellStyle name="Normal 2 2 2 2 5 5 3 2 2" xfId="31710" xr:uid="{AAA6DDEA-8D11-4186-A866-843196B4C34C}"/>
    <cellStyle name="Normal 2 2 2 2 5 5 3 2 3" xfId="48469" xr:uid="{CDF9573C-6AAF-4AE2-815B-7AC9E28F1522}"/>
    <cellStyle name="Normal 2 2 2 2 5 5 3 3" xfId="23330" xr:uid="{0C9ECDC6-37C0-48AF-A4EA-42F77F24BE05}"/>
    <cellStyle name="Normal 2 2 2 2 5 5 3 4" xfId="40089" xr:uid="{1BDD4F60-A629-4400-AD0C-510585D7F687}"/>
    <cellStyle name="Normal 2 2 2 2 5 5 4" xfId="3306" xr:uid="{695A0095-03E2-4884-AC4D-61CBE62577D8}"/>
    <cellStyle name="Normal 2 2 2 2 5 5 4 2" xfId="11686" xr:uid="{AA2B08BD-4E52-46BA-918D-23DB9271589C}"/>
    <cellStyle name="Normal 2 2 2 2 5 5 4 2 2" xfId="28446" xr:uid="{DFD49B5C-DD55-46A1-9379-00717B8361C6}"/>
    <cellStyle name="Normal 2 2 2 2 5 5 4 2 3" xfId="45205" xr:uid="{49CE8EB4-287C-4694-AE98-4B705B25476E}"/>
    <cellStyle name="Normal 2 2 2 2 5 5 4 3" xfId="20066" xr:uid="{2CC4F3F4-AAA3-426D-B3F4-BE43D4F17D84}"/>
    <cellStyle name="Normal 2 2 2 2 5 5 4 4" xfId="36825" xr:uid="{0C42A16D-CD84-4D42-A5C7-DEB7D057DC27}"/>
    <cellStyle name="Normal 2 2 2 2 5 5 5" xfId="9883" xr:uid="{3D7330D7-4326-49DF-927C-5B2DA7455628}"/>
    <cellStyle name="Normal 2 2 2 2 5 5 5 2" xfId="26643" xr:uid="{5FA8955A-3F95-401F-811D-8581AC315F85}"/>
    <cellStyle name="Normal 2 2 2 2 5 5 5 3" xfId="43402" xr:uid="{E4D37185-E180-4245-8BDF-6B0605BC6A91}"/>
    <cellStyle name="Normal 2 2 2 2 5 5 6" xfId="18263" xr:uid="{FA6CDD19-DE88-497A-BBBF-B4934B5CA595}"/>
    <cellStyle name="Normal 2 2 2 2 5 5 7" xfId="35022" xr:uid="{373AF7E4-C75A-4265-B9D4-45520239C885}"/>
    <cellStyle name="Normal 2 2 2 2 5 6" xfId="1746" xr:uid="{F76BFDC6-D119-445B-9C54-F3FF258EC145}"/>
    <cellStyle name="Normal 2 2 2 2 5 6 2" xfId="5135" xr:uid="{AA230180-FE7F-4218-9893-355C7E201602}"/>
    <cellStyle name="Normal 2 2 2 2 5 6 2 2" xfId="13515" xr:uid="{A2398675-9394-4087-887B-9BFB83DF08C0}"/>
    <cellStyle name="Normal 2 2 2 2 5 6 2 2 2" xfId="30275" xr:uid="{E18D399C-6730-4EE0-B42C-3A91D8852DF8}"/>
    <cellStyle name="Normal 2 2 2 2 5 6 2 2 3" xfId="47034" xr:uid="{3CE549D1-804A-4FCD-BED4-D141C08B95C7}"/>
    <cellStyle name="Normal 2 2 2 2 5 6 2 3" xfId="21895" xr:uid="{D4AD1794-D79C-4A21-A9CE-00139C26AD7A}"/>
    <cellStyle name="Normal 2 2 2 2 5 6 2 4" xfId="38654" xr:uid="{320A1F73-09F8-4683-9A3F-7DBEBDA1C8C8}"/>
    <cellStyle name="Normal 2 2 2 2 5 6 3" xfId="6822" xr:uid="{78B9BCAB-B8CC-4282-8719-ED544AD5688B}"/>
    <cellStyle name="Normal 2 2 2 2 5 6 3 2" xfId="15202" xr:uid="{90D2C552-3C7F-46BE-AF32-BFBE6344378A}"/>
    <cellStyle name="Normal 2 2 2 2 5 6 3 2 2" xfId="31962" xr:uid="{3C03143A-513D-4463-B30B-852109808844}"/>
    <cellStyle name="Normal 2 2 2 2 5 6 3 2 3" xfId="48721" xr:uid="{5BEB8E4B-37CC-433E-800F-72919736387A}"/>
    <cellStyle name="Normal 2 2 2 2 5 6 3 3" xfId="23582" xr:uid="{BD8B29A5-0164-4CC5-A0F7-F321880802DB}"/>
    <cellStyle name="Normal 2 2 2 2 5 6 3 4" xfId="40341" xr:uid="{71AC2C2D-CB1E-4BB1-90C6-2DEDD4610F96}"/>
    <cellStyle name="Normal 2 2 2 2 5 6 4" xfId="2450" xr:uid="{495BC2A1-B444-49E6-BE8D-8857E6B60F64}"/>
    <cellStyle name="Normal 2 2 2 2 5 6 4 2" xfId="10832" xr:uid="{B5C046D4-51F3-4462-9B03-89C8EEFC9441}"/>
    <cellStyle name="Normal 2 2 2 2 5 6 4 2 2" xfId="27592" xr:uid="{9C24D903-8D68-4E5A-9A65-CA2FFB316B31}"/>
    <cellStyle name="Normal 2 2 2 2 5 6 4 2 3" xfId="44351" xr:uid="{AC975CEA-9DD3-4CCE-B9F4-D4EE503653CE}"/>
    <cellStyle name="Normal 2 2 2 2 5 6 4 3" xfId="19212" xr:uid="{FA2214AF-41F1-46EA-AE45-343AA77B68D3}"/>
    <cellStyle name="Normal 2 2 2 2 5 6 4 4" xfId="35971" xr:uid="{A5E5F053-C1F1-49BE-A74F-5313DD4A75DC}"/>
    <cellStyle name="Normal 2 2 2 2 5 6 5" xfId="10135" xr:uid="{248C3F00-BB29-4658-BF05-AB59AB8ACC39}"/>
    <cellStyle name="Normal 2 2 2 2 5 6 5 2" xfId="26895" xr:uid="{84784FA9-2624-4393-A1D8-12FBA37C0F8D}"/>
    <cellStyle name="Normal 2 2 2 2 5 6 5 3" xfId="43654" xr:uid="{0255B1DB-5FF0-4C1C-916F-6615AA94E8D3}"/>
    <cellStyle name="Normal 2 2 2 2 5 6 6" xfId="18515" xr:uid="{9311C545-CA83-4050-A4C8-0FC920D456A2}"/>
    <cellStyle name="Normal 2 2 2 2 5 6 7" xfId="35274" xr:uid="{01A43699-0C5E-46F8-A64C-458735B097F0}"/>
    <cellStyle name="Normal 2 2 2 2 5 7" xfId="3865" xr:uid="{7271ED9E-EF7B-47CF-9F1C-46D12500F401}"/>
    <cellStyle name="Normal 2 2 2 2 5 7 2" xfId="12245" xr:uid="{619A4BA9-1D48-49FB-ADC1-3BBC4B5C9EF0}"/>
    <cellStyle name="Normal 2 2 2 2 5 7 2 2" xfId="29005" xr:uid="{2DD69FB5-2628-42C1-8D40-EB923668001C}"/>
    <cellStyle name="Normal 2 2 2 2 5 7 2 3" xfId="45764" xr:uid="{36A2A9EA-8B6B-48F1-B441-AC9328037A89}"/>
    <cellStyle name="Normal 2 2 2 2 5 7 3" xfId="20625" xr:uid="{95E20969-88C0-4340-A64A-8DA256EF8203}"/>
    <cellStyle name="Normal 2 2 2 2 5 7 4" xfId="37384" xr:uid="{A6000C15-2AF6-490A-AD82-06ED905EF22B}"/>
    <cellStyle name="Normal 2 2 2 2 5 8" xfId="5716" xr:uid="{5E389114-6A48-4E90-A8CE-AB4621B1400A}"/>
    <cellStyle name="Normal 2 2 2 2 5 8 2" xfId="14096" xr:uid="{C4216E37-2F88-4DB7-BA5B-F13CB136B512}"/>
    <cellStyle name="Normal 2 2 2 2 5 8 2 2" xfId="30856" xr:uid="{48CC05AE-96B7-4BF4-B0AE-899D48BABA16}"/>
    <cellStyle name="Normal 2 2 2 2 5 8 2 3" xfId="47615" xr:uid="{64E94741-9145-4A8B-9E26-CF1A335E1AB8}"/>
    <cellStyle name="Normal 2 2 2 2 5 8 3" xfId="22476" xr:uid="{751E4305-B8BB-43F5-9CEB-1D257706B8C1}"/>
    <cellStyle name="Normal 2 2 2 2 5 8 4" xfId="39235" xr:uid="{32AB7402-C637-4298-8FB6-0008A32AC7A2}"/>
    <cellStyle name="Normal 2 2 2 2 5 9" xfId="7228" xr:uid="{262B7530-C539-4431-991D-A741DAC1C949}"/>
    <cellStyle name="Normal 2 2 2 2 5 9 2" xfId="15608" xr:uid="{FAA990F1-C001-4EB7-BE92-70569505021C}"/>
    <cellStyle name="Normal 2 2 2 2 5 9 2 2" xfId="32368" xr:uid="{D2B26A00-90BF-478E-9F1E-88B86BB58880}"/>
    <cellStyle name="Normal 2 2 2 2 5 9 2 3" xfId="49127" xr:uid="{3DACC641-7D12-44DD-8989-8C3C0217CD35}"/>
    <cellStyle name="Normal 2 2 2 2 5 9 3" xfId="23988" xr:uid="{9A6AC99F-4A91-46C8-9097-13C271F3A111}"/>
    <cellStyle name="Normal 2 2 2 2 5 9 4" xfId="40747" xr:uid="{1628A26B-3843-4FF8-9EDC-3201779EFED8}"/>
    <cellStyle name="Normal 2 2 2 2 6" xfId="621" xr:uid="{42D5FAC6-E7E7-4D79-B3AF-BA165BBEC74F}"/>
    <cellStyle name="Normal 2 2 2 2 6 10" xfId="8532" xr:uid="{D9B52A88-88A9-4E55-81E0-1F52F4AC3828}"/>
    <cellStyle name="Normal 2 2 2 2 6 10 2" xfId="16912" xr:uid="{5E064BD1-582B-4D38-B838-62D4C2D1BDBE}"/>
    <cellStyle name="Normal 2 2 2 2 6 10 2 2" xfId="33672" xr:uid="{1FA80A55-D83B-407B-B39E-264F597EB8A3}"/>
    <cellStyle name="Normal 2 2 2 2 6 10 2 3" xfId="50431" xr:uid="{AAE7049F-439A-44B4-A835-21482AFD57EF}"/>
    <cellStyle name="Normal 2 2 2 2 6 10 3" xfId="25292" xr:uid="{A7B80C0F-F6F3-4AEC-93D3-91A89836A440}"/>
    <cellStyle name="Normal 2 2 2 2 6 10 4" xfId="42051" xr:uid="{7BF01EC1-27EC-4ABE-972B-B75D2F16FBE5}"/>
    <cellStyle name="Normal 2 2 2 2 6 11" xfId="2453" xr:uid="{73FFCCB1-A44E-4F54-B491-911822D13B67}"/>
    <cellStyle name="Normal 2 2 2 2 6 11 2" xfId="10835" xr:uid="{99A678A1-5521-4ADF-A63F-414419DB206A}"/>
    <cellStyle name="Normal 2 2 2 2 6 11 2 2" xfId="27595" xr:uid="{7EDF557D-4DB7-489D-98D9-D3A0B46FC387}"/>
    <cellStyle name="Normal 2 2 2 2 6 11 2 3" xfId="44354" xr:uid="{C7C10341-51A7-4D5D-AA0A-47F117432E03}"/>
    <cellStyle name="Normal 2 2 2 2 6 11 3" xfId="19215" xr:uid="{997F9254-52A0-4D92-9A76-28A7ADA8ADEF}"/>
    <cellStyle name="Normal 2 2 2 2 6 11 4" xfId="35974" xr:uid="{9E9C7CE1-D0CE-4021-82AE-8203A759E0BB}"/>
    <cellStyle name="Normal 2 2 2 2 6 12" xfId="9032" xr:uid="{9781A556-6A6F-4544-9C8E-52D2A6779F7C}"/>
    <cellStyle name="Normal 2 2 2 2 6 12 2" xfId="25792" xr:uid="{DFA9CFBA-B1D5-44CB-A335-F3B2F26DAF2A}"/>
    <cellStyle name="Normal 2 2 2 2 6 12 3" xfId="42551" xr:uid="{25E8E031-122B-4795-ACBB-BCDDEBE325EB}"/>
    <cellStyle name="Normal 2 2 2 2 6 13" xfId="17412" xr:uid="{E45DA5BD-F80F-43F0-A832-983BDAA4F1D6}"/>
    <cellStyle name="Normal 2 2 2 2 6 14" xfId="34171" xr:uid="{80049217-0F09-4363-8BA1-9FE5B14B0C20}"/>
    <cellStyle name="Normal 2 2 2 2 6 2" xfId="1063" xr:uid="{A9CBF8A2-3214-4F1A-992E-0EC4B606F9C9}"/>
    <cellStyle name="Normal 2 2 2 2 6 2 2" xfId="4458" xr:uid="{469C1436-E123-49F4-9D30-2DECC0B8B037}"/>
    <cellStyle name="Normal 2 2 2 2 6 2 2 2" xfId="12838" xr:uid="{F46A11BF-14A1-4FA9-8689-DFB700D02E38}"/>
    <cellStyle name="Normal 2 2 2 2 6 2 2 2 2" xfId="29598" xr:uid="{3C5DA53E-18BB-4775-ABB0-74B8DAD8AA29}"/>
    <cellStyle name="Normal 2 2 2 2 6 2 2 2 3" xfId="46357" xr:uid="{44FFB246-6314-460D-99F8-F65F1E3A9FAD}"/>
    <cellStyle name="Normal 2 2 2 2 6 2 2 3" xfId="21218" xr:uid="{E6ED32DE-E164-410C-BF73-F688E4AB369E}"/>
    <cellStyle name="Normal 2 2 2 2 6 2 2 4" xfId="37977" xr:uid="{2785E599-0467-4A36-B4D7-6381C5919E8E}"/>
    <cellStyle name="Normal 2 2 2 2 6 2 3" xfId="6145" xr:uid="{4E6732EC-48AE-4B62-A37E-71998051D8A1}"/>
    <cellStyle name="Normal 2 2 2 2 6 2 3 2" xfId="14525" xr:uid="{3218341E-F83C-4799-B9EA-DB6FFABF44C0}"/>
    <cellStyle name="Normal 2 2 2 2 6 2 3 2 2" xfId="31285" xr:uid="{66253BBD-56E6-443B-9D5C-7C030DA4B3DF}"/>
    <cellStyle name="Normal 2 2 2 2 6 2 3 2 3" xfId="48044" xr:uid="{68C5D762-FF4D-47EC-AE22-F9FDBE5E7D8E}"/>
    <cellStyle name="Normal 2 2 2 2 6 2 3 3" xfId="22905" xr:uid="{5864CF96-A00A-48E8-8E06-0CE3B6E899A6}"/>
    <cellStyle name="Normal 2 2 2 2 6 2 3 4" xfId="39664" xr:uid="{22EFDB48-9F08-4D56-98FE-5DB3FCDD75E1}"/>
    <cellStyle name="Normal 2 2 2 2 6 2 4" xfId="2881" xr:uid="{8790A522-06A8-4AE6-B13F-BAD4611F19FA}"/>
    <cellStyle name="Normal 2 2 2 2 6 2 4 2" xfId="11261" xr:uid="{43608FA4-858E-4E2D-A701-F543C4F93237}"/>
    <cellStyle name="Normal 2 2 2 2 6 2 4 2 2" xfId="28021" xr:uid="{BC716443-F332-4D7D-8ABC-AD312B1B6560}"/>
    <cellStyle name="Normal 2 2 2 2 6 2 4 2 3" xfId="44780" xr:uid="{0E14FC6F-F3BC-4DBD-92D1-F2C9A9F0C6B1}"/>
    <cellStyle name="Normal 2 2 2 2 6 2 4 3" xfId="19641" xr:uid="{E5408C5C-C5CF-4644-9DAA-90E2CF9D48FE}"/>
    <cellStyle name="Normal 2 2 2 2 6 2 4 4" xfId="36400" xr:uid="{B50A901D-9E12-4EA9-B842-46E000D71012}"/>
    <cellStyle name="Normal 2 2 2 2 6 2 5" xfId="9458" xr:uid="{3B7FBD46-0E06-4D73-B82D-BB3CDCE8AB4C}"/>
    <cellStyle name="Normal 2 2 2 2 6 2 5 2" xfId="26218" xr:uid="{A63DEF7F-B213-44E5-B492-60C1B05B4A39}"/>
    <cellStyle name="Normal 2 2 2 2 6 2 5 3" xfId="42977" xr:uid="{454A450B-FAA8-463D-8E4E-00E7121CB8F7}"/>
    <cellStyle name="Normal 2 2 2 2 6 2 6" xfId="17838" xr:uid="{1BB23293-3C6F-495B-B224-B083C3368DBF}"/>
    <cellStyle name="Normal 2 2 2 2 6 2 7" xfId="34597" xr:uid="{7A187EDC-0C3A-4CC6-9C22-A60D25AFBB7F}"/>
    <cellStyle name="Normal 2 2 2 2 6 3" xfId="1497" xr:uid="{E9BB5980-6DCA-479E-8DE9-3CB0E2670D16}"/>
    <cellStyle name="Normal 2 2 2 2 6 3 2" xfId="4886" xr:uid="{578EC5A1-93A8-4F6E-A8C0-53A8E041BDB0}"/>
    <cellStyle name="Normal 2 2 2 2 6 3 2 2" xfId="13266" xr:uid="{8BB0F5D5-E1C3-4286-8ECA-10A1633098F8}"/>
    <cellStyle name="Normal 2 2 2 2 6 3 2 2 2" xfId="30026" xr:uid="{ACDCE42C-FC7B-4FB6-B9D3-723C13E2D795}"/>
    <cellStyle name="Normal 2 2 2 2 6 3 2 2 3" xfId="46785" xr:uid="{548E9C96-C343-4320-97ED-4340DCA81FC9}"/>
    <cellStyle name="Normal 2 2 2 2 6 3 2 3" xfId="21646" xr:uid="{8FA70CA1-DACC-421E-8322-1FCC6373AE44}"/>
    <cellStyle name="Normal 2 2 2 2 6 3 2 4" xfId="38405" xr:uid="{3198E51F-08BE-4436-9D48-43635ACB395C}"/>
    <cellStyle name="Normal 2 2 2 2 6 3 3" xfId="6573" xr:uid="{686592B7-15DF-4912-A3E0-9933630E05FD}"/>
    <cellStyle name="Normal 2 2 2 2 6 3 3 2" xfId="14953" xr:uid="{72135D0F-1FEC-4C28-899A-270CC1B33EDC}"/>
    <cellStyle name="Normal 2 2 2 2 6 3 3 2 2" xfId="31713" xr:uid="{1CF4EBFD-4D2A-4560-B2A0-DDAFE1A3B8ED}"/>
    <cellStyle name="Normal 2 2 2 2 6 3 3 2 3" xfId="48472" xr:uid="{6C65F18C-0506-41E0-B807-4040F62DDF39}"/>
    <cellStyle name="Normal 2 2 2 2 6 3 3 3" xfId="23333" xr:uid="{475C825B-C0C1-4D46-A7BD-AB3331535CAA}"/>
    <cellStyle name="Normal 2 2 2 2 6 3 3 4" xfId="40092" xr:uid="{EF68BAE1-54A7-49EB-9E1A-02964C90B883}"/>
    <cellStyle name="Normal 2 2 2 2 6 3 4" xfId="3309" xr:uid="{96653943-0F36-4ED1-8768-F501B43D3F92}"/>
    <cellStyle name="Normal 2 2 2 2 6 3 4 2" xfId="11689" xr:uid="{1611FB4C-1ED6-45F6-9B84-E0143C16DF3F}"/>
    <cellStyle name="Normal 2 2 2 2 6 3 4 2 2" xfId="28449" xr:uid="{CF471C0F-4EDF-49FC-833A-8E219EFD3AEF}"/>
    <cellStyle name="Normal 2 2 2 2 6 3 4 2 3" xfId="45208" xr:uid="{3E3D9ADF-A9DD-40AB-946F-47001A196E93}"/>
    <cellStyle name="Normal 2 2 2 2 6 3 4 3" xfId="20069" xr:uid="{34B6940E-4CFA-4B39-A356-6FB2F051FB2A}"/>
    <cellStyle name="Normal 2 2 2 2 6 3 4 4" xfId="36828" xr:uid="{5D9ACE70-596E-4754-9C97-C3C8B367690F}"/>
    <cellStyle name="Normal 2 2 2 2 6 3 5" xfId="9886" xr:uid="{C7D5A378-064B-4331-B348-71CA392A14B2}"/>
    <cellStyle name="Normal 2 2 2 2 6 3 5 2" xfId="26646" xr:uid="{2D5FCFF9-3388-40C4-BE9C-84ED6CF5DA12}"/>
    <cellStyle name="Normal 2 2 2 2 6 3 5 3" xfId="43405" xr:uid="{3AB95567-0119-40F6-8525-2347AE6CB7D1}"/>
    <cellStyle name="Normal 2 2 2 2 6 3 6" xfId="18266" xr:uid="{037F3431-61B0-45A4-8E8F-D6FA25F64DE0}"/>
    <cellStyle name="Normal 2 2 2 2 6 3 7" xfId="35025" xr:uid="{EA35E63A-5415-463B-A316-AEB3795DF263}"/>
    <cellStyle name="Normal 2 2 2 2 6 4" xfId="1832" xr:uid="{60D2A269-2834-4D54-B295-B00D91B89C9C}"/>
    <cellStyle name="Normal 2 2 2 2 6 4 2" xfId="5221" xr:uid="{3E79C99D-9D82-431B-B9D4-E4CEF05A62E2}"/>
    <cellStyle name="Normal 2 2 2 2 6 4 2 2" xfId="13601" xr:uid="{DC9171D5-EB01-4007-BF51-4DFD73CE3BC4}"/>
    <cellStyle name="Normal 2 2 2 2 6 4 2 2 2" xfId="30361" xr:uid="{9BC45114-C2F3-4641-BF28-F49641493F67}"/>
    <cellStyle name="Normal 2 2 2 2 6 4 2 2 3" xfId="47120" xr:uid="{DC6994EA-9C54-4255-B994-1B1C8FBF3836}"/>
    <cellStyle name="Normal 2 2 2 2 6 4 2 3" xfId="21981" xr:uid="{C0B7A0A4-A965-472B-BB7D-33966C32D07A}"/>
    <cellStyle name="Normal 2 2 2 2 6 4 2 4" xfId="38740" xr:uid="{C3001670-D1F0-42FE-842E-956FF2332828}"/>
    <cellStyle name="Normal 2 2 2 2 6 4 3" xfId="6908" xr:uid="{B8D1DBF6-EBD6-426E-A47D-2BC4ED1E710B}"/>
    <cellStyle name="Normal 2 2 2 2 6 4 3 2" xfId="15288" xr:uid="{EF6E1D9B-7AEE-4344-86F4-66066D2C9631}"/>
    <cellStyle name="Normal 2 2 2 2 6 4 3 2 2" xfId="32048" xr:uid="{6B89786A-9FDF-49E1-93F8-061BE19433A2}"/>
    <cellStyle name="Normal 2 2 2 2 6 4 3 2 3" xfId="48807" xr:uid="{197270F5-0C31-4B5A-BCE4-D4CBF495DD62}"/>
    <cellStyle name="Normal 2 2 2 2 6 4 3 3" xfId="23668" xr:uid="{12700683-B316-4103-811B-81CF6AC1F3E8}"/>
    <cellStyle name="Normal 2 2 2 2 6 4 3 4" xfId="40427" xr:uid="{79330447-CD15-4AA3-B568-E29438C51E2D}"/>
    <cellStyle name="Normal 2 2 2 2 6 4 4" xfId="3532" xr:uid="{97D52BA3-1DCC-4BFA-923D-446D1230A925}"/>
    <cellStyle name="Normal 2 2 2 2 6 4 4 2" xfId="11912" xr:uid="{2B029A35-12ED-4578-B654-BD0763F92DFA}"/>
    <cellStyle name="Normal 2 2 2 2 6 4 4 2 2" xfId="28672" xr:uid="{27C70F9A-F491-4AD4-9C31-FFAA92223400}"/>
    <cellStyle name="Normal 2 2 2 2 6 4 4 2 3" xfId="45431" xr:uid="{9276089A-5052-4C41-8D45-257CCF577FD7}"/>
    <cellStyle name="Normal 2 2 2 2 6 4 4 3" xfId="20292" xr:uid="{870FF3D9-252C-4649-A3B8-A4DE094A00A4}"/>
    <cellStyle name="Normal 2 2 2 2 6 4 4 4" xfId="37051" xr:uid="{1C471984-43F3-46C4-B526-C088166F9B2E}"/>
    <cellStyle name="Normal 2 2 2 2 6 4 5" xfId="10221" xr:uid="{14D1F871-C885-404C-863A-0BDE41A0B15C}"/>
    <cellStyle name="Normal 2 2 2 2 6 4 5 2" xfId="26981" xr:uid="{75F274C3-FDFB-45E4-AF80-CB95871F5D48}"/>
    <cellStyle name="Normal 2 2 2 2 6 4 5 3" xfId="43740" xr:uid="{56754424-638A-4E7F-A9EB-A97314ED8787}"/>
    <cellStyle name="Normal 2 2 2 2 6 4 6" xfId="18601" xr:uid="{71AD4AB3-47C7-4F70-8164-847848EF414D}"/>
    <cellStyle name="Normal 2 2 2 2 6 4 7" xfId="35360" xr:uid="{E2E019AD-5260-4E02-A760-8F7EFACF19A1}"/>
    <cellStyle name="Normal 2 2 2 2 6 5" xfId="3951" xr:uid="{3E25A09D-8340-4C04-B831-B59ECA74001A}"/>
    <cellStyle name="Normal 2 2 2 2 6 5 2" xfId="12331" xr:uid="{0E41597F-D3AF-417A-9541-F3916A4037BC}"/>
    <cellStyle name="Normal 2 2 2 2 6 5 2 2" xfId="29091" xr:uid="{FF962A00-A520-47B4-9912-B73E117CC59D}"/>
    <cellStyle name="Normal 2 2 2 2 6 5 2 3" xfId="45850" xr:uid="{0C755735-C2CF-4427-8081-1CC22C2D48D1}"/>
    <cellStyle name="Normal 2 2 2 2 6 5 3" xfId="20711" xr:uid="{60CAD57B-2865-4793-B2B2-FEABA3CEFDC2}"/>
    <cellStyle name="Normal 2 2 2 2 6 5 4" xfId="37470" xr:uid="{58C85B1F-6EC5-4B02-94AA-3C594A70801F}"/>
    <cellStyle name="Normal 2 2 2 2 6 6" xfId="5719" xr:uid="{B209AE39-0439-4388-9019-5353F0281031}"/>
    <cellStyle name="Normal 2 2 2 2 6 6 2" xfId="14099" xr:uid="{5F391DE0-658A-4DB4-874D-8F5DB42AD4C7}"/>
    <cellStyle name="Normal 2 2 2 2 6 6 2 2" xfId="30859" xr:uid="{B5BCA6AE-626E-46F4-B407-03C5EE5D5FC2}"/>
    <cellStyle name="Normal 2 2 2 2 6 6 2 3" xfId="47618" xr:uid="{91A5E556-8D5E-4CEA-A460-38E3B4D545E8}"/>
    <cellStyle name="Normal 2 2 2 2 6 6 3" xfId="22479" xr:uid="{C523C020-3B93-49C0-B438-88E74156FA07}"/>
    <cellStyle name="Normal 2 2 2 2 6 6 4" xfId="39238" xr:uid="{8A099268-89BE-49E9-ADD1-D9D4071C8E2A}"/>
    <cellStyle name="Normal 2 2 2 2 6 7" xfId="7314" xr:uid="{8A77698A-775D-4A0C-BD24-A698E86BFB12}"/>
    <cellStyle name="Normal 2 2 2 2 6 7 2" xfId="15694" xr:uid="{2ED069AB-6EF4-4439-92E2-E2BC5977A07F}"/>
    <cellStyle name="Normal 2 2 2 2 6 7 2 2" xfId="32454" xr:uid="{2277B788-C674-4729-BF93-67E0A304395A}"/>
    <cellStyle name="Normal 2 2 2 2 6 7 2 3" xfId="49213" xr:uid="{F3F86507-6DCC-43A6-AE75-1F1E791CF38C}"/>
    <cellStyle name="Normal 2 2 2 2 6 7 3" xfId="24074" xr:uid="{58EB5856-0722-4CAD-93CB-969834A41528}"/>
    <cellStyle name="Normal 2 2 2 2 6 7 4" xfId="40833" xr:uid="{C62E0AF7-DC21-44D7-B4B8-3329E5A84A44}"/>
    <cellStyle name="Normal 2 2 2 2 6 8" xfId="7720" xr:uid="{31AF2C56-7C43-4C97-8205-1742BC7B3F9A}"/>
    <cellStyle name="Normal 2 2 2 2 6 8 2" xfId="16100" xr:uid="{3F6BA3DF-6FAC-4BF4-B7D1-82BF4F9B4CDC}"/>
    <cellStyle name="Normal 2 2 2 2 6 8 2 2" xfId="32860" xr:uid="{701B395B-CA72-49D2-B179-70C61052EB47}"/>
    <cellStyle name="Normal 2 2 2 2 6 8 2 3" xfId="49619" xr:uid="{F1F6606E-E62B-4267-A227-6D592A7F20D1}"/>
    <cellStyle name="Normal 2 2 2 2 6 8 3" xfId="24480" xr:uid="{DAA12FB2-D816-4299-B5CE-22FD0E59BEB6}"/>
    <cellStyle name="Normal 2 2 2 2 6 8 4" xfId="41239" xr:uid="{C227ED68-E7E3-454F-B058-B4EBA4F45528}"/>
    <cellStyle name="Normal 2 2 2 2 6 9" xfId="8126" xr:uid="{79BC9F0A-7514-4E85-A7C5-12ACF8F8A387}"/>
    <cellStyle name="Normal 2 2 2 2 6 9 2" xfId="16506" xr:uid="{B79DA4BE-88D6-483F-8F57-D04685DE8E6C}"/>
    <cellStyle name="Normal 2 2 2 2 6 9 2 2" xfId="33266" xr:uid="{393964A0-8854-4A55-9F68-888797ACC13A}"/>
    <cellStyle name="Normal 2 2 2 2 6 9 2 3" xfId="50025" xr:uid="{8FDB91D6-46F7-4D4C-9360-236114A3F45F}"/>
    <cellStyle name="Normal 2 2 2 2 6 9 3" xfId="24886" xr:uid="{2864D518-1CA7-4BA0-884E-48C8791BBDA1}"/>
    <cellStyle name="Normal 2 2 2 2 6 9 4" xfId="41645" xr:uid="{AA15C38A-740B-4954-9836-E6357B36C0C0}"/>
    <cellStyle name="Normal 2 2 2 2 7" xfId="622" xr:uid="{E5DE1874-F148-4086-A667-15A31F58C5B2}"/>
    <cellStyle name="Normal 2 2 2 2 7 10" xfId="8611" xr:uid="{16E08523-EA3B-4FF2-830C-A7FC00F931B6}"/>
    <cellStyle name="Normal 2 2 2 2 7 10 2" xfId="16991" xr:uid="{028F7AC2-364D-44B4-AD2C-21554547937E}"/>
    <cellStyle name="Normal 2 2 2 2 7 10 2 2" xfId="33751" xr:uid="{F194249E-A9AF-428F-A819-5532665738A8}"/>
    <cellStyle name="Normal 2 2 2 2 7 10 2 3" xfId="50510" xr:uid="{17882746-E29F-4EB1-B117-4FB250746C0A}"/>
    <cellStyle name="Normal 2 2 2 2 7 10 3" xfId="25371" xr:uid="{0192EA39-FC1D-4E96-899B-67DDA3FACBC4}"/>
    <cellStyle name="Normal 2 2 2 2 7 10 4" xfId="42130" xr:uid="{A1731F07-F423-4F51-88DC-AF8F7EC433B7}"/>
    <cellStyle name="Normal 2 2 2 2 7 11" xfId="2454" xr:uid="{CC73E3B6-F425-45F7-BA5E-C8673C1150D8}"/>
    <cellStyle name="Normal 2 2 2 2 7 11 2" xfId="10836" xr:uid="{2B15694D-D46D-4241-9354-20795FE8BC9D}"/>
    <cellStyle name="Normal 2 2 2 2 7 11 2 2" xfId="27596" xr:uid="{4E4F8E59-4145-4361-B593-06F62043A766}"/>
    <cellStyle name="Normal 2 2 2 2 7 11 2 3" xfId="44355" xr:uid="{4B6EE942-41F3-482B-8AB4-3A8480D4CA0B}"/>
    <cellStyle name="Normal 2 2 2 2 7 11 3" xfId="19216" xr:uid="{CD38CF13-865C-4C8D-8B96-BFB6293D77F0}"/>
    <cellStyle name="Normal 2 2 2 2 7 11 4" xfId="35975" xr:uid="{F7134AA0-7A96-4AC5-BEC5-F9934B15F3E1}"/>
    <cellStyle name="Normal 2 2 2 2 7 12" xfId="9033" xr:uid="{EDB1A88A-7B6D-4E2D-AA72-113C1673DFC9}"/>
    <cellStyle name="Normal 2 2 2 2 7 12 2" xfId="25793" xr:uid="{E626D897-40E8-49AC-9713-323B719BEA63}"/>
    <cellStyle name="Normal 2 2 2 2 7 12 3" xfId="42552" xr:uid="{8C654114-B181-4A00-884F-D013C28CD439}"/>
    <cellStyle name="Normal 2 2 2 2 7 13" xfId="17413" xr:uid="{7E34B73C-BA1E-479A-A76B-A960C606C383}"/>
    <cellStyle name="Normal 2 2 2 2 7 14" xfId="34172" xr:uid="{38342C5F-8DB7-4360-8985-2A57F50D4624}"/>
    <cellStyle name="Normal 2 2 2 2 7 2" xfId="1064" xr:uid="{153C8276-AF1B-4DC0-97B8-F791D3BFD13B}"/>
    <cellStyle name="Normal 2 2 2 2 7 2 2" xfId="4459" xr:uid="{05C1939C-E685-4F74-BD30-685AE095EC79}"/>
    <cellStyle name="Normal 2 2 2 2 7 2 2 2" xfId="12839" xr:uid="{0968FA18-7532-4959-B190-B9EA93B4AAE6}"/>
    <cellStyle name="Normal 2 2 2 2 7 2 2 2 2" xfId="29599" xr:uid="{2359135A-D506-40F1-95BD-80F362004CB7}"/>
    <cellStyle name="Normal 2 2 2 2 7 2 2 2 3" xfId="46358" xr:uid="{B1A6D6EF-DE47-4755-B331-BD8A2A3C9AD3}"/>
    <cellStyle name="Normal 2 2 2 2 7 2 2 3" xfId="21219" xr:uid="{FF1FC7CF-2413-4DA7-ADAD-973DB193C883}"/>
    <cellStyle name="Normal 2 2 2 2 7 2 2 4" xfId="37978" xr:uid="{5F2E4F50-5C4A-42D3-B0FD-EFFD749257A7}"/>
    <cellStyle name="Normal 2 2 2 2 7 2 3" xfId="6146" xr:uid="{96E09AD3-47FD-4A37-86AB-88018A2343B4}"/>
    <cellStyle name="Normal 2 2 2 2 7 2 3 2" xfId="14526" xr:uid="{C46187C9-5B80-4475-AA64-262FF7DC4198}"/>
    <cellStyle name="Normal 2 2 2 2 7 2 3 2 2" xfId="31286" xr:uid="{1DD5BED4-DCA7-4244-BEE5-E367F212A68B}"/>
    <cellStyle name="Normal 2 2 2 2 7 2 3 2 3" xfId="48045" xr:uid="{4BC84664-82A7-475F-9DC1-ECAE18577AE0}"/>
    <cellStyle name="Normal 2 2 2 2 7 2 3 3" xfId="22906" xr:uid="{DB20771D-CEAB-4C19-B6D8-E50F06CFF6B7}"/>
    <cellStyle name="Normal 2 2 2 2 7 2 3 4" xfId="39665" xr:uid="{21AB1448-6E96-4720-95D3-3D75A0D454B6}"/>
    <cellStyle name="Normal 2 2 2 2 7 2 4" xfId="2882" xr:uid="{2EB7B326-6FA5-404B-BFE5-B4A4A6F00E3C}"/>
    <cellStyle name="Normal 2 2 2 2 7 2 4 2" xfId="11262" xr:uid="{A50C3318-06A1-4E8D-8C79-3E49D5D5A28C}"/>
    <cellStyle name="Normal 2 2 2 2 7 2 4 2 2" xfId="28022" xr:uid="{BD47CDCC-DD96-4EBB-AE45-CE970B762638}"/>
    <cellStyle name="Normal 2 2 2 2 7 2 4 2 3" xfId="44781" xr:uid="{CA771846-11B8-42C8-B7C7-C8ACB606721E}"/>
    <cellStyle name="Normal 2 2 2 2 7 2 4 3" xfId="19642" xr:uid="{6132AEFA-2883-4AA0-8FD9-9E9A2A37DAAD}"/>
    <cellStyle name="Normal 2 2 2 2 7 2 4 4" xfId="36401" xr:uid="{477B2600-A936-47E4-84E5-B163E24E8FEE}"/>
    <cellStyle name="Normal 2 2 2 2 7 2 5" xfId="9459" xr:uid="{32051CA8-49C4-4100-8C97-93DDA97748D5}"/>
    <cellStyle name="Normal 2 2 2 2 7 2 5 2" xfId="26219" xr:uid="{EBE50D79-8939-46A1-BFA0-84648B50BA31}"/>
    <cellStyle name="Normal 2 2 2 2 7 2 5 3" xfId="42978" xr:uid="{F6CF253B-8A09-4D67-8804-647016C5FD73}"/>
    <cellStyle name="Normal 2 2 2 2 7 2 6" xfId="17839" xr:uid="{9956D3EF-F89C-4C16-A152-A9619A16C482}"/>
    <cellStyle name="Normal 2 2 2 2 7 2 7" xfId="34598" xr:uid="{E8659178-141A-40A7-B02E-35FD38A01E0D}"/>
    <cellStyle name="Normal 2 2 2 2 7 3" xfId="1498" xr:uid="{99802C95-8C37-438F-A8C9-255D8928A147}"/>
    <cellStyle name="Normal 2 2 2 2 7 3 2" xfId="4887" xr:uid="{3212FD14-77E4-4A6F-86D4-183233646A91}"/>
    <cellStyle name="Normal 2 2 2 2 7 3 2 2" xfId="13267" xr:uid="{B3138691-19B5-4F0C-8B21-80925C487DC5}"/>
    <cellStyle name="Normal 2 2 2 2 7 3 2 2 2" xfId="30027" xr:uid="{FAA6E423-3A93-4D5B-8DF5-3DCF07009B33}"/>
    <cellStyle name="Normal 2 2 2 2 7 3 2 2 3" xfId="46786" xr:uid="{D59E4D5C-C2B7-4301-8C17-8282F067441A}"/>
    <cellStyle name="Normal 2 2 2 2 7 3 2 3" xfId="21647" xr:uid="{E9451265-F573-457E-A2F2-FE335BF91F60}"/>
    <cellStyle name="Normal 2 2 2 2 7 3 2 4" xfId="38406" xr:uid="{D56A8D90-5FBB-4568-90E7-937EFE28C1A4}"/>
    <cellStyle name="Normal 2 2 2 2 7 3 3" xfId="6574" xr:uid="{16C9EBE4-0672-436B-8255-6B7C06A9CB8E}"/>
    <cellStyle name="Normal 2 2 2 2 7 3 3 2" xfId="14954" xr:uid="{C2224950-85AC-4632-B480-80B3148EA657}"/>
    <cellStyle name="Normal 2 2 2 2 7 3 3 2 2" xfId="31714" xr:uid="{66742F96-C52E-492C-B946-BF0CDEB80AE5}"/>
    <cellStyle name="Normal 2 2 2 2 7 3 3 2 3" xfId="48473" xr:uid="{AC4C2122-FAE6-471C-BF0E-88569617E026}"/>
    <cellStyle name="Normal 2 2 2 2 7 3 3 3" xfId="23334" xr:uid="{5F6ADA39-1C9B-457C-B6B2-365216597060}"/>
    <cellStyle name="Normal 2 2 2 2 7 3 3 4" xfId="40093" xr:uid="{8FAF6487-F04C-46C3-826A-808AB871526C}"/>
    <cellStyle name="Normal 2 2 2 2 7 3 4" xfId="3310" xr:uid="{68CD999E-E3F1-444B-909B-60817BF8C6E0}"/>
    <cellStyle name="Normal 2 2 2 2 7 3 4 2" xfId="11690" xr:uid="{01E1BC51-4C1F-422F-9286-E7EA9E29499D}"/>
    <cellStyle name="Normal 2 2 2 2 7 3 4 2 2" xfId="28450" xr:uid="{E8807335-FF39-45EC-B607-D0D0D9DFF6B3}"/>
    <cellStyle name="Normal 2 2 2 2 7 3 4 2 3" xfId="45209" xr:uid="{AB08D9E9-A7B9-445E-A4CE-227BA2AC5DC7}"/>
    <cellStyle name="Normal 2 2 2 2 7 3 4 3" xfId="20070" xr:uid="{F3194882-53BB-4136-8945-2AFAC54DB892}"/>
    <cellStyle name="Normal 2 2 2 2 7 3 4 4" xfId="36829" xr:uid="{9C3699BA-A5A0-4BCC-B950-934A86D36F56}"/>
    <cellStyle name="Normal 2 2 2 2 7 3 5" xfId="9887" xr:uid="{720CCA55-31E8-4BD9-B16B-F8A50D5B608D}"/>
    <cellStyle name="Normal 2 2 2 2 7 3 5 2" xfId="26647" xr:uid="{9EAB3D4C-3C9C-49B9-9645-05FC22979CC7}"/>
    <cellStyle name="Normal 2 2 2 2 7 3 5 3" xfId="43406" xr:uid="{FD327C7A-501D-406E-9101-FE536BF2D7B7}"/>
    <cellStyle name="Normal 2 2 2 2 7 3 6" xfId="18267" xr:uid="{BBC3C0AF-9CE0-4084-8A87-88C3366BBBFA}"/>
    <cellStyle name="Normal 2 2 2 2 7 3 7" xfId="35026" xr:uid="{8BAE64C3-4632-4A06-86E2-7460DBC5AED0}"/>
    <cellStyle name="Normal 2 2 2 2 7 4" xfId="1911" xr:uid="{6386F330-3409-4C0B-8D3F-E34E9186AC69}"/>
    <cellStyle name="Normal 2 2 2 2 7 4 2" xfId="5300" xr:uid="{E7AD97A5-1021-47C7-9022-35F11C5EFB69}"/>
    <cellStyle name="Normal 2 2 2 2 7 4 2 2" xfId="13680" xr:uid="{08FBAB2C-A1D5-4B29-B196-99A92EB47A9D}"/>
    <cellStyle name="Normal 2 2 2 2 7 4 2 2 2" xfId="30440" xr:uid="{12F3B69C-FF48-428D-8483-7204BD7D667E}"/>
    <cellStyle name="Normal 2 2 2 2 7 4 2 2 3" xfId="47199" xr:uid="{F518D51F-5AFD-4873-A8BA-839B4DDF925D}"/>
    <cellStyle name="Normal 2 2 2 2 7 4 2 3" xfId="22060" xr:uid="{6D46C690-BA70-47AC-8BD5-DC93C41FC561}"/>
    <cellStyle name="Normal 2 2 2 2 7 4 2 4" xfId="38819" xr:uid="{B27D8B8B-D9E5-49C4-BBC7-15887A54AB0E}"/>
    <cellStyle name="Normal 2 2 2 2 7 4 3" xfId="6987" xr:uid="{BBE4B091-259E-48BD-B65C-5BBE95B221CA}"/>
    <cellStyle name="Normal 2 2 2 2 7 4 3 2" xfId="15367" xr:uid="{09E23220-DAB2-4D28-839A-96BDA1851B53}"/>
    <cellStyle name="Normal 2 2 2 2 7 4 3 2 2" xfId="32127" xr:uid="{222206A4-5DC2-40A6-83B1-15C3B11368F5}"/>
    <cellStyle name="Normal 2 2 2 2 7 4 3 2 3" xfId="48886" xr:uid="{D7B8208D-67EA-47DD-8169-1CC21AF26DD8}"/>
    <cellStyle name="Normal 2 2 2 2 7 4 3 3" xfId="23747" xr:uid="{2B6099CE-A447-4655-BD1D-3CF41A3B3029}"/>
    <cellStyle name="Normal 2 2 2 2 7 4 3 4" xfId="40506" xr:uid="{96BFBF4F-0DAC-4A29-B028-844F2957DF5B}"/>
    <cellStyle name="Normal 2 2 2 2 7 4 4" xfId="3610" xr:uid="{BC04DB7E-E52D-4202-92D5-B40531F2F783}"/>
    <cellStyle name="Normal 2 2 2 2 7 4 4 2" xfId="11990" xr:uid="{70629737-0BF2-4ACA-ABD6-A50CE48494E8}"/>
    <cellStyle name="Normal 2 2 2 2 7 4 4 2 2" xfId="28750" xr:uid="{A9A1EDF8-B626-4EF2-9B1F-20E42ACF1F27}"/>
    <cellStyle name="Normal 2 2 2 2 7 4 4 2 3" xfId="45509" xr:uid="{ADF30347-5FD9-43E1-A2E1-F801EBFAE77C}"/>
    <cellStyle name="Normal 2 2 2 2 7 4 4 3" xfId="20370" xr:uid="{3A6DC68F-61BE-4559-A437-8533BBFC5227}"/>
    <cellStyle name="Normal 2 2 2 2 7 4 4 4" xfId="37129" xr:uid="{82BE66A8-99F9-4629-8AE4-B865A3A16232}"/>
    <cellStyle name="Normal 2 2 2 2 7 4 5" xfId="10300" xr:uid="{F456C988-FEE9-47B9-A744-2F6B9A93E42D}"/>
    <cellStyle name="Normal 2 2 2 2 7 4 5 2" xfId="27060" xr:uid="{FB82466D-5E9D-430D-AE42-409BDAA33D32}"/>
    <cellStyle name="Normal 2 2 2 2 7 4 5 3" xfId="43819" xr:uid="{530BCF93-BB28-40F1-BCF2-B79EBBA567F0}"/>
    <cellStyle name="Normal 2 2 2 2 7 4 6" xfId="18680" xr:uid="{A0FAAA5D-E1FF-46BE-80CC-68986879EDCF}"/>
    <cellStyle name="Normal 2 2 2 2 7 4 7" xfId="35439" xr:uid="{B3F62633-1A65-48A4-8757-B5164D7EE041}"/>
    <cellStyle name="Normal 2 2 2 2 7 5" xfId="4030" xr:uid="{7FA048AA-FD33-4F25-B039-1B22AD9BEC78}"/>
    <cellStyle name="Normal 2 2 2 2 7 5 2" xfId="12410" xr:uid="{73067DBA-38E4-4E6D-9E76-DE23BD8AF5FB}"/>
    <cellStyle name="Normal 2 2 2 2 7 5 2 2" xfId="29170" xr:uid="{3C5EEBC9-86FC-4DA2-BA0C-94B0C91BBAED}"/>
    <cellStyle name="Normal 2 2 2 2 7 5 2 3" xfId="45929" xr:uid="{2AF98FA7-61DE-40C8-9110-CCA4B300E43B}"/>
    <cellStyle name="Normal 2 2 2 2 7 5 3" xfId="20790" xr:uid="{A5994649-5537-409C-A80E-FCC5C865C925}"/>
    <cellStyle name="Normal 2 2 2 2 7 5 4" xfId="37549" xr:uid="{DE9B74E7-1D1E-4ECA-B589-B3D935DD7721}"/>
    <cellStyle name="Normal 2 2 2 2 7 6" xfId="5720" xr:uid="{C3C33A42-7842-4F7C-BF34-99BF00B578D0}"/>
    <cellStyle name="Normal 2 2 2 2 7 6 2" xfId="14100" xr:uid="{C422282B-FCA8-474E-9459-61AA5B374274}"/>
    <cellStyle name="Normal 2 2 2 2 7 6 2 2" xfId="30860" xr:uid="{ECC9BBC3-B195-443B-B4C4-5A64E75ECE8C}"/>
    <cellStyle name="Normal 2 2 2 2 7 6 2 3" xfId="47619" xr:uid="{45B4CF6D-1A71-4828-8236-69357446B783}"/>
    <cellStyle name="Normal 2 2 2 2 7 6 3" xfId="22480" xr:uid="{61B8E783-4FF7-4DAE-9EEF-8C36022B367C}"/>
    <cellStyle name="Normal 2 2 2 2 7 6 4" xfId="39239" xr:uid="{09BFC6FF-D3C7-4EB9-A424-C77BDC60522C}"/>
    <cellStyle name="Normal 2 2 2 2 7 7" xfId="7393" xr:uid="{D41AB781-FDEC-40BB-A0E1-329F703DA195}"/>
    <cellStyle name="Normal 2 2 2 2 7 7 2" xfId="15773" xr:uid="{B684E465-7842-46EB-A0EB-30583CA3C664}"/>
    <cellStyle name="Normal 2 2 2 2 7 7 2 2" xfId="32533" xr:uid="{531A0E2A-D4C0-4ABA-96A7-E7935CFABD59}"/>
    <cellStyle name="Normal 2 2 2 2 7 7 2 3" xfId="49292" xr:uid="{7ABB7A0F-2F37-4F5B-AE98-E9C573BF167A}"/>
    <cellStyle name="Normal 2 2 2 2 7 7 3" xfId="24153" xr:uid="{988D1A45-F326-40DF-90BB-258534D225A2}"/>
    <cellStyle name="Normal 2 2 2 2 7 7 4" xfId="40912" xr:uid="{8B5DF244-3C94-4955-8A75-5AA91F73EF96}"/>
    <cellStyle name="Normal 2 2 2 2 7 8" xfId="7799" xr:uid="{CCEFA21A-1F75-42AC-956C-D95450023C84}"/>
    <cellStyle name="Normal 2 2 2 2 7 8 2" xfId="16179" xr:uid="{F98844F3-9E18-4707-B2AE-7ED9EF021741}"/>
    <cellStyle name="Normal 2 2 2 2 7 8 2 2" xfId="32939" xr:uid="{87BA37AC-0BAC-4520-8DB2-BB4668E652DC}"/>
    <cellStyle name="Normal 2 2 2 2 7 8 2 3" xfId="49698" xr:uid="{111BC642-AC80-4AFA-A6A3-60D271F6CDCA}"/>
    <cellStyle name="Normal 2 2 2 2 7 8 3" xfId="24559" xr:uid="{16989A9F-F5F6-4DBA-84C5-232495FE0890}"/>
    <cellStyle name="Normal 2 2 2 2 7 8 4" xfId="41318" xr:uid="{1A5202FC-4143-4830-9D56-6EB7F711AD8D}"/>
    <cellStyle name="Normal 2 2 2 2 7 9" xfId="8205" xr:uid="{CA22DD5E-2C2B-4A0D-A186-82042BFBABEF}"/>
    <cellStyle name="Normal 2 2 2 2 7 9 2" xfId="16585" xr:uid="{0866B6EC-44B4-4C52-9244-786866766B23}"/>
    <cellStyle name="Normal 2 2 2 2 7 9 2 2" xfId="33345" xr:uid="{78893A7C-70A9-41AC-BE4D-37BDB6D2EC6F}"/>
    <cellStyle name="Normal 2 2 2 2 7 9 2 3" xfId="50104" xr:uid="{82E69EC8-517C-478E-8899-179B55FB897B}"/>
    <cellStyle name="Normal 2 2 2 2 7 9 3" xfId="24965" xr:uid="{C2D48777-3670-4DC7-959C-097C985FB65B}"/>
    <cellStyle name="Normal 2 2 2 2 7 9 4" xfId="41724" xr:uid="{E188A39B-C1BC-4822-9533-5AD373FED423}"/>
    <cellStyle name="Normal 2 2 2 2 8" xfId="774" xr:uid="{741EFE06-C2A8-4EF9-A055-BB69C148D9E5}"/>
    <cellStyle name="Normal 2 2 2 2 8 2" xfId="4169" xr:uid="{6BBBC61F-135C-4164-9FC8-C276FD170A5B}"/>
    <cellStyle name="Normal 2 2 2 2 8 2 2" xfId="12549" xr:uid="{7A29CC85-D265-484F-AE44-8BC56AE55E13}"/>
    <cellStyle name="Normal 2 2 2 2 8 2 2 2" xfId="29309" xr:uid="{21BD813D-FC0B-475D-A10A-BC49ACAC599D}"/>
    <cellStyle name="Normal 2 2 2 2 8 2 2 3" xfId="46068" xr:uid="{F10A7831-7A98-4CFC-B053-091E886AF53F}"/>
    <cellStyle name="Normal 2 2 2 2 8 2 3" xfId="20929" xr:uid="{A603CA04-F3EB-4BE8-86A3-A6A3653BACD9}"/>
    <cellStyle name="Normal 2 2 2 2 8 2 4" xfId="37688" xr:uid="{E2428257-6B4B-4B27-AE0A-FAC83E573833}"/>
    <cellStyle name="Normal 2 2 2 2 8 3" xfId="5856" xr:uid="{662ACFED-C8FC-4FBB-ACD2-F05DBCEBDD41}"/>
    <cellStyle name="Normal 2 2 2 2 8 3 2" xfId="14236" xr:uid="{FF0278FC-2DA8-45ED-BB0E-FAA9E2012E88}"/>
    <cellStyle name="Normal 2 2 2 2 8 3 2 2" xfId="30996" xr:uid="{5A189824-9F84-4A5F-9E65-387BC87D3D32}"/>
    <cellStyle name="Normal 2 2 2 2 8 3 2 3" xfId="47755" xr:uid="{3EB727A0-07ED-4A63-8219-648E61859F0D}"/>
    <cellStyle name="Normal 2 2 2 2 8 3 3" xfId="22616" xr:uid="{15045B3F-04E4-4CA5-B256-8646A9B1F0F6}"/>
    <cellStyle name="Normal 2 2 2 2 8 3 4" xfId="39375" xr:uid="{3AE60B96-AB58-43B8-84EA-AC683B0B6EC0}"/>
    <cellStyle name="Normal 2 2 2 2 8 4" xfId="2592" xr:uid="{E02D5C25-E499-42DF-9AE1-6ED98157517B}"/>
    <cellStyle name="Normal 2 2 2 2 8 4 2" xfId="10972" xr:uid="{CBE9CAB7-39D5-4953-95E3-0FB559F8C433}"/>
    <cellStyle name="Normal 2 2 2 2 8 4 2 2" xfId="27732" xr:uid="{2DCC6474-A20B-4F8F-A67C-5CC0D94583F7}"/>
    <cellStyle name="Normal 2 2 2 2 8 4 2 3" xfId="44491" xr:uid="{32D57356-CACE-48CC-A67C-77E8B6760CAC}"/>
    <cellStyle name="Normal 2 2 2 2 8 4 3" xfId="19352" xr:uid="{F4483E21-9458-460E-94D1-FA894A61EEEF}"/>
    <cellStyle name="Normal 2 2 2 2 8 4 4" xfId="36111" xr:uid="{DAE0D100-770C-432D-B1B7-B76BD680B81A}"/>
    <cellStyle name="Normal 2 2 2 2 8 5" xfId="9169" xr:uid="{CB143818-470E-4F7E-9D61-829968701AE5}"/>
    <cellStyle name="Normal 2 2 2 2 8 5 2" xfId="25929" xr:uid="{9636D6FA-3CDF-4AAB-968A-B0912E2BE435}"/>
    <cellStyle name="Normal 2 2 2 2 8 5 3" xfId="42688" xr:uid="{7F53B91D-93F1-41D7-95D7-A2516AAAB643}"/>
    <cellStyle name="Normal 2 2 2 2 8 6" xfId="17549" xr:uid="{09BC825A-3C26-4F42-9461-B51E4CDEE7D5}"/>
    <cellStyle name="Normal 2 2 2 2 8 7" xfId="34308" xr:uid="{68BE1FE2-67D7-477C-8C17-8017A1924CD8}"/>
    <cellStyle name="Normal 2 2 2 2 9" xfId="1208" xr:uid="{60854801-2598-43E4-8AB7-2EF15113725A}"/>
    <cellStyle name="Normal 2 2 2 2 9 2" xfId="4597" xr:uid="{B94250FE-2324-4EE6-B8FD-5C81FC1A61B0}"/>
    <cellStyle name="Normal 2 2 2 2 9 2 2" xfId="12977" xr:uid="{689B75C6-431A-477D-BAC0-04EB8CFB05A0}"/>
    <cellStyle name="Normal 2 2 2 2 9 2 2 2" xfId="29737" xr:uid="{94AEE37D-2657-425C-8F4C-3B14E6F4B563}"/>
    <cellStyle name="Normal 2 2 2 2 9 2 2 3" xfId="46496" xr:uid="{92014745-39C9-4A42-9C67-BC070AA78334}"/>
    <cellStyle name="Normal 2 2 2 2 9 2 3" xfId="21357" xr:uid="{9EFF7A97-AD76-4EDC-8BC4-3B8D1770BEF6}"/>
    <cellStyle name="Normal 2 2 2 2 9 2 4" xfId="38116" xr:uid="{5C12367A-3D08-42EE-BFFE-B2D3FC23C438}"/>
    <cellStyle name="Normal 2 2 2 2 9 3" xfId="6284" xr:uid="{67F7A830-3B84-43B8-8028-720E86486D37}"/>
    <cellStyle name="Normal 2 2 2 2 9 3 2" xfId="14664" xr:uid="{5FC01C76-0A50-4EBB-974D-ED0989702F65}"/>
    <cellStyle name="Normal 2 2 2 2 9 3 2 2" xfId="31424" xr:uid="{9AFB964A-465C-47C8-8771-FA3B7DB84446}"/>
    <cellStyle name="Normal 2 2 2 2 9 3 2 3" xfId="48183" xr:uid="{5038CA1D-1FB9-47F7-BEC8-6FA2F3B1CF6A}"/>
    <cellStyle name="Normal 2 2 2 2 9 3 3" xfId="23044" xr:uid="{2348FE96-4C33-496B-9B08-B715B1648E5F}"/>
    <cellStyle name="Normal 2 2 2 2 9 3 4" xfId="39803" xr:uid="{8BB926D0-B94F-4F0C-A577-DE713E36BB4B}"/>
    <cellStyle name="Normal 2 2 2 2 9 4" xfId="3020" xr:uid="{C1E7C87C-8E1C-4913-B8AE-182BDAFD9AF8}"/>
    <cellStyle name="Normal 2 2 2 2 9 4 2" xfId="11400" xr:uid="{CA1F2BED-E2CC-4295-A1C5-7AD212A2D2A5}"/>
    <cellStyle name="Normal 2 2 2 2 9 4 2 2" xfId="28160" xr:uid="{690CFF34-0CB8-4CD4-8628-7776ABCE79F2}"/>
    <cellStyle name="Normal 2 2 2 2 9 4 2 3" xfId="44919" xr:uid="{9531C513-455A-4782-9201-033C6121BCF3}"/>
    <cellStyle name="Normal 2 2 2 2 9 4 3" xfId="19780" xr:uid="{25E6E296-ABF1-47E4-8382-8D710D8A42EE}"/>
    <cellStyle name="Normal 2 2 2 2 9 4 4" xfId="36539" xr:uid="{047FA862-1B0D-4D58-8398-40CF3B96B88E}"/>
    <cellStyle name="Normal 2 2 2 2 9 5" xfId="9597" xr:uid="{99404389-63F1-42BF-BABC-49E54648311F}"/>
    <cellStyle name="Normal 2 2 2 2 9 5 2" xfId="26357" xr:uid="{61025C1C-6E8F-4629-86F7-9859F65C229B}"/>
    <cellStyle name="Normal 2 2 2 2 9 5 3" xfId="43116" xr:uid="{FFB61FE5-D3F6-4F96-9FCF-FA33A5982406}"/>
    <cellStyle name="Normal 2 2 2 2 9 6" xfId="17977" xr:uid="{043BCEC5-858D-4878-8118-118D840B7E80}"/>
    <cellStyle name="Normal 2 2 2 2 9 7" xfId="34736" xr:uid="{62CEE748-8A12-434E-A8FC-E1172B14D15B}"/>
    <cellStyle name="Normal 2 2 2 20" xfId="17116" xr:uid="{847CCB3D-3F89-45FD-85FB-65CE4D76FDF6}"/>
    <cellStyle name="Normal 2 2 2 21" xfId="33875" xr:uid="{46731DBC-5AD0-43CE-BFE5-BC8803E585C1}"/>
    <cellStyle name="Normal 2 2 2 22" xfId="50818" xr:uid="{B066569C-90B9-4615-BCD8-1499731351B5}"/>
    <cellStyle name="Normal 2 2 2 23" xfId="51322" xr:uid="{3B6097D8-B364-4A40-9073-74104DA5E6B1}"/>
    <cellStyle name="Normal 2 2 2 24" xfId="51834" xr:uid="{2EA2D73F-1837-4639-ABFE-858FA8E008C9}"/>
    <cellStyle name="Normal 2 2 2 3" xfId="291" xr:uid="{80558DA3-98CD-40E2-994A-DA0C7DFDD2CB}"/>
    <cellStyle name="Normal 2 2 2 3 10" xfId="7170" xr:uid="{22F80B3C-4F55-4193-B110-784ACEA6552E}"/>
    <cellStyle name="Normal 2 2 2 3 10 2" xfId="15550" xr:uid="{F6805C44-FEA9-4EB2-B528-A0C74148E562}"/>
    <cellStyle name="Normal 2 2 2 3 10 2 2" xfId="32310" xr:uid="{CD365C53-A502-487B-A1E3-5CBC4884533B}"/>
    <cellStyle name="Normal 2 2 2 3 10 2 3" xfId="49069" xr:uid="{ADD5C7A0-1289-4C68-B98D-8CF26EF0EFE1}"/>
    <cellStyle name="Normal 2 2 2 3 10 3" xfId="23930" xr:uid="{A82F29B5-D131-4B9F-94DA-A5681F92ECD4}"/>
    <cellStyle name="Normal 2 2 2 3 10 4" xfId="40689" xr:uid="{4FBB3B55-FCF2-4FF0-AF14-189C40267B93}"/>
    <cellStyle name="Normal 2 2 2 3 11" xfId="7576" xr:uid="{1CD5999C-141C-43F6-A8DB-22908004782A}"/>
    <cellStyle name="Normal 2 2 2 3 11 2" xfId="15956" xr:uid="{A971D618-6784-454D-9A20-DD5C409DBD3F}"/>
    <cellStyle name="Normal 2 2 2 3 11 2 2" xfId="32716" xr:uid="{94CC47ED-72D9-4338-97E8-263D4D42C677}"/>
    <cellStyle name="Normal 2 2 2 3 11 2 3" xfId="49475" xr:uid="{0A9FEF8E-9DCD-4C1B-953A-3D9C40B293C3}"/>
    <cellStyle name="Normal 2 2 2 3 11 3" xfId="24336" xr:uid="{209D211B-8325-496A-B3A0-E41DB1F1ED1D}"/>
    <cellStyle name="Normal 2 2 2 3 11 4" xfId="41095" xr:uid="{75FA94D0-6C28-49F7-AB77-73C6A5D3E46D}"/>
    <cellStyle name="Normal 2 2 2 3 12" xfId="7982" xr:uid="{6723989F-434D-4773-A667-B100A7978D7C}"/>
    <cellStyle name="Normal 2 2 2 3 12 2" xfId="16362" xr:uid="{FAC19280-644C-4E90-BB73-71B7A0F98558}"/>
    <cellStyle name="Normal 2 2 2 3 12 2 2" xfId="33122" xr:uid="{2F2C485E-F095-462A-B3D1-20094A9564CE}"/>
    <cellStyle name="Normal 2 2 2 3 12 2 3" xfId="49881" xr:uid="{CB433625-DC51-4F10-9887-9105E030E51A}"/>
    <cellStyle name="Normal 2 2 2 3 12 3" xfId="24742" xr:uid="{FF794B78-4CCE-4BD3-A947-A4F07D278126}"/>
    <cellStyle name="Normal 2 2 2 3 12 4" xfId="41501" xr:uid="{ACA9460D-ABFD-44C0-B48E-BCB28C62C3E0}"/>
    <cellStyle name="Normal 2 2 2 3 13" xfId="8388" xr:uid="{4DFFC583-4363-4A06-BEFE-CAF4F91CF408}"/>
    <cellStyle name="Normal 2 2 2 3 13 2" xfId="16768" xr:uid="{C143A954-1007-43DF-A919-97F44B354B95}"/>
    <cellStyle name="Normal 2 2 2 3 13 2 2" xfId="33528" xr:uid="{E3FFD2C0-1662-4602-AA81-971437A275E5}"/>
    <cellStyle name="Normal 2 2 2 3 13 2 3" xfId="50287" xr:uid="{1BB19A7D-AF37-4B97-8F8F-836A1628DE47}"/>
    <cellStyle name="Normal 2 2 2 3 13 3" xfId="25148" xr:uid="{16019D5A-BD50-4A4E-A05F-477CB2C44124}"/>
    <cellStyle name="Normal 2 2 2 3 13 4" xfId="41907" xr:uid="{D52F03BB-D008-4B77-954E-FEC25DD76A1A}"/>
    <cellStyle name="Normal 2 2 2 3 14" xfId="2057" xr:uid="{099471CB-232F-4956-9D0E-82DE3FFBF4A8}"/>
    <cellStyle name="Normal 2 2 2 3 14 2" xfId="10445" xr:uid="{F4AED76D-4C93-4497-A8D5-782FB97DDC6F}"/>
    <cellStyle name="Normal 2 2 2 3 14 2 2" xfId="27205" xr:uid="{4780950A-3C5A-46D2-9F24-31F3D70D6740}"/>
    <cellStyle name="Normal 2 2 2 3 14 2 3" xfId="43964" xr:uid="{865D5043-B997-4704-8B30-C0B55E0F1706}"/>
    <cellStyle name="Normal 2 2 2 3 14 3" xfId="18825" xr:uid="{DC96F080-8703-4387-85EA-5BD2E44EB2F5}"/>
    <cellStyle name="Normal 2 2 2 3 14 4" xfId="35584" xr:uid="{21906182-99FD-4D7C-84A1-01E14F0DC2B1}"/>
    <cellStyle name="Normal 2 2 2 3 15" xfId="8764" xr:uid="{44A1676B-7581-412E-B292-5D15A09DF59C}"/>
    <cellStyle name="Normal 2 2 2 3 15 2" xfId="25524" xr:uid="{EE02897D-1D50-4C25-AC14-239ABAEF548B}"/>
    <cellStyle name="Normal 2 2 2 3 15 3" xfId="42283" xr:uid="{048DAB83-7C9C-4519-A92C-6B586340927E}"/>
    <cellStyle name="Normal 2 2 2 3 16" xfId="17144" xr:uid="{3CC1AE25-ADE7-4D8E-B574-EFF4BF6F4EF9}"/>
    <cellStyle name="Normal 2 2 2 3 17" xfId="33903" xr:uid="{7CEFBAEC-7545-4148-A9E2-EF0EA2EC386E}"/>
    <cellStyle name="Normal 2 2 2 3 2" xfId="374" xr:uid="{59EDFA0C-1D71-4F99-BB96-4F3FAC20536B}"/>
    <cellStyle name="Normal 2 2 2 3 2 10" xfId="7612" xr:uid="{7C67E288-A2D8-4DEA-9498-D1B594C43365}"/>
    <cellStyle name="Normal 2 2 2 3 2 10 2" xfId="15992" xr:uid="{331035CA-25D2-4CAD-B752-4945D00871A0}"/>
    <cellStyle name="Normal 2 2 2 3 2 10 2 2" xfId="32752" xr:uid="{C1C219E6-96DF-4B3E-97E6-009DE7B6E3E1}"/>
    <cellStyle name="Normal 2 2 2 3 2 10 2 3" xfId="49511" xr:uid="{7B4D0ACF-A80A-41D4-8E2A-DFDF1CCC2DA4}"/>
    <cellStyle name="Normal 2 2 2 3 2 10 3" xfId="24372" xr:uid="{BF1324B7-9B7B-4617-BD41-109F1CEE4A9F}"/>
    <cellStyle name="Normal 2 2 2 3 2 10 4" xfId="41131" xr:uid="{FF32E5A9-5488-4CD3-AB53-DE83AD3C437F}"/>
    <cellStyle name="Normal 2 2 2 3 2 11" xfId="8018" xr:uid="{33BCC42E-4E06-433F-8426-8AF737C49797}"/>
    <cellStyle name="Normal 2 2 2 3 2 11 2" xfId="16398" xr:uid="{2DE3AAD0-3285-4B17-BA48-A3B20C56E995}"/>
    <cellStyle name="Normal 2 2 2 3 2 11 2 2" xfId="33158" xr:uid="{C32121EC-4023-4380-AC9D-7F064EBEB66C}"/>
    <cellStyle name="Normal 2 2 2 3 2 11 2 3" xfId="49917" xr:uid="{952330D5-9BCA-4B4D-B5BA-8FCEEB7CCA54}"/>
    <cellStyle name="Normal 2 2 2 3 2 11 3" xfId="24778" xr:uid="{B9240014-988F-457C-A157-AD26B42FEB4D}"/>
    <cellStyle name="Normal 2 2 2 3 2 11 4" xfId="41537" xr:uid="{EA24867B-9F9F-4070-B96B-68240F91B39F}"/>
    <cellStyle name="Normal 2 2 2 3 2 12" xfId="8424" xr:uid="{E531238B-9238-4DAC-B257-14F70C22B1BE}"/>
    <cellStyle name="Normal 2 2 2 3 2 12 2" xfId="16804" xr:uid="{62DACD7E-5640-4927-AD57-83D1BC3C4E27}"/>
    <cellStyle name="Normal 2 2 2 3 2 12 2 2" xfId="33564" xr:uid="{9FBC26F0-2CB5-4EAD-A4CD-69523E557C5A}"/>
    <cellStyle name="Normal 2 2 2 3 2 12 2 3" xfId="50323" xr:uid="{CCE15FD7-C8B6-4BB7-A2C4-06338F4EC207}"/>
    <cellStyle name="Normal 2 2 2 3 2 12 3" xfId="25184" xr:uid="{E0168B6F-96D1-4475-9DF5-66A9E2C50D79}"/>
    <cellStyle name="Normal 2 2 2 3 2 12 4" xfId="41943" xr:uid="{D595E418-EE97-419B-AFDA-77E795F94B08}"/>
    <cellStyle name="Normal 2 2 2 3 2 13" xfId="2257" xr:uid="{41E5D4F3-B298-43C8-96A2-81658C40F0E2}"/>
    <cellStyle name="Normal 2 2 2 3 2 13 2" xfId="10641" xr:uid="{CFFAA8D0-349C-4771-90DA-BEC5F4B38FBA}"/>
    <cellStyle name="Normal 2 2 2 3 2 13 2 2" xfId="27401" xr:uid="{352E8DE2-4F90-4096-AB57-C0356D913369}"/>
    <cellStyle name="Normal 2 2 2 3 2 13 2 3" xfId="44160" xr:uid="{9BCF6CAD-823B-4D30-9E7F-C6EFFDA8FF8E}"/>
    <cellStyle name="Normal 2 2 2 3 2 13 3" xfId="19021" xr:uid="{E46E5DE5-F233-4245-B53D-83D96A0E4B7D}"/>
    <cellStyle name="Normal 2 2 2 3 2 13 4" xfId="35780" xr:uid="{B7000858-48E1-4A88-A76A-EC3B5CAC934C}"/>
    <cellStyle name="Normal 2 2 2 3 2 14" xfId="8838" xr:uid="{9EA0F1C7-CDD8-4871-B198-9EA845D5D065}"/>
    <cellStyle name="Normal 2 2 2 3 2 14 2" xfId="25598" xr:uid="{84BD51FC-E747-4262-B921-370D2450B960}"/>
    <cellStyle name="Normal 2 2 2 3 2 14 3" xfId="42357" xr:uid="{A15DC12D-9BB8-4E91-A9BA-AE6DE67726B8}"/>
    <cellStyle name="Normal 2 2 2 3 2 15" xfId="17218" xr:uid="{A892513C-FD05-40EF-BB2C-8E9A0B5044B1}"/>
    <cellStyle name="Normal 2 2 2 3 2 16" xfId="33977" xr:uid="{9387EA97-AAED-434D-8EEA-814868C7367A}"/>
    <cellStyle name="Normal 2 2 2 3 2 2" xfId="623" xr:uid="{0EED345F-8BBD-47E7-BCDE-F483CC0CDAF8}"/>
    <cellStyle name="Normal 2 2 2 3 2 2 10" xfId="8539" xr:uid="{C372AEB2-FAE3-45B2-84AC-6C8C4B28833D}"/>
    <cellStyle name="Normal 2 2 2 3 2 2 10 2" xfId="16919" xr:uid="{BB6EA028-8B1C-4CD2-BF09-A4ED9B45F6A3}"/>
    <cellStyle name="Normal 2 2 2 3 2 2 10 2 2" xfId="33679" xr:uid="{67A88B20-78D6-405C-A57C-AC142FFB381C}"/>
    <cellStyle name="Normal 2 2 2 3 2 2 10 2 3" xfId="50438" xr:uid="{8873BC80-C238-4C3F-9E45-863CF663522A}"/>
    <cellStyle name="Normal 2 2 2 3 2 2 10 3" xfId="25299" xr:uid="{79AF451F-A032-4E54-A495-74C8F01F6A9A}"/>
    <cellStyle name="Normal 2 2 2 3 2 2 10 4" xfId="42058" xr:uid="{3F39A246-DE15-4A5F-BEFE-8DADBC5D183B}"/>
    <cellStyle name="Normal 2 2 2 3 2 2 11" xfId="2455" xr:uid="{EE040028-8D66-4AC2-875F-8E5FD2101467}"/>
    <cellStyle name="Normal 2 2 2 3 2 2 11 2" xfId="10837" xr:uid="{8332329C-4391-43D7-9A1F-A8636FAA9EC5}"/>
    <cellStyle name="Normal 2 2 2 3 2 2 11 2 2" xfId="27597" xr:uid="{EEAFA6D3-D8B9-4EA2-A29F-4529EC4416DE}"/>
    <cellStyle name="Normal 2 2 2 3 2 2 11 2 3" xfId="44356" xr:uid="{930E3798-51FC-4ED7-92C2-57882BECD691}"/>
    <cellStyle name="Normal 2 2 2 3 2 2 11 3" xfId="19217" xr:uid="{DF700B80-AB11-41A6-8D26-F9B2A136892D}"/>
    <cellStyle name="Normal 2 2 2 3 2 2 11 4" xfId="35976" xr:uid="{29B3CB9E-372E-4E26-A9D3-69BB3F360FDD}"/>
    <cellStyle name="Normal 2 2 2 3 2 2 12" xfId="9034" xr:uid="{B391100D-998F-49A9-AEAF-52DB868EEF3E}"/>
    <cellStyle name="Normal 2 2 2 3 2 2 12 2" xfId="25794" xr:uid="{829BA84A-6076-41EA-B399-DA665406ABF8}"/>
    <cellStyle name="Normal 2 2 2 3 2 2 12 3" xfId="42553" xr:uid="{7EC436F9-AA8E-459D-9476-14838AB59F1C}"/>
    <cellStyle name="Normal 2 2 2 3 2 2 13" xfId="17414" xr:uid="{459CB387-E0D0-4828-A728-FA5E9C966A73}"/>
    <cellStyle name="Normal 2 2 2 3 2 2 14" xfId="34173" xr:uid="{3BA55EB3-D04F-4645-AEBA-65C8EC540533}"/>
    <cellStyle name="Normal 2 2 2 3 2 2 2" xfId="1065" xr:uid="{DF6B0719-0345-4036-B23B-58E4688BEDA6}"/>
    <cellStyle name="Normal 2 2 2 3 2 2 2 2" xfId="4460" xr:uid="{F1B4A45F-6F9C-4A59-8E13-810D74E3002B}"/>
    <cellStyle name="Normal 2 2 2 3 2 2 2 2 2" xfId="12840" xr:uid="{BFBD112F-19A7-4D90-80D0-B0E5DA2AC889}"/>
    <cellStyle name="Normal 2 2 2 3 2 2 2 2 2 2" xfId="29600" xr:uid="{EDB9EFB2-6AA7-41C4-ABFD-F3CD815AE5E9}"/>
    <cellStyle name="Normal 2 2 2 3 2 2 2 2 2 3" xfId="46359" xr:uid="{09A97B22-5CD8-41C3-B775-903AD9A645B5}"/>
    <cellStyle name="Normal 2 2 2 3 2 2 2 2 3" xfId="21220" xr:uid="{D496784A-558A-437F-96D9-AC30679A4CA9}"/>
    <cellStyle name="Normal 2 2 2 3 2 2 2 2 4" xfId="37979" xr:uid="{8D7897CB-ABE4-417A-9C84-877776B88598}"/>
    <cellStyle name="Normal 2 2 2 3 2 2 2 3" xfId="6147" xr:uid="{4D731B6A-F215-40A7-B830-FBD1EBC73EE0}"/>
    <cellStyle name="Normal 2 2 2 3 2 2 2 3 2" xfId="14527" xr:uid="{6FE488F7-9D4B-4B37-80EE-360DE041C2A5}"/>
    <cellStyle name="Normal 2 2 2 3 2 2 2 3 2 2" xfId="31287" xr:uid="{2BC747A4-D282-4BC0-A511-C26C90644914}"/>
    <cellStyle name="Normal 2 2 2 3 2 2 2 3 2 3" xfId="48046" xr:uid="{4A36C096-819D-4A69-AA3B-05A54C93194D}"/>
    <cellStyle name="Normal 2 2 2 3 2 2 2 3 3" xfId="22907" xr:uid="{66F90EFB-3E8D-4AC0-9AE7-C5E79E100DC2}"/>
    <cellStyle name="Normal 2 2 2 3 2 2 2 3 4" xfId="39666" xr:uid="{501586FE-DF1A-44C5-8174-473ABE4403BB}"/>
    <cellStyle name="Normal 2 2 2 3 2 2 2 4" xfId="2883" xr:uid="{D31C83A0-5D9D-4AD9-8DF5-591D85BE7BED}"/>
    <cellStyle name="Normal 2 2 2 3 2 2 2 4 2" xfId="11263" xr:uid="{C53213F2-0419-4465-8159-4243239CC02C}"/>
    <cellStyle name="Normal 2 2 2 3 2 2 2 4 2 2" xfId="28023" xr:uid="{6ED0C97B-12CE-4741-BFA2-6CC7C436F41C}"/>
    <cellStyle name="Normal 2 2 2 3 2 2 2 4 2 3" xfId="44782" xr:uid="{55A7F99D-CC07-4AE4-B9F3-73BEFC0FFA88}"/>
    <cellStyle name="Normal 2 2 2 3 2 2 2 4 3" xfId="19643" xr:uid="{A91B1AC5-4888-41BA-B40E-6ADBBB27AA92}"/>
    <cellStyle name="Normal 2 2 2 3 2 2 2 4 4" xfId="36402" xr:uid="{85243B84-31C1-4330-8CC1-92967AEAF693}"/>
    <cellStyle name="Normal 2 2 2 3 2 2 2 5" xfId="9460" xr:uid="{B202EB52-B2FE-4997-BB00-2ABE838D4FBE}"/>
    <cellStyle name="Normal 2 2 2 3 2 2 2 5 2" xfId="26220" xr:uid="{C290AAD2-2F89-432C-B1A8-007B8E0C9104}"/>
    <cellStyle name="Normal 2 2 2 3 2 2 2 5 3" xfId="42979" xr:uid="{6CC7738F-4519-4517-BFEE-B6ECFE8987B4}"/>
    <cellStyle name="Normal 2 2 2 3 2 2 2 6" xfId="17840" xr:uid="{CE1B23D4-9410-47E9-95A3-080797713DBA}"/>
    <cellStyle name="Normal 2 2 2 3 2 2 2 7" xfId="34599" xr:uid="{52A2E4C0-E527-41D8-8E9E-9A8FA48BC453}"/>
    <cellStyle name="Normal 2 2 2 3 2 2 3" xfId="1499" xr:uid="{674B86E7-A875-4B4E-BDA3-8CC77AB02052}"/>
    <cellStyle name="Normal 2 2 2 3 2 2 3 2" xfId="4888" xr:uid="{12900EF6-D145-42CD-A022-D7EB1F77F2D2}"/>
    <cellStyle name="Normal 2 2 2 3 2 2 3 2 2" xfId="13268" xr:uid="{47EF3768-4ED4-4E4C-8839-14CFA2FADB5C}"/>
    <cellStyle name="Normal 2 2 2 3 2 2 3 2 2 2" xfId="30028" xr:uid="{EFF98052-BEBE-4DAC-A44A-F1FCC59B8E82}"/>
    <cellStyle name="Normal 2 2 2 3 2 2 3 2 2 3" xfId="46787" xr:uid="{8CFDAED2-5630-44D9-BF1E-BBF1C056866F}"/>
    <cellStyle name="Normal 2 2 2 3 2 2 3 2 3" xfId="21648" xr:uid="{DD298076-BB56-40E2-AE3B-FCFED865A4BE}"/>
    <cellStyle name="Normal 2 2 2 3 2 2 3 2 4" xfId="38407" xr:uid="{A7C09235-0332-46B1-B743-042101176C14}"/>
    <cellStyle name="Normal 2 2 2 3 2 2 3 3" xfId="6575" xr:uid="{830E86EA-ACFF-43BD-A57C-932F6958159D}"/>
    <cellStyle name="Normal 2 2 2 3 2 2 3 3 2" xfId="14955" xr:uid="{76F3EB48-966A-41BE-A17C-55905D0D23B8}"/>
    <cellStyle name="Normal 2 2 2 3 2 2 3 3 2 2" xfId="31715" xr:uid="{267C7EF9-3F87-404F-B165-69A3D293BE07}"/>
    <cellStyle name="Normal 2 2 2 3 2 2 3 3 2 3" xfId="48474" xr:uid="{FB1C821B-2269-4462-83D6-8474F10CDE49}"/>
    <cellStyle name="Normal 2 2 2 3 2 2 3 3 3" xfId="23335" xr:uid="{E615AFBA-F109-497A-B1B3-9403203AD998}"/>
    <cellStyle name="Normal 2 2 2 3 2 2 3 3 4" xfId="40094" xr:uid="{99957878-A51B-428B-92B9-D645F4C36F0E}"/>
    <cellStyle name="Normal 2 2 2 3 2 2 3 4" xfId="3311" xr:uid="{C13605F3-ECDF-43A4-A486-8CD2DE36F740}"/>
    <cellStyle name="Normal 2 2 2 3 2 2 3 4 2" xfId="11691" xr:uid="{846481E5-D45A-4A90-AA2C-85BA56B2730A}"/>
    <cellStyle name="Normal 2 2 2 3 2 2 3 4 2 2" xfId="28451" xr:uid="{FE549AD9-7028-4CFD-8C1E-64EAED32301D}"/>
    <cellStyle name="Normal 2 2 2 3 2 2 3 4 2 3" xfId="45210" xr:uid="{5F5379C2-0CFC-45B9-A610-471950126CE9}"/>
    <cellStyle name="Normal 2 2 2 3 2 2 3 4 3" xfId="20071" xr:uid="{8B2B1E17-4F6A-44E5-BE3D-8667186B135E}"/>
    <cellStyle name="Normal 2 2 2 3 2 2 3 4 4" xfId="36830" xr:uid="{41395F95-1998-48FF-9FD8-FEA0B88EEE30}"/>
    <cellStyle name="Normal 2 2 2 3 2 2 3 5" xfId="9888" xr:uid="{EF871221-5D47-481F-95A2-D5E82D919447}"/>
    <cellStyle name="Normal 2 2 2 3 2 2 3 5 2" xfId="26648" xr:uid="{30C646E1-DB18-4D33-B664-DDD60D8864F4}"/>
    <cellStyle name="Normal 2 2 2 3 2 2 3 5 3" xfId="43407" xr:uid="{442257A3-DFC7-48F9-8C92-1E2300FDD575}"/>
    <cellStyle name="Normal 2 2 2 3 2 2 3 6" xfId="18268" xr:uid="{A8A6E529-D25A-4002-8332-0D3465DDADEB}"/>
    <cellStyle name="Normal 2 2 2 3 2 2 3 7" xfId="35027" xr:uid="{821F3361-8DA0-47CE-8844-4A3159D672FE}"/>
    <cellStyle name="Normal 2 2 2 3 2 2 4" xfId="1839" xr:uid="{A253982C-96F5-4D4A-AE04-F8CDA658FA41}"/>
    <cellStyle name="Normal 2 2 2 3 2 2 4 2" xfId="5228" xr:uid="{7557305B-6D80-4D24-80CE-F4EE78396457}"/>
    <cellStyle name="Normal 2 2 2 3 2 2 4 2 2" xfId="13608" xr:uid="{8B2F64D9-E43C-4A0F-8B85-3B3B5D6E4CCF}"/>
    <cellStyle name="Normal 2 2 2 3 2 2 4 2 2 2" xfId="30368" xr:uid="{556A6C25-B037-4541-971F-1B1DBE6C39D9}"/>
    <cellStyle name="Normal 2 2 2 3 2 2 4 2 2 3" xfId="47127" xr:uid="{91A73506-4652-4327-8FB9-5E343F4F0E82}"/>
    <cellStyle name="Normal 2 2 2 3 2 2 4 2 3" xfId="21988" xr:uid="{3F15E65D-3330-474B-9FB7-6E09E14AC436}"/>
    <cellStyle name="Normal 2 2 2 3 2 2 4 2 4" xfId="38747" xr:uid="{ACCA7144-C4A1-40F5-9DF0-D38C400F17F4}"/>
    <cellStyle name="Normal 2 2 2 3 2 2 4 3" xfId="6915" xr:uid="{268BF594-07D6-49E3-A5A2-97D8FA100402}"/>
    <cellStyle name="Normal 2 2 2 3 2 2 4 3 2" xfId="15295" xr:uid="{D17B32D7-ABFF-4EDB-B6A3-6B405724F7D1}"/>
    <cellStyle name="Normal 2 2 2 3 2 2 4 3 2 2" xfId="32055" xr:uid="{511BDA7F-A9B0-4D51-8DDA-192459386274}"/>
    <cellStyle name="Normal 2 2 2 3 2 2 4 3 2 3" xfId="48814" xr:uid="{0D4B57E0-26FA-4E9E-8576-4D7DA00AAAD8}"/>
    <cellStyle name="Normal 2 2 2 3 2 2 4 3 3" xfId="23675" xr:uid="{DA2E72F2-51B4-459F-870D-66E6C30F1407}"/>
    <cellStyle name="Normal 2 2 2 3 2 2 4 3 4" xfId="40434" xr:uid="{8D7417F0-DD3D-434B-BEAA-FBEB13605FAA}"/>
    <cellStyle name="Normal 2 2 2 3 2 2 4 4" xfId="3539" xr:uid="{93461125-9947-495C-AEEF-F762ABBC6E7E}"/>
    <cellStyle name="Normal 2 2 2 3 2 2 4 4 2" xfId="11919" xr:uid="{3BD7FF27-828D-42B6-B0BA-B248205DBD18}"/>
    <cellStyle name="Normal 2 2 2 3 2 2 4 4 2 2" xfId="28679" xr:uid="{0CEE96A4-04FD-4D51-AC14-7BAF8DF196AD}"/>
    <cellStyle name="Normal 2 2 2 3 2 2 4 4 2 3" xfId="45438" xr:uid="{ADA25C67-8A43-4442-8A3E-259614F30133}"/>
    <cellStyle name="Normal 2 2 2 3 2 2 4 4 3" xfId="20299" xr:uid="{4B438D14-EBBA-4A5C-881E-EEA2D7D2BA35}"/>
    <cellStyle name="Normal 2 2 2 3 2 2 4 4 4" xfId="37058" xr:uid="{25510997-38C2-4936-B185-925862D09630}"/>
    <cellStyle name="Normal 2 2 2 3 2 2 4 5" xfId="10228" xr:uid="{BF7123F0-D076-4B02-A3E9-CD158C986185}"/>
    <cellStyle name="Normal 2 2 2 3 2 2 4 5 2" xfId="26988" xr:uid="{016FBC54-7DD1-4504-AB1E-8A45EFEBCEE0}"/>
    <cellStyle name="Normal 2 2 2 3 2 2 4 5 3" xfId="43747" xr:uid="{19EE8A06-D8FF-4D26-8D61-098ADDF0D784}"/>
    <cellStyle name="Normal 2 2 2 3 2 2 4 6" xfId="18608" xr:uid="{FAEAF401-AB2E-4833-9E17-CD6D6462A8CB}"/>
    <cellStyle name="Normal 2 2 2 3 2 2 4 7" xfId="35367" xr:uid="{0F56E906-C26B-42C2-A48A-879D9F096A25}"/>
    <cellStyle name="Normal 2 2 2 3 2 2 5" xfId="3958" xr:uid="{C04D2393-08A3-4CF3-A70C-B29EA81C2825}"/>
    <cellStyle name="Normal 2 2 2 3 2 2 5 2" xfId="12338" xr:uid="{B575E71B-3C07-4829-9505-CD1913E26511}"/>
    <cellStyle name="Normal 2 2 2 3 2 2 5 2 2" xfId="29098" xr:uid="{29F8D445-89D5-421C-BE4C-4A66A4CAA796}"/>
    <cellStyle name="Normal 2 2 2 3 2 2 5 2 3" xfId="45857" xr:uid="{CE682BED-9EBB-4413-A57D-244C1ECC6CB5}"/>
    <cellStyle name="Normal 2 2 2 3 2 2 5 3" xfId="20718" xr:uid="{DDED9085-DA8D-4910-B872-F03948553F6E}"/>
    <cellStyle name="Normal 2 2 2 3 2 2 5 4" xfId="37477" xr:uid="{C06F3D8D-9622-4FD4-B252-854F31A0DDD8}"/>
    <cellStyle name="Normal 2 2 2 3 2 2 6" xfId="5721" xr:uid="{D8A2EF5C-24A9-453E-B268-8BA934CEA75F}"/>
    <cellStyle name="Normal 2 2 2 3 2 2 6 2" xfId="14101" xr:uid="{77C13E50-0FB9-49B0-A5B3-1D6482AEA00D}"/>
    <cellStyle name="Normal 2 2 2 3 2 2 6 2 2" xfId="30861" xr:uid="{4D95095C-CD01-4C1E-8056-299505FCDA49}"/>
    <cellStyle name="Normal 2 2 2 3 2 2 6 2 3" xfId="47620" xr:uid="{5E2AA5E9-348F-43CB-A50C-BA75EF0C0953}"/>
    <cellStyle name="Normal 2 2 2 3 2 2 6 3" xfId="22481" xr:uid="{389B671A-5F43-48E0-9654-F825D6574A41}"/>
    <cellStyle name="Normal 2 2 2 3 2 2 6 4" xfId="39240" xr:uid="{1138A9E2-EAE3-44D3-AFA3-10F90754B335}"/>
    <cellStyle name="Normal 2 2 2 3 2 2 7" xfId="7321" xr:uid="{5F0874F2-92EC-458B-A0E1-000763A6155C}"/>
    <cellStyle name="Normal 2 2 2 3 2 2 7 2" xfId="15701" xr:uid="{3C294929-8859-474B-990A-18C0C975DD7A}"/>
    <cellStyle name="Normal 2 2 2 3 2 2 7 2 2" xfId="32461" xr:uid="{FF260C2B-A3F2-4808-97F2-D17DEBB75444}"/>
    <cellStyle name="Normal 2 2 2 3 2 2 7 2 3" xfId="49220" xr:uid="{3F62EC01-5529-4870-B97F-281AE5806067}"/>
    <cellStyle name="Normal 2 2 2 3 2 2 7 3" xfId="24081" xr:uid="{A7A50F3E-AAAB-4A9E-BBB7-3E86F5F23CB6}"/>
    <cellStyle name="Normal 2 2 2 3 2 2 7 4" xfId="40840" xr:uid="{41280043-C1BB-41F0-95BB-CB71F9FD6ABC}"/>
    <cellStyle name="Normal 2 2 2 3 2 2 8" xfId="7727" xr:uid="{DD20C7AE-6ABB-44D3-89F4-4BF921E5B310}"/>
    <cellStyle name="Normal 2 2 2 3 2 2 8 2" xfId="16107" xr:uid="{474D6ED5-AA0B-494F-A6E5-A0237DFFCDAC}"/>
    <cellStyle name="Normal 2 2 2 3 2 2 8 2 2" xfId="32867" xr:uid="{8900A2BA-FDCA-450F-B138-F08B006662F4}"/>
    <cellStyle name="Normal 2 2 2 3 2 2 8 2 3" xfId="49626" xr:uid="{E999B3C3-4314-4C33-BC94-1998C0EC1548}"/>
    <cellStyle name="Normal 2 2 2 3 2 2 8 3" xfId="24487" xr:uid="{FE54D060-3824-400F-82D9-04E78A341E7E}"/>
    <cellStyle name="Normal 2 2 2 3 2 2 8 4" xfId="41246" xr:uid="{FE15819C-EC01-4EE9-9309-63783D927365}"/>
    <cellStyle name="Normal 2 2 2 3 2 2 9" xfId="8133" xr:uid="{2B2106FA-7AC2-45FE-A86E-9FF4B28551F4}"/>
    <cellStyle name="Normal 2 2 2 3 2 2 9 2" xfId="16513" xr:uid="{39C1A6A5-62A3-4D5A-86B2-9113DE6D0401}"/>
    <cellStyle name="Normal 2 2 2 3 2 2 9 2 2" xfId="33273" xr:uid="{DFE047E9-700C-4176-B171-1B7E5830F358}"/>
    <cellStyle name="Normal 2 2 2 3 2 2 9 2 3" xfId="50032" xr:uid="{39C89737-EEEE-4E43-B683-01451824CE18}"/>
    <cellStyle name="Normal 2 2 2 3 2 2 9 3" xfId="24893" xr:uid="{DAE61823-F7F0-479A-B58B-37C630A158D0}"/>
    <cellStyle name="Normal 2 2 2 3 2 2 9 4" xfId="41652" xr:uid="{30C76E24-3101-4869-B659-DDA99424E407}"/>
    <cellStyle name="Normal 2 2 2 3 2 3" xfId="624" xr:uid="{132A2C48-7383-4A4F-A69D-2F4FCCAF3BBF}"/>
    <cellStyle name="Normal 2 2 2 3 2 3 10" xfId="8695" xr:uid="{727CE5BA-4807-40A1-8137-D0A678E8B91B}"/>
    <cellStyle name="Normal 2 2 2 3 2 3 10 2" xfId="17075" xr:uid="{E2BA098A-9626-4B1B-9198-A4458C9ABF3B}"/>
    <cellStyle name="Normal 2 2 2 3 2 3 10 2 2" xfId="33835" xr:uid="{FC42FE1D-900E-4231-BB4D-135B8DD8E07E}"/>
    <cellStyle name="Normal 2 2 2 3 2 3 10 2 3" xfId="50594" xr:uid="{45AA13D5-E4F2-4B7C-B2AA-F2E3195F324E}"/>
    <cellStyle name="Normal 2 2 2 3 2 3 10 3" xfId="25455" xr:uid="{C6FA6EEB-261C-4C9E-9F33-55E910E6A7DF}"/>
    <cellStyle name="Normal 2 2 2 3 2 3 10 4" xfId="42214" xr:uid="{A0D2FE89-71DC-4101-A01E-884757B50159}"/>
    <cellStyle name="Normal 2 2 2 3 2 3 11" xfId="2456" xr:uid="{2CA2ADF6-5F89-4315-90FB-62B9C58252B0}"/>
    <cellStyle name="Normal 2 2 2 3 2 3 11 2" xfId="10838" xr:uid="{ECE9426A-A91E-4086-B432-8DA010A4C7C5}"/>
    <cellStyle name="Normal 2 2 2 3 2 3 11 2 2" xfId="27598" xr:uid="{523E3042-375E-4CB7-87AD-4060A804A9DF}"/>
    <cellStyle name="Normal 2 2 2 3 2 3 11 2 3" xfId="44357" xr:uid="{080F5DA9-537F-4332-85FC-5FCABF5719F8}"/>
    <cellStyle name="Normal 2 2 2 3 2 3 11 3" xfId="19218" xr:uid="{48F10FD0-4A54-4045-9F9F-28FF44BE2B5C}"/>
    <cellStyle name="Normal 2 2 2 3 2 3 11 4" xfId="35977" xr:uid="{972D920E-C0F7-475E-B6A8-C599A49B66C1}"/>
    <cellStyle name="Normal 2 2 2 3 2 3 12" xfId="9035" xr:uid="{A3ABE0FB-C193-46C4-9F16-5721035DCA42}"/>
    <cellStyle name="Normal 2 2 2 3 2 3 12 2" xfId="25795" xr:uid="{F6085545-9374-433A-914E-BB9EA1BE5ACB}"/>
    <cellStyle name="Normal 2 2 2 3 2 3 12 3" xfId="42554" xr:uid="{7673ED23-DC82-4C9A-9338-5EA2D0419867}"/>
    <cellStyle name="Normal 2 2 2 3 2 3 13" xfId="17415" xr:uid="{D64105E1-CD65-450D-82E6-7241FDC7CBBB}"/>
    <cellStyle name="Normal 2 2 2 3 2 3 14" xfId="34174" xr:uid="{46C7608B-8D2B-4BBC-AE2E-46B16DE0A1CA}"/>
    <cellStyle name="Normal 2 2 2 3 2 3 2" xfId="1066" xr:uid="{A4B79ADB-8C7A-4795-9DF7-0418A2F81C08}"/>
    <cellStyle name="Normal 2 2 2 3 2 3 2 2" xfId="4461" xr:uid="{A9AA04A6-35E5-424C-8622-F58E24B88E5D}"/>
    <cellStyle name="Normal 2 2 2 3 2 3 2 2 2" xfId="12841" xr:uid="{2C10C21C-6BE1-4AD9-8F8F-BF82B45DED26}"/>
    <cellStyle name="Normal 2 2 2 3 2 3 2 2 2 2" xfId="29601" xr:uid="{38DE0289-859C-44A5-B560-574545FC30EA}"/>
    <cellStyle name="Normal 2 2 2 3 2 3 2 2 2 3" xfId="46360" xr:uid="{B81B96B7-AE23-4C5E-9B83-2DA2A0FB4003}"/>
    <cellStyle name="Normal 2 2 2 3 2 3 2 2 3" xfId="21221" xr:uid="{33DE7380-3E2D-44E9-86A1-FE249489D5CB}"/>
    <cellStyle name="Normal 2 2 2 3 2 3 2 2 4" xfId="37980" xr:uid="{DE1A4167-0CAF-4D55-B638-30A85365880D}"/>
    <cellStyle name="Normal 2 2 2 3 2 3 2 3" xfId="6148" xr:uid="{4F78E90E-DCC4-417C-A157-BEA5DF6A1F42}"/>
    <cellStyle name="Normal 2 2 2 3 2 3 2 3 2" xfId="14528" xr:uid="{28A506E5-6D85-455A-BC2F-67698A45ED0C}"/>
    <cellStyle name="Normal 2 2 2 3 2 3 2 3 2 2" xfId="31288" xr:uid="{8CBF40C7-9CE3-4595-98A0-AAC6512EB323}"/>
    <cellStyle name="Normal 2 2 2 3 2 3 2 3 2 3" xfId="48047" xr:uid="{621D1E1D-FAB2-4D0C-8826-9333C433EA66}"/>
    <cellStyle name="Normal 2 2 2 3 2 3 2 3 3" xfId="22908" xr:uid="{BB5945D9-89DA-49C7-8011-9C85260383F5}"/>
    <cellStyle name="Normal 2 2 2 3 2 3 2 3 4" xfId="39667" xr:uid="{2D17FF0D-537E-4286-A831-3A1101AB2BE0}"/>
    <cellStyle name="Normal 2 2 2 3 2 3 2 4" xfId="2884" xr:uid="{80DF8268-0FAE-41EB-A41E-7261607C90A7}"/>
    <cellStyle name="Normal 2 2 2 3 2 3 2 4 2" xfId="11264" xr:uid="{71420665-F02D-4889-876B-3DD0322AE297}"/>
    <cellStyle name="Normal 2 2 2 3 2 3 2 4 2 2" xfId="28024" xr:uid="{8227CF03-C537-412D-A1D9-2AB0CB11456B}"/>
    <cellStyle name="Normal 2 2 2 3 2 3 2 4 2 3" xfId="44783" xr:uid="{B0E6747B-BF43-4C8E-8FFA-75D8B8CA5A2E}"/>
    <cellStyle name="Normal 2 2 2 3 2 3 2 4 3" xfId="19644" xr:uid="{B07A4FD1-DCFF-4AA6-B7A8-D10DF64F66B4}"/>
    <cellStyle name="Normal 2 2 2 3 2 3 2 4 4" xfId="36403" xr:uid="{2C752D49-4D3E-48A5-9D97-A98BBE081B37}"/>
    <cellStyle name="Normal 2 2 2 3 2 3 2 5" xfId="9461" xr:uid="{DCD1A79B-4340-4040-AE6F-661CE4E57E4B}"/>
    <cellStyle name="Normal 2 2 2 3 2 3 2 5 2" xfId="26221" xr:uid="{CD7B8DB9-FFF6-429D-BB0A-139DB3A0497C}"/>
    <cellStyle name="Normal 2 2 2 3 2 3 2 5 3" xfId="42980" xr:uid="{75909669-65A3-47A7-8A64-DA739325918A}"/>
    <cellStyle name="Normal 2 2 2 3 2 3 2 6" xfId="17841" xr:uid="{C2F0F62E-FE83-4A54-A3D4-8C4A091C262A}"/>
    <cellStyle name="Normal 2 2 2 3 2 3 2 7" xfId="34600" xr:uid="{58DA190F-40E5-4C42-A77B-52EC83A28469}"/>
    <cellStyle name="Normal 2 2 2 3 2 3 3" xfId="1500" xr:uid="{45EA8090-4679-4D9B-B253-E12159947120}"/>
    <cellStyle name="Normal 2 2 2 3 2 3 3 2" xfId="4889" xr:uid="{639F3422-7531-4CEC-96FF-FD77EACBE149}"/>
    <cellStyle name="Normal 2 2 2 3 2 3 3 2 2" xfId="13269" xr:uid="{FEA74BEF-8255-4923-B5E1-7E6B47168D59}"/>
    <cellStyle name="Normal 2 2 2 3 2 3 3 2 2 2" xfId="30029" xr:uid="{95D3D4C9-49B5-4410-AEA9-B7016A745CE6}"/>
    <cellStyle name="Normal 2 2 2 3 2 3 3 2 2 3" xfId="46788" xr:uid="{3CF48757-877A-4445-8362-E066CA5C8167}"/>
    <cellStyle name="Normal 2 2 2 3 2 3 3 2 3" xfId="21649" xr:uid="{101E65C8-9A93-465C-9971-3690E167A037}"/>
    <cellStyle name="Normal 2 2 2 3 2 3 3 2 4" xfId="38408" xr:uid="{B389B8D7-F9E3-4D12-9BBA-699FBA5F74FB}"/>
    <cellStyle name="Normal 2 2 2 3 2 3 3 3" xfId="6576" xr:uid="{BD16D6E1-A684-4F27-87CD-703F40D8B251}"/>
    <cellStyle name="Normal 2 2 2 3 2 3 3 3 2" xfId="14956" xr:uid="{503104F2-25C8-4CB0-9713-5CB0A9126B60}"/>
    <cellStyle name="Normal 2 2 2 3 2 3 3 3 2 2" xfId="31716" xr:uid="{8C2C9389-2335-46E3-98F6-214A046CC464}"/>
    <cellStyle name="Normal 2 2 2 3 2 3 3 3 2 3" xfId="48475" xr:uid="{7B063512-CD85-4718-B856-37DB13D11794}"/>
    <cellStyle name="Normal 2 2 2 3 2 3 3 3 3" xfId="23336" xr:uid="{BA8922B0-782A-4AEF-A4AB-A01E5D8BD6DA}"/>
    <cellStyle name="Normal 2 2 2 3 2 3 3 3 4" xfId="40095" xr:uid="{2950F93D-7DC6-4912-AE9A-6D63329036FE}"/>
    <cellStyle name="Normal 2 2 2 3 2 3 3 4" xfId="3312" xr:uid="{025C85F0-31EE-4C61-8C09-6C17A54E5A95}"/>
    <cellStyle name="Normal 2 2 2 3 2 3 3 4 2" xfId="11692" xr:uid="{181FB7BC-F5C9-4665-B9B7-52BE274B9251}"/>
    <cellStyle name="Normal 2 2 2 3 2 3 3 4 2 2" xfId="28452" xr:uid="{2A0B961E-67EE-44DB-804E-BB7999A9884D}"/>
    <cellStyle name="Normal 2 2 2 3 2 3 3 4 2 3" xfId="45211" xr:uid="{67029B21-5EDC-419A-98CE-765BF27DE068}"/>
    <cellStyle name="Normal 2 2 2 3 2 3 3 4 3" xfId="20072" xr:uid="{410D9332-4FE3-426A-8D9C-74DDA64E331E}"/>
    <cellStyle name="Normal 2 2 2 3 2 3 3 4 4" xfId="36831" xr:uid="{7EB2D9AD-4721-46A8-8B11-E66EAED66A28}"/>
    <cellStyle name="Normal 2 2 2 3 2 3 3 5" xfId="9889" xr:uid="{B7B5C3F3-52F1-4933-B4DD-AD6DF549FECB}"/>
    <cellStyle name="Normal 2 2 2 3 2 3 3 5 2" xfId="26649" xr:uid="{695795AD-CFF4-4D12-AB46-E4582FD27CBA}"/>
    <cellStyle name="Normal 2 2 2 3 2 3 3 5 3" xfId="43408" xr:uid="{5EAA6821-22CE-4BE3-A19B-13ECD546D774}"/>
    <cellStyle name="Normal 2 2 2 3 2 3 3 6" xfId="18269" xr:uid="{090027CA-40BA-4870-B13B-CED0ED613799}"/>
    <cellStyle name="Normal 2 2 2 3 2 3 3 7" xfId="35028" xr:uid="{C9DE1A4C-89C5-496B-978F-3753262BE285}"/>
    <cellStyle name="Normal 2 2 2 3 2 3 4" xfId="1995" xr:uid="{201FDB45-BCD6-4E0B-895D-532367DE71B3}"/>
    <cellStyle name="Normal 2 2 2 3 2 3 4 2" xfId="5384" xr:uid="{7CEE438C-F5D3-46CB-9D97-883F35B8DD7F}"/>
    <cellStyle name="Normal 2 2 2 3 2 3 4 2 2" xfId="13764" xr:uid="{133380F0-31CA-4852-92B8-338EA6C8394A}"/>
    <cellStyle name="Normal 2 2 2 3 2 3 4 2 2 2" xfId="30524" xr:uid="{78D39E2B-383E-4FE8-953A-8D9CB72DF0A1}"/>
    <cellStyle name="Normal 2 2 2 3 2 3 4 2 2 3" xfId="47283" xr:uid="{156FD7C3-7E53-45F6-90A9-BCDD1506B895}"/>
    <cellStyle name="Normal 2 2 2 3 2 3 4 2 3" xfId="22144" xr:uid="{CBE3E00B-360C-44E6-8648-A8138845C99B}"/>
    <cellStyle name="Normal 2 2 2 3 2 3 4 2 4" xfId="38903" xr:uid="{7681F964-BC86-4834-8061-33FD7783373D}"/>
    <cellStyle name="Normal 2 2 2 3 2 3 4 3" xfId="7071" xr:uid="{E82F775F-B341-4BB3-A169-28DC345F1942}"/>
    <cellStyle name="Normal 2 2 2 3 2 3 4 3 2" xfId="15451" xr:uid="{E56648BE-03A6-4784-A364-59EBDBD81EEC}"/>
    <cellStyle name="Normal 2 2 2 3 2 3 4 3 2 2" xfId="32211" xr:uid="{84A7CF38-E7E3-45D9-AB71-19D7C76C6282}"/>
    <cellStyle name="Normal 2 2 2 3 2 3 4 3 2 3" xfId="48970" xr:uid="{3B2011AB-D905-49B5-8AC1-059745FD3862}"/>
    <cellStyle name="Normal 2 2 2 3 2 3 4 3 3" xfId="23831" xr:uid="{48C71060-DA40-4141-98EA-71EAD0842271}"/>
    <cellStyle name="Normal 2 2 2 3 2 3 4 3 4" xfId="40590" xr:uid="{2FE99C70-FBE9-448A-AD3E-5C40C8E8CAC3}"/>
    <cellStyle name="Normal 2 2 2 3 2 3 4 4" xfId="3694" xr:uid="{C7EEF44E-4522-4350-AA21-17E4A4F5B571}"/>
    <cellStyle name="Normal 2 2 2 3 2 3 4 4 2" xfId="12074" xr:uid="{07861E69-1C32-4E60-9CDB-D585B18DEE06}"/>
    <cellStyle name="Normal 2 2 2 3 2 3 4 4 2 2" xfId="28834" xr:uid="{8AE969C8-58C0-4372-BD7F-8048A8E30FE7}"/>
    <cellStyle name="Normal 2 2 2 3 2 3 4 4 2 3" xfId="45593" xr:uid="{AC84DD0E-509A-4645-818E-A711B45B8B68}"/>
    <cellStyle name="Normal 2 2 2 3 2 3 4 4 3" xfId="20454" xr:uid="{FA912460-1C48-4E60-A368-8F4EB61600BA}"/>
    <cellStyle name="Normal 2 2 2 3 2 3 4 4 4" xfId="37213" xr:uid="{3A938AE4-DA18-467F-AC8E-03B94ABF3B4E}"/>
    <cellStyle name="Normal 2 2 2 3 2 3 4 5" xfId="10384" xr:uid="{935751C1-68A6-437F-BF80-C681CA74DCD6}"/>
    <cellStyle name="Normal 2 2 2 3 2 3 4 5 2" xfId="27144" xr:uid="{54945FFC-7AA9-41C2-B57C-AC1CAF4E04C5}"/>
    <cellStyle name="Normal 2 2 2 3 2 3 4 5 3" xfId="43903" xr:uid="{D73D35BB-48C8-42A0-BBC6-AC14A2CAD129}"/>
    <cellStyle name="Normal 2 2 2 3 2 3 4 6" xfId="18764" xr:uid="{E706906A-03BA-4205-A02F-F4B8C6F0A774}"/>
    <cellStyle name="Normal 2 2 2 3 2 3 4 7" xfId="35523" xr:uid="{F4734E8A-6CA1-43F9-B8BC-23535631E21A}"/>
    <cellStyle name="Normal 2 2 2 3 2 3 5" xfId="4114" xr:uid="{FD662E92-B5BC-4B91-999E-F9D4732652F6}"/>
    <cellStyle name="Normal 2 2 2 3 2 3 5 2" xfId="12494" xr:uid="{8CDABC9E-C122-4584-B3DE-1E62C0A5427A}"/>
    <cellStyle name="Normal 2 2 2 3 2 3 5 2 2" xfId="29254" xr:uid="{9D9809B2-EF3D-470D-A089-DADE6D0C7EB5}"/>
    <cellStyle name="Normal 2 2 2 3 2 3 5 2 3" xfId="46013" xr:uid="{2546A355-5E17-4050-83A6-C51987E38869}"/>
    <cellStyle name="Normal 2 2 2 3 2 3 5 3" xfId="20874" xr:uid="{F9FDE395-7E3D-4EC5-B1F4-DC6515245354}"/>
    <cellStyle name="Normal 2 2 2 3 2 3 5 4" xfId="37633" xr:uid="{9952F26A-14EE-4520-836A-283A6FEACB96}"/>
    <cellStyle name="Normal 2 2 2 3 2 3 6" xfId="5722" xr:uid="{8964A3CA-29A4-49B4-AC89-91460510FA15}"/>
    <cellStyle name="Normal 2 2 2 3 2 3 6 2" xfId="14102" xr:uid="{395783EF-1038-4FB8-A2DB-5D8F7E5384EB}"/>
    <cellStyle name="Normal 2 2 2 3 2 3 6 2 2" xfId="30862" xr:uid="{5A150CC9-CBD1-4424-A43A-35F4DC0C2311}"/>
    <cellStyle name="Normal 2 2 2 3 2 3 6 2 3" xfId="47621" xr:uid="{DCC036E4-44F6-4A0D-9204-16476A78AA1E}"/>
    <cellStyle name="Normal 2 2 2 3 2 3 6 3" xfId="22482" xr:uid="{35C63F4C-8917-4841-BC3D-A24C5F3B0AFB}"/>
    <cellStyle name="Normal 2 2 2 3 2 3 6 4" xfId="39241" xr:uid="{ECFFE60C-B4E1-4756-9DF6-245F47558CCF}"/>
    <cellStyle name="Normal 2 2 2 3 2 3 7" xfId="7477" xr:uid="{7659249A-5EB6-475D-8CC5-2FBE1AD2BD55}"/>
    <cellStyle name="Normal 2 2 2 3 2 3 7 2" xfId="15857" xr:uid="{9CDFAC97-E855-4925-86DB-36604A9BF787}"/>
    <cellStyle name="Normal 2 2 2 3 2 3 7 2 2" xfId="32617" xr:uid="{9482C9EC-AB3B-480E-8FD3-E383531499E7}"/>
    <cellStyle name="Normal 2 2 2 3 2 3 7 2 3" xfId="49376" xr:uid="{37C589B2-9952-4B86-90F4-F93B5310F0CD}"/>
    <cellStyle name="Normal 2 2 2 3 2 3 7 3" xfId="24237" xr:uid="{89C9E2C3-46B0-45E6-9570-BC633F74561B}"/>
    <cellStyle name="Normal 2 2 2 3 2 3 7 4" xfId="40996" xr:uid="{CC20460E-04D2-4612-ABF7-B9F530BB6168}"/>
    <cellStyle name="Normal 2 2 2 3 2 3 8" xfId="7883" xr:uid="{BFD70BFD-70BE-474D-A8A1-DB445589430D}"/>
    <cellStyle name="Normal 2 2 2 3 2 3 8 2" xfId="16263" xr:uid="{FFE38088-2261-41AC-A65A-28FA3E981AD2}"/>
    <cellStyle name="Normal 2 2 2 3 2 3 8 2 2" xfId="33023" xr:uid="{EFCA250C-D99D-4E5B-8DB7-C71E2A9764FC}"/>
    <cellStyle name="Normal 2 2 2 3 2 3 8 2 3" xfId="49782" xr:uid="{EF62C8D1-358A-40A0-BB7A-F7EA02522A0D}"/>
    <cellStyle name="Normal 2 2 2 3 2 3 8 3" xfId="24643" xr:uid="{BD2CB7B1-8223-4C9D-93B6-37EB644CBAB0}"/>
    <cellStyle name="Normal 2 2 2 3 2 3 8 4" xfId="41402" xr:uid="{F85EC9B5-B8B5-4B07-B874-5FB283C4B64A}"/>
    <cellStyle name="Normal 2 2 2 3 2 3 9" xfId="8289" xr:uid="{CCCCB031-B1D7-4627-A44A-085D9AB232B7}"/>
    <cellStyle name="Normal 2 2 2 3 2 3 9 2" xfId="16669" xr:uid="{DF8B7353-854A-421E-94EE-00173F56DEEA}"/>
    <cellStyle name="Normal 2 2 2 3 2 3 9 2 2" xfId="33429" xr:uid="{9BBE01FF-7CA4-41E7-AAD4-319D4BE922D3}"/>
    <cellStyle name="Normal 2 2 2 3 2 3 9 2 3" xfId="50188" xr:uid="{6C806D0D-0373-42DF-8393-71F186F33AD0}"/>
    <cellStyle name="Normal 2 2 2 3 2 3 9 3" xfId="25049" xr:uid="{1CA6AD8A-BA01-4FE6-87BD-80C3986F2BE3}"/>
    <cellStyle name="Normal 2 2 2 3 2 3 9 4" xfId="41808" xr:uid="{59D5412C-EE66-460C-99EA-1B22287711DE}"/>
    <cellStyle name="Normal 2 2 2 3 2 4" xfId="869" xr:uid="{3B56B6A5-CBF2-4F21-A480-F41BBBBCF09E}"/>
    <cellStyle name="Normal 2 2 2 3 2 4 2" xfId="4264" xr:uid="{743C4459-A6FF-4C1D-91C7-E0A905EEC95E}"/>
    <cellStyle name="Normal 2 2 2 3 2 4 2 2" xfId="12644" xr:uid="{7A1403E2-E476-42D2-9184-A06D11494C53}"/>
    <cellStyle name="Normal 2 2 2 3 2 4 2 2 2" xfId="29404" xr:uid="{82B1C854-3CEB-4C27-8BFA-B6D3DCD88505}"/>
    <cellStyle name="Normal 2 2 2 3 2 4 2 2 3" xfId="46163" xr:uid="{D8329511-D59E-4DA2-87DC-8457FDA3F703}"/>
    <cellStyle name="Normal 2 2 2 3 2 4 2 3" xfId="21024" xr:uid="{EAC529BE-8306-4FAF-84FC-FC0F906379E5}"/>
    <cellStyle name="Normal 2 2 2 3 2 4 2 4" xfId="37783" xr:uid="{ABD782ED-DDC4-4BAB-8921-1DF3329BACD3}"/>
    <cellStyle name="Normal 2 2 2 3 2 4 3" xfId="5951" xr:uid="{B2F9A68C-2E32-48AD-A6C3-BC6759A84DF1}"/>
    <cellStyle name="Normal 2 2 2 3 2 4 3 2" xfId="14331" xr:uid="{9DEA9BC4-2B1A-4B66-A9F2-B68EB284B854}"/>
    <cellStyle name="Normal 2 2 2 3 2 4 3 2 2" xfId="31091" xr:uid="{CFF094D7-D6B8-4508-B538-717C823616C7}"/>
    <cellStyle name="Normal 2 2 2 3 2 4 3 2 3" xfId="47850" xr:uid="{0923BACA-6372-4B83-AD4A-91E8C36D4281}"/>
    <cellStyle name="Normal 2 2 2 3 2 4 3 3" xfId="22711" xr:uid="{E70BF110-BBF4-4109-9AAC-EC7FCF3FACA7}"/>
    <cellStyle name="Normal 2 2 2 3 2 4 3 4" xfId="39470" xr:uid="{480C62FC-E708-461A-ACC0-A13CFDFCA5D7}"/>
    <cellStyle name="Normal 2 2 2 3 2 4 4" xfId="2687" xr:uid="{D10B5A36-75C2-4974-81B1-F6D208F949F0}"/>
    <cellStyle name="Normal 2 2 2 3 2 4 4 2" xfId="11067" xr:uid="{59355576-0D5C-4F21-AAF3-55DF5284E99E}"/>
    <cellStyle name="Normal 2 2 2 3 2 4 4 2 2" xfId="27827" xr:uid="{4AFD3D81-2939-4226-87B3-01522AC7CBF2}"/>
    <cellStyle name="Normal 2 2 2 3 2 4 4 2 3" xfId="44586" xr:uid="{9AC16089-AC02-47BE-AE1F-6C26B689FD39}"/>
    <cellStyle name="Normal 2 2 2 3 2 4 4 3" xfId="19447" xr:uid="{E9C99FAF-AADD-4613-9D33-94A68EB3DB02}"/>
    <cellStyle name="Normal 2 2 2 3 2 4 4 4" xfId="36206" xr:uid="{1FA279A6-3EF5-4A53-A2EA-C43CDABAD7B2}"/>
    <cellStyle name="Normal 2 2 2 3 2 4 5" xfId="9264" xr:uid="{FE3816D6-433D-43D1-869D-0C630DE22C55}"/>
    <cellStyle name="Normal 2 2 2 3 2 4 5 2" xfId="26024" xr:uid="{87189EC6-0F07-4DEE-A30D-414BAA6AD080}"/>
    <cellStyle name="Normal 2 2 2 3 2 4 5 3" xfId="42783" xr:uid="{DD274F75-53AC-422E-8219-6805023BA608}"/>
    <cellStyle name="Normal 2 2 2 3 2 4 6" xfId="17644" xr:uid="{1284B380-EF7E-4598-9AD0-6A692B77CF22}"/>
    <cellStyle name="Normal 2 2 2 3 2 4 7" xfId="34403" xr:uid="{6A08BCEE-E20F-4523-9A75-999C46F5E4EA}"/>
    <cellStyle name="Normal 2 2 2 3 2 5" xfId="1303" xr:uid="{2FA88F57-8863-44F2-88CC-2E8DE78A175E}"/>
    <cellStyle name="Normal 2 2 2 3 2 5 2" xfId="4692" xr:uid="{35E15C68-6109-4428-ACF2-34D861E2B9CB}"/>
    <cellStyle name="Normal 2 2 2 3 2 5 2 2" xfId="13072" xr:uid="{8E5C98F7-B45B-4814-9FCB-DACE4D8A7D89}"/>
    <cellStyle name="Normal 2 2 2 3 2 5 2 2 2" xfId="29832" xr:uid="{9ED49BFB-EBE5-49C7-B263-B911D6BADBE2}"/>
    <cellStyle name="Normal 2 2 2 3 2 5 2 2 3" xfId="46591" xr:uid="{00BDBC5E-C3D4-4345-8392-50F776DB85F8}"/>
    <cellStyle name="Normal 2 2 2 3 2 5 2 3" xfId="21452" xr:uid="{11A6E797-8D71-4A48-ADF7-B543384DF002}"/>
    <cellStyle name="Normal 2 2 2 3 2 5 2 4" xfId="38211" xr:uid="{788764F4-A397-416A-9B3D-AFD8903AF74E}"/>
    <cellStyle name="Normal 2 2 2 3 2 5 3" xfId="6379" xr:uid="{AD152F1F-51E3-4160-A0E8-70FC39D4CF69}"/>
    <cellStyle name="Normal 2 2 2 3 2 5 3 2" xfId="14759" xr:uid="{7D0C11EF-77F6-440B-91BB-891E51DFFF00}"/>
    <cellStyle name="Normal 2 2 2 3 2 5 3 2 2" xfId="31519" xr:uid="{EAC11E40-DB2B-4DBB-A5A5-6A873CCCD4A6}"/>
    <cellStyle name="Normal 2 2 2 3 2 5 3 2 3" xfId="48278" xr:uid="{CCD512BD-8522-4CD4-970B-2007EE0042CB}"/>
    <cellStyle name="Normal 2 2 2 3 2 5 3 3" xfId="23139" xr:uid="{6C2E87F9-3BD5-47E0-B3C2-735A88F4DBF8}"/>
    <cellStyle name="Normal 2 2 2 3 2 5 3 4" xfId="39898" xr:uid="{4C41B46E-BA8D-4E81-8092-DCFAE1590A68}"/>
    <cellStyle name="Normal 2 2 2 3 2 5 4" xfId="3115" xr:uid="{9D2776F2-33F9-4C80-898A-DF024BF0E63B}"/>
    <cellStyle name="Normal 2 2 2 3 2 5 4 2" xfId="11495" xr:uid="{428A7E7C-5DE3-4381-A7D6-89D245F34E04}"/>
    <cellStyle name="Normal 2 2 2 3 2 5 4 2 2" xfId="28255" xr:uid="{51E32F48-6223-4682-BB00-E3863B8556D2}"/>
    <cellStyle name="Normal 2 2 2 3 2 5 4 2 3" xfId="45014" xr:uid="{C3118967-DF57-4388-9C8D-8CB8EB7270E1}"/>
    <cellStyle name="Normal 2 2 2 3 2 5 4 3" xfId="19875" xr:uid="{6E88FA0B-6864-4506-9A55-862A2E6501AC}"/>
    <cellStyle name="Normal 2 2 2 3 2 5 4 4" xfId="36634" xr:uid="{1611156E-1D35-4A74-935C-2665FA69AC45}"/>
    <cellStyle name="Normal 2 2 2 3 2 5 5" xfId="9692" xr:uid="{942F70F9-4B72-443B-9DA2-263C5871A233}"/>
    <cellStyle name="Normal 2 2 2 3 2 5 5 2" xfId="26452" xr:uid="{CEC59F1A-0AEC-4F7F-8C3C-C3DEE1A3EF47}"/>
    <cellStyle name="Normal 2 2 2 3 2 5 5 3" xfId="43211" xr:uid="{DA8D196D-E425-4621-BDED-7BA713C79F02}"/>
    <cellStyle name="Normal 2 2 2 3 2 5 6" xfId="18072" xr:uid="{C67730EF-D084-4173-AF8A-039E6417EC14}"/>
    <cellStyle name="Normal 2 2 2 3 2 5 7" xfId="34831" xr:uid="{EC9BF729-E0FD-460C-B48F-FB117BFDA753}"/>
    <cellStyle name="Normal 2 2 2 3 2 6" xfId="1724" xr:uid="{D4A13341-D2E2-4EE9-8640-464677A443A4}"/>
    <cellStyle name="Normal 2 2 2 3 2 6 2" xfId="5113" xr:uid="{46F57AF1-9F08-40A5-A6CA-CC288A4650A7}"/>
    <cellStyle name="Normal 2 2 2 3 2 6 2 2" xfId="13493" xr:uid="{1AA41D2D-0594-43C3-B47E-5BE0DD81D035}"/>
    <cellStyle name="Normal 2 2 2 3 2 6 2 2 2" xfId="30253" xr:uid="{A65E06AF-15F3-4516-8780-A23E90ACACE5}"/>
    <cellStyle name="Normal 2 2 2 3 2 6 2 2 3" xfId="47012" xr:uid="{44F4BF2E-6A1B-402F-9A49-D01206EDFFEF}"/>
    <cellStyle name="Normal 2 2 2 3 2 6 2 3" xfId="21873" xr:uid="{BCEEDE1A-9E7C-4E64-9788-F3FD3BE89CD5}"/>
    <cellStyle name="Normal 2 2 2 3 2 6 2 4" xfId="38632" xr:uid="{71928095-4E04-4E09-BA92-14FBCA1C1A8A}"/>
    <cellStyle name="Normal 2 2 2 3 2 6 3" xfId="6800" xr:uid="{5332C22A-100F-4123-B14B-F93F556D8986}"/>
    <cellStyle name="Normal 2 2 2 3 2 6 3 2" xfId="15180" xr:uid="{5FCA78EC-4A9F-44A9-B514-F928335D9C47}"/>
    <cellStyle name="Normal 2 2 2 3 2 6 3 2 2" xfId="31940" xr:uid="{6ACA402B-E8EC-43E9-A6FA-83445FA59A25}"/>
    <cellStyle name="Normal 2 2 2 3 2 6 3 2 3" xfId="48699" xr:uid="{44B0769B-3A8B-4DE7-989C-993848B6E797}"/>
    <cellStyle name="Normal 2 2 2 3 2 6 3 3" xfId="23560" xr:uid="{316E127F-8539-4027-9501-6B52ADEFB0AC}"/>
    <cellStyle name="Normal 2 2 2 3 2 6 3 4" xfId="40319" xr:uid="{795DC32F-2955-4E66-A74A-A17D11C5A224}"/>
    <cellStyle name="Normal 2 2 2 3 2 6 4" xfId="3447" xr:uid="{47118782-269B-4DF8-9C06-31BBE2807A9B}"/>
    <cellStyle name="Normal 2 2 2 3 2 6 4 2" xfId="11827" xr:uid="{A90C079D-F599-41BC-A67B-04346C1A971D}"/>
    <cellStyle name="Normal 2 2 2 3 2 6 4 2 2" xfId="28587" xr:uid="{A5D2CAE7-8B4D-43C8-8084-C550DC2A2345}"/>
    <cellStyle name="Normal 2 2 2 3 2 6 4 2 3" xfId="45346" xr:uid="{0466D8CD-04FF-497B-9EF7-D3850710FA4D}"/>
    <cellStyle name="Normal 2 2 2 3 2 6 4 3" xfId="20207" xr:uid="{D1165EB7-64EF-4521-9B75-5A1146621431}"/>
    <cellStyle name="Normal 2 2 2 3 2 6 4 4" xfId="36966" xr:uid="{9EEFE0D9-E2E5-4030-BE62-E48A31160485}"/>
    <cellStyle name="Normal 2 2 2 3 2 6 5" xfId="10113" xr:uid="{6DD4C57E-B5AE-4DC4-8F21-C7AF5F380D79}"/>
    <cellStyle name="Normal 2 2 2 3 2 6 5 2" xfId="26873" xr:uid="{43218BEA-7258-4723-9EA1-CD72EB9E9540}"/>
    <cellStyle name="Normal 2 2 2 3 2 6 5 3" xfId="43632" xr:uid="{AE6AF8F0-F56C-4850-A02B-B6F9D2254473}"/>
    <cellStyle name="Normal 2 2 2 3 2 6 6" xfId="18493" xr:uid="{690E1A2F-CF26-4D79-B67E-6BAD319D258E}"/>
    <cellStyle name="Normal 2 2 2 3 2 6 7" xfId="35252" xr:uid="{E75824EF-EB9D-4D39-AD18-1A0A3E53CA69}"/>
    <cellStyle name="Normal 2 2 2 3 2 7" xfId="3843" xr:uid="{2D5C9CF7-5802-4063-BFFA-5D4FE6F6D117}"/>
    <cellStyle name="Normal 2 2 2 3 2 7 2" xfId="12223" xr:uid="{4896A777-F0C7-4718-B928-28EEA4F31959}"/>
    <cellStyle name="Normal 2 2 2 3 2 7 2 2" xfId="28983" xr:uid="{8E225C13-8FB8-43AF-A2F3-36F0F915723D}"/>
    <cellStyle name="Normal 2 2 2 3 2 7 2 3" xfId="45742" xr:uid="{9704854F-8A38-48E8-8AF1-3F56DBA13D11}"/>
    <cellStyle name="Normal 2 2 2 3 2 7 3" xfId="20603" xr:uid="{469B09CC-0DD8-4A73-BF73-6015D6E64A2D}"/>
    <cellStyle name="Normal 2 2 2 3 2 7 4" xfId="37362" xr:uid="{96A7591A-F06F-430E-8F45-2EBD3D416668}"/>
    <cellStyle name="Normal 2 2 2 3 2 8" xfId="5525" xr:uid="{297BD89F-A6FC-4525-AF3A-0AB44BDA425B}"/>
    <cellStyle name="Normal 2 2 2 3 2 8 2" xfId="13905" xr:uid="{AFEA6372-2AF5-4E57-93F4-0DF2D5FA1541}"/>
    <cellStyle name="Normal 2 2 2 3 2 8 2 2" xfId="30665" xr:uid="{7C1CD8C7-6BF2-4DB5-ADF9-86E3F9734D2B}"/>
    <cellStyle name="Normal 2 2 2 3 2 8 2 3" xfId="47424" xr:uid="{8E992645-2195-4136-8072-7A6AC2FFBAA1}"/>
    <cellStyle name="Normal 2 2 2 3 2 8 3" xfId="22285" xr:uid="{14B87589-B6F2-4562-872E-BB07059F4A78}"/>
    <cellStyle name="Normal 2 2 2 3 2 8 4" xfId="39044" xr:uid="{07B60B8A-E4CF-4E9A-96C0-44781E1A9401}"/>
    <cellStyle name="Normal 2 2 2 3 2 9" xfId="7206" xr:uid="{949E6A9B-8561-47D2-A946-E7F41FA08BCD}"/>
    <cellStyle name="Normal 2 2 2 3 2 9 2" xfId="15586" xr:uid="{DEABB555-2D89-443A-8276-C08F33D9EE81}"/>
    <cellStyle name="Normal 2 2 2 3 2 9 2 2" xfId="32346" xr:uid="{75EAFD95-FFBB-449B-AC3D-192D550475DB}"/>
    <cellStyle name="Normal 2 2 2 3 2 9 2 3" xfId="49105" xr:uid="{A25A49FF-F773-4029-8567-35FFCA06208E}"/>
    <cellStyle name="Normal 2 2 2 3 2 9 3" xfId="23966" xr:uid="{F61FF6CA-E3EB-4472-A55C-59435E2B24E6}"/>
    <cellStyle name="Normal 2 2 2 3 2 9 4" xfId="40725" xr:uid="{6274BD50-1313-4F7D-9501-09BAC6C2CF6E}"/>
    <cellStyle name="Normal 2 2 2 3 3" xfId="625" xr:uid="{BDD8E96A-3D9A-43BB-A740-2B986A803477}"/>
    <cellStyle name="Normal 2 2 2 3 3 10" xfId="8538" xr:uid="{2ED37942-207C-40C6-A3FE-52AC5D384801}"/>
    <cellStyle name="Normal 2 2 2 3 3 10 2" xfId="16918" xr:uid="{2EC0F2EA-A1C7-4DA5-A16E-14760F7794DE}"/>
    <cellStyle name="Normal 2 2 2 3 3 10 2 2" xfId="33678" xr:uid="{DBBED5DB-8A54-4520-8DCA-73AC5B9A9393}"/>
    <cellStyle name="Normal 2 2 2 3 3 10 2 3" xfId="50437" xr:uid="{D5919297-7C33-4C3C-B085-BAFC2113E16D}"/>
    <cellStyle name="Normal 2 2 2 3 3 10 3" xfId="25298" xr:uid="{EF33F10D-B3B3-49F9-9DC8-EE8FAF457114}"/>
    <cellStyle name="Normal 2 2 2 3 3 10 4" xfId="42057" xr:uid="{925867AD-CDDE-4CDD-9DA9-F8BAB34E198A}"/>
    <cellStyle name="Normal 2 2 2 3 3 11" xfId="2457" xr:uid="{F1916DDB-2B82-4696-967B-84702A19C6AD}"/>
    <cellStyle name="Normal 2 2 2 3 3 11 2" xfId="10839" xr:uid="{B0DBF2A3-F0BE-4EF4-B884-C5B30C260A11}"/>
    <cellStyle name="Normal 2 2 2 3 3 11 2 2" xfId="27599" xr:uid="{6C01E431-1C2D-405A-BB61-C138FF1D6BDA}"/>
    <cellStyle name="Normal 2 2 2 3 3 11 2 3" xfId="44358" xr:uid="{24461A84-363A-427A-835B-B02371B17DD4}"/>
    <cellStyle name="Normal 2 2 2 3 3 11 3" xfId="19219" xr:uid="{634D3AF8-0D28-4EB9-AC74-AED2EA56C3DA}"/>
    <cellStyle name="Normal 2 2 2 3 3 11 4" xfId="35978" xr:uid="{24331F9A-A3AA-4325-B341-AF4B24ABF211}"/>
    <cellStyle name="Normal 2 2 2 3 3 12" xfId="9036" xr:uid="{602B207A-5DEC-44D3-A40F-2876BA2C5474}"/>
    <cellStyle name="Normal 2 2 2 3 3 12 2" xfId="25796" xr:uid="{A489625D-BEDB-4DCB-98D6-A2A0AF04A886}"/>
    <cellStyle name="Normal 2 2 2 3 3 12 3" xfId="42555" xr:uid="{9076DB7D-7E0D-4655-9375-D54F1CBCE641}"/>
    <cellStyle name="Normal 2 2 2 3 3 13" xfId="17416" xr:uid="{9CF04A19-C400-4F02-805B-70B51DAC4512}"/>
    <cellStyle name="Normal 2 2 2 3 3 14" xfId="34175" xr:uid="{5F0243CD-7F31-4DB8-B6FA-FACE9B3863A3}"/>
    <cellStyle name="Normal 2 2 2 3 3 2" xfId="1067" xr:uid="{B909A82A-7434-485B-970E-34E306644D11}"/>
    <cellStyle name="Normal 2 2 2 3 3 2 2" xfId="4462" xr:uid="{EB2D7C8B-9D8B-4952-9C33-417394783858}"/>
    <cellStyle name="Normal 2 2 2 3 3 2 2 2" xfId="12842" xr:uid="{03BE456C-9B70-4EDE-BF8D-82B12DA78C42}"/>
    <cellStyle name="Normal 2 2 2 3 3 2 2 2 2" xfId="29602" xr:uid="{61F138D1-C7E9-4358-BFCE-73B9ABFFDAB8}"/>
    <cellStyle name="Normal 2 2 2 3 3 2 2 2 3" xfId="46361" xr:uid="{57F0A9AD-FECE-4119-AF46-237406227841}"/>
    <cellStyle name="Normal 2 2 2 3 3 2 2 3" xfId="21222" xr:uid="{E90E87C3-8B1C-471D-95AE-1D7ABA7CDCB7}"/>
    <cellStyle name="Normal 2 2 2 3 3 2 2 4" xfId="37981" xr:uid="{46F183F2-FE82-4C50-8D2F-0FBDDDE71B21}"/>
    <cellStyle name="Normal 2 2 2 3 3 2 3" xfId="6149" xr:uid="{D9BAB384-7F7A-417E-BD6B-2E4C1871214C}"/>
    <cellStyle name="Normal 2 2 2 3 3 2 3 2" xfId="14529" xr:uid="{2476E3F2-8922-4D6C-B741-DECFF2FF9850}"/>
    <cellStyle name="Normal 2 2 2 3 3 2 3 2 2" xfId="31289" xr:uid="{D67E2F86-D595-49C2-B779-73D3EBD1646F}"/>
    <cellStyle name="Normal 2 2 2 3 3 2 3 2 3" xfId="48048" xr:uid="{0DA100D6-BBE3-4B90-A176-A7E013ADEAD8}"/>
    <cellStyle name="Normal 2 2 2 3 3 2 3 3" xfId="22909" xr:uid="{AE24C6C2-609B-485B-801E-C63B9EE27F81}"/>
    <cellStyle name="Normal 2 2 2 3 3 2 3 4" xfId="39668" xr:uid="{3D29C79B-D65D-4743-BAD2-E5ED0CAD3739}"/>
    <cellStyle name="Normal 2 2 2 3 3 2 4" xfId="2885" xr:uid="{0131FE37-561B-44FC-ABA7-B3FA473C6866}"/>
    <cellStyle name="Normal 2 2 2 3 3 2 4 2" xfId="11265" xr:uid="{A803EA3F-CE22-4CF2-AA5D-B514A99C6B2B}"/>
    <cellStyle name="Normal 2 2 2 3 3 2 4 2 2" xfId="28025" xr:uid="{EB5EE8A5-733B-49D1-BEB8-462C9CFBBB77}"/>
    <cellStyle name="Normal 2 2 2 3 3 2 4 2 3" xfId="44784" xr:uid="{9E76352D-3C50-41BD-8E75-478EB3A7E859}"/>
    <cellStyle name="Normal 2 2 2 3 3 2 4 3" xfId="19645" xr:uid="{D9F035D4-9CB7-451B-AC4F-9EEFF9045988}"/>
    <cellStyle name="Normal 2 2 2 3 3 2 4 4" xfId="36404" xr:uid="{E3799890-A9FA-499E-8EA2-CC2320E1C6ED}"/>
    <cellStyle name="Normal 2 2 2 3 3 2 5" xfId="9462" xr:uid="{61CDB191-BD07-490F-B802-E143144EE621}"/>
    <cellStyle name="Normal 2 2 2 3 3 2 5 2" xfId="26222" xr:uid="{02826555-CF56-48F9-B5BC-36DA8907505B}"/>
    <cellStyle name="Normal 2 2 2 3 3 2 5 3" xfId="42981" xr:uid="{CF9C3075-BAB8-4C81-8AA3-EBBFD87BB7A9}"/>
    <cellStyle name="Normal 2 2 2 3 3 2 6" xfId="17842" xr:uid="{78159FAD-2811-4E6C-B990-37C8A9323370}"/>
    <cellStyle name="Normal 2 2 2 3 3 2 7" xfId="34601" xr:uid="{81F76740-776A-4090-8065-05318E84BF88}"/>
    <cellStyle name="Normal 2 2 2 3 3 3" xfId="1501" xr:uid="{3AF5BC9C-8B8E-4F6E-BC70-61A336B2FCEA}"/>
    <cellStyle name="Normal 2 2 2 3 3 3 2" xfId="4890" xr:uid="{1EE73012-FDD7-4845-B352-C9222AE511CB}"/>
    <cellStyle name="Normal 2 2 2 3 3 3 2 2" xfId="13270" xr:uid="{153AF0D3-FB04-4EE6-A1D2-E57BA5B94391}"/>
    <cellStyle name="Normal 2 2 2 3 3 3 2 2 2" xfId="30030" xr:uid="{3842E8BD-BDB7-4484-B6A0-8970E38091CE}"/>
    <cellStyle name="Normal 2 2 2 3 3 3 2 2 3" xfId="46789" xr:uid="{FBCAC6DA-916F-4990-A164-2B6A24646DF3}"/>
    <cellStyle name="Normal 2 2 2 3 3 3 2 3" xfId="21650" xr:uid="{C6C798BF-C646-4A9F-BA93-5F169A242EA7}"/>
    <cellStyle name="Normal 2 2 2 3 3 3 2 4" xfId="38409" xr:uid="{A090159E-436D-4E50-9964-4858501BF720}"/>
    <cellStyle name="Normal 2 2 2 3 3 3 3" xfId="6577" xr:uid="{EC3C9142-516F-4810-9586-9069CF697306}"/>
    <cellStyle name="Normal 2 2 2 3 3 3 3 2" xfId="14957" xr:uid="{1B7F1825-3CC8-4213-982A-F2ADDE60FE3A}"/>
    <cellStyle name="Normal 2 2 2 3 3 3 3 2 2" xfId="31717" xr:uid="{3E03FB16-5208-497B-A233-0AB3805F822C}"/>
    <cellStyle name="Normal 2 2 2 3 3 3 3 2 3" xfId="48476" xr:uid="{FD455731-C303-41BB-B57B-3BC3AAEF3052}"/>
    <cellStyle name="Normal 2 2 2 3 3 3 3 3" xfId="23337" xr:uid="{BA9F0516-72A7-405F-98E2-660E9039A214}"/>
    <cellStyle name="Normal 2 2 2 3 3 3 3 4" xfId="40096" xr:uid="{8F8D4D01-72CA-41CD-AD8E-9F4662F9CF91}"/>
    <cellStyle name="Normal 2 2 2 3 3 3 4" xfId="3313" xr:uid="{4C5C94A0-D090-40AC-AD6B-6A2112279937}"/>
    <cellStyle name="Normal 2 2 2 3 3 3 4 2" xfId="11693" xr:uid="{7C9AFE20-61CB-4D36-A220-F31D8ADAA207}"/>
    <cellStyle name="Normal 2 2 2 3 3 3 4 2 2" xfId="28453" xr:uid="{73386F1E-C185-41FA-AD51-95C52ADAA7D8}"/>
    <cellStyle name="Normal 2 2 2 3 3 3 4 2 3" xfId="45212" xr:uid="{624C4DE2-EA93-40ED-B505-FDE5DC218B89}"/>
    <cellStyle name="Normal 2 2 2 3 3 3 4 3" xfId="20073" xr:uid="{7F815C6C-9735-4D6A-A1F5-EC3F0798AB8F}"/>
    <cellStyle name="Normal 2 2 2 3 3 3 4 4" xfId="36832" xr:uid="{389905EA-6F8B-4002-8AB8-85FD6F909E87}"/>
    <cellStyle name="Normal 2 2 2 3 3 3 5" xfId="9890" xr:uid="{3F080102-C09E-4AF7-9B1B-1DD3E02A6D3D}"/>
    <cellStyle name="Normal 2 2 2 3 3 3 5 2" xfId="26650" xr:uid="{F8A75DD3-380B-4E6B-A025-8267F15C209C}"/>
    <cellStyle name="Normal 2 2 2 3 3 3 5 3" xfId="43409" xr:uid="{266DEBF5-4843-4BCB-B944-0C25D5AA95BC}"/>
    <cellStyle name="Normal 2 2 2 3 3 3 6" xfId="18270" xr:uid="{F8D2093C-90C3-489C-9B57-663F227C3EE8}"/>
    <cellStyle name="Normal 2 2 2 3 3 3 7" xfId="35029" xr:uid="{FB15BF63-08EC-403E-A1C0-656FF2177389}"/>
    <cellStyle name="Normal 2 2 2 3 3 4" xfId="1838" xr:uid="{810CB405-DFAF-422A-ABB7-43AE825EF580}"/>
    <cellStyle name="Normal 2 2 2 3 3 4 2" xfId="5227" xr:uid="{5345BA74-7573-4B5C-B705-F157F8AF6868}"/>
    <cellStyle name="Normal 2 2 2 3 3 4 2 2" xfId="13607" xr:uid="{C626C6D3-5A66-4D32-9AA1-039B898363CB}"/>
    <cellStyle name="Normal 2 2 2 3 3 4 2 2 2" xfId="30367" xr:uid="{8A6CCF4F-29DB-4C48-A797-09C3369CCC68}"/>
    <cellStyle name="Normal 2 2 2 3 3 4 2 2 3" xfId="47126" xr:uid="{EB51EA38-6660-42CC-BF5E-095438AEE353}"/>
    <cellStyle name="Normal 2 2 2 3 3 4 2 3" xfId="21987" xr:uid="{4A39A81D-5480-4A4F-B972-229772F2B46C}"/>
    <cellStyle name="Normal 2 2 2 3 3 4 2 4" xfId="38746" xr:uid="{389AFE2E-E82A-47A9-BBD0-C0EF4E1D0792}"/>
    <cellStyle name="Normal 2 2 2 3 3 4 3" xfId="6914" xr:uid="{7D55FD18-98A6-42D9-A5B1-9C7B327590E0}"/>
    <cellStyle name="Normal 2 2 2 3 3 4 3 2" xfId="15294" xr:uid="{FCB3AF29-D011-4151-A763-46581F5EC028}"/>
    <cellStyle name="Normal 2 2 2 3 3 4 3 2 2" xfId="32054" xr:uid="{595EF57B-0388-488F-BBC1-443DEDF9EF1A}"/>
    <cellStyle name="Normal 2 2 2 3 3 4 3 2 3" xfId="48813" xr:uid="{9A2D4F8E-3AD8-440B-99F7-4B0950A250E0}"/>
    <cellStyle name="Normal 2 2 2 3 3 4 3 3" xfId="23674" xr:uid="{DA2966C5-672E-4E91-8696-818B7C4E4DE5}"/>
    <cellStyle name="Normal 2 2 2 3 3 4 3 4" xfId="40433" xr:uid="{6E4E02EE-976C-4552-BB42-B45173FDDA37}"/>
    <cellStyle name="Normal 2 2 2 3 3 4 4" xfId="3538" xr:uid="{59B9D0E2-883E-446F-9CA8-94A4ED73ABC8}"/>
    <cellStyle name="Normal 2 2 2 3 3 4 4 2" xfId="11918" xr:uid="{D1FF28F8-38E0-4E21-8544-FDDB6B910F69}"/>
    <cellStyle name="Normal 2 2 2 3 3 4 4 2 2" xfId="28678" xr:uid="{F4CFCF45-42FA-4636-957C-BE22BC7D70C2}"/>
    <cellStyle name="Normal 2 2 2 3 3 4 4 2 3" xfId="45437" xr:uid="{D16585D8-3D9D-486C-9472-0395BCBCE7E3}"/>
    <cellStyle name="Normal 2 2 2 3 3 4 4 3" xfId="20298" xr:uid="{59F4F884-9794-4E5D-B6BB-3EA2529104E2}"/>
    <cellStyle name="Normal 2 2 2 3 3 4 4 4" xfId="37057" xr:uid="{3AAB98AA-4C73-48A8-92D1-3F7E9ADE5D8B}"/>
    <cellStyle name="Normal 2 2 2 3 3 4 5" xfId="10227" xr:uid="{AB6DE26F-ED56-47C7-A2C1-C137F4F51FE5}"/>
    <cellStyle name="Normal 2 2 2 3 3 4 5 2" xfId="26987" xr:uid="{061873FB-7649-4396-B662-2D2FDC6ED21E}"/>
    <cellStyle name="Normal 2 2 2 3 3 4 5 3" xfId="43746" xr:uid="{BCC0ABA9-1D23-474C-AB52-F07AA8ACEEB6}"/>
    <cellStyle name="Normal 2 2 2 3 3 4 6" xfId="18607" xr:uid="{574EBFE4-D51A-4796-9D82-2BA383384011}"/>
    <cellStyle name="Normal 2 2 2 3 3 4 7" xfId="35366" xr:uid="{F3275C1A-12BB-40D4-95DA-4D5C26AACCC2}"/>
    <cellStyle name="Normal 2 2 2 3 3 5" xfId="3957" xr:uid="{8651C432-4EAC-48D5-9C05-9B9CBFF8E74A}"/>
    <cellStyle name="Normal 2 2 2 3 3 5 2" xfId="12337" xr:uid="{B3581D37-D6BB-402E-9758-A37EC359C7A3}"/>
    <cellStyle name="Normal 2 2 2 3 3 5 2 2" xfId="29097" xr:uid="{3290E814-3355-449D-B7BA-B2D87A9E19FE}"/>
    <cellStyle name="Normal 2 2 2 3 3 5 2 3" xfId="45856" xr:uid="{38114767-A48F-4C62-8060-18A1735563D6}"/>
    <cellStyle name="Normal 2 2 2 3 3 5 3" xfId="20717" xr:uid="{569D11EA-2579-4073-A746-904CF9EAEB1E}"/>
    <cellStyle name="Normal 2 2 2 3 3 5 4" xfId="37476" xr:uid="{86BE7160-DE50-4D35-B87E-69EA560BFA24}"/>
    <cellStyle name="Normal 2 2 2 3 3 6" xfId="5723" xr:uid="{E8AB862D-39BD-44B4-91BB-047D2E16EE54}"/>
    <cellStyle name="Normal 2 2 2 3 3 6 2" xfId="14103" xr:uid="{B58AB0EE-880A-4FE9-9EA3-89E43DAF23D5}"/>
    <cellStyle name="Normal 2 2 2 3 3 6 2 2" xfId="30863" xr:uid="{6A1C9353-B577-487E-9602-38979A23702C}"/>
    <cellStyle name="Normal 2 2 2 3 3 6 2 3" xfId="47622" xr:uid="{E1079F7B-1F5D-4E8F-8FBF-6321C2B29063}"/>
    <cellStyle name="Normal 2 2 2 3 3 6 3" xfId="22483" xr:uid="{BA6F85F0-F43D-4897-8527-697A163282B8}"/>
    <cellStyle name="Normal 2 2 2 3 3 6 4" xfId="39242" xr:uid="{0B1CAB52-62D4-4006-86D1-EC1049EE2699}"/>
    <cellStyle name="Normal 2 2 2 3 3 7" xfId="7320" xr:uid="{F4182371-2EF8-4C46-9632-FF4B4D03C93D}"/>
    <cellStyle name="Normal 2 2 2 3 3 7 2" xfId="15700" xr:uid="{91507D94-22DE-4B2C-BC28-C129FD9C7B8C}"/>
    <cellStyle name="Normal 2 2 2 3 3 7 2 2" xfId="32460" xr:uid="{397604E5-CDF5-4639-A598-321E3F1BE0A3}"/>
    <cellStyle name="Normal 2 2 2 3 3 7 2 3" xfId="49219" xr:uid="{15F3A12E-397F-4C5E-BAF9-D4B79885C7C4}"/>
    <cellStyle name="Normal 2 2 2 3 3 7 3" xfId="24080" xr:uid="{CDCFD105-CE9F-48CD-82B6-682FE914553C}"/>
    <cellStyle name="Normal 2 2 2 3 3 7 4" xfId="40839" xr:uid="{0288BB3D-BCFD-43B9-879D-AC6EC5B897BA}"/>
    <cellStyle name="Normal 2 2 2 3 3 8" xfId="7726" xr:uid="{F65FCD3C-A623-4C6D-BD48-10B223D87D4C}"/>
    <cellStyle name="Normal 2 2 2 3 3 8 2" xfId="16106" xr:uid="{73C51A02-ED5C-40D5-83E0-F494A3B04751}"/>
    <cellStyle name="Normal 2 2 2 3 3 8 2 2" xfId="32866" xr:uid="{A378542E-B95F-4D76-AF10-9E673953A5FD}"/>
    <cellStyle name="Normal 2 2 2 3 3 8 2 3" xfId="49625" xr:uid="{B8B6153B-713D-45E7-9FAA-BB54DE6B0B22}"/>
    <cellStyle name="Normal 2 2 2 3 3 8 3" xfId="24486" xr:uid="{EDAED7F2-35C8-4B32-BE36-4F1E79CE5B1F}"/>
    <cellStyle name="Normal 2 2 2 3 3 8 4" xfId="41245" xr:uid="{84CD9CD3-C71C-427F-A1A9-D34F189CFCAC}"/>
    <cellStyle name="Normal 2 2 2 3 3 9" xfId="8132" xr:uid="{5080C315-DA37-4A3B-AB89-301DFF3CE47F}"/>
    <cellStyle name="Normal 2 2 2 3 3 9 2" xfId="16512" xr:uid="{66EB0B9B-C1CE-4994-B7DF-35616D7C1653}"/>
    <cellStyle name="Normal 2 2 2 3 3 9 2 2" xfId="33272" xr:uid="{412C69E7-814A-4940-9E18-D45E1232AAF1}"/>
    <cellStyle name="Normal 2 2 2 3 3 9 2 3" xfId="50031" xr:uid="{874FB43D-14FD-4B3B-8BEF-2190A5C02B4C}"/>
    <cellStyle name="Normal 2 2 2 3 3 9 3" xfId="24892" xr:uid="{0FBAA67F-9057-42B5-AD6F-37E36B6ABE84}"/>
    <cellStyle name="Normal 2 2 2 3 3 9 4" xfId="41651" xr:uid="{354B252F-127D-4A9E-B3D2-5DEB2DC5F0D0}"/>
    <cellStyle name="Normal 2 2 2 3 4" xfId="626" xr:uid="{6B66AC9A-E34D-42F1-B6A5-EB5C3F8C9342}"/>
    <cellStyle name="Normal 2 2 2 3 4 10" xfId="8659" xr:uid="{C988361E-0D3E-4234-B8CE-8C3AF8A1EE8A}"/>
    <cellStyle name="Normal 2 2 2 3 4 10 2" xfId="17039" xr:uid="{28FF59E6-D232-436D-B2E7-251965886ED8}"/>
    <cellStyle name="Normal 2 2 2 3 4 10 2 2" xfId="33799" xr:uid="{93BDB03C-EC2C-406D-A60D-564881C4BD33}"/>
    <cellStyle name="Normal 2 2 2 3 4 10 2 3" xfId="50558" xr:uid="{337EBF40-8B45-4D78-8F29-C1BD206AD2A5}"/>
    <cellStyle name="Normal 2 2 2 3 4 10 3" xfId="25419" xr:uid="{D18E2E02-38A4-4A50-8232-00A9008D3846}"/>
    <cellStyle name="Normal 2 2 2 3 4 10 4" xfId="42178" xr:uid="{4C679FA1-D16E-4104-A2FC-6D1A55AD20F3}"/>
    <cellStyle name="Normal 2 2 2 3 4 11" xfId="2458" xr:uid="{CAEFE65B-4512-4AC4-84F4-995EE907DCA1}"/>
    <cellStyle name="Normal 2 2 2 3 4 11 2" xfId="10840" xr:uid="{47BC5CC6-E47A-48A2-A050-F69BF511BF69}"/>
    <cellStyle name="Normal 2 2 2 3 4 11 2 2" xfId="27600" xr:uid="{873B9004-DA56-43C6-96B1-485C32156B92}"/>
    <cellStyle name="Normal 2 2 2 3 4 11 2 3" xfId="44359" xr:uid="{EECEC2CB-96A8-43E8-ABD5-6AA3BE48E9C6}"/>
    <cellStyle name="Normal 2 2 2 3 4 11 3" xfId="19220" xr:uid="{614AF705-43A2-4FCF-B55F-097E5A5D5043}"/>
    <cellStyle name="Normal 2 2 2 3 4 11 4" xfId="35979" xr:uid="{86C66EFF-4526-4150-9CED-503506AB3385}"/>
    <cellStyle name="Normal 2 2 2 3 4 12" xfId="9037" xr:uid="{56263F9C-27AA-4AC4-A752-213FC3303186}"/>
    <cellStyle name="Normal 2 2 2 3 4 12 2" xfId="25797" xr:uid="{713A5887-F1A9-41E3-A161-9A105EC3B1E4}"/>
    <cellStyle name="Normal 2 2 2 3 4 12 3" xfId="42556" xr:uid="{0B4D5F6E-0534-45BA-8DD2-18D353DA6CF3}"/>
    <cellStyle name="Normal 2 2 2 3 4 13" xfId="17417" xr:uid="{56276F87-F242-4CEC-AB69-220697F51625}"/>
    <cellStyle name="Normal 2 2 2 3 4 14" xfId="34176" xr:uid="{319D9712-C8DA-4549-8EA0-6D4D5885210C}"/>
    <cellStyle name="Normal 2 2 2 3 4 2" xfId="1068" xr:uid="{715CD01C-AE3F-4501-9351-862A91CA19D0}"/>
    <cellStyle name="Normal 2 2 2 3 4 2 2" xfId="4463" xr:uid="{E458F7BD-7A2E-493E-B811-F151AD9E5A2C}"/>
    <cellStyle name="Normal 2 2 2 3 4 2 2 2" xfId="12843" xr:uid="{2D026B75-CF20-4CCA-B387-9BC485C02BCA}"/>
    <cellStyle name="Normal 2 2 2 3 4 2 2 2 2" xfId="29603" xr:uid="{FB4B9105-D535-4FAB-A033-3A9D792C6D57}"/>
    <cellStyle name="Normal 2 2 2 3 4 2 2 2 3" xfId="46362" xr:uid="{2A32FDC0-7BFE-4551-A539-AE369CBAE79D}"/>
    <cellStyle name="Normal 2 2 2 3 4 2 2 3" xfId="21223" xr:uid="{C82B82B5-CD96-4BC1-93EB-E7F3F51281B8}"/>
    <cellStyle name="Normal 2 2 2 3 4 2 2 4" xfId="37982" xr:uid="{6E037685-6926-4770-A4C9-D2E377DEBC38}"/>
    <cellStyle name="Normal 2 2 2 3 4 2 3" xfId="6150" xr:uid="{742B14AB-E484-4E53-B4D2-5AF50F6EEBB8}"/>
    <cellStyle name="Normal 2 2 2 3 4 2 3 2" xfId="14530" xr:uid="{D45DFA84-1BF6-4939-A3EF-3D6D43DA8072}"/>
    <cellStyle name="Normal 2 2 2 3 4 2 3 2 2" xfId="31290" xr:uid="{F7AF76EE-BF5D-4594-8CA6-1290BDB2B683}"/>
    <cellStyle name="Normal 2 2 2 3 4 2 3 2 3" xfId="48049" xr:uid="{5DB14771-BBC6-44C0-ACA8-BDB9EA0A9463}"/>
    <cellStyle name="Normal 2 2 2 3 4 2 3 3" xfId="22910" xr:uid="{305BD483-E3DB-45E2-B62D-590BAB2C24C1}"/>
    <cellStyle name="Normal 2 2 2 3 4 2 3 4" xfId="39669" xr:uid="{57E84AB6-70A2-4E94-94CB-16BCCC42ED69}"/>
    <cellStyle name="Normal 2 2 2 3 4 2 4" xfId="2886" xr:uid="{5BB5C35F-1E9B-420D-8E53-3B716C0173B1}"/>
    <cellStyle name="Normal 2 2 2 3 4 2 4 2" xfId="11266" xr:uid="{985AF6A2-8C1B-4220-9F6B-5EF5C9CA7838}"/>
    <cellStyle name="Normal 2 2 2 3 4 2 4 2 2" xfId="28026" xr:uid="{6470E648-C894-4F95-827B-8550D1A7511B}"/>
    <cellStyle name="Normal 2 2 2 3 4 2 4 2 3" xfId="44785" xr:uid="{97C19710-3831-4C40-ABCB-8300D7DC52FD}"/>
    <cellStyle name="Normal 2 2 2 3 4 2 4 3" xfId="19646" xr:uid="{461DF348-7D5A-4331-9D92-5333EFA602BC}"/>
    <cellStyle name="Normal 2 2 2 3 4 2 4 4" xfId="36405" xr:uid="{65711EBF-782F-450F-BBE4-5B1F92694302}"/>
    <cellStyle name="Normal 2 2 2 3 4 2 5" xfId="9463" xr:uid="{4B6AAF01-545D-4C06-B198-C3EB14B0DC3D}"/>
    <cellStyle name="Normal 2 2 2 3 4 2 5 2" xfId="26223" xr:uid="{52BD08E5-BD2E-4802-88C4-DD4711BC0FF7}"/>
    <cellStyle name="Normal 2 2 2 3 4 2 5 3" xfId="42982" xr:uid="{CBDB2D9E-893B-4B95-A4E6-DE1171444AE3}"/>
    <cellStyle name="Normal 2 2 2 3 4 2 6" xfId="17843" xr:uid="{CC450F8D-2574-4C14-A307-6ECD6362F4CA}"/>
    <cellStyle name="Normal 2 2 2 3 4 2 7" xfId="34602" xr:uid="{9173384E-3817-4745-A6EE-6168689CC8F8}"/>
    <cellStyle name="Normal 2 2 2 3 4 3" xfId="1502" xr:uid="{9A0DD8DE-856F-4D66-AC29-8769AB905AE6}"/>
    <cellStyle name="Normal 2 2 2 3 4 3 2" xfId="4891" xr:uid="{FCFC8198-EF6F-4317-808C-0C31ED07EE7E}"/>
    <cellStyle name="Normal 2 2 2 3 4 3 2 2" xfId="13271" xr:uid="{37A4EB5C-BFD5-443D-98FF-4A514DFF58A7}"/>
    <cellStyle name="Normal 2 2 2 3 4 3 2 2 2" xfId="30031" xr:uid="{2A0E1C45-72FF-4514-897A-D2BE9B93370E}"/>
    <cellStyle name="Normal 2 2 2 3 4 3 2 2 3" xfId="46790" xr:uid="{7438A919-0757-48CB-80C3-6E50D423F2E1}"/>
    <cellStyle name="Normal 2 2 2 3 4 3 2 3" xfId="21651" xr:uid="{8696781A-CC9C-4EC4-AB6B-57D7767716F7}"/>
    <cellStyle name="Normal 2 2 2 3 4 3 2 4" xfId="38410" xr:uid="{AF5C1E4E-DB41-4196-A794-364587721E68}"/>
    <cellStyle name="Normal 2 2 2 3 4 3 3" xfId="6578" xr:uid="{6D956B88-3751-4675-9786-985EE72EB0E9}"/>
    <cellStyle name="Normal 2 2 2 3 4 3 3 2" xfId="14958" xr:uid="{74CA06D5-7F22-48CF-A25E-4C05279F87A6}"/>
    <cellStyle name="Normal 2 2 2 3 4 3 3 2 2" xfId="31718" xr:uid="{CC17CE31-6EDA-46EA-B5E4-53B3AC4FABE1}"/>
    <cellStyle name="Normal 2 2 2 3 4 3 3 2 3" xfId="48477" xr:uid="{50FEFD48-9DCF-462A-9B51-39AE821E5B7E}"/>
    <cellStyle name="Normal 2 2 2 3 4 3 3 3" xfId="23338" xr:uid="{E151A330-6281-45FB-AD7D-1B1743BF2A06}"/>
    <cellStyle name="Normal 2 2 2 3 4 3 3 4" xfId="40097" xr:uid="{14C9AB4E-A375-45F8-AC2C-A5539934A107}"/>
    <cellStyle name="Normal 2 2 2 3 4 3 4" xfId="3314" xr:uid="{D3C6FF22-6238-4BE0-9300-F8738B0BA289}"/>
    <cellStyle name="Normal 2 2 2 3 4 3 4 2" xfId="11694" xr:uid="{3AEF0940-CAD9-42F6-BDC2-0F09D462B029}"/>
    <cellStyle name="Normal 2 2 2 3 4 3 4 2 2" xfId="28454" xr:uid="{5893DC09-526C-4AB7-8043-3151554D4E83}"/>
    <cellStyle name="Normal 2 2 2 3 4 3 4 2 3" xfId="45213" xr:uid="{1BE4B26B-DAB3-4AD6-A1B0-EB43991FA2C7}"/>
    <cellStyle name="Normal 2 2 2 3 4 3 4 3" xfId="20074" xr:uid="{8E53E46D-781F-4D6A-B7F7-E7D91FA9F5FA}"/>
    <cellStyle name="Normal 2 2 2 3 4 3 4 4" xfId="36833" xr:uid="{08CFA333-35F1-4B91-B751-175751354473}"/>
    <cellStyle name="Normal 2 2 2 3 4 3 5" xfId="9891" xr:uid="{96E86ED3-DC64-4E0C-8195-E8891FF4B709}"/>
    <cellStyle name="Normal 2 2 2 3 4 3 5 2" xfId="26651" xr:uid="{C69F15A1-B848-4C5D-AD48-B77C1CFAC684}"/>
    <cellStyle name="Normal 2 2 2 3 4 3 5 3" xfId="43410" xr:uid="{B26BC039-63A5-4C6C-9B5C-110D1522E6D0}"/>
    <cellStyle name="Normal 2 2 2 3 4 3 6" xfId="18271" xr:uid="{3C7E694C-78FD-4496-AD4D-E528B1B8F6A3}"/>
    <cellStyle name="Normal 2 2 2 3 4 3 7" xfId="35030" xr:uid="{BA4A7F40-990D-4C3A-82F5-292C6BD845E8}"/>
    <cellStyle name="Normal 2 2 2 3 4 4" xfId="1959" xr:uid="{C13D037E-DF1F-4B6A-93E0-FFC1B794DD64}"/>
    <cellStyle name="Normal 2 2 2 3 4 4 2" xfId="5348" xr:uid="{9A4CEB5B-EA1A-4D25-A33F-CE71E8C2D540}"/>
    <cellStyle name="Normal 2 2 2 3 4 4 2 2" xfId="13728" xr:uid="{318999CC-1B79-492F-AD2E-F467A9448564}"/>
    <cellStyle name="Normal 2 2 2 3 4 4 2 2 2" xfId="30488" xr:uid="{4526F301-074F-45CC-994A-8A39708F9DB9}"/>
    <cellStyle name="Normal 2 2 2 3 4 4 2 2 3" xfId="47247" xr:uid="{64EB329C-E64F-4452-A82F-617A611809A5}"/>
    <cellStyle name="Normal 2 2 2 3 4 4 2 3" xfId="22108" xr:uid="{368F08A7-D133-4FF3-9BEC-C7B77E49BEBB}"/>
    <cellStyle name="Normal 2 2 2 3 4 4 2 4" xfId="38867" xr:uid="{66E46361-04FA-46D6-8E45-AA65897C30F1}"/>
    <cellStyle name="Normal 2 2 2 3 4 4 3" xfId="7035" xr:uid="{A9E0101A-B7B6-41E2-BE4F-C5F428730D3A}"/>
    <cellStyle name="Normal 2 2 2 3 4 4 3 2" xfId="15415" xr:uid="{5E203EB7-3E15-423D-8FE7-73B0BEFB8D78}"/>
    <cellStyle name="Normal 2 2 2 3 4 4 3 2 2" xfId="32175" xr:uid="{15AF3EAE-61D5-4120-B966-4FE4F9280AD3}"/>
    <cellStyle name="Normal 2 2 2 3 4 4 3 2 3" xfId="48934" xr:uid="{CD5478DF-B00D-497C-A1DE-CE468009B3BD}"/>
    <cellStyle name="Normal 2 2 2 3 4 4 3 3" xfId="23795" xr:uid="{DC938A11-C1C9-43ED-90F3-B0DCA7B85E97}"/>
    <cellStyle name="Normal 2 2 2 3 4 4 3 4" xfId="40554" xr:uid="{5FBFB69F-E41F-4AA2-B1E1-2336C1A9FD33}"/>
    <cellStyle name="Normal 2 2 2 3 4 4 4" xfId="3658" xr:uid="{CC8A2F54-1861-4BAE-B055-C954B0BCFE35}"/>
    <cellStyle name="Normal 2 2 2 3 4 4 4 2" xfId="12038" xr:uid="{F0E7D8F6-6999-4D78-AF51-BFAAB5B7F3DF}"/>
    <cellStyle name="Normal 2 2 2 3 4 4 4 2 2" xfId="28798" xr:uid="{0B5E76E7-A70C-49AD-96C1-E64BD4C8A919}"/>
    <cellStyle name="Normal 2 2 2 3 4 4 4 2 3" xfId="45557" xr:uid="{CF88F067-CE1E-445C-AAB7-9EDE61CC71D9}"/>
    <cellStyle name="Normal 2 2 2 3 4 4 4 3" xfId="20418" xr:uid="{BD977AB9-6B9A-4115-9B13-D06167C74475}"/>
    <cellStyle name="Normal 2 2 2 3 4 4 4 4" xfId="37177" xr:uid="{63BCEF89-942C-460C-AFDF-AE13DE144AE2}"/>
    <cellStyle name="Normal 2 2 2 3 4 4 5" xfId="10348" xr:uid="{05265B83-4603-4B1F-92DE-02CA714B428B}"/>
    <cellStyle name="Normal 2 2 2 3 4 4 5 2" xfId="27108" xr:uid="{C04E7BBA-5D4F-44D5-9899-20BE44D85260}"/>
    <cellStyle name="Normal 2 2 2 3 4 4 5 3" xfId="43867" xr:uid="{8E6BFA99-6AE8-457A-9C8A-4AFB0EA620C3}"/>
    <cellStyle name="Normal 2 2 2 3 4 4 6" xfId="18728" xr:uid="{1956259B-53B5-4CBF-8F1B-F4342EABFF79}"/>
    <cellStyle name="Normal 2 2 2 3 4 4 7" xfId="35487" xr:uid="{63AEC065-4B9E-4C38-8E23-B43DB6FFBB9A}"/>
    <cellStyle name="Normal 2 2 2 3 4 5" xfId="4078" xr:uid="{68C7620E-C83C-40D1-B782-03DC092D6F85}"/>
    <cellStyle name="Normal 2 2 2 3 4 5 2" xfId="12458" xr:uid="{FAB11892-AFAD-4399-81D6-27A9683E0605}"/>
    <cellStyle name="Normal 2 2 2 3 4 5 2 2" xfId="29218" xr:uid="{E071513B-624C-4647-A807-148C65B53D4C}"/>
    <cellStyle name="Normal 2 2 2 3 4 5 2 3" xfId="45977" xr:uid="{4A20BC0B-C968-41C2-A435-26E24B764E29}"/>
    <cellStyle name="Normal 2 2 2 3 4 5 3" xfId="20838" xr:uid="{1F101921-F030-4279-A92D-ECB79677D548}"/>
    <cellStyle name="Normal 2 2 2 3 4 5 4" xfId="37597" xr:uid="{EB1EC113-B158-419C-926E-A2C711D11F18}"/>
    <cellStyle name="Normal 2 2 2 3 4 6" xfId="5724" xr:uid="{24E4E339-F279-4AB9-96DE-1E40DDD178EE}"/>
    <cellStyle name="Normal 2 2 2 3 4 6 2" xfId="14104" xr:uid="{51EC5269-9297-40BE-A901-836B2ACBC9C7}"/>
    <cellStyle name="Normal 2 2 2 3 4 6 2 2" xfId="30864" xr:uid="{9358D92C-A4EF-42AE-8E06-89E7807A3B24}"/>
    <cellStyle name="Normal 2 2 2 3 4 6 2 3" xfId="47623" xr:uid="{B9D14AD9-C950-4995-953F-35E8DBC49E86}"/>
    <cellStyle name="Normal 2 2 2 3 4 6 3" xfId="22484" xr:uid="{47052416-56B7-4679-8F7E-537B863BA2B0}"/>
    <cellStyle name="Normal 2 2 2 3 4 6 4" xfId="39243" xr:uid="{81E4F2A5-C0B5-455B-8C68-EF4294E66F40}"/>
    <cellStyle name="Normal 2 2 2 3 4 7" xfId="7441" xr:uid="{989B9532-D1CA-42E9-BDEE-DA3E97133A83}"/>
    <cellStyle name="Normal 2 2 2 3 4 7 2" xfId="15821" xr:uid="{827DF8A1-3152-49FD-841D-6E19A0CDDD9A}"/>
    <cellStyle name="Normal 2 2 2 3 4 7 2 2" xfId="32581" xr:uid="{03C50319-9837-4F48-9C97-1B817CEDF89D}"/>
    <cellStyle name="Normal 2 2 2 3 4 7 2 3" xfId="49340" xr:uid="{4A7E80CA-5AC2-4E80-83DF-0ED7D80C65E4}"/>
    <cellStyle name="Normal 2 2 2 3 4 7 3" xfId="24201" xr:uid="{1A0082C0-8BE4-43FB-9152-070D875C53C9}"/>
    <cellStyle name="Normal 2 2 2 3 4 7 4" xfId="40960" xr:uid="{684AE9DA-E1E4-4EC0-B754-F27E90ED75F6}"/>
    <cellStyle name="Normal 2 2 2 3 4 8" xfId="7847" xr:uid="{0B7D424F-5A07-4E6B-821A-67638B14EC78}"/>
    <cellStyle name="Normal 2 2 2 3 4 8 2" xfId="16227" xr:uid="{6EEA2FCA-49E5-467E-BF19-2F66F1349993}"/>
    <cellStyle name="Normal 2 2 2 3 4 8 2 2" xfId="32987" xr:uid="{55AADF3E-1FFB-4288-8486-7037DB2BF0BE}"/>
    <cellStyle name="Normal 2 2 2 3 4 8 2 3" xfId="49746" xr:uid="{FD087B45-2E24-4903-9AA5-5375B1DEAEB6}"/>
    <cellStyle name="Normal 2 2 2 3 4 8 3" xfId="24607" xr:uid="{706048E1-1AA1-4DB0-A9D8-C0BF8F470520}"/>
    <cellStyle name="Normal 2 2 2 3 4 8 4" xfId="41366" xr:uid="{130F1977-FC88-4826-AE8C-86FA60E568AC}"/>
    <cellStyle name="Normal 2 2 2 3 4 9" xfId="8253" xr:uid="{1429146D-1544-4C9E-BA20-FF3EF94B928C}"/>
    <cellStyle name="Normal 2 2 2 3 4 9 2" xfId="16633" xr:uid="{5F6CE56B-6F56-40FF-A35B-B053FFA0B04B}"/>
    <cellStyle name="Normal 2 2 2 3 4 9 2 2" xfId="33393" xr:uid="{4E5B1748-9910-42C9-A782-B862C5901C74}"/>
    <cellStyle name="Normal 2 2 2 3 4 9 2 3" xfId="50152" xr:uid="{BBC7A9B5-0055-4B99-94E7-62975C1A36C1}"/>
    <cellStyle name="Normal 2 2 2 3 4 9 3" xfId="25013" xr:uid="{CA0675EC-3D55-4914-9D28-3380B25643F8}"/>
    <cellStyle name="Normal 2 2 2 3 4 9 4" xfId="41772" xr:uid="{30D420EA-A6CE-47EC-B352-3DD7E15DA71B}"/>
    <cellStyle name="Normal 2 2 2 3 5" xfId="795" xr:uid="{527DE913-F905-42D4-A598-FBD3FD8114E5}"/>
    <cellStyle name="Normal 2 2 2 3 5 2" xfId="4190" xr:uid="{281BC3E8-6BDC-4C41-9989-EA637CD5EA28}"/>
    <cellStyle name="Normal 2 2 2 3 5 2 2" xfId="12570" xr:uid="{ADB3F815-C07A-4E00-83D6-785E71C5ED06}"/>
    <cellStyle name="Normal 2 2 2 3 5 2 2 2" xfId="29330" xr:uid="{FB2E9A08-9923-4CBF-AD67-E924ABF4156A}"/>
    <cellStyle name="Normal 2 2 2 3 5 2 2 3" xfId="46089" xr:uid="{9DDF0AE6-B12E-48A5-86B5-02BCC0FFFC92}"/>
    <cellStyle name="Normal 2 2 2 3 5 2 3" xfId="20950" xr:uid="{5D0404FB-7177-420F-835A-C63B6DFBC0F7}"/>
    <cellStyle name="Normal 2 2 2 3 5 2 4" xfId="37709" xr:uid="{5C37092A-7A98-46FD-950D-D9364FD14E4C}"/>
    <cellStyle name="Normal 2 2 2 3 5 3" xfId="5877" xr:uid="{9981A76D-C7BB-4A21-B3E5-F032DF4B4104}"/>
    <cellStyle name="Normal 2 2 2 3 5 3 2" xfId="14257" xr:uid="{C0874A48-8A8E-4A0F-B3FD-7716FE634EE0}"/>
    <cellStyle name="Normal 2 2 2 3 5 3 2 2" xfId="31017" xr:uid="{50486922-7746-434C-AF59-578E7C5B3823}"/>
    <cellStyle name="Normal 2 2 2 3 5 3 2 3" xfId="47776" xr:uid="{0A73477F-426D-42B7-A672-0C4176560348}"/>
    <cellStyle name="Normal 2 2 2 3 5 3 3" xfId="22637" xr:uid="{A0697FE5-87B4-4E72-948F-34BFC2AEF587}"/>
    <cellStyle name="Normal 2 2 2 3 5 3 4" xfId="39396" xr:uid="{72AD99BA-171A-4D62-9C92-77F5FF45E268}"/>
    <cellStyle name="Normal 2 2 2 3 5 4" xfId="2613" xr:uid="{EE769106-42FE-4059-A3D2-6B2FE0DC1B2E}"/>
    <cellStyle name="Normal 2 2 2 3 5 4 2" xfId="10993" xr:uid="{1721514C-10C4-4481-82C3-63106DBABC59}"/>
    <cellStyle name="Normal 2 2 2 3 5 4 2 2" xfId="27753" xr:uid="{6459960A-234B-4B89-B296-E8BED2864AD2}"/>
    <cellStyle name="Normal 2 2 2 3 5 4 2 3" xfId="44512" xr:uid="{2E56A629-02D4-4785-B480-93148EDE389D}"/>
    <cellStyle name="Normal 2 2 2 3 5 4 3" xfId="19373" xr:uid="{B6737868-5B72-496E-9499-84B736E5C775}"/>
    <cellStyle name="Normal 2 2 2 3 5 4 4" xfId="36132" xr:uid="{ABB51AF9-0700-4101-803B-3F08966A25D1}"/>
    <cellStyle name="Normal 2 2 2 3 5 5" xfId="9190" xr:uid="{497DB957-4ACE-4B7C-960D-1AA9263A04E7}"/>
    <cellStyle name="Normal 2 2 2 3 5 5 2" xfId="25950" xr:uid="{52566CAB-D248-431B-85DF-4065B5595922}"/>
    <cellStyle name="Normal 2 2 2 3 5 5 3" xfId="42709" xr:uid="{D82BF531-79F6-45A9-9DA5-7BB8EF7A8506}"/>
    <cellStyle name="Normal 2 2 2 3 5 6" xfId="17570" xr:uid="{1193C2DE-2FB9-48DF-B486-0BB836EE2483}"/>
    <cellStyle name="Normal 2 2 2 3 5 7" xfId="34329" xr:uid="{0B4F1AFE-FB72-4BA8-B64D-16394192F786}"/>
    <cellStyle name="Normal 2 2 2 3 6" xfId="1229" xr:uid="{ED30BDEA-FCDB-4479-986E-597B1AD36276}"/>
    <cellStyle name="Normal 2 2 2 3 6 2" xfId="4618" xr:uid="{972D12EE-81E7-452D-AF74-E01C168CA67A}"/>
    <cellStyle name="Normal 2 2 2 3 6 2 2" xfId="12998" xr:uid="{C47DD829-A17E-434D-8434-471E557AE5C7}"/>
    <cellStyle name="Normal 2 2 2 3 6 2 2 2" xfId="29758" xr:uid="{CE9BAF90-348B-489A-A55F-C39DBEAD4782}"/>
    <cellStyle name="Normal 2 2 2 3 6 2 2 3" xfId="46517" xr:uid="{4C712F99-C90D-4A49-969C-F2410AF61795}"/>
    <cellStyle name="Normal 2 2 2 3 6 2 3" xfId="21378" xr:uid="{1B07CC97-BB24-44F7-8ADD-9A9EE437B765}"/>
    <cellStyle name="Normal 2 2 2 3 6 2 4" xfId="38137" xr:uid="{E5ED9E0D-15FD-4221-82C7-1480FDCD58FF}"/>
    <cellStyle name="Normal 2 2 2 3 6 3" xfId="6305" xr:uid="{9839713B-E368-4BBC-B712-09CFE1E8D293}"/>
    <cellStyle name="Normal 2 2 2 3 6 3 2" xfId="14685" xr:uid="{70B51907-18D6-494B-964C-1A7E879AF37C}"/>
    <cellStyle name="Normal 2 2 2 3 6 3 2 2" xfId="31445" xr:uid="{2E603486-F4FF-479C-B52E-47CEAC88CB37}"/>
    <cellStyle name="Normal 2 2 2 3 6 3 2 3" xfId="48204" xr:uid="{3E2FA68B-7AEC-454E-A61D-5AAF0B67A90E}"/>
    <cellStyle name="Normal 2 2 2 3 6 3 3" xfId="23065" xr:uid="{058A224B-D2AF-4746-9216-427830085639}"/>
    <cellStyle name="Normal 2 2 2 3 6 3 4" xfId="39824" xr:uid="{6DFF7109-4EA4-4AAA-83FF-104CEE1F2320}"/>
    <cellStyle name="Normal 2 2 2 3 6 4" xfId="3041" xr:uid="{2353EFE7-8B63-4B1C-ADA6-DE95181F5729}"/>
    <cellStyle name="Normal 2 2 2 3 6 4 2" xfId="11421" xr:uid="{89251879-4FF8-42EB-96DA-D12B64650D97}"/>
    <cellStyle name="Normal 2 2 2 3 6 4 2 2" xfId="28181" xr:uid="{9D414BE7-33EF-4504-8DF5-DD1ACFB80FE2}"/>
    <cellStyle name="Normal 2 2 2 3 6 4 2 3" xfId="44940" xr:uid="{69EC3DB2-34A3-4146-8B28-47D9C874C12F}"/>
    <cellStyle name="Normal 2 2 2 3 6 4 3" xfId="19801" xr:uid="{82073EA3-9941-43E9-8522-C33B2E7578BE}"/>
    <cellStyle name="Normal 2 2 2 3 6 4 4" xfId="36560" xr:uid="{4C1FCA35-25D1-4063-9FFB-2CBA1C88ADF3}"/>
    <cellStyle name="Normal 2 2 2 3 6 5" xfId="9618" xr:uid="{3E751C2D-6374-4BD4-8860-5C25847A0DAE}"/>
    <cellStyle name="Normal 2 2 2 3 6 5 2" xfId="26378" xr:uid="{E31EA1F4-4F2D-4DEF-94E5-1FC47EC20D28}"/>
    <cellStyle name="Normal 2 2 2 3 6 5 3" xfId="43137" xr:uid="{451AA066-F303-4AFC-A8B6-DDFB3014279F}"/>
    <cellStyle name="Normal 2 2 2 3 6 6" xfId="17998" xr:uid="{C3009D80-428B-4D4B-A498-17F180F8BA8E}"/>
    <cellStyle name="Normal 2 2 2 3 6 7" xfId="34757" xr:uid="{D39AC624-467C-40C2-8DC1-E6ACC52D50E9}"/>
    <cellStyle name="Normal 2 2 2 3 7" xfId="1688" xr:uid="{5FFDFD8D-DDFD-48B8-9C5D-6C481CD0AB6B}"/>
    <cellStyle name="Normal 2 2 2 3 7 2" xfId="5077" xr:uid="{8F79AEB4-7789-4676-9AFA-323421CD1D5C}"/>
    <cellStyle name="Normal 2 2 2 3 7 2 2" xfId="13457" xr:uid="{7E92BE42-6372-44F2-88FD-49B11D150E02}"/>
    <cellStyle name="Normal 2 2 2 3 7 2 2 2" xfId="30217" xr:uid="{A239C06F-0679-450F-A262-66BF5E4AFB34}"/>
    <cellStyle name="Normal 2 2 2 3 7 2 2 3" xfId="46976" xr:uid="{D1CDC51E-777F-498C-AF07-8DA6F38D18DF}"/>
    <cellStyle name="Normal 2 2 2 3 7 2 3" xfId="21837" xr:uid="{DBBE52E6-AFBB-45CC-80A9-296CF7CF831D}"/>
    <cellStyle name="Normal 2 2 2 3 7 2 4" xfId="38596" xr:uid="{DCAC1CD9-4C05-4CD9-900D-C03FCDD4CF02}"/>
    <cellStyle name="Normal 2 2 2 3 7 3" xfId="6764" xr:uid="{4A84D24A-B3AB-454E-9AB1-F58BEE6BCF04}"/>
    <cellStyle name="Normal 2 2 2 3 7 3 2" xfId="15144" xr:uid="{4C316DF0-543C-461B-B245-6316DB0C0543}"/>
    <cellStyle name="Normal 2 2 2 3 7 3 2 2" xfId="31904" xr:uid="{8A0A1540-57DD-46A7-A01D-2AC5E41A9519}"/>
    <cellStyle name="Normal 2 2 2 3 7 3 2 3" xfId="48663" xr:uid="{1A70B54E-2C5C-452E-A5FC-939222BA17D8}"/>
    <cellStyle name="Normal 2 2 2 3 7 3 3" xfId="23524" xr:uid="{0485E76F-68B3-4479-AC03-C8989BAE7DC9}"/>
    <cellStyle name="Normal 2 2 2 3 7 3 4" xfId="40283" xr:uid="{38959E6C-958B-47DA-9CEE-BB5DB689A399}"/>
    <cellStyle name="Normal 2 2 2 3 7 4" xfId="2180" xr:uid="{16169370-96B8-4435-8241-BC6354165C96}"/>
    <cellStyle name="Normal 2 2 2 3 7 4 2" xfId="10567" xr:uid="{C2FFFFF3-91BD-4DC7-9776-A46EF92CA198}"/>
    <cellStyle name="Normal 2 2 2 3 7 4 2 2" xfId="27327" xr:uid="{F999A6EF-B299-4E97-941A-79A9386FA3DD}"/>
    <cellStyle name="Normal 2 2 2 3 7 4 2 3" xfId="44086" xr:uid="{03A3E58C-F0AF-4A51-AF4A-911B9C1E37E2}"/>
    <cellStyle name="Normal 2 2 2 3 7 4 3" xfId="18947" xr:uid="{17FD99D0-1BE2-48D4-9DF7-F89333329267}"/>
    <cellStyle name="Normal 2 2 2 3 7 4 4" xfId="35706" xr:uid="{DACEB36B-77D5-4396-8D4C-321F1E2307B5}"/>
    <cellStyle name="Normal 2 2 2 3 7 5" xfId="10077" xr:uid="{EA5335C6-AFF6-4BBA-9A78-BE4A52891B3C}"/>
    <cellStyle name="Normal 2 2 2 3 7 5 2" xfId="26837" xr:uid="{0AF115D9-E65E-473A-AA54-C5A47793F37C}"/>
    <cellStyle name="Normal 2 2 2 3 7 5 3" xfId="43596" xr:uid="{60A48208-163D-432B-85E1-AF5F4813E0CB}"/>
    <cellStyle name="Normal 2 2 2 3 7 6" xfId="18457" xr:uid="{184D9F7E-DFD0-43AF-9CF9-52781FFA662A}"/>
    <cellStyle name="Normal 2 2 2 3 7 7" xfId="35216" xr:uid="{B0CE399D-DCD8-487D-81E4-580575B5EA42}"/>
    <cellStyle name="Normal 2 2 2 3 8" xfId="3806" xr:uid="{FC4D99C1-8706-483A-A177-7CE5567608CA}"/>
    <cellStyle name="Normal 2 2 2 3 8 2" xfId="12186" xr:uid="{41FBA675-7BFE-4B68-BB86-FBD2E334A565}"/>
    <cellStyle name="Normal 2 2 2 3 8 2 2" xfId="28946" xr:uid="{C829D371-95CF-44FD-94AE-CB6E7C1BC499}"/>
    <cellStyle name="Normal 2 2 2 3 8 2 3" xfId="45705" xr:uid="{FDB4059C-9187-4F29-9DFE-D27E8ED6C52B}"/>
    <cellStyle name="Normal 2 2 2 3 8 3" xfId="20566" xr:uid="{C666133D-ACF8-4E80-9906-3A29BFCC5D33}"/>
    <cellStyle name="Normal 2 2 2 3 8 4" xfId="37325" xr:uid="{22F7225A-6161-41EA-81D2-5122F2007D04}"/>
    <cellStyle name="Normal 2 2 2 3 9" xfId="5451" xr:uid="{3DE285FC-C1F9-482F-8949-0D2DE7653B90}"/>
    <cellStyle name="Normal 2 2 2 3 9 2" xfId="13831" xr:uid="{41CA880D-8542-41A7-856D-31AF69DF35D7}"/>
    <cellStyle name="Normal 2 2 2 3 9 2 2" xfId="30591" xr:uid="{16DB08CF-0500-4040-8C23-51F1400D8B98}"/>
    <cellStyle name="Normal 2 2 2 3 9 2 3" xfId="47350" xr:uid="{C36C97B8-9849-4780-8845-4478A99C0E9E}"/>
    <cellStyle name="Normal 2 2 2 3 9 3" xfId="22211" xr:uid="{05EC040D-735E-481A-87E7-370D15040EB2}"/>
    <cellStyle name="Normal 2 2 2 3 9 4" xfId="38970" xr:uid="{CD8AF9C1-4C7C-4208-83F1-4F391BF3862F}"/>
    <cellStyle name="Normal 2 2 2 4" xfId="346" xr:uid="{0E14B1FD-7283-4359-81D6-9E2E95C41C11}"/>
    <cellStyle name="Normal 2 2 2 4 10" xfId="7577" xr:uid="{EAA53A2E-0FCF-42EB-8676-052ACEC122F9}"/>
    <cellStyle name="Normal 2 2 2 4 10 2" xfId="15957" xr:uid="{6923E2DD-672C-4D4F-8CD2-F31F60D48464}"/>
    <cellStyle name="Normal 2 2 2 4 10 2 2" xfId="32717" xr:uid="{C3C728F3-5FEE-4449-8F64-E04FB3158413}"/>
    <cellStyle name="Normal 2 2 2 4 10 2 3" xfId="49476" xr:uid="{E8142885-94F9-41D9-A636-DC176A64917D}"/>
    <cellStyle name="Normal 2 2 2 4 10 3" xfId="24337" xr:uid="{60A99062-2A23-498D-B330-DACCD0681813}"/>
    <cellStyle name="Normal 2 2 2 4 10 4" xfId="41096" xr:uid="{C610EF64-C400-4262-BF68-95DA8D7D435B}"/>
    <cellStyle name="Normal 2 2 2 4 11" xfId="7983" xr:uid="{ABE6BCD2-85A3-4F47-BBB9-B38DEA2A020F}"/>
    <cellStyle name="Normal 2 2 2 4 11 2" xfId="16363" xr:uid="{7278AEB7-DFFE-4896-BAB7-B5B725B237B6}"/>
    <cellStyle name="Normal 2 2 2 4 11 2 2" xfId="33123" xr:uid="{D3766027-8F5A-4775-BE55-17277A2AEA26}"/>
    <cellStyle name="Normal 2 2 2 4 11 2 3" xfId="49882" xr:uid="{3DB4DCCD-DF69-4BF8-95EF-D1B01C7264CD}"/>
    <cellStyle name="Normal 2 2 2 4 11 3" xfId="24743" xr:uid="{8C7BD8C8-298C-41F4-BEA2-85850B5BAE72}"/>
    <cellStyle name="Normal 2 2 2 4 11 4" xfId="41502" xr:uid="{673F5FF3-992D-459C-B1F2-EA8593F159A4}"/>
    <cellStyle name="Normal 2 2 2 4 12" xfId="8389" xr:uid="{CB4337AB-EBB0-4586-AD58-6A9D45183624}"/>
    <cellStyle name="Normal 2 2 2 4 12 2" xfId="16769" xr:uid="{D78CDB5A-5304-4926-8D90-E37D37465FCE}"/>
    <cellStyle name="Normal 2 2 2 4 12 2 2" xfId="33529" xr:uid="{860AB81B-1CC0-4E8F-BFED-C3506C68C8BD}"/>
    <cellStyle name="Normal 2 2 2 4 12 2 3" xfId="50288" xr:uid="{989B2927-F3FE-4CA8-801F-B9E223138F76}"/>
    <cellStyle name="Normal 2 2 2 4 12 3" xfId="25149" xr:uid="{9F65B9CC-73AB-4CC4-9189-6F64DD5FCF76}"/>
    <cellStyle name="Normal 2 2 2 4 12 4" xfId="41908" xr:uid="{7BDFB3A8-7725-4AC0-8B28-B8A81FCBD0BE}"/>
    <cellStyle name="Normal 2 2 2 4 13" xfId="2076" xr:uid="{C417EF44-6B41-47A8-A92B-C9D22C266EFB}"/>
    <cellStyle name="Normal 2 2 2 4 13 2" xfId="10464" xr:uid="{418B3382-8F2D-4AE8-BBFA-55A654DD2965}"/>
    <cellStyle name="Normal 2 2 2 4 13 2 2" xfId="27224" xr:uid="{A1E02914-A497-4D95-9957-6E5A70ACFF26}"/>
    <cellStyle name="Normal 2 2 2 4 13 2 3" xfId="43983" xr:uid="{69C10D45-BF91-463B-AFD4-491693395B97}"/>
    <cellStyle name="Normal 2 2 2 4 13 3" xfId="18844" xr:uid="{52DADC08-3917-4131-950C-F26F7DFEE096}"/>
    <cellStyle name="Normal 2 2 2 4 13 4" xfId="35603" xr:uid="{DFB2D483-4B55-4F9C-A929-1E3BE2CAE54D}"/>
    <cellStyle name="Normal 2 2 2 4 14" xfId="8810" xr:uid="{C87223C8-8B4A-4815-9163-17FBE8937EE0}"/>
    <cellStyle name="Normal 2 2 2 4 14 2" xfId="25570" xr:uid="{8946EF36-B24B-4FC5-A098-851D7F6F2DC9}"/>
    <cellStyle name="Normal 2 2 2 4 14 3" xfId="42329" xr:uid="{84D21AF8-8C2D-4CD9-A614-C1BE2FBAA99C}"/>
    <cellStyle name="Normal 2 2 2 4 15" xfId="17190" xr:uid="{93BED992-D25A-4FF8-B95F-00140E81077B}"/>
    <cellStyle name="Normal 2 2 2 4 16" xfId="33949" xr:uid="{2EEC4D00-093D-49F0-925F-02E0B50E4D07}"/>
    <cellStyle name="Normal 2 2 2 4 2" xfId="627" xr:uid="{10EB52D5-0634-469E-9389-BD445ABFF709}"/>
    <cellStyle name="Normal 2 2 2 4 2 10" xfId="8540" xr:uid="{25039D10-6E1A-46EF-896B-C534869680C9}"/>
    <cellStyle name="Normal 2 2 2 4 2 10 2" xfId="16920" xr:uid="{B9C174D9-F00A-4D42-B092-8B1181ACECCE}"/>
    <cellStyle name="Normal 2 2 2 4 2 10 2 2" xfId="33680" xr:uid="{69FAA8A0-10CD-45FF-998C-9DFF6878848B}"/>
    <cellStyle name="Normal 2 2 2 4 2 10 2 3" xfId="50439" xr:uid="{EE66E9C3-5979-4C03-AECF-7E133E40A102}"/>
    <cellStyle name="Normal 2 2 2 4 2 10 3" xfId="25300" xr:uid="{0EC9C2F1-440A-46A3-B221-664005C53345}"/>
    <cellStyle name="Normal 2 2 2 4 2 10 4" xfId="42059" xr:uid="{1D7C73DF-80E1-4AA4-A04A-5FB9279DAB6E}"/>
    <cellStyle name="Normal 2 2 2 4 2 11" xfId="2459" xr:uid="{32B21EAC-C362-4537-A790-645D147AD20F}"/>
    <cellStyle name="Normal 2 2 2 4 2 11 2" xfId="10841" xr:uid="{BCA23EDF-A7DC-4688-B1D3-28799FE8ADDA}"/>
    <cellStyle name="Normal 2 2 2 4 2 11 2 2" xfId="27601" xr:uid="{A79C845C-9EC2-45D9-ACC0-3252FC1E532F}"/>
    <cellStyle name="Normal 2 2 2 4 2 11 2 3" xfId="44360" xr:uid="{5B95F8B2-C5A4-4472-B205-6188695CCF69}"/>
    <cellStyle name="Normal 2 2 2 4 2 11 3" xfId="19221" xr:uid="{DC595388-B8AE-4BE0-9607-28FF945F46A5}"/>
    <cellStyle name="Normal 2 2 2 4 2 11 4" xfId="35980" xr:uid="{54132DC3-C565-4E7D-8D84-A7E871E2FEE9}"/>
    <cellStyle name="Normal 2 2 2 4 2 12" xfId="9038" xr:uid="{B25C459B-145E-4D86-9166-DD37953CCFC6}"/>
    <cellStyle name="Normal 2 2 2 4 2 12 2" xfId="25798" xr:uid="{85B6D6AF-4213-4FCC-98E0-2AD20952E1AF}"/>
    <cellStyle name="Normal 2 2 2 4 2 12 3" xfId="42557" xr:uid="{C339B4FA-1A22-4927-9693-BDB0399D6313}"/>
    <cellStyle name="Normal 2 2 2 4 2 13" xfId="17418" xr:uid="{64BA81D3-E15C-41FC-A058-272095FF8511}"/>
    <cellStyle name="Normal 2 2 2 4 2 14" xfId="34177" xr:uid="{2BCA23FC-AF58-4E78-9DEC-2E7D916F2C18}"/>
    <cellStyle name="Normal 2 2 2 4 2 2" xfId="1069" xr:uid="{D8A8A043-45B6-4D05-BDF3-B581F6371622}"/>
    <cellStyle name="Normal 2 2 2 4 2 2 2" xfId="4464" xr:uid="{F34954DE-7091-4D17-AEF7-9065622D8EC5}"/>
    <cellStyle name="Normal 2 2 2 4 2 2 2 2" xfId="12844" xr:uid="{9FA8DA40-B631-4DF3-BE07-F73B525FB673}"/>
    <cellStyle name="Normal 2 2 2 4 2 2 2 2 2" xfId="29604" xr:uid="{5062D90F-D411-409B-943C-8AF1CD5829E2}"/>
    <cellStyle name="Normal 2 2 2 4 2 2 2 2 3" xfId="46363" xr:uid="{75D819A1-7B38-4775-9CE8-6FDEEEB235F4}"/>
    <cellStyle name="Normal 2 2 2 4 2 2 2 3" xfId="21224" xr:uid="{CE1B6C8B-84A2-4318-B03C-2745E1B7ED7C}"/>
    <cellStyle name="Normal 2 2 2 4 2 2 2 4" xfId="37983" xr:uid="{969E3E9E-9881-4581-8DFF-792AEFA26DBD}"/>
    <cellStyle name="Normal 2 2 2 4 2 2 3" xfId="6151" xr:uid="{B57C71D2-1B18-48E6-B327-9C9FE41214DF}"/>
    <cellStyle name="Normal 2 2 2 4 2 2 3 2" xfId="14531" xr:uid="{2EE604EB-C2D8-4C8D-A5BC-541B4F6D0E7B}"/>
    <cellStyle name="Normal 2 2 2 4 2 2 3 2 2" xfId="31291" xr:uid="{8F7A4B3C-12B4-47A7-924B-00BA63F518FB}"/>
    <cellStyle name="Normal 2 2 2 4 2 2 3 2 3" xfId="48050" xr:uid="{46EA09DC-4827-4B46-89B9-41586A9DD39E}"/>
    <cellStyle name="Normal 2 2 2 4 2 2 3 3" xfId="22911" xr:uid="{EA9C182F-8039-4B27-94A7-340CF517B053}"/>
    <cellStyle name="Normal 2 2 2 4 2 2 3 4" xfId="39670" xr:uid="{8EB39433-1C4A-46D3-B1F9-1DD23AD94924}"/>
    <cellStyle name="Normal 2 2 2 4 2 2 4" xfId="2887" xr:uid="{A84EA8AF-F10A-4CF9-A84E-E24335D890EC}"/>
    <cellStyle name="Normal 2 2 2 4 2 2 4 2" xfId="11267" xr:uid="{6DBCDF88-AD6C-4378-89B3-D42E95735D2E}"/>
    <cellStyle name="Normal 2 2 2 4 2 2 4 2 2" xfId="28027" xr:uid="{86876C34-A76B-4154-BC8E-B39B0357CFE0}"/>
    <cellStyle name="Normal 2 2 2 4 2 2 4 2 3" xfId="44786" xr:uid="{09B03320-5A4A-4C98-8210-4E8CF2952A2D}"/>
    <cellStyle name="Normal 2 2 2 4 2 2 4 3" xfId="19647" xr:uid="{56A61F91-79B7-4D52-8C0D-254379EF2780}"/>
    <cellStyle name="Normal 2 2 2 4 2 2 4 4" xfId="36406" xr:uid="{24ABB503-7011-4DE3-8CBC-6A0D122EC5B1}"/>
    <cellStyle name="Normal 2 2 2 4 2 2 5" xfId="9464" xr:uid="{017EF4E0-0B04-4583-B8B5-D7ADBE051B17}"/>
    <cellStyle name="Normal 2 2 2 4 2 2 5 2" xfId="26224" xr:uid="{6269D36F-9632-42BE-BE9B-0786976735F0}"/>
    <cellStyle name="Normal 2 2 2 4 2 2 5 3" xfId="42983" xr:uid="{FBBEC3C0-B951-47B2-B078-73920BB3AFC9}"/>
    <cellStyle name="Normal 2 2 2 4 2 2 6" xfId="17844" xr:uid="{66DB73C1-0443-4917-9BF7-E033C1CB9EFB}"/>
    <cellStyle name="Normal 2 2 2 4 2 2 7" xfId="34603" xr:uid="{BA0CAB51-1ADE-4422-818D-9094660FDDC8}"/>
    <cellStyle name="Normal 2 2 2 4 2 3" xfId="1503" xr:uid="{E9DC1D10-A976-4C79-BD00-70972A6ABA2D}"/>
    <cellStyle name="Normal 2 2 2 4 2 3 2" xfId="4892" xr:uid="{F5ADD984-12D4-46A4-9F57-0BA69C7AD461}"/>
    <cellStyle name="Normal 2 2 2 4 2 3 2 2" xfId="13272" xr:uid="{3DA7E682-742D-495A-A039-A928E590F770}"/>
    <cellStyle name="Normal 2 2 2 4 2 3 2 2 2" xfId="30032" xr:uid="{1419A988-67A1-43AE-B1BF-0EEBCDD8DB38}"/>
    <cellStyle name="Normal 2 2 2 4 2 3 2 2 3" xfId="46791" xr:uid="{47BB4F2A-1E45-4040-B28B-3C8BB7273EED}"/>
    <cellStyle name="Normal 2 2 2 4 2 3 2 3" xfId="21652" xr:uid="{2E96FAB5-3108-4872-93C4-669D755E543A}"/>
    <cellStyle name="Normal 2 2 2 4 2 3 2 4" xfId="38411" xr:uid="{3509338B-0216-48B4-B6F2-9B59A53817BE}"/>
    <cellStyle name="Normal 2 2 2 4 2 3 3" xfId="6579" xr:uid="{4CC7301C-995D-4D69-8B68-BFAB60A0A812}"/>
    <cellStyle name="Normal 2 2 2 4 2 3 3 2" xfId="14959" xr:uid="{6F6796D6-A5EE-4516-A9FE-91C7A235D0AB}"/>
    <cellStyle name="Normal 2 2 2 4 2 3 3 2 2" xfId="31719" xr:uid="{28CA64A4-CDD2-499B-854B-B26245ACF2A5}"/>
    <cellStyle name="Normal 2 2 2 4 2 3 3 2 3" xfId="48478" xr:uid="{0A864F1A-CE96-4C28-9461-4A0BBB094B75}"/>
    <cellStyle name="Normal 2 2 2 4 2 3 3 3" xfId="23339" xr:uid="{C5B069C4-DA04-4CFC-848C-9EE0F02EFCC0}"/>
    <cellStyle name="Normal 2 2 2 4 2 3 3 4" xfId="40098" xr:uid="{9A97ADE4-D9CC-49CD-8430-4350F081194D}"/>
    <cellStyle name="Normal 2 2 2 4 2 3 4" xfId="3315" xr:uid="{967FB139-5900-4A53-81AE-40648F02C447}"/>
    <cellStyle name="Normal 2 2 2 4 2 3 4 2" xfId="11695" xr:uid="{31E182F7-C552-49F5-9AFA-D8EB529D2761}"/>
    <cellStyle name="Normal 2 2 2 4 2 3 4 2 2" xfId="28455" xr:uid="{98177ADD-D61E-4CA5-9A16-AFF38FA7F40D}"/>
    <cellStyle name="Normal 2 2 2 4 2 3 4 2 3" xfId="45214" xr:uid="{67E9C400-1C1F-4C45-B24B-468D75FC02E1}"/>
    <cellStyle name="Normal 2 2 2 4 2 3 4 3" xfId="20075" xr:uid="{B7C7E766-67C5-4383-8CD8-819285795413}"/>
    <cellStyle name="Normal 2 2 2 4 2 3 4 4" xfId="36834" xr:uid="{AA3059F5-9923-4560-ADEC-13F345025202}"/>
    <cellStyle name="Normal 2 2 2 4 2 3 5" xfId="9892" xr:uid="{4A82533E-4B8B-437E-AA0B-900A7C6358DC}"/>
    <cellStyle name="Normal 2 2 2 4 2 3 5 2" xfId="26652" xr:uid="{826FC307-1453-4EA7-B87F-6C98F69E0A30}"/>
    <cellStyle name="Normal 2 2 2 4 2 3 5 3" xfId="43411" xr:uid="{9B430356-458B-46F0-B722-038E9FD2EC81}"/>
    <cellStyle name="Normal 2 2 2 4 2 3 6" xfId="18272" xr:uid="{F2A46345-7C36-4666-98AD-0BD96917AE3C}"/>
    <cellStyle name="Normal 2 2 2 4 2 3 7" xfId="35031" xr:uid="{B3905927-8F8F-4890-A205-6603B01595A1}"/>
    <cellStyle name="Normal 2 2 2 4 2 4" xfId="1840" xr:uid="{3C496921-B3D7-4B70-8391-9931745FDFA5}"/>
    <cellStyle name="Normal 2 2 2 4 2 4 2" xfId="5229" xr:uid="{9B549196-A48A-4D5E-932B-C218073D24CD}"/>
    <cellStyle name="Normal 2 2 2 4 2 4 2 2" xfId="13609" xr:uid="{BD11BF61-7AD3-4DF5-9298-62BD26DDBA6A}"/>
    <cellStyle name="Normal 2 2 2 4 2 4 2 2 2" xfId="30369" xr:uid="{8EFEA208-5034-43FE-87C4-E7DC44E9AA01}"/>
    <cellStyle name="Normal 2 2 2 4 2 4 2 2 3" xfId="47128" xr:uid="{DA460A5D-57B2-4EA5-97F3-3425809309C2}"/>
    <cellStyle name="Normal 2 2 2 4 2 4 2 3" xfId="21989" xr:uid="{6EC14161-753F-4BDB-93A2-E7BB750BF6D2}"/>
    <cellStyle name="Normal 2 2 2 4 2 4 2 4" xfId="38748" xr:uid="{139BA21B-72E6-46D3-90C0-16CABA2E39B4}"/>
    <cellStyle name="Normal 2 2 2 4 2 4 3" xfId="6916" xr:uid="{41F43B04-0413-4F52-8C1E-9D0416C62046}"/>
    <cellStyle name="Normal 2 2 2 4 2 4 3 2" xfId="15296" xr:uid="{0B227BE9-7861-42A3-8536-2AB9F249C06C}"/>
    <cellStyle name="Normal 2 2 2 4 2 4 3 2 2" xfId="32056" xr:uid="{361CAFDB-012C-4310-9DCA-A444A3238285}"/>
    <cellStyle name="Normal 2 2 2 4 2 4 3 2 3" xfId="48815" xr:uid="{F0964CE7-14BF-4EA0-B412-8F993AB854A6}"/>
    <cellStyle name="Normal 2 2 2 4 2 4 3 3" xfId="23676" xr:uid="{8A9665AA-289E-4809-A9FB-1F78B53953F9}"/>
    <cellStyle name="Normal 2 2 2 4 2 4 3 4" xfId="40435" xr:uid="{A98AD75F-0A57-43B0-8F77-9202DC7707C5}"/>
    <cellStyle name="Normal 2 2 2 4 2 4 4" xfId="3540" xr:uid="{69467542-8606-4556-AA74-6F7881C107B4}"/>
    <cellStyle name="Normal 2 2 2 4 2 4 4 2" xfId="11920" xr:uid="{96628162-2B31-4D4B-A3AC-ED1F29BBF075}"/>
    <cellStyle name="Normal 2 2 2 4 2 4 4 2 2" xfId="28680" xr:uid="{F67151EF-D3B1-42B8-B187-61437078667C}"/>
    <cellStyle name="Normal 2 2 2 4 2 4 4 2 3" xfId="45439" xr:uid="{CBFC634E-D624-48A8-A324-F12B4DC06F2B}"/>
    <cellStyle name="Normal 2 2 2 4 2 4 4 3" xfId="20300" xr:uid="{7AF6C378-6011-4469-8428-C25A0BFDB00B}"/>
    <cellStyle name="Normal 2 2 2 4 2 4 4 4" xfId="37059" xr:uid="{5417554D-00BB-42B3-A540-2216A46273B9}"/>
    <cellStyle name="Normal 2 2 2 4 2 4 5" xfId="10229" xr:uid="{01D1120E-CB45-4DEF-8716-1E579B143B94}"/>
    <cellStyle name="Normal 2 2 2 4 2 4 5 2" xfId="26989" xr:uid="{5A2B303C-12D9-40C9-9ECA-AAFD235CA11D}"/>
    <cellStyle name="Normal 2 2 2 4 2 4 5 3" xfId="43748" xr:uid="{1D08DD17-70B1-4FD2-922D-3ADC25CA29A8}"/>
    <cellStyle name="Normal 2 2 2 4 2 4 6" xfId="18609" xr:uid="{A4363F6E-6C6B-41B0-8924-42CB1E6A0A45}"/>
    <cellStyle name="Normal 2 2 2 4 2 4 7" xfId="35368" xr:uid="{B5D9EC88-7465-4561-A5BB-9E951B298F26}"/>
    <cellStyle name="Normal 2 2 2 4 2 5" xfId="3959" xr:uid="{96C10E27-C143-459E-8AFB-844FABEECBE7}"/>
    <cellStyle name="Normal 2 2 2 4 2 5 2" xfId="12339" xr:uid="{7D06AD37-16B2-4AC7-ABDC-5E739BC78FB6}"/>
    <cellStyle name="Normal 2 2 2 4 2 5 2 2" xfId="29099" xr:uid="{15817523-D916-498C-B072-D9964710797A}"/>
    <cellStyle name="Normal 2 2 2 4 2 5 2 3" xfId="45858" xr:uid="{82BB5E91-904F-4278-998D-07B4C070721F}"/>
    <cellStyle name="Normal 2 2 2 4 2 5 3" xfId="20719" xr:uid="{E4677E5A-06F8-4166-B961-5F4E55A223CE}"/>
    <cellStyle name="Normal 2 2 2 4 2 5 4" xfId="37478" xr:uid="{23A6CDAA-3F0E-445C-ADDC-05770739420D}"/>
    <cellStyle name="Normal 2 2 2 4 2 6" xfId="5725" xr:uid="{B7938D2E-DEE8-441F-ADD5-E2FEBCAF49C9}"/>
    <cellStyle name="Normal 2 2 2 4 2 6 2" xfId="14105" xr:uid="{DB877E70-E8F9-4745-ADDB-332EA626FC93}"/>
    <cellStyle name="Normal 2 2 2 4 2 6 2 2" xfId="30865" xr:uid="{66C13855-9D1C-49B4-B4D7-6C97DA366DE0}"/>
    <cellStyle name="Normal 2 2 2 4 2 6 2 3" xfId="47624" xr:uid="{E725F19E-42DB-4ACF-B0EF-0F86B926BB10}"/>
    <cellStyle name="Normal 2 2 2 4 2 6 3" xfId="22485" xr:uid="{5BF5A198-8478-4322-BF2D-0F963C34D2DE}"/>
    <cellStyle name="Normal 2 2 2 4 2 6 4" xfId="39244" xr:uid="{41440F4F-DD7A-42E5-BD5D-F0A2B23FCCA5}"/>
    <cellStyle name="Normal 2 2 2 4 2 7" xfId="7322" xr:uid="{C5359D0C-F8C0-464E-A2AC-BA6258CA5E0D}"/>
    <cellStyle name="Normal 2 2 2 4 2 7 2" xfId="15702" xr:uid="{BEF307BD-FD2A-4930-AADB-8AAA0202AFED}"/>
    <cellStyle name="Normal 2 2 2 4 2 7 2 2" xfId="32462" xr:uid="{296EEB5D-9455-4C63-9284-96B5021022AC}"/>
    <cellStyle name="Normal 2 2 2 4 2 7 2 3" xfId="49221" xr:uid="{C6A51BC7-D77E-4791-9907-FA68D5E61A62}"/>
    <cellStyle name="Normal 2 2 2 4 2 7 3" xfId="24082" xr:uid="{EAB02B4B-C823-4A5A-B1A9-CAD8550C1BE3}"/>
    <cellStyle name="Normal 2 2 2 4 2 7 4" xfId="40841" xr:uid="{EDDF4FD2-B2CB-41AF-916B-F453069F5C47}"/>
    <cellStyle name="Normal 2 2 2 4 2 8" xfId="7728" xr:uid="{24A582F0-685C-41D7-AFFC-A90B1711C3E4}"/>
    <cellStyle name="Normal 2 2 2 4 2 8 2" xfId="16108" xr:uid="{5948E119-3C0E-40D9-ACC1-80A45199E277}"/>
    <cellStyle name="Normal 2 2 2 4 2 8 2 2" xfId="32868" xr:uid="{D945E369-ADB2-46AB-AB8C-EC3994DBB762}"/>
    <cellStyle name="Normal 2 2 2 4 2 8 2 3" xfId="49627" xr:uid="{A9FA4148-ED7E-48A5-A20B-EE624C0E00E0}"/>
    <cellStyle name="Normal 2 2 2 4 2 8 3" xfId="24488" xr:uid="{EFE8F005-77AC-4FCD-95D5-CBD1426F8BFD}"/>
    <cellStyle name="Normal 2 2 2 4 2 8 4" xfId="41247" xr:uid="{39B40040-35AA-40D3-A730-69DD6A8B672A}"/>
    <cellStyle name="Normal 2 2 2 4 2 9" xfId="8134" xr:uid="{DF2949C0-3197-4D8D-8D33-66DAB6320C96}"/>
    <cellStyle name="Normal 2 2 2 4 2 9 2" xfId="16514" xr:uid="{6A1BF589-7DFB-48C8-AC54-180CBEC2D3A8}"/>
    <cellStyle name="Normal 2 2 2 4 2 9 2 2" xfId="33274" xr:uid="{ABC3D9DB-DB3A-49A0-AEDB-E71533743D7A}"/>
    <cellStyle name="Normal 2 2 2 4 2 9 2 3" xfId="50033" xr:uid="{A760E49E-0C9D-48D6-873D-F97209E7B41F}"/>
    <cellStyle name="Normal 2 2 2 4 2 9 3" xfId="24894" xr:uid="{7011474C-7E32-4963-869B-3F8D8751F3AC}"/>
    <cellStyle name="Normal 2 2 2 4 2 9 4" xfId="41653" xr:uid="{48FB6451-8FDA-415B-810C-0EDCEAC4BA1E}"/>
    <cellStyle name="Normal 2 2 2 4 3" xfId="628" xr:uid="{F16C8AD7-94F5-4746-96DF-B0DC5832918A}"/>
    <cellStyle name="Normal 2 2 2 4 3 10" xfId="8660" xr:uid="{77359478-6323-4455-883A-ED04570FCE79}"/>
    <cellStyle name="Normal 2 2 2 4 3 10 2" xfId="17040" xr:uid="{136AC0B4-17DD-478D-A97D-A1A130C12273}"/>
    <cellStyle name="Normal 2 2 2 4 3 10 2 2" xfId="33800" xr:uid="{F61C503D-3CC4-42E3-A279-AF0F2070DCBD}"/>
    <cellStyle name="Normal 2 2 2 4 3 10 2 3" xfId="50559" xr:uid="{0C9D4E90-A4E3-4718-ABA6-8AD4787724D1}"/>
    <cellStyle name="Normal 2 2 2 4 3 10 3" xfId="25420" xr:uid="{FF1D0F7E-F098-43B7-B215-7F3988BE58E2}"/>
    <cellStyle name="Normal 2 2 2 4 3 10 4" xfId="42179" xr:uid="{EA3C67D7-B5CC-4DD8-86E7-3CD93FFAA015}"/>
    <cellStyle name="Normal 2 2 2 4 3 11" xfId="2460" xr:uid="{507200C2-4FB1-4FEC-A13B-A623EB2F9945}"/>
    <cellStyle name="Normal 2 2 2 4 3 11 2" xfId="10842" xr:uid="{8D78FEC3-8D17-4F78-9503-107E6B75C989}"/>
    <cellStyle name="Normal 2 2 2 4 3 11 2 2" xfId="27602" xr:uid="{C5231532-0038-4B22-B89A-E356691B7BC3}"/>
    <cellStyle name="Normal 2 2 2 4 3 11 2 3" xfId="44361" xr:uid="{AF0006FF-8FE5-44E7-B971-2FC9D3A5EA70}"/>
    <cellStyle name="Normal 2 2 2 4 3 11 3" xfId="19222" xr:uid="{4F2730EA-4735-416E-BA51-1A2ECC1797DD}"/>
    <cellStyle name="Normal 2 2 2 4 3 11 4" xfId="35981" xr:uid="{9219AA21-BF17-4BB4-803F-36B19FAD8F75}"/>
    <cellStyle name="Normal 2 2 2 4 3 12" xfId="9039" xr:uid="{07AA0B49-2372-48F2-8B92-165CF74F5EE8}"/>
    <cellStyle name="Normal 2 2 2 4 3 12 2" xfId="25799" xr:uid="{C31B15D0-13D0-4DFF-875C-E7637B687AE1}"/>
    <cellStyle name="Normal 2 2 2 4 3 12 3" xfId="42558" xr:uid="{99AD5FEB-7AA5-4678-B4CF-3ACF20C9A3FD}"/>
    <cellStyle name="Normal 2 2 2 4 3 13" xfId="17419" xr:uid="{7B0FCF37-AE60-495B-B5F8-B70FF5365E3B}"/>
    <cellStyle name="Normal 2 2 2 4 3 14" xfId="34178" xr:uid="{D30E1CF1-7210-4AAD-A125-72FBE13F5C6A}"/>
    <cellStyle name="Normal 2 2 2 4 3 2" xfId="1070" xr:uid="{2F7B90B5-6214-4C6A-B93E-9EB6914C5012}"/>
    <cellStyle name="Normal 2 2 2 4 3 2 2" xfId="4465" xr:uid="{9757BFA7-9426-4304-BC1A-E4616B77B959}"/>
    <cellStyle name="Normal 2 2 2 4 3 2 2 2" xfId="12845" xr:uid="{AD947C0A-11D7-4567-AB23-A9A6A599AEC6}"/>
    <cellStyle name="Normal 2 2 2 4 3 2 2 2 2" xfId="29605" xr:uid="{2D7E0AEE-15FE-47EC-8AE2-3703D27D899C}"/>
    <cellStyle name="Normal 2 2 2 4 3 2 2 2 3" xfId="46364" xr:uid="{FBF94D26-2AAA-4997-ADFA-3325C35882B3}"/>
    <cellStyle name="Normal 2 2 2 4 3 2 2 3" xfId="21225" xr:uid="{9D6D6513-AB18-493E-8C81-5293E58E9FA2}"/>
    <cellStyle name="Normal 2 2 2 4 3 2 2 4" xfId="37984" xr:uid="{C6069678-B268-4B90-8971-B228633C636B}"/>
    <cellStyle name="Normal 2 2 2 4 3 2 3" xfId="6152" xr:uid="{3B9B7CCD-897C-40E7-9C6C-2DD7FBF6641E}"/>
    <cellStyle name="Normal 2 2 2 4 3 2 3 2" xfId="14532" xr:uid="{75BBDFDD-E774-48F5-B919-7D8193503F1F}"/>
    <cellStyle name="Normal 2 2 2 4 3 2 3 2 2" xfId="31292" xr:uid="{E971FCE8-B5F8-4295-B601-7837AE23AE2D}"/>
    <cellStyle name="Normal 2 2 2 4 3 2 3 2 3" xfId="48051" xr:uid="{28B613E3-5EDC-40B5-9BCE-D363BB83B073}"/>
    <cellStyle name="Normal 2 2 2 4 3 2 3 3" xfId="22912" xr:uid="{68C604A2-3A84-406E-97DC-402425342DF6}"/>
    <cellStyle name="Normal 2 2 2 4 3 2 3 4" xfId="39671" xr:uid="{9840C7CE-EB1C-4A14-B127-D92360AA10D2}"/>
    <cellStyle name="Normal 2 2 2 4 3 2 4" xfId="2888" xr:uid="{3953F58C-8A71-4E2F-8A9E-B887B877500F}"/>
    <cellStyle name="Normal 2 2 2 4 3 2 4 2" xfId="11268" xr:uid="{A9AFE10B-2791-4BDA-A63A-F2820D305393}"/>
    <cellStyle name="Normal 2 2 2 4 3 2 4 2 2" xfId="28028" xr:uid="{41A49B49-3C48-4D69-AA77-9E8F78A6C02A}"/>
    <cellStyle name="Normal 2 2 2 4 3 2 4 2 3" xfId="44787" xr:uid="{97705CE3-FE76-4CCA-AE23-4C7916732776}"/>
    <cellStyle name="Normal 2 2 2 4 3 2 4 3" xfId="19648" xr:uid="{729BD189-A896-40FF-AE38-F69B0CE61A65}"/>
    <cellStyle name="Normal 2 2 2 4 3 2 4 4" xfId="36407" xr:uid="{E4DE0089-185F-402C-82FC-DB7D832520D2}"/>
    <cellStyle name="Normal 2 2 2 4 3 2 5" xfId="9465" xr:uid="{12A12693-FE2F-48D7-A56B-F825E471B6BB}"/>
    <cellStyle name="Normal 2 2 2 4 3 2 5 2" xfId="26225" xr:uid="{224A34CD-4DD5-4B44-9D4E-101027EE8AE0}"/>
    <cellStyle name="Normal 2 2 2 4 3 2 5 3" xfId="42984" xr:uid="{99844DCE-37AE-4B17-B30F-341287BBC07D}"/>
    <cellStyle name="Normal 2 2 2 4 3 2 6" xfId="17845" xr:uid="{0802658F-4587-4842-8D44-A1EDF7D48865}"/>
    <cellStyle name="Normal 2 2 2 4 3 2 7" xfId="34604" xr:uid="{BD6D8E53-57DB-45F6-9019-1BCD04BDD102}"/>
    <cellStyle name="Normal 2 2 2 4 3 3" xfId="1504" xr:uid="{69947881-BDA8-4A2B-9250-5B6A42762E86}"/>
    <cellStyle name="Normal 2 2 2 4 3 3 2" xfId="4893" xr:uid="{D3AAE896-9648-4FC9-8F0B-1334CAC2BDD0}"/>
    <cellStyle name="Normal 2 2 2 4 3 3 2 2" xfId="13273" xr:uid="{4E217236-5067-4E73-B1E5-888320F811E6}"/>
    <cellStyle name="Normal 2 2 2 4 3 3 2 2 2" xfId="30033" xr:uid="{39DEF429-E8E5-481B-807D-C59A9A087F65}"/>
    <cellStyle name="Normal 2 2 2 4 3 3 2 2 3" xfId="46792" xr:uid="{EDA76DD4-69C6-4C56-90BC-CB8D76EE1C0D}"/>
    <cellStyle name="Normal 2 2 2 4 3 3 2 3" xfId="21653" xr:uid="{FC323ABA-3FF9-48FB-8C90-B5E4782A70E4}"/>
    <cellStyle name="Normal 2 2 2 4 3 3 2 4" xfId="38412" xr:uid="{00AF0FA1-54A8-4165-A331-6130FE1AEEFB}"/>
    <cellStyle name="Normal 2 2 2 4 3 3 3" xfId="6580" xr:uid="{5FBCDFE9-2707-4FC3-9102-05DE7AE29263}"/>
    <cellStyle name="Normal 2 2 2 4 3 3 3 2" xfId="14960" xr:uid="{EDD13FA8-458A-47A8-A5B8-54B29E3335FB}"/>
    <cellStyle name="Normal 2 2 2 4 3 3 3 2 2" xfId="31720" xr:uid="{2A50CF85-6434-49E8-9C7B-72853F471BAD}"/>
    <cellStyle name="Normal 2 2 2 4 3 3 3 2 3" xfId="48479" xr:uid="{F8F843DE-32BB-4314-BFE4-CB55CE47C706}"/>
    <cellStyle name="Normal 2 2 2 4 3 3 3 3" xfId="23340" xr:uid="{7258877A-D008-4132-B89B-B84EC4B6171F}"/>
    <cellStyle name="Normal 2 2 2 4 3 3 3 4" xfId="40099" xr:uid="{9B93F09F-1BF3-4458-B4A4-FFCBA0669B72}"/>
    <cellStyle name="Normal 2 2 2 4 3 3 4" xfId="3316" xr:uid="{A8B0A27C-7B02-419B-9F24-96EB0F23AE0D}"/>
    <cellStyle name="Normal 2 2 2 4 3 3 4 2" xfId="11696" xr:uid="{9A05EA6C-19BC-4930-BD17-74B62070D58D}"/>
    <cellStyle name="Normal 2 2 2 4 3 3 4 2 2" xfId="28456" xr:uid="{8FD2C4C0-E4EA-4955-96D7-888785A24544}"/>
    <cellStyle name="Normal 2 2 2 4 3 3 4 2 3" xfId="45215" xr:uid="{D5FE0558-5F62-4849-99BD-D532F3498E4B}"/>
    <cellStyle name="Normal 2 2 2 4 3 3 4 3" xfId="20076" xr:uid="{065145F8-9A25-43F5-8D36-FB446B9CFC2B}"/>
    <cellStyle name="Normal 2 2 2 4 3 3 4 4" xfId="36835" xr:uid="{706A8B82-C4B6-4ECC-9D18-BC79EA9C2971}"/>
    <cellStyle name="Normal 2 2 2 4 3 3 5" xfId="9893" xr:uid="{2CB5D776-D34D-4501-99B9-98DB124760DA}"/>
    <cellStyle name="Normal 2 2 2 4 3 3 5 2" xfId="26653" xr:uid="{E0BEC3C5-A404-48FA-9266-01552CA3CE4C}"/>
    <cellStyle name="Normal 2 2 2 4 3 3 5 3" xfId="43412" xr:uid="{0502149B-1CFB-4204-95BA-934A5A6E9F5C}"/>
    <cellStyle name="Normal 2 2 2 4 3 3 6" xfId="18273" xr:uid="{FEA77AA2-5428-4908-B181-3A3DAD799EE4}"/>
    <cellStyle name="Normal 2 2 2 4 3 3 7" xfId="35032" xr:uid="{D81F4B59-0ED7-45F9-AD26-92A358BA1397}"/>
    <cellStyle name="Normal 2 2 2 4 3 4" xfId="1960" xr:uid="{6CC66D3A-E14D-421C-A3A4-0AEF32CE3561}"/>
    <cellStyle name="Normal 2 2 2 4 3 4 2" xfId="5349" xr:uid="{D8B19BBD-47D8-4696-AFA1-F94E3A53338E}"/>
    <cellStyle name="Normal 2 2 2 4 3 4 2 2" xfId="13729" xr:uid="{2F5E2E48-9809-4B91-8BF2-697B6C7CBB68}"/>
    <cellStyle name="Normal 2 2 2 4 3 4 2 2 2" xfId="30489" xr:uid="{A4D8B4F9-9D7D-475F-87ED-DBC3C2EB0AB7}"/>
    <cellStyle name="Normal 2 2 2 4 3 4 2 2 3" xfId="47248" xr:uid="{25124E8D-2813-4B8A-9663-DCDCEC337CB3}"/>
    <cellStyle name="Normal 2 2 2 4 3 4 2 3" xfId="22109" xr:uid="{35C095E0-FFD2-4BAD-9F2F-ACE25F520FB5}"/>
    <cellStyle name="Normal 2 2 2 4 3 4 2 4" xfId="38868" xr:uid="{9E08B251-ECA2-400E-9403-1D89206D3DE4}"/>
    <cellStyle name="Normal 2 2 2 4 3 4 3" xfId="7036" xr:uid="{3A33CD46-0F40-4CED-A395-E78E0D22C0FF}"/>
    <cellStyle name="Normal 2 2 2 4 3 4 3 2" xfId="15416" xr:uid="{C5920E49-BEA7-4DA8-8033-00DC451E0189}"/>
    <cellStyle name="Normal 2 2 2 4 3 4 3 2 2" xfId="32176" xr:uid="{ECEC354C-F37F-41CD-ACD9-011436763BFE}"/>
    <cellStyle name="Normal 2 2 2 4 3 4 3 2 3" xfId="48935" xr:uid="{510636E8-172A-4A71-84DB-EEF6BEB02793}"/>
    <cellStyle name="Normal 2 2 2 4 3 4 3 3" xfId="23796" xr:uid="{FCA8ED29-4B11-4F9D-BD68-246217A0C87C}"/>
    <cellStyle name="Normal 2 2 2 4 3 4 3 4" xfId="40555" xr:uid="{B3020CAB-E445-47EF-BE0D-CB6AA72D30B5}"/>
    <cellStyle name="Normal 2 2 2 4 3 4 4" xfId="3659" xr:uid="{55A8743D-6E50-4F69-B58B-4A78123E3C72}"/>
    <cellStyle name="Normal 2 2 2 4 3 4 4 2" xfId="12039" xr:uid="{F3982596-F59C-4E30-8DA3-29E0D00B316E}"/>
    <cellStyle name="Normal 2 2 2 4 3 4 4 2 2" xfId="28799" xr:uid="{9CA944EB-44B4-4EC2-B006-05C29707A7CE}"/>
    <cellStyle name="Normal 2 2 2 4 3 4 4 2 3" xfId="45558" xr:uid="{6FDAF272-E020-4235-AE21-D5433B16889E}"/>
    <cellStyle name="Normal 2 2 2 4 3 4 4 3" xfId="20419" xr:uid="{06556031-3CE2-4A41-8D37-6546653BB58C}"/>
    <cellStyle name="Normal 2 2 2 4 3 4 4 4" xfId="37178" xr:uid="{14E1C43C-A738-4FAE-8AC6-A064F9EEDD63}"/>
    <cellStyle name="Normal 2 2 2 4 3 4 5" xfId="10349" xr:uid="{8A8D45BA-6687-455C-862F-5E09F24F65F4}"/>
    <cellStyle name="Normal 2 2 2 4 3 4 5 2" xfId="27109" xr:uid="{AF5E998F-4560-466C-9C69-B09CCFE4BB40}"/>
    <cellStyle name="Normal 2 2 2 4 3 4 5 3" xfId="43868" xr:uid="{E4DD7D2A-5AA5-4179-9FA7-E5F39E6072F9}"/>
    <cellStyle name="Normal 2 2 2 4 3 4 6" xfId="18729" xr:uid="{6BBD5CCB-DDFE-475C-B44D-91A96B7B1BE5}"/>
    <cellStyle name="Normal 2 2 2 4 3 4 7" xfId="35488" xr:uid="{FCED81B4-795C-48B3-A64C-C74EF1B589EC}"/>
    <cellStyle name="Normal 2 2 2 4 3 5" xfId="4079" xr:uid="{B3A3E359-7FDC-4EA6-B2D8-794BD5A0B4E6}"/>
    <cellStyle name="Normal 2 2 2 4 3 5 2" xfId="12459" xr:uid="{9C80DDB7-DC73-46D3-BE3B-317349133287}"/>
    <cellStyle name="Normal 2 2 2 4 3 5 2 2" xfId="29219" xr:uid="{EC4A1B4C-3BC3-43FC-98D9-7EF19CA0BBB9}"/>
    <cellStyle name="Normal 2 2 2 4 3 5 2 3" xfId="45978" xr:uid="{D1B864BE-684D-4AAD-B3C7-8C492F92D0AA}"/>
    <cellStyle name="Normal 2 2 2 4 3 5 3" xfId="20839" xr:uid="{1736E1F0-4968-4371-BDBF-BA331CCE3921}"/>
    <cellStyle name="Normal 2 2 2 4 3 5 4" xfId="37598" xr:uid="{7F5779B2-B805-4E6A-B37C-9A470E79EFFC}"/>
    <cellStyle name="Normal 2 2 2 4 3 6" xfId="5726" xr:uid="{B1E8A9B1-119D-4E60-B437-5AFFDA849D94}"/>
    <cellStyle name="Normal 2 2 2 4 3 6 2" xfId="14106" xr:uid="{9FCD571D-1C93-403C-BF60-AE69546D33C8}"/>
    <cellStyle name="Normal 2 2 2 4 3 6 2 2" xfId="30866" xr:uid="{ABCDACA0-8C19-4582-A6A3-E45D05D4842C}"/>
    <cellStyle name="Normal 2 2 2 4 3 6 2 3" xfId="47625" xr:uid="{C136FEAF-B6C4-426B-970D-D071D4103CE3}"/>
    <cellStyle name="Normal 2 2 2 4 3 6 3" xfId="22486" xr:uid="{3E476418-F213-40C7-9A1A-C2F2F181D26B}"/>
    <cellStyle name="Normal 2 2 2 4 3 6 4" xfId="39245" xr:uid="{59F62870-9C46-4173-8DF2-F037B01E3889}"/>
    <cellStyle name="Normal 2 2 2 4 3 7" xfId="7442" xr:uid="{3F72D347-12DA-4A3D-B6E5-FBD8A20B0FE5}"/>
    <cellStyle name="Normal 2 2 2 4 3 7 2" xfId="15822" xr:uid="{93CDC7CB-C69B-4ACE-A7F8-1632DD588C32}"/>
    <cellStyle name="Normal 2 2 2 4 3 7 2 2" xfId="32582" xr:uid="{558F2898-7281-4951-8031-FFF9A6B4F1D6}"/>
    <cellStyle name="Normal 2 2 2 4 3 7 2 3" xfId="49341" xr:uid="{018AF208-8745-4FBD-9EB3-9E223C687F15}"/>
    <cellStyle name="Normal 2 2 2 4 3 7 3" xfId="24202" xr:uid="{D51B010D-820F-445D-BC65-8BF0311238E8}"/>
    <cellStyle name="Normal 2 2 2 4 3 7 4" xfId="40961" xr:uid="{9F195B5B-B7C2-448C-B037-DD93FB93BFAF}"/>
    <cellStyle name="Normal 2 2 2 4 3 8" xfId="7848" xr:uid="{BE85CD33-6C1C-484A-AFCE-A267D6FAE2E6}"/>
    <cellStyle name="Normal 2 2 2 4 3 8 2" xfId="16228" xr:uid="{B8939F0D-5470-4C67-BE47-FA73649DD764}"/>
    <cellStyle name="Normal 2 2 2 4 3 8 2 2" xfId="32988" xr:uid="{80CEA70F-C665-4705-A3A4-77AD42D4FD5F}"/>
    <cellStyle name="Normal 2 2 2 4 3 8 2 3" xfId="49747" xr:uid="{F8231D9B-436A-4376-9E4E-4EFA2A8AFF90}"/>
    <cellStyle name="Normal 2 2 2 4 3 8 3" xfId="24608" xr:uid="{416D5DD8-4548-435A-84EE-3F8137CAEE04}"/>
    <cellStyle name="Normal 2 2 2 4 3 8 4" xfId="41367" xr:uid="{BADCDC76-4778-438C-BB88-FC193DD43188}"/>
    <cellStyle name="Normal 2 2 2 4 3 9" xfId="8254" xr:uid="{A1AF5F5A-83C6-444B-85D4-EE3D64145420}"/>
    <cellStyle name="Normal 2 2 2 4 3 9 2" xfId="16634" xr:uid="{8CBF1DA7-CF4D-43DD-A792-D3923CF7B765}"/>
    <cellStyle name="Normal 2 2 2 4 3 9 2 2" xfId="33394" xr:uid="{C31AAF93-FE9C-444E-94D1-06E43DD41EDB}"/>
    <cellStyle name="Normal 2 2 2 4 3 9 2 3" xfId="50153" xr:uid="{1BFD1D4E-C42F-4CBB-94B3-C816E9AE00A9}"/>
    <cellStyle name="Normal 2 2 2 4 3 9 3" xfId="25014" xr:uid="{3CF05216-48DD-464B-88F1-3CA9C775E624}"/>
    <cellStyle name="Normal 2 2 2 4 3 9 4" xfId="41773" xr:uid="{B31CD781-EDAF-4F3B-B2BE-00400479BBBC}"/>
    <cellStyle name="Normal 2 2 2 4 4" xfId="841" xr:uid="{DF8C32BD-D5A9-4F7A-8B82-AB156568D1AF}"/>
    <cellStyle name="Normal 2 2 2 4 4 2" xfId="4236" xr:uid="{DADBC047-97C9-4F8F-90EF-257A230BDA3E}"/>
    <cellStyle name="Normal 2 2 2 4 4 2 2" xfId="12616" xr:uid="{CA987A9A-DA90-4F20-8A72-9F0715C6B89F}"/>
    <cellStyle name="Normal 2 2 2 4 4 2 2 2" xfId="29376" xr:uid="{F29A628F-8777-47E0-B5AD-8C429B78BAE7}"/>
    <cellStyle name="Normal 2 2 2 4 4 2 2 3" xfId="46135" xr:uid="{7EC50B98-4EBC-408E-BC40-4C7BA348188B}"/>
    <cellStyle name="Normal 2 2 2 4 4 2 3" xfId="20996" xr:uid="{19447999-8EC7-4CCA-B5AC-E476ECBD7B49}"/>
    <cellStyle name="Normal 2 2 2 4 4 2 4" xfId="37755" xr:uid="{DE884CDB-B58B-4EB7-AED4-397B77CE627B}"/>
    <cellStyle name="Normal 2 2 2 4 4 3" xfId="5923" xr:uid="{9F9885CF-09B4-4BB8-93D1-4EC428A636C5}"/>
    <cellStyle name="Normal 2 2 2 4 4 3 2" xfId="14303" xr:uid="{2BF70E33-3D4D-48CE-83D9-7841DCF6AA6D}"/>
    <cellStyle name="Normal 2 2 2 4 4 3 2 2" xfId="31063" xr:uid="{D67E3F1B-295D-4A6B-B85E-D665910CA888}"/>
    <cellStyle name="Normal 2 2 2 4 4 3 2 3" xfId="47822" xr:uid="{751E6054-9167-4F25-985F-B70F700D9F3A}"/>
    <cellStyle name="Normal 2 2 2 4 4 3 3" xfId="22683" xr:uid="{124F6AE9-7BE0-4CD5-8E13-3AA499874348}"/>
    <cellStyle name="Normal 2 2 2 4 4 3 4" xfId="39442" xr:uid="{088CFED6-B8D4-496A-AC17-4ABF6AB7DDE6}"/>
    <cellStyle name="Normal 2 2 2 4 4 4" xfId="2659" xr:uid="{56DBFB95-E1E2-437E-BB5E-EC7BE138E73A}"/>
    <cellStyle name="Normal 2 2 2 4 4 4 2" xfId="11039" xr:uid="{D397BCAB-923F-4571-8DED-3BFC3A0F1DD5}"/>
    <cellStyle name="Normal 2 2 2 4 4 4 2 2" xfId="27799" xr:uid="{BED6E4E6-7D52-435D-BA1C-9FA6A1110C23}"/>
    <cellStyle name="Normal 2 2 2 4 4 4 2 3" xfId="44558" xr:uid="{D34E787A-3E47-4C00-80C9-AE490C82C97B}"/>
    <cellStyle name="Normal 2 2 2 4 4 4 3" xfId="19419" xr:uid="{5D3EA422-DDFA-4ED5-9EBC-B617AD6FC9AC}"/>
    <cellStyle name="Normal 2 2 2 4 4 4 4" xfId="36178" xr:uid="{E23AF2AC-6E5B-4A02-9E8C-35FD4705A4FC}"/>
    <cellStyle name="Normal 2 2 2 4 4 5" xfId="9236" xr:uid="{7D0286DF-AC17-436C-AD59-A360E4A8795E}"/>
    <cellStyle name="Normal 2 2 2 4 4 5 2" xfId="25996" xr:uid="{3772BA95-9B9A-410B-A7CF-215A99883D73}"/>
    <cellStyle name="Normal 2 2 2 4 4 5 3" xfId="42755" xr:uid="{660DDC38-6F18-4B83-874D-C08FF6D00D03}"/>
    <cellStyle name="Normal 2 2 2 4 4 6" xfId="17616" xr:uid="{44B22A8A-EE0F-46D9-8A00-026207A90AE1}"/>
    <cellStyle name="Normal 2 2 2 4 4 7" xfId="34375" xr:uid="{CA02CA83-958F-446D-89C5-991427A527F9}"/>
    <cellStyle name="Normal 2 2 2 4 5" xfId="1275" xr:uid="{CD3C6C3F-306F-455C-ACE3-9ED8E4761785}"/>
    <cellStyle name="Normal 2 2 2 4 5 2" xfId="4664" xr:uid="{04636BAB-91D9-490E-A92B-35E005CC17F1}"/>
    <cellStyle name="Normal 2 2 2 4 5 2 2" xfId="13044" xr:uid="{5847686D-667A-4978-B133-05239E079EFE}"/>
    <cellStyle name="Normal 2 2 2 4 5 2 2 2" xfId="29804" xr:uid="{1E55DD18-3C5F-4C8A-B7C2-0560660FB9E3}"/>
    <cellStyle name="Normal 2 2 2 4 5 2 2 3" xfId="46563" xr:uid="{13ED49C6-F098-409D-96CF-C3A56E80C327}"/>
    <cellStyle name="Normal 2 2 2 4 5 2 3" xfId="21424" xr:uid="{4CC35135-61AA-4956-8E00-CE41C37D46B4}"/>
    <cellStyle name="Normal 2 2 2 4 5 2 4" xfId="38183" xr:uid="{AD31731C-C940-49AE-BD53-1354FFA04373}"/>
    <cellStyle name="Normal 2 2 2 4 5 3" xfId="6351" xr:uid="{F69CCBCF-DC51-472B-8CF3-D3B9FB5043CA}"/>
    <cellStyle name="Normal 2 2 2 4 5 3 2" xfId="14731" xr:uid="{FFC9F4A6-A720-4CCC-B6A1-73E4B7041690}"/>
    <cellStyle name="Normal 2 2 2 4 5 3 2 2" xfId="31491" xr:uid="{D980BE3B-0DC5-49BA-B3AA-7E7D58C21FBD}"/>
    <cellStyle name="Normal 2 2 2 4 5 3 2 3" xfId="48250" xr:uid="{64CD567C-F8DE-495E-8C19-476267DD25E2}"/>
    <cellStyle name="Normal 2 2 2 4 5 3 3" xfId="23111" xr:uid="{0EEAF817-7854-4ACC-9943-00801C52552C}"/>
    <cellStyle name="Normal 2 2 2 4 5 3 4" xfId="39870" xr:uid="{270651D3-D777-4DA5-BDBE-BCC949653032}"/>
    <cellStyle name="Normal 2 2 2 4 5 4" xfId="3087" xr:uid="{522D795A-E46A-49FE-921D-DE06E1D3906D}"/>
    <cellStyle name="Normal 2 2 2 4 5 4 2" xfId="11467" xr:uid="{857D11CF-4D84-433A-B3BE-CFEB504536AB}"/>
    <cellStyle name="Normal 2 2 2 4 5 4 2 2" xfId="28227" xr:uid="{77C073FE-F7D7-4816-B2FE-45801D376C82}"/>
    <cellStyle name="Normal 2 2 2 4 5 4 2 3" xfId="44986" xr:uid="{F46F1B94-ED20-4D53-9118-74122D4CAB6E}"/>
    <cellStyle name="Normal 2 2 2 4 5 4 3" xfId="19847" xr:uid="{8284BC09-8C1C-486B-A627-804A0247DB31}"/>
    <cellStyle name="Normal 2 2 2 4 5 4 4" xfId="36606" xr:uid="{B148BD1A-D635-4928-8C9B-8959572DBB2B}"/>
    <cellStyle name="Normal 2 2 2 4 5 5" xfId="9664" xr:uid="{8F910532-CCC7-4E63-A96C-DC2E590B486A}"/>
    <cellStyle name="Normal 2 2 2 4 5 5 2" xfId="26424" xr:uid="{EBCAD5BB-A631-4609-81BD-E134E910DD98}"/>
    <cellStyle name="Normal 2 2 2 4 5 5 3" xfId="43183" xr:uid="{A4B16651-5F7C-4DB8-B949-610299CC10DE}"/>
    <cellStyle name="Normal 2 2 2 4 5 6" xfId="18044" xr:uid="{30FF5064-E1F8-47A0-84EE-98EFE536E837}"/>
    <cellStyle name="Normal 2 2 2 4 5 7" xfId="34803" xr:uid="{64E043ED-A1C5-423E-98D1-6BF489D7F6C9}"/>
    <cellStyle name="Normal 2 2 2 4 6" xfId="1689" xr:uid="{F4BA616E-34B8-48E9-8583-5F5BDDD81752}"/>
    <cellStyle name="Normal 2 2 2 4 6 2" xfId="5078" xr:uid="{D511C568-E54B-4BB4-B4A8-112250316832}"/>
    <cellStyle name="Normal 2 2 2 4 6 2 2" xfId="13458" xr:uid="{6E3EEF24-58A6-4E1A-9DC1-AFA2B0A8540E}"/>
    <cellStyle name="Normal 2 2 2 4 6 2 2 2" xfId="30218" xr:uid="{22BA96A1-65FC-4395-ACE7-EE93A2863494}"/>
    <cellStyle name="Normal 2 2 2 4 6 2 2 3" xfId="46977" xr:uid="{CB02AC66-4DF2-4325-969C-28F4362901DF}"/>
    <cellStyle name="Normal 2 2 2 4 6 2 3" xfId="21838" xr:uid="{B7014141-D4D5-4B56-BCBC-800E3268306C}"/>
    <cellStyle name="Normal 2 2 2 4 6 2 4" xfId="38597" xr:uid="{811BD3E4-A624-41F5-9035-336B54A58835}"/>
    <cellStyle name="Normal 2 2 2 4 6 3" xfId="6765" xr:uid="{74A9DC85-396E-4ECF-A9E2-627A29C293A5}"/>
    <cellStyle name="Normal 2 2 2 4 6 3 2" xfId="15145" xr:uid="{46ED96EB-4DCF-48D6-BFEB-A5FCD1F3FAA1}"/>
    <cellStyle name="Normal 2 2 2 4 6 3 2 2" xfId="31905" xr:uid="{6034974E-CCC8-4813-941A-FBB9683140A1}"/>
    <cellStyle name="Normal 2 2 2 4 6 3 2 3" xfId="48664" xr:uid="{1F847A3B-D312-4CA6-B014-8323D53C3B9B}"/>
    <cellStyle name="Normal 2 2 2 4 6 3 3" xfId="23525" xr:uid="{649E8664-5298-45D2-8D42-46AD6321D9F5}"/>
    <cellStyle name="Normal 2 2 2 4 6 3 4" xfId="40284" xr:uid="{01361EFD-9785-4956-A2A2-DDC49B573053}"/>
    <cellStyle name="Normal 2 2 2 4 6 4" xfId="2229" xr:uid="{F1D9C9ED-0881-4D5E-988D-F3078396C9E6}"/>
    <cellStyle name="Normal 2 2 2 4 6 4 2" xfId="10613" xr:uid="{12587464-EF1E-4066-8E38-9B5DA8FE0D65}"/>
    <cellStyle name="Normal 2 2 2 4 6 4 2 2" xfId="27373" xr:uid="{C6204AB6-F30D-4F14-AE0B-27B28839E4DF}"/>
    <cellStyle name="Normal 2 2 2 4 6 4 2 3" xfId="44132" xr:uid="{47CD14CC-AFB0-4968-A17E-648812BF492C}"/>
    <cellStyle name="Normal 2 2 2 4 6 4 3" xfId="18993" xr:uid="{0B883148-B985-4C8B-A893-0D7228FD0E89}"/>
    <cellStyle name="Normal 2 2 2 4 6 4 4" xfId="35752" xr:uid="{4E18E90D-E5A2-498F-B92C-23E60452EAC1}"/>
    <cellStyle name="Normal 2 2 2 4 6 5" xfId="10078" xr:uid="{C23C2441-BEBD-4A94-B8AE-7AF6AD4B31A2}"/>
    <cellStyle name="Normal 2 2 2 4 6 5 2" xfId="26838" xr:uid="{8D4974E2-8251-469C-9A52-E5C39F8B0A1E}"/>
    <cellStyle name="Normal 2 2 2 4 6 5 3" xfId="43597" xr:uid="{1DF14872-45EF-4AC6-810B-E72E0D0D48A2}"/>
    <cellStyle name="Normal 2 2 2 4 6 6" xfId="18458" xr:uid="{A54BFA48-1255-48BB-BA3C-19EFA1B98E2D}"/>
    <cellStyle name="Normal 2 2 2 4 6 7" xfId="35217" xr:uid="{CC7134E1-1F26-48E9-83FE-74F512B7136A}"/>
    <cellStyle name="Normal 2 2 2 4 7" xfId="3807" xr:uid="{E49BF9BE-5625-4371-AA6B-0CAB701EC96F}"/>
    <cellStyle name="Normal 2 2 2 4 7 2" xfId="12187" xr:uid="{7205BAD7-DB04-4701-99BB-59D16375F77C}"/>
    <cellStyle name="Normal 2 2 2 4 7 2 2" xfId="28947" xr:uid="{36BC4538-4565-4A0E-BF29-11FBB67BCAC0}"/>
    <cellStyle name="Normal 2 2 2 4 7 2 3" xfId="45706" xr:uid="{280B8A38-E310-4DEE-B9E4-E963CF22EF3F}"/>
    <cellStyle name="Normal 2 2 2 4 7 3" xfId="20567" xr:uid="{F3AD81C0-119E-4528-B5D5-5291AE8231C4}"/>
    <cellStyle name="Normal 2 2 2 4 7 4" xfId="37326" xr:uid="{A058215E-FB38-4224-A4E9-8DB87F8EEE13}"/>
    <cellStyle name="Normal 2 2 2 4 8" xfId="5497" xr:uid="{58DF8018-D919-44C5-8E70-CDEE3F30530D}"/>
    <cellStyle name="Normal 2 2 2 4 8 2" xfId="13877" xr:uid="{11826FCA-AAC2-48F4-8ACD-210F4FF6E506}"/>
    <cellStyle name="Normal 2 2 2 4 8 2 2" xfId="30637" xr:uid="{B87FAEF9-DE7C-4ADB-971B-24188103E6CD}"/>
    <cellStyle name="Normal 2 2 2 4 8 2 3" xfId="47396" xr:uid="{80043993-01F2-4C1D-9F0E-8A8F427551E7}"/>
    <cellStyle name="Normal 2 2 2 4 8 3" xfId="22257" xr:uid="{5E046F29-401E-4645-83E3-50487EC1845E}"/>
    <cellStyle name="Normal 2 2 2 4 8 4" xfId="39016" xr:uid="{0A43CC82-5133-441A-ADD9-E18A15A464B9}"/>
    <cellStyle name="Normal 2 2 2 4 9" xfId="7171" xr:uid="{F657A0B0-6E49-4D26-AA64-1D480E074D4A}"/>
    <cellStyle name="Normal 2 2 2 4 9 2" xfId="15551" xr:uid="{9701E6CA-D7E0-458D-9711-E80551E3820D}"/>
    <cellStyle name="Normal 2 2 2 4 9 2 2" xfId="32311" xr:uid="{D2A2378E-CED8-4922-86DD-E551B505D146}"/>
    <cellStyle name="Normal 2 2 2 4 9 2 3" xfId="49070" xr:uid="{62CAA00D-09A7-4985-8BDD-67B241D2285E}"/>
    <cellStyle name="Normal 2 2 2 4 9 3" xfId="23931" xr:uid="{708BFEC7-ADEB-48F3-8C49-3413CA085663}"/>
    <cellStyle name="Normal 2 2 2 4 9 4" xfId="40690" xr:uid="{817E3432-E100-4328-A071-26F02AD449FA}"/>
    <cellStyle name="Normal 2 2 2 5" xfId="629" xr:uid="{587DB33F-B346-4484-8B3E-E70D64ADEBC6}"/>
    <cellStyle name="Normal 2 2 2 5 10" xfId="7578" xr:uid="{DB6AEEA5-BA31-44D4-8C77-D9800166C820}"/>
    <cellStyle name="Normal 2 2 2 5 10 2" xfId="15958" xr:uid="{95565A25-110A-4325-B994-DE04704D2864}"/>
    <cellStyle name="Normal 2 2 2 5 10 2 2" xfId="32718" xr:uid="{28991E26-C590-4DF6-8E45-B8501ECC2574}"/>
    <cellStyle name="Normal 2 2 2 5 10 2 3" xfId="49477" xr:uid="{7CC767F2-53AF-48AE-8D47-4A17C8E53FEC}"/>
    <cellStyle name="Normal 2 2 2 5 10 3" xfId="24338" xr:uid="{8FBB650A-FC04-407D-B064-508229AAC9BF}"/>
    <cellStyle name="Normal 2 2 2 5 10 4" xfId="41097" xr:uid="{40DC6ACA-40EA-4BD5-90D4-EE86AE801E88}"/>
    <cellStyle name="Normal 2 2 2 5 11" xfId="7984" xr:uid="{CBA5A299-336A-451A-90DA-45DCFEF3A57F}"/>
    <cellStyle name="Normal 2 2 2 5 11 2" xfId="16364" xr:uid="{62F877DE-9705-476E-80D0-62F29B2FE9DB}"/>
    <cellStyle name="Normal 2 2 2 5 11 2 2" xfId="33124" xr:uid="{CC8E59B3-4449-47B4-936A-CD4E7CEEBBFE}"/>
    <cellStyle name="Normal 2 2 2 5 11 2 3" xfId="49883" xr:uid="{20B878A9-687C-4C6F-9782-581B82CF9FB2}"/>
    <cellStyle name="Normal 2 2 2 5 11 3" xfId="24744" xr:uid="{80A121AC-CA09-4504-8494-6B1A3D8A457F}"/>
    <cellStyle name="Normal 2 2 2 5 11 4" xfId="41503" xr:uid="{19726E7D-DFBE-4943-A879-695F63F231C0}"/>
    <cellStyle name="Normal 2 2 2 5 12" xfId="8390" xr:uid="{10D07CB7-C8B7-4600-9923-D44347FFE153}"/>
    <cellStyle name="Normal 2 2 2 5 12 2" xfId="16770" xr:uid="{6890ACB9-2BCB-4C7D-A911-44134F61C148}"/>
    <cellStyle name="Normal 2 2 2 5 12 2 2" xfId="33530" xr:uid="{F2C9E9A6-78A3-47F5-B5FD-EF8E7C048A29}"/>
    <cellStyle name="Normal 2 2 2 5 12 2 3" xfId="50289" xr:uid="{219D9C15-7C4E-4E5A-AE64-FEC35210206C}"/>
    <cellStyle name="Normal 2 2 2 5 12 3" xfId="25150" xr:uid="{08AD7F91-6E23-402F-9D47-04B4A4BC18C8}"/>
    <cellStyle name="Normal 2 2 2 5 12 4" xfId="41909" xr:uid="{36B735D7-1926-4025-B297-835538A005EB}"/>
    <cellStyle name="Normal 2 2 2 5 13" xfId="2104" xr:uid="{9036E89D-CC4C-4E98-938E-C764318A96C8}"/>
    <cellStyle name="Normal 2 2 2 5 13 2" xfId="10492" xr:uid="{38162D2A-45A7-46F6-832A-7CB971D6E276}"/>
    <cellStyle name="Normal 2 2 2 5 13 2 2" xfId="27252" xr:uid="{2041D301-3EA5-49A5-94DE-60380419242A}"/>
    <cellStyle name="Normal 2 2 2 5 13 2 3" xfId="44011" xr:uid="{8A1CF828-69EA-4A66-9CC7-1E3EBC588C2E}"/>
    <cellStyle name="Normal 2 2 2 5 13 3" xfId="18872" xr:uid="{FB1CF86C-9149-4169-B50A-4583DCEE7650}"/>
    <cellStyle name="Normal 2 2 2 5 13 4" xfId="35631" xr:uid="{5441491B-34FB-44BE-A181-0DA3CCA81D62}"/>
    <cellStyle name="Normal 2 2 2 5 14" xfId="9040" xr:uid="{E12C3C1B-0189-4966-A988-E5AE45316022}"/>
    <cellStyle name="Normal 2 2 2 5 14 2" xfId="25800" xr:uid="{8F249BD2-DC13-4117-B2A1-05603BB86566}"/>
    <cellStyle name="Normal 2 2 2 5 14 3" xfId="42559" xr:uid="{E792D6DF-98FB-49F8-BE25-2EDC2E06A508}"/>
    <cellStyle name="Normal 2 2 2 5 15" xfId="17420" xr:uid="{BCF40C6B-CED7-43F6-968E-CD09A57619FF}"/>
    <cellStyle name="Normal 2 2 2 5 16" xfId="34179" xr:uid="{433F71AE-9A2E-4DE6-98CC-4A41BE9DCA6A}"/>
    <cellStyle name="Normal 2 2 2 5 2" xfId="630" xr:uid="{9230800E-CDE4-42F4-964A-1CE25FDD4261}"/>
    <cellStyle name="Normal 2 2 2 5 2 10" xfId="8541" xr:uid="{35B19760-1415-4592-9810-003E509B64AE}"/>
    <cellStyle name="Normal 2 2 2 5 2 10 2" xfId="16921" xr:uid="{4041A368-025D-4C69-B614-3B6B4F755E2E}"/>
    <cellStyle name="Normal 2 2 2 5 2 10 2 2" xfId="33681" xr:uid="{3BBD8386-C921-46C5-BDCD-7BB9F8C8F140}"/>
    <cellStyle name="Normal 2 2 2 5 2 10 2 3" xfId="50440" xr:uid="{3DBB071F-BB5D-494F-8F58-62ADEEF0D7A7}"/>
    <cellStyle name="Normal 2 2 2 5 2 10 3" xfId="25301" xr:uid="{66946B82-94AE-4E1C-AFD6-9AA6C4F605C0}"/>
    <cellStyle name="Normal 2 2 2 5 2 10 4" xfId="42060" xr:uid="{07C34234-225C-4119-B0E5-818E4596C85B}"/>
    <cellStyle name="Normal 2 2 2 5 2 11" xfId="2462" xr:uid="{B31A723A-6009-4A8B-8F89-CDD2B122421D}"/>
    <cellStyle name="Normal 2 2 2 5 2 11 2" xfId="10844" xr:uid="{92E6286A-0305-42E4-9A86-ADFE94618FE7}"/>
    <cellStyle name="Normal 2 2 2 5 2 11 2 2" xfId="27604" xr:uid="{E0261023-AA81-41A0-8A85-605B6C7554D1}"/>
    <cellStyle name="Normal 2 2 2 5 2 11 2 3" xfId="44363" xr:uid="{5D9294EB-FB2A-4A14-B0BD-959E5EBD1DF8}"/>
    <cellStyle name="Normal 2 2 2 5 2 11 3" xfId="19224" xr:uid="{2ADA2CA4-3339-4677-B920-35B9371C676B}"/>
    <cellStyle name="Normal 2 2 2 5 2 11 4" xfId="35983" xr:uid="{453CBF96-5A77-4D16-849D-3161F4ABD43A}"/>
    <cellStyle name="Normal 2 2 2 5 2 12" xfId="9041" xr:uid="{6FEBEF1C-1563-4418-A900-3AB61D8A0E3D}"/>
    <cellStyle name="Normal 2 2 2 5 2 12 2" xfId="25801" xr:uid="{92B4DB25-8C5C-4C54-83FA-CD3BD365F759}"/>
    <cellStyle name="Normal 2 2 2 5 2 12 3" xfId="42560" xr:uid="{AE6BF601-DF65-43F8-B50F-1B0BB396FE44}"/>
    <cellStyle name="Normal 2 2 2 5 2 13" xfId="17421" xr:uid="{B2044CDE-3916-4BFA-A0D8-F92A631F8742}"/>
    <cellStyle name="Normal 2 2 2 5 2 14" xfId="34180" xr:uid="{A5B41FFF-0B7E-4780-B484-9D46EB92513E}"/>
    <cellStyle name="Normal 2 2 2 5 2 2" xfId="1072" xr:uid="{E3525BB5-7ED7-4549-AF61-33BE32B67688}"/>
    <cellStyle name="Normal 2 2 2 5 2 2 2" xfId="4467" xr:uid="{CF7E9E57-B759-4FB8-89AC-B262B8BAF1C9}"/>
    <cellStyle name="Normal 2 2 2 5 2 2 2 2" xfId="12847" xr:uid="{6039DF90-71EF-429E-B6C4-655D26958771}"/>
    <cellStyle name="Normal 2 2 2 5 2 2 2 2 2" xfId="29607" xr:uid="{10EFABF9-C7DF-4A0E-84AE-449E5A951F1B}"/>
    <cellStyle name="Normal 2 2 2 5 2 2 2 2 3" xfId="46366" xr:uid="{F99CBE27-FA60-4E8A-98B1-E4AD87A10D08}"/>
    <cellStyle name="Normal 2 2 2 5 2 2 2 3" xfId="21227" xr:uid="{764378EF-946E-49E7-8C8F-85E2D905008C}"/>
    <cellStyle name="Normal 2 2 2 5 2 2 2 4" xfId="37986" xr:uid="{DCA5A248-2C13-4C0D-B01F-59C5898CF2B4}"/>
    <cellStyle name="Normal 2 2 2 5 2 2 3" xfId="6154" xr:uid="{DAD94C70-8024-4E4E-8BE7-79F940DA17E5}"/>
    <cellStyle name="Normal 2 2 2 5 2 2 3 2" xfId="14534" xr:uid="{3C555B67-5236-4F35-B0F3-104FA2C84AB1}"/>
    <cellStyle name="Normal 2 2 2 5 2 2 3 2 2" xfId="31294" xr:uid="{148E85AC-C579-4DB8-8CB5-AC8350D1AA78}"/>
    <cellStyle name="Normal 2 2 2 5 2 2 3 2 3" xfId="48053" xr:uid="{034B8767-3162-4B31-A3B2-FA8F963BF541}"/>
    <cellStyle name="Normal 2 2 2 5 2 2 3 3" xfId="22914" xr:uid="{F7A71098-D78B-4CC0-A03D-71027500FA85}"/>
    <cellStyle name="Normal 2 2 2 5 2 2 3 4" xfId="39673" xr:uid="{B37BB4F9-0100-43F6-B38E-D407AA647181}"/>
    <cellStyle name="Normal 2 2 2 5 2 2 4" xfId="2890" xr:uid="{8644A95E-9946-4917-AEB8-EFD42A2B8E07}"/>
    <cellStyle name="Normal 2 2 2 5 2 2 4 2" xfId="11270" xr:uid="{0FBC4E75-6803-4D82-BE84-2EA788F2C694}"/>
    <cellStyle name="Normal 2 2 2 5 2 2 4 2 2" xfId="28030" xr:uid="{88384BA7-B187-476D-8FC6-F0309AA3C4A4}"/>
    <cellStyle name="Normal 2 2 2 5 2 2 4 2 3" xfId="44789" xr:uid="{6B7CDE5E-73C5-42C9-9CAB-5DBCC76EF3DB}"/>
    <cellStyle name="Normal 2 2 2 5 2 2 4 3" xfId="19650" xr:uid="{2DA448A6-695F-426B-A08A-7EBB34415479}"/>
    <cellStyle name="Normal 2 2 2 5 2 2 4 4" xfId="36409" xr:uid="{3F9882F5-D3CC-4FFD-A364-9A1C5EB09FE7}"/>
    <cellStyle name="Normal 2 2 2 5 2 2 5" xfId="9467" xr:uid="{B43CD22A-E9AB-49E4-B212-189848B63246}"/>
    <cellStyle name="Normal 2 2 2 5 2 2 5 2" xfId="26227" xr:uid="{EA123CE8-B7EF-4046-A38D-9F997FEC5FEC}"/>
    <cellStyle name="Normal 2 2 2 5 2 2 5 3" xfId="42986" xr:uid="{5A582862-90D6-4A29-ABD6-E98CD51DFE8D}"/>
    <cellStyle name="Normal 2 2 2 5 2 2 6" xfId="17847" xr:uid="{34E4D969-BE1B-4F00-9AFE-E0D65D497C6E}"/>
    <cellStyle name="Normal 2 2 2 5 2 2 7" xfId="34606" xr:uid="{14885443-757F-4A21-8498-AC2877DA5CF3}"/>
    <cellStyle name="Normal 2 2 2 5 2 3" xfId="1506" xr:uid="{4B17CEB0-0554-43BC-BBDA-D0CD41E0D510}"/>
    <cellStyle name="Normal 2 2 2 5 2 3 2" xfId="4895" xr:uid="{C4E1E83D-2361-4D6A-B020-E2EE4659B144}"/>
    <cellStyle name="Normal 2 2 2 5 2 3 2 2" xfId="13275" xr:uid="{5087859F-747C-461A-A5D6-8F5CF6580799}"/>
    <cellStyle name="Normal 2 2 2 5 2 3 2 2 2" xfId="30035" xr:uid="{C7965A34-0517-45F3-A1F2-D55CFCCC627B}"/>
    <cellStyle name="Normal 2 2 2 5 2 3 2 2 3" xfId="46794" xr:uid="{4ED4A27F-DCE6-4743-A5E8-A2E69E872BF4}"/>
    <cellStyle name="Normal 2 2 2 5 2 3 2 3" xfId="21655" xr:uid="{EC20E343-C7FB-45F2-AB7C-EE9513DFF6BC}"/>
    <cellStyle name="Normal 2 2 2 5 2 3 2 4" xfId="38414" xr:uid="{5C53D73C-E4ED-4B93-9ADA-232F62AEF1FD}"/>
    <cellStyle name="Normal 2 2 2 5 2 3 3" xfId="6582" xr:uid="{22EAAA8C-521D-4F5C-AA61-B4E772761C26}"/>
    <cellStyle name="Normal 2 2 2 5 2 3 3 2" xfId="14962" xr:uid="{EA1C0B27-52E3-4966-89BC-2AA50753E5F9}"/>
    <cellStyle name="Normal 2 2 2 5 2 3 3 2 2" xfId="31722" xr:uid="{DA9EAB07-03F8-41A7-BEBD-020AB1220C18}"/>
    <cellStyle name="Normal 2 2 2 5 2 3 3 2 3" xfId="48481" xr:uid="{CF2A392C-6FDA-43BC-B27D-C63B36E4E2F6}"/>
    <cellStyle name="Normal 2 2 2 5 2 3 3 3" xfId="23342" xr:uid="{EAF87670-3E56-45F5-8B0A-5F573810503B}"/>
    <cellStyle name="Normal 2 2 2 5 2 3 3 4" xfId="40101" xr:uid="{63CE36D4-9025-4FDF-85C4-C88DB21A0E89}"/>
    <cellStyle name="Normal 2 2 2 5 2 3 4" xfId="3318" xr:uid="{E99B3276-0D6C-4F43-A0B5-DD658D6941DB}"/>
    <cellStyle name="Normal 2 2 2 5 2 3 4 2" xfId="11698" xr:uid="{7EACE11B-330B-4E8E-B1E2-8AEC2AAB61A0}"/>
    <cellStyle name="Normal 2 2 2 5 2 3 4 2 2" xfId="28458" xr:uid="{74905E2A-061D-402A-83D5-7F1459C78F64}"/>
    <cellStyle name="Normal 2 2 2 5 2 3 4 2 3" xfId="45217" xr:uid="{4FCBCC94-6C45-4EBD-A7A7-D959DDC299BA}"/>
    <cellStyle name="Normal 2 2 2 5 2 3 4 3" xfId="20078" xr:uid="{1E34CB1D-392D-4302-A52A-F9EAFFFC1EF3}"/>
    <cellStyle name="Normal 2 2 2 5 2 3 4 4" xfId="36837" xr:uid="{8038BE37-55F6-44BB-8AAD-EAE7C7BBA7B9}"/>
    <cellStyle name="Normal 2 2 2 5 2 3 5" xfId="9895" xr:uid="{4CDC3F45-2F47-4138-B72E-D5BD01EC2145}"/>
    <cellStyle name="Normal 2 2 2 5 2 3 5 2" xfId="26655" xr:uid="{00731BB6-76A3-4768-B448-FB10C710CF2C}"/>
    <cellStyle name="Normal 2 2 2 5 2 3 5 3" xfId="43414" xr:uid="{AF736051-EB95-4A93-B0DC-10252AE5A9C9}"/>
    <cellStyle name="Normal 2 2 2 5 2 3 6" xfId="18275" xr:uid="{3F9F86DA-10EB-422E-B517-0F3ABA9DE371}"/>
    <cellStyle name="Normal 2 2 2 5 2 3 7" xfId="35034" xr:uid="{499D0715-74C5-4C87-8ED0-82CA58A107D1}"/>
    <cellStyle name="Normal 2 2 2 5 2 4" xfId="1841" xr:uid="{203D6382-A515-4BA7-9582-D693796B5F4B}"/>
    <cellStyle name="Normal 2 2 2 5 2 4 2" xfId="5230" xr:uid="{329777E8-755E-4D18-8D49-FD123D752680}"/>
    <cellStyle name="Normal 2 2 2 5 2 4 2 2" xfId="13610" xr:uid="{7759CD84-6003-49AA-85F7-CAB66745F436}"/>
    <cellStyle name="Normal 2 2 2 5 2 4 2 2 2" xfId="30370" xr:uid="{72559CFF-B51A-42C3-9BBD-D88BC762BCFC}"/>
    <cellStyle name="Normal 2 2 2 5 2 4 2 2 3" xfId="47129" xr:uid="{87FB6213-421A-476B-BAF9-55791B196FC0}"/>
    <cellStyle name="Normal 2 2 2 5 2 4 2 3" xfId="21990" xr:uid="{DC6F003B-AF82-4CE0-8E8F-AF9C742DA856}"/>
    <cellStyle name="Normal 2 2 2 5 2 4 2 4" xfId="38749" xr:uid="{6E7AEBBB-DE32-4171-93B6-4816F7E187E7}"/>
    <cellStyle name="Normal 2 2 2 5 2 4 3" xfId="6917" xr:uid="{31A42EE9-8994-4AEC-A0CA-235214546B47}"/>
    <cellStyle name="Normal 2 2 2 5 2 4 3 2" xfId="15297" xr:uid="{BD2181D0-8F8C-4CCE-AB92-760504D445D3}"/>
    <cellStyle name="Normal 2 2 2 5 2 4 3 2 2" xfId="32057" xr:uid="{0EC9484F-3E98-4CCD-BAC7-E2DA9574998A}"/>
    <cellStyle name="Normal 2 2 2 5 2 4 3 2 3" xfId="48816" xr:uid="{6A4A4D44-5856-4867-962E-D9CC4FD8C081}"/>
    <cellStyle name="Normal 2 2 2 5 2 4 3 3" xfId="23677" xr:uid="{F8BAB6C7-0E84-4BD0-8C49-93920EF1A43C}"/>
    <cellStyle name="Normal 2 2 2 5 2 4 3 4" xfId="40436" xr:uid="{1AEA7038-B435-42E1-8C2A-2D648CDA7DBC}"/>
    <cellStyle name="Normal 2 2 2 5 2 4 4" xfId="3541" xr:uid="{8F188E5A-50D4-4556-9B40-21D3E4A81EA8}"/>
    <cellStyle name="Normal 2 2 2 5 2 4 4 2" xfId="11921" xr:uid="{4FF698CE-20AB-4A2D-860F-4696960D0D9B}"/>
    <cellStyle name="Normal 2 2 2 5 2 4 4 2 2" xfId="28681" xr:uid="{DFCB2624-E60C-4472-AC42-7B82FE32AE3F}"/>
    <cellStyle name="Normal 2 2 2 5 2 4 4 2 3" xfId="45440" xr:uid="{107CD4CE-84F0-403A-B455-227C3CA756F4}"/>
    <cellStyle name="Normal 2 2 2 5 2 4 4 3" xfId="20301" xr:uid="{4DD3736A-6C67-4F7A-A1F6-ED7A9D18E1BF}"/>
    <cellStyle name="Normal 2 2 2 5 2 4 4 4" xfId="37060" xr:uid="{1318DE4F-A5F5-4605-9EA5-541616EE5958}"/>
    <cellStyle name="Normal 2 2 2 5 2 4 5" xfId="10230" xr:uid="{C1D13DD1-2840-4BA4-A3BD-DEF0FCBF43CF}"/>
    <cellStyle name="Normal 2 2 2 5 2 4 5 2" xfId="26990" xr:uid="{F44F2317-6BDC-44D7-A687-5A9E504D1D92}"/>
    <cellStyle name="Normal 2 2 2 5 2 4 5 3" xfId="43749" xr:uid="{56813A4F-80C2-4910-B9E9-E2E42AFBD14F}"/>
    <cellStyle name="Normal 2 2 2 5 2 4 6" xfId="18610" xr:uid="{A60B76F7-F9B0-4FFA-9BA4-4F01FE1B8975}"/>
    <cellStyle name="Normal 2 2 2 5 2 4 7" xfId="35369" xr:uid="{9ADE1BA4-B444-4383-821F-DA609F341083}"/>
    <cellStyle name="Normal 2 2 2 5 2 5" xfId="3960" xr:uid="{33C20614-A599-4F94-96C2-281948929C18}"/>
    <cellStyle name="Normal 2 2 2 5 2 5 2" xfId="12340" xr:uid="{01987A35-8741-4FA4-B606-8CE4459F5E2F}"/>
    <cellStyle name="Normal 2 2 2 5 2 5 2 2" xfId="29100" xr:uid="{043C74CA-2813-4F55-880F-A1B7CB82475A}"/>
    <cellStyle name="Normal 2 2 2 5 2 5 2 3" xfId="45859" xr:uid="{53C904E1-B87B-47C5-A422-BF0799722E00}"/>
    <cellStyle name="Normal 2 2 2 5 2 5 3" xfId="20720" xr:uid="{866CB760-1A93-4E60-A1F1-665541711935}"/>
    <cellStyle name="Normal 2 2 2 5 2 5 4" xfId="37479" xr:uid="{9E07F61D-4285-423C-BCAE-5FBA3FC39970}"/>
    <cellStyle name="Normal 2 2 2 5 2 6" xfId="5728" xr:uid="{4C7C1007-3402-4213-A6AA-A7C41BB85832}"/>
    <cellStyle name="Normal 2 2 2 5 2 6 2" xfId="14108" xr:uid="{BA99965A-9D31-4CBD-8F6B-BB8E23975BD1}"/>
    <cellStyle name="Normal 2 2 2 5 2 6 2 2" xfId="30868" xr:uid="{68122E30-5A57-4E32-8742-0C8DD334E5CC}"/>
    <cellStyle name="Normal 2 2 2 5 2 6 2 3" xfId="47627" xr:uid="{2F829791-BDF0-43FB-88D7-3ADC025663E1}"/>
    <cellStyle name="Normal 2 2 2 5 2 6 3" xfId="22488" xr:uid="{A433E2E0-BC0D-4943-BFF4-48A6887DDFF3}"/>
    <cellStyle name="Normal 2 2 2 5 2 6 4" xfId="39247" xr:uid="{AAE5287D-D22B-47C1-BE84-5D063C668A2D}"/>
    <cellStyle name="Normal 2 2 2 5 2 7" xfId="7323" xr:uid="{1DC7E93A-298A-47FA-955C-9495306C030A}"/>
    <cellStyle name="Normal 2 2 2 5 2 7 2" xfId="15703" xr:uid="{F64C28FD-C76A-465D-887A-6E8EB2AE339F}"/>
    <cellStyle name="Normal 2 2 2 5 2 7 2 2" xfId="32463" xr:uid="{A67506AD-286E-4E84-92C2-31A99E50BA72}"/>
    <cellStyle name="Normal 2 2 2 5 2 7 2 3" xfId="49222" xr:uid="{07CF8C5E-C38A-450F-BC96-2C7A9997E496}"/>
    <cellStyle name="Normal 2 2 2 5 2 7 3" xfId="24083" xr:uid="{A0F5061A-6192-455F-9290-54380BDEB745}"/>
    <cellStyle name="Normal 2 2 2 5 2 7 4" xfId="40842" xr:uid="{F69C7EC0-7951-4D48-BE82-30CB30B76187}"/>
    <cellStyle name="Normal 2 2 2 5 2 8" xfId="7729" xr:uid="{2B4BB215-5C54-4F7D-9271-8F8666B1DAFD}"/>
    <cellStyle name="Normal 2 2 2 5 2 8 2" xfId="16109" xr:uid="{E12DAC7F-A393-48CF-A90D-8D77647E0281}"/>
    <cellStyle name="Normal 2 2 2 5 2 8 2 2" xfId="32869" xr:uid="{CD53E48A-4651-48B2-B91D-B47CA565AA10}"/>
    <cellStyle name="Normal 2 2 2 5 2 8 2 3" xfId="49628" xr:uid="{A70DA72C-F8DF-4762-B697-71928127D91E}"/>
    <cellStyle name="Normal 2 2 2 5 2 8 3" xfId="24489" xr:uid="{F971FE6E-D299-438F-8D2B-53900551DF31}"/>
    <cellStyle name="Normal 2 2 2 5 2 8 4" xfId="41248" xr:uid="{D51BE666-4913-4750-9E85-BE7E26DD4CF5}"/>
    <cellStyle name="Normal 2 2 2 5 2 9" xfId="8135" xr:uid="{73B0AA74-619B-49E9-A2CE-EFF0A2FA2505}"/>
    <cellStyle name="Normal 2 2 2 5 2 9 2" xfId="16515" xr:uid="{FFDFAFCC-249B-4686-8F42-3BDF7CEDDA6D}"/>
    <cellStyle name="Normal 2 2 2 5 2 9 2 2" xfId="33275" xr:uid="{2B15CBBE-167C-4E75-A68A-223A9AE927F8}"/>
    <cellStyle name="Normal 2 2 2 5 2 9 2 3" xfId="50034" xr:uid="{CE3380B5-D3B0-4CD1-A42D-19FFE0F05FB0}"/>
    <cellStyle name="Normal 2 2 2 5 2 9 3" xfId="24895" xr:uid="{E75B1053-B2AE-4BB7-8F6C-F48E16179B29}"/>
    <cellStyle name="Normal 2 2 2 5 2 9 4" xfId="41654" xr:uid="{C0063CEB-377F-4AC9-AB81-B15881FC9D5A}"/>
    <cellStyle name="Normal 2 2 2 5 3" xfId="631" xr:uid="{46A5C596-D831-424E-BF37-E917AA5BE91E}"/>
    <cellStyle name="Normal 2 2 2 5 3 10" xfId="8661" xr:uid="{EFAED90D-F67A-419D-8F28-22A1324270F6}"/>
    <cellStyle name="Normal 2 2 2 5 3 10 2" xfId="17041" xr:uid="{9EA847CC-D574-45C4-ADC4-17D6521FC45A}"/>
    <cellStyle name="Normal 2 2 2 5 3 10 2 2" xfId="33801" xr:uid="{A9F4F317-FB99-4828-9D8E-00352CBE6BC4}"/>
    <cellStyle name="Normal 2 2 2 5 3 10 2 3" xfId="50560" xr:uid="{182D37AF-C245-4A90-9E81-0BE6B428DF21}"/>
    <cellStyle name="Normal 2 2 2 5 3 10 3" xfId="25421" xr:uid="{5BB69088-3E22-4444-A9DE-8532DEF800BB}"/>
    <cellStyle name="Normal 2 2 2 5 3 10 4" xfId="42180" xr:uid="{19F44019-AFBD-4ADE-8AE2-A443C27C27F2}"/>
    <cellStyle name="Normal 2 2 2 5 3 11" xfId="2463" xr:uid="{1725F0AE-ADE8-4044-8286-34FB88ABE57B}"/>
    <cellStyle name="Normal 2 2 2 5 3 11 2" xfId="10845" xr:uid="{BD19602E-1F7E-4E18-9ABA-C17113A1B59E}"/>
    <cellStyle name="Normal 2 2 2 5 3 11 2 2" xfId="27605" xr:uid="{8618183C-5B3F-46A2-B240-DD38A16351DB}"/>
    <cellStyle name="Normal 2 2 2 5 3 11 2 3" xfId="44364" xr:uid="{86C07A8E-EE3E-4116-A72E-58687BD3E44C}"/>
    <cellStyle name="Normal 2 2 2 5 3 11 3" xfId="19225" xr:uid="{6DE87118-733D-4303-964C-C289CFF34517}"/>
    <cellStyle name="Normal 2 2 2 5 3 11 4" xfId="35984" xr:uid="{FFDEAF33-219C-417D-B78E-7B7CA0917BCA}"/>
    <cellStyle name="Normal 2 2 2 5 3 12" xfId="9042" xr:uid="{4D66A7BA-A4D9-49CB-8949-E124B2A7BD75}"/>
    <cellStyle name="Normal 2 2 2 5 3 12 2" xfId="25802" xr:uid="{FDCC50AA-2839-4562-91ED-988DC9A55E82}"/>
    <cellStyle name="Normal 2 2 2 5 3 12 3" xfId="42561" xr:uid="{A5C28C61-F6C6-458C-BEBD-923A7C4148C4}"/>
    <cellStyle name="Normal 2 2 2 5 3 13" xfId="17422" xr:uid="{47DF013E-A2E1-41DE-997E-F57A248BCC25}"/>
    <cellStyle name="Normal 2 2 2 5 3 14" xfId="34181" xr:uid="{691E0991-B1F8-4C5F-A0DB-16465CDDCC7C}"/>
    <cellStyle name="Normal 2 2 2 5 3 2" xfId="1073" xr:uid="{EAE1B4EA-1A63-42DE-9E5B-55FF29F318D8}"/>
    <cellStyle name="Normal 2 2 2 5 3 2 2" xfId="4468" xr:uid="{B15825E0-AA3E-4083-B719-09D97724A78A}"/>
    <cellStyle name="Normal 2 2 2 5 3 2 2 2" xfId="12848" xr:uid="{514EB88C-86AD-490C-9A35-B3C19944F53F}"/>
    <cellStyle name="Normal 2 2 2 5 3 2 2 2 2" xfId="29608" xr:uid="{E74E2BE4-7156-4887-A032-F109C1A484E8}"/>
    <cellStyle name="Normal 2 2 2 5 3 2 2 2 3" xfId="46367" xr:uid="{F4B2E9E9-CB90-44D5-AAE8-621632D008F3}"/>
    <cellStyle name="Normal 2 2 2 5 3 2 2 3" xfId="21228" xr:uid="{52CE53AD-370B-4F29-ABC3-A6ED86D9659E}"/>
    <cellStyle name="Normal 2 2 2 5 3 2 2 4" xfId="37987" xr:uid="{6D416825-F7E5-4B7F-A562-7AEB7601A6CB}"/>
    <cellStyle name="Normal 2 2 2 5 3 2 3" xfId="6155" xr:uid="{1658263D-EB7C-413E-B331-2746FC7F54B1}"/>
    <cellStyle name="Normal 2 2 2 5 3 2 3 2" xfId="14535" xr:uid="{ACFE8F48-6B6E-4352-B4D9-35A0426695E1}"/>
    <cellStyle name="Normal 2 2 2 5 3 2 3 2 2" xfId="31295" xr:uid="{AF82E8B6-39EF-4886-A31A-B3483F764A6F}"/>
    <cellStyle name="Normal 2 2 2 5 3 2 3 2 3" xfId="48054" xr:uid="{518AB09E-933F-4C02-948A-121B08FD5337}"/>
    <cellStyle name="Normal 2 2 2 5 3 2 3 3" xfId="22915" xr:uid="{D283D60A-1345-4C20-9BEB-5617610EEC9B}"/>
    <cellStyle name="Normal 2 2 2 5 3 2 3 4" xfId="39674" xr:uid="{A6131456-9D15-47FD-9F4D-ECCB4F73600F}"/>
    <cellStyle name="Normal 2 2 2 5 3 2 4" xfId="2891" xr:uid="{AEBACDCB-8063-4EC1-B547-8B9A07B6896E}"/>
    <cellStyle name="Normal 2 2 2 5 3 2 4 2" xfId="11271" xr:uid="{471C6D6E-B8AB-4914-ADB5-03958F3F1882}"/>
    <cellStyle name="Normal 2 2 2 5 3 2 4 2 2" xfId="28031" xr:uid="{8BEED9BD-CCCB-4043-8F8A-F520FA98590E}"/>
    <cellStyle name="Normal 2 2 2 5 3 2 4 2 3" xfId="44790" xr:uid="{8B7552AD-2A07-4C7E-9F3F-21981DD18F9D}"/>
    <cellStyle name="Normal 2 2 2 5 3 2 4 3" xfId="19651" xr:uid="{E36E88A0-4F9E-4BE0-B08D-2D5734E25EF9}"/>
    <cellStyle name="Normal 2 2 2 5 3 2 4 4" xfId="36410" xr:uid="{37297065-3377-492D-85BF-86B90E114B61}"/>
    <cellStyle name="Normal 2 2 2 5 3 2 5" xfId="9468" xr:uid="{A35D827C-02CD-429B-A6CB-CA16784B507F}"/>
    <cellStyle name="Normal 2 2 2 5 3 2 5 2" xfId="26228" xr:uid="{4E386A83-C781-46B8-9647-E97D1FCFD2C2}"/>
    <cellStyle name="Normal 2 2 2 5 3 2 5 3" xfId="42987" xr:uid="{55E83E45-D4F9-4253-A867-56002E55887B}"/>
    <cellStyle name="Normal 2 2 2 5 3 2 6" xfId="17848" xr:uid="{07463143-302E-4EE9-AB4D-D24BDE28680C}"/>
    <cellStyle name="Normal 2 2 2 5 3 2 7" xfId="34607" xr:uid="{A0DD63C8-08D6-4592-ACC1-AF704006F0F2}"/>
    <cellStyle name="Normal 2 2 2 5 3 3" xfId="1507" xr:uid="{63743DEF-1652-404D-BE69-A362006DE320}"/>
    <cellStyle name="Normal 2 2 2 5 3 3 2" xfId="4896" xr:uid="{8A03FF53-FDB3-4693-89E7-EF12BA511C33}"/>
    <cellStyle name="Normal 2 2 2 5 3 3 2 2" xfId="13276" xr:uid="{C167D7A9-F17A-480A-AF7E-4DE3BEA404B1}"/>
    <cellStyle name="Normal 2 2 2 5 3 3 2 2 2" xfId="30036" xr:uid="{BCC229FD-92E9-4665-8689-FA0A48909FF7}"/>
    <cellStyle name="Normal 2 2 2 5 3 3 2 2 3" xfId="46795" xr:uid="{22FDCABC-7589-4CFE-81F1-410B8B7783DD}"/>
    <cellStyle name="Normal 2 2 2 5 3 3 2 3" xfId="21656" xr:uid="{30A0760D-1A09-4976-AD4C-5CB1AEFAE259}"/>
    <cellStyle name="Normal 2 2 2 5 3 3 2 4" xfId="38415" xr:uid="{62D0B164-468E-40F9-AD49-4A9D15DC7E68}"/>
    <cellStyle name="Normal 2 2 2 5 3 3 3" xfId="6583" xr:uid="{9CD19150-7CBD-4026-81F2-FEEB33732BDA}"/>
    <cellStyle name="Normal 2 2 2 5 3 3 3 2" xfId="14963" xr:uid="{195A2EE6-4151-4F66-8337-6787A1A19E4A}"/>
    <cellStyle name="Normal 2 2 2 5 3 3 3 2 2" xfId="31723" xr:uid="{64C55067-1B9A-4661-9C87-B95EC736C2C6}"/>
    <cellStyle name="Normal 2 2 2 5 3 3 3 2 3" xfId="48482" xr:uid="{514C4BE2-5835-4522-81CB-3E98B13CDCEB}"/>
    <cellStyle name="Normal 2 2 2 5 3 3 3 3" xfId="23343" xr:uid="{0AFB3A49-615C-46CF-86C7-B7D1F8D39B06}"/>
    <cellStyle name="Normal 2 2 2 5 3 3 3 4" xfId="40102" xr:uid="{D7BFCE49-C375-46CA-9DFA-E16185743F7F}"/>
    <cellStyle name="Normal 2 2 2 5 3 3 4" xfId="3319" xr:uid="{8C9274C9-27FE-4DFB-8917-FB0100A62CA8}"/>
    <cellStyle name="Normal 2 2 2 5 3 3 4 2" xfId="11699" xr:uid="{C2B9DE26-269F-44AC-8CF3-53BF46FB5D89}"/>
    <cellStyle name="Normal 2 2 2 5 3 3 4 2 2" xfId="28459" xr:uid="{2B45C17F-D64A-42BB-BDEC-54E11CBCCC6D}"/>
    <cellStyle name="Normal 2 2 2 5 3 3 4 2 3" xfId="45218" xr:uid="{D959672F-8D68-43E7-A2CA-DFD83F6D1C9B}"/>
    <cellStyle name="Normal 2 2 2 5 3 3 4 3" xfId="20079" xr:uid="{85B3DC72-D039-437D-BA68-CC4EC799F7D5}"/>
    <cellStyle name="Normal 2 2 2 5 3 3 4 4" xfId="36838" xr:uid="{CCE479F0-3BC7-4B82-B50E-852ABAD56906}"/>
    <cellStyle name="Normal 2 2 2 5 3 3 5" xfId="9896" xr:uid="{0E68187E-331E-49F4-A75C-BE9A35C5F6B6}"/>
    <cellStyle name="Normal 2 2 2 5 3 3 5 2" xfId="26656" xr:uid="{4C84C631-B150-40C3-ABBD-C862EF8F198B}"/>
    <cellStyle name="Normal 2 2 2 5 3 3 5 3" xfId="43415" xr:uid="{35D583E3-4243-49D9-AD15-C507BE65975C}"/>
    <cellStyle name="Normal 2 2 2 5 3 3 6" xfId="18276" xr:uid="{C57C6FCF-5B8F-4BF0-A029-BA61A4DD33F1}"/>
    <cellStyle name="Normal 2 2 2 5 3 3 7" xfId="35035" xr:uid="{63EE5BAC-159B-41A2-9F74-8275A5B2B4D7}"/>
    <cellStyle name="Normal 2 2 2 5 3 4" xfId="1961" xr:uid="{C6AD7F07-9600-49E6-87C9-291D0A2BD665}"/>
    <cellStyle name="Normal 2 2 2 5 3 4 2" xfId="5350" xr:uid="{15188167-59E6-4D4F-8501-6DD24A15138E}"/>
    <cellStyle name="Normal 2 2 2 5 3 4 2 2" xfId="13730" xr:uid="{7CB03EBF-77D0-477A-9BF2-6573A3852CE8}"/>
    <cellStyle name="Normal 2 2 2 5 3 4 2 2 2" xfId="30490" xr:uid="{C66E4885-CB9D-4755-B532-934056AFD7EA}"/>
    <cellStyle name="Normal 2 2 2 5 3 4 2 2 3" xfId="47249" xr:uid="{B939D5BD-EC87-4DCB-8259-38E301715A79}"/>
    <cellStyle name="Normal 2 2 2 5 3 4 2 3" xfId="22110" xr:uid="{34A7F9D8-4DA3-45BD-8667-88815167DC93}"/>
    <cellStyle name="Normal 2 2 2 5 3 4 2 4" xfId="38869" xr:uid="{7E41D381-B998-4706-8CB2-4F7BE394E9B1}"/>
    <cellStyle name="Normal 2 2 2 5 3 4 3" xfId="7037" xr:uid="{E12EF9D8-A5B9-4398-A329-458689830DB5}"/>
    <cellStyle name="Normal 2 2 2 5 3 4 3 2" xfId="15417" xr:uid="{C6F99FA9-45B2-417D-8938-AE204D75F489}"/>
    <cellStyle name="Normal 2 2 2 5 3 4 3 2 2" xfId="32177" xr:uid="{A0959E71-38F1-46D9-97B5-AB2756E36180}"/>
    <cellStyle name="Normal 2 2 2 5 3 4 3 2 3" xfId="48936" xr:uid="{EDC74EBE-B353-48EA-BDA8-BEBD4723AAC0}"/>
    <cellStyle name="Normal 2 2 2 5 3 4 3 3" xfId="23797" xr:uid="{ACE566D8-7A13-4A59-A46F-B2B82ECCC75A}"/>
    <cellStyle name="Normal 2 2 2 5 3 4 3 4" xfId="40556" xr:uid="{F1ECFC1A-68BF-4D4C-B8E2-C84BD39F26DC}"/>
    <cellStyle name="Normal 2 2 2 5 3 4 4" xfId="3660" xr:uid="{D951EE36-2792-45A3-B937-D61338CF5D25}"/>
    <cellStyle name="Normal 2 2 2 5 3 4 4 2" xfId="12040" xr:uid="{F117AB36-85BC-479E-8A86-73DF9E784766}"/>
    <cellStyle name="Normal 2 2 2 5 3 4 4 2 2" xfId="28800" xr:uid="{F705BB51-6397-49DA-9C42-CCED648D22EB}"/>
    <cellStyle name="Normal 2 2 2 5 3 4 4 2 3" xfId="45559" xr:uid="{ABCB304D-AA1F-4164-94E8-20EEA6648E0D}"/>
    <cellStyle name="Normal 2 2 2 5 3 4 4 3" xfId="20420" xr:uid="{274B0778-A970-43BB-8CB6-75AA70770C4A}"/>
    <cellStyle name="Normal 2 2 2 5 3 4 4 4" xfId="37179" xr:uid="{75A98B45-DE2C-4592-A933-AA0C4FB74993}"/>
    <cellStyle name="Normal 2 2 2 5 3 4 5" xfId="10350" xr:uid="{FF997582-29BF-49C6-9EE1-27DB82AF79F4}"/>
    <cellStyle name="Normal 2 2 2 5 3 4 5 2" xfId="27110" xr:uid="{6D3F32B5-1778-4CEF-A95A-10B54F8F9583}"/>
    <cellStyle name="Normal 2 2 2 5 3 4 5 3" xfId="43869" xr:uid="{CD10FE14-6713-4465-A512-44A86227FBED}"/>
    <cellStyle name="Normal 2 2 2 5 3 4 6" xfId="18730" xr:uid="{95F23DB3-EB8E-44AF-BF1F-032DB06B7FAD}"/>
    <cellStyle name="Normal 2 2 2 5 3 4 7" xfId="35489" xr:uid="{495995D4-EBE6-4255-B7BE-DE7136CEF302}"/>
    <cellStyle name="Normal 2 2 2 5 3 5" xfId="4080" xr:uid="{139A068A-6757-4DE8-919A-D98E8886866D}"/>
    <cellStyle name="Normal 2 2 2 5 3 5 2" xfId="12460" xr:uid="{723C0D2E-AB8D-4BEA-97B6-1355D17A29F4}"/>
    <cellStyle name="Normal 2 2 2 5 3 5 2 2" xfId="29220" xr:uid="{A1F2B81D-A79C-477B-A60F-ACAD35F04CC7}"/>
    <cellStyle name="Normal 2 2 2 5 3 5 2 3" xfId="45979" xr:uid="{355328C4-2D3D-4F63-A81F-53238405FFB5}"/>
    <cellStyle name="Normal 2 2 2 5 3 5 3" xfId="20840" xr:uid="{59A52533-769D-4463-89F1-1F3B27737BEF}"/>
    <cellStyle name="Normal 2 2 2 5 3 5 4" xfId="37599" xr:uid="{EDA0BAF8-7F3D-4794-82E0-170E26EC1866}"/>
    <cellStyle name="Normal 2 2 2 5 3 6" xfId="5729" xr:uid="{2E92214B-1E40-407A-BC1E-1B3AD85A6D3D}"/>
    <cellStyle name="Normal 2 2 2 5 3 6 2" xfId="14109" xr:uid="{30B3B554-B7A0-4A2A-AF60-D72FC960685B}"/>
    <cellStyle name="Normal 2 2 2 5 3 6 2 2" xfId="30869" xr:uid="{2F1AF92A-F025-4923-A313-296853E7D505}"/>
    <cellStyle name="Normal 2 2 2 5 3 6 2 3" xfId="47628" xr:uid="{B8D3C731-8F4B-462A-8121-020990E30550}"/>
    <cellStyle name="Normal 2 2 2 5 3 6 3" xfId="22489" xr:uid="{D365DDFF-204F-46C9-888B-AA13CF18DD82}"/>
    <cellStyle name="Normal 2 2 2 5 3 6 4" xfId="39248" xr:uid="{8E5BEB4A-A369-4119-9EBE-5FF9C87A6259}"/>
    <cellStyle name="Normal 2 2 2 5 3 7" xfId="7443" xr:uid="{44319EBE-72CD-4CCB-834F-925E2C275105}"/>
    <cellStyle name="Normal 2 2 2 5 3 7 2" xfId="15823" xr:uid="{3CEE0969-AFD3-4163-AAF8-2164AE13D7D1}"/>
    <cellStyle name="Normal 2 2 2 5 3 7 2 2" xfId="32583" xr:uid="{DB19B189-6535-4ED8-8409-B49E39AFF64F}"/>
    <cellStyle name="Normal 2 2 2 5 3 7 2 3" xfId="49342" xr:uid="{D1F07DF3-7D7A-4677-BDDD-9A7C25B74DA6}"/>
    <cellStyle name="Normal 2 2 2 5 3 7 3" xfId="24203" xr:uid="{5CE6FE40-2704-4A56-86A2-B1B1E863CF68}"/>
    <cellStyle name="Normal 2 2 2 5 3 7 4" xfId="40962" xr:uid="{2299F889-9292-439E-825C-390CAEAE982F}"/>
    <cellStyle name="Normal 2 2 2 5 3 8" xfId="7849" xr:uid="{04E18671-A72A-435F-A46C-3BF5ED3D7BEF}"/>
    <cellStyle name="Normal 2 2 2 5 3 8 2" xfId="16229" xr:uid="{CF5D34D4-AF8F-4820-9735-9D937700B63A}"/>
    <cellStyle name="Normal 2 2 2 5 3 8 2 2" xfId="32989" xr:uid="{D9DEA9FE-2382-415E-A140-89C1EB7843C2}"/>
    <cellStyle name="Normal 2 2 2 5 3 8 2 3" xfId="49748" xr:uid="{3D63987E-38EC-4F79-AD28-799A2FFBAC84}"/>
    <cellStyle name="Normal 2 2 2 5 3 8 3" xfId="24609" xr:uid="{7B0255F2-73D9-4AD3-A7CB-AEE95D378402}"/>
    <cellStyle name="Normal 2 2 2 5 3 8 4" xfId="41368" xr:uid="{D5CE33CA-F712-4A4E-A5B1-71ADF080FEB4}"/>
    <cellStyle name="Normal 2 2 2 5 3 9" xfId="8255" xr:uid="{E34FE701-91AE-47FF-A7D2-E95AC1DED45B}"/>
    <cellStyle name="Normal 2 2 2 5 3 9 2" xfId="16635" xr:uid="{9A15F8BA-E756-444E-8EB5-5B1AFC0AF8FC}"/>
    <cellStyle name="Normal 2 2 2 5 3 9 2 2" xfId="33395" xr:uid="{860813A8-B4AF-415C-BDBD-020A9EDB5FA6}"/>
    <cellStyle name="Normal 2 2 2 5 3 9 2 3" xfId="50154" xr:uid="{96732DBB-E571-4353-B39D-948848B0079D}"/>
    <cellStyle name="Normal 2 2 2 5 3 9 3" xfId="25015" xr:uid="{4D147A72-55BC-41B3-B689-BFF7C94C1EF2}"/>
    <cellStyle name="Normal 2 2 2 5 3 9 4" xfId="41774" xr:uid="{E7D592E2-A188-481A-8C8C-8726F93920B2}"/>
    <cellStyle name="Normal 2 2 2 5 4" xfId="1071" xr:uid="{DC7F82E3-C777-409D-A956-C93D08A72D51}"/>
    <cellStyle name="Normal 2 2 2 5 4 2" xfId="4466" xr:uid="{51AEFDDE-528C-4EFB-A5E5-7AD26BB89267}"/>
    <cellStyle name="Normal 2 2 2 5 4 2 2" xfId="12846" xr:uid="{4A97D61E-CF28-4502-BC8A-3C979604CBC9}"/>
    <cellStyle name="Normal 2 2 2 5 4 2 2 2" xfId="29606" xr:uid="{E1311887-D47B-4AC1-B708-F5B56DB1B2E5}"/>
    <cellStyle name="Normal 2 2 2 5 4 2 2 3" xfId="46365" xr:uid="{78668CAD-6DCC-459B-B6A6-8094D9A96F55}"/>
    <cellStyle name="Normal 2 2 2 5 4 2 3" xfId="21226" xr:uid="{A93011E1-40F8-4A83-8559-3C0A4C039446}"/>
    <cellStyle name="Normal 2 2 2 5 4 2 4" xfId="37985" xr:uid="{AA6E3926-8FB4-44C6-BB4B-2A1508F62FAB}"/>
    <cellStyle name="Normal 2 2 2 5 4 3" xfId="6153" xr:uid="{2D02D96F-CB40-4EE9-AC87-F38BB436B11C}"/>
    <cellStyle name="Normal 2 2 2 5 4 3 2" xfId="14533" xr:uid="{1BC142A8-AAF3-4316-90B2-4F7F6E045481}"/>
    <cellStyle name="Normal 2 2 2 5 4 3 2 2" xfId="31293" xr:uid="{7A1BEF95-702E-4638-9AAD-1565F457D1D5}"/>
    <cellStyle name="Normal 2 2 2 5 4 3 2 3" xfId="48052" xr:uid="{AECFF3A8-AD70-42EA-9E59-A260DB1621CD}"/>
    <cellStyle name="Normal 2 2 2 5 4 3 3" xfId="22913" xr:uid="{953460AB-8B7F-454E-9EEB-C52A350C0366}"/>
    <cellStyle name="Normal 2 2 2 5 4 3 4" xfId="39672" xr:uid="{CA3D7710-524A-463F-80F5-93B818C7C4E7}"/>
    <cellStyle name="Normal 2 2 2 5 4 4" xfId="2889" xr:uid="{B91646C1-365F-4415-A826-23B9039A6EFF}"/>
    <cellStyle name="Normal 2 2 2 5 4 4 2" xfId="11269" xr:uid="{5F35CD88-85B3-4D3F-9D07-AB4362F01858}"/>
    <cellStyle name="Normal 2 2 2 5 4 4 2 2" xfId="28029" xr:uid="{FBA0E9DD-E583-4BBD-849D-115ADC638B05}"/>
    <cellStyle name="Normal 2 2 2 5 4 4 2 3" xfId="44788" xr:uid="{ABB827A7-6F9F-4936-ADA5-53F93411B68B}"/>
    <cellStyle name="Normal 2 2 2 5 4 4 3" xfId="19649" xr:uid="{D142AABB-DD7E-4711-8C06-7F15BE96A89A}"/>
    <cellStyle name="Normal 2 2 2 5 4 4 4" xfId="36408" xr:uid="{4DD42D9E-7CE8-4BBF-AA68-68A0D9971A26}"/>
    <cellStyle name="Normal 2 2 2 5 4 5" xfId="9466" xr:uid="{EB5A82AE-0DD8-4C68-B415-9F212A80CEFD}"/>
    <cellStyle name="Normal 2 2 2 5 4 5 2" xfId="26226" xr:uid="{BB031740-0B83-4729-95C1-8DB62E6E9865}"/>
    <cellStyle name="Normal 2 2 2 5 4 5 3" xfId="42985" xr:uid="{D11CE9C4-E35A-4B7D-9A1D-D49E5FC8497A}"/>
    <cellStyle name="Normal 2 2 2 5 4 6" xfId="17846" xr:uid="{C18187B3-15C7-4092-B131-FED167818589}"/>
    <cellStyle name="Normal 2 2 2 5 4 7" xfId="34605" xr:uid="{D48F5D07-8501-4FF1-805C-688BA69DADB7}"/>
    <cellStyle name="Normal 2 2 2 5 5" xfId="1505" xr:uid="{DA2D4982-8C21-463D-B0DF-1BA7AB09A14A}"/>
    <cellStyle name="Normal 2 2 2 5 5 2" xfId="4894" xr:uid="{773B3E9F-C31B-4112-A873-5DFCD011B00E}"/>
    <cellStyle name="Normal 2 2 2 5 5 2 2" xfId="13274" xr:uid="{10F47BAB-B55B-410D-B409-CC52BC3964FC}"/>
    <cellStyle name="Normal 2 2 2 5 5 2 2 2" xfId="30034" xr:uid="{7CB5F8C4-6BFC-4B09-B07E-86CB2BFDD4EC}"/>
    <cellStyle name="Normal 2 2 2 5 5 2 2 3" xfId="46793" xr:uid="{253D3954-9148-4383-986B-CAA6F7EC0F91}"/>
    <cellStyle name="Normal 2 2 2 5 5 2 3" xfId="21654" xr:uid="{B1B3C385-0FEF-4D18-B89C-D45F34C83962}"/>
    <cellStyle name="Normal 2 2 2 5 5 2 4" xfId="38413" xr:uid="{73BC562E-732F-4C8A-BB9F-EDB7CED2C1AF}"/>
    <cellStyle name="Normal 2 2 2 5 5 3" xfId="6581" xr:uid="{A5EE25E2-E764-4DE8-9DB6-FA13B25113D3}"/>
    <cellStyle name="Normal 2 2 2 5 5 3 2" xfId="14961" xr:uid="{E8B05ECD-E43A-4AA9-AEA6-12052AD49AED}"/>
    <cellStyle name="Normal 2 2 2 5 5 3 2 2" xfId="31721" xr:uid="{0752389A-375C-4A78-8995-473976FE995B}"/>
    <cellStyle name="Normal 2 2 2 5 5 3 2 3" xfId="48480" xr:uid="{62505E0F-AEA1-44A9-A51D-0CA19D162C54}"/>
    <cellStyle name="Normal 2 2 2 5 5 3 3" xfId="23341" xr:uid="{CD6FE92A-7FAF-42B2-A04F-8DC9BD80E11D}"/>
    <cellStyle name="Normal 2 2 2 5 5 3 4" xfId="40100" xr:uid="{6A725D1D-2A72-4B14-B59D-C968AC8F9DBC}"/>
    <cellStyle name="Normal 2 2 2 5 5 4" xfId="3317" xr:uid="{4C88BDC6-CA49-4C91-9E13-ECBE785AA345}"/>
    <cellStyle name="Normal 2 2 2 5 5 4 2" xfId="11697" xr:uid="{5AA37262-B5AF-42FE-BFC8-39B24344DFEB}"/>
    <cellStyle name="Normal 2 2 2 5 5 4 2 2" xfId="28457" xr:uid="{8B35C7D4-47E6-4F0B-857C-6FF440FB7330}"/>
    <cellStyle name="Normal 2 2 2 5 5 4 2 3" xfId="45216" xr:uid="{E36FC76D-5473-4AEC-825F-7C69ABCCF831}"/>
    <cellStyle name="Normal 2 2 2 5 5 4 3" xfId="20077" xr:uid="{DEAA3E3D-9BD0-4B52-A0F9-B4DEF36D031C}"/>
    <cellStyle name="Normal 2 2 2 5 5 4 4" xfId="36836" xr:uid="{5049BDF9-A45C-43F2-BC32-98107356D760}"/>
    <cellStyle name="Normal 2 2 2 5 5 5" xfId="9894" xr:uid="{553F59AB-927F-4853-BE79-37675AEE843E}"/>
    <cellStyle name="Normal 2 2 2 5 5 5 2" xfId="26654" xr:uid="{2F1EC415-B32C-4C0B-B016-F26B2274BDC0}"/>
    <cellStyle name="Normal 2 2 2 5 5 5 3" xfId="43413" xr:uid="{7E085B91-BE92-4F5B-A1D3-51B2C465B72B}"/>
    <cellStyle name="Normal 2 2 2 5 5 6" xfId="18274" xr:uid="{18C49486-2810-432D-9674-4C95D1B5FFD4}"/>
    <cellStyle name="Normal 2 2 2 5 5 7" xfId="35033" xr:uid="{74B13D9A-3DFB-4126-AE63-4136DEAD9505}"/>
    <cellStyle name="Normal 2 2 2 5 6" xfId="1690" xr:uid="{3ACDF15C-EC30-4D78-8C64-1E33828DA750}"/>
    <cellStyle name="Normal 2 2 2 5 6 2" xfId="5079" xr:uid="{3D06B044-4A6B-4784-938F-E16A42B46454}"/>
    <cellStyle name="Normal 2 2 2 5 6 2 2" xfId="13459" xr:uid="{2792A41B-1974-4ADC-A291-068AE0237967}"/>
    <cellStyle name="Normal 2 2 2 5 6 2 2 2" xfId="30219" xr:uid="{CB6CD056-13D0-4DE9-B432-D92172006FBC}"/>
    <cellStyle name="Normal 2 2 2 5 6 2 2 3" xfId="46978" xr:uid="{3AF794C9-058C-4570-837D-F86878F01F21}"/>
    <cellStyle name="Normal 2 2 2 5 6 2 3" xfId="21839" xr:uid="{E61CE103-C148-49D5-BB73-1A8F02D1BD5A}"/>
    <cellStyle name="Normal 2 2 2 5 6 2 4" xfId="38598" xr:uid="{86EABF49-AEA3-4A4B-8479-A9511EEF6A74}"/>
    <cellStyle name="Normal 2 2 2 5 6 3" xfId="6766" xr:uid="{85C47411-488F-4CB3-B0DF-D145D538AC81}"/>
    <cellStyle name="Normal 2 2 2 5 6 3 2" xfId="15146" xr:uid="{E42552AF-4D52-4593-A340-3C40CE9DD7FC}"/>
    <cellStyle name="Normal 2 2 2 5 6 3 2 2" xfId="31906" xr:uid="{82678284-66E5-457B-94C6-00123C263451}"/>
    <cellStyle name="Normal 2 2 2 5 6 3 2 3" xfId="48665" xr:uid="{600F6EA6-FBEC-4E38-A5E2-F2EA210710C3}"/>
    <cellStyle name="Normal 2 2 2 5 6 3 3" xfId="23526" xr:uid="{C5A8EE81-791B-4FD0-9139-046B049209AA}"/>
    <cellStyle name="Normal 2 2 2 5 6 3 4" xfId="40285" xr:uid="{DF51E2ED-2111-4C32-B1C2-0147E67ECF33}"/>
    <cellStyle name="Normal 2 2 2 5 6 4" xfId="2461" xr:uid="{44A2FDDB-7863-45E0-AE74-E0C552BB5604}"/>
    <cellStyle name="Normal 2 2 2 5 6 4 2" xfId="10843" xr:uid="{54E40864-E120-43E4-AA74-3DECCA373D31}"/>
    <cellStyle name="Normal 2 2 2 5 6 4 2 2" xfId="27603" xr:uid="{08C95289-75C7-468F-9370-4364448BC13E}"/>
    <cellStyle name="Normal 2 2 2 5 6 4 2 3" xfId="44362" xr:uid="{CCB1E1E6-AC29-4BAE-9113-D533E0099075}"/>
    <cellStyle name="Normal 2 2 2 5 6 4 3" xfId="19223" xr:uid="{99050557-CDD6-4F03-8B55-17369658A614}"/>
    <cellStyle name="Normal 2 2 2 5 6 4 4" xfId="35982" xr:uid="{A87A6001-1C67-4347-B858-DA508851CC8A}"/>
    <cellStyle name="Normal 2 2 2 5 6 5" xfId="10079" xr:uid="{24FC8E9D-F6FD-435B-B3BE-FF61DDFF016E}"/>
    <cellStyle name="Normal 2 2 2 5 6 5 2" xfId="26839" xr:uid="{667DE67B-BC4E-4C96-A7F1-687910D7457F}"/>
    <cellStyle name="Normal 2 2 2 5 6 5 3" xfId="43598" xr:uid="{FED6B04B-F72A-4CE3-A3FF-7C775ACAC52C}"/>
    <cellStyle name="Normal 2 2 2 5 6 6" xfId="18459" xr:uid="{EF9B467A-CE24-429F-8047-ABDCD3471F05}"/>
    <cellStyle name="Normal 2 2 2 5 6 7" xfId="35218" xr:uid="{48DD1D72-43D4-40F9-97B7-C245B7A08BBC}"/>
    <cellStyle name="Normal 2 2 2 5 7" xfId="3808" xr:uid="{F90AC957-DA69-4F17-9C82-D210AF1E264A}"/>
    <cellStyle name="Normal 2 2 2 5 7 2" xfId="12188" xr:uid="{6B3A23D1-B1B2-48D1-92CF-3E535CEBA3CD}"/>
    <cellStyle name="Normal 2 2 2 5 7 2 2" xfId="28948" xr:uid="{61B1098F-5B90-4FB7-A66F-121D6843F3F5}"/>
    <cellStyle name="Normal 2 2 2 5 7 2 3" xfId="45707" xr:uid="{9AE46667-A076-49B9-9B9E-7191C51E85A8}"/>
    <cellStyle name="Normal 2 2 2 5 7 3" xfId="20568" xr:uid="{A8560C4E-36EA-41A4-803D-89D1142501D5}"/>
    <cellStyle name="Normal 2 2 2 5 7 4" xfId="37327" xr:uid="{3C99964A-5AE8-4D5D-BEFF-7A0507EB0C2D}"/>
    <cellStyle name="Normal 2 2 2 5 8" xfId="5727" xr:uid="{519D6496-3127-4958-A51A-0F01A3367E67}"/>
    <cellStyle name="Normal 2 2 2 5 8 2" xfId="14107" xr:uid="{F443A64F-FF77-481B-B38F-EC09C349BE14}"/>
    <cellStyle name="Normal 2 2 2 5 8 2 2" xfId="30867" xr:uid="{8460A30C-D971-405C-9EB8-D9F2A5E30A6D}"/>
    <cellStyle name="Normal 2 2 2 5 8 2 3" xfId="47626" xr:uid="{F9980B85-39B2-48AB-8DA7-A77959A056B5}"/>
    <cellStyle name="Normal 2 2 2 5 8 3" xfId="22487" xr:uid="{3F92FAC2-5AF5-4592-805A-31124B96E936}"/>
    <cellStyle name="Normal 2 2 2 5 8 4" xfId="39246" xr:uid="{0FAA5EC2-E377-4D07-8062-F822048991B7}"/>
    <cellStyle name="Normal 2 2 2 5 9" xfId="7172" xr:uid="{E4F64594-7E7F-42A1-85F0-243EF9DE15A7}"/>
    <cellStyle name="Normal 2 2 2 5 9 2" xfId="15552" xr:uid="{CA82FA5E-E2A5-418C-A002-8A44984667AB}"/>
    <cellStyle name="Normal 2 2 2 5 9 2 2" xfId="32312" xr:uid="{7069B68A-0D94-427D-AD4C-5615520AC4A9}"/>
    <cellStyle name="Normal 2 2 2 5 9 2 3" xfId="49071" xr:uid="{90C46565-33CF-48ED-82DB-B6C84A042A86}"/>
    <cellStyle name="Normal 2 2 2 5 9 3" xfId="23932" xr:uid="{46579020-38B6-439A-82E1-773A71527D86}"/>
    <cellStyle name="Normal 2 2 2 5 9 4" xfId="40691" xr:uid="{733C8550-A137-411A-9A3C-D82FB2FE9B77}"/>
    <cellStyle name="Normal 2 2 2 6" xfId="632" xr:uid="{0B22E69D-F472-4121-8F09-7212D4D8D750}"/>
    <cellStyle name="Normal 2 2 2 6 10" xfId="7627" xr:uid="{A62B994B-36F9-40F6-A66B-2946C57AA9B3}"/>
    <cellStyle name="Normal 2 2 2 6 10 2" xfId="16007" xr:uid="{FAA0AFCA-0498-49FB-B7E0-759300065573}"/>
    <cellStyle name="Normal 2 2 2 6 10 2 2" xfId="32767" xr:uid="{E9D79BC4-1BDB-49F6-B094-E313C9B8EB73}"/>
    <cellStyle name="Normal 2 2 2 6 10 2 3" xfId="49526" xr:uid="{B07B36E8-13DD-4B76-9E7D-D239A6B6A8F4}"/>
    <cellStyle name="Normal 2 2 2 6 10 3" xfId="24387" xr:uid="{17DF3DA8-1017-4D5D-B3D0-73D946B1A9D7}"/>
    <cellStyle name="Normal 2 2 2 6 10 4" xfId="41146" xr:uid="{DC65BA5A-74C5-4037-8FAB-4DD501701477}"/>
    <cellStyle name="Normal 2 2 2 6 11" xfId="8033" xr:uid="{C903FE85-9D8C-43E1-A203-60437632F09F}"/>
    <cellStyle name="Normal 2 2 2 6 11 2" xfId="16413" xr:uid="{2D2053C6-70DE-4B71-9B05-48F7D3BA8B4C}"/>
    <cellStyle name="Normal 2 2 2 6 11 2 2" xfId="33173" xr:uid="{D1A79B90-BC9E-4288-B349-07BD1A3A87E3}"/>
    <cellStyle name="Normal 2 2 2 6 11 2 3" xfId="49932" xr:uid="{552EF6C6-6527-47C3-BB62-2F3306583369}"/>
    <cellStyle name="Normal 2 2 2 6 11 3" xfId="24793" xr:uid="{0D692277-FE7E-4271-AB21-0F7F20E4BC96}"/>
    <cellStyle name="Normal 2 2 2 6 11 4" xfId="41552" xr:uid="{7140E1E5-9CD0-4FD1-87E6-6B49515664A7}"/>
    <cellStyle name="Normal 2 2 2 6 12" xfId="8439" xr:uid="{71DDB401-17B3-412B-8CAF-670B6B4F7EAD}"/>
    <cellStyle name="Normal 2 2 2 6 12 2" xfId="16819" xr:uid="{93E384D7-6BC9-45A9-82C0-7183D3F3D961}"/>
    <cellStyle name="Normal 2 2 2 6 12 2 2" xfId="33579" xr:uid="{C4C5CEB6-8922-4854-BABD-1A2F09B7F1A0}"/>
    <cellStyle name="Normal 2 2 2 6 12 2 3" xfId="50338" xr:uid="{2A6FE6AE-BC23-4317-9C55-7AE5FA2CBE7A}"/>
    <cellStyle name="Normal 2 2 2 6 12 3" xfId="25199" xr:uid="{DAEB8013-56CC-412B-9655-69D082646B5F}"/>
    <cellStyle name="Normal 2 2 2 6 12 4" xfId="41958" xr:uid="{B9B54E92-5235-4DF5-8179-0BE0BB72FA72}"/>
    <cellStyle name="Normal 2 2 2 6 13" xfId="2126" xr:uid="{06519740-7F65-412D-BFF8-3B88FDA7DE6F}"/>
    <cellStyle name="Normal 2 2 2 6 13 2" xfId="10514" xr:uid="{C93D7C31-6879-47E4-ADC5-B4BA897D0E5F}"/>
    <cellStyle name="Normal 2 2 2 6 13 2 2" xfId="27274" xr:uid="{490EFA04-DE8E-4D23-958F-F029AA4FEEED}"/>
    <cellStyle name="Normal 2 2 2 6 13 2 3" xfId="44033" xr:uid="{FC0D9194-54BA-47BF-B3BA-A34178BBD549}"/>
    <cellStyle name="Normal 2 2 2 6 13 3" xfId="18894" xr:uid="{7C30D98E-4C5F-487F-AB7A-7FEEEAFDDE96}"/>
    <cellStyle name="Normal 2 2 2 6 13 4" xfId="35653" xr:uid="{25DE7E18-6BC5-47B3-87F0-1560A7398821}"/>
    <cellStyle name="Normal 2 2 2 6 14" xfId="9043" xr:uid="{915D7207-E134-44B6-99BF-CFD7457B738F}"/>
    <cellStyle name="Normal 2 2 2 6 14 2" xfId="25803" xr:uid="{6DCB727C-CCAD-457B-8265-D511A6A50640}"/>
    <cellStyle name="Normal 2 2 2 6 14 3" xfId="42562" xr:uid="{2DF982C6-B33A-4E8B-B03A-F5B410D5CCAA}"/>
    <cellStyle name="Normal 2 2 2 6 15" xfId="17423" xr:uid="{82F66E57-235B-4D56-BCD9-D0E6DE72476A}"/>
    <cellStyle name="Normal 2 2 2 6 16" xfId="34182" xr:uid="{E0292FAA-E5D3-43AF-8C9C-2C053C48AD84}"/>
    <cellStyle name="Normal 2 2 2 6 2" xfId="633" xr:uid="{FBAD075E-1C07-4B2B-8E88-AE621936EF47}"/>
    <cellStyle name="Normal 2 2 2 6 2 10" xfId="8542" xr:uid="{DFFE8444-A7F4-4B4D-AAFC-9DC3F9E45495}"/>
    <cellStyle name="Normal 2 2 2 6 2 10 2" xfId="16922" xr:uid="{0BC6B553-39FE-4A41-85F5-825C605444F0}"/>
    <cellStyle name="Normal 2 2 2 6 2 10 2 2" xfId="33682" xr:uid="{C094BAB6-8C33-41E2-B60A-3CDB80868CCA}"/>
    <cellStyle name="Normal 2 2 2 6 2 10 2 3" xfId="50441" xr:uid="{4AF29912-80F8-4424-9CF9-BE7EF68F7412}"/>
    <cellStyle name="Normal 2 2 2 6 2 10 3" xfId="25302" xr:uid="{E474B8DE-6F6E-46BD-A754-6C8FE1C9EB99}"/>
    <cellStyle name="Normal 2 2 2 6 2 10 4" xfId="42061" xr:uid="{0AB5D919-20F8-4CB0-ACEB-B9160636C0A5}"/>
    <cellStyle name="Normal 2 2 2 6 2 11" xfId="2465" xr:uid="{3F6D3052-D187-4690-A1D3-4D1EF9AACD79}"/>
    <cellStyle name="Normal 2 2 2 6 2 11 2" xfId="10847" xr:uid="{9DD53250-6077-4822-9F8F-668564498F2E}"/>
    <cellStyle name="Normal 2 2 2 6 2 11 2 2" xfId="27607" xr:uid="{59A2AFF3-F1CE-4463-8191-FBD9475FFA75}"/>
    <cellStyle name="Normal 2 2 2 6 2 11 2 3" xfId="44366" xr:uid="{B4FD6D79-09E2-430C-88B6-CFE030E41DDF}"/>
    <cellStyle name="Normal 2 2 2 6 2 11 3" xfId="19227" xr:uid="{E67F2C55-C425-4FE1-9927-666FA73BBCE6}"/>
    <cellStyle name="Normal 2 2 2 6 2 11 4" xfId="35986" xr:uid="{7A6A8E99-2C58-4061-9373-78075CC8E07E}"/>
    <cellStyle name="Normal 2 2 2 6 2 12" xfId="9044" xr:uid="{5CCBCAC0-CD36-425C-ABD3-95178F466790}"/>
    <cellStyle name="Normal 2 2 2 6 2 12 2" xfId="25804" xr:uid="{C8D5C39B-BD6C-4F39-8CBF-F3A9E1891C30}"/>
    <cellStyle name="Normal 2 2 2 6 2 12 3" xfId="42563" xr:uid="{7F0487C2-7E06-4686-BF62-CE95015B69B0}"/>
    <cellStyle name="Normal 2 2 2 6 2 13" xfId="17424" xr:uid="{0B32DF2E-FF53-4C9B-BC9C-EA550934F1DE}"/>
    <cellStyle name="Normal 2 2 2 6 2 14" xfId="34183" xr:uid="{34F8E4F0-6335-40E4-8F2E-D3C8DB8C2C42}"/>
    <cellStyle name="Normal 2 2 2 6 2 2" xfId="1075" xr:uid="{FAFD5632-C309-45EB-B558-D2F7343FBFF1}"/>
    <cellStyle name="Normal 2 2 2 6 2 2 2" xfId="4470" xr:uid="{B3E94115-AC73-41EB-BE2E-A8BBEB94C519}"/>
    <cellStyle name="Normal 2 2 2 6 2 2 2 2" xfId="12850" xr:uid="{7257D3DF-2DE0-4227-82D4-2E924000E8C7}"/>
    <cellStyle name="Normal 2 2 2 6 2 2 2 2 2" xfId="29610" xr:uid="{7ACE58D3-E515-4E23-B3DA-3335FA2FF6EB}"/>
    <cellStyle name="Normal 2 2 2 6 2 2 2 2 3" xfId="46369" xr:uid="{9045935F-718C-488B-AC78-4B4136D4841E}"/>
    <cellStyle name="Normal 2 2 2 6 2 2 2 3" xfId="21230" xr:uid="{EA0AC4E9-C649-426E-BAC9-3B55B25991A3}"/>
    <cellStyle name="Normal 2 2 2 6 2 2 2 4" xfId="37989" xr:uid="{A020F2F4-74B8-471B-838A-03841F6D2ACD}"/>
    <cellStyle name="Normal 2 2 2 6 2 2 3" xfId="6157" xr:uid="{D9E53AFF-5218-4B87-B6AF-43A7CE077BB9}"/>
    <cellStyle name="Normal 2 2 2 6 2 2 3 2" xfId="14537" xr:uid="{E600C6D3-ECAB-4005-BBCA-B70CCE6E7886}"/>
    <cellStyle name="Normal 2 2 2 6 2 2 3 2 2" xfId="31297" xr:uid="{3A0D09E7-6E2F-4B59-A6CA-73AAADDB146A}"/>
    <cellStyle name="Normal 2 2 2 6 2 2 3 2 3" xfId="48056" xr:uid="{59C8756B-A8EE-4086-8141-06BE92A6ED0F}"/>
    <cellStyle name="Normal 2 2 2 6 2 2 3 3" xfId="22917" xr:uid="{2EF723A8-CE17-4BEA-8D07-C739057379B4}"/>
    <cellStyle name="Normal 2 2 2 6 2 2 3 4" xfId="39676" xr:uid="{7791257A-5493-493D-AFAE-00A125D146EA}"/>
    <cellStyle name="Normal 2 2 2 6 2 2 4" xfId="2893" xr:uid="{121A62FD-3353-43C6-A1D5-96C1E9BF65D1}"/>
    <cellStyle name="Normal 2 2 2 6 2 2 4 2" xfId="11273" xr:uid="{3A20A85A-D44C-4492-8247-6D0974E677C7}"/>
    <cellStyle name="Normal 2 2 2 6 2 2 4 2 2" xfId="28033" xr:uid="{D986FC3F-B92C-4EAA-A39A-29A1C2891E82}"/>
    <cellStyle name="Normal 2 2 2 6 2 2 4 2 3" xfId="44792" xr:uid="{F9761B53-79DA-47C3-8225-FC6D6D7494DB}"/>
    <cellStyle name="Normal 2 2 2 6 2 2 4 3" xfId="19653" xr:uid="{3C9CF54C-5844-4C24-B654-E0689EB4A057}"/>
    <cellStyle name="Normal 2 2 2 6 2 2 4 4" xfId="36412" xr:uid="{D582E5C0-53FC-4D26-8D44-F9898AE40A00}"/>
    <cellStyle name="Normal 2 2 2 6 2 2 5" xfId="9470" xr:uid="{FC205E53-0844-4B40-A247-B7AA7CF74D0B}"/>
    <cellStyle name="Normal 2 2 2 6 2 2 5 2" xfId="26230" xr:uid="{B03A27A1-B1A1-4DE4-AC31-A9790C0AB895}"/>
    <cellStyle name="Normal 2 2 2 6 2 2 5 3" xfId="42989" xr:uid="{1DAA2B75-4939-448E-BD96-89AEB696034B}"/>
    <cellStyle name="Normal 2 2 2 6 2 2 6" xfId="17850" xr:uid="{FF8A069B-D61B-4D19-8D6B-905B0B157CD0}"/>
    <cellStyle name="Normal 2 2 2 6 2 2 7" xfId="34609" xr:uid="{43B24585-3D21-4A39-931D-4C28048CDC49}"/>
    <cellStyle name="Normal 2 2 2 6 2 3" xfId="1509" xr:uid="{A87A9AC1-2893-4AD0-AC68-3582A700FB95}"/>
    <cellStyle name="Normal 2 2 2 6 2 3 2" xfId="4898" xr:uid="{0E3949E5-D48C-4D77-826C-4EF2AF4E4B1D}"/>
    <cellStyle name="Normal 2 2 2 6 2 3 2 2" xfId="13278" xr:uid="{67044651-8406-4EF8-97AA-9655027B09FA}"/>
    <cellStyle name="Normal 2 2 2 6 2 3 2 2 2" xfId="30038" xr:uid="{E810F368-AF9B-4B5F-BADC-ECF62486A9F0}"/>
    <cellStyle name="Normal 2 2 2 6 2 3 2 2 3" xfId="46797" xr:uid="{D1AF9750-024D-41DF-8DD2-B18FA55C4BBB}"/>
    <cellStyle name="Normal 2 2 2 6 2 3 2 3" xfId="21658" xr:uid="{8009A232-59DF-4A54-86A6-4D9A43335291}"/>
    <cellStyle name="Normal 2 2 2 6 2 3 2 4" xfId="38417" xr:uid="{00A92C14-1A3A-4344-80E0-AA8B432760C0}"/>
    <cellStyle name="Normal 2 2 2 6 2 3 3" xfId="6585" xr:uid="{5E9AAF12-82F7-41E1-93E2-4CEA660B1A9D}"/>
    <cellStyle name="Normal 2 2 2 6 2 3 3 2" xfId="14965" xr:uid="{3B7EF33B-871C-4F0F-A110-9310FB719F42}"/>
    <cellStyle name="Normal 2 2 2 6 2 3 3 2 2" xfId="31725" xr:uid="{430725C0-06A1-4539-B580-5702799CCB1C}"/>
    <cellStyle name="Normal 2 2 2 6 2 3 3 2 3" xfId="48484" xr:uid="{C8F928AB-DDDE-4981-A0EF-0ED006203BD8}"/>
    <cellStyle name="Normal 2 2 2 6 2 3 3 3" xfId="23345" xr:uid="{AF281541-4931-40D9-8BFC-AB35CA635EB4}"/>
    <cellStyle name="Normal 2 2 2 6 2 3 3 4" xfId="40104" xr:uid="{1A634B36-C9A1-4F57-B1F2-18F2F9276280}"/>
    <cellStyle name="Normal 2 2 2 6 2 3 4" xfId="3321" xr:uid="{BB497762-955A-4547-BCC9-55FFB2DFF739}"/>
    <cellStyle name="Normal 2 2 2 6 2 3 4 2" xfId="11701" xr:uid="{438256DD-201A-4873-8AC4-E6338239FF3E}"/>
    <cellStyle name="Normal 2 2 2 6 2 3 4 2 2" xfId="28461" xr:uid="{77914CF9-A759-4380-A953-90323EF84E6B}"/>
    <cellStyle name="Normal 2 2 2 6 2 3 4 2 3" xfId="45220" xr:uid="{85586915-14FE-463A-9274-C968C68B71AB}"/>
    <cellStyle name="Normal 2 2 2 6 2 3 4 3" xfId="20081" xr:uid="{268A3121-7866-4018-9946-181349998E65}"/>
    <cellStyle name="Normal 2 2 2 6 2 3 4 4" xfId="36840" xr:uid="{8E961B6C-2AE7-4C54-8837-18CC736C3255}"/>
    <cellStyle name="Normal 2 2 2 6 2 3 5" xfId="9898" xr:uid="{0D7F7E51-D039-4D62-BDA4-5538046111BA}"/>
    <cellStyle name="Normal 2 2 2 6 2 3 5 2" xfId="26658" xr:uid="{4BADD682-85C3-4D1F-94E8-2DFB95BD1173}"/>
    <cellStyle name="Normal 2 2 2 6 2 3 5 3" xfId="43417" xr:uid="{9644D60C-EF3B-4791-8A78-D8F49209F6FA}"/>
    <cellStyle name="Normal 2 2 2 6 2 3 6" xfId="18278" xr:uid="{EED1ECDC-B580-445D-8EA4-E6D60A925D22}"/>
    <cellStyle name="Normal 2 2 2 6 2 3 7" xfId="35037" xr:uid="{1A185BA8-27F1-4177-BE83-05FAC798771D}"/>
    <cellStyle name="Normal 2 2 2 6 2 4" xfId="1842" xr:uid="{0B1440A1-60B9-4A8F-B107-53F6D4C2DBD7}"/>
    <cellStyle name="Normal 2 2 2 6 2 4 2" xfId="5231" xr:uid="{DE80B9E9-FAF4-4833-A5F1-39E6AA3EEBF5}"/>
    <cellStyle name="Normal 2 2 2 6 2 4 2 2" xfId="13611" xr:uid="{13F42FD7-762C-4515-916A-237742E3A9F7}"/>
    <cellStyle name="Normal 2 2 2 6 2 4 2 2 2" xfId="30371" xr:uid="{40803F7F-FFFC-4B91-89BF-51728FEAB990}"/>
    <cellStyle name="Normal 2 2 2 6 2 4 2 2 3" xfId="47130" xr:uid="{4F6ABFC1-3991-4F31-BBC8-646524ACE047}"/>
    <cellStyle name="Normal 2 2 2 6 2 4 2 3" xfId="21991" xr:uid="{13DC65AA-B845-4F30-9239-10E1B8A74167}"/>
    <cellStyle name="Normal 2 2 2 6 2 4 2 4" xfId="38750" xr:uid="{C6DFB512-C17B-41E4-AD41-8F5112CED1F9}"/>
    <cellStyle name="Normal 2 2 2 6 2 4 3" xfId="6918" xr:uid="{36F9B148-BBB1-4A79-BB16-961A1353006F}"/>
    <cellStyle name="Normal 2 2 2 6 2 4 3 2" xfId="15298" xr:uid="{67180428-D9EE-4820-A7EA-EB6FDDBFE89B}"/>
    <cellStyle name="Normal 2 2 2 6 2 4 3 2 2" xfId="32058" xr:uid="{60932990-362A-4C31-BC74-6BFF6CA8EDB6}"/>
    <cellStyle name="Normal 2 2 2 6 2 4 3 2 3" xfId="48817" xr:uid="{0D917F6A-9F91-4791-B16B-506D671E93FA}"/>
    <cellStyle name="Normal 2 2 2 6 2 4 3 3" xfId="23678" xr:uid="{BB968954-0067-47F5-83D7-D8DA957639A7}"/>
    <cellStyle name="Normal 2 2 2 6 2 4 3 4" xfId="40437" xr:uid="{4789926C-951D-43D4-A51C-9F73D3A5D565}"/>
    <cellStyle name="Normal 2 2 2 6 2 4 4" xfId="3542" xr:uid="{E0D3B374-8BAE-40C5-80C9-4AA4FE285487}"/>
    <cellStyle name="Normal 2 2 2 6 2 4 4 2" xfId="11922" xr:uid="{B4D643CC-E5D4-426B-897C-369903FAEF98}"/>
    <cellStyle name="Normal 2 2 2 6 2 4 4 2 2" xfId="28682" xr:uid="{0DABBEB7-7DF5-4C6B-8E96-33AEEC565B5C}"/>
    <cellStyle name="Normal 2 2 2 6 2 4 4 2 3" xfId="45441" xr:uid="{E07A50D8-6578-49C7-8C87-A589F8B27028}"/>
    <cellStyle name="Normal 2 2 2 6 2 4 4 3" xfId="20302" xr:uid="{021A134D-396C-4EE1-8B4E-237AA672DE39}"/>
    <cellStyle name="Normal 2 2 2 6 2 4 4 4" xfId="37061" xr:uid="{32CA12DB-2220-4905-A38B-33D5ACCCE3F7}"/>
    <cellStyle name="Normal 2 2 2 6 2 4 5" xfId="10231" xr:uid="{845B7E64-830D-49FC-BB08-72B61248902B}"/>
    <cellStyle name="Normal 2 2 2 6 2 4 5 2" xfId="26991" xr:uid="{D076F468-E5AA-4D34-9950-5528F6B2261B}"/>
    <cellStyle name="Normal 2 2 2 6 2 4 5 3" xfId="43750" xr:uid="{42694512-6A36-406A-BDC8-D47F85110924}"/>
    <cellStyle name="Normal 2 2 2 6 2 4 6" xfId="18611" xr:uid="{DEDECF76-662C-441C-A311-F32AE5EE4A56}"/>
    <cellStyle name="Normal 2 2 2 6 2 4 7" xfId="35370" xr:uid="{C0D9FF3D-0814-467A-B8B5-CF86B3F0E020}"/>
    <cellStyle name="Normal 2 2 2 6 2 5" xfId="3961" xr:uid="{9CE43008-3BE1-43F8-AFCA-6A29891481DA}"/>
    <cellStyle name="Normal 2 2 2 6 2 5 2" xfId="12341" xr:uid="{CADA26EE-EBE1-4D70-9B4D-9AF6C874FFAB}"/>
    <cellStyle name="Normal 2 2 2 6 2 5 2 2" xfId="29101" xr:uid="{28AB6424-EA12-41DA-8213-8A8BD904BF1A}"/>
    <cellStyle name="Normal 2 2 2 6 2 5 2 3" xfId="45860" xr:uid="{5342B372-9381-4AE4-A33C-7502D1CDB1EA}"/>
    <cellStyle name="Normal 2 2 2 6 2 5 3" xfId="20721" xr:uid="{7B393688-60E3-451D-861F-D701495ED992}"/>
    <cellStyle name="Normal 2 2 2 6 2 5 4" xfId="37480" xr:uid="{31EC85CF-895C-49E0-8EDE-F98B1471EBF5}"/>
    <cellStyle name="Normal 2 2 2 6 2 6" xfId="5731" xr:uid="{690F3699-6154-4E7E-A7AA-AF1FB642D557}"/>
    <cellStyle name="Normal 2 2 2 6 2 6 2" xfId="14111" xr:uid="{CB2E4AF6-3644-4615-A736-FDC1F75C63F9}"/>
    <cellStyle name="Normal 2 2 2 6 2 6 2 2" xfId="30871" xr:uid="{7D724E2C-B58C-4C5F-B8DB-87ABE49B3747}"/>
    <cellStyle name="Normal 2 2 2 6 2 6 2 3" xfId="47630" xr:uid="{051788D7-DEED-42FC-BD7E-8E867C6175FA}"/>
    <cellStyle name="Normal 2 2 2 6 2 6 3" xfId="22491" xr:uid="{36F0B6AE-C7C8-4AD8-B1CE-3C0B87ED0FA0}"/>
    <cellStyle name="Normal 2 2 2 6 2 6 4" xfId="39250" xr:uid="{C314A1F0-8EF6-428C-8609-C9ED75ECC6BE}"/>
    <cellStyle name="Normal 2 2 2 6 2 7" xfId="7324" xr:uid="{F95B76A0-5ED2-45FB-A4D3-FA6D3EAEFA65}"/>
    <cellStyle name="Normal 2 2 2 6 2 7 2" xfId="15704" xr:uid="{9D7F43C2-50E5-42D8-8022-2D2AA09BFAA7}"/>
    <cellStyle name="Normal 2 2 2 6 2 7 2 2" xfId="32464" xr:uid="{FE2DB601-2490-4E95-80AC-C94296E696AC}"/>
    <cellStyle name="Normal 2 2 2 6 2 7 2 3" xfId="49223" xr:uid="{46648A88-3A20-4DC2-BB1E-70CB6A35080D}"/>
    <cellStyle name="Normal 2 2 2 6 2 7 3" xfId="24084" xr:uid="{FB6BBBAB-9D9A-4A2C-B373-2B191E99621C}"/>
    <cellStyle name="Normal 2 2 2 6 2 7 4" xfId="40843" xr:uid="{A3368ECF-0EEF-496F-BF3B-784D54987250}"/>
    <cellStyle name="Normal 2 2 2 6 2 8" xfId="7730" xr:uid="{35CA6DA1-573A-4F63-855D-9F1D85EC669C}"/>
    <cellStyle name="Normal 2 2 2 6 2 8 2" xfId="16110" xr:uid="{7AD5C5B6-F68C-4C70-94CE-1B11D0943FD5}"/>
    <cellStyle name="Normal 2 2 2 6 2 8 2 2" xfId="32870" xr:uid="{D8C2E46A-443A-4CAE-90D4-02412479F372}"/>
    <cellStyle name="Normal 2 2 2 6 2 8 2 3" xfId="49629" xr:uid="{A38CAF9D-1A27-4923-8D7F-5E8D7B80669B}"/>
    <cellStyle name="Normal 2 2 2 6 2 8 3" xfId="24490" xr:uid="{FF90D047-9590-49A0-B93B-41AC5043A00A}"/>
    <cellStyle name="Normal 2 2 2 6 2 8 4" xfId="41249" xr:uid="{06BA0E47-B845-4C17-A832-B514B2BDD27F}"/>
    <cellStyle name="Normal 2 2 2 6 2 9" xfId="8136" xr:uid="{0ED29B69-B47A-491F-8DB0-59053002617F}"/>
    <cellStyle name="Normal 2 2 2 6 2 9 2" xfId="16516" xr:uid="{CFB858C8-7FE1-4E94-9B8A-2D7ECC9F9B8C}"/>
    <cellStyle name="Normal 2 2 2 6 2 9 2 2" xfId="33276" xr:uid="{DB9D442A-AA90-4FBA-B61F-5BEE5DC9FCEF}"/>
    <cellStyle name="Normal 2 2 2 6 2 9 2 3" xfId="50035" xr:uid="{75051003-FE4A-4151-B7B4-02810C195A64}"/>
    <cellStyle name="Normal 2 2 2 6 2 9 3" xfId="24896" xr:uid="{7B53417A-A132-4DC5-A63B-82D25FD83417}"/>
    <cellStyle name="Normal 2 2 2 6 2 9 4" xfId="41655" xr:uid="{2716F95A-B8E6-4B98-82DA-1937461DEFF1}"/>
    <cellStyle name="Normal 2 2 2 6 3" xfId="634" xr:uid="{B1BF6286-5CAB-4134-B2FD-8233DAB7C796}"/>
    <cellStyle name="Normal 2 2 2 6 3 10" xfId="8710" xr:uid="{4BCA9DF4-B083-4FDB-AF84-BC51EFFE9AA9}"/>
    <cellStyle name="Normal 2 2 2 6 3 10 2" xfId="17090" xr:uid="{1CF9257D-53AB-40E4-A6F1-8DC65E82FF96}"/>
    <cellStyle name="Normal 2 2 2 6 3 10 2 2" xfId="33850" xr:uid="{0CCE4CF6-B43F-41A6-8BC1-5AB351C5C239}"/>
    <cellStyle name="Normal 2 2 2 6 3 10 2 3" xfId="50609" xr:uid="{C03E51B5-BB77-4230-90F3-04332B168195}"/>
    <cellStyle name="Normal 2 2 2 6 3 10 3" xfId="25470" xr:uid="{6A63BCDA-79D7-49D5-A0D8-4F5BF3681FDB}"/>
    <cellStyle name="Normal 2 2 2 6 3 10 4" xfId="42229" xr:uid="{BFE0678A-881E-4121-A4D4-71F079392C2D}"/>
    <cellStyle name="Normal 2 2 2 6 3 11" xfId="2466" xr:uid="{5AA927CD-9800-4466-86F1-86C08364DB21}"/>
    <cellStyle name="Normal 2 2 2 6 3 11 2" xfId="10848" xr:uid="{3F00CA81-3358-4472-8A33-E7E0AB69518B}"/>
    <cellStyle name="Normal 2 2 2 6 3 11 2 2" xfId="27608" xr:uid="{9F318457-0171-43CD-98D1-EA7A0CC887BB}"/>
    <cellStyle name="Normal 2 2 2 6 3 11 2 3" xfId="44367" xr:uid="{3F3631C3-CDAF-4590-A6AD-393CA4825FE9}"/>
    <cellStyle name="Normal 2 2 2 6 3 11 3" xfId="19228" xr:uid="{EA5B4FA8-6E13-4DC0-9E1A-454D29D2D279}"/>
    <cellStyle name="Normal 2 2 2 6 3 11 4" xfId="35987" xr:uid="{D8B31119-9B49-4E2A-8916-BDBE4247C8C1}"/>
    <cellStyle name="Normal 2 2 2 6 3 12" xfId="9045" xr:uid="{AD349DE2-1061-4F84-8A65-5CCD844C7D7C}"/>
    <cellStyle name="Normal 2 2 2 6 3 12 2" xfId="25805" xr:uid="{EF4C0115-33D9-4915-83A9-29FEEEA64283}"/>
    <cellStyle name="Normal 2 2 2 6 3 12 3" xfId="42564" xr:uid="{709BD9E0-7A5C-4DDB-AD88-D9A2FB7A0F75}"/>
    <cellStyle name="Normal 2 2 2 6 3 13" xfId="17425" xr:uid="{B92C75BD-DB0A-47E2-B6FA-0EDEAC696364}"/>
    <cellStyle name="Normal 2 2 2 6 3 14" xfId="34184" xr:uid="{F07440D4-2838-434E-917C-84123CA49118}"/>
    <cellStyle name="Normal 2 2 2 6 3 2" xfId="1076" xr:uid="{9665895F-B013-44C8-ABF9-7EA3FAC6E7CF}"/>
    <cellStyle name="Normal 2 2 2 6 3 2 2" xfId="4471" xr:uid="{56216D3E-11E0-44BC-B1C3-F7F2ABD7DDA7}"/>
    <cellStyle name="Normal 2 2 2 6 3 2 2 2" xfId="12851" xr:uid="{57234BD8-6107-4B90-9557-99F431C4F6D1}"/>
    <cellStyle name="Normal 2 2 2 6 3 2 2 2 2" xfId="29611" xr:uid="{BF166078-4BDE-4658-8736-2C880D088F5B}"/>
    <cellStyle name="Normal 2 2 2 6 3 2 2 2 3" xfId="46370" xr:uid="{059F9DA1-EA1B-4BF3-B17D-DB78F838440C}"/>
    <cellStyle name="Normal 2 2 2 6 3 2 2 3" xfId="21231" xr:uid="{B76AD6EC-893B-43F4-9C43-80126FC086A8}"/>
    <cellStyle name="Normal 2 2 2 6 3 2 2 4" xfId="37990" xr:uid="{E629F956-45E9-4A44-BD05-D7E2D9D1B25D}"/>
    <cellStyle name="Normal 2 2 2 6 3 2 3" xfId="6158" xr:uid="{54BC6F4F-46C1-413B-AB84-625BB39C3157}"/>
    <cellStyle name="Normal 2 2 2 6 3 2 3 2" xfId="14538" xr:uid="{396F8A68-B1FD-474E-9CC3-359DE16BBA1A}"/>
    <cellStyle name="Normal 2 2 2 6 3 2 3 2 2" xfId="31298" xr:uid="{167023B1-B733-40B0-B18D-9F95B601B7D4}"/>
    <cellStyle name="Normal 2 2 2 6 3 2 3 2 3" xfId="48057" xr:uid="{B9899611-CA84-4C97-AB28-D824EC16D801}"/>
    <cellStyle name="Normal 2 2 2 6 3 2 3 3" xfId="22918" xr:uid="{C5583C88-D356-4AA6-BFDA-CD9B847213EB}"/>
    <cellStyle name="Normal 2 2 2 6 3 2 3 4" xfId="39677" xr:uid="{908DEB15-3B80-4CF4-984F-491DC0E1A7EB}"/>
    <cellStyle name="Normal 2 2 2 6 3 2 4" xfId="2894" xr:uid="{1F943491-72A8-4B95-9C96-32905ABACB16}"/>
    <cellStyle name="Normal 2 2 2 6 3 2 4 2" xfId="11274" xr:uid="{CEA5FCB2-983B-4D97-9F0C-B7C270E2AC21}"/>
    <cellStyle name="Normal 2 2 2 6 3 2 4 2 2" xfId="28034" xr:uid="{F344CEF6-8BCC-4F74-A212-D759690F2C9E}"/>
    <cellStyle name="Normal 2 2 2 6 3 2 4 2 3" xfId="44793" xr:uid="{8A179D35-F062-4332-89AC-482C643A775B}"/>
    <cellStyle name="Normal 2 2 2 6 3 2 4 3" xfId="19654" xr:uid="{56C40A3F-41CB-4CF1-B51C-6FFCBFA0C8C5}"/>
    <cellStyle name="Normal 2 2 2 6 3 2 4 4" xfId="36413" xr:uid="{A1A33012-1FC2-4BD1-AD27-9FE26DBCB58D}"/>
    <cellStyle name="Normal 2 2 2 6 3 2 5" xfId="9471" xr:uid="{A415390D-16DA-410D-B302-A8199CE9FFD6}"/>
    <cellStyle name="Normal 2 2 2 6 3 2 5 2" xfId="26231" xr:uid="{85D3B275-D8CC-4CCA-B5C3-6F688AA7720A}"/>
    <cellStyle name="Normal 2 2 2 6 3 2 5 3" xfId="42990" xr:uid="{3DF80D3F-A675-4D7B-A2E7-3A72C001F9A2}"/>
    <cellStyle name="Normal 2 2 2 6 3 2 6" xfId="17851" xr:uid="{0A1D33D1-AF47-4870-ACB7-9F91E8098D5D}"/>
    <cellStyle name="Normal 2 2 2 6 3 2 7" xfId="34610" xr:uid="{9B378575-FE96-448D-9738-D7764377F247}"/>
    <cellStyle name="Normal 2 2 2 6 3 3" xfId="1510" xr:uid="{44DAA42F-5FD9-4CEE-B8E4-1CD6A85578EF}"/>
    <cellStyle name="Normal 2 2 2 6 3 3 2" xfId="4899" xr:uid="{C72A4DB3-383F-4EBA-9EC2-CAA34A933929}"/>
    <cellStyle name="Normal 2 2 2 6 3 3 2 2" xfId="13279" xr:uid="{586BE604-DC86-4A64-8A63-780FBF6154F6}"/>
    <cellStyle name="Normal 2 2 2 6 3 3 2 2 2" xfId="30039" xr:uid="{F5CE0BFD-69CD-4CED-91DC-04828FCC4AB2}"/>
    <cellStyle name="Normal 2 2 2 6 3 3 2 2 3" xfId="46798" xr:uid="{E6FA226A-01E4-49F2-9E7F-2A624F66DB40}"/>
    <cellStyle name="Normal 2 2 2 6 3 3 2 3" xfId="21659" xr:uid="{A8F7B058-F264-481F-ABB1-02D1CED02FA3}"/>
    <cellStyle name="Normal 2 2 2 6 3 3 2 4" xfId="38418" xr:uid="{B405E518-3DFA-407F-A9B3-D4424B6CEA02}"/>
    <cellStyle name="Normal 2 2 2 6 3 3 3" xfId="6586" xr:uid="{E0025DE5-6716-4679-8DF4-7C880FB06075}"/>
    <cellStyle name="Normal 2 2 2 6 3 3 3 2" xfId="14966" xr:uid="{69D51EEE-792F-40B1-B396-D14413DBE02E}"/>
    <cellStyle name="Normal 2 2 2 6 3 3 3 2 2" xfId="31726" xr:uid="{87147409-6376-4466-B4C7-4947300B1718}"/>
    <cellStyle name="Normal 2 2 2 6 3 3 3 2 3" xfId="48485" xr:uid="{59EF504D-D3B7-4C6B-82E2-733F9C5E7393}"/>
    <cellStyle name="Normal 2 2 2 6 3 3 3 3" xfId="23346" xr:uid="{7987EAB7-32F3-4211-940A-2CF2316A94C2}"/>
    <cellStyle name="Normal 2 2 2 6 3 3 3 4" xfId="40105" xr:uid="{30FBDBF7-ACEB-4172-BFFE-44CDAC93D6A2}"/>
    <cellStyle name="Normal 2 2 2 6 3 3 4" xfId="3322" xr:uid="{6C215CE9-66DA-45E9-8668-F13ACF4347D9}"/>
    <cellStyle name="Normal 2 2 2 6 3 3 4 2" xfId="11702" xr:uid="{18A3AF66-0D48-4490-BB33-52C9883BAAFC}"/>
    <cellStyle name="Normal 2 2 2 6 3 3 4 2 2" xfId="28462" xr:uid="{B38FA4A4-83F1-406C-BC5A-E0939BE978D6}"/>
    <cellStyle name="Normal 2 2 2 6 3 3 4 2 3" xfId="45221" xr:uid="{DD6049CF-FEAB-4170-A521-4B2494B7111F}"/>
    <cellStyle name="Normal 2 2 2 6 3 3 4 3" xfId="20082" xr:uid="{923F4343-AD97-4CCA-A549-852F075B7EE6}"/>
    <cellStyle name="Normal 2 2 2 6 3 3 4 4" xfId="36841" xr:uid="{EF917E25-BD21-4AB4-A467-CD61B2081CE6}"/>
    <cellStyle name="Normal 2 2 2 6 3 3 5" xfId="9899" xr:uid="{773B9D76-52C5-4592-AEF1-9C4364B7253C}"/>
    <cellStyle name="Normal 2 2 2 6 3 3 5 2" xfId="26659" xr:uid="{29BF9259-B791-4662-99E3-4AE06D6E06B8}"/>
    <cellStyle name="Normal 2 2 2 6 3 3 5 3" xfId="43418" xr:uid="{02F41CDD-479C-4D5A-9982-DF9993FAF018}"/>
    <cellStyle name="Normal 2 2 2 6 3 3 6" xfId="18279" xr:uid="{6C7A9065-ABE3-4D57-9535-49D2611A8D7C}"/>
    <cellStyle name="Normal 2 2 2 6 3 3 7" xfId="35038" xr:uid="{531D5A48-38F9-4CEE-8AAD-E67528896687}"/>
    <cellStyle name="Normal 2 2 2 6 3 4" xfId="2010" xr:uid="{F0445893-4B41-435B-9873-41E8DD3F4926}"/>
    <cellStyle name="Normal 2 2 2 6 3 4 2" xfId="5399" xr:uid="{F9174069-4DA8-4995-91DF-56D0C225F9CB}"/>
    <cellStyle name="Normal 2 2 2 6 3 4 2 2" xfId="13779" xr:uid="{600EBB17-3CA7-40C7-823C-7205A36B9D41}"/>
    <cellStyle name="Normal 2 2 2 6 3 4 2 2 2" xfId="30539" xr:uid="{685C8518-E3C5-421B-AAE2-BBC9EAE881C9}"/>
    <cellStyle name="Normal 2 2 2 6 3 4 2 2 3" xfId="47298" xr:uid="{E778CDB0-C5CC-43FB-9B61-623796ACFFDF}"/>
    <cellStyle name="Normal 2 2 2 6 3 4 2 3" xfId="22159" xr:uid="{A2BDA385-85FF-49A4-AE7E-0EBA010D4646}"/>
    <cellStyle name="Normal 2 2 2 6 3 4 2 4" xfId="38918" xr:uid="{244B16A8-54DD-4592-BBF2-7E7DE4BADB81}"/>
    <cellStyle name="Normal 2 2 2 6 3 4 3" xfId="7086" xr:uid="{7BB34DBF-4E73-4466-8626-38BC671DAF27}"/>
    <cellStyle name="Normal 2 2 2 6 3 4 3 2" xfId="15466" xr:uid="{70BFD22E-0198-4A25-A908-457B1B9BCB83}"/>
    <cellStyle name="Normal 2 2 2 6 3 4 3 2 2" xfId="32226" xr:uid="{7E98A9F5-8913-4DEB-8F72-B2A6339CA726}"/>
    <cellStyle name="Normal 2 2 2 6 3 4 3 2 3" xfId="48985" xr:uid="{F41B2B86-C917-4920-AE98-6AA54E9F198D}"/>
    <cellStyle name="Normal 2 2 2 6 3 4 3 3" xfId="23846" xr:uid="{E572A1DA-41B8-4AD9-8753-26645C4DEB5B}"/>
    <cellStyle name="Normal 2 2 2 6 3 4 3 4" xfId="40605" xr:uid="{463A2307-F683-4670-8569-992725F23452}"/>
    <cellStyle name="Normal 2 2 2 6 3 4 4" xfId="3709" xr:uid="{81DD1CC1-E475-4573-B652-EB6B805B6FB7}"/>
    <cellStyle name="Normal 2 2 2 6 3 4 4 2" xfId="12089" xr:uid="{816DEF3D-649E-452D-9B48-A1460032697A}"/>
    <cellStyle name="Normal 2 2 2 6 3 4 4 2 2" xfId="28849" xr:uid="{D61F287B-7CBF-4710-93E1-85A2208B893A}"/>
    <cellStyle name="Normal 2 2 2 6 3 4 4 2 3" xfId="45608" xr:uid="{5C03080D-24EB-4AF7-B265-DB61B52570D6}"/>
    <cellStyle name="Normal 2 2 2 6 3 4 4 3" xfId="20469" xr:uid="{6CF133F0-E2A3-4B5B-B4CB-923C5C062C0A}"/>
    <cellStyle name="Normal 2 2 2 6 3 4 4 4" xfId="37228" xr:uid="{2E71EA31-7AA9-491D-9680-9E40F77C15EA}"/>
    <cellStyle name="Normal 2 2 2 6 3 4 5" xfId="10399" xr:uid="{C9D69EB6-A8D9-4817-9A82-512E66DF633A}"/>
    <cellStyle name="Normal 2 2 2 6 3 4 5 2" xfId="27159" xr:uid="{8797D85A-3667-4FF1-8327-AC88765FB29F}"/>
    <cellStyle name="Normal 2 2 2 6 3 4 5 3" xfId="43918" xr:uid="{036222AE-4828-4420-A421-DAFE5A489ACF}"/>
    <cellStyle name="Normal 2 2 2 6 3 4 6" xfId="18779" xr:uid="{2B7EC3E8-A3DD-4D3A-B729-2610C7AAE7A8}"/>
    <cellStyle name="Normal 2 2 2 6 3 4 7" xfId="35538" xr:uid="{FE16C4CD-DFD5-4B83-810F-BC1AC3B0A793}"/>
    <cellStyle name="Normal 2 2 2 6 3 5" xfId="4129" xr:uid="{DD4962D0-50CB-4DDF-A4BE-91A2D67254BC}"/>
    <cellStyle name="Normal 2 2 2 6 3 5 2" xfId="12509" xr:uid="{7B98FCB4-78A6-4052-9B12-CB1CBFB8D27D}"/>
    <cellStyle name="Normal 2 2 2 6 3 5 2 2" xfId="29269" xr:uid="{36D2EB79-8847-4583-86EA-B43802491B79}"/>
    <cellStyle name="Normal 2 2 2 6 3 5 2 3" xfId="46028" xr:uid="{CE98E47D-BD8F-4675-A473-DC1E318B8AF9}"/>
    <cellStyle name="Normal 2 2 2 6 3 5 3" xfId="20889" xr:uid="{D1AC4C94-6ECC-43BE-9F96-CF2DF0106F87}"/>
    <cellStyle name="Normal 2 2 2 6 3 5 4" xfId="37648" xr:uid="{70DF5548-86D9-4625-B33F-40A1AFC6B522}"/>
    <cellStyle name="Normal 2 2 2 6 3 6" xfId="5732" xr:uid="{60210469-8A57-450A-BD98-2A4006D40B27}"/>
    <cellStyle name="Normal 2 2 2 6 3 6 2" xfId="14112" xr:uid="{794CCAED-446F-4679-98D0-C955538F9EF6}"/>
    <cellStyle name="Normal 2 2 2 6 3 6 2 2" xfId="30872" xr:uid="{3FB997C4-FC45-4521-80DA-8E18C22B052A}"/>
    <cellStyle name="Normal 2 2 2 6 3 6 2 3" xfId="47631" xr:uid="{7568FAD4-B8CD-429C-A6A9-00B113B98907}"/>
    <cellStyle name="Normal 2 2 2 6 3 6 3" xfId="22492" xr:uid="{CF8A53A1-34BE-49F2-A04B-E0C7461EA175}"/>
    <cellStyle name="Normal 2 2 2 6 3 6 4" xfId="39251" xr:uid="{E511AED4-9C98-4F47-9E00-65E8540ED77B}"/>
    <cellStyle name="Normal 2 2 2 6 3 7" xfId="7492" xr:uid="{6C237CED-3290-454D-92DA-DB46676EDAFC}"/>
    <cellStyle name="Normal 2 2 2 6 3 7 2" xfId="15872" xr:uid="{F60BFFD1-7FAE-46B1-9C80-1EE41D6C171E}"/>
    <cellStyle name="Normal 2 2 2 6 3 7 2 2" xfId="32632" xr:uid="{210A8AC8-B13C-4379-A88B-E4A096C8D192}"/>
    <cellStyle name="Normal 2 2 2 6 3 7 2 3" xfId="49391" xr:uid="{51931A79-CAA4-483E-9768-1F93662EAAE4}"/>
    <cellStyle name="Normal 2 2 2 6 3 7 3" xfId="24252" xr:uid="{B0323976-4491-46C4-AE6B-761E23F967E2}"/>
    <cellStyle name="Normal 2 2 2 6 3 7 4" xfId="41011" xr:uid="{C5DEEA71-501B-4D6A-BA72-B0615574DC4F}"/>
    <cellStyle name="Normal 2 2 2 6 3 8" xfId="7898" xr:uid="{1ACBF9EF-E3C6-4F34-BA11-0EDBE1D6ADD2}"/>
    <cellStyle name="Normal 2 2 2 6 3 8 2" xfId="16278" xr:uid="{C553801A-FEF8-4473-8AFA-CBEC0CA63E41}"/>
    <cellStyle name="Normal 2 2 2 6 3 8 2 2" xfId="33038" xr:uid="{B0DFAC4F-0B75-48DD-AB18-5FA54EA5FE9F}"/>
    <cellStyle name="Normal 2 2 2 6 3 8 2 3" xfId="49797" xr:uid="{9D058F1E-3095-4C87-9D34-FCAEA7A9FA83}"/>
    <cellStyle name="Normal 2 2 2 6 3 8 3" xfId="24658" xr:uid="{819057C1-7B3A-438A-B6CC-4C1A48A97A20}"/>
    <cellStyle name="Normal 2 2 2 6 3 8 4" xfId="41417" xr:uid="{6EF086BC-6EAE-4C31-AA02-B49466996A49}"/>
    <cellStyle name="Normal 2 2 2 6 3 9" xfId="8304" xr:uid="{0B77BED8-66D0-4F06-AE03-CA3BB11B9CB7}"/>
    <cellStyle name="Normal 2 2 2 6 3 9 2" xfId="16684" xr:uid="{C8BDE10B-5604-476D-9990-88DDEEC71433}"/>
    <cellStyle name="Normal 2 2 2 6 3 9 2 2" xfId="33444" xr:uid="{6D8D3A4C-5109-47A2-AE5C-B70D92AEDF68}"/>
    <cellStyle name="Normal 2 2 2 6 3 9 2 3" xfId="50203" xr:uid="{00540FFB-53D5-44FE-AF51-3D148A394983}"/>
    <cellStyle name="Normal 2 2 2 6 3 9 3" xfId="25064" xr:uid="{AC575D22-E630-4591-89E7-B81643743488}"/>
    <cellStyle name="Normal 2 2 2 6 3 9 4" xfId="41823" xr:uid="{9B5C50A5-BCB1-42CB-AF03-7780322CF6C9}"/>
    <cellStyle name="Normal 2 2 2 6 4" xfId="1074" xr:uid="{85A43511-FB62-4F03-8B7A-C564DB0D2330}"/>
    <cellStyle name="Normal 2 2 2 6 4 2" xfId="4469" xr:uid="{F38A3384-896D-446D-97B6-80C01ED6E58F}"/>
    <cellStyle name="Normal 2 2 2 6 4 2 2" xfId="12849" xr:uid="{A02D6730-2BF3-42AB-9777-0E3B0923DA49}"/>
    <cellStyle name="Normal 2 2 2 6 4 2 2 2" xfId="29609" xr:uid="{9F3833D5-4687-424B-9B80-0FAA497C1758}"/>
    <cellStyle name="Normal 2 2 2 6 4 2 2 3" xfId="46368" xr:uid="{162E6E17-4FDB-40AA-B764-0EB5ABA7B454}"/>
    <cellStyle name="Normal 2 2 2 6 4 2 3" xfId="21229" xr:uid="{738E1FB9-BBDD-45CA-8E12-B718BE3D1990}"/>
    <cellStyle name="Normal 2 2 2 6 4 2 4" xfId="37988" xr:uid="{73113ECC-340E-4D7F-893B-92B1C8A37742}"/>
    <cellStyle name="Normal 2 2 2 6 4 3" xfId="6156" xr:uid="{18C45B91-EA6C-4DCD-9F63-8CE5BACA7041}"/>
    <cellStyle name="Normal 2 2 2 6 4 3 2" xfId="14536" xr:uid="{9370FD07-031F-4346-A2F5-E691E167F6B7}"/>
    <cellStyle name="Normal 2 2 2 6 4 3 2 2" xfId="31296" xr:uid="{D9A4BF4E-DF9B-4E0E-B53F-A54BFB503734}"/>
    <cellStyle name="Normal 2 2 2 6 4 3 2 3" xfId="48055" xr:uid="{D2BECE31-2FD3-44D7-82B4-3722B2EBBBFB}"/>
    <cellStyle name="Normal 2 2 2 6 4 3 3" xfId="22916" xr:uid="{E3F1DFCF-705D-4C4E-940A-B8FB1FD78696}"/>
    <cellStyle name="Normal 2 2 2 6 4 3 4" xfId="39675" xr:uid="{F3643419-D7D8-4CB9-9FBC-6E58DF06BCF9}"/>
    <cellStyle name="Normal 2 2 2 6 4 4" xfId="2892" xr:uid="{7AFA3944-ADBD-473D-A4D0-441623F9CF5D}"/>
    <cellStyle name="Normal 2 2 2 6 4 4 2" xfId="11272" xr:uid="{F89EBFFB-9E6C-49C8-B657-AAE5255DD9E5}"/>
    <cellStyle name="Normal 2 2 2 6 4 4 2 2" xfId="28032" xr:uid="{BE7CEB45-9A2E-47C7-B38B-D048DC29BFC4}"/>
    <cellStyle name="Normal 2 2 2 6 4 4 2 3" xfId="44791" xr:uid="{E19B6D5D-8874-43FC-BE73-CC07BB3D9F91}"/>
    <cellStyle name="Normal 2 2 2 6 4 4 3" xfId="19652" xr:uid="{B2367762-8983-4093-A156-50B54828CC10}"/>
    <cellStyle name="Normal 2 2 2 6 4 4 4" xfId="36411" xr:uid="{E1E5D3CD-D308-46FE-B810-4EE4ACED2DA4}"/>
    <cellStyle name="Normal 2 2 2 6 4 5" xfId="9469" xr:uid="{3992F408-1294-4A5E-811D-F9EBD3661144}"/>
    <cellStyle name="Normal 2 2 2 6 4 5 2" xfId="26229" xr:uid="{FFE61F8A-9636-4976-A858-7FB3D116B239}"/>
    <cellStyle name="Normal 2 2 2 6 4 5 3" xfId="42988" xr:uid="{95A1D13A-B0CF-40B1-9F46-B0292231A89E}"/>
    <cellStyle name="Normal 2 2 2 6 4 6" xfId="17849" xr:uid="{039F2E03-05EE-4419-B761-05F4836BFF97}"/>
    <cellStyle name="Normal 2 2 2 6 4 7" xfId="34608" xr:uid="{E111C0AA-7B13-4DCB-82DE-E27DFC491CD2}"/>
    <cellStyle name="Normal 2 2 2 6 5" xfId="1508" xr:uid="{B7BEAE5D-1DAB-4184-8106-088F85834EC7}"/>
    <cellStyle name="Normal 2 2 2 6 5 2" xfId="4897" xr:uid="{522579BE-6C8F-492D-BEE9-27D2B722B957}"/>
    <cellStyle name="Normal 2 2 2 6 5 2 2" xfId="13277" xr:uid="{C2EAC3E9-71A9-4188-A579-B9AF7838EFBB}"/>
    <cellStyle name="Normal 2 2 2 6 5 2 2 2" xfId="30037" xr:uid="{77200F56-1C68-46EE-8978-3F11DCC2BECB}"/>
    <cellStyle name="Normal 2 2 2 6 5 2 2 3" xfId="46796" xr:uid="{3456C39A-43B9-457B-8BE6-A00CC5C2C285}"/>
    <cellStyle name="Normal 2 2 2 6 5 2 3" xfId="21657" xr:uid="{19A635D9-F691-4492-8859-0E5F054DD1EB}"/>
    <cellStyle name="Normal 2 2 2 6 5 2 4" xfId="38416" xr:uid="{70851932-6A25-444D-84F9-E1B55D0B823D}"/>
    <cellStyle name="Normal 2 2 2 6 5 3" xfId="6584" xr:uid="{079952AC-1434-42AB-B3C9-560B809D7C65}"/>
    <cellStyle name="Normal 2 2 2 6 5 3 2" xfId="14964" xr:uid="{88D7FF1A-D3E0-4789-963A-403688DBCCC9}"/>
    <cellStyle name="Normal 2 2 2 6 5 3 2 2" xfId="31724" xr:uid="{FAE29B9E-A48B-4FCA-9DD6-7F065E2FA341}"/>
    <cellStyle name="Normal 2 2 2 6 5 3 2 3" xfId="48483" xr:uid="{4F097CC5-55D4-4026-8A90-81AD8F3AFFB2}"/>
    <cellStyle name="Normal 2 2 2 6 5 3 3" xfId="23344" xr:uid="{3EDEDF39-5675-4A78-A8D7-774C260652EF}"/>
    <cellStyle name="Normal 2 2 2 6 5 3 4" xfId="40103" xr:uid="{288A7CDA-7706-4845-850A-CCFFD052A7FD}"/>
    <cellStyle name="Normal 2 2 2 6 5 4" xfId="3320" xr:uid="{31A00247-7364-4518-A5A0-EDF0C8435579}"/>
    <cellStyle name="Normal 2 2 2 6 5 4 2" xfId="11700" xr:uid="{47E8370E-ED83-4D7C-B11F-D26FAEE9E1CB}"/>
    <cellStyle name="Normal 2 2 2 6 5 4 2 2" xfId="28460" xr:uid="{5A092299-5FF4-4E52-A14F-BE8F51503FA2}"/>
    <cellStyle name="Normal 2 2 2 6 5 4 2 3" xfId="45219" xr:uid="{73AC137E-C428-40B4-9E51-058E817352DE}"/>
    <cellStyle name="Normal 2 2 2 6 5 4 3" xfId="20080" xr:uid="{C3FD3668-8200-40CA-874B-6AA79A4D31CD}"/>
    <cellStyle name="Normal 2 2 2 6 5 4 4" xfId="36839" xr:uid="{DD02C27E-4FB3-4444-BC61-665B6651E024}"/>
    <cellStyle name="Normal 2 2 2 6 5 5" xfId="9897" xr:uid="{B68408D3-5F88-4C7D-BC59-C82B3F078E8D}"/>
    <cellStyle name="Normal 2 2 2 6 5 5 2" xfId="26657" xr:uid="{F2CB620A-D3C4-4572-9BF4-1ADC09E45939}"/>
    <cellStyle name="Normal 2 2 2 6 5 5 3" xfId="43416" xr:uid="{8BC46D43-10B8-40E4-A98E-17D03378ACDF}"/>
    <cellStyle name="Normal 2 2 2 6 5 6" xfId="18277" xr:uid="{1772EA57-30B6-49A0-8395-C7244B98559B}"/>
    <cellStyle name="Normal 2 2 2 6 5 7" xfId="35036" xr:uid="{ECB452F3-4118-4D37-858D-878A889048FA}"/>
    <cellStyle name="Normal 2 2 2 6 6" xfId="1739" xr:uid="{BBFD4A72-151F-4F6D-AE27-1F5C8428C283}"/>
    <cellStyle name="Normal 2 2 2 6 6 2" xfId="5128" xr:uid="{1DEC39D1-D8B0-424D-B5D7-2BF2210B19AC}"/>
    <cellStyle name="Normal 2 2 2 6 6 2 2" xfId="13508" xr:uid="{4CBE90EF-DF0E-4649-93BE-80AD0AEA5448}"/>
    <cellStyle name="Normal 2 2 2 6 6 2 2 2" xfId="30268" xr:uid="{E89FE8C5-5436-49E4-A8A0-8A39E5FA40FC}"/>
    <cellStyle name="Normal 2 2 2 6 6 2 2 3" xfId="47027" xr:uid="{3616FA04-6CD0-42A6-96EC-A6DF72ABA157}"/>
    <cellStyle name="Normal 2 2 2 6 6 2 3" xfId="21888" xr:uid="{2DE3204D-9619-4926-90AF-FB1EA0694EEE}"/>
    <cellStyle name="Normal 2 2 2 6 6 2 4" xfId="38647" xr:uid="{89AAF37D-0CB1-4C98-B5A0-077A379DB9E9}"/>
    <cellStyle name="Normal 2 2 2 6 6 3" xfId="6815" xr:uid="{74C5576E-0D5C-4509-8681-34D906FD4939}"/>
    <cellStyle name="Normal 2 2 2 6 6 3 2" xfId="15195" xr:uid="{327E6BF5-FB85-4D61-82FA-85699D63C088}"/>
    <cellStyle name="Normal 2 2 2 6 6 3 2 2" xfId="31955" xr:uid="{09C91CA1-E18B-4FFA-9C6A-C7C943884CF0}"/>
    <cellStyle name="Normal 2 2 2 6 6 3 2 3" xfId="48714" xr:uid="{8E4F700F-4C3C-4A7C-9ABE-F0FDA11B5AEE}"/>
    <cellStyle name="Normal 2 2 2 6 6 3 3" xfId="23575" xr:uid="{77057B57-50C3-4235-931E-CBF386F57EDB}"/>
    <cellStyle name="Normal 2 2 2 6 6 3 4" xfId="40334" xr:uid="{26B3A310-8EA2-4EC6-9ADD-14A4B3051720}"/>
    <cellStyle name="Normal 2 2 2 6 6 4" xfId="2464" xr:uid="{0609F32F-73A0-42C8-AC0B-7A79516E8A47}"/>
    <cellStyle name="Normal 2 2 2 6 6 4 2" xfId="10846" xr:uid="{A3EE95DB-1E7D-430D-837C-828AF2861DBD}"/>
    <cellStyle name="Normal 2 2 2 6 6 4 2 2" xfId="27606" xr:uid="{21007FCA-3FA9-4FBA-B8A8-2558D2131811}"/>
    <cellStyle name="Normal 2 2 2 6 6 4 2 3" xfId="44365" xr:uid="{4C534BB0-5218-4EA3-A408-B21618D99034}"/>
    <cellStyle name="Normal 2 2 2 6 6 4 3" xfId="19226" xr:uid="{00BE887D-E333-452F-93FB-3ADBD3A64234}"/>
    <cellStyle name="Normal 2 2 2 6 6 4 4" xfId="35985" xr:uid="{1F708861-9B34-4C62-B1CC-5BE35DC5281C}"/>
    <cellStyle name="Normal 2 2 2 6 6 5" xfId="10128" xr:uid="{A4B46740-223C-4D03-82A7-7332BEC76235}"/>
    <cellStyle name="Normal 2 2 2 6 6 5 2" xfId="26888" xr:uid="{A3330383-EBFF-4378-BA36-D8BEAE7A06B0}"/>
    <cellStyle name="Normal 2 2 2 6 6 5 3" xfId="43647" xr:uid="{C496672E-E5A6-4478-9037-2D97DD26EE01}"/>
    <cellStyle name="Normal 2 2 2 6 6 6" xfId="18508" xr:uid="{F94D6E6A-362D-41CC-9CFA-1C5E14769CB1}"/>
    <cellStyle name="Normal 2 2 2 6 6 7" xfId="35267" xr:uid="{1C9AF5C7-D363-420A-9B99-B27BE2092DD0}"/>
    <cellStyle name="Normal 2 2 2 6 7" xfId="3858" xr:uid="{3700A562-6E27-4987-A2C9-B00CEAA3EFC3}"/>
    <cellStyle name="Normal 2 2 2 6 7 2" xfId="12238" xr:uid="{4FA637C8-671D-42D6-B4D2-E422E4EF9900}"/>
    <cellStyle name="Normal 2 2 2 6 7 2 2" xfId="28998" xr:uid="{C343A0A7-FD2A-4CF7-AE0B-336C382F4A34}"/>
    <cellStyle name="Normal 2 2 2 6 7 2 3" xfId="45757" xr:uid="{77C9470B-745C-4E22-BFF0-41F5A4B6904E}"/>
    <cellStyle name="Normal 2 2 2 6 7 3" xfId="20618" xr:uid="{3C731C5F-92DA-4AD8-868B-C37157D049C0}"/>
    <cellStyle name="Normal 2 2 2 6 7 4" xfId="37377" xr:uid="{3713EDA7-6739-43BB-A5A0-17124A0DF096}"/>
    <cellStyle name="Normal 2 2 2 6 8" xfId="5730" xr:uid="{A0B10D62-36DE-4635-857C-54F9A4131F3D}"/>
    <cellStyle name="Normal 2 2 2 6 8 2" xfId="14110" xr:uid="{1AC2A114-89C4-4280-909E-FD0D3FD44A63}"/>
    <cellStyle name="Normal 2 2 2 6 8 2 2" xfId="30870" xr:uid="{663E2A5A-9839-4240-8742-22B5B5D6B368}"/>
    <cellStyle name="Normal 2 2 2 6 8 2 3" xfId="47629" xr:uid="{7A29ECB7-75B5-47C0-8674-881ABF28F44C}"/>
    <cellStyle name="Normal 2 2 2 6 8 3" xfId="22490" xr:uid="{BBBB578D-C48D-449E-BF4D-A2E542D79CD9}"/>
    <cellStyle name="Normal 2 2 2 6 8 4" xfId="39249" xr:uid="{DAAFFCE5-4FA0-43E8-9378-8853F497769E}"/>
    <cellStyle name="Normal 2 2 2 6 9" xfId="7221" xr:uid="{E85F9988-284C-482C-9EDA-CFB0C5D43156}"/>
    <cellStyle name="Normal 2 2 2 6 9 2" xfId="15601" xr:uid="{E4DA47C9-FE83-41F2-BF0C-5A295C6E4EBF}"/>
    <cellStyle name="Normal 2 2 2 6 9 2 2" xfId="32361" xr:uid="{C4F4CA72-11C0-428A-A094-84B728BE24FB}"/>
    <cellStyle name="Normal 2 2 2 6 9 2 3" xfId="49120" xr:uid="{3B2F3C63-1B51-4433-8CCE-F3551CE0F023}"/>
    <cellStyle name="Normal 2 2 2 6 9 3" xfId="23981" xr:uid="{B9CB0BAB-F69D-4AB6-A5D2-E49602B6549D}"/>
    <cellStyle name="Normal 2 2 2 6 9 4" xfId="40740" xr:uid="{8197559F-8BEB-404F-8AA8-9DB07745323B}"/>
    <cellStyle name="Normal 2 2 2 7" xfId="635" xr:uid="{0B7B3ACC-72B8-4215-B9F0-179C5A454FAE}"/>
    <cellStyle name="Normal 2 2 2 7 10" xfId="8531" xr:uid="{9EC25572-AAEB-4F8D-887C-7E05E7F3BF13}"/>
    <cellStyle name="Normal 2 2 2 7 10 2" xfId="16911" xr:uid="{EBAD13C4-25B9-4C35-AD82-85B615DCE00A}"/>
    <cellStyle name="Normal 2 2 2 7 10 2 2" xfId="33671" xr:uid="{6DA1EBBC-3573-4066-8A1D-558551F24071}"/>
    <cellStyle name="Normal 2 2 2 7 10 2 3" xfId="50430" xr:uid="{3C466879-9701-4BFB-9DFD-5376EBD9351E}"/>
    <cellStyle name="Normal 2 2 2 7 10 3" xfId="25291" xr:uid="{49D68647-D4A8-4821-9F51-69EEFF2FE904}"/>
    <cellStyle name="Normal 2 2 2 7 10 4" xfId="42050" xr:uid="{25CEA7BD-B796-47E3-A105-DFB94DCF4CAD}"/>
    <cellStyle name="Normal 2 2 2 7 11" xfId="2467" xr:uid="{3298DC0B-7488-4851-BED7-114EEFA63D1B}"/>
    <cellStyle name="Normal 2 2 2 7 11 2" xfId="10849" xr:uid="{7E6DBF44-894D-4609-80DE-4B82B8EC730D}"/>
    <cellStyle name="Normal 2 2 2 7 11 2 2" xfId="27609" xr:uid="{317B0CE0-B557-4E57-BDA5-CDDF3BB1D9A8}"/>
    <cellStyle name="Normal 2 2 2 7 11 2 3" xfId="44368" xr:uid="{B3F42591-018D-42BD-872E-9FAA28490B33}"/>
    <cellStyle name="Normal 2 2 2 7 11 3" xfId="19229" xr:uid="{433FB90C-96FB-49DF-ABE5-C4D392C5CF10}"/>
    <cellStyle name="Normal 2 2 2 7 11 4" xfId="35988" xr:uid="{2E06E31F-80B6-4F27-8A35-79FA37A32B10}"/>
    <cellStyle name="Normal 2 2 2 7 12" xfId="9046" xr:uid="{D643D7B1-AE36-45E5-8492-C14BE79BAF00}"/>
    <cellStyle name="Normal 2 2 2 7 12 2" xfId="25806" xr:uid="{DAC3250B-4CCA-45CE-B447-6A82A1899C5C}"/>
    <cellStyle name="Normal 2 2 2 7 12 3" xfId="42565" xr:uid="{793A9D6B-A0D3-4FF9-A5F3-5C6116322053}"/>
    <cellStyle name="Normal 2 2 2 7 13" xfId="17426" xr:uid="{F559DD0D-ECC6-476E-BC03-94E421F5A0A3}"/>
    <cellStyle name="Normal 2 2 2 7 14" xfId="34185" xr:uid="{998B0837-517D-40E8-8925-C0CD8A3BEE55}"/>
    <cellStyle name="Normal 2 2 2 7 2" xfId="1077" xr:uid="{B80A11BE-9F59-4FEE-A317-C3FA07076D84}"/>
    <cellStyle name="Normal 2 2 2 7 2 2" xfId="4472" xr:uid="{D40EA45D-8DF8-4BC2-8367-BA22F13F2237}"/>
    <cellStyle name="Normal 2 2 2 7 2 2 2" xfId="12852" xr:uid="{F6CB725C-CBAE-45A9-A491-206BC4F33224}"/>
    <cellStyle name="Normal 2 2 2 7 2 2 2 2" xfId="29612" xr:uid="{77388C18-6EFD-4B38-90F1-A92B3A82642A}"/>
    <cellStyle name="Normal 2 2 2 7 2 2 2 3" xfId="46371" xr:uid="{702C2885-C26E-41E5-B07E-7C5EB5315C26}"/>
    <cellStyle name="Normal 2 2 2 7 2 2 3" xfId="21232" xr:uid="{E670E1A0-6DC7-449B-9815-44149F69BD39}"/>
    <cellStyle name="Normal 2 2 2 7 2 2 4" xfId="37991" xr:uid="{0DDB3853-D944-4A31-9E6F-45D6A2E58975}"/>
    <cellStyle name="Normal 2 2 2 7 2 3" xfId="6159" xr:uid="{3643689F-ED90-4BEA-8537-F1D2411A4AB0}"/>
    <cellStyle name="Normal 2 2 2 7 2 3 2" xfId="14539" xr:uid="{6A4E310F-102F-49D1-8327-ED09485D958F}"/>
    <cellStyle name="Normal 2 2 2 7 2 3 2 2" xfId="31299" xr:uid="{93E1886D-623D-4D67-B1B5-C865C75A0053}"/>
    <cellStyle name="Normal 2 2 2 7 2 3 2 3" xfId="48058" xr:uid="{922C6855-4F60-4F67-9254-3846840728E2}"/>
    <cellStyle name="Normal 2 2 2 7 2 3 3" xfId="22919" xr:uid="{B8FF53AD-6C68-47D4-92A7-975FA1C96144}"/>
    <cellStyle name="Normal 2 2 2 7 2 3 4" xfId="39678" xr:uid="{0EFFAD9F-90FB-45C7-9E76-C2F38EB6FE4A}"/>
    <cellStyle name="Normal 2 2 2 7 2 4" xfId="2895" xr:uid="{F7348BA2-B2A5-49C5-A218-8B6B70FE6A85}"/>
    <cellStyle name="Normal 2 2 2 7 2 4 2" xfId="11275" xr:uid="{A484EA7F-6E42-43E5-A1D3-146425DCAF73}"/>
    <cellStyle name="Normal 2 2 2 7 2 4 2 2" xfId="28035" xr:uid="{9CD02452-A604-4BD8-A555-F508D33E04B2}"/>
    <cellStyle name="Normal 2 2 2 7 2 4 2 3" xfId="44794" xr:uid="{72C93127-7C6B-4998-8F63-D11C7D70EC84}"/>
    <cellStyle name="Normal 2 2 2 7 2 4 3" xfId="19655" xr:uid="{12E07AED-0509-42F7-A2C2-3AA0BA020885}"/>
    <cellStyle name="Normal 2 2 2 7 2 4 4" xfId="36414" xr:uid="{68F5DB3B-7E1E-4E7B-B1BC-E12B65659584}"/>
    <cellStyle name="Normal 2 2 2 7 2 5" xfId="9472" xr:uid="{C855E54B-7574-42CA-8EFB-9274808577DE}"/>
    <cellStyle name="Normal 2 2 2 7 2 5 2" xfId="26232" xr:uid="{BAA24E03-BBED-4231-8E8D-5603FD6F9B45}"/>
    <cellStyle name="Normal 2 2 2 7 2 5 3" xfId="42991" xr:uid="{A125A087-8CD6-4E6E-B181-92042E0EF105}"/>
    <cellStyle name="Normal 2 2 2 7 2 6" xfId="17852" xr:uid="{F18BC019-3D9C-4D14-B34F-0A0951B36BD0}"/>
    <cellStyle name="Normal 2 2 2 7 2 7" xfId="34611" xr:uid="{D2AE4838-758E-44D0-A7DB-AE4FF7A73B31}"/>
    <cellStyle name="Normal 2 2 2 7 3" xfId="1511" xr:uid="{DF922A63-40D0-4172-84D8-B548D1B73660}"/>
    <cellStyle name="Normal 2 2 2 7 3 2" xfId="4900" xr:uid="{5ECDF457-A47C-4CB8-A1A2-0BECDEC0BDBD}"/>
    <cellStyle name="Normal 2 2 2 7 3 2 2" xfId="13280" xr:uid="{B8D695B5-9F96-48CB-B105-8DC2C51254F8}"/>
    <cellStyle name="Normal 2 2 2 7 3 2 2 2" xfId="30040" xr:uid="{53632C1B-BF74-4DE8-BB16-3D0E4193DEED}"/>
    <cellStyle name="Normal 2 2 2 7 3 2 2 3" xfId="46799" xr:uid="{2FAB2E79-4EDC-4BF2-A8B9-D2F57E34F491}"/>
    <cellStyle name="Normal 2 2 2 7 3 2 3" xfId="21660" xr:uid="{CEA367E4-14B5-45DF-8C9B-9A7190674561}"/>
    <cellStyle name="Normal 2 2 2 7 3 2 4" xfId="38419" xr:uid="{75182D9F-C0F1-4E32-BD87-094D88E9A01C}"/>
    <cellStyle name="Normal 2 2 2 7 3 3" xfId="6587" xr:uid="{1CEB888A-584B-4AF4-98F5-D6AA6B8D885B}"/>
    <cellStyle name="Normal 2 2 2 7 3 3 2" xfId="14967" xr:uid="{B3ADB860-61C2-4D9A-A669-9EF74DC5540F}"/>
    <cellStyle name="Normal 2 2 2 7 3 3 2 2" xfId="31727" xr:uid="{259E52BF-3275-48EB-915F-05047E43239E}"/>
    <cellStyle name="Normal 2 2 2 7 3 3 2 3" xfId="48486" xr:uid="{6C428BAE-3CED-4EBF-8164-6331BB2D3E8B}"/>
    <cellStyle name="Normal 2 2 2 7 3 3 3" xfId="23347" xr:uid="{CEF7A0CD-DF96-4D02-8A89-DF669BE7C1CA}"/>
    <cellStyle name="Normal 2 2 2 7 3 3 4" xfId="40106" xr:uid="{4F849B01-8889-48EE-AFAC-FD831D8F1103}"/>
    <cellStyle name="Normal 2 2 2 7 3 4" xfId="3323" xr:uid="{47787F57-B09A-43BB-BC83-459BD0742220}"/>
    <cellStyle name="Normal 2 2 2 7 3 4 2" xfId="11703" xr:uid="{2D6C4BCD-B564-43D8-A890-2F9F29847D73}"/>
    <cellStyle name="Normal 2 2 2 7 3 4 2 2" xfId="28463" xr:uid="{DCB6AD62-40DE-415A-AD53-59B93859DEE7}"/>
    <cellStyle name="Normal 2 2 2 7 3 4 2 3" xfId="45222" xr:uid="{4661AA69-78C2-4D7E-9C1D-656BA3FFABFF}"/>
    <cellStyle name="Normal 2 2 2 7 3 4 3" xfId="20083" xr:uid="{36CAF655-2B67-4F3C-BA64-3BB0B75F93C5}"/>
    <cellStyle name="Normal 2 2 2 7 3 4 4" xfId="36842" xr:uid="{19C5B05A-792F-4B14-AE89-ED998B5FC5A0}"/>
    <cellStyle name="Normal 2 2 2 7 3 5" xfId="9900" xr:uid="{905A6064-C207-40BF-8B34-26A3537C0FB1}"/>
    <cellStyle name="Normal 2 2 2 7 3 5 2" xfId="26660" xr:uid="{7EC1AEC6-9E66-4D6E-B7A9-24A7C01029CC}"/>
    <cellStyle name="Normal 2 2 2 7 3 5 3" xfId="43419" xr:uid="{19522AFD-D3DB-43DA-B10D-E89265DDDEA8}"/>
    <cellStyle name="Normal 2 2 2 7 3 6" xfId="18280" xr:uid="{2E5F9755-0647-42FC-A3D2-AB801A51D2BF}"/>
    <cellStyle name="Normal 2 2 2 7 3 7" xfId="35039" xr:uid="{B7D9C1C6-7DB6-43B3-A3DA-F78C114055EC}"/>
    <cellStyle name="Normal 2 2 2 7 4" xfId="1831" xr:uid="{B541754C-0915-4C9B-AA24-917E5CD5CB70}"/>
    <cellStyle name="Normal 2 2 2 7 4 2" xfId="5220" xr:uid="{1CCD2F91-5C3E-42B9-8D28-D1310EA05A23}"/>
    <cellStyle name="Normal 2 2 2 7 4 2 2" xfId="13600" xr:uid="{6E8A71B4-D87D-4A37-842F-213CA839B856}"/>
    <cellStyle name="Normal 2 2 2 7 4 2 2 2" xfId="30360" xr:uid="{388550F3-84AB-4953-9FA5-B98F4D9D0609}"/>
    <cellStyle name="Normal 2 2 2 7 4 2 2 3" xfId="47119" xr:uid="{B3D5CA8E-3F09-4630-ADA0-1F3A64984A51}"/>
    <cellStyle name="Normal 2 2 2 7 4 2 3" xfId="21980" xr:uid="{6506C677-F369-4BB3-B1AD-E18A078A3252}"/>
    <cellStyle name="Normal 2 2 2 7 4 2 4" xfId="38739" xr:uid="{BDAD3C35-A62B-4E5D-AC9B-0451B52EDD27}"/>
    <cellStyle name="Normal 2 2 2 7 4 3" xfId="6907" xr:uid="{7DB0A1DC-429D-476C-92DD-09B76A72926C}"/>
    <cellStyle name="Normal 2 2 2 7 4 3 2" xfId="15287" xr:uid="{3697EAF2-5845-4266-B75E-D2E18843B2A5}"/>
    <cellStyle name="Normal 2 2 2 7 4 3 2 2" xfId="32047" xr:uid="{581D7B25-151C-4E23-A25C-ACE2C4F35540}"/>
    <cellStyle name="Normal 2 2 2 7 4 3 2 3" xfId="48806" xr:uid="{0FD7897A-3EBD-4D0C-BDF0-2CFB36FDC1DE}"/>
    <cellStyle name="Normal 2 2 2 7 4 3 3" xfId="23667" xr:uid="{B4F0CFF6-ADE1-4406-A7FD-86AFA26B34FF}"/>
    <cellStyle name="Normal 2 2 2 7 4 3 4" xfId="40426" xr:uid="{D1D6CBDC-67F2-47BD-A513-22045C224F1E}"/>
    <cellStyle name="Normal 2 2 2 7 4 4" xfId="3531" xr:uid="{58B9C983-4BA4-4D04-ABF6-C92EACAFC1E2}"/>
    <cellStyle name="Normal 2 2 2 7 4 4 2" xfId="11911" xr:uid="{204E1D63-0A8D-4E32-89C9-8FBE0D5EDF9A}"/>
    <cellStyle name="Normal 2 2 2 7 4 4 2 2" xfId="28671" xr:uid="{E13C7773-32AA-4504-951C-5448DCC9150F}"/>
    <cellStyle name="Normal 2 2 2 7 4 4 2 3" xfId="45430" xr:uid="{2AE2EDC2-641E-4E85-8A3D-D5B384B4E190}"/>
    <cellStyle name="Normal 2 2 2 7 4 4 3" xfId="20291" xr:uid="{FE338B4A-DF0C-4327-9CF6-E63F767BBA68}"/>
    <cellStyle name="Normal 2 2 2 7 4 4 4" xfId="37050" xr:uid="{BE3FCBE2-4D31-4B7E-85A3-8B03A34C3565}"/>
    <cellStyle name="Normal 2 2 2 7 4 5" xfId="10220" xr:uid="{51F552D7-6683-4FAB-80F5-B61514B960B0}"/>
    <cellStyle name="Normal 2 2 2 7 4 5 2" xfId="26980" xr:uid="{648BE253-0148-4266-8779-9F8F252FED67}"/>
    <cellStyle name="Normal 2 2 2 7 4 5 3" xfId="43739" xr:uid="{95AAA9CC-0C78-4443-AA7D-4CF6B6966688}"/>
    <cellStyle name="Normal 2 2 2 7 4 6" xfId="18600" xr:uid="{ABD63BF0-611C-4C3A-A39E-1D78A80CD3E7}"/>
    <cellStyle name="Normal 2 2 2 7 4 7" xfId="35359" xr:uid="{D881CCFE-B438-499B-A772-CB05048523D7}"/>
    <cellStyle name="Normal 2 2 2 7 5" xfId="3950" xr:uid="{F3D971F5-B144-4E7F-BF5E-D888502817FB}"/>
    <cellStyle name="Normal 2 2 2 7 5 2" xfId="12330" xr:uid="{89290DE8-C509-4BD1-BB27-725B56571937}"/>
    <cellStyle name="Normal 2 2 2 7 5 2 2" xfId="29090" xr:uid="{71B62705-3A69-438F-8114-083EC10DAABE}"/>
    <cellStyle name="Normal 2 2 2 7 5 2 3" xfId="45849" xr:uid="{FB6F6C6F-5554-415A-8931-9657D31596FF}"/>
    <cellStyle name="Normal 2 2 2 7 5 3" xfId="20710" xr:uid="{B55AFA38-96F2-4835-8594-E88C6416219D}"/>
    <cellStyle name="Normal 2 2 2 7 5 4" xfId="37469" xr:uid="{8E7FB2B5-332C-464A-B10D-0DFD25B5EBF8}"/>
    <cellStyle name="Normal 2 2 2 7 6" xfId="5733" xr:uid="{6CCBE80D-2E22-418F-A1F8-1BDF4F1E5C8F}"/>
    <cellStyle name="Normal 2 2 2 7 6 2" xfId="14113" xr:uid="{BDD54A24-8542-4A40-8324-0F1706403A6F}"/>
    <cellStyle name="Normal 2 2 2 7 6 2 2" xfId="30873" xr:uid="{3BB53D22-7C3D-4CF0-80EA-13B87C73DDAD}"/>
    <cellStyle name="Normal 2 2 2 7 6 2 3" xfId="47632" xr:uid="{DD032642-7C35-4D28-846C-996BCBCF3D4B}"/>
    <cellStyle name="Normal 2 2 2 7 6 3" xfId="22493" xr:uid="{90B1688F-FD68-451E-B0E4-1E74FC17D2AF}"/>
    <cellStyle name="Normal 2 2 2 7 6 4" xfId="39252" xr:uid="{2630465E-43CD-45F0-87D0-8F0D55A27C3D}"/>
    <cellStyle name="Normal 2 2 2 7 7" xfId="7313" xr:uid="{65C53E5F-D91B-42C5-9867-A92FE278105C}"/>
    <cellStyle name="Normal 2 2 2 7 7 2" xfId="15693" xr:uid="{B0C8417B-DD84-47FE-B7FD-9F6331E125F8}"/>
    <cellStyle name="Normal 2 2 2 7 7 2 2" xfId="32453" xr:uid="{7610EE47-E6D3-46BC-A993-21248BA6E001}"/>
    <cellStyle name="Normal 2 2 2 7 7 2 3" xfId="49212" xr:uid="{32A06A73-84E3-4B39-BDF1-69025B82CCCF}"/>
    <cellStyle name="Normal 2 2 2 7 7 3" xfId="24073" xr:uid="{C048D58C-A165-46D8-86FE-A36382374D8E}"/>
    <cellStyle name="Normal 2 2 2 7 7 4" xfId="40832" xr:uid="{9E02AEBC-AD08-4BC4-BDF1-8C2C4F1F53EC}"/>
    <cellStyle name="Normal 2 2 2 7 8" xfId="7719" xr:uid="{3B9C785B-00C9-4A24-8498-322F0C206919}"/>
    <cellStyle name="Normal 2 2 2 7 8 2" xfId="16099" xr:uid="{27E62DD7-8872-40BB-8A40-3623B97B803A}"/>
    <cellStyle name="Normal 2 2 2 7 8 2 2" xfId="32859" xr:uid="{E255DAD1-2B2A-4A54-9003-80F22FBBCEEC}"/>
    <cellStyle name="Normal 2 2 2 7 8 2 3" xfId="49618" xr:uid="{41C9E0D5-61D5-493D-B140-E5EA1AE895D1}"/>
    <cellStyle name="Normal 2 2 2 7 8 3" xfId="24479" xr:uid="{6D5979F2-0D2F-4CD1-8227-CCF086836227}"/>
    <cellStyle name="Normal 2 2 2 7 8 4" xfId="41238" xr:uid="{30208AA2-7DD1-4010-B9B7-C18BCF9589D4}"/>
    <cellStyle name="Normal 2 2 2 7 9" xfId="8125" xr:uid="{54DB2CC8-57A8-4582-80BC-9946C4EE25A3}"/>
    <cellStyle name="Normal 2 2 2 7 9 2" xfId="16505" xr:uid="{70B8C920-C1A7-4463-94B0-C66A18E2EAF4}"/>
    <cellStyle name="Normal 2 2 2 7 9 2 2" xfId="33265" xr:uid="{7CFD435B-147C-4993-A0C1-6CBE4E1E86C1}"/>
    <cellStyle name="Normal 2 2 2 7 9 2 3" xfId="50024" xr:uid="{ECA263C4-C15A-4A6C-809D-34456503322A}"/>
    <cellStyle name="Normal 2 2 2 7 9 3" xfId="24885" xr:uid="{B408F6E3-6E35-499D-BD57-17954A12745D}"/>
    <cellStyle name="Normal 2 2 2 7 9 4" xfId="41644" xr:uid="{18108637-D722-45EB-8B55-249F0FC46C38}"/>
    <cellStyle name="Normal 2 2 2 8" xfId="636" xr:uid="{C2A800DA-D2EC-4AFA-9BA9-2859D3C7C208}"/>
    <cellStyle name="Normal 2 2 2 8 10" xfId="8610" xr:uid="{900CDB0F-1665-47AE-9C00-A321C7A65A9C}"/>
    <cellStyle name="Normal 2 2 2 8 10 2" xfId="16990" xr:uid="{63395D3D-8A5F-4999-8AB1-99E7B37B23A0}"/>
    <cellStyle name="Normal 2 2 2 8 10 2 2" xfId="33750" xr:uid="{B8F6BA12-D663-48D6-9E63-37C1D99A4A56}"/>
    <cellStyle name="Normal 2 2 2 8 10 2 3" xfId="50509" xr:uid="{BC9FC073-2ABF-4395-BCBD-64558B194F49}"/>
    <cellStyle name="Normal 2 2 2 8 10 3" xfId="25370" xr:uid="{3AC41DB9-02E3-4F51-9E7C-95E1C74FA49A}"/>
    <cellStyle name="Normal 2 2 2 8 10 4" xfId="42129" xr:uid="{CB3AA877-F640-44D1-9D8E-4D28579CC20B}"/>
    <cellStyle name="Normal 2 2 2 8 11" xfId="2468" xr:uid="{00F45862-82C6-4582-9285-F121C94C44C8}"/>
    <cellStyle name="Normal 2 2 2 8 11 2" xfId="10850" xr:uid="{2CDBC01C-68DF-4C08-BD4C-FE6C8E8383EE}"/>
    <cellStyle name="Normal 2 2 2 8 11 2 2" xfId="27610" xr:uid="{19EC89AD-467C-4230-99A8-AB0E45BC128E}"/>
    <cellStyle name="Normal 2 2 2 8 11 2 3" xfId="44369" xr:uid="{BF7AFD36-9A7E-4821-8CC2-723C6BD7A4AA}"/>
    <cellStyle name="Normal 2 2 2 8 11 3" xfId="19230" xr:uid="{68EE5687-B400-4901-9643-5F74430DB16D}"/>
    <cellStyle name="Normal 2 2 2 8 11 4" xfId="35989" xr:uid="{B3B6F7E4-C6E1-4706-A465-ED515B89E164}"/>
    <cellStyle name="Normal 2 2 2 8 12" xfId="9047" xr:uid="{2EA7CC71-32F5-4A51-BD25-EC9FD78D88B7}"/>
    <cellStyle name="Normal 2 2 2 8 12 2" xfId="25807" xr:uid="{D73DFF90-D0F3-451E-B4BE-D092C5678FFD}"/>
    <cellStyle name="Normal 2 2 2 8 12 3" xfId="42566" xr:uid="{17B1D17B-0E1D-4DEA-B8CD-3610A3B8EB0C}"/>
    <cellStyle name="Normal 2 2 2 8 13" xfId="17427" xr:uid="{82C45323-CD01-473E-ADFD-9DB75F197683}"/>
    <cellStyle name="Normal 2 2 2 8 14" xfId="34186" xr:uid="{D4A55D3E-613E-4AF4-BF54-AB16DDAE6879}"/>
    <cellStyle name="Normal 2 2 2 8 2" xfId="1078" xr:uid="{C52814E9-9BFC-4CBF-BE57-1ADEADF98486}"/>
    <cellStyle name="Normal 2 2 2 8 2 2" xfId="4473" xr:uid="{35BE1D1A-248D-4A36-BB8C-DA9C65DDE0D7}"/>
    <cellStyle name="Normal 2 2 2 8 2 2 2" xfId="12853" xr:uid="{CB76D641-D984-49CA-BAF7-2650C32D9A6A}"/>
    <cellStyle name="Normal 2 2 2 8 2 2 2 2" xfId="29613" xr:uid="{52A69324-F341-412C-8EC3-3A6CF4FA595A}"/>
    <cellStyle name="Normal 2 2 2 8 2 2 2 3" xfId="46372" xr:uid="{D2A9B6FC-9B0E-4F3F-88CD-D7C1425148D0}"/>
    <cellStyle name="Normal 2 2 2 8 2 2 3" xfId="21233" xr:uid="{0DEC56B5-6448-498A-A403-08C89730A3F0}"/>
    <cellStyle name="Normal 2 2 2 8 2 2 4" xfId="37992" xr:uid="{8DE4BFEE-020C-4E2C-A294-E83648ED646D}"/>
    <cellStyle name="Normal 2 2 2 8 2 3" xfId="6160" xr:uid="{60C7C3BF-0475-4A54-AF31-1F86C6532C51}"/>
    <cellStyle name="Normal 2 2 2 8 2 3 2" xfId="14540" xr:uid="{3B102797-3BB6-4675-888D-DC31F7EA34FD}"/>
    <cellStyle name="Normal 2 2 2 8 2 3 2 2" xfId="31300" xr:uid="{00401470-2234-4600-A00F-B1E2005E1DA3}"/>
    <cellStyle name="Normal 2 2 2 8 2 3 2 3" xfId="48059" xr:uid="{3ABCBE19-857B-40E3-99BF-06309D23DCB3}"/>
    <cellStyle name="Normal 2 2 2 8 2 3 3" xfId="22920" xr:uid="{F9FEF399-AED2-4E42-BA39-D80C642F81B8}"/>
    <cellStyle name="Normal 2 2 2 8 2 3 4" xfId="39679" xr:uid="{5258CF6E-C2B2-41C7-BE31-95B6DFDFDADB}"/>
    <cellStyle name="Normal 2 2 2 8 2 4" xfId="2896" xr:uid="{242CF6B7-4A02-4D36-B5D0-36BF4A1FF6A6}"/>
    <cellStyle name="Normal 2 2 2 8 2 4 2" xfId="11276" xr:uid="{A26A2B5E-C78E-4007-A943-382BB498F1EA}"/>
    <cellStyle name="Normal 2 2 2 8 2 4 2 2" xfId="28036" xr:uid="{AB1BFDAC-BFC4-4002-8F0E-A13AD45FC1AE}"/>
    <cellStyle name="Normal 2 2 2 8 2 4 2 3" xfId="44795" xr:uid="{FEAAF6BB-0CE8-4F13-B0D1-5F8146411A19}"/>
    <cellStyle name="Normal 2 2 2 8 2 4 3" xfId="19656" xr:uid="{129319BD-FF46-411F-BAC0-498A9E4483B2}"/>
    <cellStyle name="Normal 2 2 2 8 2 4 4" xfId="36415" xr:uid="{B1BA67A9-85D8-40FC-8B75-10BFB70170F0}"/>
    <cellStyle name="Normal 2 2 2 8 2 5" xfId="9473" xr:uid="{C72E0FD2-B923-4518-BF54-BE039380CF0E}"/>
    <cellStyle name="Normal 2 2 2 8 2 5 2" xfId="26233" xr:uid="{CDB1FF41-213F-4825-AE16-A6D22648CC7F}"/>
    <cellStyle name="Normal 2 2 2 8 2 5 3" xfId="42992" xr:uid="{87D43A66-6D9C-44DD-BB53-6AEE077A7801}"/>
    <cellStyle name="Normal 2 2 2 8 2 6" xfId="17853" xr:uid="{5927FE4F-5BC6-4A2B-A627-5CA08F4D76F7}"/>
    <cellStyle name="Normal 2 2 2 8 2 7" xfId="34612" xr:uid="{F5473D92-D8D7-4A69-A44E-BB8EC11E3325}"/>
    <cellStyle name="Normal 2 2 2 8 3" xfId="1512" xr:uid="{051F87D4-A708-4C96-9BB6-78528FEF904C}"/>
    <cellStyle name="Normal 2 2 2 8 3 2" xfId="4901" xr:uid="{7D995C62-F733-4869-878C-09DC04673A6A}"/>
    <cellStyle name="Normal 2 2 2 8 3 2 2" xfId="13281" xr:uid="{488DEA95-4203-480E-9CBC-C1C24B466C54}"/>
    <cellStyle name="Normal 2 2 2 8 3 2 2 2" xfId="30041" xr:uid="{CAE04B64-E55E-41D3-AC00-975367E7042C}"/>
    <cellStyle name="Normal 2 2 2 8 3 2 2 3" xfId="46800" xr:uid="{E3CEE304-BD9D-41ED-8AA7-E21D04B41C17}"/>
    <cellStyle name="Normal 2 2 2 8 3 2 3" xfId="21661" xr:uid="{8590DF91-4055-4156-80FD-FEE299761FF6}"/>
    <cellStyle name="Normal 2 2 2 8 3 2 4" xfId="38420" xr:uid="{15A91E59-D184-4415-9B2D-FF27D5B2535E}"/>
    <cellStyle name="Normal 2 2 2 8 3 3" xfId="6588" xr:uid="{31231028-E1E7-4F6E-BAF0-8754A2F77837}"/>
    <cellStyle name="Normal 2 2 2 8 3 3 2" xfId="14968" xr:uid="{EC557177-2197-45CE-A0B4-F979E3BBBD3D}"/>
    <cellStyle name="Normal 2 2 2 8 3 3 2 2" xfId="31728" xr:uid="{76B7FD78-6337-402F-9480-0A2DE27EA27C}"/>
    <cellStyle name="Normal 2 2 2 8 3 3 2 3" xfId="48487" xr:uid="{48224F49-68CA-4504-B130-612166728707}"/>
    <cellStyle name="Normal 2 2 2 8 3 3 3" xfId="23348" xr:uid="{943B65E0-DF9B-4B22-8532-F81C3C8487CD}"/>
    <cellStyle name="Normal 2 2 2 8 3 3 4" xfId="40107" xr:uid="{29AE6D53-2F4D-49E5-8A6E-9F0683B45B09}"/>
    <cellStyle name="Normal 2 2 2 8 3 4" xfId="3324" xr:uid="{AD473157-628C-44ED-B522-CAA8F9BB9E76}"/>
    <cellStyle name="Normal 2 2 2 8 3 4 2" xfId="11704" xr:uid="{6680F6AD-9E0B-41E1-9432-43AF96F149FC}"/>
    <cellStyle name="Normal 2 2 2 8 3 4 2 2" xfId="28464" xr:uid="{F19DCDB9-EE67-43E0-8399-674ED4C9AB2E}"/>
    <cellStyle name="Normal 2 2 2 8 3 4 2 3" xfId="45223" xr:uid="{2AF2A968-94D7-4C4A-B777-255CAC6BC9F9}"/>
    <cellStyle name="Normal 2 2 2 8 3 4 3" xfId="20084" xr:uid="{DFBC00CF-C2D4-48C8-B9F4-A1CD03DB09F6}"/>
    <cellStyle name="Normal 2 2 2 8 3 4 4" xfId="36843" xr:uid="{9DD3CE8C-4217-4716-96BA-1C85FE04E0B9}"/>
    <cellStyle name="Normal 2 2 2 8 3 5" xfId="9901" xr:uid="{13A5817D-F1A5-40C3-9400-EC46A34F2FCD}"/>
    <cellStyle name="Normal 2 2 2 8 3 5 2" xfId="26661" xr:uid="{72333A8B-3D44-4361-B5E2-B1EBD5A0932D}"/>
    <cellStyle name="Normal 2 2 2 8 3 5 3" xfId="43420" xr:uid="{0EEC0942-4E33-4301-B175-E73D10724E21}"/>
    <cellStyle name="Normal 2 2 2 8 3 6" xfId="18281" xr:uid="{A7CB64BB-873A-4262-9259-62E3AE562038}"/>
    <cellStyle name="Normal 2 2 2 8 3 7" xfId="35040" xr:uid="{C2364C6C-BA75-45F9-85B5-8FD2B79CC3CB}"/>
    <cellStyle name="Normal 2 2 2 8 4" xfId="1910" xr:uid="{7080EF18-9760-4503-8B02-67B926447F28}"/>
    <cellStyle name="Normal 2 2 2 8 4 2" xfId="5299" xr:uid="{EA717EA1-3769-4650-8EBF-F296F047DE06}"/>
    <cellStyle name="Normal 2 2 2 8 4 2 2" xfId="13679" xr:uid="{8FC69029-7918-4DBD-B66D-07FAF23E2EC8}"/>
    <cellStyle name="Normal 2 2 2 8 4 2 2 2" xfId="30439" xr:uid="{59C501F0-BA61-4C6A-8CC0-064A22EBEBF3}"/>
    <cellStyle name="Normal 2 2 2 8 4 2 2 3" xfId="47198" xr:uid="{B5D2EB66-1142-44CE-A39F-D3F06CCC4E0F}"/>
    <cellStyle name="Normal 2 2 2 8 4 2 3" xfId="22059" xr:uid="{053D2AF9-9ED4-4E6A-BB2A-A344077F112F}"/>
    <cellStyle name="Normal 2 2 2 8 4 2 4" xfId="38818" xr:uid="{67DD1526-6052-47FC-BEB9-F1C05FBA3D28}"/>
    <cellStyle name="Normal 2 2 2 8 4 3" xfId="6986" xr:uid="{92FC488F-E983-4C3C-864C-293BA9A1D0AA}"/>
    <cellStyle name="Normal 2 2 2 8 4 3 2" xfId="15366" xr:uid="{623356DA-F9BA-4EA2-B716-CE8CF29D11C4}"/>
    <cellStyle name="Normal 2 2 2 8 4 3 2 2" xfId="32126" xr:uid="{BEFF110E-D647-46F8-AAE7-EA0650DF651F}"/>
    <cellStyle name="Normal 2 2 2 8 4 3 2 3" xfId="48885" xr:uid="{2B8E7A2F-59AB-48EF-93E1-934A73C63844}"/>
    <cellStyle name="Normal 2 2 2 8 4 3 3" xfId="23746" xr:uid="{684C5E14-16CE-4B97-9F65-8AD49BE61406}"/>
    <cellStyle name="Normal 2 2 2 8 4 3 4" xfId="40505" xr:uid="{10A2A864-31A7-48EF-90CE-35493B2B2953}"/>
    <cellStyle name="Normal 2 2 2 8 4 4" xfId="3609" xr:uid="{EBF8469F-6AE9-4830-829D-1E1DFF9273ED}"/>
    <cellStyle name="Normal 2 2 2 8 4 4 2" xfId="11989" xr:uid="{A375E72E-45F5-4B2D-9A23-FD9C92C539CB}"/>
    <cellStyle name="Normal 2 2 2 8 4 4 2 2" xfId="28749" xr:uid="{2A1DCA4E-52A4-4FA0-AE3D-60E1387B7CE2}"/>
    <cellStyle name="Normal 2 2 2 8 4 4 2 3" xfId="45508" xr:uid="{96EE6BF7-79AA-4BC5-BDE8-562302DBE1C6}"/>
    <cellStyle name="Normal 2 2 2 8 4 4 3" xfId="20369" xr:uid="{B16CA6D3-398E-465B-8933-0EA52E019843}"/>
    <cellStyle name="Normal 2 2 2 8 4 4 4" xfId="37128" xr:uid="{AE1EDFC5-F133-4471-92B1-E41FD119A2F3}"/>
    <cellStyle name="Normal 2 2 2 8 4 5" xfId="10299" xr:uid="{89B42CC1-2018-428B-93B3-FCD20128C57E}"/>
    <cellStyle name="Normal 2 2 2 8 4 5 2" xfId="27059" xr:uid="{BC1C6F99-6E3F-476B-8A11-C1419EAD7F87}"/>
    <cellStyle name="Normal 2 2 2 8 4 5 3" xfId="43818" xr:uid="{06302451-AEA6-4C3B-A2C4-FC17E048177D}"/>
    <cellStyle name="Normal 2 2 2 8 4 6" xfId="18679" xr:uid="{CA1F541B-8364-4C6B-8AD7-D4D3261656CB}"/>
    <cellStyle name="Normal 2 2 2 8 4 7" xfId="35438" xr:uid="{9611EEAE-2102-432A-8267-E7903EF52954}"/>
    <cellStyle name="Normal 2 2 2 8 5" xfId="4029" xr:uid="{7DD6218C-950D-4C40-A874-4F0FCAB0D57B}"/>
    <cellStyle name="Normal 2 2 2 8 5 2" xfId="12409" xr:uid="{B6F40AAE-8A46-437D-AED3-2F76F9635436}"/>
    <cellStyle name="Normal 2 2 2 8 5 2 2" xfId="29169" xr:uid="{05FC219E-623A-4383-B2A0-71FA7F16AA83}"/>
    <cellStyle name="Normal 2 2 2 8 5 2 3" xfId="45928" xr:uid="{9711A97B-25FE-497F-9789-343D946CDECC}"/>
    <cellStyle name="Normal 2 2 2 8 5 3" xfId="20789" xr:uid="{DDEC6325-7451-4E8C-8772-86AF1323892F}"/>
    <cellStyle name="Normal 2 2 2 8 5 4" xfId="37548" xr:uid="{21B01F5D-0899-4497-B1EF-86E7F202DABE}"/>
    <cellStyle name="Normal 2 2 2 8 6" xfId="5734" xr:uid="{54C4F075-32F4-4609-8113-F142829EE16A}"/>
    <cellStyle name="Normal 2 2 2 8 6 2" xfId="14114" xr:uid="{B60CE619-FF1F-4EAE-9216-A477C9675FE7}"/>
    <cellStyle name="Normal 2 2 2 8 6 2 2" xfId="30874" xr:uid="{71AFB7F8-5D00-4E63-861E-7920BFB67404}"/>
    <cellStyle name="Normal 2 2 2 8 6 2 3" xfId="47633" xr:uid="{5331B191-6CBD-4019-86D4-379BE8F09CFD}"/>
    <cellStyle name="Normal 2 2 2 8 6 3" xfId="22494" xr:uid="{4DAB2E7B-6C16-4134-B76F-8E040737C26A}"/>
    <cellStyle name="Normal 2 2 2 8 6 4" xfId="39253" xr:uid="{AEEA1381-1F2B-4BD5-85F0-99E95F34F9F9}"/>
    <cellStyle name="Normal 2 2 2 8 7" xfId="7392" xr:uid="{F143627C-F499-4342-A6C4-2AB509D5F736}"/>
    <cellStyle name="Normal 2 2 2 8 7 2" xfId="15772" xr:uid="{2D3D8185-6383-470B-8388-340D4EEC5D32}"/>
    <cellStyle name="Normal 2 2 2 8 7 2 2" xfId="32532" xr:uid="{BF4D6B8B-B48A-4FA6-B889-824D35681B65}"/>
    <cellStyle name="Normal 2 2 2 8 7 2 3" xfId="49291" xr:uid="{DD7195DF-6B89-4168-8AC7-EE95BF61FBD0}"/>
    <cellStyle name="Normal 2 2 2 8 7 3" xfId="24152" xr:uid="{1F6AD91C-6730-4C4E-ADBE-0C5189431A6E}"/>
    <cellStyle name="Normal 2 2 2 8 7 4" xfId="40911" xr:uid="{2772420E-914F-4EA6-966C-5252DA4E63E7}"/>
    <cellStyle name="Normal 2 2 2 8 8" xfId="7798" xr:uid="{533B9E91-D328-416C-BA34-7D665DCEC764}"/>
    <cellStyle name="Normal 2 2 2 8 8 2" xfId="16178" xr:uid="{47914D82-9C91-467E-B10A-D5EE73AAE522}"/>
    <cellStyle name="Normal 2 2 2 8 8 2 2" xfId="32938" xr:uid="{007EA1BA-1DD6-418C-9B5A-8CC607FB646C}"/>
    <cellStyle name="Normal 2 2 2 8 8 2 3" xfId="49697" xr:uid="{CF84892E-4441-4976-946F-BC8E7E74EF1C}"/>
    <cellStyle name="Normal 2 2 2 8 8 3" xfId="24558" xr:uid="{50702D71-EFBF-45A0-9B2A-3DC80D84483A}"/>
    <cellStyle name="Normal 2 2 2 8 8 4" xfId="41317" xr:uid="{30DE3412-DD27-40C1-A18E-171E1B7A7A2E}"/>
    <cellStyle name="Normal 2 2 2 8 9" xfId="8204" xr:uid="{90AA4673-27D7-4B0B-9007-51DED3251E78}"/>
    <cellStyle name="Normal 2 2 2 8 9 2" xfId="16584" xr:uid="{927A0A6E-C424-42D5-B4E1-26DF2EAA36F6}"/>
    <cellStyle name="Normal 2 2 2 8 9 2 2" xfId="33344" xr:uid="{453BDCA7-1663-4A85-92B6-52015FE7096C}"/>
    <cellStyle name="Normal 2 2 2 8 9 2 3" xfId="50103" xr:uid="{D23C41CD-1700-47A5-81A9-04E16EEC54BB}"/>
    <cellStyle name="Normal 2 2 2 8 9 3" xfId="24964" xr:uid="{097CA4F6-F33B-4039-9230-A2DC39B6E53B}"/>
    <cellStyle name="Normal 2 2 2 8 9 4" xfId="41723" xr:uid="{BC27C9B0-FB6A-4391-9933-21ED3FD5C2D7}"/>
    <cellStyle name="Normal 2 2 2 9" xfId="767" xr:uid="{10F54AB1-9B3E-47C4-B788-DBCB11252B19}"/>
    <cellStyle name="Normal 2 2 2 9 2" xfId="4162" xr:uid="{C34931C8-FEFD-4338-B0B8-2BF27CC86575}"/>
    <cellStyle name="Normal 2 2 2 9 2 2" xfId="12542" xr:uid="{404646AB-3D6F-4D9F-B95E-3DBA9A58F03C}"/>
    <cellStyle name="Normal 2 2 2 9 2 2 2" xfId="29302" xr:uid="{D35C20BB-F8B5-45F6-8BA0-88D51317EF26}"/>
    <cellStyle name="Normal 2 2 2 9 2 2 3" xfId="46061" xr:uid="{78625302-2958-4E4E-80DE-DCAA8F08FAB3}"/>
    <cellStyle name="Normal 2 2 2 9 2 3" xfId="20922" xr:uid="{D3E3BBA7-974C-4D07-A0B8-41834911B879}"/>
    <cellStyle name="Normal 2 2 2 9 2 4" xfId="37681" xr:uid="{8437D925-6216-423B-83F3-1004A555914D}"/>
    <cellStyle name="Normal 2 2 2 9 3" xfId="5849" xr:uid="{102AFF96-A77E-4D66-AC37-4A8BED43DD2C}"/>
    <cellStyle name="Normal 2 2 2 9 3 2" xfId="14229" xr:uid="{B48B8FA8-7618-4F2F-B99B-E582FFE7AFE9}"/>
    <cellStyle name="Normal 2 2 2 9 3 2 2" xfId="30989" xr:uid="{AD245157-19F3-4243-8500-343DFA81A565}"/>
    <cellStyle name="Normal 2 2 2 9 3 2 3" xfId="47748" xr:uid="{CBD62672-883F-4586-8752-C2B1353A16B7}"/>
    <cellStyle name="Normal 2 2 2 9 3 3" xfId="22609" xr:uid="{88FD68C3-2E1D-4B89-A234-7DFA3840B5DE}"/>
    <cellStyle name="Normal 2 2 2 9 3 4" xfId="39368" xr:uid="{6929EDD4-5099-45F2-AB4E-E3ACAAE072CB}"/>
    <cellStyle name="Normal 2 2 2 9 4" xfId="2585" xr:uid="{2F537468-44E9-4DAC-B29B-4AA6FCE3641D}"/>
    <cellStyle name="Normal 2 2 2 9 4 2" xfId="10965" xr:uid="{3075BD2E-8F3C-4412-AA50-9E5D75F77552}"/>
    <cellStyle name="Normal 2 2 2 9 4 2 2" xfId="27725" xr:uid="{757BB654-174E-4BC1-B666-1335EBAF3368}"/>
    <cellStyle name="Normal 2 2 2 9 4 2 3" xfId="44484" xr:uid="{0B257344-DE18-425B-8E32-FE90A374C4B0}"/>
    <cellStyle name="Normal 2 2 2 9 4 3" xfId="19345" xr:uid="{C949467C-03FE-4912-A437-F78DBA795CAE}"/>
    <cellStyle name="Normal 2 2 2 9 4 4" xfId="36104" xr:uid="{68FFD3A9-9DA6-4FD4-858D-C45657A72589}"/>
    <cellStyle name="Normal 2 2 2 9 5" xfId="9162" xr:uid="{6CE8912B-9178-41B4-B32E-74EFD0F917D9}"/>
    <cellStyle name="Normal 2 2 2 9 5 2" xfId="25922" xr:uid="{1401EA6A-8870-4089-9B88-2273F28A0350}"/>
    <cellStyle name="Normal 2 2 2 9 5 3" xfId="42681" xr:uid="{125B31D5-D254-427C-99A0-F9E7BE2AE4FC}"/>
    <cellStyle name="Normal 2 2 2 9 6" xfId="17542" xr:uid="{1A06A626-F230-41BC-A527-BFC89D8DB361}"/>
    <cellStyle name="Normal 2 2 2 9 7" xfId="34301" xr:uid="{83C76D5E-AF28-4FFC-ABD1-E3A22B473817}"/>
    <cellStyle name="Normal 2 2 3" xfId="266" xr:uid="{9F9099CB-AE36-486C-A787-73A4898DBB64}"/>
    <cellStyle name="Normal 2 2 3 10" xfId="1641" xr:uid="{901DA636-3988-4646-ACBA-5FFD8596C657}"/>
    <cellStyle name="Normal 2 2 3 10 2" xfId="5030" xr:uid="{F3F7C2CC-D746-45EC-80F7-9865B108B32F}"/>
    <cellStyle name="Normal 2 2 3 10 2 2" xfId="13410" xr:uid="{A766768A-731E-4F0E-8DF0-750DD55CF848}"/>
    <cellStyle name="Normal 2 2 3 10 2 2 2" xfId="30170" xr:uid="{6182FFDF-AAB8-43D9-ACF4-E65B5414FFBC}"/>
    <cellStyle name="Normal 2 2 3 10 2 2 3" xfId="46929" xr:uid="{D626D84F-115A-4715-A6FC-4D28EB622C45}"/>
    <cellStyle name="Normal 2 2 3 10 2 3" xfId="21790" xr:uid="{2056C459-E806-486B-A74B-61D18707B208}"/>
    <cellStyle name="Normal 2 2 3 10 2 4" xfId="38549" xr:uid="{05D3A582-3FF2-45BD-B0A8-4018D62D593A}"/>
    <cellStyle name="Normal 2 2 3 10 3" xfId="6717" xr:uid="{8F682F7A-48C8-4F6F-8094-477F91799B6B}"/>
    <cellStyle name="Normal 2 2 3 10 3 2" xfId="15097" xr:uid="{C83BE07D-0C69-49D5-9FF9-829BA1D733E8}"/>
    <cellStyle name="Normal 2 2 3 10 3 2 2" xfId="31857" xr:uid="{9F44CB85-B28A-4C25-924F-47F48974691F}"/>
    <cellStyle name="Normal 2 2 3 10 3 2 3" xfId="48616" xr:uid="{16153022-6058-4E7B-957B-AF4F1DF29DF9}"/>
    <cellStyle name="Normal 2 2 3 10 3 3" xfId="23477" xr:uid="{24914335-3AD8-46FF-AEEE-6F9093DA58D2}"/>
    <cellStyle name="Normal 2 2 3 10 3 4" xfId="40236" xr:uid="{26A48D21-17B0-45CD-90E6-8E56A5502B26}"/>
    <cellStyle name="Normal 2 2 3 10 4" xfId="2155" xr:uid="{6492EBA5-BE23-434B-8592-E0A7F4820260}"/>
    <cellStyle name="Normal 2 2 3 10 4 2" xfId="10543" xr:uid="{DDF8549F-D517-47A2-B17F-398D8638E86B}"/>
    <cellStyle name="Normal 2 2 3 10 4 2 2" xfId="27303" xr:uid="{530D1FDC-1936-4A79-8B2C-BA7487D3144D}"/>
    <cellStyle name="Normal 2 2 3 10 4 2 3" xfId="44062" xr:uid="{C8FD50AF-E571-4EB1-8932-7251B5368106}"/>
    <cellStyle name="Normal 2 2 3 10 4 3" xfId="18923" xr:uid="{47EC102B-9DA8-4B81-9E77-A223C786A8A6}"/>
    <cellStyle name="Normal 2 2 3 10 4 4" xfId="35682" xr:uid="{977FEA27-0A90-406A-9234-4802E28B4908}"/>
    <cellStyle name="Normal 2 2 3 10 5" xfId="10030" xr:uid="{0E51CD55-38B7-4C5B-BD75-B94E1F9109BB}"/>
    <cellStyle name="Normal 2 2 3 10 5 2" xfId="26790" xr:uid="{93D6472F-2B02-4023-8301-7AA6CB464929}"/>
    <cellStyle name="Normal 2 2 3 10 5 3" xfId="43549" xr:uid="{2908B295-0EC1-4DAD-A45F-92820AEB6161}"/>
    <cellStyle name="Normal 2 2 3 10 6" xfId="18410" xr:uid="{4CCE6790-2CF2-465A-8AEF-812ED83FF5C6}"/>
    <cellStyle name="Normal 2 2 3 10 7" xfId="35169" xr:uid="{0F1D29DC-9445-4908-B03F-CA9B28874BEC}"/>
    <cellStyle name="Normal 2 2 3 11" xfId="3746" xr:uid="{2F25885B-6BC2-43C8-8B4B-816AB7D99819}"/>
    <cellStyle name="Normal 2 2 3 11 2" xfId="12126" xr:uid="{EFE2310B-6F9A-4190-A97E-6F2E1A622F98}"/>
    <cellStyle name="Normal 2 2 3 11 2 2" xfId="28886" xr:uid="{19399C46-CC92-43E2-B79D-B714E90F42BB}"/>
    <cellStyle name="Normal 2 2 3 11 2 3" xfId="45645" xr:uid="{3E8C9217-BB30-4CE3-8902-40764AF1B5E7}"/>
    <cellStyle name="Normal 2 2 3 11 3" xfId="20506" xr:uid="{201F85A2-4D85-4CA9-9B28-5286894B22F6}"/>
    <cellStyle name="Normal 2 2 3 11 4" xfId="37265" xr:uid="{46A3178C-03E3-42D0-B9D6-D9DF249139EE}"/>
    <cellStyle name="Normal 2 2 3 12" xfId="5427" xr:uid="{E100DBAF-FC59-4213-9F8F-9937AAF80509}"/>
    <cellStyle name="Normal 2 2 3 12 2" xfId="13807" xr:uid="{550BDD0C-914B-44A3-95E1-17BA82004AA0}"/>
    <cellStyle name="Normal 2 2 3 12 2 2" xfId="30567" xr:uid="{3A3D1839-C6AB-4832-B378-840A0F218B98}"/>
    <cellStyle name="Normal 2 2 3 12 2 3" xfId="47326" xr:uid="{16D93210-D76D-4424-881F-90E2B4D23720}"/>
    <cellStyle name="Normal 2 2 3 12 3" xfId="22187" xr:uid="{8D240766-7526-4294-A51E-8A534D00D11E}"/>
    <cellStyle name="Normal 2 2 3 12 4" xfId="38946" xr:uid="{B661D159-C63C-46DA-8778-1A114A4138B0}"/>
    <cellStyle name="Normal 2 2 3 13" xfId="7123" xr:uid="{D4313998-AEA6-4D41-953F-5CA1D652A661}"/>
    <cellStyle name="Normal 2 2 3 13 2" xfId="15503" xr:uid="{D526A994-57FF-4A6B-AC3C-B3FD2657D626}"/>
    <cellStyle name="Normal 2 2 3 13 2 2" xfId="32263" xr:uid="{1A9D2F08-03A3-47B7-9D4C-47C0AADA7F89}"/>
    <cellStyle name="Normal 2 2 3 13 2 3" xfId="49022" xr:uid="{87584D4F-D757-440B-87A1-2E3486691062}"/>
    <cellStyle name="Normal 2 2 3 13 3" xfId="23883" xr:uid="{8826D498-34AB-47FB-B088-45B36E9AC3C6}"/>
    <cellStyle name="Normal 2 2 3 13 4" xfId="40642" xr:uid="{205DB96D-2B09-4C18-AF21-6470CFBD6D36}"/>
    <cellStyle name="Normal 2 2 3 14" xfId="7529" xr:uid="{9A659A6E-83CC-41C1-9ACD-98D20BB7A198}"/>
    <cellStyle name="Normal 2 2 3 14 2" xfId="15909" xr:uid="{9C4978E5-2253-4992-8B8D-FDADA9A47AC7}"/>
    <cellStyle name="Normal 2 2 3 14 2 2" xfId="32669" xr:uid="{FC9A6EE5-42EA-4445-A862-609D4061C57E}"/>
    <cellStyle name="Normal 2 2 3 14 2 3" xfId="49428" xr:uid="{B0A0EF88-5EA6-42D8-939E-DD69C6329A6A}"/>
    <cellStyle name="Normal 2 2 3 14 3" xfId="24289" xr:uid="{223152E5-EC98-46B4-BD6A-C58129C0012D}"/>
    <cellStyle name="Normal 2 2 3 14 4" xfId="41048" xr:uid="{CBBCFEEE-B3DA-418B-A0C1-FD1761433678}"/>
    <cellStyle name="Normal 2 2 3 15" xfId="7935" xr:uid="{467005FF-B16A-45FF-AC2B-DD8FB7BC9751}"/>
    <cellStyle name="Normal 2 2 3 15 2" xfId="16315" xr:uid="{761291B7-64A1-4552-A558-77A17CA60396}"/>
    <cellStyle name="Normal 2 2 3 15 2 2" xfId="33075" xr:uid="{75631A97-2D25-450A-BA0C-352D63627DB9}"/>
    <cellStyle name="Normal 2 2 3 15 2 3" xfId="49834" xr:uid="{44BE962C-846C-4965-9EF1-0C6CE784EEB5}"/>
    <cellStyle name="Normal 2 2 3 15 3" xfId="24695" xr:uid="{E2F6965B-7361-4799-BAA3-EE0834A31ECC}"/>
    <cellStyle name="Normal 2 2 3 15 4" xfId="41454" xr:uid="{707CB5C8-5807-464C-A0B5-8729ECDDF3A6}"/>
    <cellStyle name="Normal 2 2 3 16" xfId="8341" xr:uid="{BF0053F9-9C78-45A3-9A66-2CC5D4E47402}"/>
    <cellStyle name="Normal 2 2 3 16 2" xfId="16721" xr:uid="{FEC2DA53-5867-4EBF-A17F-D3725FC5A006}"/>
    <cellStyle name="Normal 2 2 3 16 2 2" xfId="33481" xr:uid="{62F1B730-0C24-4996-9316-025CB8FD7168}"/>
    <cellStyle name="Normal 2 2 3 16 2 3" xfId="50240" xr:uid="{56A81FF3-EF2B-4454-84BF-80485B7863F4}"/>
    <cellStyle name="Normal 2 2 3 16 3" xfId="25101" xr:uid="{AC63CC20-33A0-4BF8-8B60-83531D63DBBB}"/>
    <cellStyle name="Normal 2 2 3 16 4" xfId="41860" xr:uid="{CAAB94C5-A105-4CFE-B266-E02BF5F0CEB4}"/>
    <cellStyle name="Normal 2 2 3 17" xfId="2043" xr:uid="{1E858BA3-6912-488F-AE7F-C1270C7438FB}"/>
    <cellStyle name="Normal 2 2 3 17 2" xfId="10431" xr:uid="{E6090859-4298-4B2E-B5AD-AC650ACDBF6B}"/>
    <cellStyle name="Normal 2 2 3 17 2 2" xfId="27191" xr:uid="{759B1A07-8599-4E4F-B3AF-4901007C090D}"/>
    <cellStyle name="Normal 2 2 3 17 2 3" xfId="43950" xr:uid="{02C68D31-9FF6-42D0-9BAB-B76A57135B32}"/>
    <cellStyle name="Normal 2 2 3 17 3" xfId="18811" xr:uid="{0B41F3D1-121C-4C90-B769-A4530B489528}"/>
    <cellStyle name="Normal 2 2 3 17 4" xfId="35570" xr:uid="{34F89C4B-3403-495D-A144-6304367D4753}"/>
    <cellStyle name="Normal 2 2 3 18" xfId="8740" xr:uid="{E1CDCC0B-5ED0-4B2F-9DF0-33FDA55F3A49}"/>
    <cellStyle name="Normal 2 2 3 18 2" xfId="25500" xr:uid="{C9C1EF3D-8E7A-4410-BF53-681CCF20EE2D}"/>
    <cellStyle name="Normal 2 2 3 18 3" xfId="42259" xr:uid="{ED49F7D6-C79D-4996-98C0-7915D928211F}"/>
    <cellStyle name="Normal 2 2 3 19" xfId="17120" xr:uid="{DF07C1F4-2C60-42A4-8C9B-A9C0E87D7350}"/>
    <cellStyle name="Normal 2 2 3 2" xfId="295" xr:uid="{B3C34CA8-A191-407C-A05F-904A575664D3}"/>
    <cellStyle name="Normal 2 2 3 2 10" xfId="7173" xr:uid="{53F1A5F2-A75D-4805-BE5B-D804823F445E}"/>
    <cellStyle name="Normal 2 2 3 2 10 2" xfId="15553" xr:uid="{62B5FA10-173C-4168-8025-139F4F847113}"/>
    <cellStyle name="Normal 2 2 3 2 10 2 2" xfId="32313" xr:uid="{241D7C18-231E-490A-9D1A-76B2FF8DD670}"/>
    <cellStyle name="Normal 2 2 3 2 10 2 3" xfId="49072" xr:uid="{3F610343-763E-4DF4-9611-15E7A1652C45}"/>
    <cellStyle name="Normal 2 2 3 2 10 3" xfId="23933" xr:uid="{38BEC3A8-99A5-4725-9668-EC54FB394160}"/>
    <cellStyle name="Normal 2 2 3 2 10 4" xfId="40692" xr:uid="{93879260-5E06-4F1A-B869-0ED24AF6C907}"/>
    <cellStyle name="Normal 2 2 3 2 11" xfId="7579" xr:uid="{319240AF-EA3D-436B-B69D-03D2CD11B610}"/>
    <cellStyle name="Normal 2 2 3 2 11 2" xfId="15959" xr:uid="{A1BC6723-FF8C-44D2-8D71-0DE5BECE8C5B}"/>
    <cellStyle name="Normal 2 2 3 2 11 2 2" xfId="32719" xr:uid="{EA5CF569-EFDB-4ED0-9C1D-4B76028FF784}"/>
    <cellStyle name="Normal 2 2 3 2 11 2 3" xfId="49478" xr:uid="{07A8AC8A-47C7-4FAE-9AC1-5D3CC1A3BB49}"/>
    <cellStyle name="Normal 2 2 3 2 11 3" xfId="24339" xr:uid="{1AE907C2-AE32-4B59-99D9-F918721668B1}"/>
    <cellStyle name="Normal 2 2 3 2 11 4" xfId="41098" xr:uid="{AA3A5B62-E2B5-4292-BD3F-B599F91E909D}"/>
    <cellStyle name="Normal 2 2 3 2 12" xfId="7985" xr:uid="{F339A674-610D-4295-9CEB-C8B95A4F389F}"/>
    <cellStyle name="Normal 2 2 3 2 12 2" xfId="16365" xr:uid="{905BE153-2CA6-4108-9886-C8539EC18B59}"/>
    <cellStyle name="Normal 2 2 3 2 12 2 2" xfId="33125" xr:uid="{44CA6724-C992-4F82-9DB6-4431EAA9255A}"/>
    <cellStyle name="Normal 2 2 3 2 12 2 3" xfId="49884" xr:uid="{ABF8ACAF-80B3-48D9-A24A-79CE325047F4}"/>
    <cellStyle name="Normal 2 2 3 2 12 3" xfId="24745" xr:uid="{24942FC5-D961-4310-BC0F-D44DC5308D3E}"/>
    <cellStyle name="Normal 2 2 3 2 12 4" xfId="41504" xr:uid="{6C09668A-E2A8-4DC2-9CBA-476A7C1EFF5A}"/>
    <cellStyle name="Normal 2 2 3 2 13" xfId="8391" xr:uid="{248B3C71-B76A-41DC-A5F3-2FD674BA0911}"/>
    <cellStyle name="Normal 2 2 3 2 13 2" xfId="16771" xr:uid="{B6F14190-D833-4729-822F-1EB09152EC49}"/>
    <cellStyle name="Normal 2 2 3 2 13 2 2" xfId="33531" xr:uid="{9AD249C4-4491-4592-A9D7-EC51D1C3E364}"/>
    <cellStyle name="Normal 2 2 3 2 13 2 3" xfId="50290" xr:uid="{621966C5-D7DD-42C1-A916-8594023BC4CF}"/>
    <cellStyle name="Normal 2 2 3 2 13 3" xfId="25151" xr:uid="{C3817209-D16D-4420-A03A-BC21FB17EB9E}"/>
    <cellStyle name="Normal 2 2 3 2 13 4" xfId="41910" xr:uid="{80757024-61CB-4FAC-86DB-79B0081069C8}"/>
    <cellStyle name="Normal 2 2 3 2 14" xfId="2061" xr:uid="{476C4255-0AF4-49A9-AD58-E2B92A3E83D5}"/>
    <cellStyle name="Normal 2 2 3 2 14 2" xfId="10449" xr:uid="{6095508D-88C9-48A5-98B5-79EE8A8A1453}"/>
    <cellStyle name="Normal 2 2 3 2 14 2 2" xfId="27209" xr:uid="{5AE35F01-CE97-46FB-AF87-E91829348A0F}"/>
    <cellStyle name="Normal 2 2 3 2 14 2 3" xfId="43968" xr:uid="{314C31D5-EE66-454E-B0D8-F7A2ACD8FD1F}"/>
    <cellStyle name="Normal 2 2 3 2 14 3" xfId="18829" xr:uid="{430A464F-6A82-46E6-AB4D-2927D63649E1}"/>
    <cellStyle name="Normal 2 2 3 2 14 4" xfId="35588" xr:uid="{67C2EB0C-1271-48D3-9078-90FDDF764B7C}"/>
    <cellStyle name="Normal 2 2 3 2 15" xfId="8768" xr:uid="{05146B92-9DD8-42CE-BF62-413D14E7E70C}"/>
    <cellStyle name="Normal 2 2 3 2 15 2" xfId="25528" xr:uid="{EC56BB1C-9BDC-403F-BAAE-A104ABCE92D5}"/>
    <cellStyle name="Normal 2 2 3 2 15 3" xfId="42287" xr:uid="{18A8EFA3-2FBD-40E9-B569-9D3453926575}"/>
    <cellStyle name="Normal 2 2 3 2 16" xfId="17148" xr:uid="{3FBD7369-9257-4620-953E-FE4C6C14AFD7}"/>
    <cellStyle name="Normal 2 2 3 2 17" xfId="33907" xr:uid="{091AD532-F53F-476A-B256-ABEE6B49AE74}"/>
    <cellStyle name="Normal 2 2 3 2 18" xfId="51139" xr:uid="{0CE45EE2-D405-4CBD-A602-E9F07723D2DE}"/>
    <cellStyle name="Normal 2 2 3 2 19" xfId="51613" xr:uid="{E150B5C1-4A11-426E-96FC-23ED970A5F3C}"/>
    <cellStyle name="Normal 2 2 3 2 2" xfId="378" xr:uid="{1AA97091-DC68-4946-978F-DA70C4063419}"/>
    <cellStyle name="Normal 2 2 3 2 2 10" xfId="7613" xr:uid="{48285A3F-7796-4859-823B-37E1D3C66C1F}"/>
    <cellStyle name="Normal 2 2 3 2 2 10 2" xfId="15993" xr:uid="{AD55E9B7-9DE9-4D13-A0C0-97844C8C1E51}"/>
    <cellStyle name="Normal 2 2 3 2 2 10 2 2" xfId="32753" xr:uid="{751E241E-0764-4110-804F-B426D865371C}"/>
    <cellStyle name="Normal 2 2 3 2 2 10 2 3" xfId="49512" xr:uid="{0786CEB9-652D-4BE7-9A98-7B1760AE2B7A}"/>
    <cellStyle name="Normal 2 2 3 2 2 10 3" xfId="24373" xr:uid="{C25E7DF4-0F0F-442A-97C7-F3CAB9B7A7B8}"/>
    <cellStyle name="Normal 2 2 3 2 2 10 4" xfId="41132" xr:uid="{969E28A0-F803-4340-B43A-7E45E69A8DF6}"/>
    <cellStyle name="Normal 2 2 3 2 2 11" xfId="8019" xr:uid="{FB7CBA60-00ED-46F4-BAC8-29BBFB5AF6B0}"/>
    <cellStyle name="Normal 2 2 3 2 2 11 2" xfId="16399" xr:uid="{BE81DBE0-C950-431A-AB0A-B034178792B0}"/>
    <cellStyle name="Normal 2 2 3 2 2 11 2 2" xfId="33159" xr:uid="{2B392F22-F131-4CFA-B9F0-2D8B9CD04AD0}"/>
    <cellStyle name="Normal 2 2 3 2 2 11 2 3" xfId="49918" xr:uid="{66BEA297-34C1-42E4-A2A4-912C87DA69CB}"/>
    <cellStyle name="Normal 2 2 3 2 2 11 3" xfId="24779" xr:uid="{C83C1BDA-9A2C-4A08-B89A-2D68FC9D8C0A}"/>
    <cellStyle name="Normal 2 2 3 2 2 11 4" xfId="41538" xr:uid="{5A1E31C5-601D-451E-BD13-2614A070ED85}"/>
    <cellStyle name="Normal 2 2 3 2 2 12" xfId="8425" xr:uid="{56232C97-93F5-4B08-B45C-B99AB36F0162}"/>
    <cellStyle name="Normal 2 2 3 2 2 12 2" xfId="16805" xr:uid="{E11551F7-1880-4B1A-9B71-8AAF2B9A85A6}"/>
    <cellStyle name="Normal 2 2 3 2 2 12 2 2" xfId="33565" xr:uid="{D527EFE7-A623-4A00-B60E-DEF5BB2C612E}"/>
    <cellStyle name="Normal 2 2 3 2 2 12 2 3" xfId="50324" xr:uid="{CD058D44-96CA-4929-BEDF-2229A2EE0129}"/>
    <cellStyle name="Normal 2 2 3 2 2 12 3" xfId="25185" xr:uid="{577695D6-6530-4864-A302-D953606E5F5E}"/>
    <cellStyle name="Normal 2 2 3 2 2 12 4" xfId="41944" xr:uid="{D7FEADDA-9987-4F5E-8E0C-7FD6D9F190FF}"/>
    <cellStyle name="Normal 2 2 3 2 2 13" xfId="2261" xr:uid="{75687523-96E4-47F5-90F6-5C53D85E050B}"/>
    <cellStyle name="Normal 2 2 3 2 2 13 2" xfId="10645" xr:uid="{FD1DCCF6-1320-469E-8CCF-5E1DB8184D6B}"/>
    <cellStyle name="Normal 2 2 3 2 2 13 2 2" xfId="27405" xr:uid="{84D9F134-C75E-459B-AC94-56A623C0CA02}"/>
    <cellStyle name="Normal 2 2 3 2 2 13 2 3" xfId="44164" xr:uid="{0A9A8A7A-1486-4C76-9B76-977AEE8F8AA0}"/>
    <cellStyle name="Normal 2 2 3 2 2 13 3" xfId="19025" xr:uid="{A0B00705-28E4-4FC6-9EE6-3D239761495B}"/>
    <cellStyle name="Normal 2 2 3 2 2 13 4" xfId="35784" xr:uid="{B14AA54F-A79A-4CE9-8B34-19BBD28A0B88}"/>
    <cellStyle name="Normal 2 2 3 2 2 14" xfId="8842" xr:uid="{8C90F7C5-1F3C-448F-9571-AC665F2035DD}"/>
    <cellStyle name="Normal 2 2 3 2 2 14 2" xfId="25602" xr:uid="{E183989A-5A46-4DDA-8208-58724AFDCCF4}"/>
    <cellStyle name="Normal 2 2 3 2 2 14 3" xfId="42361" xr:uid="{5D6361B9-4C87-4684-AB00-762F8A95AF5D}"/>
    <cellStyle name="Normal 2 2 3 2 2 15" xfId="17222" xr:uid="{5B13B618-FB51-4955-B86A-B0A70DA8D0CF}"/>
    <cellStyle name="Normal 2 2 3 2 2 16" xfId="33981" xr:uid="{7943CEE0-BE0D-46FE-B242-9C7271151827}"/>
    <cellStyle name="Normal 2 2 3 2 2 2" xfId="637" xr:uid="{876244F1-9429-4B5F-A795-F5DA8C3BF381}"/>
    <cellStyle name="Normal 2 2 3 2 2 2 10" xfId="8545" xr:uid="{B0DC27AB-9198-4C3A-9A5B-B83092C8E812}"/>
    <cellStyle name="Normal 2 2 3 2 2 2 10 2" xfId="16925" xr:uid="{36366898-A22C-45EF-9B49-9AF9357A141A}"/>
    <cellStyle name="Normal 2 2 3 2 2 2 10 2 2" xfId="33685" xr:uid="{5A007DFF-25AD-42C8-B8D1-8E0E008744AB}"/>
    <cellStyle name="Normal 2 2 3 2 2 2 10 2 3" xfId="50444" xr:uid="{B65F747F-B4A8-4B73-9CB9-A8E053832F28}"/>
    <cellStyle name="Normal 2 2 3 2 2 2 10 3" xfId="25305" xr:uid="{4CD52E4D-0ED1-4922-926C-D414F6EAD072}"/>
    <cellStyle name="Normal 2 2 3 2 2 2 10 4" xfId="42064" xr:uid="{6706F9C0-1ABB-4202-94E5-34127DDF7A98}"/>
    <cellStyle name="Normal 2 2 3 2 2 2 11" xfId="2469" xr:uid="{5E928D79-57C6-4A54-89E6-7CFB0AF8D27F}"/>
    <cellStyle name="Normal 2 2 3 2 2 2 11 2" xfId="10851" xr:uid="{1CE682EA-EDFE-4408-B428-CF43D36EA52D}"/>
    <cellStyle name="Normal 2 2 3 2 2 2 11 2 2" xfId="27611" xr:uid="{FE856FC1-5DE7-4056-A2CB-9A49A0E4405C}"/>
    <cellStyle name="Normal 2 2 3 2 2 2 11 2 3" xfId="44370" xr:uid="{5CDE453A-79CE-49D0-A755-292F53DC9CA0}"/>
    <cellStyle name="Normal 2 2 3 2 2 2 11 3" xfId="19231" xr:uid="{7FF179B0-3D70-465D-84C1-064A97E3A666}"/>
    <cellStyle name="Normal 2 2 3 2 2 2 11 4" xfId="35990" xr:uid="{49A4AB1D-1C63-41DE-8918-FCD3788EB619}"/>
    <cellStyle name="Normal 2 2 3 2 2 2 12" xfId="9048" xr:uid="{08F164EA-1785-4DF3-9E4A-098097302925}"/>
    <cellStyle name="Normal 2 2 3 2 2 2 12 2" xfId="25808" xr:uid="{E3C43048-E85B-46A1-86D3-CB2C25E3AAEF}"/>
    <cellStyle name="Normal 2 2 3 2 2 2 12 3" xfId="42567" xr:uid="{71FC1894-E36A-4938-A805-16971E637778}"/>
    <cellStyle name="Normal 2 2 3 2 2 2 13" xfId="17428" xr:uid="{44CA87F9-CD01-4B7A-8D12-7321BC1F318D}"/>
    <cellStyle name="Normal 2 2 3 2 2 2 14" xfId="34187" xr:uid="{23F81BD7-0CE6-4D85-85E2-975554D0582B}"/>
    <cellStyle name="Normal 2 2 3 2 2 2 2" xfId="1079" xr:uid="{5D8EDAD2-21A9-498D-8F2D-0AE60FC65D33}"/>
    <cellStyle name="Normal 2 2 3 2 2 2 2 2" xfId="4474" xr:uid="{FE99429B-3371-4C6B-A0EE-813C7F295D3A}"/>
    <cellStyle name="Normal 2 2 3 2 2 2 2 2 2" xfId="12854" xr:uid="{58599C50-54BF-4B2A-B234-1D9DCBC4758F}"/>
    <cellStyle name="Normal 2 2 3 2 2 2 2 2 2 2" xfId="29614" xr:uid="{9908763B-FB30-4A6D-A47C-E4AEB5F804C8}"/>
    <cellStyle name="Normal 2 2 3 2 2 2 2 2 2 3" xfId="46373" xr:uid="{9694C1C8-5105-4D89-8DBE-17C35D345AC1}"/>
    <cellStyle name="Normal 2 2 3 2 2 2 2 2 3" xfId="21234" xr:uid="{BB768600-846C-46A4-A8EB-D73F56C46042}"/>
    <cellStyle name="Normal 2 2 3 2 2 2 2 2 4" xfId="37993" xr:uid="{EAD6264B-5348-4095-A44B-012F6EB1162B}"/>
    <cellStyle name="Normal 2 2 3 2 2 2 2 3" xfId="6161" xr:uid="{6E23E9C8-DF45-4E32-ADC6-186AA1A02873}"/>
    <cellStyle name="Normal 2 2 3 2 2 2 2 3 2" xfId="14541" xr:uid="{0E2F06F0-31FC-4E0D-8722-716BBEA170D2}"/>
    <cellStyle name="Normal 2 2 3 2 2 2 2 3 2 2" xfId="31301" xr:uid="{53110774-AA91-4405-A60F-679E1A54CD37}"/>
    <cellStyle name="Normal 2 2 3 2 2 2 2 3 2 3" xfId="48060" xr:uid="{DBA0D834-29CE-4E43-BE3F-0B22039BF0B9}"/>
    <cellStyle name="Normal 2 2 3 2 2 2 2 3 3" xfId="22921" xr:uid="{5F793FBF-4D40-4C3E-8A84-4057308D8F5A}"/>
    <cellStyle name="Normal 2 2 3 2 2 2 2 3 4" xfId="39680" xr:uid="{C7BE1D57-3598-4D06-A9A8-C53506943CB7}"/>
    <cellStyle name="Normal 2 2 3 2 2 2 2 4" xfId="2897" xr:uid="{97EA44A3-53AB-4D30-9DB8-30A9A6C80D68}"/>
    <cellStyle name="Normal 2 2 3 2 2 2 2 4 2" xfId="11277" xr:uid="{03611BFE-2BDD-4CFF-B36B-9C148836C7B6}"/>
    <cellStyle name="Normal 2 2 3 2 2 2 2 4 2 2" xfId="28037" xr:uid="{27648558-70A0-4417-8E93-6BDA0BF2A937}"/>
    <cellStyle name="Normal 2 2 3 2 2 2 2 4 2 3" xfId="44796" xr:uid="{D55EC55D-127F-466B-AA0C-6DD2D5B32520}"/>
    <cellStyle name="Normal 2 2 3 2 2 2 2 4 3" xfId="19657" xr:uid="{680DE600-6C64-4934-81A0-8D5846EE4B03}"/>
    <cellStyle name="Normal 2 2 3 2 2 2 2 4 4" xfId="36416" xr:uid="{CC3F1EFB-E57A-4244-A082-001C61E48864}"/>
    <cellStyle name="Normal 2 2 3 2 2 2 2 5" xfId="9474" xr:uid="{D3025249-3C17-4980-8BF5-636E9D140A02}"/>
    <cellStyle name="Normal 2 2 3 2 2 2 2 5 2" xfId="26234" xr:uid="{3C5387BB-4802-4504-BBDC-C746E03BBB79}"/>
    <cellStyle name="Normal 2 2 3 2 2 2 2 5 3" xfId="42993" xr:uid="{4FAE9230-A637-49BC-AA4A-0D290542FA10}"/>
    <cellStyle name="Normal 2 2 3 2 2 2 2 6" xfId="17854" xr:uid="{F4BAB74D-01FB-4753-85AD-35F7E659B439}"/>
    <cellStyle name="Normal 2 2 3 2 2 2 2 7" xfId="34613" xr:uid="{A8D9AFED-E97E-4C5C-9FB7-F8843F8AF93A}"/>
    <cellStyle name="Normal 2 2 3 2 2 2 3" xfId="1513" xr:uid="{2575006B-7469-41F1-865D-1130B8514FC3}"/>
    <cellStyle name="Normal 2 2 3 2 2 2 3 2" xfId="4902" xr:uid="{D3C19274-D59B-4606-92DE-0D2493C1D03B}"/>
    <cellStyle name="Normal 2 2 3 2 2 2 3 2 2" xfId="13282" xr:uid="{13846C22-CAC2-4862-80A9-102CEBDB2997}"/>
    <cellStyle name="Normal 2 2 3 2 2 2 3 2 2 2" xfId="30042" xr:uid="{59393D66-5E83-4B88-B9EC-3D541DC7CB3A}"/>
    <cellStyle name="Normal 2 2 3 2 2 2 3 2 2 3" xfId="46801" xr:uid="{12F75928-0693-447B-9836-37045C524098}"/>
    <cellStyle name="Normal 2 2 3 2 2 2 3 2 3" xfId="21662" xr:uid="{FE8DF48B-42B7-4355-8772-C9005A441A1A}"/>
    <cellStyle name="Normal 2 2 3 2 2 2 3 2 4" xfId="38421" xr:uid="{75DEF323-1CDE-4644-8DD7-A0775810A08A}"/>
    <cellStyle name="Normal 2 2 3 2 2 2 3 3" xfId="6589" xr:uid="{1B1A58EE-B2C4-4AC8-8211-5D8C0AD38EE2}"/>
    <cellStyle name="Normal 2 2 3 2 2 2 3 3 2" xfId="14969" xr:uid="{E4EAFA92-402D-4414-B873-FB6CD3985090}"/>
    <cellStyle name="Normal 2 2 3 2 2 2 3 3 2 2" xfId="31729" xr:uid="{A2CBEF20-B6C6-445E-ABB1-FACF4FF45F6E}"/>
    <cellStyle name="Normal 2 2 3 2 2 2 3 3 2 3" xfId="48488" xr:uid="{14367FB6-C3E7-41BC-A910-5A71F4DCFEAD}"/>
    <cellStyle name="Normal 2 2 3 2 2 2 3 3 3" xfId="23349" xr:uid="{56CF7674-E05C-48D3-95AD-924640E0C86A}"/>
    <cellStyle name="Normal 2 2 3 2 2 2 3 3 4" xfId="40108" xr:uid="{8DE74319-2A63-4E89-8834-212B217B06A4}"/>
    <cellStyle name="Normal 2 2 3 2 2 2 3 4" xfId="3325" xr:uid="{6FC3F030-1089-4B7A-A10D-63EB8A79B2DA}"/>
    <cellStyle name="Normal 2 2 3 2 2 2 3 4 2" xfId="11705" xr:uid="{23A4BE53-074C-4B90-B4A3-4D4D6FB39ABC}"/>
    <cellStyle name="Normal 2 2 3 2 2 2 3 4 2 2" xfId="28465" xr:uid="{3483DE27-8C63-4CEC-9C0D-60A3528AB2EB}"/>
    <cellStyle name="Normal 2 2 3 2 2 2 3 4 2 3" xfId="45224" xr:uid="{9CEC273A-483A-4AAD-9EEF-922FF3C2F0F1}"/>
    <cellStyle name="Normal 2 2 3 2 2 2 3 4 3" xfId="20085" xr:uid="{B51EB8FD-6EE5-4A2F-A0BD-42B10D25D69B}"/>
    <cellStyle name="Normal 2 2 3 2 2 2 3 4 4" xfId="36844" xr:uid="{9420FB53-24E7-45C1-8465-86C5E5FE87F5}"/>
    <cellStyle name="Normal 2 2 3 2 2 2 3 5" xfId="9902" xr:uid="{F33AFED0-083B-48D8-AE2B-A073801ACB90}"/>
    <cellStyle name="Normal 2 2 3 2 2 2 3 5 2" xfId="26662" xr:uid="{1BA72661-0D2B-48A0-8056-47A69C92EA4E}"/>
    <cellStyle name="Normal 2 2 3 2 2 2 3 5 3" xfId="43421" xr:uid="{30E9DAA3-CA1F-40AC-8D56-77A5B34F1170}"/>
    <cellStyle name="Normal 2 2 3 2 2 2 3 6" xfId="18282" xr:uid="{E61F5184-0915-4296-9368-CD02A0D3B83F}"/>
    <cellStyle name="Normal 2 2 3 2 2 2 3 7" xfId="35041" xr:uid="{3B655D29-6918-400E-956B-5EA60214E647}"/>
    <cellStyle name="Normal 2 2 3 2 2 2 4" xfId="1845" xr:uid="{C6EACE32-0284-44C3-81D7-86030F65FED8}"/>
    <cellStyle name="Normal 2 2 3 2 2 2 4 2" xfId="5234" xr:uid="{7A3109F7-C943-4D1A-8F0E-A0AEF3BAD83D}"/>
    <cellStyle name="Normal 2 2 3 2 2 2 4 2 2" xfId="13614" xr:uid="{F62FCF86-4042-4391-8B04-00E80883661F}"/>
    <cellStyle name="Normal 2 2 3 2 2 2 4 2 2 2" xfId="30374" xr:uid="{3FF30F66-6215-4FF8-97A8-2B87C6E30944}"/>
    <cellStyle name="Normal 2 2 3 2 2 2 4 2 2 3" xfId="47133" xr:uid="{3AC22DE7-93D3-4408-B753-7D401F9922D7}"/>
    <cellStyle name="Normal 2 2 3 2 2 2 4 2 3" xfId="21994" xr:uid="{22B1072B-5594-4042-87A6-4D2ADDC889FA}"/>
    <cellStyle name="Normal 2 2 3 2 2 2 4 2 4" xfId="38753" xr:uid="{278A2C6A-883F-4974-BA67-C71F4070516A}"/>
    <cellStyle name="Normal 2 2 3 2 2 2 4 3" xfId="6921" xr:uid="{E68F4397-6187-42DA-B27E-E1A6D61F8665}"/>
    <cellStyle name="Normal 2 2 3 2 2 2 4 3 2" xfId="15301" xr:uid="{60FA080E-CCF1-4216-9E85-A4648D6EE213}"/>
    <cellStyle name="Normal 2 2 3 2 2 2 4 3 2 2" xfId="32061" xr:uid="{A5F08511-BC3B-4A0C-89C8-04AD69A5D01E}"/>
    <cellStyle name="Normal 2 2 3 2 2 2 4 3 2 3" xfId="48820" xr:uid="{1C442FD2-5444-47CE-B2D4-734C63BA17F1}"/>
    <cellStyle name="Normal 2 2 3 2 2 2 4 3 3" xfId="23681" xr:uid="{4B4A1888-601D-46C7-985F-BC1B4BBE534D}"/>
    <cellStyle name="Normal 2 2 3 2 2 2 4 3 4" xfId="40440" xr:uid="{1B83B0DC-E03A-4F2E-B5B4-A871F950C8CF}"/>
    <cellStyle name="Normal 2 2 3 2 2 2 4 4" xfId="3545" xr:uid="{6C221013-AB14-4894-AA86-31BC661ABCB2}"/>
    <cellStyle name="Normal 2 2 3 2 2 2 4 4 2" xfId="11925" xr:uid="{14A33738-9A85-4EAD-A0EC-265088E6A163}"/>
    <cellStyle name="Normal 2 2 3 2 2 2 4 4 2 2" xfId="28685" xr:uid="{57896B77-C058-4419-A236-4451764D0C55}"/>
    <cellStyle name="Normal 2 2 3 2 2 2 4 4 2 3" xfId="45444" xr:uid="{83E1C0B2-EB34-4D96-825F-52FCD9A246D4}"/>
    <cellStyle name="Normal 2 2 3 2 2 2 4 4 3" xfId="20305" xr:uid="{E7FB66E2-E88B-4589-80DF-CD61D7823EFF}"/>
    <cellStyle name="Normal 2 2 3 2 2 2 4 4 4" xfId="37064" xr:uid="{C36E45A6-50B2-4A3A-8071-C2040E923FE0}"/>
    <cellStyle name="Normal 2 2 3 2 2 2 4 5" xfId="10234" xr:uid="{9D90DD1C-AB95-4D34-B5D9-0B170B7D5C8F}"/>
    <cellStyle name="Normal 2 2 3 2 2 2 4 5 2" xfId="26994" xr:uid="{59631762-8835-4B5A-913D-B0EFAA9CE002}"/>
    <cellStyle name="Normal 2 2 3 2 2 2 4 5 3" xfId="43753" xr:uid="{28E367D5-7F93-4428-841B-FA06115B3FB9}"/>
    <cellStyle name="Normal 2 2 3 2 2 2 4 6" xfId="18614" xr:uid="{E1CA3073-58DF-4D66-A2AD-F378769B23F4}"/>
    <cellStyle name="Normal 2 2 3 2 2 2 4 7" xfId="35373" xr:uid="{F118D443-1DF0-4B13-ABAC-FF0B337E031A}"/>
    <cellStyle name="Normal 2 2 3 2 2 2 5" xfId="3964" xr:uid="{9803A248-0A99-47B0-867A-515BA7A59D93}"/>
    <cellStyle name="Normal 2 2 3 2 2 2 5 2" xfId="12344" xr:uid="{F35758FA-D35E-480B-9B40-18398FC21F9A}"/>
    <cellStyle name="Normal 2 2 3 2 2 2 5 2 2" xfId="29104" xr:uid="{4E72390D-40F2-47F8-974F-2F3916E5B93E}"/>
    <cellStyle name="Normal 2 2 3 2 2 2 5 2 3" xfId="45863" xr:uid="{26B81CA3-2879-4AD2-9CCC-8C1CD3DE3128}"/>
    <cellStyle name="Normal 2 2 3 2 2 2 5 3" xfId="20724" xr:uid="{1EC76122-C8AC-45C0-B187-DB4263D9E4E6}"/>
    <cellStyle name="Normal 2 2 3 2 2 2 5 4" xfId="37483" xr:uid="{FB8C1B45-4A81-4A0C-856A-146AD65B1EBF}"/>
    <cellStyle name="Normal 2 2 3 2 2 2 6" xfId="5735" xr:uid="{E4357831-5109-4E75-9058-C0DC9D50B177}"/>
    <cellStyle name="Normal 2 2 3 2 2 2 6 2" xfId="14115" xr:uid="{32D0279E-D9BB-49F1-A951-E095DEA90126}"/>
    <cellStyle name="Normal 2 2 3 2 2 2 6 2 2" xfId="30875" xr:uid="{2E35E0A7-5B8D-4843-8D40-AAB0254F5568}"/>
    <cellStyle name="Normal 2 2 3 2 2 2 6 2 3" xfId="47634" xr:uid="{8C58AA9A-B7DF-43FB-9F85-F56708EEC2D1}"/>
    <cellStyle name="Normal 2 2 3 2 2 2 6 3" xfId="22495" xr:uid="{C100C365-52DB-4833-9C94-65AD00400109}"/>
    <cellStyle name="Normal 2 2 3 2 2 2 6 4" xfId="39254" xr:uid="{BB3CE6F3-BF56-40DC-8F0A-A2FF418EF5E2}"/>
    <cellStyle name="Normal 2 2 3 2 2 2 7" xfId="7327" xr:uid="{1A2EEA5D-D172-458B-AB46-18D48A2CBAAD}"/>
    <cellStyle name="Normal 2 2 3 2 2 2 7 2" xfId="15707" xr:uid="{FDAAE038-6283-4F0A-B07D-5A2C7ABAFB46}"/>
    <cellStyle name="Normal 2 2 3 2 2 2 7 2 2" xfId="32467" xr:uid="{D7CD0FAE-5AFD-4FB9-859A-5EDF6327A7EE}"/>
    <cellStyle name="Normal 2 2 3 2 2 2 7 2 3" xfId="49226" xr:uid="{E2DB9663-3ACD-44CF-AD6F-D9EB8528BAEC}"/>
    <cellStyle name="Normal 2 2 3 2 2 2 7 3" xfId="24087" xr:uid="{5BE382E7-5092-4CA6-895E-D134E0F57BA6}"/>
    <cellStyle name="Normal 2 2 3 2 2 2 7 4" xfId="40846" xr:uid="{FE0E8FCD-029B-4DD9-914A-FE8178257FBD}"/>
    <cellStyle name="Normal 2 2 3 2 2 2 8" xfId="7733" xr:uid="{D436164D-D433-4428-BC9D-27ECBB831155}"/>
    <cellStyle name="Normal 2 2 3 2 2 2 8 2" xfId="16113" xr:uid="{3780E126-24C1-4E7C-ABD2-D191C8119199}"/>
    <cellStyle name="Normal 2 2 3 2 2 2 8 2 2" xfId="32873" xr:uid="{F1D2A5C1-4155-4297-9808-9A2AC5626E11}"/>
    <cellStyle name="Normal 2 2 3 2 2 2 8 2 3" xfId="49632" xr:uid="{3D77661F-C958-4E27-97CF-8D6A5AE30E2F}"/>
    <cellStyle name="Normal 2 2 3 2 2 2 8 3" xfId="24493" xr:uid="{5F943E6E-7E30-4824-B4EC-5DAA32CC21F9}"/>
    <cellStyle name="Normal 2 2 3 2 2 2 8 4" xfId="41252" xr:uid="{9AA2206A-5BA7-44D2-ACE1-3F71717A4471}"/>
    <cellStyle name="Normal 2 2 3 2 2 2 9" xfId="8139" xr:uid="{5AA795B9-964F-4A32-82FB-AAFD8D4EF876}"/>
    <cellStyle name="Normal 2 2 3 2 2 2 9 2" xfId="16519" xr:uid="{D853578E-19A1-4F8F-9506-2BC67B0AFD25}"/>
    <cellStyle name="Normal 2 2 3 2 2 2 9 2 2" xfId="33279" xr:uid="{A3A56FAE-5B82-4CFB-B6FC-09D630A76244}"/>
    <cellStyle name="Normal 2 2 3 2 2 2 9 2 3" xfId="50038" xr:uid="{61396305-5479-4377-BE82-99B7A8D2475B}"/>
    <cellStyle name="Normal 2 2 3 2 2 2 9 3" xfId="24899" xr:uid="{39F94509-3FB8-4305-B329-90A3093B2C79}"/>
    <cellStyle name="Normal 2 2 3 2 2 2 9 4" xfId="41658" xr:uid="{8EFF0CB6-F02F-4AD6-BA40-DFD40132CBE4}"/>
    <cellStyle name="Normal 2 2 3 2 2 3" xfId="638" xr:uid="{146340D6-5F67-411E-8D77-02CEAFF3F3D7}"/>
    <cellStyle name="Normal 2 2 3 2 2 3 10" xfId="8696" xr:uid="{009F04DA-DB5A-485E-8745-90BA14E006E3}"/>
    <cellStyle name="Normal 2 2 3 2 2 3 10 2" xfId="17076" xr:uid="{9A85262F-A2BE-49E0-A633-1043477666F8}"/>
    <cellStyle name="Normal 2 2 3 2 2 3 10 2 2" xfId="33836" xr:uid="{FE4443ED-FF5A-449E-8969-FCBEE6BE8BBC}"/>
    <cellStyle name="Normal 2 2 3 2 2 3 10 2 3" xfId="50595" xr:uid="{EF4641EC-D122-4341-80EF-FEEE5F8C26D2}"/>
    <cellStyle name="Normal 2 2 3 2 2 3 10 3" xfId="25456" xr:uid="{60FBF82F-A7BE-4F4F-9279-E2C9F56900DB}"/>
    <cellStyle name="Normal 2 2 3 2 2 3 10 4" xfId="42215" xr:uid="{FC3DB41D-E258-4C0E-8983-2B2777C03F94}"/>
    <cellStyle name="Normal 2 2 3 2 2 3 11" xfId="2470" xr:uid="{4981C9CC-6872-4A98-9B3C-92FE84B46B5B}"/>
    <cellStyle name="Normal 2 2 3 2 2 3 11 2" xfId="10852" xr:uid="{639A50FB-A078-490C-9C14-65F541DE350F}"/>
    <cellStyle name="Normal 2 2 3 2 2 3 11 2 2" xfId="27612" xr:uid="{ABB4B4D0-950A-4D96-9486-318D55B67F20}"/>
    <cellStyle name="Normal 2 2 3 2 2 3 11 2 3" xfId="44371" xr:uid="{34757208-16E5-43DF-9034-21503091084C}"/>
    <cellStyle name="Normal 2 2 3 2 2 3 11 3" xfId="19232" xr:uid="{11CAFE71-42AC-4C0D-B7AE-EF09A945AA5D}"/>
    <cellStyle name="Normal 2 2 3 2 2 3 11 4" xfId="35991" xr:uid="{D585616F-FBFC-4228-AC3B-07C8078B290D}"/>
    <cellStyle name="Normal 2 2 3 2 2 3 12" xfId="9049" xr:uid="{F4E486B3-C459-467F-ABE5-7C0BD68B3C1A}"/>
    <cellStyle name="Normal 2 2 3 2 2 3 12 2" xfId="25809" xr:uid="{6678CC9C-476B-49D3-98D7-1F1FA1D9252B}"/>
    <cellStyle name="Normal 2 2 3 2 2 3 12 3" xfId="42568" xr:uid="{B58A2E98-0286-4ABC-B7D6-CE1AE2265246}"/>
    <cellStyle name="Normal 2 2 3 2 2 3 13" xfId="17429" xr:uid="{61A25672-6170-4783-8CF8-D9F40976E9DB}"/>
    <cellStyle name="Normal 2 2 3 2 2 3 14" xfId="34188" xr:uid="{3BC3BC57-AFEE-4401-9F94-92B404CBFAD2}"/>
    <cellStyle name="Normal 2 2 3 2 2 3 2" xfId="1080" xr:uid="{8207F163-6BBB-46C4-87E5-D68AEEA2B997}"/>
    <cellStyle name="Normal 2 2 3 2 2 3 2 2" xfId="4475" xr:uid="{1D641E74-B068-45C4-8890-D5388D6C2984}"/>
    <cellStyle name="Normal 2 2 3 2 2 3 2 2 2" xfId="12855" xr:uid="{E51F82B3-DD9F-4C1A-9896-5DFBBB0AA8A9}"/>
    <cellStyle name="Normal 2 2 3 2 2 3 2 2 2 2" xfId="29615" xr:uid="{A7BB35EA-C697-4B3A-9044-FDDC6ADF63A7}"/>
    <cellStyle name="Normal 2 2 3 2 2 3 2 2 2 3" xfId="46374" xr:uid="{15F21807-9375-48BE-B23C-7071A06AAEBD}"/>
    <cellStyle name="Normal 2 2 3 2 2 3 2 2 3" xfId="21235" xr:uid="{2A448DCB-5E39-498A-AE54-26FAB0E8B72F}"/>
    <cellStyle name="Normal 2 2 3 2 2 3 2 2 4" xfId="37994" xr:uid="{4FEFD084-4884-4414-A66D-D51C6C47AA46}"/>
    <cellStyle name="Normal 2 2 3 2 2 3 2 3" xfId="6162" xr:uid="{2F8B424B-6634-4346-8522-56897EA1BA64}"/>
    <cellStyle name="Normal 2 2 3 2 2 3 2 3 2" xfId="14542" xr:uid="{DF04A0E5-1629-4BC6-B840-96586A050CFD}"/>
    <cellStyle name="Normal 2 2 3 2 2 3 2 3 2 2" xfId="31302" xr:uid="{D0FBA411-EBCE-423E-9AA6-E375859C5DE3}"/>
    <cellStyle name="Normal 2 2 3 2 2 3 2 3 2 3" xfId="48061" xr:uid="{4B59F4AA-A2F1-4921-B882-C0261AD06037}"/>
    <cellStyle name="Normal 2 2 3 2 2 3 2 3 3" xfId="22922" xr:uid="{6EEDFD8A-FED2-4AD1-AD7D-7ABB54753EF5}"/>
    <cellStyle name="Normal 2 2 3 2 2 3 2 3 4" xfId="39681" xr:uid="{5FFA30DA-48FB-4E56-A880-0EFE3C070C23}"/>
    <cellStyle name="Normal 2 2 3 2 2 3 2 4" xfId="2898" xr:uid="{9BAFB348-811A-4D57-8EE2-3EB54FFAC5CC}"/>
    <cellStyle name="Normal 2 2 3 2 2 3 2 4 2" xfId="11278" xr:uid="{EFE5B7DF-5DB4-4D39-B333-BF61292A7779}"/>
    <cellStyle name="Normal 2 2 3 2 2 3 2 4 2 2" xfId="28038" xr:uid="{CB75660A-4694-4085-B434-7456955411BF}"/>
    <cellStyle name="Normal 2 2 3 2 2 3 2 4 2 3" xfId="44797" xr:uid="{A50C5F73-8AC3-4294-AA3C-70258F05806E}"/>
    <cellStyle name="Normal 2 2 3 2 2 3 2 4 3" xfId="19658" xr:uid="{8AD01134-AA80-44B8-B8A5-CC8EE3BD92F5}"/>
    <cellStyle name="Normal 2 2 3 2 2 3 2 4 4" xfId="36417" xr:uid="{20EB646D-3879-4BD8-8118-312409C8001A}"/>
    <cellStyle name="Normal 2 2 3 2 2 3 2 5" xfId="9475" xr:uid="{B47C02C7-599D-4AF2-95F9-B23F9D4B71A3}"/>
    <cellStyle name="Normal 2 2 3 2 2 3 2 5 2" xfId="26235" xr:uid="{4D95F89F-45BD-4AF0-A870-2C6A0319F84A}"/>
    <cellStyle name="Normal 2 2 3 2 2 3 2 5 3" xfId="42994" xr:uid="{8125F6E1-9C66-4E9B-A3AF-FCB59F9E7046}"/>
    <cellStyle name="Normal 2 2 3 2 2 3 2 6" xfId="17855" xr:uid="{3B641F76-0E27-422D-AFD6-6DD56828B222}"/>
    <cellStyle name="Normal 2 2 3 2 2 3 2 7" xfId="34614" xr:uid="{EA218C55-1DC3-45B7-9FB7-04C2197FAC79}"/>
    <cellStyle name="Normal 2 2 3 2 2 3 3" xfId="1514" xr:uid="{5D6F2657-89E3-431F-8F20-6B442B1381A3}"/>
    <cellStyle name="Normal 2 2 3 2 2 3 3 2" xfId="4903" xr:uid="{6A61143F-8519-44C0-96F0-D47D7CBCF8A9}"/>
    <cellStyle name="Normal 2 2 3 2 2 3 3 2 2" xfId="13283" xr:uid="{F441B5CD-83E6-4C15-A121-50E895882302}"/>
    <cellStyle name="Normal 2 2 3 2 2 3 3 2 2 2" xfId="30043" xr:uid="{EA30FF7E-64AC-4036-A269-3DEDFD57F553}"/>
    <cellStyle name="Normal 2 2 3 2 2 3 3 2 2 3" xfId="46802" xr:uid="{19FE5050-66AE-4C9E-A60A-4C54446A4231}"/>
    <cellStyle name="Normal 2 2 3 2 2 3 3 2 3" xfId="21663" xr:uid="{06220E05-ECF8-4157-B365-E9E83F6DF82E}"/>
    <cellStyle name="Normal 2 2 3 2 2 3 3 2 4" xfId="38422" xr:uid="{EBF9C48E-1061-4457-BC9E-29D8101F7A52}"/>
    <cellStyle name="Normal 2 2 3 2 2 3 3 3" xfId="6590" xr:uid="{747CEB58-24D0-4009-AE05-A26C16D6B5B7}"/>
    <cellStyle name="Normal 2 2 3 2 2 3 3 3 2" xfId="14970" xr:uid="{8AAFB610-B18B-4F5D-ABC6-3CA4AEAAF389}"/>
    <cellStyle name="Normal 2 2 3 2 2 3 3 3 2 2" xfId="31730" xr:uid="{E0A4DDE1-06D3-4701-B25C-529AD636DBD0}"/>
    <cellStyle name="Normal 2 2 3 2 2 3 3 3 2 3" xfId="48489" xr:uid="{E14B1C42-26F7-4AB4-8A32-F60502E0E9F6}"/>
    <cellStyle name="Normal 2 2 3 2 2 3 3 3 3" xfId="23350" xr:uid="{52B7A832-29D2-4D3C-8DF2-ABEEE67AD528}"/>
    <cellStyle name="Normal 2 2 3 2 2 3 3 3 4" xfId="40109" xr:uid="{A4161272-EFB0-4DD2-A7AF-5C7CE4708346}"/>
    <cellStyle name="Normal 2 2 3 2 2 3 3 4" xfId="3326" xr:uid="{EAF99E57-DAAF-4D59-883A-BB224C90A2E3}"/>
    <cellStyle name="Normal 2 2 3 2 2 3 3 4 2" xfId="11706" xr:uid="{9F7FF2A3-23FD-4084-8B51-A112097AACB9}"/>
    <cellStyle name="Normal 2 2 3 2 2 3 3 4 2 2" xfId="28466" xr:uid="{BE959761-E75D-45A7-96A5-AD2704D28E0F}"/>
    <cellStyle name="Normal 2 2 3 2 2 3 3 4 2 3" xfId="45225" xr:uid="{A57D8E14-D36F-4CB0-A05F-FF30E86FE8D5}"/>
    <cellStyle name="Normal 2 2 3 2 2 3 3 4 3" xfId="20086" xr:uid="{0ECCF610-DF01-4A46-83FD-0EF5C3E8339A}"/>
    <cellStyle name="Normal 2 2 3 2 2 3 3 4 4" xfId="36845" xr:uid="{18B506BA-5CD2-4AB4-9A6A-D04DF80C649C}"/>
    <cellStyle name="Normal 2 2 3 2 2 3 3 5" xfId="9903" xr:uid="{5EC500C3-97D9-44A2-9B80-0F367BE3EB1A}"/>
    <cellStyle name="Normal 2 2 3 2 2 3 3 5 2" xfId="26663" xr:uid="{AFE2BFA5-EA31-49A1-8B20-EE22DE270821}"/>
    <cellStyle name="Normal 2 2 3 2 2 3 3 5 3" xfId="43422" xr:uid="{4895E7AF-C63B-4B73-A7CE-87FD0544188F}"/>
    <cellStyle name="Normal 2 2 3 2 2 3 3 6" xfId="18283" xr:uid="{6B510020-2A3B-4E04-B4D8-1666D4905B9D}"/>
    <cellStyle name="Normal 2 2 3 2 2 3 3 7" xfId="35042" xr:uid="{9F88DE7E-3132-4C64-8270-27DFB62C7374}"/>
    <cellStyle name="Normal 2 2 3 2 2 3 4" xfId="1996" xr:uid="{12EEFF85-3F28-4425-A87B-C44E12EB6413}"/>
    <cellStyle name="Normal 2 2 3 2 2 3 4 2" xfId="5385" xr:uid="{731E356E-D325-4C60-8199-73C65D9C5DE3}"/>
    <cellStyle name="Normal 2 2 3 2 2 3 4 2 2" xfId="13765" xr:uid="{3ED1B057-64B5-4CFC-9B90-F7CA3B9E8303}"/>
    <cellStyle name="Normal 2 2 3 2 2 3 4 2 2 2" xfId="30525" xr:uid="{DB839C95-BA5A-4D10-91F4-A87BFD8D0479}"/>
    <cellStyle name="Normal 2 2 3 2 2 3 4 2 2 3" xfId="47284" xr:uid="{2A106ECC-3F49-4639-847E-F2CCEAC3296E}"/>
    <cellStyle name="Normal 2 2 3 2 2 3 4 2 3" xfId="22145" xr:uid="{594DDA9C-C13D-4C1B-BD0E-C3B953F80761}"/>
    <cellStyle name="Normal 2 2 3 2 2 3 4 2 4" xfId="38904" xr:uid="{8DE5D49D-4A1E-497B-99EF-877AEC27B954}"/>
    <cellStyle name="Normal 2 2 3 2 2 3 4 3" xfId="7072" xr:uid="{3F3B8A0D-D857-4887-B0BB-242D776C2132}"/>
    <cellStyle name="Normal 2 2 3 2 2 3 4 3 2" xfId="15452" xr:uid="{879CB6B9-9BD7-487F-99EE-8BFA0A2433C5}"/>
    <cellStyle name="Normal 2 2 3 2 2 3 4 3 2 2" xfId="32212" xr:uid="{6330077E-28A5-437B-BFFF-7342E39C26D1}"/>
    <cellStyle name="Normal 2 2 3 2 2 3 4 3 2 3" xfId="48971" xr:uid="{A97BBFFD-77C7-455A-89FC-88C778A5ED00}"/>
    <cellStyle name="Normal 2 2 3 2 2 3 4 3 3" xfId="23832" xr:uid="{B365A7C7-3AC6-4E9F-AC33-CEF74B1A549D}"/>
    <cellStyle name="Normal 2 2 3 2 2 3 4 3 4" xfId="40591" xr:uid="{8745D542-C8D4-422E-99F1-2E46267EBB1F}"/>
    <cellStyle name="Normal 2 2 3 2 2 3 4 4" xfId="3695" xr:uid="{877EBE0B-ECAE-48F3-B132-82C3A8CFB32F}"/>
    <cellStyle name="Normal 2 2 3 2 2 3 4 4 2" xfId="12075" xr:uid="{E9AB09E6-12F7-44A5-8B42-3ABA20E5A4AE}"/>
    <cellStyle name="Normal 2 2 3 2 2 3 4 4 2 2" xfId="28835" xr:uid="{8A03BA94-19CD-43FC-9016-DC284620CCEC}"/>
    <cellStyle name="Normal 2 2 3 2 2 3 4 4 2 3" xfId="45594" xr:uid="{540EE8DB-51AF-4B7B-AB0B-ADF24E495FAE}"/>
    <cellStyle name="Normal 2 2 3 2 2 3 4 4 3" xfId="20455" xr:uid="{F2D53BBA-1A20-4279-95DE-5967AB80F97F}"/>
    <cellStyle name="Normal 2 2 3 2 2 3 4 4 4" xfId="37214" xr:uid="{A24BFC0A-7E74-45EC-8C31-73517296D5C5}"/>
    <cellStyle name="Normal 2 2 3 2 2 3 4 5" xfId="10385" xr:uid="{380E34A3-A8E6-4201-9531-FB859866C4E7}"/>
    <cellStyle name="Normal 2 2 3 2 2 3 4 5 2" xfId="27145" xr:uid="{F3478133-1F40-4497-B9A1-E7EDB722E19F}"/>
    <cellStyle name="Normal 2 2 3 2 2 3 4 5 3" xfId="43904" xr:uid="{3D5E3C03-6CBF-408B-B8AB-C5F587939665}"/>
    <cellStyle name="Normal 2 2 3 2 2 3 4 6" xfId="18765" xr:uid="{EEB00F69-7CFC-473F-8DA8-5BD64432409D}"/>
    <cellStyle name="Normal 2 2 3 2 2 3 4 7" xfId="35524" xr:uid="{0AF2D3E6-7614-457B-B150-173DAEDA941F}"/>
    <cellStyle name="Normal 2 2 3 2 2 3 5" xfId="4115" xr:uid="{8AC2886B-C98C-44DC-BCDB-3CB43E355D04}"/>
    <cellStyle name="Normal 2 2 3 2 2 3 5 2" xfId="12495" xr:uid="{E38BC122-9FE3-4938-8D3D-0FDDF2CAD674}"/>
    <cellStyle name="Normal 2 2 3 2 2 3 5 2 2" xfId="29255" xr:uid="{61EBEFD2-CB73-4A6F-9DC0-0AAD5B12D820}"/>
    <cellStyle name="Normal 2 2 3 2 2 3 5 2 3" xfId="46014" xr:uid="{52A48E12-E445-4AE7-8B63-22FA1CE279F6}"/>
    <cellStyle name="Normal 2 2 3 2 2 3 5 3" xfId="20875" xr:uid="{A8309E36-3863-4889-9F8A-7C21A30BA3EA}"/>
    <cellStyle name="Normal 2 2 3 2 2 3 5 4" xfId="37634" xr:uid="{7FCFCC0D-1E32-4C40-B07E-A222153972AB}"/>
    <cellStyle name="Normal 2 2 3 2 2 3 6" xfId="5736" xr:uid="{AA5ABBBF-00A6-4C00-BAAB-3F4AAF27A968}"/>
    <cellStyle name="Normal 2 2 3 2 2 3 6 2" xfId="14116" xr:uid="{5E7BFCAA-E6F8-4884-A37D-61F3AA5D75C1}"/>
    <cellStyle name="Normal 2 2 3 2 2 3 6 2 2" xfId="30876" xr:uid="{08ECB84A-0657-4A96-96AA-C4DBD0DC051D}"/>
    <cellStyle name="Normal 2 2 3 2 2 3 6 2 3" xfId="47635" xr:uid="{F793C1FD-D802-4053-8882-0BA382DE71C4}"/>
    <cellStyle name="Normal 2 2 3 2 2 3 6 3" xfId="22496" xr:uid="{7A983776-FCA5-4781-95A4-E3F46193CA11}"/>
    <cellStyle name="Normal 2 2 3 2 2 3 6 4" xfId="39255" xr:uid="{D826F2EA-E986-4C3F-87AF-8BC13319E412}"/>
    <cellStyle name="Normal 2 2 3 2 2 3 7" xfId="7478" xr:uid="{4D655D2A-7D2E-4ABF-8C39-57A74520333C}"/>
    <cellStyle name="Normal 2 2 3 2 2 3 7 2" xfId="15858" xr:uid="{2CF6D9E4-0952-4681-973F-316949290E45}"/>
    <cellStyle name="Normal 2 2 3 2 2 3 7 2 2" xfId="32618" xr:uid="{440BE562-CA05-4520-BD38-5208B9E86206}"/>
    <cellStyle name="Normal 2 2 3 2 2 3 7 2 3" xfId="49377" xr:uid="{53255056-0A40-436B-93C2-756EC6D45C2C}"/>
    <cellStyle name="Normal 2 2 3 2 2 3 7 3" xfId="24238" xr:uid="{039BCCA3-5C61-41E5-9CEA-049D988F98F4}"/>
    <cellStyle name="Normal 2 2 3 2 2 3 7 4" xfId="40997" xr:uid="{4A12A459-0654-401D-99F9-C9F1026421A3}"/>
    <cellStyle name="Normal 2 2 3 2 2 3 8" xfId="7884" xr:uid="{94F0E26A-41D6-46D7-A61C-5371FE6EE0C6}"/>
    <cellStyle name="Normal 2 2 3 2 2 3 8 2" xfId="16264" xr:uid="{49618E49-9E0E-4D80-83AD-BB8272EDC32A}"/>
    <cellStyle name="Normal 2 2 3 2 2 3 8 2 2" xfId="33024" xr:uid="{BCD3EB9B-0CA1-43EA-A054-2E6CF3062733}"/>
    <cellStyle name="Normal 2 2 3 2 2 3 8 2 3" xfId="49783" xr:uid="{103BDE04-72FD-40F6-AB0B-A941D47479E8}"/>
    <cellStyle name="Normal 2 2 3 2 2 3 8 3" xfId="24644" xr:uid="{7715FB95-29C9-483F-AD8A-60DCFAB0833D}"/>
    <cellStyle name="Normal 2 2 3 2 2 3 8 4" xfId="41403" xr:uid="{05E7AD70-6A85-4A70-A40F-A0CEA4083012}"/>
    <cellStyle name="Normal 2 2 3 2 2 3 9" xfId="8290" xr:uid="{45347A9F-AEB4-40D0-9034-52BBF3594EB6}"/>
    <cellStyle name="Normal 2 2 3 2 2 3 9 2" xfId="16670" xr:uid="{A3E0FE5B-6074-4EBE-AF9C-3CF19B92824F}"/>
    <cellStyle name="Normal 2 2 3 2 2 3 9 2 2" xfId="33430" xr:uid="{1B8FDEC5-B80C-49F0-BB71-AD46A93CEFB5}"/>
    <cellStyle name="Normal 2 2 3 2 2 3 9 2 3" xfId="50189" xr:uid="{5B66BFF5-230A-4FC8-9716-E275F6121C57}"/>
    <cellStyle name="Normal 2 2 3 2 2 3 9 3" xfId="25050" xr:uid="{593AECFB-5152-4B01-A8C3-9EF1AF38A064}"/>
    <cellStyle name="Normal 2 2 3 2 2 3 9 4" xfId="41809" xr:uid="{2EC2B211-91A5-4596-B9B1-6DDC82BE1206}"/>
    <cellStyle name="Normal 2 2 3 2 2 4" xfId="873" xr:uid="{DF0644A6-2D55-4518-BE05-FE8022C566F6}"/>
    <cellStyle name="Normal 2 2 3 2 2 4 2" xfId="4268" xr:uid="{F2A4E65A-ADE4-4459-859E-54CDF56F9629}"/>
    <cellStyle name="Normal 2 2 3 2 2 4 2 2" xfId="12648" xr:uid="{CAD0E8CC-4ABF-481F-BD42-7D08517B7098}"/>
    <cellStyle name="Normal 2 2 3 2 2 4 2 2 2" xfId="29408" xr:uid="{BCB1668B-7FA9-436D-BD57-EE90BBEFD4FE}"/>
    <cellStyle name="Normal 2 2 3 2 2 4 2 2 3" xfId="46167" xr:uid="{08DE4249-9D6B-4286-B06E-3569F1E9A24A}"/>
    <cellStyle name="Normal 2 2 3 2 2 4 2 3" xfId="21028" xr:uid="{80FED28A-8761-42FB-856C-76E91FFEA533}"/>
    <cellStyle name="Normal 2 2 3 2 2 4 2 4" xfId="37787" xr:uid="{ABB66271-9115-4671-9115-89949E082885}"/>
    <cellStyle name="Normal 2 2 3 2 2 4 3" xfId="5955" xr:uid="{C15D6A1E-6678-4601-942E-D6D89EA2441F}"/>
    <cellStyle name="Normal 2 2 3 2 2 4 3 2" xfId="14335" xr:uid="{546E2542-451D-4F15-B1F0-ABFE08B1A53F}"/>
    <cellStyle name="Normal 2 2 3 2 2 4 3 2 2" xfId="31095" xr:uid="{83084DDB-21C6-40F7-BC27-AFC15ECBBE12}"/>
    <cellStyle name="Normal 2 2 3 2 2 4 3 2 3" xfId="47854" xr:uid="{986F1834-0379-4619-97D3-05BBB48739C0}"/>
    <cellStyle name="Normal 2 2 3 2 2 4 3 3" xfId="22715" xr:uid="{84837794-4419-40DE-B0BF-39A0DD38EAF0}"/>
    <cellStyle name="Normal 2 2 3 2 2 4 3 4" xfId="39474" xr:uid="{A2D74644-52CB-407E-8A28-FD98A0C73F5A}"/>
    <cellStyle name="Normal 2 2 3 2 2 4 4" xfId="2691" xr:uid="{AC15DAA4-655F-4EE1-98B5-A20372BC76E8}"/>
    <cellStyle name="Normal 2 2 3 2 2 4 4 2" xfId="11071" xr:uid="{1212705C-BBA8-4405-8A06-AE1E51C66C6B}"/>
    <cellStyle name="Normal 2 2 3 2 2 4 4 2 2" xfId="27831" xr:uid="{81192E3A-8E62-415C-9E25-556F4C3E118A}"/>
    <cellStyle name="Normal 2 2 3 2 2 4 4 2 3" xfId="44590" xr:uid="{20DDEDEF-F387-4533-8E50-667A43FE2F2D}"/>
    <cellStyle name="Normal 2 2 3 2 2 4 4 3" xfId="19451" xr:uid="{1451CFB4-8C55-40C6-8D0D-82B5B009A0CC}"/>
    <cellStyle name="Normal 2 2 3 2 2 4 4 4" xfId="36210" xr:uid="{B0D348BF-E2A3-4307-B7E6-E494A962DADF}"/>
    <cellStyle name="Normal 2 2 3 2 2 4 5" xfId="9268" xr:uid="{49B2992C-F1B6-4CDD-A697-1772EAB5585F}"/>
    <cellStyle name="Normal 2 2 3 2 2 4 5 2" xfId="26028" xr:uid="{8D6928FD-F66C-4FFB-8F15-D1D7DD88B728}"/>
    <cellStyle name="Normal 2 2 3 2 2 4 5 3" xfId="42787" xr:uid="{D01C215D-739B-4BBC-AB44-1C976EE5E503}"/>
    <cellStyle name="Normal 2 2 3 2 2 4 6" xfId="17648" xr:uid="{75E9D87F-DF71-42F2-9CF9-4CBB008CC4DF}"/>
    <cellStyle name="Normal 2 2 3 2 2 4 7" xfId="34407" xr:uid="{E4C90563-3087-4A4B-9F01-28FE08199A19}"/>
    <cellStyle name="Normal 2 2 3 2 2 5" xfId="1307" xr:uid="{A8132067-DD83-47DF-BC20-6DFF96478E1A}"/>
    <cellStyle name="Normal 2 2 3 2 2 5 2" xfId="4696" xr:uid="{514E82E6-4978-46EF-ACFD-6B2023CFE6CA}"/>
    <cellStyle name="Normal 2 2 3 2 2 5 2 2" xfId="13076" xr:uid="{C6F9F89B-0759-4AFC-AB36-F62434930DD7}"/>
    <cellStyle name="Normal 2 2 3 2 2 5 2 2 2" xfId="29836" xr:uid="{1E6340E5-D1C1-4AC4-BA0F-EDB96F4E8999}"/>
    <cellStyle name="Normal 2 2 3 2 2 5 2 2 3" xfId="46595" xr:uid="{72A0A84D-EBE4-47DC-9040-BB441908E814}"/>
    <cellStyle name="Normal 2 2 3 2 2 5 2 3" xfId="21456" xr:uid="{A1BC0AAC-ABB4-4D44-BC64-5275365648C9}"/>
    <cellStyle name="Normal 2 2 3 2 2 5 2 4" xfId="38215" xr:uid="{905D3161-4D4C-48AC-A07B-7AA571D513C9}"/>
    <cellStyle name="Normal 2 2 3 2 2 5 3" xfId="6383" xr:uid="{B9090B73-463F-4FFD-81D9-764513917411}"/>
    <cellStyle name="Normal 2 2 3 2 2 5 3 2" xfId="14763" xr:uid="{9F6A9F33-2F64-4B7D-9D71-7315E62EEC7A}"/>
    <cellStyle name="Normal 2 2 3 2 2 5 3 2 2" xfId="31523" xr:uid="{C463CD2F-9F5F-4D26-BB30-A25B4C42D1AB}"/>
    <cellStyle name="Normal 2 2 3 2 2 5 3 2 3" xfId="48282" xr:uid="{CF06D86A-6E40-4312-81C4-3C123518C359}"/>
    <cellStyle name="Normal 2 2 3 2 2 5 3 3" xfId="23143" xr:uid="{6697A1ED-0FA4-4FBD-B55B-90BA1A27D1EB}"/>
    <cellStyle name="Normal 2 2 3 2 2 5 3 4" xfId="39902" xr:uid="{5E3BFC9C-8E42-458A-80C8-5E16E09D07FA}"/>
    <cellStyle name="Normal 2 2 3 2 2 5 4" xfId="3119" xr:uid="{C0335B7C-3981-4486-8B51-589AD424AA36}"/>
    <cellStyle name="Normal 2 2 3 2 2 5 4 2" xfId="11499" xr:uid="{8E71285A-3CFB-4E84-B9FA-52D20EB158B0}"/>
    <cellStyle name="Normal 2 2 3 2 2 5 4 2 2" xfId="28259" xr:uid="{A7988EEC-69FF-4745-8CE5-428C8E656C13}"/>
    <cellStyle name="Normal 2 2 3 2 2 5 4 2 3" xfId="45018" xr:uid="{0B7B8CAB-A926-4F86-B91B-7AD79D7A8BDD}"/>
    <cellStyle name="Normal 2 2 3 2 2 5 4 3" xfId="19879" xr:uid="{216EB95D-2DCC-4144-A55B-5C9C1C982004}"/>
    <cellStyle name="Normal 2 2 3 2 2 5 4 4" xfId="36638" xr:uid="{9C989592-29D1-46BB-8B2A-1256527FDAC3}"/>
    <cellStyle name="Normal 2 2 3 2 2 5 5" xfId="9696" xr:uid="{91DE5329-F5DF-459B-9446-8CB98A87FD59}"/>
    <cellStyle name="Normal 2 2 3 2 2 5 5 2" xfId="26456" xr:uid="{7B638496-A36D-40FA-8D98-6B19DD05775B}"/>
    <cellStyle name="Normal 2 2 3 2 2 5 5 3" xfId="43215" xr:uid="{46905B10-DF14-4FA6-8719-DFC208A2FE29}"/>
    <cellStyle name="Normal 2 2 3 2 2 5 6" xfId="18076" xr:uid="{BB4A4F92-7508-4826-B34C-1FE5268A3044}"/>
    <cellStyle name="Normal 2 2 3 2 2 5 7" xfId="34835" xr:uid="{7346D3AC-6B49-403F-B378-B93853C10594}"/>
    <cellStyle name="Normal 2 2 3 2 2 6" xfId="1725" xr:uid="{6541C28A-3C0A-404F-A506-2FB8974DF93C}"/>
    <cellStyle name="Normal 2 2 3 2 2 6 2" xfId="5114" xr:uid="{C2C1B1F4-4CCF-4525-A463-0FF305A12E95}"/>
    <cellStyle name="Normal 2 2 3 2 2 6 2 2" xfId="13494" xr:uid="{278DC698-21E7-4078-9842-EAB97CB1F51A}"/>
    <cellStyle name="Normal 2 2 3 2 2 6 2 2 2" xfId="30254" xr:uid="{B31D30B9-DA8D-4A30-AD79-AB7DF84112CA}"/>
    <cellStyle name="Normal 2 2 3 2 2 6 2 2 3" xfId="47013" xr:uid="{4D52BE4A-2992-43A0-8D16-5CE72D141EBE}"/>
    <cellStyle name="Normal 2 2 3 2 2 6 2 3" xfId="21874" xr:uid="{6BB04931-34A0-46B3-AFBF-CAC7CBD5B2BC}"/>
    <cellStyle name="Normal 2 2 3 2 2 6 2 4" xfId="38633" xr:uid="{82AF63C3-232B-4296-991F-B9B55FFA5092}"/>
    <cellStyle name="Normal 2 2 3 2 2 6 3" xfId="6801" xr:uid="{3BFC2FD1-3C21-45D5-AF93-8C8561E84BE0}"/>
    <cellStyle name="Normal 2 2 3 2 2 6 3 2" xfId="15181" xr:uid="{15ACECB2-A701-44AB-B7E1-45D3C0A66FD8}"/>
    <cellStyle name="Normal 2 2 3 2 2 6 3 2 2" xfId="31941" xr:uid="{EDF65506-1648-436C-9FE2-83CC1B448E7D}"/>
    <cellStyle name="Normal 2 2 3 2 2 6 3 2 3" xfId="48700" xr:uid="{654A15A5-89C1-4CC3-9A77-87CFF7906A4B}"/>
    <cellStyle name="Normal 2 2 3 2 2 6 3 3" xfId="23561" xr:uid="{A3ECD00E-6373-4C07-902F-4B998C2B1B10}"/>
    <cellStyle name="Normal 2 2 3 2 2 6 3 4" xfId="40320" xr:uid="{9E7DA3C7-6A72-428B-A409-130BFCA230F9}"/>
    <cellStyle name="Normal 2 2 3 2 2 6 4" xfId="3448" xr:uid="{AD21DD02-0902-4850-8CA8-8D2B06293CAD}"/>
    <cellStyle name="Normal 2 2 3 2 2 6 4 2" xfId="11828" xr:uid="{EEA7869E-FAA5-4907-89D9-B85256A82213}"/>
    <cellStyle name="Normal 2 2 3 2 2 6 4 2 2" xfId="28588" xr:uid="{9A3ADFA0-E7EA-4EF6-917B-149A3FBC2DDE}"/>
    <cellStyle name="Normal 2 2 3 2 2 6 4 2 3" xfId="45347" xr:uid="{10DD0388-ABA6-4D78-B223-9B5312ACF0DA}"/>
    <cellStyle name="Normal 2 2 3 2 2 6 4 3" xfId="20208" xr:uid="{125FE937-6CCC-4136-A6AC-CA82ED3F4F18}"/>
    <cellStyle name="Normal 2 2 3 2 2 6 4 4" xfId="36967" xr:uid="{40333593-4D89-423A-88B9-B6F6D7F7D955}"/>
    <cellStyle name="Normal 2 2 3 2 2 6 5" xfId="10114" xr:uid="{AC2A0E31-B6FB-44CA-ACB3-F17FE8D380B8}"/>
    <cellStyle name="Normal 2 2 3 2 2 6 5 2" xfId="26874" xr:uid="{6488DD15-C245-481C-8436-BDA33F57C10C}"/>
    <cellStyle name="Normal 2 2 3 2 2 6 5 3" xfId="43633" xr:uid="{D1C77050-FA89-4496-97DF-E3B9978D90EF}"/>
    <cellStyle name="Normal 2 2 3 2 2 6 6" xfId="18494" xr:uid="{0F5342A6-E719-4E8B-8649-594FF4EEBEDE}"/>
    <cellStyle name="Normal 2 2 3 2 2 6 7" xfId="35253" xr:uid="{70B5E7E4-8335-401B-8963-D5E263541866}"/>
    <cellStyle name="Normal 2 2 3 2 2 7" xfId="3844" xr:uid="{C4CC77D6-EDB1-4775-BDCC-C25DE4400DD7}"/>
    <cellStyle name="Normal 2 2 3 2 2 7 2" xfId="12224" xr:uid="{A604D17C-C15F-47F8-9E76-AF93E8619C7B}"/>
    <cellStyle name="Normal 2 2 3 2 2 7 2 2" xfId="28984" xr:uid="{AD853BF4-86F8-4697-B100-B3BB579FC743}"/>
    <cellStyle name="Normal 2 2 3 2 2 7 2 3" xfId="45743" xr:uid="{066A8CE5-5451-44C3-9ABA-EF312096DA52}"/>
    <cellStyle name="Normal 2 2 3 2 2 7 3" xfId="20604" xr:uid="{197950BF-FC60-4F27-992A-33A6FB66F9B7}"/>
    <cellStyle name="Normal 2 2 3 2 2 7 4" xfId="37363" xr:uid="{BF422811-BCDD-464E-B580-A8949A9E174C}"/>
    <cellStyle name="Normal 2 2 3 2 2 8" xfId="5529" xr:uid="{CF8709BC-E35F-4411-A1B1-832B2D81863F}"/>
    <cellStyle name="Normal 2 2 3 2 2 8 2" xfId="13909" xr:uid="{18E44FD7-A380-4231-85E8-7254C8B1ECEC}"/>
    <cellStyle name="Normal 2 2 3 2 2 8 2 2" xfId="30669" xr:uid="{3AC2E964-D3C0-4A8D-8CF8-5D14EA8A4C0C}"/>
    <cellStyle name="Normal 2 2 3 2 2 8 2 3" xfId="47428" xr:uid="{4822D713-1F76-4371-8847-F0E01AEB012E}"/>
    <cellStyle name="Normal 2 2 3 2 2 8 3" xfId="22289" xr:uid="{063E2F2A-E3D2-4CEB-B19F-82BD0CF3217A}"/>
    <cellStyle name="Normal 2 2 3 2 2 8 4" xfId="39048" xr:uid="{9D0457B0-84C3-4D46-8EC5-C41C22DB4B74}"/>
    <cellStyle name="Normal 2 2 3 2 2 9" xfId="7207" xr:uid="{2A355EAD-ACD1-4F3E-B673-CAA7894894BA}"/>
    <cellStyle name="Normal 2 2 3 2 2 9 2" xfId="15587" xr:uid="{08193D48-8E73-4207-AB29-DCF1136F075F}"/>
    <cellStyle name="Normal 2 2 3 2 2 9 2 2" xfId="32347" xr:uid="{F857F289-50D3-4DC3-BCE2-99A966D6B7F9}"/>
    <cellStyle name="Normal 2 2 3 2 2 9 2 3" xfId="49106" xr:uid="{83BB7407-991B-42A5-B2BF-44503712B46C}"/>
    <cellStyle name="Normal 2 2 3 2 2 9 3" xfId="23967" xr:uid="{6254DE5C-DE43-49C5-BB52-26B760FC8948}"/>
    <cellStyle name="Normal 2 2 3 2 2 9 4" xfId="40726" xr:uid="{4CB6F007-6934-4193-9298-E37415D3D8CA}"/>
    <cellStyle name="Normal 2 2 3 2 20" xfId="52091" xr:uid="{CA27540C-79C4-47F8-8ABC-1795C00CAD52}"/>
    <cellStyle name="Normal 2 2 3 2 3" xfId="639" xr:uid="{D80B8C85-2097-4EAC-BF55-9CB8283AA65E}"/>
    <cellStyle name="Normal 2 2 3 2 3 10" xfId="8544" xr:uid="{6DABA98A-F059-49F9-BB6C-93285477D4CC}"/>
    <cellStyle name="Normal 2 2 3 2 3 10 2" xfId="16924" xr:uid="{F6A1D317-0AAA-48FD-89AD-9200F4B479D6}"/>
    <cellStyle name="Normal 2 2 3 2 3 10 2 2" xfId="33684" xr:uid="{5EA644CF-D7F9-42E5-AACC-1F1EEA14D452}"/>
    <cellStyle name="Normal 2 2 3 2 3 10 2 3" xfId="50443" xr:uid="{318B509C-2AFF-4B00-86C9-14A5BAAB2401}"/>
    <cellStyle name="Normal 2 2 3 2 3 10 3" xfId="25304" xr:uid="{9E2988BA-5522-4301-9DDD-4A08D33F321B}"/>
    <cellStyle name="Normal 2 2 3 2 3 10 4" xfId="42063" xr:uid="{60CF7B2D-D885-4A61-BAFA-71B6FC1639E1}"/>
    <cellStyle name="Normal 2 2 3 2 3 11" xfId="2471" xr:uid="{FCBA806E-4DC5-4BD9-9D93-7E7FDCDD12E3}"/>
    <cellStyle name="Normal 2 2 3 2 3 11 2" xfId="10853" xr:uid="{0B6B4869-C25E-4B30-810E-872E2232777A}"/>
    <cellStyle name="Normal 2 2 3 2 3 11 2 2" xfId="27613" xr:uid="{50F0EA95-E440-4DA2-B674-CA939E8F2FC2}"/>
    <cellStyle name="Normal 2 2 3 2 3 11 2 3" xfId="44372" xr:uid="{5DE56673-2D42-4D77-8C35-48EFF92FE7D0}"/>
    <cellStyle name="Normal 2 2 3 2 3 11 3" xfId="19233" xr:uid="{D92A6980-8E0B-41D2-B498-3A68D91C486E}"/>
    <cellStyle name="Normal 2 2 3 2 3 11 4" xfId="35992" xr:uid="{689DDEA0-537A-4C23-A229-82B8E4F3932E}"/>
    <cellStyle name="Normal 2 2 3 2 3 12" xfId="9050" xr:uid="{24EA960A-C4F1-4D67-AD30-0AA00CDFC307}"/>
    <cellStyle name="Normal 2 2 3 2 3 12 2" xfId="25810" xr:uid="{6C0BFB7B-9DA4-4F85-9404-4CAECFED2FD1}"/>
    <cellStyle name="Normal 2 2 3 2 3 12 3" xfId="42569" xr:uid="{6A36ED2E-509C-4583-A2FA-9CFF5BD314C0}"/>
    <cellStyle name="Normal 2 2 3 2 3 13" xfId="17430" xr:uid="{70607FAD-F38A-4914-8976-74B86EAF2790}"/>
    <cellStyle name="Normal 2 2 3 2 3 14" xfId="34189" xr:uid="{6DB71C7F-1A34-4292-85C1-9852706A4D3F}"/>
    <cellStyle name="Normal 2 2 3 2 3 2" xfId="1081" xr:uid="{C1C52AE8-9EE2-4447-A169-155AC404E7A2}"/>
    <cellStyle name="Normal 2 2 3 2 3 2 2" xfId="4476" xr:uid="{88C12023-5EF7-4C65-B157-3ECF1BE3009D}"/>
    <cellStyle name="Normal 2 2 3 2 3 2 2 2" xfId="12856" xr:uid="{8663C974-1CFF-46CE-9F41-6153615E2F31}"/>
    <cellStyle name="Normal 2 2 3 2 3 2 2 2 2" xfId="29616" xr:uid="{AB5A8260-7AA9-455D-96F0-86156BBA9809}"/>
    <cellStyle name="Normal 2 2 3 2 3 2 2 2 3" xfId="46375" xr:uid="{55B0CA99-D447-424D-8027-F3E98AD4ACFC}"/>
    <cellStyle name="Normal 2 2 3 2 3 2 2 3" xfId="21236" xr:uid="{BD22BCDE-0C66-4C0E-BEDB-5D4F2DB98D08}"/>
    <cellStyle name="Normal 2 2 3 2 3 2 2 4" xfId="37995" xr:uid="{75FBD01A-E6EC-46FB-B773-F161284A3E6A}"/>
    <cellStyle name="Normal 2 2 3 2 3 2 3" xfId="6163" xr:uid="{540813C0-12B8-4E3C-B0B5-AF661D87D88B}"/>
    <cellStyle name="Normal 2 2 3 2 3 2 3 2" xfId="14543" xr:uid="{5D2681D1-12CB-4667-8D3F-45C03B920078}"/>
    <cellStyle name="Normal 2 2 3 2 3 2 3 2 2" xfId="31303" xr:uid="{E5A5ED6F-3D23-40CA-94F0-6B3858D34123}"/>
    <cellStyle name="Normal 2 2 3 2 3 2 3 2 3" xfId="48062" xr:uid="{699E18A7-D766-4CFE-A83D-8FD44ABB4BFE}"/>
    <cellStyle name="Normal 2 2 3 2 3 2 3 3" xfId="22923" xr:uid="{3586DE3E-0854-48D1-B411-41DCF4AB2E48}"/>
    <cellStyle name="Normal 2 2 3 2 3 2 3 4" xfId="39682" xr:uid="{498A537F-6749-4563-800A-939495CC0F5D}"/>
    <cellStyle name="Normal 2 2 3 2 3 2 4" xfId="2899" xr:uid="{91A9BADC-1F78-48C0-A55C-C3D8070B726B}"/>
    <cellStyle name="Normal 2 2 3 2 3 2 4 2" xfId="11279" xr:uid="{D294EE63-549A-4B44-91C7-7572258C5439}"/>
    <cellStyle name="Normal 2 2 3 2 3 2 4 2 2" xfId="28039" xr:uid="{90E1435F-9B8B-4C35-9621-B5D0AFA02F77}"/>
    <cellStyle name="Normal 2 2 3 2 3 2 4 2 3" xfId="44798" xr:uid="{5AE69B0F-6BDF-4CC1-997F-5DA03FC00B9A}"/>
    <cellStyle name="Normal 2 2 3 2 3 2 4 3" xfId="19659" xr:uid="{DED3780F-A0FD-4429-BDB2-CC1AC06B9DA8}"/>
    <cellStyle name="Normal 2 2 3 2 3 2 4 4" xfId="36418" xr:uid="{79F56EC2-4000-4845-B7D8-C9A729191E0B}"/>
    <cellStyle name="Normal 2 2 3 2 3 2 5" xfId="9476" xr:uid="{70837F37-FEA8-46FB-BE65-9B076B2E1C25}"/>
    <cellStyle name="Normal 2 2 3 2 3 2 5 2" xfId="26236" xr:uid="{D8C1F724-0792-48D9-A74F-72F1D3E388CD}"/>
    <cellStyle name="Normal 2 2 3 2 3 2 5 3" xfId="42995" xr:uid="{1CFEF30F-682F-429E-A143-D7F08A04CF4E}"/>
    <cellStyle name="Normal 2 2 3 2 3 2 6" xfId="17856" xr:uid="{69952EF5-0F6B-4D0E-AA38-3DE3F9C05772}"/>
    <cellStyle name="Normal 2 2 3 2 3 2 7" xfId="34615" xr:uid="{5982AD1A-33EC-4996-996F-2925F8E301DD}"/>
    <cellStyle name="Normal 2 2 3 2 3 3" xfId="1515" xr:uid="{525B3B5B-944B-44B7-B6CC-75A6A1512B8F}"/>
    <cellStyle name="Normal 2 2 3 2 3 3 2" xfId="4904" xr:uid="{501603A2-260F-41A3-A803-DA421BBE5FB5}"/>
    <cellStyle name="Normal 2 2 3 2 3 3 2 2" xfId="13284" xr:uid="{0E3C1A0A-E7FD-4D5D-8C9A-4FA726302BD0}"/>
    <cellStyle name="Normal 2 2 3 2 3 3 2 2 2" xfId="30044" xr:uid="{E0E74919-3B80-48BC-89CC-1209CEF8C3AA}"/>
    <cellStyle name="Normal 2 2 3 2 3 3 2 2 3" xfId="46803" xr:uid="{1F197E61-4305-47C4-9AB8-BD001B520636}"/>
    <cellStyle name="Normal 2 2 3 2 3 3 2 3" xfId="21664" xr:uid="{2430237B-3E22-446A-9744-8195F7785D90}"/>
    <cellStyle name="Normal 2 2 3 2 3 3 2 4" xfId="38423" xr:uid="{366F23B6-5EA1-4259-AAE1-DE209F5D2841}"/>
    <cellStyle name="Normal 2 2 3 2 3 3 3" xfId="6591" xr:uid="{65624864-C7DB-47F5-B787-71CEF1F53554}"/>
    <cellStyle name="Normal 2 2 3 2 3 3 3 2" xfId="14971" xr:uid="{3A810C6E-97D9-4826-A007-14BF6C067FDF}"/>
    <cellStyle name="Normal 2 2 3 2 3 3 3 2 2" xfId="31731" xr:uid="{C748345B-7485-4356-9A82-FE86A7F0E48A}"/>
    <cellStyle name="Normal 2 2 3 2 3 3 3 2 3" xfId="48490" xr:uid="{EE0EEED5-0C93-4009-9CDD-1A26F8A60C5A}"/>
    <cellStyle name="Normal 2 2 3 2 3 3 3 3" xfId="23351" xr:uid="{F7145A16-7166-4399-85BA-5E5E5E61CEA5}"/>
    <cellStyle name="Normal 2 2 3 2 3 3 3 4" xfId="40110" xr:uid="{FA60D884-F4CF-491B-8A8E-A70D050BB86B}"/>
    <cellStyle name="Normal 2 2 3 2 3 3 4" xfId="3327" xr:uid="{D326E8A2-5080-45DF-A670-D1B2BF845F3F}"/>
    <cellStyle name="Normal 2 2 3 2 3 3 4 2" xfId="11707" xr:uid="{5F8BABBD-11B0-489E-9EA6-00E5A3891609}"/>
    <cellStyle name="Normal 2 2 3 2 3 3 4 2 2" xfId="28467" xr:uid="{512F2B69-0820-4210-A70F-C2A690F46603}"/>
    <cellStyle name="Normal 2 2 3 2 3 3 4 2 3" xfId="45226" xr:uid="{CC950758-B5E9-45BD-A543-A32B6C1C9FF5}"/>
    <cellStyle name="Normal 2 2 3 2 3 3 4 3" xfId="20087" xr:uid="{A22B47B8-AD51-427D-B54A-F2D1BF230CC6}"/>
    <cellStyle name="Normal 2 2 3 2 3 3 4 4" xfId="36846" xr:uid="{0326806B-588D-44D3-B614-1794D98ABBE6}"/>
    <cellStyle name="Normal 2 2 3 2 3 3 5" xfId="9904" xr:uid="{41A4E6BA-B327-4041-918E-0699C51D2B11}"/>
    <cellStyle name="Normal 2 2 3 2 3 3 5 2" xfId="26664" xr:uid="{38A24FF0-3E54-4353-86C2-2AA23542A28C}"/>
    <cellStyle name="Normal 2 2 3 2 3 3 5 3" xfId="43423" xr:uid="{BCFA5C85-E737-40AC-A23C-18AC2238ED00}"/>
    <cellStyle name="Normal 2 2 3 2 3 3 6" xfId="18284" xr:uid="{7253D4EB-87F7-4401-BA93-86E1E679A932}"/>
    <cellStyle name="Normal 2 2 3 2 3 3 7" xfId="35043" xr:uid="{5ABD8B60-FA8E-4D4C-8E7E-E9273D1CF8E7}"/>
    <cellStyle name="Normal 2 2 3 2 3 4" xfId="1844" xr:uid="{14D7AC00-43F2-435B-8A56-FD628B1BD620}"/>
    <cellStyle name="Normal 2 2 3 2 3 4 2" xfId="5233" xr:uid="{DF20CD56-7F3D-4A9F-A5FC-92A71FEF310E}"/>
    <cellStyle name="Normal 2 2 3 2 3 4 2 2" xfId="13613" xr:uid="{C13156B5-6E23-4BE4-9033-FE0E4C911E43}"/>
    <cellStyle name="Normal 2 2 3 2 3 4 2 2 2" xfId="30373" xr:uid="{92FC63D3-01B9-4DA9-BB72-639EFA5F287C}"/>
    <cellStyle name="Normal 2 2 3 2 3 4 2 2 3" xfId="47132" xr:uid="{FB7D066F-779D-417D-BF7C-113EEA1C4B06}"/>
    <cellStyle name="Normal 2 2 3 2 3 4 2 3" xfId="21993" xr:uid="{8CD47CD4-052A-4126-84B2-43C1D0DB0B7B}"/>
    <cellStyle name="Normal 2 2 3 2 3 4 2 4" xfId="38752" xr:uid="{BB39C875-4419-41C6-AFD0-3AEE6A6F1779}"/>
    <cellStyle name="Normal 2 2 3 2 3 4 3" xfId="6920" xr:uid="{0B95C4F1-4608-4B2B-B004-BC85C33F0E1C}"/>
    <cellStyle name="Normal 2 2 3 2 3 4 3 2" xfId="15300" xr:uid="{A04E9A44-FD2E-428D-9635-440D1AF8E062}"/>
    <cellStyle name="Normal 2 2 3 2 3 4 3 2 2" xfId="32060" xr:uid="{9B66E7CE-2E06-429C-B437-0E9DF58245B1}"/>
    <cellStyle name="Normal 2 2 3 2 3 4 3 2 3" xfId="48819" xr:uid="{B9126712-7123-4332-9588-40CEEA13D84E}"/>
    <cellStyle name="Normal 2 2 3 2 3 4 3 3" xfId="23680" xr:uid="{9B91A43F-A1CA-459F-8991-9D8EAF658B95}"/>
    <cellStyle name="Normal 2 2 3 2 3 4 3 4" xfId="40439" xr:uid="{DDDC008F-D67C-48E2-B8ED-9A73E2FCB3D0}"/>
    <cellStyle name="Normal 2 2 3 2 3 4 4" xfId="3544" xr:uid="{84305DD9-069E-4608-9FA1-59BB6F705299}"/>
    <cellStyle name="Normal 2 2 3 2 3 4 4 2" xfId="11924" xr:uid="{BEACE91A-622D-4A17-A14E-BF24FFADB53B}"/>
    <cellStyle name="Normal 2 2 3 2 3 4 4 2 2" xfId="28684" xr:uid="{83379881-7892-4A7B-8738-239F139F388B}"/>
    <cellStyle name="Normal 2 2 3 2 3 4 4 2 3" xfId="45443" xr:uid="{10F6CA6C-43F5-45CC-A22A-DAABA40046D5}"/>
    <cellStyle name="Normal 2 2 3 2 3 4 4 3" xfId="20304" xr:uid="{1947EE87-0976-48A9-A1FB-B78D58CBA1EC}"/>
    <cellStyle name="Normal 2 2 3 2 3 4 4 4" xfId="37063" xr:uid="{43141601-D8CD-4516-844F-E9355D423717}"/>
    <cellStyle name="Normal 2 2 3 2 3 4 5" xfId="10233" xr:uid="{C0E7FF21-9A08-478E-A65D-F82985A8B2BD}"/>
    <cellStyle name="Normal 2 2 3 2 3 4 5 2" xfId="26993" xr:uid="{E33365B9-2FBC-446D-B5BB-B3F16F64CB22}"/>
    <cellStyle name="Normal 2 2 3 2 3 4 5 3" xfId="43752" xr:uid="{7527B155-08E3-428B-9308-907772EA80D2}"/>
    <cellStyle name="Normal 2 2 3 2 3 4 6" xfId="18613" xr:uid="{4D4C350C-51D6-4C7D-8CF8-49011F29CFD3}"/>
    <cellStyle name="Normal 2 2 3 2 3 4 7" xfId="35372" xr:uid="{E2C3CBD2-B248-4037-BE1A-88532F9B88A0}"/>
    <cellStyle name="Normal 2 2 3 2 3 5" xfId="3963" xr:uid="{752A4A2D-9291-4F83-8ACE-EE7BF147950F}"/>
    <cellStyle name="Normal 2 2 3 2 3 5 2" xfId="12343" xr:uid="{92B6D916-EA34-4D4F-A17C-92F6371E01E5}"/>
    <cellStyle name="Normal 2 2 3 2 3 5 2 2" xfId="29103" xr:uid="{C0E6462C-B53E-44CE-845C-B31592CEAA11}"/>
    <cellStyle name="Normal 2 2 3 2 3 5 2 3" xfId="45862" xr:uid="{1EE7D239-8761-4AB5-A551-6DC53E52511F}"/>
    <cellStyle name="Normal 2 2 3 2 3 5 3" xfId="20723" xr:uid="{CD635C51-A980-4906-8D05-875C4DDCFDA8}"/>
    <cellStyle name="Normal 2 2 3 2 3 5 4" xfId="37482" xr:uid="{6FBC7DDC-E68C-4F57-B06B-764EBE669C27}"/>
    <cellStyle name="Normal 2 2 3 2 3 6" xfId="5737" xr:uid="{87C7128D-D471-43A2-A93E-D89E468073F4}"/>
    <cellStyle name="Normal 2 2 3 2 3 6 2" xfId="14117" xr:uid="{912A4891-DEA8-4BA4-A2F4-32C79746D2A6}"/>
    <cellStyle name="Normal 2 2 3 2 3 6 2 2" xfId="30877" xr:uid="{DA91E444-63E2-4346-90B4-194CF1BF38D6}"/>
    <cellStyle name="Normal 2 2 3 2 3 6 2 3" xfId="47636" xr:uid="{A95B5A4B-5BD4-4436-A9C9-BA666D90F0C6}"/>
    <cellStyle name="Normal 2 2 3 2 3 6 3" xfId="22497" xr:uid="{8D467091-704C-441B-9782-6B1009204451}"/>
    <cellStyle name="Normal 2 2 3 2 3 6 4" xfId="39256" xr:uid="{9534DF01-6374-472A-8112-7AFA52857680}"/>
    <cellStyle name="Normal 2 2 3 2 3 7" xfId="7326" xr:uid="{DBC71B0A-49E0-4477-92CE-3889EB8167BC}"/>
    <cellStyle name="Normal 2 2 3 2 3 7 2" xfId="15706" xr:uid="{59A57F11-1D93-44A8-873B-A42330F313B9}"/>
    <cellStyle name="Normal 2 2 3 2 3 7 2 2" xfId="32466" xr:uid="{FEF1556D-7D73-4BFF-86A0-C5F85A4DE4CC}"/>
    <cellStyle name="Normal 2 2 3 2 3 7 2 3" xfId="49225" xr:uid="{66F32474-5BD5-48F6-A93F-A85789A0CC4D}"/>
    <cellStyle name="Normal 2 2 3 2 3 7 3" xfId="24086" xr:uid="{D18D0519-2AE7-4ACF-AE97-E460545CF229}"/>
    <cellStyle name="Normal 2 2 3 2 3 7 4" xfId="40845" xr:uid="{49A715C1-F92A-417A-A809-58425B6F9BB2}"/>
    <cellStyle name="Normal 2 2 3 2 3 8" xfId="7732" xr:uid="{C71C0899-A9A5-4BF5-AA8B-959893D99216}"/>
    <cellStyle name="Normal 2 2 3 2 3 8 2" xfId="16112" xr:uid="{3A73649D-0C57-47C7-9D9D-89E4453B2ED7}"/>
    <cellStyle name="Normal 2 2 3 2 3 8 2 2" xfId="32872" xr:uid="{248A851C-3CDC-43A4-A2D3-6E9342C1DAB7}"/>
    <cellStyle name="Normal 2 2 3 2 3 8 2 3" xfId="49631" xr:uid="{865AD49A-A13F-4CD4-A02A-181D41BC2139}"/>
    <cellStyle name="Normal 2 2 3 2 3 8 3" xfId="24492" xr:uid="{34EDF20F-0869-40EA-A87F-ED3DA7E37C2D}"/>
    <cellStyle name="Normal 2 2 3 2 3 8 4" xfId="41251" xr:uid="{5F240857-4862-4274-9D38-E0FF6E7B7561}"/>
    <cellStyle name="Normal 2 2 3 2 3 9" xfId="8138" xr:uid="{B9477E03-53A5-4D96-9DD9-D8030897EDFE}"/>
    <cellStyle name="Normal 2 2 3 2 3 9 2" xfId="16518" xr:uid="{A4A7837B-17DD-4A2F-8E7A-DE912646B2A1}"/>
    <cellStyle name="Normal 2 2 3 2 3 9 2 2" xfId="33278" xr:uid="{27B18931-BBEE-47B5-A33D-1AD734BA9CE3}"/>
    <cellStyle name="Normal 2 2 3 2 3 9 2 3" xfId="50037" xr:uid="{7B1279AE-4FE9-4349-B1A3-4C1AED1272D0}"/>
    <cellStyle name="Normal 2 2 3 2 3 9 3" xfId="24898" xr:uid="{8BC19D26-A60D-400C-9907-424CF7DA58F7}"/>
    <cellStyle name="Normal 2 2 3 2 3 9 4" xfId="41657" xr:uid="{4902AD70-FC0C-47BD-B01C-302B688A738B}"/>
    <cellStyle name="Normal 2 2 3 2 4" xfId="640" xr:uid="{CDCBF3B4-4F8F-42E0-935B-9CA36DB619EC}"/>
    <cellStyle name="Normal 2 2 3 2 4 10" xfId="8662" xr:uid="{B48FEC90-4158-4CFF-9E3C-0C14F1ECA947}"/>
    <cellStyle name="Normal 2 2 3 2 4 10 2" xfId="17042" xr:uid="{D7FF082B-3876-4E73-A2AC-0C3A37A53F0D}"/>
    <cellStyle name="Normal 2 2 3 2 4 10 2 2" xfId="33802" xr:uid="{CF120EE1-1B0A-411E-BC7E-0A5042A57BFA}"/>
    <cellStyle name="Normal 2 2 3 2 4 10 2 3" xfId="50561" xr:uid="{C7897753-EB38-4E8E-9924-EF4F2A6D62DC}"/>
    <cellStyle name="Normal 2 2 3 2 4 10 3" xfId="25422" xr:uid="{2321FB00-D8AF-4312-84C2-55560DA59515}"/>
    <cellStyle name="Normal 2 2 3 2 4 10 4" xfId="42181" xr:uid="{4EE33072-CFEC-477B-8ADD-EB0EF031718D}"/>
    <cellStyle name="Normal 2 2 3 2 4 11" xfId="2472" xr:uid="{E4A308C9-6CDF-4F96-B0FC-1A64B6BAC4CA}"/>
    <cellStyle name="Normal 2 2 3 2 4 11 2" xfId="10854" xr:uid="{204D86FB-FB44-421A-BDCA-717164617F6F}"/>
    <cellStyle name="Normal 2 2 3 2 4 11 2 2" xfId="27614" xr:uid="{62C0CC50-7795-4913-91F9-E9A66B4741B9}"/>
    <cellStyle name="Normal 2 2 3 2 4 11 2 3" xfId="44373" xr:uid="{375FF73A-A199-4CC9-A8BB-D6D27DF34273}"/>
    <cellStyle name="Normal 2 2 3 2 4 11 3" xfId="19234" xr:uid="{0366109C-4339-4CC9-8675-BA241CE8E26F}"/>
    <cellStyle name="Normal 2 2 3 2 4 11 4" xfId="35993" xr:uid="{839ABF34-A794-4C22-BE16-3F05153BB74D}"/>
    <cellStyle name="Normal 2 2 3 2 4 12" xfId="9051" xr:uid="{6CB09F6F-EB95-4794-BC8C-4567DA00C006}"/>
    <cellStyle name="Normal 2 2 3 2 4 12 2" xfId="25811" xr:uid="{97409086-E40A-401C-B1D5-9FD14D843C1C}"/>
    <cellStyle name="Normal 2 2 3 2 4 12 3" xfId="42570" xr:uid="{21802B61-B00A-400F-9FF0-4796C25A7303}"/>
    <cellStyle name="Normal 2 2 3 2 4 13" xfId="17431" xr:uid="{33AB8FB3-1496-4D5A-84E5-7433E4A26A84}"/>
    <cellStyle name="Normal 2 2 3 2 4 14" xfId="34190" xr:uid="{9002EEF8-64A0-4C8A-A6AC-A4BA54C4F7A2}"/>
    <cellStyle name="Normal 2 2 3 2 4 2" xfId="1082" xr:uid="{55962B83-8874-4267-939D-7BBE430527FD}"/>
    <cellStyle name="Normal 2 2 3 2 4 2 2" xfId="4477" xr:uid="{FB264955-3606-4F24-9119-55C19F21D81A}"/>
    <cellStyle name="Normal 2 2 3 2 4 2 2 2" xfId="12857" xr:uid="{AD66AEBC-4A25-4BFC-BA93-BA4CDB149962}"/>
    <cellStyle name="Normal 2 2 3 2 4 2 2 2 2" xfId="29617" xr:uid="{8436DCA1-FCCF-43D8-9467-0A91E811CDA3}"/>
    <cellStyle name="Normal 2 2 3 2 4 2 2 2 3" xfId="46376" xr:uid="{23C006D2-262B-4217-832B-7C8BF6CF003B}"/>
    <cellStyle name="Normal 2 2 3 2 4 2 2 3" xfId="21237" xr:uid="{982E06A2-6CFE-4720-8916-71B296B8D238}"/>
    <cellStyle name="Normal 2 2 3 2 4 2 2 4" xfId="37996" xr:uid="{24D7C734-AC30-4234-A9F5-2F3297B10D5F}"/>
    <cellStyle name="Normal 2 2 3 2 4 2 3" xfId="6164" xr:uid="{E69992B0-4CAF-433C-A0F8-CDB79502C019}"/>
    <cellStyle name="Normal 2 2 3 2 4 2 3 2" xfId="14544" xr:uid="{A9C82B86-1138-470C-B5AC-FDC632B95511}"/>
    <cellStyle name="Normal 2 2 3 2 4 2 3 2 2" xfId="31304" xr:uid="{1C927433-3848-4675-8374-12542A248AE6}"/>
    <cellStyle name="Normal 2 2 3 2 4 2 3 2 3" xfId="48063" xr:uid="{62CA11E0-1528-4E4F-9B5B-83653CDC4094}"/>
    <cellStyle name="Normal 2 2 3 2 4 2 3 3" xfId="22924" xr:uid="{041A3CE4-A633-4260-9D50-AD899C61A5EC}"/>
    <cellStyle name="Normal 2 2 3 2 4 2 3 4" xfId="39683" xr:uid="{009984C9-1B21-49FC-BA6C-434FA76E7D92}"/>
    <cellStyle name="Normal 2 2 3 2 4 2 4" xfId="2900" xr:uid="{5F16BD3E-5E34-41BD-9749-35332C3E7DFB}"/>
    <cellStyle name="Normal 2 2 3 2 4 2 4 2" xfId="11280" xr:uid="{474E3883-F943-4AD5-BA87-70809061878E}"/>
    <cellStyle name="Normal 2 2 3 2 4 2 4 2 2" xfId="28040" xr:uid="{342086CC-0753-441C-81DB-AF9262D05F7E}"/>
    <cellStyle name="Normal 2 2 3 2 4 2 4 2 3" xfId="44799" xr:uid="{647A7FD8-43CB-447D-BE33-AA80DF8E6EC7}"/>
    <cellStyle name="Normal 2 2 3 2 4 2 4 3" xfId="19660" xr:uid="{3F3ADB89-C7E0-47AD-8655-7F9351E6B591}"/>
    <cellStyle name="Normal 2 2 3 2 4 2 4 4" xfId="36419" xr:uid="{ED6BB6BA-23E9-4274-B42B-DEC3243CA154}"/>
    <cellStyle name="Normal 2 2 3 2 4 2 5" xfId="9477" xr:uid="{A6256FC7-8C3C-47C5-ADC4-080580BEBCE3}"/>
    <cellStyle name="Normal 2 2 3 2 4 2 5 2" xfId="26237" xr:uid="{6F399E3D-E478-43E1-A03F-BA86021D3B56}"/>
    <cellStyle name="Normal 2 2 3 2 4 2 5 3" xfId="42996" xr:uid="{76FEA4CF-2A10-4191-A16B-C187CA04FCA0}"/>
    <cellStyle name="Normal 2 2 3 2 4 2 6" xfId="17857" xr:uid="{A21F07E7-D973-4438-A46C-A36C2E6006FF}"/>
    <cellStyle name="Normal 2 2 3 2 4 2 7" xfId="34616" xr:uid="{43880981-7830-45DE-8721-41546FC388D7}"/>
    <cellStyle name="Normal 2 2 3 2 4 3" xfId="1516" xr:uid="{7E749C37-6542-4A18-AC2D-1AFBCF4A93A7}"/>
    <cellStyle name="Normal 2 2 3 2 4 3 2" xfId="4905" xr:uid="{05B804AA-8861-4672-9FFD-91144CC6E907}"/>
    <cellStyle name="Normal 2 2 3 2 4 3 2 2" xfId="13285" xr:uid="{9A0F2BAB-6FD7-4190-98CB-19A4D581E1F2}"/>
    <cellStyle name="Normal 2 2 3 2 4 3 2 2 2" xfId="30045" xr:uid="{FDC010B8-B6FF-461D-B94C-9F1C1B583634}"/>
    <cellStyle name="Normal 2 2 3 2 4 3 2 2 3" xfId="46804" xr:uid="{65FC4B4E-B79A-469F-AF8B-1257C33687E8}"/>
    <cellStyle name="Normal 2 2 3 2 4 3 2 3" xfId="21665" xr:uid="{F8DC0254-A7E4-4214-9E0F-F49D6D44D5B0}"/>
    <cellStyle name="Normal 2 2 3 2 4 3 2 4" xfId="38424" xr:uid="{2946DCFE-B84A-4F29-8C54-9BEA7600F14A}"/>
    <cellStyle name="Normal 2 2 3 2 4 3 3" xfId="6592" xr:uid="{B4497867-0015-483D-BCBF-9540C2BE3376}"/>
    <cellStyle name="Normal 2 2 3 2 4 3 3 2" xfId="14972" xr:uid="{C1AEDF73-58AD-4C52-B3AA-B3DBE6B54AFE}"/>
    <cellStyle name="Normal 2 2 3 2 4 3 3 2 2" xfId="31732" xr:uid="{79283AF4-4981-48BC-BF5E-CCFF0CC64E0C}"/>
    <cellStyle name="Normal 2 2 3 2 4 3 3 2 3" xfId="48491" xr:uid="{0EB986FB-B502-4413-BB58-F39B6AD9C297}"/>
    <cellStyle name="Normal 2 2 3 2 4 3 3 3" xfId="23352" xr:uid="{1FFDFA9D-BD24-4E78-AAC9-5461F9CAC899}"/>
    <cellStyle name="Normal 2 2 3 2 4 3 3 4" xfId="40111" xr:uid="{84F9B7EC-1B33-4590-B502-079D10EAD698}"/>
    <cellStyle name="Normal 2 2 3 2 4 3 4" xfId="3328" xr:uid="{E79EB78C-838F-46FC-AD94-FDA3D334F09D}"/>
    <cellStyle name="Normal 2 2 3 2 4 3 4 2" xfId="11708" xr:uid="{B7E73ED6-7AC1-418D-98A2-33344694320C}"/>
    <cellStyle name="Normal 2 2 3 2 4 3 4 2 2" xfId="28468" xr:uid="{1F250D83-23BB-49DB-A293-7C39191DD813}"/>
    <cellStyle name="Normal 2 2 3 2 4 3 4 2 3" xfId="45227" xr:uid="{ED12840E-2191-4673-B68B-5BFBFEDB136D}"/>
    <cellStyle name="Normal 2 2 3 2 4 3 4 3" xfId="20088" xr:uid="{B39AECA7-F3E0-4BC3-B9B5-F1612DCA5927}"/>
    <cellStyle name="Normal 2 2 3 2 4 3 4 4" xfId="36847" xr:uid="{FA556E4D-EF70-4390-AB35-4E86E068B78A}"/>
    <cellStyle name="Normal 2 2 3 2 4 3 5" xfId="9905" xr:uid="{0446B972-D3F3-412F-BFC7-205DDA86909F}"/>
    <cellStyle name="Normal 2 2 3 2 4 3 5 2" xfId="26665" xr:uid="{363F11F0-B73E-4254-8DD9-F0A89F4FCDDB}"/>
    <cellStyle name="Normal 2 2 3 2 4 3 5 3" xfId="43424" xr:uid="{D8F2C94A-CAA7-4EF6-AAD7-36280ABF7792}"/>
    <cellStyle name="Normal 2 2 3 2 4 3 6" xfId="18285" xr:uid="{C0DCCAD8-7DD9-4BB7-A8A0-C832DBA8DF06}"/>
    <cellStyle name="Normal 2 2 3 2 4 3 7" xfId="35044" xr:uid="{7E9F8EE6-E852-484C-B1BC-F603EF7E45CF}"/>
    <cellStyle name="Normal 2 2 3 2 4 4" xfId="1962" xr:uid="{5D1E7576-6BC3-49E2-9952-9EA03E8BCD6B}"/>
    <cellStyle name="Normal 2 2 3 2 4 4 2" xfId="5351" xr:uid="{016788DD-0966-457F-984E-486997DA15B8}"/>
    <cellStyle name="Normal 2 2 3 2 4 4 2 2" xfId="13731" xr:uid="{8EC30AA7-4FB9-44A5-986D-7E9D7D0D4D24}"/>
    <cellStyle name="Normal 2 2 3 2 4 4 2 2 2" xfId="30491" xr:uid="{61482A98-3B8B-4811-977B-0D550DFA6487}"/>
    <cellStyle name="Normal 2 2 3 2 4 4 2 2 3" xfId="47250" xr:uid="{DFD412A5-DC64-4930-9108-4720587098EB}"/>
    <cellStyle name="Normal 2 2 3 2 4 4 2 3" xfId="22111" xr:uid="{28F80C01-BCE6-4150-9FE7-D1B4AAD5FF9B}"/>
    <cellStyle name="Normal 2 2 3 2 4 4 2 4" xfId="38870" xr:uid="{505F4940-0F0C-4915-9DB8-63C2408EDCBD}"/>
    <cellStyle name="Normal 2 2 3 2 4 4 3" xfId="7038" xr:uid="{56515935-EBD2-4823-BDEC-A32A95155EF0}"/>
    <cellStyle name="Normal 2 2 3 2 4 4 3 2" xfId="15418" xr:uid="{EAA6173B-4B04-4CF0-AE97-491CAB1F9025}"/>
    <cellStyle name="Normal 2 2 3 2 4 4 3 2 2" xfId="32178" xr:uid="{1B9AE451-FD71-4089-8EDA-B4E8578CCFE8}"/>
    <cellStyle name="Normal 2 2 3 2 4 4 3 2 3" xfId="48937" xr:uid="{93781148-337B-442B-977E-71C30664DCC5}"/>
    <cellStyle name="Normal 2 2 3 2 4 4 3 3" xfId="23798" xr:uid="{67A9A71B-3BF0-45C8-80C9-E5D4E5E19D2C}"/>
    <cellStyle name="Normal 2 2 3 2 4 4 3 4" xfId="40557" xr:uid="{E0776811-18AA-4A9F-8002-0AFB63CE0EE6}"/>
    <cellStyle name="Normal 2 2 3 2 4 4 4" xfId="3661" xr:uid="{9527967B-CF0F-4268-AC35-852EF7166120}"/>
    <cellStyle name="Normal 2 2 3 2 4 4 4 2" xfId="12041" xr:uid="{AB3F4D8F-87AB-4A4A-9CD2-C8871352CE51}"/>
    <cellStyle name="Normal 2 2 3 2 4 4 4 2 2" xfId="28801" xr:uid="{242DC53E-8F9B-47A3-8F97-784A36AAEDB1}"/>
    <cellStyle name="Normal 2 2 3 2 4 4 4 2 3" xfId="45560" xr:uid="{B692DC66-44DB-45A1-9245-DAED75CEF1B2}"/>
    <cellStyle name="Normal 2 2 3 2 4 4 4 3" xfId="20421" xr:uid="{855036CA-77D3-4EA3-8BE0-C60AD114C26B}"/>
    <cellStyle name="Normal 2 2 3 2 4 4 4 4" xfId="37180" xr:uid="{5E508356-2DCA-48E2-B873-D6826C754900}"/>
    <cellStyle name="Normal 2 2 3 2 4 4 5" xfId="10351" xr:uid="{E84B18F1-EE11-45DC-A86E-69F28AE5F81A}"/>
    <cellStyle name="Normal 2 2 3 2 4 4 5 2" xfId="27111" xr:uid="{DC10B2D7-DBFC-4CB0-9CA3-CAE738C0D695}"/>
    <cellStyle name="Normal 2 2 3 2 4 4 5 3" xfId="43870" xr:uid="{A95E4DB8-77B2-4769-B6BA-0010EAB52779}"/>
    <cellStyle name="Normal 2 2 3 2 4 4 6" xfId="18731" xr:uid="{2090E24C-0B1B-43FE-A9EA-A8450159382F}"/>
    <cellStyle name="Normal 2 2 3 2 4 4 7" xfId="35490" xr:uid="{B1060B96-5EF9-4FE7-8ECF-C858CAAF3DEB}"/>
    <cellStyle name="Normal 2 2 3 2 4 5" xfId="4081" xr:uid="{79FEAA82-8CEE-415C-AB72-39D3A405869F}"/>
    <cellStyle name="Normal 2 2 3 2 4 5 2" xfId="12461" xr:uid="{05387AE7-B6BE-44BF-86C7-DA1F28D3F450}"/>
    <cellStyle name="Normal 2 2 3 2 4 5 2 2" xfId="29221" xr:uid="{BD4F2874-BFC6-4018-A95D-4C4973ABCA8C}"/>
    <cellStyle name="Normal 2 2 3 2 4 5 2 3" xfId="45980" xr:uid="{5B9262E6-3A94-44C9-800E-D3D3F710B0CC}"/>
    <cellStyle name="Normal 2 2 3 2 4 5 3" xfId="20841" xr:uid="{520E5C0A-892E-4E14-BE3E-FD89104F61BD}"/>
    <cellStyle name="Normal 2 2 3 2 4 5 4" xfId="37600" xr:uid="{50427E55-FEA9-41B9-96AA-B7015CE90DF2}"/>
    <cellStyle name="Normal 2 2 3 2 4 6" xfId="5738" xr:uid="{D2AE1BFD-F4C3-4B81-B0E6-DB6CCFFA6A4D}"/>
    <cellStyle name="Normal 2 2 3 2 4 6 2" xfId="14118" xr:uid="{E402E1E0-8BB9-4036-9499-E1048BCCC3BB}"/>
    <cellStyle name="Normal 2 2 3 2 4 6 2 2" xfId="30878" xr:uid="{EEB9F1D2-DB00-482C-AC76-F2B72E6A1F1E}"/>
    <cellStyle name="Normal 2 2 3 2 4 6 2 3" xfId="47637" xr:uid="{A7337BEE-00DE-4385-B96F-5FC74ABD8444}"/>
    <cellStyle name="Normal 2 2 3 2 4 6 3" xfId="22498" xr:uid="{26940278-DE6D-4791-8545-CD8337642433}"/>
    <cellStyle name="Normal 2 2 3 2 4 6 4" xfId="39257" xr:uid="{B74DF465-11CE-4493-8CBE-AD9A965EF863}"/>
    <cellStyle name="Normal 2 2 3 2 4 7" xfId="7444" xr:uid="{1B22A410-B3BE-47CC-8BA5-8795C125A642}"/>
    <cellStyle name="Normal 2 2 3 2 4 7 2" xfId="15824" xr:uid="{50761DBD-60A3-4067-8D13-E212554F61D3}"/>
    <cellStyle name="Normal 2 2 3 2 4 7 2 2" xfId="32584" xr:uid="{145BC4A4-D1E3-4DDD-88C4-73B2DF911D5A}"/>
    <cellStyle name="Normal 2 2 3 2 4 7 2 3" xfId="49343" xr:uid="{045F4D9F-9EF9-48C5-83D6-CC38FA35BB4A}"/>
    <cellStyle name="Normal 2 2 3 2 4 7 3" xfId="24204" xr:uid="{3DC012BE-E988-4585-88B8-ADF37B5F07D1}"/>
    <cellStyle name="Normal 2 2 3 2 4 7 4" xfId="40963" xr:uid="{7158E23F-4E10-446A-8D26-4E0758258041}"/>
    <cellStyle name="Normal 2 2 3 2 4 8" xfId="7850" xr:uid="{65CCDEF5-588B-4CD1-BADE-2DBC331C1332}"/>
    <cellStyle name="Normal 2 2 3 2 4 8 2" xfId="16230" xr:uid="{E5929BA6-6EA1-4E55-BB5A-31B3666AD811}"/>
    <cellStyle name="Normal 2 2 3 2 4 8 2 2" xfId="32990" xr:uid="{49371A46-6155-4A1B-8473-E6A54EB8900D}"/>
    <cellStyle name="Normal 2 2 3 2 4 8 2 3" xfId="49749" xr:uid="{6D1D26A1-E044-4046-8F26-BE0C7F0F5799}"/>
    <cellStyle name="Normal 2 2 3 2 4 8 3" xfId="24610" xr:uid="{E7C33F2B-DCFD-49A1-84F1-3F83F2863136}"/>
    <cellStyle name="Normal 2 2 3 2 4 8 4" xfId="41369" xr:uid="{CC7D2B0C-C885-4ED2-8A74-55A3F03A8507}"/>
    <cellStyle name="Normal 2 2 3 2 4 9" xfId="8256" xr:uid="{34DC2CBA-E4FD-4357-824E-D5F753FA0AF6}"/>
    <cellStyle name="Normal 2 2 3 2 4 9 2" xfId="16636" xr:uid="{1CF5E377-5CDE-43D7-A44A-32CEC0478ECC}"/>
    <cellStyle name="Normal 2 2 3 2 4 9 2 2" xfId="33396" xr:uid="{3ABD7A52-FD77-4F8A-9D67-39B088070F1C}"/>
    <cellStyle name="Normal 2 2 3 2 4 9 2 3" xfId="50155" xr:uid="{EEE479A2-EF1F-4A46-BBEA-A916F89E82EC}"/>
    <cellStyle name="Normal 2 2 3 2 4 9 3" xfId="25016" xr:uid="{98E6C718-36F4-450F-BDBA-A80A1197600C}"/>
    <cellStyle name="Normal 2 2 3 2 4 9 4" xfId="41775" xr:uid="{59A5F348-AD45-4EA3-B440-E9F4CE56D1E1}"/>
    <cellStyle name="Normal 2 2 3 2 5" xfId="799" xr:uid="{6A7CDDED-02CD-4645-89D1-A9DD7C4175C3}"/>
    <cellStyle name="Normal 2 2 3 2 5 2" xfId="4194" xr:uid="{C672660E-F509-4D5D-A132-111149DE7654}"/>
    <cellStyle name="Normal 2 2 3 2 5 2 2" xfId="12574" xr:uid="{CE9AB7C8-8924-4A26-ACF0-6D0EB517643A}"/>
    <cellStyle name="Normal 2 2 3 2 5 2 2 2" xfId="29334" xr:uid="{644D8B67-1F50-433C-9C59-647CA1319DAC}"/>
    <cellStyle name="Normal 2 2 3 2 5 2 2 3" xfId="46093" xr:uid="{2E959CE4-540D-4C00-9630-3FB2F873642F}"/>
    <cellStyle name="Normal 2 2 3 2 5 2 3" xfId="20954" xr:uid="{2C9F69F4-2EF4-47F5-9A73-5C50359AB1E4}"/>
    <cellStyle name="Normal 2 2 3 2 5 2 4" xfId="37713" xr:uid="{4161D908-27EC-4FFB-AEFB-9C39372465E8}"/>
    <cellStyle name="Normal 2 2 3 2 5 3" xfId="5881" xr:uid="{E40006E9-59FF-4D54-8366-67DF492381D0}"/>
    <cellStyle name="Normal 2 2 3 2 5 3 2" xfId="14261" xr:uid="{531A895D-DB5A-4455-B371-6843ED0CE583}"/>
    <cellStyle name="Normal 2 2 3 2 5 3 2 2" xfId="31021" xr:uid="{15B30D5E-D8B2-4210-B909-1334D0F96692}"/>
    <cellStyle name="Normal 2 2 3 2 5 3 2 3" xfId="47780" xr:uid="{9F96FCA2-2FB1-4DF5-8BD8-602018B525D6}"/>
    <cellStyle name="Normal 2 2 3 2 5 3 3" xfId="22641" xr:uid="{6E2B43C4-C5B1-4890-8DB2-650F5884000C}"/>
    <cellStyle name="Normal 2 2 3 2 5 3 4" xfId="39400" xr:uid="{3617E1AF-122A-429F-9F0B-9419DFEB5D80}"/>
    <cellStyle name="Normal 2 2 3 2 5 4" xfId="2617" xr:uid="{803E9DF1-5C04-4A61-927C-2A2BBA1C1F00}"/>
    <cellStyle name="Normal 2 2 3 2 5 4 2" xfId="10997" xr:uid="{AA02FFA6-5B47-45AC-A6F5-AA1E389098EB}"/>
    <cellStyle name="Normal 2 2 3 2 5 4 2 2" xfId="27757" xr:uid="{C001CC11-683C-44E9-A602-7A13B6FD88BE}"/>
    <cellStyle name="Normal 2 2 3 2 5 4 2 3" xfId="44516" xr:uid="{5811F54D-29C7-451B-BBBE-B9987ABB2D3A}"/>
    <cellStyle name="Normal 2 2 3 2 5 4 3" xfId="19377" xr:uid="{01027EEA-998B-495B-94D9-01021CCA5A64}"/>
    <cellStyle name="Normal 2 2 3 2 5 4 4" xfId="36136" xr:uid="{820BDD6E-3978-412B-A507-96AAEB57B24E}"/>
    <cellStyle name="Normal 2 2 3 2 5 5" xfId="9194" xr:uid="{E1A3C92C-8384-41BF-8EC8-8807D986E875}"/>
    <cellStyle name="Normal 2 2 3 2 5 5 2" xfId="25954" xr:uid="{5026A387-C3FA-473B-8A52-4ABCAF67668F}"/>
    <cellStyle name="Normal 2 2 3 2 5 5 3" xfId="42713" xr:uid="{FA87C312-76D2-42FA-A949-DE054EC5896E}"/>
    <cellStyle name="Normal 2 2 3 2 5 6" xfId="17574" xr:uid="{70028642-2EE4-4333-84F8-79084DAC182D}"/>
    <cellStyle name="Normal 2 2 3 2 5 7" xfId="34333" xr:uid="{3DF0296A-BFA6-4066-A85F-DA259B7EB232}"/>
    <cellStyle name="Normal 2 2 3 2 6" xfId="1233" xr:uid="{8B2B14BE-D1E8-456E-BF30-96C6A1E5E077}"/>
    <cellStyle name="Normal 2 2 3 2 6 2" xfId="4622" xr:uid="{A4E156CB-88E1-4146-8E9E-9F64ED5A6F54}"/>
    <cellStyle name="Normal 2 2 3 2 6 2 2" xfId="13002" xr:uid="{07BDEB98-194D-4A57-99F8-B780F4E13FA5}"/>
    <cellStyle name="Normal 2 2 3 2 6 2 2 2" xfId="29762" xr:uid="{5881D4ED-B86B-45B4-BA4D-F49C325F00EA}"/>
    <cellStyle name="Normal 2 2 3 2 6 2 2 3" xfId="46521" xr:uid="{99A6E079-EE17-457E-8F32-15873E425876}"/>
    <cellStyle name="Normal 2 2 3 2 6 2 3" xfId="21382" xr:uid="{67C59F6A-EEC0-4C91-A721-68057C1B3C80}"/>
    <cellStyle name="Normal 2 2 3 2 6 2 4" xfId="38141" xr:uid="{ECD3A9B2-F64F-4C44-B341-29746ECF8A0A}"/>
    <cellStyle name="Normal 2 2 3 2 6 3" xfId="6309" xr:uid="{443625F9-9CC5-47B2-B40A-60C66ABFD9A8}"/>
    <cellStyle name="Normal 2 2 3 2 6 3 2" xfId="14689" xr:uid="{8A55225B-FED3-429B-9280-B4090D4E003F}"/>
    <cellStyle name="Normal 2 2 3 2 6 3 2 2" xfId="31449" xr:uid="{53CA8290-5A00-491C-B191-8C7A016D95E6}"/>
    <cellStyle name="Normal 2 2 3 2 6 3 2 3" xfId="48208" xr:uid="{0E047E91-0007-4AEB-A774-1F4A1A401DEC}"/>
    <cellStyle name="Normal 2 2 3 2 6 3 3" xfId="23069" xr:uid="{94DD4B78-2605-4C0F-A147-B3AA01BB40CE}"/>
    <cellStyle name="Normal 2 2 3 2 6 3 4" xfId="39828" xr:uid="{13A48DD9-D221-4EB4-B132-A302C45427CD}"/>
    <cellStyle name="Normal 2 2 3 2 6 4" xfId="3045" xr:uid="{60B11D71-BEC1-466B-B0C0-AE7F2A5376B6}"/>
    <cellStyle name="Normal 2 2 3 2 6 4 2" xfId="11425" xr:uid="{A3B88BB9-4BE2-4ADC-95FB-5079A3650837}"/>
    <cellStyle name="Normal 2 2 3 2 6 4 2 2" xfId="28185" xr:uid="{4DAB1917-E157-4207-A006-19B3C940A319}"/>
    <cellStyle name="Normal 2 2 3 2 6 4 2 3" xfId="44944" xr:uid="{1F00CD9E-F783-4845-99B5-50AF5D8DD446}"/>
    <cellStyle name="Normal 2 2 3 2 6 4 3" xfId="19805" xr:uid="{6A45EBE0-6A71-44B2-A900-135D8E14B54B}"/>
    <cellStyle name="Normal 2 2 3 2 6 4 4" xfId="36564" xr:uid="{9B4797A5-FD51-41AD-8FFA-EA2DF895BB31}"/>
    <cellStyle name="Normal 2 2 3 2 6 5" xfId="9622" xr:uid="{B21CC450-6B4C-487F-B62D-3DCBE726C094}"/>
    <cellStyle name="Normal 2 2 3 2 6 5 2" xfId="26382" xr:uid="{E4B33E4B-143A-4990-BFF5-2D57A0E0CC6A}"/>
    <cellStyle name="Normal 2 2 3 2 6 5 3" xfId="43141" xr:uid="{5D87A7AD-3D0B-4EE0-BDC0-CAD068DFACB9}"/>
    <cellStyle name="Normal 2 2 3 2 6 6" xfId="18002" xr:uid="{0C4044A5-9BD2-4312-8188-414DAB1214D2}"/>
    <cellStyle name="Normal 2 2 3 2 6 7" xfId="34761" xr:uid="{0A87399E-225F-43A0-8626-5339B90888FA}"/>
    <cellStyle name="Normal 2 2 3 2 7" xfId="1691" xr:uid="{0CC623BE-3AEE-4D7D-943B-51DF5A7D6D56}"/>
    <cellStyle name="Normal 2 2 3 2 7 2" xfId="5080" xr:uid="{71282804-EE4F-4F2D-937D-7D31271F2875}"/>
    <cellStyle name="Normal 2 2 3 2 7 2 2" xfId="13460" xr:uid="{EEE548A2-7490-4C2A-A1C2-DA077D6BA706}"/>
    <cellStyle name="Normal 2 2 3 2 7 2 2 2" xfId="30220" xr:uid="{B7E9BD8B-CD44-4AC7-A3BD-765EF7E61437}"/>
    <cellStyle name="Normal 2 2 3 2 7 2 2 3" xfId="46979" xr:uid="{DB894FA1-AD90-42A9-9433-EDF2E8BFFB9A}"/>
    <cellStyle name="Normal 2 2 3 2 7 2 3" xfId="21840" xr:uid="{D56DBB5F-0ED7-4D3A-B312-FF90775A773F}"/>
    <cellStyle name="Normal 2 2 3 2 7 2 4" xfId="38599" xr:uid="{090D9B1D-7616-4FF2-817E-CF7996627405}"/>
    <cellStyle name="Normal 2 2 3 2 7 3" xfId="6767" xr:uid="{3EB71FF7-7AE8-4C77-B79D-5A690D8CE9DE}"/>
    <cellStyle name="Normal 2 2 3 2 7 3 2" xfId="15147" xr:uid="{9BB46ACC-2C35-4064-A074-BC307E0222B0}"/>
    <cellStyle name="Normal 2 2 3 2 7 3 2 2" xfId="31907" xr:uid="{B3A785AA-DC58-478C-B26B-67843C3D3C33}"/>
    <cellStyle name="Normal 2 2 3 2 7 3 2 3" xfId="48666" xr:uid="{324A7765-36C5-43E4-9694-924F2FC8250E}"/>
    <cellStyle name="Normal 2 2 3 2 7 3 3" xfId="23527" xr:uid="{AE911FD0-F897-4ABC-B487-08F75F9CCDB5}"/>
    <cellStyle name="Normal 2 2 3 2 7 3 4" xfId="40286" xr:uid="{CD5D3091-F1A3-4066-80B5-D64F99711FFC}"/>
    <cellStyle name="Normal 2 2 3 2 7 4" xfId="2184" xr:uid="{6E788928-993C-43EC-B6A3-CED3D73CC33D}"/>
    <cellStyle name="Normal 2 2 3 2 7 4 2" xfId="10571" xr:uid="{E1D8A3C6-5A3E-4714-875C-580C33D9720F}"/>
    <cellStyle name="Normal 2 2 3 2 7 4 2 2" xfId="27331" xr:uid="{92428969-F6FC-48F4-BE2F-0D8B9B76A2DB}"/>
    <cellStyle name="Normal 2 2 3 2 7 4 2 3" xfId="44090" xr:uid="{5173CC8B-99FD-46A0-BC7E-AEAF1F87AAFF}"/>
    <cellStyle name="Normal 2 2 3 2 7 4 3" xfId="18951" xr:uid="{1F573C2B-FF10-4F9B-8C31-C967F318A9A2}"/>
    <cellStyle name="Normal 2 2 3 2 7 4 4" xfId="35710" xr:uid="{2A8AA230-2EC3-46F9-A09B-B985CB001F64}"/>
    <cellStyle name="Normal 2 2 3 2 7 5" xfId="10080" xr:uid="{371AFF53-3608-488F-8C1D-43F05886E7B6}"/>
    <cellStyle name="Normal 2 2 3 2 7 5 2" xfId="26840" xr:uid="{BFC50048-8BA8-491E-B90A-E777D2FEC375}"/>
    <cellStyle name="Normal 2 2 3 2 7 5 3" xfId="43599" xr:uid="{EBC48D5B-E02F-491C-BEB0-9E280DB15AB6}"/>
    <cellStyle name="Normal 2 2 3 2 7 6" xfId="18460" xr:uid="{0A32B985-3278-4E6D-A237-35168838FFC5}"/>
    <cellStyle name="Normal 2 2 3 2 7 7" xfId="35219" xr:uid="{444FD7F5-111F-4B0C-90FC-53020D8DBFEC}"/>
    <cellStyle name="Normal 2 2 3 2 8" xfId="3809" xr:uid="{F6F28AE6-C553-4788-8F05-9C0A8E9C1AE8}"/>
    <cellStyle name="Normal 2 2 3 2 8 2" xfId="12189" xr:uid="{78F3DCFD-9330-4DFD-B5CB-51CF6844D6CC}"/>
    <cellStyle name="Normal 2 2 3 2 8 2 2" xfId="28949" xr:uid="{7AC61B53-4151-490B-A97F-0D4B3B6643FA}"/>
    <cellStyle name="Normal 2 2 3 2 8 2 3" xfId="45708" xr:uid="{05D7F4E7-C1FF-45AA-AB8A-D953BEABD018}"/>
    <cellStyle name="Normal 2 2 3 2 8 3" xfId="20569" xr:uid="{789AA05D-A1AB-4A16-91C9-C0B900B29927}"/>
    <cellStyle name="Normal 2 2 3 2 8 4" xfId="37328" xr:uid="{C42B05B0-CC78-467E-8F23-CC5837BEE93E}"/>
    <cellStyle name="Normal 2 2 3 2 9" xfId="5455" xr:uid="{3A647E9B-9073-4CE7-B380-F76142642542}"/>
    <cellStyle name="Normal 2 2 3 2 9 2" xfId="13835" xr:uid="{CC168DF4-CF88-40EC-A536-2A460838DB61}"/>
    <cellStyle name="Normal 2 2 3 2 9 2 2" xfId="30595" xr:uid="{137D3226-4F70-449D-9C0E-0848BA17DE24}"/>
    <cellStyle name="Normal 2 2 3 2 9 2 3" xfId="47354" xr:uid="{D382DEF4-E3C8-4DC1-8CF0-8454D4DE02A4}"/>
    <cellStyle name="Normal 2 2 3 2 9 3" xfId="22215" xr:uid="{CA714072-99FB-4107-84DE-C5DB1611F59B}"/>
    <cellStyle name="Normal 2 2 3 2 9 4" xfId="38974" xr:uid="{FBEEBCC2-F400-49C6-B155-7DDBE8ED0827}"/>
    <cellStyle name="Normal 2 2 3 20" xfId="33879" xr:uid="{A1596E8F-898C-49A6-BFE5-0A9A40D370D8}"/>
    <cellStyle name="Normal 2 2 3 21" xfId="50875" xr:uid="{F43183B7-108B-48B5-9F9F-285DC9FCE434}"/>
    <cellStyle name="Normal 2 2 3 22" xfId="51378" xr:uid="{2E9F9AE6-110D-4EF6-9F84-C33D42183718}"/>
    <cellStyle name="Normal 2 2 3 23" xfId="51892" xr:uid="{97FE7B93-7F60-4D2C-9628-2B95973F65CC}"/>
    <cellStyle name="Normal 2 2 3 3" xfId="350" xr:uid="{B02473DA-12C7-45B9-9426-24EDC7B18A17}"/>
    <cellStyle name="Normal 2 2 3 3 10" xfId="7580" xr:uid="{00C5AF29-D650-4C2F-B798-4577CBF20F22}"/>
    <cellStyle name="Normal 2 2 3 3 10 2" xfId="15960" xr:uid="{901914F2-8B15-45ED-AD2F-980405AFE9B8}"/>
    <cellStyle name="Normal 2 2 3 3 10 2 2" xfId="32720" xr:uid="{EE5DD537-51E3-4157-8418-0B0890772CA7}"/>
    <cellStyle name="Normal 2 2 3 3 10 2 3" xfId="49479" xr:uid="{0A39517D-45FB-41D8-AC49-CC33953984D2}"/>
    <cellStyle name="Normal 2 2 3 3 10 3" xfId="24340" xr:uid="{CA8DE542-19BD-4C2E-9967-F371E96D63D2}"/>
    <cellStyle name="Normal 2 2 3 3 10 4" xfId="41099" xr:uid="{05A773B6-777E-440B-B5B4-94D3077D1D7F}"/>
    <cellStyle name="Normal 2 2 3 3 11" xfId="7986" xr:uid="{CDD88A9C-54E8-452A-B483-6D225DE52974}"/>
    <cellStyle name="Normal 2 2 3 3 11 2" xfId="16366" xr:uid="{6CF19EC2-A4F2-4C7D-8591-D00993C705E1}"/>
    <cellStyle name="Normal 2 2 3 3 11 2 2" xfId="33126" xr:uid="{B620F202-35F8-4C93-A454-A0C0479E7D68}"/>
    <cellStyle name="Normal 2 2 3 3 11 2 3" xfId="49885" xr:uid="{6381693C-A493-4733-A9FB-A96BC8727B1C}"/>
    <cellStyle name="Normal 2 2 3 3 11 3" xfId="24746" xr:uid="{3CE8CCBB-CB3D-46DB-BE8F-BC1E8B58E4D5}"/>
    <cellStyle name="Normal 2 2 3 3 11 4" xfId="41505" xr:uid="{42F9BFEB-2FA3-4C8B-A4D7-CC4B098B0151}"/>
    <cellStyle name="Normal 2 2 3 3 12" xfId="8392" xr:uid="{AE38B294-2668-4E02-876C-8C39136901B9}"/>
    <cellStyle name="Normal 2 2 3 3 12 2" xfId="16772" xr:uid="{CD78FCCE-1781-49BA-914B-E407F7A73A33}"/>
    <cellStyle name="Normal 2 2 3 3 12 2 2" xfId="33532" xr:uid="{167E7D55-F7E6-420E-BE1C-23EFC39CB8A2}"/>
    <cellStyle name="Normal 2 2 3 3 12 2 3" xfId="50291" xr:uid="{E83B38BC-3A11-4960-955A-56C70FBE8CA6}"/>
    <cellStyle name="Normal 2 2 3 3 12 3" xfId="25152" xr:uid="{9F5DBE10-D4F3-4346-BFAE-9EB31F6291C4}"/>
    <cellStyle name="Normal 2 2 3 3 12 4" xfId="41911" xr:uid="{D4EC3E7B-86AB-4371-A896-1BFD907791A7}"/>
    <cellStyle name="Normal 2 2 3 3 13" xfId="2080" xr:uid="{DB45279E-13AD-4A28-A5DB-35205323568B}"/>
    <cellStyle name="Normal 2 2 3 3 13 2" xfId="10468" xr:uid="{E5E90151-3BA9-4759-BC9C-0CC7675B3B4F}"/>
    <cellStyle name="Normal 2 2 3 3 13 2 2" xfId="27228" xr:uid="{CE8C658B-3760-4941-9119-6FA4FE4B1E2D}"/>
    <cellStyle name="Normal 2 2 3 3 13 2 3" xfId="43987" xr:uid="{2A6778CC-1891-4325-9627-FB7919BDC529}"/>
    <cellStyle name="Normal 2 2 3 3 13 3" xfId="18848" xr:uid="{C3E3FE94-D2EA-43A9-AA63-DB9A690F245D}"/>
    <cellStyle name="Normal 2 2 3 3 13 4" xfId="35607" xr:uid="{9875B0BA-63AB-422B-9873-960057B76D2D}"/>
    <cellStyle name="Normal 2 2 3 3 14" xfId="8814" xr:uid="{0E173E9A-15D2-4436-A825-0CE25A3D5AC5}"/>
    <cellStyle name="Normal 2 2 3 3 14 2" xfId="25574" xr:uid="{E0240F3B-59F7-45C1-BAC7-BD444E1B83C8}"/>
    <cellStyle name="Normal 2 2 3 3 14 3" xfId="42333" xr:uid="{FBCD83EF-78FC-4DFC-B459-EFFA9031F4DA}"/>
    <cellStyle name="Normal 2 2 3 3 15" xfId="17194" xr:uid="{5FE63EB7-7061-4B92-924D-6296C4F78748}"/>
    <cellStyle name="Normal 2 2 3 3 16" xfId="33953" xr:uid="{03201752-CE53-42B3-B2F3-BD2897FDA204}"/>
    <cellStyle name="Normal 2 2 3 3 2" xfId="641" xr:uid="{ED9459C2-D725-4B6E-B60E-1CF80BA8174F}"/>
    <cellStyle name="Normal 2 2 3 3 2 10" xfId="8546" xr:uid="{0A514F9B-0829-4B67-8D6D-DA303ECAD530}"/>
    <cellStyle name="Normal 2 2 3 3 2 10 2" xfId="16926" xr:uid="{06F214A2-629E-4852-B2F1-E8AC025183BF}"/>
    <cellStyle name="Normal 2 2 3 3 2 10 2 2" xfId="33686" xr:uid="{EC97AEF4-ADD3-41EB-AE6A-3307010ACA02}"/>
    <cellStyle name="Normal 2 2 3 3 2 10 2 3" xfId="50445" xr:uid="{3C8CC3C1-EACD-4E07-8D51-3416059D5106}"/>
    <cellStyle name="Normal 2 2 3 3 2 10 3" xfId="25306" xr:uid="{B41175F1-DCD1-4AE3-BA00-62963A906B55}"/>
    <cellStyle name="Normal 2 2 3 3 2 10 4" xfId="42065" xr:uid="{9608FD66-B74E-497F-AF1A-487628BF23E2}"/>
    <cellStyle name="Normal 2 2 3 3 2 11" xfId="2473" xr:uid="{3FB2BD8D-E26D-4AB0-8D03-1AD7EAFFC45E}"/>
    <cellStyle name="Normal 2 2 3 3 2 11 2" xfId="10855" xr:uid="{76637638-1C56-4275-A278-155A2E1758D8}"/>
    <cellStyle name="Normal 2 2 3 3 2 11 2 2" xfId="27615" xr:uid="{F056DBAF-BC9F-4E24-A58B-B031DDB977F9}"/>
    <cellStyle name="Normal 2 2 3 3 2 11 2 3" xfId="44374" xr:uid="{75DA842D-0DB8-45C9-B21C-84F38E13FF12}"/>
    <cellStyle name="Normal 2 2 3 3 2 11 3" xfId="19235" xr:uid="{9EEF642C-8A90-4A0E-B1C2-8976F0D13BED}"/>
    <cellStyle name="Normal 2 2 3 3 2 11 4" xfId="35994" xr:uid="{D19DD931-1807-4300-A868-D24958E74930}"/>
    <cellStyle name="Normal 2 2 3 3 2 12" xfId="9052" xr:uid="{EB15466F-F3B7-4587-BFE1-03B4667C72E5}"/>
    <cellStyle name="Normal 2 2 3 3 2 12 2" xfId="25812" xr:uid="{CC836192-8C0F-46CB-AC97-6689F348868A}"/>
    <cellStyle name="Normal 2 2 3 3 2 12 3" xfId="42571" xr:uid="{5A55B6AF-67F8-41EF-8C6C-1C2A3A381FFA}"/>
    <cellStyle name="Normal 2 2 3 3 2 13" xfId="17432" xr:uid="{4EF14E1A-7BAD-4844-A8D8-24C0D323B3AE}"/>
    <cellStyle name="Normal 2 2 3 3 2 14" xfId="34191" xr:uid="{31476C05-67F6-4E4F-B655-9A570376CD4C}"/>
    <cellStyle name="Normal 2 2 3 3 2 2" xfId="1083" xr:uid="{20FB4205-1F4B-470A-90C7-B4402E1F7618}"/>
    <cellStyle name="Normal 2 2 3 3 2 2 2" xfId="4478" xr:uid="{146DC708-D77D-410B-9983-B8566EBF769B}"/>
    <cellStyle name="Normal 2 2 3 3 2 2 2 2" xfId="12858" xr:uid="{0ACE550E-2E5C-4AF8-B414-6C7E78CFDF97}"/>
    <cellStyle name="Normal 2 2 3 3 2 2 2 2 2" xfId="29618" xr:uid="{A7FC9C41-FF4C-4BA4-8AA1-711D53FEDA8B}"/>
    <cellStyle name="Normal 2 2 3 3 2 2 2 2 3" xfId="46377" xr:uid="{FCB458B9-DEE0-49D1-9E8C-84C90240EF0A}"/>
    <cellStyle name="Normal 2 2 3 3 2 2 2 3" xfId="21238" xr:uid="{6CC66D5F-93A9-43DD-AE6C-BFA22B10B655}"/>
    <cellStyle name="Normal 2 2 3 3 2 2 2 4" xfId="37997" xr:uid="{E53A733F-488E-41AF-B585-F743428BC5D7}"/>
    <cellStyle name="Normal 2 2 3 3 2 2 3" xfId="6165" xr:uid="{8842F541-B865-4490-812F-6F422BDD6B2F}"/>
    <cellStyle name="Normal 2 2 3 3 2 2 3 2" xfId="14545" xr:uid="{6A25BD57-D4C4-42B2-AF1C-0AB6F72EBC0D}"/>
    <cellStyle name="Normal 2 2 3 3 2 2 3 2 2" xfId="31305" xr:uid="{168DB025-29B5-4163-838B-D5BB1457641C}"/>
    <cellStyle name="Normal 2 2 3 3 2 2 3 2 3" xfId="48064" xr:uid="{F6898476-8CC4-414F-9C77-403A92BFA7D7}"/>
    <cellStyle name="Normal 2 2 3 3 2 2 3 3" xfId="22925" xr:uid="{13D1D9C3-9AB1-4C6A-8A07-9A35BF1B1C9D}"/>
    <cellStyle name="Normal 2 2 3 3 2 2 3 4" xfId="39684" xr:uid="{685A4595-D4A8-4CCF-A005-FE00F3B1BC43}"/>
    <cellStyle name="Normal 2 2 3 3 2 2 4" xfId="2901" xr:uid="{AA0A9173-6FD1-42F8-BA32-4DB5F535B6B2}"/>
    <cellStyle name="Normal 2 2 3 3 2 2 4 2" xfId="11281" xr:uid="{9B225F88-6AA0-434B-A869-A579A00DD881}"/>
    <cellStyle name="Normal 2 2 3 3 2 2 4 2 2" xfId="28041" xr:uid="{E271431A-E4AD-4FB3-9D0C-C2F342D4202F}"/>
    <cellStyle name="Normal 2 2 3 3 2 2 4 2 3" xfId="44800" xr:uid="{CB2BF1AA-BC41-47AC-AF64-D52CB1C0C21B}"/>
    <cellStyle name="Normal 2 2 3 3 2 2 4 3" xfId="19661" xr:uid="{3E702764-6734-455A-8354-B2B33217973F}"/>
    <cellStyle name="Normal 2 2 3 3 2 2 4 4" xfId="36420" xr:uid="{940E0AC7-C211-4154-A625-7B1BC0F9ECF4}"/>
    <cellStyle name="Normal 2 2 3 3 2 2 5" xfId="9478" xr:uid="{01C5C0CD-6F6F-4EC3-AC0B-2BF25CE2EFBA}"/>
    <cellStyle name="Normal 2 2 3 3 2 2 5 2" xfId="26238" xr:uid="{F76DE4F2-567A-4C7B-A48F-6C326A41D394}"/>
    <cellStyle name="Normal 2 2 3 3 2 2 5 3" xfId="42997" xr:uid="{4CD75CAA-5571-4B54-A162-355C687F5EBC}"/>
    <cellStyle name="Normal 2 2 3 3 2 2 6" xfId="17858" xr:uid="{5790768E-0C40-421C-B097-BCEE3CC21216}"/>
    <cellStyle name="Normal 2 2 3 3 2 2 7" xfId="34617" xr:uid="{CBECB0C2-8EA6-41DD-BA14-2468D3D8ECFD}"/>
    <cellStyle name="Normal 2 2 3 3 2 3" xfId="1517" xr:uid="{C435EA89-B77E-438B-A11B-22FCBCDA850A}"/>
    <cellStyle name="Normal 2 2 3 3 2 3 2" xfId="4906" xr:uid="{9C14E293-ED30-4895-8DFC-97C90A93CC76}"/>
    <cellStyle name="Normal 2 2 3 3 2 3 2 2" xfId="13286" xr:uid="{10DA38AF-AC68-4DF8-98FE-30EFCC3D7EDC}"/>
    <cellStyle name="Normal 2 2 3 3 2 3 2 2 2" xfId="30046" xr:uid="{9A7D6B6C-DF89-454C-A199-BDC37C015A35}"/>
    <cellStyle name="Normal 2 2 3 3 2 3 2 2 3" xfId="46805" xr:uid="{8585C0D1-9D0E-4418-81F9-A329A51B3B94}"/>
    <cellStyle name="Normal 2 2 3 3 2 3 2 3" xfId="21666" xr:uid="{8879F4CC-B5CA-4F87-899F-CE6F094D3086}"/>
    <cellStyle name="Normal 2 2 3 3 2 3 2 4" xfId="38425" xr:uid="{1E0A2A9F-4788-4147-83CF-9247448BD8FE}"/>
    <cellStyle name="Normal 2 2 3 3 2 3 3" xfId="6593" xr:uid="{BE9A4902-7A52-46F6-B5A1-AFF3E5BD0089}"/>
    <cellStyle name="Normal 2 2 3 3 2 3 3 2" xfId="14973" xr:uid="{527D4FD8-2DBD-4EE3-B079-193CC52EF5F5}"/>
    <cellStyle name="Normal 2 2 3 3 2 3 3 2 2" xfId="31733" xr:uid="{400887E0-E4C2-45CF-BE47-8E904419951E}"/>
    <cellStyle name="Normal 2 2 3 3 2 3 3 2 3" xfId="48492" xr:uid="{B76A4903-C493-46C9-97EC-8058129B8E9B}"/>
    <cellStyle name="Normal 2 2 3 3 2 3 3 3" xfId="23353" xr:uid="{3C57F820-FB8A-4308-A3E6-544FE24336F1}"/>
    <cellStyle name="Normal 2 2 3 3 2 3 3 4" xfId="40112" xr:uid="{37F60F6A-8D43-4176-86E5-C71BDE9A67BB}"/>
    <cellStyle name="Normal 2 2 3 3 2 3 4" xfId="3329" xr:uid="{DCF04DE5-D92B-4573-9D97-FA613200624A}"/>
    <cellStyle name="Normal 2 2 3 3 2 3 4 2" xfId="11709" xr:uid="{CDFF01EF-D6BD-4D39-8F89-C35FCA99A60C}"/>
    <cellStyle name="Normal 2 2 3 3 2 3 4 2 2" xfId="28469" xr:uid="{06F8EADE-BC0A-4B71-975F-C2C49FFBE196}"/>
    <cellStyle name="Normal 2 2 3 3 2 3 4 2 3" xfId="45228" xr:uid="{7D12A46E-1721-44B0-9E32-633A5DE5DCFE}"/>
    <cellStyle name="Normal 2 2 3 3 2 3 4 3" xfId="20089" xr:uid="{576934A5-9112-44E7-9A9E-186BC0EC7F0A}"/>
    <cellStyle name="Normal 2 2 3 3 2 3 4 4" xfId="36848" xr:uid="{397A5AC5-B629-4E04-92E8-5C6A718CABCD}"/>
    <cellStyle name="Normal 2 2 3 3 2 3 5" xfId="9906" xr:uid="{31B94601-A930-4C41-991C-7B8A86964756}"/>
    <cellStyle name="Normal 2 2 3 3 2 3 5 2" xfId="26666" xr:uid="{CED23ADF-80A4-467C-9D0D-32A8D26D7FED}"/>
    <cellStyle name="Normal 2 2 3 3 2 3 5 3" xfId="43425" xr:uid="{1232142D-8743-45FF-800C-D502FC8245D6}"/>
    <cellStyle name="Normal 2 2 3 3 2 3 6" xfId="18286" xr:uid="{1C593844-3F12-4191-BF2F-017435FA6B33}"/>
    <cellStyle name="Normal 2 2 3 3 2 3 7" xfId="35045" xr:uid="{1C848EA1-D7FF-41FE-9C03-1D3CDE3EEF13}"/>
    <cellStyle name="Normal 2 2 3 3 2 4" xfId="1846" xr:uid="{1C35274D-8E9C-4C4C-B9FD-9068C310BD9E}"/>
    <cellStyle name="Normal 2 2 3 3 2 4 2" xfId="5235" xr:uid="{A66DDBE3-FAE6-4165-B941-145118D3EBD9}"/>
    <cellStyle name="Normal 2 2 3 3 2 4 2 2" xfId="13615" xr:uid="{3E211388-2678-4C19-B30F-49DA92081D58}"/>
    <cellStyle name="Normal 2 2 3 3 2 4 2 2 2" xfId="30375" xr:uid="{AB521294-6529-4E83-8E5D-5F1ED7682E65}"/>
    <cellStyle name="Normal 2 2 3 3 2 4 2 2 3" xfId="47134" xr:uid="{51CF48AE-4292-4F91-9F62-A89BC64B169A}"/>
    <cellStyle name="Normal 2 2 3 3 2 4 2 3" xfId="21995" xr:uid="{EF87EB3C-DE86-4771-8813-965132AE6981}"/>
    <cellStyle name="Normal 2 2 3 3 2 4 2 4" xfId="38754" xr:uid="{78506473-DCB6-4A17-83EE-A4462E028C76}"/>
    <cellStyle name="Normal 2 2 3 3 2 4 3" xfId="6922" xr:uid="{D8FEE31A-D88A-47A8-B2C6-CFDB2C3DD54C}"/>
    <cellStyle name="Normal 2 2 3 3 2 4 3 2" xfId="15302" xr:uid="{79EE325D-83CB-4828-B151-835DF1610FC9}"/>
    <cellStyle name="Normal 2 2 3 3 2 4 3 2 2" xfId="32062" xr:uid="{210B8372-181C-498D-9C7E-432D45A524AC}"/>
    <cellStyle name="Normal 2 2 3 3 2 4 3 2 3" xfId="48821" xr:uid="{37E47D6B-4CE7-400D-8D80-61531D0DDF8E}"/>
    <cellStyle name="Normal 2 2 3 3 2 4 3 3" xfId="23682" xr:uid="{FBC02B2B-A252-476E-925E-D148F60B0D5D}"/>
    <cellStyle name="Normal 2 2 3 3 2 4 3 4" xfId="40441" xr:uid="{35AAB865-8EE0-45B0-BA00-9E06ACB9EB0A}"/>
    <cellStyle name="Normal 2 2 3 3 2 4 4" xfId="3546" xr:uid="{F8A97956-5366-4DAD-9932-7FCE79EC3E27}"/>
    <cellStyle name="Normal 2 2 3 3 2 4 4 2" xfId="11926" xr:uid="{0C214BF4-2F1E-4DDD-8068-37B2257CBFFE}"/>
    <cellStyle name="Normal 2 2 3 3 2 4 4 2 2" xfId="28686" xr:uid="{660DEB4F-93DA-4C8A-84C2-CD76BEC9140F}"/>
    <cellStyle name="Normal 2 2 3 3 2 4 4 2 3" xfId="45445" xr:uid="{9C4F3592-7553-45AB-BFFB-701016DAB8ED}"/>
    <cellStyle name="Normal 2 2 3 3 2 4 4 3" xfId="20306" xr:uid="{5AA52E0A-C3AF-4867-8C73-A5793610E6C8}"/>
    <cellStyle name="Normal 2 2 3 3 2 4 4 4" xfId="37065" xr:uid="{FC5C1D46-ED1E-4B92-A38F-F0CD6AC97C03}"/>
    <cellStyle name="Normal 2 2 3 3 2 4 5" xfId="10235" xr:uid="{8B6120BF-B75D-4EED-B75A-10ABF8A1DB9D}"/>
    <cellStyle name="Normal 2 2 3 3 2 4 5 2" xfId="26995" xr:uid="{DE74A8D6-7E84-4D78-8515-5351759CF288}"/>
    <cellStyle name="Normal 2 2 3 3 2 4 5 3" xfId="43754" xr:uid="{26121668-DB59-44CA-B6AF-A6DDDBCAC44A}"/>
    <cellStyle name="Normal 2 2 3 3 2 4 6" xfId="18615" xr:uid="{725502FD-7CE4-4FEA-B11D-E14F55949278}"/>
    <cellStyle name="Normal 2 2 3 3 2 4 7" xfId="35374" xr:uid="{73E1C0C9-CF7D-4F6B-A01B-F8B076262996}"/>
    <cellStyle name="Normal 2 2 3 3 2 5" xfId="3965" xr:uid="{B1FFC9E3-4A04-4CE1-BB93-124E9FAFBA23}"/>
    <cellStyle name="Normal 2 2 3 3 2 5 2" xfId="12345" xr:uid="{C0AB1C08-23C2-4734-B8FF-FB934EB91F25}"/>
    <cellStyle name="Normal 2 2 3 3 2 5 2 2" xfId="29105" xr:uid="{777A6E4C-7E09-4B70-94B2-12F4F73C7CFF}"/>
    <cellStyle name="Normal 2 2 3 3 2 5 2 3" xfId="45864" xr:uid="{7787155E-9369-4024-AE6B-0604A19F55FA}"/>
    <cellStyle name="Normal 2 2 3 3 2 5 3" xfId="20725" xr:uid="{A9C3FEF9-D4BC-4C20-8A3F-7516693CA9F6}"/>
    <cellStyle name="Normal 2 2 3 3 2 5 4" xfId="37484" xr:uid="{D2D4B778-0419-4C93-A77A-4A4FC0279EB2}"/>
    <cellStyle name="Normal 2 2 3 3 2 6" xfId="5739" xr:uid="{ABFA3E2A-8699-4EFC-B5AC-9B6D2AD8CE2B}"/>
    <cellStyle name="Normal 2 2 3 3 2 6 2" xfId="14119" xr:uid="{ADD1BF29-450A-4274-9D4D-18A55E66FC15}"/>
    <cellStyle name="Normal 2 2 3 3 2 6 2 2" xfId="30879" xr:uid="{0BCD956E-00D5-4F15-B723-B0DC36EF8816}"/>
    <cellStyle name="Normal 2 2 3 3 2 6 2 3" xfId="47638" xr:uid="{752646B2-2B97-4C1F-BD6C-150FE54BF8C4}"/>
    <cellStyle name="Normal 2 2 3 3 2 6 3" xfId="22499" xr:uid="{5E772F39-30A4-4455-BF98-0B078AB3353F}"/>
    <cellStyle name="Normal 2 2 3 3 2 6 4" xfId="39258" xr:uid="{78F7240D-C99D-4616-A7CA-2A18F4F0F2B7}"/>
    <cellStyle name="Normal 2 2 3 3 2 7" xfId="7328" xr:uid="{1936CE08-6217-4B12-82BB-B3B4C5AE142E}"/>
    <cellStyle name="Normal 2 2 3 3 2 7 2" xfId="15708" xr:uid="{3FB718A2-4E5E-434F-955C-327F6049F216}"/>
    <cellStyle name="Normal 2 2 3 3 2 7 2 2" xfId="32468" xr:uid="{4E350244-0EA0-4636-A96D-9EC02A83A9E7}"/>
    <cellStyle name="Normal 2 2 3 3 2 7 2 3" xfId="49227" xr:uid="{1EF9FF61-7677-424F-9CAA-F981178C367B}"/>
    <cellStyle name="Normal 2 2 3 3 2 7 3" xfId="24088" xr:uid="{8794BC8E-DCE0-4694-9594-0E76C2420D9A}"/>
    <cellStyle name="Normal 2 2 3 3 2 7 4" xfId="40847" xr:uid="{6A232A75-5ADB-4B62-992B-130DE53061E4}"/>
    <cellStyle name="Normal 2 2 3 3 2 8" xfId="7734" xr:uid="{96AE3958-E86A-4E89-932C-C8FCE2043E3F}"/>
    <cellStyle name="Normal 2 2 3 3 2 8 2" xfId="16114" xr:uid="{D943D125-AAB6-4CE0-8835-27241C998508}"/>
    <cellStyle name="Normal 2 2 3 3 2 8 2 2" xfId="32874" xr:uid="{174B681D-6690-436C-A47E-B164604476C8}"/>
    <cellStyle name="Normal 2 2 3 3 2 8 2 3" xfId="49633" xr:uid="{5D2E4259-4DD8-4A0E-A55C-09F466959B98}"/>
    <cellStyle name="Normal 2 2 3 3 2 8 3" xfId="24494" xr:uid="{B9E037F4-D954-4974-A059-866975722C2A}"/>
    <cellStyle name="Normal 2 2 3 3 2 8 4" xfId="41253" xr:uid="{15085E52-E012-475E-AA06-984E1F0F46BF}"/>
    <cellStyle name="Normal 2 2 3 3 2 9" xfId="8140" xr:uid="{7E944C1E-DA02-46EC-A549-39E8E945ED51}"/>
    <cellStyle name="Normal 2 2 3 3 2 9 2" xfId="16520" xr:uid="{671F8E3B-B6F4-4920-A87F-FA46DD87E7BE}"/>
    <cellStyle name="Normal 2 2 3 3 2 9 2 2" xfId="33280" xr:uid="{4F2B35D4-4FAA-4C54-8FA9-B7AE12A76320}"/>
    <cellStyle name="Normal 2 2 3 3 2 9 2 3" xfId="50039" xr:uid="{C4F7B321-B56F-455B-899C-AC29E4AC73CE}"/>
    <cellStyle name="Normal 2 2 3 3 2 9 3" xfId="24900" xr:uid="{9B4DAB26-3D2E-4F77-BC1E-6EA8D142D589}"/>
    <cellStyle name="Normal 2 2 3 3 2 9 4" xfId="41659" xr:uid="{387E6488-1F98-43E7-AA23-8B3F00325306}"/>
    <cellStyle name="Normal 2 2 3 3 3" xfId="642" xr:uid="{6319ACD5-E8FC-4985-8AE4-369F6BE04E4A}"/>
    <cellStyle name="Normal 2 2 3 3 3 10" xfId="8663" xr:uid="{F985E74C-6CE0-4EE1-A39A-01EFCBD4C785}"/>
    <cellStyle name="Normal 2 2 3 3 3 10 2" xfId="17043" xr:uid="{127B13DC-93AB-4657-A9CB-7B8FDC566674}"/>
    <cellStyle name="Normal 2 2 3 3 3 10 2 2" xfId="33803" xr:uid="{DFE51C55-9937-4FEE-9AFB-9C4C607B5B10}"/>
    <cellStyle name="Normal 2 2 3 3 3 10 2 3" xfId="50562" xr:uid="{0691E650-1D60-4672-AB31-E8FC4701C5C7}"/>
    <cellStyle name="Normal 2 2 3 3 3 10 3" xfId="25423" xr:uid="{7F2486D5-A8D2-4EC9-AC17-C3740CAEBCE9}"/>
    <cellStyle name="Normal 2 2 3 3 3 10 4" xfId="42182" xr:uid="{63065510-A958-4D3B-B9BF-4649F7EABA6F}"/>
    <cellStyle name="Normal 2 2 3 3 3 11" xfId="2474" xr:uid="{0B26543C-7842-4B63-9D78-0DF102FE8858}"/>
    <cellStyle name="Normal 2 2 3 3 3 11 2" xfId="10856" xr:uid="{1676C828-F755-4F1D-BE18-B871C28BF232}"/>
    <cellStyle name="Normal 2 2 3 3 3 11 2 2" xfId="27616" xr:uid="{D507A3EF-BECE-4779-B3FC-7825C25F5230}"/>
    <cellStyle name="Normal 2 2 3 3 3 11 2 3" xfId="44375" xr:uid="{C9DFBCC6-2E3A-48A7-95A2-A153328A5A3F}"/>
    <cellStyle name="Normal 2 2 3 3 3 11 3" xfId="19236" xr:uid="{1DDCFA43-FF72-4684-8C04-5AAEA51312C6}"/>
    <cellStyle name="Normal 2 2 3 3 3 11 4" xfId="35995" xr:uid="{CBD03617-FFCD-435B-867E-AAC94E59B008}"/>
    <cellStyle name="Normal 2 2 3 3 3 12" xfId="9053" xr:uid="{6497909E-A87E-4C49-835B-4FEE14F37AF1}"/>
    <cellStyle name="Normal 2 2 3 3 3 12 2" xfId="25813" xr:uid="{0D22B91C-CE8D-4F5D-9279-92AA44FB0240}"/>
    <cellStyle name="Normal 2 2 3 3 3 12 3" xfId="42572" xr:uid="{31C096E2-E85F-4FA4-9B06-49DF82CAA0CF}"/>
    <cellStyle name="Normal 2 2 3 3 3 13" xfId="17433" xr:uid="{4D787687-10E6-481C-B037-1E7B919428A1}"/>
    <cellStyle name="Normal 2 2 3 3 3 14" xfId="34192" xr:uid="{6665ADB9-C041-429B-A6EF-9ACDDC75AB1A}"/>
    <cellStyle name="Normal 2 2 3 3 3 2" xfId="1084" xr:uid="{72DFB48B-BED5-4213-B891-D84AE3967178}"/>
    <cellStyle name="Normal 2 2 3 3 3 2 2" xfId="4479" xr:uid="{636F649B-D4DE-401D-B156-002D829F1538}"/>
    <cellStyle name="Normal 2 2 3 3 3 2 2 2" xfId="12859" xr:uid="{185FB971-5D85-411B-9E1C-32D1DB880735}"/>
    <cellStyle name="Normal 2 2 3 3 3 2 2 2 2" xfId="29619" xr:uid="{692F8AA0-D0CE-4FAD-9437-8177EC359EAD}"/>
    <cellStyle name="Normal 2 2 3 3 3 2 2 2 3" xfId="46378" xr:uid="{A973F05D-FD16-4B68-86D8-16D56C252A77}"/>
    <cellStyle name="Normal 2 2 3 3 3 2 2 3" xfId="21239" xr:uid="{5F147744-6C23-4D22-9E1E-F156FF202535}"/>
    <cellStyle name="Normal 2 2 3 3 3 2 2 4" xfId="37998" xr:uid="{9263EADC-1919-4992-85BE-25D2B28DE905}"/>
    <cellStyle name="Normal 2 2 3 3 3 2 3" xfId="6166" xr:uid="{46A51F5F-04D9-4D92-B70F-62784EBA0712}"/>
    <cellStyle name="Normal 2 2 3 3 3 2 3 2" xfId="14546" xr:uid="{FC73A2ED-BB7C-4299-BE8B-F0D4FA375FBC}"/>
    <cellStyle name="Normal 2 2 3 3 3 2 3 2 2" xfId="31306" xr:uid="{16266E14-1169-49C9-85BC-8C97E8294D26}"/>
    <cellStyle name="Normal 2 2 3 3 3 2 3 2 3" xfId="48065" xr:uid="{1EE8DBA5-A455-4214-94FD-5C67F64DDF7B}"/>
    <cellStyle name="Normal 2 2 3 3 3 2 3 3" xfId="22926" xr:uid="{01784CD8-73C7-4109-AF7B-84EFB2AEB26F}"/>
    <cellStyle name="Normal 2 2 3 3 3 2 3 4" xfId="39685" xr:uid="{BD596560-FC17-4A91-B71D-A5A9AA5D0A40}"/>
    <cellStyle name="Normal 2 2 3 3 3 2 4" xfId="2902" xr:uid="{537DF39C-7181-492B-A061-D5BD8D69455C}"/>
    <cellStyle name="Normal 2 2 3 3 3 2 4 2" xfId="11282" xr:uid="{8BDFE1CF-3BC3-442E-8A38-EE04A67D3B66}"/>
    <cellStyle name="Normal 2 2 3 3 3 2 4 2 2" xfId="28042" xr:uid="{C24A5C7B-9A35-4077-8508-CF77176524EA}"/>
    <cellStyle name="Normal 2 2 3 3 3 2 4 2 3" xfId="44801" xr:uid="{D0C94752-63E6-40EC-974F-B447987E461C}"/>
    <cellStyle name="Normal 2 2 3 3 3 2 4 3" xfId="19662" xr:uid="{9B3F3428-ABD7-4965-8452-E6F5FB1552E8}"/>
    <cellStyle name="Normal 2 2 3 3 3 2 4 4" xfId="36421" xr:uid="{31D65D53-D108-425F-956F-0D47D3500F37}"/>
    <cellStyle name="Normal 2 2 3 3 3 2 5" xfId="9479" xr:uid="{02881205-BCAC-40FF-B173-CBEBA3737B2F}"/>
    <cellStyle name="Normal 2 2 3 3 3 2 5 2" xfId="26239" xr:uid="{E8A9844C-8014-4EAF-92E0-1BD96EB84606}"/>
    <cellStyle name="Normal 2 2 3 3 3 2 5 3" xfId="42998" xr:uid="{14102BB0-D6E8-4BB6-8323-2E12A9E463FA}"/>
    <cellStyle name="Normal 2 2 3 3 3 2 6" xfId="17859" xr:uid="{5E68EAB0-905C-4262-85E5-05DAFE53C139}"/>
    <cellStyle name="Normal 2 2 3 3 3 2 7" xfId="34618" xr:uid="{EB007ED4-3362-42DF-B511-5DDE994BF970}"/>
    <cellStyle name="Normal 2 2 3 3 3 3" xfId="1518" xr:uid="{7D936013-71E7-4CF1-B65D-94649D99BAD2}"/>
    <cellStyle name="Normal 2 2 3 3 3 3 2" xfId="4907" xr:uid="{606C330F-6FC8-4A3E-86B8-327E00043D79}"/>
    <cellStyle name="Normal 2 2 3 3 3 3 2 2" xfId="13287" xr:uid="{861BAAA6-DB4D-48C3-ADB8-C2516164848F}"/>
    <cellStyle name="Normal 2 2 3 3 3 3 2 2 2" xfId="30047" xr:uid="{80D04425-D0D0-4DF8-90AD-E40B5EC5BF54}"/>
    <cellStyle name="Normal 2 2 3 3 3 3 2 2 3" xfId="46806" xr:uid="{AF6D15DE-C028-47EC-BF5C-08E974A0EE40}"/>
    <cellStyle name="Normal 2 2 3 3 3 3 2 3" xfId="21667" xr:uid="{EDB653F8-C91F-4169-9E97-0159FD0FD918}"/>
    <cellStyle name="Normal 2 2 3 3 3 3 2 4" xfId="38426" xr:uid="{1089377F-FBF3-4466-BCC6-1AD868249D3C}"/>
    <cellStyle name="Normal 2 2 3 3 3 3 3" xfId="6594" xr:uid="{8AC77551-9ED1-44CC-8718-B52F1E19B45A}"/>
    <cellStyle name="Normal 2 2 3 3 3 3 3 2" xfId="14974" xr:uid="{8C09237B-E62A-42B2-95C6-9EF5BCF2579C}"/>
    <cellStyle name="Normal 2 2 3 3 3 3 3 2 2" xfId="31734" xr:uid="{0FDCD597-93E4-4963-97CF-CEB4F1E20C65}"/>
    <cellStyle name="Normal 2 2 3 3 3 3 3 2 3" xfId="48493" xr:uid="{29EF6576-B7F5-434F-A5EF-EE3C76C7FE3E}"/>
    <cellStyle name="Normal 2 2 3 3 3 3 3 3" xfId="23354" xr:uid="{11B57DCA-D0C5-4B49-8F21-5C616F1F36E3}"/>
    <cellStyle name="Normal 2 2 3 3 3 3 3 4" xfId="40113" xr:uid="{2597CD57-108E-4044-95A9-DE797BE5DC24}"/>
    <cellStyle name="Normal 2 2 3 3 3 3 4" xfId="3330" xr:uid="{D09C5D67-FEEB-4003-B8F5-CD240655BA97}"/>
    <cellStyle name="Normal 2 2 3 3 3 3 4 2" xfId="11710" xr:uid="{3BCC65CA-84C1-4B88-A0A8-46E82E9C1422}"/>
    <cellStyle name="Normal 2 2 3 3 3 3 4 2 2" xfId="28470" xr:uid="{88431C94-0C45-45B6-AD57-2F97179DE6F8}"/>
    <cellStyle name="Normal 2 2 3 3 3 3 4 2 3" xfId="45229" xr:uid="{3788D104-3B29-4E1D-9804-442276F68CE5}"/>
    <cellStyle name="Normal 2 2 3 3 3 3 4 3" xfId="20090" xr:uid="{921F5275-3B4C-4428-85F7-90B63BD7D390}"/>
    <cellStyle name="Normal 2 2 3 3 3 3 4 4" xfId="36849" xr:uid="{9500EDBD-368D-49DD-9E4F-CBE08D0754F1}"/>
    <cellStyle name="Normal 2 2 3 3 3 3 5" xfId="9907" xr:uid="{E7873C97-6D92-4DCF-B4BF-C11B8BCAC990}"/>
    <cellStyle name="Normal 2 2 3 3 3 3 5 2" xfId="26667" xr:uid="{17762B4B-8478-442A-9DD4-572BE49D7830}"/>
    <cellStyle name="Normal 2 2 3 3 3 3 5 3" xfId="43426" xr:uid="{CBBE93B8-E704-4BAD-8342-0815DED5E7AA}"/>
    <cellStyle name="Normal 2 2 3 3 3 3 6" xfId="18287" xr:uid="{AA8377ED-66F2-4C48-B8E8-D2A82B851300}"/>
    <cellStyle name="Normal 2 2 3 3 3 3 7" xfId="35046" xr:uid="{9B6C53FD-7F71-4E4F-8271-97F1A0328596}"/>
    <cellStyle name="Normal 2 2 3 3 3 4" xfId="1963" xr:uid="{CF9ECDA6-CC4E-4F6E-9D88-9E7629AD054A}"/>
    <cellStyle name="Normal 2 2 3 3 3 4 2" xfId="5352" xr:uid="{F83E788E-45EE-4742-BC37-09DBC3F3B0FE}"/>
    <cellStyle name="Normal 2 2 3 3 3 4 2 2" xfId="13732" xr:uid="{A74946E6-948D-459F-8020-E4011F9A0716}"/>
    <cellStyle name="Normal 2 2 3 3 3 4 2 2 2" xfId="30492" xr:uid="{8010FF47-C005-49BD-B7F4-33C6E1899CF4}"/>
    <cellStyle name="Normal 2 2 3 3 3 4 2 2 3" xfId="47251" xr:uid="{74C7D539-D2A7-4E15-B71A-8082E05AE24A}"/>
    <cellStyle name="Normal 2 2 3 3 3 4 2 3" xfId="22112" xr:uid="{A02BA659-4D5C-4F27-A6F6-F532892CD1A0}"/>
    <cellStyle name="Normal 2 2 3 3 3 4 2 4" xfId="38871" xr:uid="{6E73BD38-616A-43CA-AEF9-FE320B4B5E74}"/>
    <cellStyle name="Normal 2 2 3 3 3 4 3" xfId="7039" xr:uid="{A0246DBD-9A0D-413B-8D8A-6FE4C695CFAC}"/>
    <cellStyle name="Normal 2 2 3 3 3 4 3 2" xfId="15419" xr:uid="{2B0DE5B4-59E3-47F8-8BD2-B28AECB48A7D}"/>
    <cellStyle name="Normal 2 2 3 3 3 4 3 2 2" xfId="32179" xr:uid="{DFDD0E7A-7BB1-45D5-B09D-6D4B160A4690}"/>
    <cellStyle name="Normal 2 2 3 3 3 4 3 2 3" xfId="48938" xr:uid="{A04AF14B-C79C-43C9-A857-F6ACFEC86179}"/>
    <cellStyle name="Normal 2 2 3 3 3 4 3 3" xfId="23799" xr:uid="{6C44CB7A-7FAF-4393-A579-1FD1E9645DAE}"/>
    <cellStyle name="Normal 2 2 3 3 3 4 3 4" xfId="40558" xr:uid="{16B92AF1-7FA1-4D75-BDA0-6D2C37DC8201}"/>
    <cellStyle name="Normal 2 2 3 3 3 4 4" xfId="3662" xr:uid="{924D1CA9-3276-4382-BC29-97631F04C22B}"/>
    <cellStyle name="Normal 2 2 3 3 3 4 4 2" xfId="12042" xr:uid="{A7AADAC4-B16B-437B-9484-1536B08D2647}"/>
    <cellStyle name="Normal 2 2 3 3 3 4 4 2 2" xfId="28802" xr:uid="{2E510855-083B-4276-AF1F-6F07367E76BD}"/>
    <cellStyle name="Normal 2 2 3 3 3 4 4 2 3" xfId="45561" xr:uid="{B30D11B8-CB88-454E-B5DA-F03D0FFA4A26}"/>
    <cellStyle name="Normal 2 2 3 3 3 4 4 3" xfId="20422" xr:uid="{1D4FCF91-DC6D-40BF-9B49-5EF47964E83D}"/>
    <cellStyle name="Normal 2 2 3 3 3 4 4 4" xfId="37181" xr:uid="{68F976FA-8B9D-4532-8D8F-51AB55E2D6BA}"/>
    <cellStyle name="Normal 2 2 3 3 3 4 5" xfId="10352" xr:uid="{07A2C123-256E-405A-AE2F-32867DF464A8}"/>
    <cellStyle name="Normal 2 2 3 3 3 4 5 2" xfId="27112" xr:uid="{6DEB3301-4906-4DC1-9CE0-0F341BB4D466}"/>
    <cellStyle name="Normal 2 2 3 3 3 4 5 3" xfId="43871" xr:uid="{4B212C02-6899-4221-A925-1B1385D5401D}"/>
    <cellStyle name="Normal 2 2 3 3 3 4 6" xfId="18732" xr:uid="{035845D3-8688-45C1-A2C2-7CA52C393A00}"/>
    <cellStyle name="Normal 2 2 3 3 3 4 7" xfId="35491" xr:uid="{3FDC817C-C672-4209-8309-111F43D624A3}"/>
    <cellStyle name="Normal 2 2 3 3 3 5" xfId="4082" xr:uid="{35F2C954-4C93-4C6C-8041-4E443100A16A}"/>
    <cellStyle name="Normal 2 2 3 3 3 5 2" xfId="12462" xr:uid="{1F429196-2FF3-49C9-909F-6BD40D6AEED0}"/>
    <cellStyle name="Normal 2 2 3 3 3 5 2 2" xfId="29222" xr:uid="{F5679E9A-1CD8-482B-B471-29B3D294FFAF}"/>
    <cellStyle name="Normal 2 2 3 3 3 5 2 3" xfId="45981" xr:uid="{BE0CD963-0EEC-4789-85F5-BC4513843E3A}"/>
    <cellStyle name="Normal 2 2 3 3 3 5 3" xfId="20842" xr:uid="{21B3871A-4F71-4138-89D4-A62764AFCFB9}"/>
    <cellStyle name="Normal 2 2 3 3 3 5 4" xfId="37601" xr:uid="{015CEAE5-D1B6-42E7-B28E-24CE3A8BB960}"/>
    <cellStyle name="Normal 2 2 3 3 3 6" xfId="5740" xr:uid="{6B65BD1B-2C9B-4CC6-80E4-F4087862C3C2}"/>
    <cellStyle name="Normal 2 2 3 3 3 6 2" xfId="14120" xr:uid="{F436E74D-57C6-4339-B701-D1F96071DEFF}"/>
    <cellStyle name="Normal 2 2 3 3 3 6 2 2" xfId="30880" xr:uid="{54B14EDC-B8D8-4518-B3D3-B8A33BEAF2C1}"/>
    <cellStyle name="Normal 2 2 3 3 3 6 2 3" xfId="47639" xr:uid="{94FB0F90-FCBC-49E8-8754-56C364C8B25C}"/>
    <cellStyle name="Normal 2 2 3 3 3 6 3" xfId="22500" xr:uid="{70798813-3D83-4534-8E3C-A9FC462B2ADE}"/>
    <cellStyle name="Normal 2 2 3 3 3 6 4" xfId="39259" xr:uid="{C54847BF-F70E-44D4-B65B-9C199F9184D8}"/>
    <cellStyle name="Normal 2 2 3 3 3 7" xfId="7445" xr:uid="{4E2A6C95-304B-48FD-9DF3-737FE1C242DB}"/>
    <cellStyle name="Normal 2 2 3 3 3 7 2" xfId="15825" xr:uid="{FA872CC8-C1EE-4C16-A4CC-0DA6E2C0D2D6}"/>
    <cellStyle name="Normal 2 2 3 3 3 7 2 2" xfId="32585" xr:uid="{A87703BD-3E33-4DA1-AF86-2AF75046EBF9}"/>
    <cellStyle name="Normal 2 2 3 3 3 7 2 3" xfId="49344" xr:uid="{CF0FFAF1-4930-4F5E-B1A4-65C484505344}"/>
    <cellStyle name="Normal 2 2 3 3 3 7 3" xfId="24205" xr:uid="{CDA7FBA5-FEB0-4978-8562-002E39AB586C}"/>
    <cellStyle name="Normal 2 2 3 3 3 7 4" xfId="40964" xr:uid="{B1851BF1-E70E-4A92-BE8D-B24E3A6CCB94}"/>
    <cellStyle name="Normal 2 2 3 3 3 8" xfId="7851" xr:uid="{2D18CA89-1E71-41C2-A48D-5571AA33A512}"/>
    <cellStyle name="Normal 2 2 3 3 3 8 2" xfId="16231" xr:uid="{7D31CEF8-363C-4795-B236-80747C9704CC}"/>
    <cellStyle name="Normal 2 2 3 3 3 8 2 2" xfId="32991" xr:uid="{6EE42782-1698-4336-B61B-A4403EBDCB24}"/>
    <cellStyle name="Normal 2 2 3 3 3 8 2 3" xfId="49750" xr:uid="{23CA7522-4151-46D5-A73F-2B5480BAB722}"/>
    <cellStyle name="Normal 2 2 3 3 3 8 3" xfId="24611" xr:uid="{9610A28A-70C0-4814-B1BE-AED17AA83BC8}"/>
    <cellStyle name="Normal 2 2 3 3 3 8 4" xfId="41370" xr:uid="{04E3B257-1515-4B9C-802D-B1255E8AA684}"/>
    <cellStyle name="Normal 2 2 3 3 3 9" xfId="8257" xr:uid="{7E668A94-6AE9-4E44-ADFD-E76B93114442}"/>
    <cellStyle name="Normal 2 2 3 3 3 9 2" xfId="16637" xr:uid="{70E1F037-53A1-4183-BC29-39A7F6014AED}"/>
    <cellStyle name="Normal 2 2 3 3 3 9 2 2" xfId="33397" xr:uid="{4FC370DE-046F-4C3E-8F18-769936FA9D82}"/>
    <cellStyle name="Normal 2 2 3 3 3 9 2 3" xfId="50156" xr:uid="{CE916ECB-31F1-48CE-816C-20AE18E1882E}"/>
    <cellStyle name="Normal 2 2 3 3 3 9 3" xfId="25017" xr:uid="{700255B0-1920-4FB3-97AC-5D00171BD7CD}"/>
    <cellStyle name="Normal 2 2 3 3 3 9 4" xfId="41776" xr:uid="{EBCA3CBE-0ADD-4440-AFB4-4B37D6597C7B}"/>
    <cellStyle name="Normal 2 2 3 3 4" xfId="845" xr:uid="{1C79878A-39F3-43E9-945A-65951EEB9905}"/>
    <cellStyle name="Normal 2 2 3 3 4 2" xfId="4240" xr:uid="{B902855A-FB22-4107-8CD7-B1132AA8A073}"/>
    <cellStyle name="Normal 2 2 3 3 4 2 2" xfId="12620" xr:uid="{9D5F9DD3-0EF1-4354-A492-7B5F7707CA71}"/>
    <cellStyle name="Normal 2 2 3 3 4 2 2 2" xfId="29380" xr:uid="{198C84B7-24F4-424D-A440-22F0ED9938E2}"/>
    <cellStyle name="Normal 2 2 3 3 4 2 2 3" xfId="46139" xr:uid="{E1247329-48E3-48CF-AEC4-7B0917761AD6}"/>
    <cellStyle name="Normal 2 2 3 3 4 2 3" xfId="21000" xr:uid="{7F99D263-9EA0-4E9F-A0F1-2900CAD05E19}"/>
    <cellStyle name="Normal 2 2 3 3 4 2 4" xfId="37759" xr:uid="{16AF24F7-7C90-4718-8B78-E3F6B6D807F7}"/>
    <cellStyle name="Normal 2 2 3 3 4 3" xfId="5927" xr:uid="{88B60E01-8B70-46DF-B3B0-78C3CFF5EA91}"/>
    <cellStyle name="Normal 2 2 3 3 4 3 2" xfId="14307" xr:uid="{FB0A0B12-8904-418B-8570-657F91B05B21}"/>
    <cellStyle name="Normal 2 2 3 3 4 3 2 2" xfId="31067" xr:uid="{7E3E01CC-A445-45A0-89D5-21626D18F6C7}"/>
    <cellStyle name="Normal 2 2 3 3 4 3 2 3" xfId="47826" xr:uid="{4636CBE9-9854-4B76-A788-F4E9A1A1C460}"/>
    <cellStyle name="Normal 2 2 3 3 4 3 3" xfId="22687" xr:uid="{27AF5A10-6724-4023-80AC-33034BFBC8EF}"/>
    <cellStyle name="Normal 2 2 3 3 4 3 4" xfId="39446" xr:uid="{F3CC492E-A47D-48B6-AE51-FF557509BEAB}"/>
    <cellStyle name="Normal 2 2 3 3 4 4" xfId="2663" xr:uid="{BFBB04B6-C9CF-41EE-8FC3-99BC717C7433}"/>
    <cellStyle name="Normal 2 2 3 3 4 4 2" xfId="11043" xr:uid="{E1A5680E-1AB6-4965-A285-54346B594CDC}"/>
    <cellStyle name="Normal 2 2 3 3 4 4 2 2" xfId="27803" xr:uid="{9F77F268-047E-4449-8675-6FD08A8CDB26}"/>
    <cellStyle name="Normal 2 2 3 3 4 4 2 3" xfId="44562" xr:uid="{E1C22522-6BAD-48CC-8587-DF57BD641CF3}"/>
    <cellStyle name="Normal 2 2 3 3 4 4 3" xfId="19423" xr:uid="{3257508A-BE61-48DC-94CA-BC0F21B86D33}"/>
    <cellStyle name="Normal 2 2 3 3 4 4 4" xfId="36182" xr:uid="{16851D83-E93D-4C3A-AAD8-23850EEACA0F}"/>
    <cellStyle name="Normal 2 2 3 3 4 5" xfId="9240" xr:uid="{A38527E7-D96C-470E-865D-C8E3B3451F00}"/>
    <cellStyle name="Normal 2 2 3 3 4 5 2" xfId="26000" xr:uid="{35575750-408A-4CE0-80A8-AD4E204EFFAA}"/>
    <cellStyle name="Normal 2 2 3 3 4 5 3" xfId="42759" xr:uid="{531257F1-471B-4F7D-A7F1-086A4B028A2D}"/>
    <cellStyle name="Normal 2 2 3 3 4 6" xfId="17620" xr:uid="{3C6A608D-15D7-4932-B247-C54D1B8D45A1}"/>
    <cellStyle name="Normal 2 2 3 3 4 7" xfId="34379" xr:uid="{B15EE4EB-323A-440B-820E-B2AADEBFC6A9}"/>
    <cellStyle name="Normal 2 2 3 3 5" xfId="1279" xr:uid="{BB17C0AB-8007-48A4-8A5B-6BF1200FC70E}"/>
    <cellStyle name="Normal 2 2 3 3 5 2" xfId="4668" xr:uid="{2ADA6B19-BA8E-4AD9-B1E5-EFC0C29DF24D}"/>
    <cellStyle name="Normal 2 2 3 3 5 2 2" xfId="13048" xr:uid="{BA6ED704-D8DA-43BB-9F65-8B10800AFD1C}"/>
    <cellStyle name="Normal 2 2 3 3 5 2 2 2" xfId="29808" xr:uid="{BDC4AD0B-CB95-4ACE-9F3A-9AD0572192B2}"/>
    <cellStyle name="Normal 2 2 3 3 5 2 2 3" xfId="46567" xr:uid="{884B263F-79CF-4440-9350-BF397E937C88}"/>
    <cellStyle name="Normal 2 2 3 3 5 2 3" xfId="21428" xr:uid="{4640BA47-646F-4238-810C-7C3E0D1FD7DC}"/>
    <cellStyle name="Normal 2 2 3 3 5 2 4" xfId="38187" xr:uid="{C157EE6B-1EDE-47F2-9658-6C4CBB0F8ED8}"/>
    <cellStyle name="Normal 2 2 3 3 5 3" xfId="6355" xr:uid="{90516FCD-B5EF-4ADC-A8C9-0CA361D442DF}"/>
    <cellStyle name="Normal 2 2 3 3 5 3 2" xfId="14735" xr:uid="{929D8B0D-429C-4D48-98FF-E0A1621CF717}"/>
    <cellStyle name="Normal 2 2 3 3 5 3 2 2" xfId="31495" xr:uid="{16BECAEE-3CCF-446D-AD42-44979A29D023}"/>
    <cellStyle name="Normal 2 2 3 3 5 3 2 3" xfId="48254" xr:uid="{CE9CAA17-4640-4FE1-A37A-14ED9219D702}"/>
    <cellStyle name="Normal 2 2 3 3 5 3 3" xfId="23115" xr:uid="{9681798B-8D01-42D3-9ED7-3477AE931517}"/>
    <cellStyle name="Normal 2 2 3 3 5 3 4" xfId="39874" xr:uid="{C60FD8D5-56DA-4BDA-B8F7-20A66565A8C3}"/>
    <cellStyle name="Normal 2 2 3 3 5 4" xfId="3091" xr:uid="{B73AE7B3-40CD-4609-BD73-C9ABA24A9D6A}"/>
    <cellStyle name="Normal 2 2 3 3 5 4 2" xfId="11471" xr:uid="{EB9B1AD2-245F-405A-AE32-FF46E2D14BB6}"/>
    <cellStyle name="Normal 2 2 3 3 5 4 2 2" xfId="28231" xr:uid="{D8BA4CAD-8EE0-425C-AC1B-F7F30E689AEB}"/>
    <cellStyle name="Normal 2 2 3 3 5 4 2 3" xfId="44990" xr:uid="{BE9C9771-AA03-4E9F-9230-733261F4C157}"/>
    <cellStyle name="Normal 2 2 3 3 5 4 3" xfId="19851" xr:uid="{06AC77D3-002C-494B-BFA9-12371CF085A1}"/>
    <cellStyle name="Normal 2 2 3 3 5 4 4" xfId="36610" xr:uid="{18CF970B-11AD-4F22-A236-07C221D409DC}"/>
    <cellStyle name="Normal 2 2 3 3 5 5" xfId="9668" xr:uid="{54C80828-EF09-434B-A579-882F792B6D41}"/>
    <cellStyle name="Normal 2 2 3 3 5 5 2" xfId="26428" xr:uid="{1DA4146D-BB70-4CD9-9CE8-6DD975E32FF1}"/>
    <cellStyle name="Normal 2 2 3 3 5 5 3" xfId="43187" xr:uid="{FDAA5534-23ED-4723-8C71-A0FA685939E2}"/>
    <cellStyle name="Normal 2 2 3 3 5 6" xfId="18048" xr:uid="{87D5BB99-9518-4741-AD76-61374699F734}"/>
    <cellStyle name="Normal 2 2 3 3 5 7" xfId="34807" xr:uid="{7252B238-EC82-4609-8FB2-00EF06278775}"/>
    <cellStyle name="Normal 2 2 3 3 6" xfId="1692" xr:uid="{B43679C9-114C-4E6D-922A-417A98F7A856}"/>
    <cellStyle name="Normal 2 2 3 3 6 2" xfId="5081" xr:uid="{E3D9DC01-6233-48AF-9E81-7636BB4D9794}"/>
    <cellStyle name="Normal 2 2 3 3 6 2 2" xfId="13461" xr:uid="{F6EA092E-8D30-4C28-A9A9-45DAAB3E2114}"/>
    <cellStyle name="Normal 2 2 3 3 6 2 2 2" xfId="30221" xr:uid="{F42FD819-B018-400B-8EE5-86A5A6B63D0D}"/>
    <cellStyle name="Normal 2 2 3 3 6 2 2 3" xfId="46980" xr:uid="{A53F8C59-4E7B-4A41-A9B4-2B432B30868C}"/>
    <cellStyle name="Normal 2 2 3 3 6 2 3" xfId="21841" xr:uid="{4B794197-AB30-4BC6-B6D9-EBC9C09CA284}"/>
    <cellStyle name="Normal 2 2 3 3 6 2 4" xfId="38600" xr:uid="{A1ECF363-9850-4B29-877F-BC6E96673F2B}"/>
    <cellStyle name="Normal 2 2 3 3 6 3" xfId="6768" xr:uid="{88525FAC-D214-42DB-A9BA-6D90EBF0556B}"/>
    <cellStyle name="Normal 2 2 3 3 6 3 2" xfId="15148" xr:uid="{447CC4A6-7C58-4757-B65E-0AE2464BB1C6}"/>
    <cellStyle name="Normal 2 2 3 3 6 3 2 2" xfId="31908" xr:uid="{17565644-C233-4CCD-8E4C-04C588B73D1B}"/>
    <cellStyle name="Normal 2 2 3 3 6 3 2 3" xfId="48667" xr:uid="{25A687F0-2376-450E-86C6-080515A7A44C}"/>
    <cellStyle name="Normal 2 2 3 3 6 3 3" xfId="23528" xr:uid="{78ED256E-3969-4215-8BBB-7B31DE2B2141}"/>
    <cellStyle name="Normal 2 2 3 3 6 3 4" xfId="40287" xr:uid="{828C2AB9-2C32-4BD5-B0B8-4A931E0CD59E}"/>
    <cellStyle name="Normal 2 2 3 3 6 4" xfId="2233" xr:uid="{2FE20749-B162-4679-972E-64C1431F1154}"/>
    <cellStyle name="Normal 2 2 3 3 6 4 2" xfId="10617" xr:uid="{96AB423C-2C99-49C0-B6AC-F41C821B1A64}"/>
    <cellStyle name="Normal 2 2 3 3 6 4 2 2" xfId="27377" xr:uid="{8CD592AA-8CD7-43B1-A5CB-C907D52B634A}"/>
    <cellStyle name="Normal 2 2 3 3 6 4 2 3" xfId="44136" xr:uid="{532FD283-C7C4-4E8F-AD94-9463C1DEEAC5}"/>
    <cellStyle name="Normal 2 2 3 3 6 4 3" xfId="18997" xr:uid="{FB4F7B68-E330-4E89-BDB2-7F5BEDF6A50A}"/>
    <cellStyle name="Normal 2 2 3 3 6 4 4" xfId="35756" xr:uid="{551F9216-86E4-4CF3-BE2D-BF809CB44037}"/>
    <cellStyle name="Normal 2 2 3 3 6 5" xfId="10081" xr:uid="{E8F251A1-FFDE-409A-880A-C4B535F82047}"/>
    <cellStyle name="Normal 2 2 3 3 6 5 2" xfId="26841" xr:uid="{5A116701-6D0D-4BD0-BDF2-C93CC935BA1D}"/>
    <cellStyle name="Normal 2 2 3 3 6 5 3" xfId="43600" xr:uid="{92F561AE-5AA4-499E-B48E-B9F0F63C40F9}"/>
    <cellStyle name="Normal 2 2 3 3 6 6" xfId="18461" xr:uid="{C3E6D6E3-ED96-4E40-9E8E-F98D2555D1BB}"/>
    <cellStyle name="Normal 2 2 3 3 6 7" xfId="35220" xr:uid="{0BFE1760-70D1-446A-9D3C-455EDAE1A153}"/>
    <cellStyle name="Normal 2 2 3 3 7" xfId="3810" xr:uid="{33F7C2B8-43E9-40BF-A515-E0104B96F36B}"/>
    <cellStyle name="Normal 2 2 3 3 7 2" xfId="12190" xr:uid="{C55FBEFC-DA4C-4579-98F5-F66A9872C167}"/>
    <cellStyle name="Normal 2 2 3 3 7 2 2" xfId="28950" xr:uid="{ACD0DEDD-0644-47E7-BA72-60FE4B309CB7}"/>
    <cellStyle name="Normal 2 2 3 3 7 2 3" xfId="45709" xr:uid="{0DD53D1D-1AF4-4DD3-8297-B92141D7F52E}"/>
    <cellStyle name="Normal 2 2 3 3 7 3" xfId="20570" xr:uid="{5C903DC7-2C5D-425B-81A8-41E1A6DABFD0}"/>
    <cellStyle name="Normal 2 2 3 3 7 4" xfId="37329" xr:uid="{54181875-B99F-440E-AE46-38FB580C0FEB}"/>
    <cellStyle name="Normal 2 2 3 3 8" xfId="5501" xr:uid="{3118BCB5-0CDF-4F95-A4B3-18E35569003C}"/>
    <cellStyle name="Normal 2 2 3 3 8 2" xfId="13881" xr:uid="{528FD032-2FDB-4B25-B9A1-FB2BCE0B8078}"/>
    <cellStyle name="Normal 2 2 3 3 8 2 2" xfId="30641" xr:uid="{6032BDDD-3E79-4438-AEA2-4FB32835047F}"/>
    <cellStyle name="Normal 2 2 3 3 8 2 3" xfId="47400" xr:uid="{37AEBBDA-BD95-40B9-A839-F594AEE5FB23}"/>
    <cellStyle name="Normal 2 2 3 3 8 3" xfId="22261" xr:uid="{B08B0A2F-5E87-4F5D-AE61-67BD85894083}"/>
    <cellStyle name="Normal 2 2 3 3 8 4" xfId="39020" xr:uid="{1AAF6D4D-BD6E-4982-8D49-934EC89A7847}"/>
    <cellStyle name="Normal 2 2 3 3 9" xfId="7174" xr:uid="{28E9CE4C-8855-4CE6-8C12-221D51EFBF6D}"/>
    <cellStyle name="Normal 2 2 3 3 9 2" xfId="15554" xr:uid="{2863CA16-9A57-4ABA-9C63-7B845270F423}"/>
    <cellStyle name="Normal 2 2 3 3 9 2 2" xfId="32314" xr:uid="{1D8D5F6D-E811-4BF7-A620-CBF0AED53023}"/>
    <cellStyle name="Normal 2 2 3 3 9 2 3" xfId="49073" xr:uid="{23458E90-D8EF-4A2A-AB6B-9D7B3EEA5F22}"/>
    <cellStyle name="Normal 2 2 3 3 9 3" xfId="23934" xr:uid="{C58FB18B-5EBE-4C32-B505-46D342677AA3}"/>
    <cellStyle name="Normal 2 2 3 3 9 4" xfId="40693" xr:uid="{F1D676A1-2A0F-4FDB-A475-C21F9E31114B}"/>
    <cellStyle name="Normal 2 2 3 4" xfId="643" xr:uid="{002616A5-A1AD-439F-AB02-804DA23B63CC}"/>
    <cellStyle name="Normal 2 2 3 4 10" xfId="7581" xr:uid="{EAD9BB9C-987B-40B4-B41F-1850DB78328C}"/>
    <cellStyle name="Normal 2 2 3 4 10 2" xfId="15961" xr:uid="{C8CC7DBF-0773-4089-AC70-AA89511CB460}"/>
    <cellStyle name="Normal 2 2 3 4 10 2 2" xfId="32721" xr:uid="{6B59868A-1552-4C66-8E5A-64765A202E41}"/>
    <cellStyle name="Normal 2 2 3 4 10 2 3" xfId="49480" xr:uid="{058E4F97-0492-41D5-A630-E68C5F381FFD}"/>
    <cellStyle name="Normal 2 2 3 4 10 3" xfId="24341" xr:uid="{55412227-E458-413D-9AB4-CF50A157BD00}"/>
    <cellStyle name="Normal 2 2 3 4 10 4" xfId="41100" xr:uid="{020AE484-59F1-4B98-ABF8-F92F06AF78AB}"/>
    <cellStyle name="Normal 2 2 3 4 11" xfId="7987" xr:uid="{2371BBEA-E7CD-4D2C-AD55-67A520F30AB2}"/>
    <cellStyle name="Normal 2 2 3 4 11 2" xfId="16367" xr:uid="{0C468400-FC5E-48BB-A30A-3F716D91399C}"/>
    <cellStyle name="Normal 2 2 3 4 11 2 2" xfId="33127" xr:uid="{5F34F55F-F2A4-45E9-9B14-2540244D8DF1}"/>
    <cellStyle name="Normal 2 2 3 4 11 2 3" xfId="49886" xr:uid="{6C403371-DFDF-44E7-93B3-595532C83DD6}"/>
    <cellStyle name="Normal 2 2 3 4 11 3" xfId="24747" xr:uid="{72B7BEBA-7990-42A9-96CD-2E336C36C3D4}"/>
    <cellStyle name="Normal 2 2 3 4 11 4" xfId="41506" xr:uid="{471D86D6-BE39-4969-B08D-6BE387D1E0C8}"/>
    <cellStyle name="Normal 2 2 3 4 12" xfId="8393" xr:uid="{0D6B4388-4847-469F-815A-AF9C1996A8F4}"/>
    <cellStyle name="Normal 2 2 3 4 12 2" xfId="16773" xr:uid="{59A6669A-2027-498A-8C26-DB74F313B806}"/>
    <cellStyle name="Normal 2 2 3 4 12 2 2" xfId="33533" xr:uid="{3B85A542-2CF5-4C1E-B651-95FB95E29F9E}"/>
    <cellStyle name="Normal 2 2 3 4 12 2 3" xfId="50292" xr:uid="{45426893-263B-4BEC-BE25-FA26CD9A90C6}"/>
    <cellStyle name="Normal 2 2 3 4 12 3" xfId="25153" xr:uid="{BD2A28B2-F7CB-44AA-8487-32EB09BA125F}"/>
    <cellStyle name="Normal 2 2 3 4 12 4" xfId="41912" xr:uid="{2002C8D4-3B88-4C2F-AF50-117698BD12B1}"/>
    <cellStyle name="Normal 2 2 3 4 13" xfId="2108" xr:uid="{25CC46E1-13B4-42F9-A0CC-3220A0FF89D7}"/>
    <cellStyle name="Normal 2 2 3 4 13 2" xfId="10496" xr:uid="{0DB646C5-C914-40AC-9AD7-485EEA98E340}"/>
    <cellStyle name="Normal 2 2 3 4 13 2 2" xfId="27256" xr:uid="{30C172A2-C660-42A7-A455-E411EFB698B0}"/>
    <cellStyle name="Normal 2 2 3 4 13 2 3" xfId="44015" xr:uid="{0AAE9620-0145-489D-A204-8EDCE8478CB5}"/>
    <cellStyle name="Normal 2 2 3 4 13 3" xfId="18876" xr:uid="{80054ECE-3503-4C55-A2B2-A6F3EC737997}"/>
    <cellStyle name="Normal 2 2 3 4 13 4" xfId="35635" xr:uid="{FFC48A3B-8CA0-4CE4-B2B1-D56F0E4C2508}"/>
    <cellStyle name="Normal 2 2 3 4 14" xfId="9054" xr:uid="{D2DBDD13-0D7F-46FB-B4D0-011540E2B75A}"/>
    <cellStyle name="Normal 2 2 3 4 14 2" xfId="25814" xr:uid="{5FA0F6E5-D8BB-46D5-A69E-F30C2268D7A7}"/>
    <cellStyle name="Normal 2 2 3 4 14 3" xfId="42573" xr:uid="{8681632F-AA49-41EC-9BC4-161F6EB89D6E}"/>
    <cellStyle name="Normal 2 2 3 4 15" xfId="17434" xr:uid="{9F338446-42E8-489D-BAAE-61EF6FA0F662}"/>
    <cellStyle name="Normal 2 2 3 4 16" xfId="34193" xr:uid="{8E225912-4001-4502-AB91-74C0127C860D}"/>
    <cellStyle name="Normal 2 2 3 4 2" xfId="644" xr:uid="{1771CD11-7FF6-4F7B-B80B-0CCBB4D8F523}"/>
    <cellStyle name="Normal 2 2 3 4 2 10" xfId="8547" xr:uid="{5950CB47-8E36-49CE-938A-B1D8C273AD08}"/>
    <cellStyle name="Normal 2 2 3 4 2 10 2" xfId="16927" xr:uid="{C031F334-1C61-4E97-8F4A-17685CFEE1D2}"/>
    <cellStyle name="Normal 2 2 3 4 2 10 2 2" xfId="33687" xr:uid="{960BED6F-EC37-4C85-A270-19EF1BB94158}"/>
    <cellStyle name="Normal 2 2 3 4 2 10 2 3" xfId="50446" xr:uid="{383AD21C-7A02-46F5-A742-8852BB5056B4}"/>
    <cellStyle name="Normal 2 2 3 4 2 10 3" xfId="25307" xr:uid="{FD5A374F-1420-42AA-859B-FA97FB20B91E}"/>
    <cellStyle name="Normal 2 2 3 4 2 10 4" xfId="42066" xr:uid="{896D27AC-04CB-4C94-8B77-BCFB24072E56}"/>
    <cellStyle name="Normal 2 2 3 4 2 11" xfId="2476" xr:uid="{6D0EB6E8-0DAB-4935-A442-67A8D6925E64}"/>
    <cellStyle name="Normal 2 2 3 4 2 11 2" xfId="10858" xr:uid="{4CD802CA-5C45-4F45-ABAF-A4D2A54697AD}"/>
    <cellStyle name="Normal 2 2 3 4 2 11 2 2" xfId="27618" xr:uid="{60688921-AD14-4DDE-ACE8-B4746071CFEE}"/>
    <cellStyle name="Normal 2 2 3 4 2 11 2 3" xfId="44377" xr:uid="{3C4E02C1-3AA4-436B-B7C6-D1ABBC16E20E}"/>
    <cellStyle name="Normal 2 2 3 4 2 11 3" xfId="19238" xr:uid="{1A4E40DE-3481-4426-9328-87BBED8047F6}"/>
    <cellStyle name="Normal 2 2 3 4 2 11 4" xfId="35997" xr:uid="{E7010670-D05D-4389-89B6-F0AD0EF35966}"/>
    <cellStyle name="Normal 2 2 3 4 2 12" xfId="9055" xr:uid="{E7C772CF-030C-49FE-947F-3FC118F3156C}"/>
    <cellStyle name="Normal 2 2 3 4 2 12 2" xfId="25815" xr:uid="{E46FF7EA-6CCD-41F5-81D8-AF5338BC1201}"/>
    <cellStyle name="Normal 2 2 3 4 2 12 3" xfId="42574" xr:uid="{88F9D01F-5EC5-4846-96E1-D6491C3972EC}"/>
    <cellStyle name="Normal 2 2 3 4 2 13" xfId="17435" xr:uid="{19784290-9314-4077-B687-CA468B018A36}"/>
    <cellStyle name="Normal 2 2 3 4 2 14" xfId="34194" xr:uid="{D9183778-D068-4C0E-A977-127BCD220945}"/>
    <cellStyle name="Normal 2 2 3 4 2 2" xfId="1086" xr:uid="{BAD9CBCD-5D76-452A-AF27-C8A6533B2EA5}"/>
    <cellStyle name="Normal 2 2 3 4 2 2 2" xfId="4481" xr:uid="{7272132F-3917-42E5-8697-13CDC3E90680}"/>
    <cellStyle name="Normal 2 2 3 4 2 2 2 2" xfId="12861" xr:uid="{D5DC6BA9-557F-4F09-9243-DEF3CBE0A6DE}"/>
    <cellStyle name="Normal 2 2 3 4 2 2 2 2 2" xfId="29621" xr:uid="{2FCC30F4-77D9-42E0-B407-CF70BA094B41}"/>
    <cellStyle name="Normal 2 2 3 4 2 2 2 2 3" xfId="46380" xr:uid="{569C2B26-B056-4772-A899-A88E7AF06165}"/>
    <cellStyle name="Normal 2 2 3 4 2 2 2 3" xfId="21241" xr:uid="{FB8B85ED-4F4E-4EB2-B42C-14109D70694B}"/>
    <cellStyle name="Normal 2 2 3 4 2 2 2 4" xfId="38000" xr:uid="{DFDE58B4-D177-4589-B434-C5A38DA73D02}"/>
    <cellStyle name="Normal 2 2 3 4 2 2 3" xfId="6168" xr:uid="{98C0770B-8B92-49ED-8EEF-790EC194C406}"/>
    <cellStyle name="Normal 2 2 3 4 2 2 3 2" xfId="14548" xr:uid="{296FA3C1-4085-4776-94A7-515F36788D14}"/>
    <cellStyle name="Normal 2 2 3 4 2 2 3 2 2" xfId="31308" xr:uid="{36DBD175-7839-485F-8AD4-4D5C1E755DFC}"/>
    <cellStyle name="Normal 2 2 3 4 2 2 3 2 3" xfId="48067" xr:uid="{495D018A-3A67-4829-9FB3-3DAEF6DEB400}"/>
    <cellStyle name="Normal 2 2 3 4 2 2 3 3" xfId="22928" xr:uid="{EE01DA18-7C9A-408C-8A72-495B3C5DAB87}"/>
    <cellStyle name="Normal 2 2 3 4 2 2 3 4" xfId="39687" xr:uid="{896D96C9-627A-45EA-B49F-4655CE101625}"/>
    <cellStyle name="Normal 2 2 3 4 2 2 4" xfId="2904" xr:uid="{7943BC4F-1DE7-40E2-816F-8805E97F521A}"/>
    <cellStyle name="Normal 2 2 3 4 2 2 4 2" xfId="11284" xr:uid="{1A7939F8-B412-4273-96CD-738B5F779F2F}"/>
    <cellStyle name="Normal 2 2 3 4 2 2 4 2 2" xfId="28044" xr:uid="{0FFE0BBE-7493-40A3-8E8A-2368104C47A5}"/>
    <cellStyle name="Normal 2 2 3 4 2 2 4 2 3" xfId="44803" xr:uid="{382DFD6A-6A0F-4BB8-B26F-8EB5F1E4050A}"/>
    <cellStyle name="Normal 2 2 3 4 2 2 4 3" xfId="19664" xr:uid="{9A6EB9DB-0168-4403-8CB1-0E1009D3FB61}"/>
    <cellStyle name="Normal 2 2 3 4 2 2 4 4" xfId="36423" xr:uid="{266558D3-7788-46A8-B442-8E3D24DDD4D8}"/>
    <cellStyle name="Normal 2 2 3 4 2 2 5" xfId="9481" xr:uid="{CCF14839-58D7-4114-A526-EC83603CF41C}"/>
    <cellStyle name="Normal 2 2 3 4 2 2 5 2" xfId="26241" xr:uid="{4375109A-8F4E-4930-B6EB-1D55CEBA6BA2}"/>
    <cellStyle name="Normal 2 2 3 4 2 2 5 3" xfId="43000" xr:uid="{183F3F48-81E3-483C-8720-FDC4F2C11961}"/>
    <cellStyle name="Normal 2 2 3 4 2 2 6" xfId="17861" xr:uid="{A6F8C6C9-6FC8-446D-A8A3-73EAA598D720}"/>
    <cellStyle name="Normal 2 2 3 4 2 2 7" xfId="34620" xr:uid="{9BB62148-04D4-4E79-BB43-EC77011E968B}"/>
    <cellStyle name="Normal 2 2 3 4 2 3" xfId="1520" xr:uid="{415A2B51-0D7C-42DA-AB9B-31D797AA9F8D}"/>
    <cellStyle name="Normal 2 2 3 4 2 3 2" xfId="4909" xr:uid="{89BBEACE-D846-4197-B6B6-17230E2EE5EE}"/>
    <cellStyle name="Normal 2 2 3 4 2 3 2 2" xfId="13289" xr:uid="{3794B6E5-3B99-4879-9502-AF522A96679C}"/>
    <cellStyle name="Normal 2 2 3 4 2 3 2 2 2" xfId="30049" xr:uid="{125EEBDA-460F-46FE-9071-DD22FC602996}"/>
    <cellStyle name="Normal 2 2 3 4 2 3 2 2 3" xfId="46808" xr:uid="{BA7D28E5-20C5-44C4-B255-F0B947E01EAD}"/>
    <cellStyle name="Normal 2 2 3 4 2 3 2 3" xfId="21669" xr:uid="{70F7C1EB-BA5F-426C-B31A-CF6668C61A90}"/>
    <cellStyle name="Normal 2 2 3 4 2 3 2 4" xfId="38428" xr:uid="{32A5574D-5268-4F1F-B033-14514DA29373}"/>
    <cellStyle name="Normal 2 2 3 4 2 3 3" xfId="6596" xr:uid="{B24E2C52-C51E-4482-844B-5C0D4EAF7515}"/>
    <cellStyle name="Normal 2 2 3 4 2 3 3 2" xfId="14976" xr:uid="{B405879E-831B-4925-9C36-80197AACF1B0}"/>
    <cellStyle name="Normal 2 2 3 4 2 3 3 2 2" xfId="31736" xr:uid="{0E7B85A2-0D24-43BF-ADE8-13EF3EC0CB84}"/>
    <cellStyle name="Normal 2 2 3 4 2 3 3 2 3" xfId="48495" xr:uid="{A3A32B1F-A30E-46E2-B869-E2F54209BF16}"/>
    <cellStyle name="Normal 2 2 3 4 2 3 3 3" xfId="23356" xr:uid="{AD15ED17-4280-4AAC-8C06-522BE1B2D616}"/>
    <cellStyle name="Normal 2 2 3 4 2 3 3 4" xfId="40115" xr:uid="{3B1E56CA-C95A-4C24-A334-C40F8B95658A}"/>
    <cellStyle name="Normal 2 2 3 4 2 3 4" xfId="3332" xr:uid="{44F03B16-3C47-47B8-B7D6-8E1B95AC4680}"/>
    <cellStyle name="Normal 2 2 3 4 2 3 4 2" xfId="11712" xr:uid="{7E41D968-E2E6-4E98-B481-95AB4EA2014F}"/>
    <cellStyle name="Normal 2 2 3 4 2 3 4 2 2" xfId="28472" xr:uid="{A635A17C-5CB0-41AF-A11C-711E48F64E11}"/>
    <cellStyle name="Normal 2 2 3 4 2 3 4 2 3" xfId="45231" xr:uid="{382A178C-DE0D-4BB9-AF2E-126BFD07372E}"/>
    <cellStyle name="Normal 2 2 3 4 2 3 4 3" xfId="20092" xr:uid="{C5C559F2-4F4A-4DEE-BEC7-4118FC53D470}"/>
    <cellStyle name="Normal 2 2 3 4 2 3 4 4" xfId="36851" xr:uid="{E11D4CFA-1CA1-473A-8F75-B783DAE4364B}"/>
    <cellStyle name="Normal 2 2 3 4 2 3 5" xfId="9909" xr:uid="{37E016A0-CF97-4235-8EBE-B185DBF85ACA}"/>
    <cellStyle name="Normal 2 2 3 4 2 3 5 2" xfId="26669" xr:uid="{57D581E7-57BC-4DEE-9311-A96C12C05B4E}"/>
    <cellStyle name="Normal 2 2 3 4 2 3 5 3" xfId="43428" xr:uid="{D2E02757-FAAF-4671-BAE0-53C4A11922FE}"/>
    <cellStyle name="Normal 2 2 3 4 2 3 6" xfId="18289" xr:uid="{B8F9474D-0C21-4AF0-B320-DB9C965A4A1D}"/>
    <cellStyle name="Normal 2 2 3 4 2 3 7" xfId="35048" xr:uid="{003385FD-E193-43A6-A755-1A07E25934AC}"/>
    <cellStyle name="Normal 2 2 3 4 2 4" xfId="1847" xr:uid="{5A3DE7AD-433F-4D95-8F36-0AD141D29239}"/>
    <cellStyle name="Normal 2 2 3 4 2 4 2" xfId="5236" xr:uid="{BE95E08D-491A-4B50-8BB0-07CEC023C48A}"/>
    <cellStyle name="Normal 2 2 3 4 2 4 2 2" xfId="13616" xr:uid="{8494B689-7BEC-499C-B747-633794313272}"/>
    <cellStyle name="Normal 2 2 3 4 2 4 2 2 2" xfId="30376" xr:uid="{04C9B37E-CE34-4962-9454-7EB6EF08C0F6}"/>
    <cellStyle name="Normal 2 2 3 4 2 4 2 2 3" xfId="47135" xr:uid="{688BA8F7-699F-49BA-B128-63BB3C2666C5}"/>
    <cellStyle name="Normal 2 2 3 4 2 4 2 3" xfId="21996" xr:uid="{EFEB3FF1-FC85-451D-B91E-A32BC50B1089}"/>
    <cellStyle name="Normal 2 2 3 4 2 4 2 4" xfId="38755" xr:uid="{9E8D2AA1-1556-4920-A0F2-8FDED80306EB}"/>
    <cellStyle name="Normal 2 2 3 4 2 4 3" xfId="6923" xr:uid="{D13F53AE-798D-41AF-B35C-4E27EA2D490C}"/>
    <cellStyle name="Normal 2 2 3 4 2 4 3 2" xfId="15303" xr:uid="{E211FE3C-EE4E-45D8-AFA8-C43EEC10C593}"/>
    <cellStyle name="Normal 2 2 3 4 2 4 3 2 2" xfId="32063" xr:uid="{344E4AE0-DA91-4EB9-B540-8A003F620BBE}"/>
    <cellStyle name="Normal 2 2 3 4 2 4 3 2 3" xfId="48822" xr:uid="{C48A5150-9110-409A-8749-27680BE652FC}"/>
    <cellStyle name="Normal 2 2 3 4 2 4 3 3" xfId="23683" xr:uid="{F766EA86-0E2D-4D40-9954-24522F81E759}"/>
    <cellStyle name="Normal 2 2 3 4 2 4 3 4" xfId="40442" xr:uid="{E8F43A5C-DE8A-4F64-AD95-815A0046FEEE}"/>
    <cellStyle name="Normal 2 2 3 4 2 4 4" xfId="3547" xr:uid="{A8F7A663-2FE3-4E82-A4B1-6B2FB52D44AF}"/>
    <cellStyle name="Normal 2 2 3 4 2 4 4 2" xfId="11927" xr:uid="{5F212123-1BB3-41AE-898E-2FCAD452AB58}"/>
    <cellStyle name="Normal 2 2 3 4 2 4 4 2 2" xfId="28687" xr:uid="{52163CF2-2231-4851-BB26-700681767633}"/>
    <cellStyle name="Normal 2 2 3 4 2 4 4 2 3" xfId="45446" xr:uid="{402C7EAD-F065-4D4C-890A-9DAC34C0504C}"/>
    <cellStyle name="Normal 2 2 3 4 2 4 4 3" xfId="20307" xr:uid="{54B7E560-07E1-49B1-B049-D8044381179C}"/>
    <cellStyle name="Normal 2 2 3 4 2 4 4 4" xfId="37066" xr:uid="{3206B3AE-991B-4A00-BF02-C3CE615623F1}"/>
    <cellStyle name="Normal 2 2 3 4 2 4 5" xfId="10236" xr:uid="{3AA5FE22-D9F9-429F-8239-8EC3EE5BEBBB}"/>
    <cellStyle name="Normal 2 2 3 4 2 4 5 2" xfId="26996" xr:uid="{9D162CAF-AC10-4D3C-893B-64423D73A24D}"/>
    <cellStyle name="Normal 2 2 3 4 2 4 5 3" xfId="43755" xr:uid="{A87D5397-8107-42E4-85AB-45656FAD525F}"/>
    <cellStyle name="Normal 2 2 3 4 2 4 6" xfId="18616" xr:uid="{1330CF66-C1DD-444B-ABC6-FE2A66A4404F}"/>
    <cellStyle name="Normal 2 2 3 4 2 4 7" xfId="35375" xr:uid="{1C7AE7F5-190D-4694-B5EC-98B84E1EAC74}"/>
    <cellStyle name="Normal 2 2 3 4 2 5" xfId="3966" xr:uid="{49D4407E-3091-42D7-BE13-C7E3009DBEC4}"/>
    <cellStyle name="Normal 2 2 3 4 2 5 2" xfId="12346" xr:uid="{61B98272-9C95-46B1-83F1-CBCFA88C7B3F}"/>
    <cellStyle name="Normal 2 2 3 4 2 5 2 2" xfId="29106" xr:uid="{31CD2C4E-40FF-448E-9B43-3551ABBD570A}"/>
    <cellStyle name="Normal 2 2 3 4 2 5 2 3" xfId="45865" xr:uid="{073365EA-B102-4BC8-B5E8-4AAF8AE26FEA}"/>
    <cellStyle name="Normal 2 2 3 4 2 5 3" xfId="20726" xr:uid="{E199E06C-0D06-4779-8BA3-20CD34161AB5}"/>
    <cellStyle name="Normal 2 2 3 4 2 5 4" xfId="37485" xr:uid="{0CA9C046-BBCA-471F-B9B5-EA80EA4EFA92}"/>
    <cellStyle name="Normal 2 2 3 4 2 6" xfId="5742" xr:uid="{EC78B4A5-EDCA-4EF9-868F-1E1174A5ED75}"/>
    <cellStyle name="Normal 2 2 3 4 2 6 2" xfId="14122" xr:uid="{C4D5E63F-D4FA-44A9-AF35-1C4194675EAC}"/>
    <cellStyle name="Normal 2 2 3 4 2 6 2 2" xfId="30882" xr:uid="{83E5B916-94FB-4D22-9231-FE7DE172F771}"/>
    <cellStyle name="Normal 2 2 3 4 2 6 2 3" xfId="47641" xr:uid="{DD7F117E-2B21-4256-B373-FBD663260C25}"/>
    <cellStyle name="Normal 2 2 3 4 2 6 3" xfId="22502" xr:uid="{50635653-3765-42E5-B01B-46D38F185298}"/>
    <cellStyle name="Normal 2 2 3 4 2 6 4" xfId="39261" xr:uid="{3A54358D-CF16-4380-8500-2185D78510BF}"/>
    <cellStyle name="Normal 2 2 3 4 2 7" xfId="7329" xr:uid="{0A8A1740-66E6-4BBB-B61A-5C0C49BB4592}"/>
    <cellStyle name="Normal 2 2 3 4 2 7 2" xfId="15709" xr:uid="{FE514608-5768-4684-8ED3-874ED070AFDF}"/>
    <cellStyle name="Normal 2 2 3 4 2 7 2 2" xfId="32469" xr:uid="{4A8F71F9-3ED4-4351-AFB4-C4C415D9071D}"/>
    <cellStyle name="Normal 2 2 3 4 2 7 2 3" xfId="49228" xr:uid="{5D349C1A-1D7A-45C0-887B-BAA1A0F07F8E}"/>
    <cellStyle name="Normal 2 2 3 4 2 7 3" xfId="24089" xr:uid="{AD993361-6995-4892-9A03-13AC27442FB7}"/>
    <cellStyle name="Normal 2 2 3 4 2 7 4" xfId="40848" xr:uid="{14E36FE4-DFDA-4C87-848B-DF8C08EFBBC3}"/>
    <cellStyle name="Normal 2 2 3 4 2 8" xfId="7735" xr:uid="{5F9B8507-098B-4C18-AF08-FB862399396A}"/>
    <cellStyle name="Normal 2 2 3 4 2 8 2" xfId="16115" xr:uid="{D77CC1CA-0C8C-4D58-8A93-F87BA5091338}"/>
    <cellStyle name="Normal 2 2 3 4 2 8 2 2" xfId="32875" xr:uid="{3C7A18C0-C932-4C0F-AB13-784B7C1659E0}"/>
    <cellStyle name="Normal 2 2 3 4 2 8 2 3" xfId="49634" xr:uid="{7EBF2B7D-D254-40C5-887F-94C5C4D0F0B0}"/>
    <cellStyle name="Normal 2 2 3 4 2 8 3" xfId="24495" xr:uid="{B99D76C0-DBEB-4D07-81F5-FD32D97F2BBE}"/>
    <cellStyle name="Normal 2 2 3 4 2 8 4" xfId="41254" xr:uid="{B46F162E-6103-46D8-B734-AE1B772B93B5}"/>
    <cellStyle name="Normal 2 2 3 4 2 9" xfId="8141" xr:uid="{55FA988A-EB4D-4648-8708-67991F9AC230}"/>
    <cellStyle name="Normal 2 2 3 4 2 9 2" xfId="16521" xr:uid="{32E1DF63-F038-486B-8724-0392E2E1DB55}"/>
    <cellStyle name="Normal 2 2 3 4 2 9 2 2" xfId="33281" xr:uid="{CFA1ED88-D4E0-4243-A99C-89027B7AD022}"/>
    <cellStyle name="Normal 2 2 3 4 2 9 2 3" xfId="50040" xr:uid="{48779AC0-F46C-4FEF-A782-353EDFA02C6D}"/>
    <cellStyle name="Normal 2 2 3 4 2 9 3" xfId="24901" xr:uid="{FE17A374-C05A-4812-87AE-F01C1E4DF3FD}"/>
    <cellStyle name="Normal 2 2 3 4 2 9 4" xfId="41660" xr:uid="{E450FCA6-8918-4798-A71A-FE3E28463C0F}"/>
    <cellStyle name="Normal 2 2 3 4 3" xfId="645" xr:uid="{29742FF3-1734-4752-AB0B-84164A139E95}"/>
    <cellStyle name="Normal 2 2 3 4 3 10" xfId="8664" xr:uid="{60AC0F5D-7DB5-4FC2-83F2-2019D77E63D3}"/>
    <cellStyle name="Normal 2 2 3 4 3 10 2" xfId="17044" xr:uid="{536B0754-FD74-4426-AA0A-6383E371A3DC}"/>
    <cellStyle name="Normal 2 2 3 4 3 10 2 2" xfId="33804" xr:uid="{E6A84F64-4508-4754-93E9-3AB7FB05059D}"/>
    <cellStyle name="Normal 2 2 3 4 3 10 2 3" xfId="50563" xr:uid="{824ECAF3-64C1-485D-925D-6801B5874761}"/>
    <cellStyle name="Normal 2 2 3 4 3 10 3" xfId="25424" xr:uid="{F94D0DB1-31E6-4123-8DEC-E25F1A46B92F}"/>
    <cellStyle name="Normal 2 2 3 4 3 10 4" xfId="42183" xr:uid="{4EC2FB27-2242-4F43-B8B3-C0E6A164C646}"/>
    <cellStyle name="Normal 2 2 3 4 3 11" xfId="2477" xr:uid="{8A203851-EF7A-4C25-B8F6-CF04E2D32C23}"/>
    <cellStyle name="Normal 2 2 3 4 3 11 2" xfId="10859" xr:uid="{4109EA97-D2D6-4965-88F6-6D24F2BB6130}"/>
    <cellStyle name="Normal 2 2 3 4 3 11 2 2" xfId="27619" xr:uid="{3A76608D-1FA9-4C87-9B0A-0F1F757B87A5}"/>
    <cellStyle name="Normal 2 2 3 4 3 11 2 3" xfId="44378" xr:uid="{0CCD7850-1F56-4115-B239-3FA5C5F7AB0D}"/>
    <cellStyle name="Normal 2 2 3 4 3 11 3" xfId="19239" xr:uid="{3788AA84-4057-46AF-9A13-33CB34DE49B2}"/>
    <cellStyle name="Normal 2 2 3 4 3 11 4" xfId="35998" xr:uid="{54875651-F893-424E-8A60-75FAE78EAECE}"/>
    <cellStyle name="Normal 2 2 3 4 3 12" xfId="9056" xr:uid="{AF9E5E45-8C6C-4E1F-90A1-4A3BAC7A37B0}"/>
    <cellStyle name="Normal 2 2 3 4 3 12 2" xfId="25816" xr:uid="{BB057084-3D55-4F33-BCD9-3F9D82549BF1}"/>
    <cellStyle name="Normal 2 2 3 4 3 12 3" xfId="42575" xr:uid="{7C5ABFB0-3FBB-48DA-B106-681EBDF86B98}"/>
    <cellStyle name="Normal 2 2 3 4 3 13" xfId="17436" xr:uid="{59884237-D904-4F3A-A70F-14A68B835554}"/>
    <cellStyle name="Normal 2 2 3 4 3 14" xfId="34195" xr:uid="{8B54B62E-0478-4568-8115-FCA718BEA0C3}"/>
    <cellStyle name="Normal 2 2 3 4 3 2" xfId="1087" xr:uid="{6B5D1124-FA17-4C47-842F-55C9F129788A}"/>
    <cellStyle name="Normal 2 2 3 4 3 2 2" xfId="4482" xr:uid="{CA5879F6-5BD3-4679-9F77-00C4C24692E3}"/>
    <cellStyle name="Normal 2 2 3 4 3 2 2 2" xfId="12862" xr:uid="{3759637D-7FCE-4EED-836B-1AE77A013883}"/>
    <cellStyle name="Normal 2 2 3 4 3 2 2 2 2" xfId="29622" xr:uid="{BFB38850-ECA9-483D-A75F-001ECFFFF1FA}"/>
    <cellStyle name="Normal 2 2 3 4 3 2 2 2 3" xfId="46381" xr:uid="{A774F9A5-E317-4023-9809-DA82BB20C623}"/>
    <cellStyle name="Normal 2 2 3 4 3 2 2 3" xfId="21242" xr:uid="{1B1678E0-78C9-4FB3-B810-8383BBBBD531}"/>
    <cellStyle name="Normal 2 2 3 4 3 2 2 4" xfId="38001" xr:uid="{C14D14E6-C431-42FD-BB63-EEC4D99DCC32}"/>
    <cellStyle name="Normal 2 2 3 4 3 2 3" xfId="6169" xr:uid="{82CC44E7-2D94-4557-B86F-E650AF22B6D1}"/>
    <cellStyle name="Normal 2 2 3 4 3 2 3 2" xfId="14549" xr:uid="{60B3A59C-BFFD-4D5E-B9D1-E2F11D63472D}"/>
    <cellStyle name="Normal 2 2 3 4 3 2 3 2 2" xfId="31309" xr:uid="{6A638466-C115-41C1-8553-599D9170D05D}"/>
    <cellStyle name="Normal 2 2 3 4 3 2 3 2 3" xfId="48068" xr:uid="{009AE540-4D09-4DA4-8A56-7A13BBA2E42E}"/>
    <cellStyle name="Normal 2 2 3 4 3 2 3 3" xfId="22929" xr:uid="{5CCC0451-F56E-400F-BA19-157A7410427A}"/>
    <cellStyle name="Normal 2 2 3 4 3 2 3 4" xfId="39688" xr:uid="{001A5B3A-38E2-4AB5-8AD9-1268E4AF5F60}"/>
    <cellStyle name="Normal 2 2 3 4 3 2 4" xfId="2905" xr:uid="{7DB4BBAC-EF3A-4372-9A1E-737B20BF9579}"/>
    <cellStyle name="Normal 2 2 3 4 3 2 4 2" xfId="11285" xr:uid="{B8F7A3F8-4F4E-49F5-8A53-4F1F22E540EB}"/>
    <cellStyle name="Normal 2 2 3 4 3 2 4 2 2" xfId="28045" xr:uid="{8450C56E-B1CD-48CC-AED9-ECB182D2B6BA}"/>
    <cellStyle name="Normal 2 2 3 4 3 2 4 2 3" xfId="44804" xr:uid="{60496F9A-2118-439F-B959-84B5B1C0EE2B}"/>
    <cellStyle name="Normal 2 2 3 4 3 2 4 3" xfId="19665" xr:uid="{B89851C4-B222-48CF-AB46-9DDDA77B0672}"/>
    <cellStyle name="Normal 2 2 3 4 3 2 4 4" xfId="36424" xr:uid="{1CBC781A-2858-4E0F-B5E8-006EC68A6A86}"/>
    <cellStyle name="Normal 2 2 3 4 3 2 5" xfId="9482" xr:uid="{22AC9976-94B2-470A-A1E6-81B0084BE251}"/>
    <cellStyle name="Normal 2 2 3 4 3 2 5 2" xfId="26242" xr:uid="{B25E41D0-FC1D-43F9-8AD5-AD08BC91240E}"/>
    <cellStyle name="Normal 2 2 3 4 3 2 5 3" xfId="43001" xr:uid="{23250F1F-6A16-48AA-B5DF-C3977CC6AF65}"/>
    <cellStyle name="Normal 2 2 3 4 3 2 6" xfId="17862" xr:uid="{5FAB48CF-3D74-4621-88F4-44857665D681}"/>
    <cellStyle name="Normal 2 2 3 4 3 2 7" xfId="34621" xr:uid="{4A36B0B2-224B-4BD4-A1E1-2D12DC67B17F}"/>
    <cellStyle name="Normal 2 2 3 4 3 3" xfId="1521" xr:uid="{BEE57FC4-A82D-4519-BE84-13CC6258E32B}"/>
    <cellStyle name="Normal 2 2 3 4 3 3 2" xfId="4910" xr:uid="{09F2F5DB-28BC-47F3-88F6-1D5686EFEF8F}"/>
    <cellStyle name="Normal 2 2 3 4 3 3 2 2" xfId="13290" xr:uid="{4DF3ECE2-5165-45D2-B5BD-8316E389E74E}"/>
    <cellStyle name="Normal 2 2 3 4 3 3 2 2 2" xfId="30050" xr:uid="{C5A26DF5-9627-41F2-B4FF-0C2B83AEE6DE}"/>
    <cellStyle name="Normal 2 2 3 4 3 3 2 2 3" xfId="46809" xr:uid="{B6214B77-EA06-46AF-923B-6F7FC1FAFB2B}"/>
    <cellStyle name="Normal 2 2 3 4 3 3 2 3" xfId="21670" xr:uid="{EC4C7E08-48C8-447A-B7D0-65B848C06999}"/>
    <cellStyle name="Normal 2 2 3 4 3 3 2 4" xfId="38429" xr:uid="{C8A2085C-59A0-4454-B674-A1DE0BCE7875}"/>
    <cellStyle name="Normal 2 2 3 4 3 3 3" xfId="6597" xr:uid="{4E12F13E-2458-4508-A3EA-8A760178508B}"/>
    <cellStyle name="Normal 2 2 3 4 3 3 3 2" xfId="14977" xr:uid="{1AD50641-ED5F-46F6-AD39-EDAC265C7485}"/>
    <cellStyle name="Normal 2 2 3 4 3 3 3 2 2" xfId="31737" xr:uid="{BA13F3E4-B734-4937-B129-F208A70016C4}"/>
    <cellStyle name="Normal 2 2 3 4 3 3 3 2 3" xfId="48496" xr:uid="{069836A4-EF56-47EB-BCDD-C6591C43C51B}"/>
    <cellStyle name="Normal 2 2 3 4 3 3 3 3" xfId="23357" xr:uid="{9F931EB8-EB47-4147-B7F5-60708B276E1B}"/>
    <cellStyle name="Normal 2 2 3 4 3 3 3 4" xfId="40116" xr:uid="{45C97D55-6503-47B7-B899-774D4C35FCBC}"/>
    <cellStyle name="Normal 2 2 3 4 3 3 4" xfId="3333" xr:uid="{66635E97-E326-4946-84E1-D7AD46A592B6}"/>
    <cellStyle name="Normal 2 2 3 4 3 3 4 2" xfId="11713" xr:uid="{581130E7-E61C-4FD6-9224-E207E6252937}"/>
    <cellStyle name="Normal 2 2 3 4 3 3 4 2 2" xfId="28473" xr:uid="{9CA54616-F42D-48C8-86E8-F6C27EC8E018}"/>
    <cellStyle name="Normal 2 2 3 4 3 3 4 2 3" xfId="45232" xr:uid="{CD4B2274-0609-4A89-85C8-FDA3D514FCBC}"/>
    <cellStyle name="Normal 2 2 3 4 3 3 4 3" xfId="20093" xr:uid="{53347D80-2A14-4183-BC58-F92C24A2338F}"/>
    <cellStyle name="Normal 2 2 3 4 3 3 4 4" xfId="36852" xr:uid="{7558CCFF-B0AF-4A89-AC28-9E3D92D196AF}"/>
    <cellStyle name="Normal 2 2 3 4 3 3 5" xfId="9910" xr:uid="{9FA68E95-3ACC-4FD5-A56A-1EA571CFB1C1}"/>
    <cellStyle name="Normal 2 2 3 4 3 3 5 2" xfId="26670" xr:uid="{B8DCDF5A-421D-46A2-921E-A4B380A48553}"/>
    <cellStyle name="Normal 2 2 3 4 3 3 5 3" xfId="43429" xr:uid="{CB8FEC33-1B68-4DFA-9C4B-7B7C42D85530}"/>
    <cellStyle name="Normal 2 2 3 4 3 3 6" xfId="18290" xr:uid="{3254EFA9-AECA-43D5-BCA1-86737D9B1353}"/>
    <cellStyle name="Normal 2 2 3 4 3 3 7" xfId="35049" xr:uid="{C8E1B051-A8B0-4FC8-BE26-B046012EF29C}"/>
    <cellStyle name="Normal 2 2 3 4 3 4" xfId="1964" xr:uid="{0A5AFCDC-3E72-4732-9D27-D36F306FFBEA}"/>
    <cellStyle name="Normal 2 2 3 4 3 4 2" xfId="5353" xr:uid="{2F6F36B9-EEAE-4ED2-813E-5E193BD9CAFF}"/>
    <cellStyle name="Normal 2 2 3 4 3 4 2 2" xfId="13733" xr:uid="{77B87E3B-BF07-4914-BCBD-8960A7F13C0D}"/>
    <cellStyle name="Normal 2 2 3 4 3 4 2 2 2" xfId="30493" xr:uid="{E58CBF3E-E315-4C1E-B714-6E66E17D4165}"/>
    <cellStyle name="Normal 2 2 3 4 3 4 2 2 3" xfId="47252" xr:uid="{3B6183A5-CF00-486C-9AE2-5718849003B5}"/>
    <cellStyle name="Normal 2 2 3 4 3 4 2 3" xfId="22113" xr:uid="{65F28F45-EA84-4966-A83B-B813D569EA28}"/>
    <cellStyle name="Normal 2 2 3 4 3 4 2 4" xfId="38872" xr:uid="{AF182CDD-FF2C-4F25-847F-D2C7617F931D}"/>
    <cellStyle name="Normal 2 2 3 4 3 4 3" xfId="7040" xr:uid="{B540023A-C4E2-49E5-AA16-46C9364652E6}"/>
    <cellStyle name="Normal 2 2 3 4 3 4 3 2" xfId="15420" xr:uid="{C6685206-2FEF-4934-A4B9-E8E43138FC89}"/>
    <cellStyle name="Normal 2 2 3 4 3 4 3 2 2" xfId="32180" xr:uid="{36C8369B-6941-4DFD-BE21-92FD2349E971}"/>
    <cellStyle name="Normal 2 2 3 4 3 4 3 2 3" xfId="48939" xr:uid="{077DBA62-28F3-40E6-994E-B7AB7AD08844}"/>
    <cellStyle name="Normal 2 2 3 4 3 4 3 3" xfId="23800" xr:uid="{5E18E17D-DD62-4E86-B2C9-54CD1E325FA2}"/>
    <cellStyle name="Normal 2 2 3 4 3 4 3 4" xfId="40559" xr:uid="{867D630F-8261-4420-B779-C41C7FD15911}"/>
    <cellStyle name="Normal 2 2 3 4 3 4 4" xfId="3663" xr:uid="{7961E82C-44A9-44F4-8507-5D747FE77273}"/>
    <cellStyle name="Normal 2 2 3 4 3 4 4 2" xfId="12043" xr:uid="{7C2D1B0F-B46A-4D23-8B91-935575B3B0C1}"/>
    <cellStyle name="Normal 2 2 3 4 3 4 4 2 2" xfId="28803" xr:uid="{73C3C47D-DA7A-4D1D-8142-C718083ADCF0}"/>
    <cellStyle name="Normal 2 2 3 4 3 4 4 2 3" xfId="45562" xr:uid="{1C414DB2-EAD3-46D2-B74C-A40120F1DCDD}"/>
    <cellStyle name="Normal 2 2 3 4 3 4 4 3" xfId="20423" xr:uid="{6AE7EA5D-2741-4B33-84AD-2C7E2C55C3CA}"/>
    <cellStyle name="Normal 2 2 3 4 3 4 4 4" xfId="37182" xr:uid="{41BE8AE8-AB7C-4F81-8E07-05337322183F}"/>
    <cellStyle name="Normal 2 2 3 4 3 4 5" xfId="10353" xr:uid="{81B0BD17-9CB7-4943-919E-FB42E279A831}"/>
    <cellStyle name="Normal 2 2 3 4 3 4 5 2" xfId="27113" xr:uid="{0B24EDEE-280A-4AC2-B038-93F3F8CB7CE8}"/>
    <cellStyle name="Normal 2 2 3 4 3 4 5 3" xfId="43872" xr:uid="{0A68E72A-40BF-4D9A-A670-078D29392D8B}"/>
    <cellStyle name="Normal 2 2 3 4 3 4 6" xfId="18733" xr:uid="{D1764184-29EE-4F5D-AC1A-625258FBBE63}"/>
    <cellStyle name="Normal 2 2 3 4 3 4 7" xfId="35492" xr:uid="{9ED637AE-AFDA-49F4-8818-4112520922AC}"/>
    <cellStyle name="Normal 2 2 3 4 3 5" xfId="4083" xr:uid="{62D290FB-15DC-4008-AD39-E69CB50C2396}"/>
    <cellStyle name="Normal 2 2 3 4 3 5 2" xfId="12463" xr:uid="{3EEA0D3D-D3E8-429A-AF55-752A167F9415}"/>
    <cellStyle name="Normal 2 2 3 4 3 5 2 2" xfId="29223" xr:uid="{308621E3-7F30-4625-B996-5140F9F20EEB}"/>
    <cellStyle name="Normal 2 2 3 4 3 5 2 3" xfId="45982" xr:uid="{CB70F195-B020-4538-907E-C53FCEF304F5}"/>
    <cellStyle name="Normal 2 2 3 4 3 5 3" xfId="20843" xr:uid="{4C7081E6-D793-4DC0-825A-38FB39C1A0A3}"/>
    <cellStyle name="Normal 2 2 3 4 3 5 4" xfId="37602" xr:uid="{50CB97E1-D113-4992-BC25-4A346A0E5911}"/>
    <cellStyle name="Normal 2 2 3 4 3 6" xfId="5743" xr:uid="{E0863BD3-FC3D-4DA2-8D68-2F6B071E1965}"/>
    <cellStyle name="Normal 2 2 3 4 3 6 2" xfId="14123" xr:uid="{CFFB82EA-ABB6-425F-90EF-DDD308226472}"/>
    <cellStyle name="Normal 2 2 3 4 3 6 2 2" xfId="30883" xr:uid="{6F198CFE-18B0-4D06-967A-8E492A5EC508}"/>
    <cellStyle name="Normal 2 2 3 4 3 6 2 3" xfId="47642" xr:uid="{15B88087-27A0-4CE8-B1D1-0C829A997863}"/>
    <cellStyle name="Normal 2 2 3 4 3 6 3" xfId="22503" xr:uid="{16F4D0E5-7F61-4B16-BC1B-C7CA8FDD261F}"/>
    <cellStyle name="Normal 2 2 3 4 3 6 4" xfId="39262" xr:uid="{98D494AC-783A-4DD7-97BD-7DCB27355630}"/>
    <cellStyle name="Normal 2 2 3 4 3 7" xfId="7446" xr:uid="{7350C2A7-6C4F-4F79-B528-819337D601FD}"/>
    <cellStyle name="Normal 2 2 3 4 3 7 2" xfId="15826" xr:uid="{ED592E0D-5C2E-48F7-BEC4-86E4624DF950}"/>
    <cellStyle name="Normal 2 2 3 4 3 7 2 2" xfId="32586" xr:uid="{0CA76C58-0975-4BFD-9F49-5CB4DE369015}"/>
    <cellStyle name="Normal 2 2 3 4 3 7 2 3" xfId="49345" xr:uid="{0EB7A84A-DEA9-4411-84AB-5548B280E386}"/>
    <cellStyle name="Normal 2 2 3 4 3 7 3" xfId="24206" xr:uid="{13485DF7-C9AA-47BC-9E24-C729DF43DB72}"/>
    <cellStyle name="Normal 2 2 3 4 3 7 4" xfId="40965" xr:uid="{D9D5011D-6FC9-41CA-949D-33A80A24AEC4}"/>
    <cellStyle name="Normal 2 2 3 4 3 8" xfId="7852" xr:uid="{A19B5C38-F378-4556-8C70-46E6E8C1D8DB}"/>
    <cellStyle name="Normal 2 2 3 4 3 8 2" xfId="16232" xr:uid="{8228FF96-5253-4177-807D-516B07EDEE6F}"/>
    <cellStyle name="Normal 2 2 3 4 3 8 2 2" xfId="32992" xr:uid="{EA3D46D0-E9C4-4B44-B67D-6CBA3FA19806}"/>
    <cellStyle name="Normal 2 2 3 4 3 8 2 3" xfId="49751" xr:uid="{2FBCC984-7EF8-4E33-A6FD-39BC945DCED8}"/>
    <cellStyle name="Normal 2 2 3 4 3 8 3" xfId="24612" xr:uid="{F2B563E3-7941-4997-BF3D-4DC710BD1B35}"/>
    <cellStyle name="Normal 2 2 3 4 3 8 4" xfId="41371" xr:uid="{4BA7EEBF-7128-48D0-BCCD-11E9FDFE4E96}"/>
    <cellStyle name="Normal 2 2 3 4 3 9" xfId="8258" xr:uid="{8AF9F350-D54C-4197-B73B-F2219BF616FE}"/>
    <cellStyle name="Normal 2 2 3 4 3 9 2" xfId="16638" xr:uid="{4194617C-C9AC-4D2A-8CAC-F7AAD58FBE29}"/>
    <cellStyle name="Normal 2 2 3 4 3 9 2 2" xfId="33398" xr:uid="{49131EEA-62D3-4FDE-B483-4154ED1457EC}"/>
    <cellStyle name="Normal 2 2 3 4 3 9 2 3" xfId="50157" xr:uid="{49EBB724-0F06-4778-B8E3-650EBF006911}"/>
    <cellStyle name="Normal 2 2 3 4 3 9 3" xfId="25018" xr:uid="{5E35DDF1-445D-44BB-878D-6B644E5924B6}"/>
    <cellStyle name="Normal 2 2 3 4 3 9 4" xfId="41777" xr:uid="{E311B16C-36CE-4D7F-A466-ED02321F175A}"/>
    <cellStyle name="Normal 2 2 3 4 4" xfId="1085" xr:uid="{25BD52A7-B8EB-460E-95A3-6BA9B0D14BEC}"/>
    <cellStyle name="Normal 2 2 3 4 4 2" xfId="4480" xr:uid="{ABF3702D-6152-4455-BED5-8F2354A99956}"/>
    <cellStyle name="Normal 2 2 3 4 4 2 2" xfId="12860" xr:uid="{34B57979-3A86-4713-83A1-99FE59AD6A3F}"/>
    <cellStyle name="Normal 2 2 3 4 4 2 2 2" xfId="29620" xr:uid="{945A33DC-E215-449B-982F-2399A572EC59}"/>
    <cellStyle name="Normal 2 2 3 4 4 2 2 3" xfId="46379" xr:uid="{6B85CF14-EBBC-4697-B26B-F0BFECA1606B}"/>
    <cellStyle name="Normal 2 2 3 4 4 2 3" xfId="21240" xr:uid="{B2EC8CA2-002F-4931-A898-2E016971EFB0}"/>
    <cellStyle name="Normal 2 2 3 4 4 2 4" xfId="37999" xr:uid="{0A106D33-B139-4136-85D6-3C381A4D078B}"/>
    <cellStyle name="Normal 2 2 3 4 4 3" xfId="6167" xr:uid="{BA981FBE-7DAD-477C-96DB-7A6D276F8746}"/>
    <cellStyle name="Normal 2 2 3 4 4 3 2" xfId="14547" xr:uid="{720ACFB5-4A31-45F6-80F6-706D5271F177}"/>
    <cellStyle name="Normal 2 2 3 4 4 3 2 2" xfId="31307" xr:uid="{CFAF09D7-D509-460C-A8D0-F603F3E18BE2}"/>
    <cellStyle name="Normal 2 2 3 4 4 3 2 3" xfId="48066" xr:uid="{1A686C71-9478-45AE-B49B-21F6C88CCFE4}"/>
    <cellStyle name="Normal 2 2 3 4 4 3 3" xfId="22927" xr:uid="{12DA594B-1909-4FA2-90C2-40FF14A02024}"/>
    <cellStyle name="Normal 2 2 3 4 4 3 4" xfId="39686" xr:uid="{4BFECE19-602F-40C6-91AA-4C5FB2F4CE7F}"/>
    <cellStyle name="Normal 2 2 3 4 4 4" xfId="2903" xr:uid="{25BD0451-CB67-4C45-B63E-FCA005971451}"/>
    <cellStyle name="Normal 2 2 3 4 4 4 2" xfId="11283" xr:uid="{A71B22FC-154C-469A-AFB3-15387D3E8282}"/>
    <cellStyle name="Normal 2 2 3 4 4 4 2 2" xfId="28043" xr:uid="{D7789BD7-51ED-46B7-A673-4E820310281C}"/>
    <cellStyle name="Normal 2 2 3 4 4 4 2 3" xfId="44802" xr:uid="{1BEE7FC7-00D2-45A8-872E-5A03F5EE1F3A}"/>
    <cellStyle name="Normal 2 2 3 4 4 4 3" xfId="19663" xr:uid="{671E6D81-A118-4339-9AAE-ED2532015F5B}"/>
    <cellStyle name="Normal 2 2 3 4 4 4 4" xfId="36422" xr:uid="{2D571E61-554F-4931-BB82-E88B2D9D17E8}"/>
    <cellStyle name="Normal 2 2 3 4 4 5" xfId="9480" xr:uid="{AD3F4FD6-FC9A-49F7-8F7F-E52F30FFED96}"/>
    <cellStyle name="Normal 2 2 3 4 4 5 2" xfId="26240" xr:uid="{F79B01C1-7A77-4667-92EC-54BD3010CE21}"/>
    <cellStyle name="Normal 2 2 3 4 4 5 3" xfId="42999" xr:uid="{E79515D5-FE36-4ACE-BD60-4AA46845A9D0}"/>
    <cellStyle name="Normal 2 2 3 4 4 6" xfId="17860" xr:uid="{702AD3C2-EA3F-4625-B8C7-318425401FA9}"/>
    <cellStyle name="Normal 2 2 3 4 4 7" xfId="34619" xr:uid="{E3EE6BE7-8CAC-47C2-879A-B7FFEE0C2EB6}"/>
    <cellStyle name="Normal 2 2 3 4 5" xfId="1519" xr:uid="{82FE4F64-592F-4FB0-9A86-044C875C8B1A}"/>
    <cellStyle name="Normal 2 2 3 4 5 2" xfId="4908" xr:uid="{1C7E8A14-8368-4EA0-B0BC-253BDF472842}"/>
    <cellStyle name="Normal 2 2 3 4 5 2 2" xfId="13288" xr:uid="{BB25C325-9BC8-46E0-9E5C-716A50391B9E}"/>
    <cellStyle name="Normal 2 2 3 4 5 2 2 2" xfId="30048" xr:uid="{E92E9B3C-6833-4065-8503-7B1EAE482BC6}"/>
    <cellStyle name="Normal 2 2 3 4 5 2 2 3" xfId="46807" xr:uid="{C62FC693-25CF-4C8A-AD23-CF3680DE95B0}"/>
    <cellStyle name="Normal 2 2 3 4 5 2 3" xfId="21668" xr:uid="{84ACCE8C-F60F-413D-B92F-1FA3347FD6AB}"/>
    <cellStyle name="Normal 2 2 3 4 5 2 4" xfId="38427" xr:uid="{5806AD6B-BF5C-44F0-B6FC-FD79F1BBDD95}"/>
    <cellStyle name="Normal 2 2 3 4 5 3" xfId="6595" xr:uid="{7188F8DB-5456-4E4A-9BF9-D78581677581}"/>
    <cellStyle name="Normal 2 2 3 4 5 3 2" xfId="14975" xr:uid="{5A2ABA80-8895-408F-AFC1-B8528B3CEB6F}"/>
    <cellStyle name="Normal 2 2 3 4 5 3 2 2" xfId="31735" xr:uid="{899DB653-30F8-485C-8B9E-2BEF358D4EB6}"/>
    <cellStyle name="Normal 2 2 3 4 5 3 2 3" xfId="48494" xr:uid="{6B7813FD-0087-4746-8EAE-DF4CC1144440}"/>
    <cellStyle name="Normal 2 2 3 4 5 3 3" xfId="23355" xr:uid="{7D36472B-946B-4459-BBE4-F2315C13EA78}"/>
    <cellStyle name="Normal 2 2 3 4 5 3 4" xfId="40114" xr:uid="{33F09786-D779-4973-88A7-0ABA4F4C224A}"/>
    <cellStyle name="Normal 2 2 3 4 5 4" xfId="3331" xr:uid="{233536A0-5F44-4FB7-9D56-E9B14A9C2764}"/>
    <cellStyle name="Normal 2 2 3 4 5 4 2" xfId="11711" xr:uid="{54D531E3-BEF0-4DEF-AFB9-8FA7CEF73140}"/>
    <cellStyle name="Normal 2 2 3 4 5 4 2 2" xfId="28471" xr:uid="{A588D3AF-E79F-4285-B185-2DBC50020BC7}"/>
    <cellStyle name="Normal 2 2 3 4 5 4 2 3" xfId="45230" xr:uid="{76B5AFAD-11BC-4AC0-8741-59377E676D52}"/>
    <cellStyle name="Normal 2 2 3 4 5 4 3" xfId="20091" xr:uid="{F16093CB-25D9-4873-A785-1D053D61618C}"/>
    <cellStyle name="Normal 2 2 3 4 5 4 4" xfId="36850" xr:uid="{6C267061-37B6-4373-B090-087549997038}"/>
    <cellStyle name="Normal 2 2 3 4 5 5" xfId="9908" xr:uid="{2C146229-DA1C-440B-984E-4675E6F67377}"/>
    <cellStyle name="Normal 2 2 3 4 5 5 2" xfId="26668" xr:uid="{3D8659AD-6FEA-479D-B445-CC2A66163891}"/>
    <cellStyle name="Normal 2 2 3 4 5 5 3" xfId="43427" xr:uid="{C58E3DAF-031A-44A5-A16F-8472581F31E6}"/>
    <cellStyle name="Normal 2 2 3 4 5 6" xfId="18288" xr:uid="{A8E44906-4903-4BF5-A6DF-87E12A74C5A7}"/>
    <cellStyle name="Normal 2 2 3 4 5 7" xfId="35047" xr:uid="{03E11813-F024-4522-B723-F98AFBAAFF74}"/>
    <cellStyle name="Normal 2 2 3 4 6" xfId="1693" xr:uid="{D5998E42-51CA-426F-A7D3-592F8E1221F4}"/>
    <cellStyle name="Normal 2 2 3 4 6 2" xfId="5082" xr:uid="{6ED54A3F-DB4F-40C7-A72D-29BAF8710C9C}"/>
    <cellStyle name="Normal 2 2 3 4 6 2 2" xfId="13462" xr:uid="{8C4FDA56-471A-497D-A653-56F57F5762D6}"/>
    <cellStyle name="Normal 2 2 3 4 6 2 2 2" xfId="30222" xr:uid="{E5E32D37-BDAB-42EA-9427-20DCAC40EEAE}"/>
    <cellStyle name="Normal 2 2 3 4 6 2 2 3" xfId="46981" xr:uid="{B6778D20-F3D1-4D9E-A368-3BE603824108}"/>
    <cellStyle name="Normal 2 2 3 4 6 2 3" xfId="21842" xr:uid="{5C9845AC-2CA9-4F68-A755-4D9E31048E02}"/>
    <cellStyle name="Normal 2 2 3 4 6 2 4" xfId="38601" xr:uid="{743D95D6-BFB5-427F-A35D-D8B3F1D6B2C6}"/>
    <cellStyle name="Normal 2 2 3 4 6 3" xfId="6769" xr:uid="{A25A2F71-C2D3-470E-AB51-08176D873546}"/>
    <cellStyle name="Normal 2 2 3 4 6 3 2" xfId="15149" xr:uid="{38DB802F-28DF-42CC-B0C0-65343D77E894}"/>
    <cellStyle name="Normal 2 2 3 4 6 3 2 2" xfId="31909" xr:uid="{45DB825C-198B-4FFD-85DC-8F8828F2C95E}"/>
    <cellStyle name="Normal 2 2 3 4 6 3 2 3" xfId="48668" xr:uid="{26C76939-56F0-4B18-91BE-1D998C647334}"/>
    <cellStyle name="Normal 2 2 3 4 6 3 3" xfId="23529" xr:uid="{0EB201BC-D6A4-4194-B8BD-51E6AA7A9E24}"/>
    <cellStyle name="Normal 2 2 3 4 6 3 4" xfId="40288" xr:uid="{3F4AA547-F2B2-4D0A-8374-5AF42A052504}"/>
    <cellStyle name="Normal 2 2 3 4 6 4" xfId="2475" xr:uid="{40670D64-5244-4066-A9B3-93E003F689B9}"/>
    <cellStyle name="Normal 2 2 3 4 6 4 2" xfId="10857" xr:uid="{501736EE-8B47-481B-A0DD-0A6C63731CF5}"/>
    <cellStyle name="Normal 2 2 3 4 6 4 2 2" xfId="27617" xr:uid="{0C3F84A4-A1ED-4FCD-914C-D8AC1F2E2A90}"/>
    <cellStyle name="Normal 2 2 3 4 6 4 2 3" xfId="44376" xr:uid="{BBF3C74B-E2D0-4992-965A-E934CB088E8A}"/>
    <cellStyle name="Normal 2 2 3 4 6 4 3" xfId="19237" xr:uid="{8A2714F2-3D5F-43D7-95CD-D72EE2DFB5BF}"/>
    <cellStyle name="Normal 2 2 3 4 6 4 4" xfId="35996" xr:uid="{D23295BF-6191-4688-8A39-3091AA22B8AD}"/>
    <cellStyle name="Normal 2 2 3 4 6 5" xfId="10082" xr:uid="{78860C6C-8080-44AD-BDB5-BCC77B700B25}"/>
    <cellStyle name="Normal 2 2 3 4 6 5 2" xfId="26842" xr:uid="{6AEB0550-0D73-4D44-BB0E-D60D7D6BD671}"/>
    <cellStyle name="Normal 2 2 3 4 6 5 3" xfId="43601" xr:uid="{22AD62F0-65F6-47D7-BC7F-8E38717FD229}"/>
    <cellStyle name="Normal 2 2 3 4 6 6" xfId="18462" xr:uid="{9E3FF39F-42A1-4839-AB4E-A6B4ABF4048E}"/>
    <cellStyle name="Normal 2 2 3 4 6 7" xfId="35221" xr:uid="{549C03B7-7934-4DFC-9B25-989FFD3D79D5}"/>
    <cellStyle name="Normal 2 2 3 4 7" xfId="3811" xr:uid="{1208F559-EC4B-44FA-90FD-77414598E60F}"/>
    <cellStyle name="Normal 2 2 3 4 7 2" xfId="12191" xr:uid="{4EB37E94-BE75-40EE-BB71-C5321D64F566}"/>
    <cellStyle name="Normal 2 2 3 4 7 2 2" xfId="28951" xr:uid="{AEECB15F-0CBF-47D4-AC06-5EF0C6EA33B3}"/>
    <cellStyle name="Normal 2 2 3 4 7 2 3" xfId="45710" xr:uid="{6435CCC7-473F-4F22-8BAC-6231B4F35DBC}"/>
    <cellStyle name="Normal 2 2 3 4 7 3" xfId="20571" xr:uid="{B4606315-3388-4785-8A27-558AC29AB107}"/>
    <cellStyle name="Normal 2 2 3 4 7 4" xfId="37330" xr:uid="{1FC86872-3537-43C5-B806-EED83FB5D1BE}"/>
    <cellStyle name="Normal 2 2 3 4 8" xfId="5741" xr:uid="{889B6DBF-B5C9-4E09-9BAD-B3245D293CD4}"/>
    <cellStyle name="Normal 2 2 3 4 8 2" xfId="14121" xr:uid="{C119A06C-2CC7-4908-8567-4F1ADF296611}"/>
    <cellStyle name="Normal 2 2 3 4 8 2 2" xfId="30881" xr:uid="{8C070A63-6620-494E-BA6A-BFE586C69C5C}"/>
    <cellStyle name="Normal 2 2 3 4 8 2 3" xfId="47640" xr:uid="{54224DF9-CED3-45E4-8B41-041A3527778B}"/>
    <cellStyle name="Normal 2 2 3 4 8 3" xfId="22501" xr:uid="{CF36A8FE-EC0E-4FF2-A2EB-1B48E683331B}"/>
    <cellStyle name="Normal 2 2 3 4 8 4" xfId="39260" xr:uid="{2BDE5B72-4CB2-4F7A-8AD1-AC63638A8DF3}"/>
    <cellStyle name="Normal 2 2 3 4 9" xfId="7175" xr:uid="{0A9F84AB-9036-49B0-8AF8-9E1ED50809E0}"/>
    <cellStyle name="Normal 2 2 3 4 9 2" xfId="15555" xr:uid="{B9A816DA-F369-4EAF-8F5D-5395DC18E985}"/>
    <cellStyle name="Normal 2 2 3 4 9 2 2" xfId="32315" xr:uid="{243062D3-C060-4FBD-822A-1C42DE169EB4}"/>
    <cellStyle name="Normal 2 2 3 4 9 2 3" xfId="49074" xr:uid="{3958A0C6-E8FC-4794-96DB-E0AC84B483F9}"/>
    <cellStyle name="Normal 2 2 3 4 9 3" xfId="23935" xr:uid="{C0D1A973-EA23-48C7-88BC-5E2D1BA20191}"/>
    <cellStyle name="Normal 2 2 3 4 9 4" xfId="40694" xr:uid="{4458773A-5086-46A9-AD5B-A1319DF66A1F}"/>
    <cellStyle name="Normal 2 2 3 5" xfId="646" xr:uid="{4A304B56-B9B7-4081-B4E1-D438E42D0C84}"/>
    <cellStyle name="Normal 2 2 3 5 10" xfId="7631" xr:uid="{84105C96-8CAE-41B7-BAE4-D3261DBDA2D0}"/>
    <cellStyle name="Normal 2 2 3 5 10 2" xfId="16011" xr:uid="{E36C4275-C866-4BA9-9028-1E0B82464387}"/>
    <cellStyle name="Normal 2 2 3 5 10 2 2" xfId="32771" xr:uid="{B9FB02C9-1D03-4EC0-8D05-DB565D71A6E2}"/>
    <cellStyle name="Normal 2 2 3 5 10 2 3" xfId="49530" xr:uid="{2824A1A0-BF4B-4C55-934B-CB8C409C4E28}"/>
    <cellStyle name="Normal 2 2 3 5 10 3" xfId="24391" xr:uid="{0B07666D-F99A-48F7-AAC6-BFD5CB77F753}"/>
    <cellStyle name="Normal 2 2 3 5 10 4" xfId="41150" xr:uid="{EA6FA095-F3DE-4130-AE35-F8090AE68189}"/>
    <cellStyle name="Normal 2 2 3 5 11" xfId="8037" xr:uid="{63687A60-9BB9-4CC6-9AA2-EA9A7CACC103}"/>
    <cellStyle name="Normal 2 2 3 5 11 2" xfId="16417" xr:uid="{27FA5E1D-5639-4C17-97B3-9EAEA042ED5B}"/>
    <cellStyle name="Normal 2 2 3 5 11 2 2" xfId="33177" xr:uid="{07DC8BD1-681B-4142-A1EC-B05498B14C3F}"/>
    <cellStyle name="Normal 2 2 3 5 11 2 3" xfId="49936" xr:uid="{DA96EFC9-F43B-4F55-A8D2-08CA3C7F281E}"/>
    <cellStyle name="Normal 2 2 3 5 11 3" xfId="24797" xr:uid="{FD335D8D-E1AF-4F42-A7A8-1A54BBF061F0}"/>
    <cellStyle name="Normal 2 2 3 5 11 4" xfId="41556" xr:uid="{72CD9D78-AA79-406C-948F-EFA0757B3B8B}"/>
    <cellStyle name="Normal 2 2 3 5 12" xfId="8443" xr:uid="{8BF01909-C9F4-4D7D-A262-99DC6B39CF04}"/>
    <cellStyle name="Normal 2 2 3 5 12 2" xfId="16823" xr:uid="{533E9BEF-BE4E-4623-8252-A09549ACEF02}"/>
    <cellStyle name="Normal 2 2 3 5 12 2 2" xfId="33583" xr:uid="{362FE99C-DE71-457D-98C4-85DAB0DBFDDF}"/>
    <cellStyle name="Normal 2 2 3 5 12 2 3" xfId="50342" xr:uid="{BB7BB078-B553-4A29-8E00-3501EB810145}"/>
    <cellStyle name="Normal 2 2 3 5 12 3" xfId="25203" xr:uid="{89055A38-7744-40F9-A979-6B379D1DE3F0}"/>
    <cellStyle name="Normal 2 2 3 5 12 4" xfId="41962" xr:uid="{7A4AAB71-D3AE-4309-BB93-9AF7285131AC}"/>
    <cellStyle name="Normal 2 2 3 5 13" xfId="2130" xr:uid="{9109D0FB-A30A-4C27-ADB7-527EF744D486}"/>
    <cellStyle name="Normal 2 2 3 5 13 2" xfId="10518" xr:uid="{10E90F61-8ED3-486C-820E-E8F76D7F10E3}"/>
    <cellStyle name="Normal 2 2 3 5 13 2 2" xfId="27278" xr:uid="{C4AF68E8-5A27-4B6C-BE56-42EB8E54AB1A}"/>
    <cellStyle name="Normal 2 2 3 5 13 2 3" xfId="44037" xr:uid="{E0D7F04E-547A-4405-A7E4-D54D74B729D3}"/>
    <cellStyle name="Normal 2 2 3 5 13 3" xfId="18898" xr:uid="{012D506A-B947-4CDE-9331-E200C2A7A15C}"/>
    <cellStyle name="Normal 2 2 3 5 13 4" xfId="35657" xr:uid="{CF9E7017-A914-4391-838F-265CC5A7E2C5}"/>
    <cellStyle name="Normal 2 2 3 5 14" xfId="9057" xr:uid="{E9BC001D-8DFE-40EC-9836-7CD9FC73562D}"/>
    <cellStyle name="Normal 2 2 3 5 14 2" xfId="25817" xr:uid="{20B566AA-88C4-41DC-9716-2DFA02D6B76A}"/>
    <cellStyle name="Normal 2 2 3 5 14 3" xfId="42576" xr:uid="{585B70A7-5CAA-4CA2-ACB2-312B421DE723}"/>
    <cellStyle name="Normal 2 2 3 5 15" xfId="17437" xr:uid="{07BD02C5-5F8A-4B19-97C8-509241C6CD5B}"/>
    <cellStyle name="Normal 2 2 3 5 16" xfId="34196" xr:uid="{CE5F80FF-9BA1-486F-8CB2-DED238ABFD7A}"/>
    <cellStyle name="Normal 2 2 3 5 2" xfId="647" xr:uid="{53B52936-567F-41EC-9DD8-F3D26135ECFE}"/>
    <cellStyle name="Normal 2 2 3 5 2 10" xfId="8548" xr:uid="{B9340B1C-BA38-4B2E-B217-AAAF05E386A1}"/>
    <cellStyle name="Normal 2 2 3 5 2 10 2" xfId="16928" xr:uid="{65B7681A-0DCC-434F-BEC1-1A7D2A64A73E}"/>
    <cellStyle name="Normal 2 2 3 5 2 10 2 2" xfId="33688" xr:uid="{0F9557AF-887B-42C4-A90D-CAB363268B84}"/>
    <cellStyle name="Normal 2 2 3 5 2 10 2 3" xfId="50447" xr:uid="{1ABF49B7-8F98-46B9-A7E1-4CB905F5E90C}"/>
    <cellStyle name="Normal 2 2 3 5 2 10 3" xfId="25308" xr:uid="{309C86F8-8553-450C-81DD-F7F69C56988A}"/>
    <cellStyle name="Normal 2 2 3 5 2 10 4" xfId="42067" xr:uid="{BCBE0B4B-EA3F-4BFD-B3AB-6490BD3099B6}"/>
    <cellStyle name="Normal 2 2 3 5 2 11" xfId="2479" xr:uid="{28292186-7055-4528-A2BB-0F2012C8F3C0}"/>
    <cellStyle name="Normal 2 2 3 5 2 11 2" xfId="10861" xr:uid="{0E4C98BF-6308-427B-B519-499F752B4DCA}"/>
    <cellStyle name="Normal 2 2 3 5 2 11 2 2" xfId="27621" xr:uid="{780F036E-DCF1-4FDD-B231-C527177D2B84}"/>
    <cellStyle name="Normal 2 2 3 5 2 11 2 3" xfId="44380" xr:uid="{C2A43ED6-BCB5-4018-B908-8BB74E100AF3}"/>
    <cellStyle name="Normal 2 2 3 5 2 11 3" xfId="19241" xr:uid="{490B0677-3841-4142-B8CA-2018EEE4ACF0}"/>
    <cellStyle name="Normal 2 2 3 5 2 11 4" xfId="36000" xr:uid="{E7913AA3-DED1-40F1-88E3-A592B0B452FC}"/>
    <cellStyle name="Normal 2 2 3 5 2 12" xfId="9058" xr:uid="{4ADE7125-8D44-4169-87BF-71D03B516DAA}"/>
    <cellStyle name="Normal 2 2 3 5 2 12 2" xfId="25818" xr:uid="{3DEF2FB9-C3BF-4306-87DA-65076AC792DB}"/>
    <cellStyle name="Normal 2 2 3 5 2 12 3" xfId="42577" xr:uid="{74B36279-2DAE-48FA-B874-387643C1F3D2}"/>
    <cellStyle name="Normal 2 2 3 5 2 13" xfId="17438" xr:uid="{6AC4CBF7-41DD-49E3-A3B5-822434CAD683}"/>
    <cellStyle name="Normal 2 2 3 5 2 14" xfId="34197" xr:uid="{F25003AF-3A6A-4461-987C-CF76EC02147F}"/>
    <cellStyle name="Normal 2 2 3 5 2 2" xfId="1089" xr:uid="{413C3175-C086-4AEA-8492-8C697CCA7FB9}"/>
    <cellStyle name="Normal 2 2 3 5 2 2 2" xfId="4484" xr:uid="{DB4A0E61-58A0-46B5-B7B6-6BF64C323E57}"/>
    <cellStyle name="Normal 2 2 3 5 2 2 2 2" xfId="12864" xr:uid="{6E2A7220-001B-486D-A662-BDB5333729B7}"/>
    <cellStyle name="Normal 2 2 3 5 2 2 2 2 2" xfId="29624" xr:uid="{F1C9402E-568D-4E42-A2D1-2919FF07CE04}"/>
    <cellStyle name="Normal 2 2 3 5 2 2 2 2 3" xfId="46383" xr:uid="{39937F43-48AE-4ADD-8951-2EBE91C37C42}"/>
    <cellStyle name="Normal 2 2 3 5 2 2 2 3" xfId="21244" xr:uid="{C1F3E6E8-D1BD-4A8A-AD14-5A2A139C2D85}"/>
    <cellStyle name="Normal 2 2 3 5 2 2 2 4" xfId="38003" xr:uid="{1AE79A24-82D6-45B4-AB80-FE1FAE4544BC}"/>
    <cellStyle name="Normal 2 2 3 5 2 2 3" xfId="6171" xr:uid="{13D26E75-2919-46AC-A0A3-1324167CA459}"/>
    <cellStyle name="Normal 2 2 3 5 2 2 3 2" xfId="14551" xr:uid="{494D85DF-00DC-4F4E-9DDD-16896D20D607}"/>
    <cellStyle name="Normal 2 2 3 5 2 2 3 2 2" xfId="31311" xr:uid="{C0D698A8-8C32-4CF5-8170-0F2C8362B5F9}"/>
    <cellStyle name="Normal 2 2 3 5 2 2 3 2 3" xfId="48070" xr:uid="{7DD707BB-0A54-4F41-896B-998422D4A098}"/>
    <cellStyle name="Normal 2 2 3 5 2 2 3 3" xfId="22931" xr:uid="{91D188E9-6AF7-4913-A3FA-E3ECE8644271}"/>
    <cellStyle name="Normal 2 2 3 5 2 2 3 4" xfId="39690" xr:uid="{147278B8-D43A-4DE9-9464-02EF3D4F8D48}"/>
    <cellStyle name="Normal 2 2 3 5 2 2 4" xfId="2907" xr:uid="{CE358941-8645-4ED3-AE6B-92B87AF586EC}"/>
    <cellStyle name="Normal 2 2 3 5 2 2 4 2" xfId="11287" xr:uid="{66328473-D666-4077-B63C-51F513BD88B1}"/>
    <cellStyle name="Normal 2 2 3 5 2 2 4 2 2" xfId="28047" xr:uid="{D974DA52-85A9-4191-9CEF-BED7F502487C}"/>
    <cellStyle name="Normal 2 2 3 5 2 2 4 2 3" xfId="44806" xr:uid="{34F54F7F-2671-4C8E-9326-7CB2126EB329}"/>
    <cellStyle name="Normal 2 2 3 5 2 2 4 3" xfId="19667" xr:uid="{FE155220-028F-4544-AE4D-9C4BEEA03C29}"/>
    <cellStyle name="Normal 2 2 3 5 2 2 4 4" xfId="36426" xr:uid="{9D497A0B-2CEE-4C83-AA2A-73A0236E967F}"/>
    <cellStyle name="Normal 2 2 3 5 2 2 5" xfId="9484" xr:uid="{C5DA04B5-E018-4271-8142-069FFC155B9A}"/>
    <cellStyle name="Normal 2 2 3 5 2 2 5 2" xfId="26244" xr:uid="{E3035891-4B38-4FC8-887B-959CF5541EB5}"/>
    <cellStyle name="Normal 2 2 3 5 2 2 5 3" xfId="43003" xr:uid="{82A2C2BB-EBFA-41C5-816C-1B0D8CCC584B}"/>
    <cellStyle name="Normal 2 2 3 5 2 2 6" xfId="17864" xr:uid="{00989018-0710-4581-BE91-65D01EC2621D}"/>
    <cellStyle name="Normal 2 2 3 5 2 2 7" xfId="34623" xr:uid="{FCE635B7-963D-49D7-AC49-1CFDA44A1752}"/>
    <cellStyle name="Normal 2 2 3 5 2 3" xfId="1523" xr:uid="{BAE769BF-65C9-4328-8F9D-13A00241C515}"/>
    <cellStyle name="Normal 2 2 3 5 2 3 2" xfId="4912" xr:uid="{643C6C8F-8365-4760-9602-6140E098B63F}"/>
    <cellStyle name="Normal 2 2 3 5 2 3 2 2" xfId="13292" xr:uid="{690D40B2-B224-4A55-80FC-ED15C1393690}"/>
    <cellStyle name="Normal 2 2 3 5 2 3 2 2 2" xfId="30052" xr:uid="{FE59AC7B-4849-4D8E-8C43-FA1E11E13BA0}"/>
    <cellStyle name="Normal 2 2 3 5 2 3 2 2 3" xfId="46811" xr:uid="{6A9D81C8-BC65-41E0-963B-A1F6E34D230C}"/>
    <cellStyle name="Normal 2 2 3 5 2 3 2 3" xfId="21672" xr:uid="{5E6E2675-A5F4-4169-80AD-A3875D0E48E1}"/>
    <cellStyle name="Normal 2 2 3 5 2 3 2 4" xfId="38431" xr:uid="{1D944B60-53B9-4D11-9C4D-1D4EA48A1512}"/>
    <cellStyle name="Normal 2 2 3 5 2 3 3" xfId="6599" xr:uid="{2469832C-1430-4AFB-9D11-9EAF45FF81B8}"/>
    <cellStyle name="Normal 2 2 3 5 2 3 3 2" xfId="14979" xr:uid="{596F0C49-EE10-4EB0-B14F-B53D30BAA286}"/>
    <cellStyle name="Normal 2 2 3 5 2 3 3 2 2" xfId="31739" xr:uid="{EB597314-DC35-4475-8505-0CBBE4DFE82F}"/>
    <cellStyle name="Normal 2 2 3 5 2 3 3 2 3" xfId="48498" xr:uid="{656E9826-F743-4A1F-9063-D8ED24636B4D}"/>
    <cellStyle name="Normal 2 2 3 5 2 3 3 3" xfId="23359" xr:uid="{CBC716C2-5873-43E1-8BB0-5F11F1AB20AA}"/>
    <cellStyle name="Normal 2 2 3 5 2 3 3 4" xfId="40118" xr:uid="{8ACE3BD4-D84F-4917-A940-7B64BFE242D5}"/>
    <cellStyle name="Normal 2 2 3 5 2 3 4" xfId="3335" xr:uid="{450B245A-468F-484D-82F5-DA75F46DDC4E}"/>
    <cellStyle name="Normal 2 2 3 5 2 3 4 2" xfId="11715" xr:uid="{F1A951CD-71A2-4543-8BD1-C9AC9E78687C}"/>
    <cellStyle name="Normal 2 2 3 5 2 3 4 2 2" xfId="28475" xr:uid="{7B2B77E8-10F2-4C77-A5C9-C82902B35933}"/>
    <cellStyle name="Normal 2 2 3 5 2 3 4 2 3" xfId="45234" xr:uid="{2CA4A209-EC4B-4E26-8DD7-1801AD9840E7}"/>
    <cellStyle name="Normal 2 2 3 5 2 3 4 3" xfId="20095" xr:uid="{7010DDC1-D469-430E-87F2-31DC90938C4D}"/>
    <cellStyle name="Normal 2 2 3 5 2 3 4 4" xfId="36854" xr:uid="{EF87DC13-FB14-45B9-A5C7-A63A24CE6866}"/>
    <cellStyle name="Normal 2 2 3 5 2 3 5" xfId="9912" xr:uid="{CC225249-9CC4-482C-928E-AB7DD78E032C}"/>
    <cellStyle name="Normal 2 2 3 5 2 3 5 2" xfId="26672" xr:uid="{3C3A6B39-9054-4F79-A512-8285A27B2E8E}"/>
    <cellStyle name="Normal 2 2 3 5 2 3 5 3" xfId="43431" xr:uid="{F991BCCD-779E-4028-B6D2-A98122AFB581}"/>
    <cellStyle name="Normal 2 2 3 5 2 3 6" xfId="18292" xr:uid="{2D0BB5A5-2EE0-42B7-87DB-316A5CF87786}"/>
    <cellStyle name="Normal 2 2 3 5 2 3 7" xfId="35051" xr:uid="{A6657EDC-E4A8-408D-82FC-691C9348DEB9}"/>
    <cellStyle name="Normal 2 2 3 5 2 4" xfId="1848" xr:uid="{5E75CE44-6F75-4B49-B4F2-0EF746A02C63}"/>
    <cellStyle name="Normal 2 2 3 5 2 4 2" xfId="5237" xr:uid="{53399FF1-3F50-4312-8B9C-8B688586FE2F}"/>
    <cellStyle name="Normal 2 2 3 5 2 4 2 2" xfId="13617" xr:uid="{25705465-B046-4D86-8005-5CF87B09AACD}"/>
    <cellStyle name="Normal 2 2 3 5 2 4 2 2 2" xfId="30377" xr:uid="{F4766804-D915-4F71-A245-62248E98E1CF}"/>
    <cellStyle name="Normal 2 2 3 5 2 4 2 2 3" xfId="47136" xr:uid="{1EE5F1F9-C660-4CFE-A1F1-95155802BBEB}"/>
    <cellStyle name="Normal 2 2 3 5 2 4 2 3" xfId="21997" xr:uid="{AF2467FA-3059-4D03-888C-E72BD2631C04}"/>
    <cellStyle name="Normal 2 2 3 5 2 4 2 4" xfId="38756" xr:uid="{E4A0B9B6-1798-42E1-AA79-8A7AF116B6F2}"/>
    <cellStyle name="Normal 2 2 3 5 2 4 3" xfId="6924" xr:uid="{F7BF35F3-21F8-4058-B73A-3D82F09B6981}"/>
    <cellStyle name="Normal 2 2 3 5 2 4 3 2" xfId="15304" xr:uid="{B6DDA40F-821B-4FC5-89A9-F9FC6C5707D8}"/>
    <cellStyle name="Normal 2 2 3 5 2 4 3 2 2" xfId="32064" xr:uid="{387918F8-798F-493A-A8BC-117FDC725C0A}"/>
    <cellStyle name="Normal 2 2 3 5 2 4 3 2 3" xfId="48823" xr:uid="{BEAF8E0D-4D35-46AC-A5B8-ABE52A0FC066}"/>
    <cellStyle name="Normal 2 2 3 5 2 4 3 3" xfId="23684" xr:uid="{B2F37B5B-6DD8-41FF-8DD7-8D312E1CB3B4}"/>
    <cellStyle name="Normal 2 2 3 5 2 4 3 4" xfId="40443" xr:uid="{DBF8954B-EFF2-4D10-A7AD-9FE55ED8E58C}"/>
    <cellStyle name="Normal 2 2 3 5 2 4 4" xfId="3548" xr:uid="{7D4C3FA6-206A-4FDF-960C-2D817D822182}"/>
    <cellStyle name="Normal 2 2 3 5 2 4 4 2" xfId="11928" xr:uid="{55AC6709-C72F-4388-88B7-450BC50CA8E2}"/>
    <cellStyle name="Normal 2 2 3 5 2 4 4 2 2" xfId="28688" xr:uid="{1639F69E-47DC-4212-84DF-DCCB7C0AC2F2}"/>
    <cellStyle name="Normal 2 2 3 5 2 4 4 2 3" xfId="45447" xr:uid="{4CF21BFD-C0D9-469C-A9F6-3C6B1DF1D11C}"/>
    <cellStyle name="Normal 2 2 3 5 2 4 4 3" xfId="20308" xr:uid="{6226E0EE-B5D9-4095-8F80-3A25FF5D3C24}"/>
    <cellStyle name="Normal 2 2 3 5 2 4 4 4" xfId="37067" xr:uid="{6616777F-11AE-437E-B7F7-DEBD2BDA7672}"/>
    <cellStyle name="Normal 2 2 3 5 2 4 5" xfId="10237" xr:uid="{EB3157DB-9715-49A0-A678-67387043FA65}"/>
    <cellStyle name="Normal 2 2 3 5 2 4 5 2" xfId="26997" xr:uid="{16F23CA7-BE10-4CD4-8E1D-870C1351589E}"/>
    <cellStyle name="Normal 2 2 3 5 2 4 5 3" xfId="43756" xr:uid="{9C7211D0-35FA-4C7B-BF3F-48ABFD708CBC}"/>
    <cellStyle name="Normal 2 2 3 5 2 4 6" xfId="18617" xr:uid="{4EB682FB-E784-412F-BEE7-39D9EBED902F}"/>
    <cellStyle name="Normal 2 2 3 5 2 4 7" xfId="35376" xr:uid="{94BF9B62-7727-4D18-B7F0-40AC8EF38AC5}"/>
    <cellStyle name="Normal 2 2 3 5 2 5" xfId="3967" xr:uid="{9190E78B-07CA-4523-AB78-4A7CF8C64B7E}"/>
    <cellStyle name="Normal 2 2 3 5 2 5 2" xfId="12347" xr:uid="{5017F2E5-24AE-495B-BCCC-EEA498571387}"/>
    <cellStyle name="Normal 2 2 3 5 2 5 2 2" xfId="29107" xr:uid="{3B9594CC-4344-4C5F-98D3-2B50D4D7C513}"/>
    <cellStyle name="Normal 2 2 3 5 2 5 2 3" xfId="45866" xr:uid="{24E4D064-5440-4EBE-A4E2-B7685DD83170}"/>
    <cellStyle name="Normal 2 2 3 5 2 5 3" xfId="20727" xr:uid="{3771BADB-2303-4678-950F-4964CB02512E}"/>
    <cellStyle name="Normal 2 2 3 5 2 5 4" xfId="37486" xr:uid="{112F9263-B42E-4B2C-9FCA-62381A155FB2}"/>
    <cellStyle name="Normal 2 2 3 5 2 6" xfId="5745" xr:uid="{DFF4155F-3AAB-4B27-B54E-CEA2B1AAFD56}"/>
    <cellStyle name="Normal 2 2 3 5 2 6 2" xfId="14125" xr:uid="{87EE5692-BBBC-4D6A-8675-724C7620B60B}"/>
    <cellStyle name="Normal 2 2 3 5 2 6 2 2" xfId="30885" xr:uid="{F0D0BD0A-FDDD-4B7F-8B5C-270C3F4384CD}"/>
    <cellStyle name="Normal 2 2 3 5 2 6 2 3" xfId="47644" xr:uid="{228CCB93-064B-485E-B6BF-D50F4494973D}"/>
    <cellStyle name="Normal 2 2 3 5 2 6 3" xfId="22505" xr:uid="{03C7B98E-4186-4927-91AB-144C4892610E}"/>
    <cellStyle name="Normal 2 2 3 5 2 6 4" xfId="39264" xr:uid="{796E7CB5-B613-448B-A8EB-BE7B49B180DF}"/>
    <cellStyle name="Normal 2 2 3 5 2 7" xfId="7330" xr:uid="{1FBCB37B-0F99-4EAA-84D2-13AFBCF361F0}"/>
    <cellStyle name="Normal 2 2 3 5 2 7 2" xfId="15710" xr:uid="{FC9D37E5-B197-427C-837A-C143734C1291}"/>
    <cellStyle name="Normal 2 2 3 5 2 7 2 2" xfId="32470" xr:uid="{3FF57AA4-3DE1-4382-B5B4-AF6E0C1212FC}"/>
    <cellStyle name="Normal 2 2 3 5 2 7 2 3" xfId="49229" xr:uid="{82E97FE8-04B4-4ABB-B13A-813F24E34750}"/>
    <cellStyle name="Normal 2 2 3 5 2 7 3" xfId="24090" xr:uid="{4DAC8380-FCF9-49EB-A2B5-1640D37FD38F}"/>
    <cellStyle name="Normal 2 2 3 5 2 7 4" xfId="40849" xr:uid="{458DBC28-3CF4-4B26-AC44-9B6E226E7200}"/>
    <cellStyle name="Normal 2 2 3 5 2 8" xfId="7736" xr:uid="{03BE5ED1-E3DF-4998-93B3-86FF0CFFB4EC}"/>
    <cellStyle name="Normal 2 2 3 5 2 8 2" xfId="16116" xr:uid="{23DFEED5-7729-45D7-9573-E5C4F3508CEA}"/>
    <cellStyle name="Normal 2 2 3 5 2 8 2 2" xfId="32876" xr:uid="{01527623-C952-4748-A196-09EEE9A98792}"/>
    <cellStyle name="Normal 2 2 3 5 2 8 2 3" xfId="49635" xr:uid="{F69C03E8-FB3E-44DB-9F27-6E6BCCD3A0F3}"/>
    <cellStyle name="Normal 2 2 3 5 2 8 3" xfId="24496" xr:uid="{56B24994-6ED1-4785-B451-CFB146F14058}"/>
    <cellStyle name="Normal 2 2 3 5 2 8 4" xfId="41255" xr:uid="{86C78CA0-1D9B-40AE-B5F0-D07B8C761888}"/>
    <cellStyle name="Normal 2 2 3 5 2 9" xfId="8142" xr:uid="{3319832F-8219-4C17-8FC2-1BD50E844446}"/>
    <cellStyle name="Normal 2 2 3 5 2 9 2" xfId="16522" xr:uid="{25C8A625-672D-4EC1-B21F-EB946CEB1092}"/>
    <cellStyle name="Normal 2 2 3 5 2 9 2 2" xfId="33282" xr:uid="{EF08D301-E38D-4F53-A0F4-9479F7D8604E}"/>
    <cellStyle name="Normal 2 2 3 5 2 9 2 3" xfId="50041" xr:uid="{E7A2E66E-89A5-4433-93EC-01811B537C64}"/>
    <cellStyle name="Normal 2 2 3 5 2 9 3" xfId="24902" xr:uid="{FDB89284-F568-4251-ACD1-8A48AF6214FA}"/>
    <cellStyle name="Normal 2 2 3 5 2 9 4" xfId="41661" xr:uid="{17E3A052-BE23-42B5-AA04-970FE6123F8E}"/>
    <cellStyle name="Normal 2 2 3 5 3" xfId="648" xr:uid="{BC6E8CD6-3F6E-46C4-8CF2-BB854BD4D653}"/>
    <cellStyle name="Normal 2 2 3 5 3 10" xfId="8714" xr:uid="{ED269851-448D-4634-A3F0-9E3F98ABB203}"/>
    <cellStyle name="Normal 2 2 3 5 3 10 2" xfId="17094" xr:uid="{BAC7B885-B2EA-4B4A-84A3-723B716D4F62}"/>
    <cellStyle name="Normal 2 2 3 5 3 10 2 2" xfId="33854" xr:uid="{9B1771F1-70B3-4DE0-9B6D-2ECA51E6AC22}"/>
    <cellStyle name="Normal 2 2 3 5 3 10 2 3" xfId="50613" xr:uid="{D4AE32ED-2A80-4768-B2B3-0A9FEC9F8488}"/>
    <cellStyle name="Normal 2 2 3 5 3 10 3" xfId="25474" xr:uid="{94988FDC-0753-4B59-B25B-291166415EEF}"/>
    <cellStyle name="Normal 2 2 3 5 3 10 4" xfId="42233" xr:uid="{42D145BF-09B7-4560-9749-6FD29E8B88B2}"/>
    <cellStyle name="Normal 2 2 3 5 3 11" xfId="2480" xr:uid="{2FF76796-5972-44FC-9336-622F3EA2DB45}"/>
    <cellStyle name="Normal 2 2 3 5 3 11 2" xfId="10862" xr:uid="{D8A7A4FD-C55E-4DAC-AF9F-45FAAA4DD679}"/>
    <cellStyle name="Normal 2 2 3 5 3 11 2 2" xfId="27622" xr:uid="{46D69796-E494-4FDF-834D-1BD472AF35FD}"/>
    <cellStyle name="Normal 2 2 3 5 3 11 2 3" xfId="44381" xr:uid="{40F399A8-0644-4406-B50E-2D00F634E25D}"/>
    <cellStyle name="Normal 2 2 3 5 3 11 3" xfId="19242" xr:uid="{3010A66A-A3D8-4F17-9BFD-C242AE17C5B2}"/>
    <cellStyle name="Normal 2 2 3 5 3 11 4" xfId="36001" xr:uid="{776ECC4A-1A31-4535-AE31-6EE9F8EE8089}"/>
    <cellStyle name="Normal 2 2 3 5 3 12" xfId="9059" xr:uid="{532A4704-FC15-4E78-82D9-BD1ED779B716}"/>
    <cellStyle name="Normal 2 2 3 5 3 12 2" xfId="25819" xr:uid="{A62265C7-B6A9-4A36-B840-1337BDEBB419}"/>
    <cellStyle name="Normal 2 2 3 5 3 12 3" xfId="42578" xr:uid="{B5589CD1-1B16-465C-A0A8-CD1FB9FBAC3E}"/>
    <cellStyle name="Normal 2 2 3 5 3 13" xfId="17439" xr:uid="{DF90F006-4BE5-410E-BD3B-D46F364D5706}"/>
    <cellStyle name="Normal 2 2 3 5 3 14" xfId="34198" xr:uid="{4020C209-6070-40B5-948F-DCBEC3F2B390}"/>
    <cellStyle name="Normal 2 2 3 5 3 2" xfId="1090" xr:uid="{380A123B-1C47-40CB-942D-D7673C1760E2}"/>
    <cellStyle name="Normal 2 2 3 5 3 2 2" xfId="4485" xr:uid="{28BF7706-2F12-419B-8933-62D1F7F2D537}"/>
    <cellStyle name="Normal 2 2 3 5 3 2 2 2" xfId="12865" xr:uid="{2BCB92F9-70BD-42BD-A15E-163460756118}"/>
    <cellStyle name="Normal 2 2 3 5 3 2 2 2 2" xfId="29625" xr:uid="{807A2E5C-1DA6-40FB-B88F-2B8E84EB8BA8}"/>
    <cellStyle name="Normal 2 2 3 5 3 2 2 2 3" xfId="46384" xr:uid="{05EBBB3D-58FF-4B4F-AA43-4BDD25F9C5A9}"/>
    <cellStyle name="Normal 2 2 3 5 3 2 2 3" xfId="21245" xr:uid="{17EFE4E5-31A6-4D3A-9523-164935193FEF}"/>
    <cellStyle name="Normal 2 2 3 5 3 2 2 4" xfId="38004" xr:uid="{75808C9F-AB81-4E49-8C5D-64DCFE078401}"/>
    <cellStyle name="Normal 2 2 3 5 3 2 3" xfId="6172" xr:uid="{490B585E-018E-4199-BEDB-27689E597C78}"/>
    <cellStyle name="Normal 2 2 3 5 3 2 3 2" xfId="14552" xr:uid="{1ACDE49C-0053-46F4-AC63-E3362C6AE2EF}"/>
    <cellStyle name="Normal 2 2 3 5 3 2 3 2 2" xfId="31312" xr:uid="{3A7D5B32-659E-4204-9E6F-06A3F7CAA5F4}"/>
    <cellStyle name="Normal 2 2 3 5 3 2 3 2 3" xfId="48071" xr:uid="{6609180C-1EF7-41E4-BD5C-80BC337696C2}"/>
    <cellStyle name="Normal 2 2 3 5 3 2 3 3" xfId="22932" xr:uid="{F4413400-9062-4941-9486-DC1D387B16BB}"/>
    <cellStyle name="Normal 2 2 3 5 3 2 3 4" xfId="39691" xr:uid="{AAD791C9-4D93-47BE-A152-2E8AA9F62BCD}"/>
    <cellStyle name="Normal 2 2 3 5 3 2 4" xfId="2908" xr:uid="{B7AF6CCA-BB07-4E23-AD48-EE5933B464BB}"/>
    <cellStyle name="Normal 2 2 3 5 3 2 4 2" xfId="11288" xr:uid="{02725D23-DFD8-414A-ADB9-3B6EA11DC9DF}"/>
    <cellStyle name="Normal 2 2 3 5 3 2 4 2 2" xfId="28048" xr:uid="{98651B55-7226-430D-9252-B5AA457F68CD}"/>
    <cellStyle name="Normal 2 2 3 5 3 2 4 2 3" xfId="44807" xr:uid="{A806AB4E-3829-4775-AD61-A1EF23C16901}"/>
    <cellStyle name="Normal 2 2 3 5 3 2 4 3" xfId="19668" xr:uid="{253CB493-59CD-4955-8DC1-B69A010DC665}"/>
    <cellStyle name="Normal 2 2 3 5 3 2 4 4" xfId="36427" xr:uid="{400B4491-9F1C-4844-BB80-FD2D53B284D2}"/>
    <cellStyle name="Normal 2 2 3 5 3 2 5" xfId="9485" xr:uid="{2BC0C888-51DD-452D-9CB3-917BF2E31FE2}"/>
    <cellStyle name="Normal 2 2 3 5 3 2 5 2" xfId="26245" xr:uid="{C10C5602-66A5-4FC6-B25B-B00BC60131F8}"/>
    <cellStyle name="Normal 2 2 3 5 3 2 5 3" xfId="43004" xr:uid="{0636EC7E-1510-4889-8930-4E732805F6D4}"/>
    <cellStyle name="Normal 2 2 3 5 3 2 6" xfId="17865" xr:uid="{188FFB3D-F52C-4C69-83CB-EC4AD13AC047}"/>
    <cellStyle name="Normal 2 2 3 5 3 2 7" xfId="34624" xr:uid="{05B51F60-A363-414E-85CF-18B0D7C7A906}"/>
    <cellStyle name="Normal 2 2 3 5 3 3" xfId="1524" xr:uid="{735DFD97-D8D5-43C6-8538-154B201DBD85}"/>
    <cellStyle name="Normal 2 2 3 5 3 3 2" xfId="4913" xr:uid="{9B748592-C4F0-4353-AD05-360ADDBBF6A5}"/>
    <cellStyle name="Normal 2 2 3 5 3 3 2 2" xfId="13293" xr:uid="{2011A365-638D-4517-BB1B-A3886AB40227}"/>
    <cellStyle name="Normal 2 2 3 5 3 3 2 2 2" xfId="30053" xr:uid="{EC3B123F-7E4E-4492-A24B-0337388720EA}"/>
    <cellStyle name="Normal 2 2 3 5 3 3 2 2 3" xfId="46812" xr:uid="{DCC1CE36-61D6-4E93-875A-45EB92587084}"/>
    <cellStyle name="Normal 2 2 3 5 3 3 2 3" xfId="21673" xr:uid="{9091271A-9834-4F88-AEED-7872107988CF}"/>
    <cellStyle name="Normal 2 2 3 5 3 3 2 4" xfId="38432" xr:uid="{63905F86-ACDE-4DA8-A73D-3A3FEE10EC21}"/>
    <cellStyle name="Normal 2 2 3 5 3 3 3" xfId="6600" xr:uid="{91F9BF9C-C127-41DE-9896-FF9D298ECDC6}"/>
    <cellStyle name="Normal 2 2 3 5 3 3 3 2" xfId="14980" xr:uid="{8BF92B29-2CD8-49A4-BF58-01B9C6A2FC5B}"/>
    <cellStyle name="Normal 2 2 3 5 3 3 3 2 2" xfId="31740" xr:uid="{4DA6DFF5-99AB-4246-ACBC-619FC7F012B5}"/>
    <cellStyle name="Normal 2 2 3 5 3 3 3 2 3" xfId="48499" xr:uid="{983E87DA-9CFD-4308-B999-694B961B2AF3}"/>
    <cellStyle name="Normal 2 2 3 5 3 3 3 3" xfId="23360" xr:uid="{153F401E-8097-4510-8CEB-D02EE0189914}"/>
    <cellStyle name="Normal 2 2 3 5 3 3 3 4" xfId="40119" xr:uid="{8A39E768-B1FD-44DD-8853-AA850AE3DE96}"/>
    <cellStyle name="Normal 2 2 3 5 3 3 4" xfId="3336" xr:uid="{CB22551F-ED74-47AE-A697-D1D51150DD99}"/>
    <cellStyle name="Normal 2 2 3 5 3 3 4 2" xfId="11716" xr:uid="{607164F6-380D-46D4-ADE7-81760A130E5E}"/>
    <cellStyle name="Normal 2 2 3 5 3 3 4 2 2" xfId="28476" xr:uid="{A9EDBA0B-007C-485A-830D-4CA0A9F4E9A6}"/>
    <cellStyle name="Normal 2 2 3 5 3 3 4 2 3" xfId="45235" xr:uid="{135A7459-A819-450D-B991-7F662EE18068}"/>
    <cellStyle name="Normal 2 2 3 5 3 3 4 3" xfId="20096" xr:uid="{B75B9916-2B50-4949-8C24-B3AAEEBA41D9}"/>
    <cellStyle name="Normal 2 2 3 5 3 3 4 4" xfId="36855" xr:uid="{F18EEEF4-7AC1-40C6-91F8-3F9D0DAA3534}"/>
    <cellStyle name="Normal 2 2 3 5 3 3 5" xfId="9913" xr:uid="{7AC8D716-2B1A-430D-B112-A01721B7D4BF}"/>
    <cellStyle name="Normal 2 2 3 5 3 3 5 2" xfId="26673" xr:uid="{A64A0A32-F029-46A7-ABA0-855D92A73514}"/>
    <cellStyle name="Normal 2 2 3 5 3 3 5 3" xfId="43432" xr:uid="{C2E62CC3-9157-4BDD-B090-84674BF7F4F9}"/>
    <cellStyle name="Normal 2 2 3 5 3 3 6" xfId="18293" xr:uid="{DEEA5B66-09F8-4F52-B282-03D81CE35A79}"/>
    <cellStyle name="Normal 2 2 3 5 3 3 7" xfId="35052" xr:uid="{60CFEF90-5743-4A35-95F3-A520F1CEC4A3}"/>
    <cellStyle name="Normal 2 2 3 5 3 4" xfId="2014" xr:uid="{DB3E2CB9-9E0A-4243-86BF-4F4285DF0E06}"/>
    <cellStyle name="Normal 2 2 3 5 3 4 2" xfId="5403" xr:uid="{9778E362-4060-42A3-B10A-B1486269F73D}"/>
    <cellStyle name="Normal 2 2 3 5 3 4 2 2" xfId="13783" xr:uid="{95F46142-F4B7-4A96-A955-756C0894ACBE}"/>
    <cellStyle name="Normal 2 2 3 5 3 4 2 2 2" xfId="30543" xr:uid="{112E2BA7-6C95-4617-8298-E44712E68F03}"/>
    <cellStyle name="Normal 2 2 3 5 3 4 2 2 3" xfId="47302" xr:uid="{B1AF270A-BBB4-4A61-AD2A-1010BF44F03A}"/>
    <cellStyle name="Normal 2 2 3 5 3 4 2 3" xfId="22163" xr:uid="{00057D61-0074-4A1A-A81A-064F8DC47C5C}"/>
    <cellStyle name="Normal 2 2 3 5 3 4 2 4" xfId="38922" xr:uid="{ED83D495-DE78-4FE0-B113-97F60AFACED9}"/>
    <cellStyle name="Normal 2 2 3 5 3 4 3" xfId="7090" xr:uid="{907C8B7A-48A1-4615-92E5-0D5062524E38}"/>
    <cellStyle name="Normal 2 2 3 5 3 4 3 2" xfId="15470" xr:uid="{152A6A73-04BD-4365-947E-72E5BC5C8018}"/>
    <cellStyle name="Normal 2 2 3 5 3 4 3 2 2" xfId="32230" xr:uid="{1A0E70CD-2101-46FD-B938-C8CCE7CC5D8B}"/>
    <cellStyle name="Normal 2 2 3 5 3 4 3 2 3" xfId="48989" xr:uid="{821CD6DA-204F-46C6-896D-EA87C4663CDD}"/>
    <cellStyle name="Normal 2 2 3 5 3 4 3 3" xfId="23850" xr:uid="{DBF904AF-65B9-4CDE-806A-273DC3D77D69}"/>
    <cellStyle name="Normal 2 2 3 5 3 4 3 4" xfId="40609" xr:uid="{51FCC229-6849-403B-91F8-FE00793488D2}"/>
    <cellStyle name="Normal 2 2 3 5 3 4 4" xfId="3713" xr:uid="{FA710664-1595-4A2B-9E37-C3F2BB7F11F7}"/>
    <cellStyle name="Normal 2 2 3 5 3 4 4 2" xfId="12093" xr:uid="{3D822718-8A5B-469F-91EC-231942464F20}"/>
    <cellStyle name="Normal 2 2 3 5 3 4 4 2 2" xfId="28853" xr:uid="{2A6E40F0-D966-4078-A286-C886FC79A23E}"/>
    <cellStyle name="Normal 2 2 3 5 3 4 4 2 3" xfId="45612" xr:uid="{D35B731E-2F61-4979-9C81-A81E6E0A1753}"/>
    <cellStyle name="Normal 2 2 3 5 3 4 4 3" xfId="20473" xr:uid="{32FECDBF-2507-4C4C-A5ED-B049C174AA48}"/>
    <cellStyle name="Normal 2 2 3 5 3 4 4 4" xfId="37232" xr:uid="{3A7ED89F-426F-4AA3-9B2B-ABFE878B9532}"/>
    <cellStyle name="Normal 2 2 3 5 3 4 5" xfId="10403" xr:uid="{C9F3765C-EFCD-415C-840D-E7644648F16D}"/>
    <cellStyle name="Normal 2 2 3 5 3 4 5 2" xfId="27163" xr:uid="{E92C4A95-09EC-4E2B-A4DC-5FED210835A4}"/>
    <cellStyle name="Normal 2 2 3 5 3 4 5 3" xfId="43922" xr:uid="{C284FF3D-D2B3-42EC-9171-E2C7FAB135A1}"/>
    <cellStyle name="Normal 2 2 3 5 3 4 6" xfId="18783" xr:uid="{8C8C1EC4-F623-4838-8E78-5A0FEC0B4375}"/>
    <cellStyle name="Normal 2 2 3 5 3 4 7" xfId="35542" xr:uid="{44929A9B-0FF0-495F-BEA1-5F4B15F7BB63}"/>
    <cellStyle name="Normal 2 2 3 5 3 5" xfId="4133" xr:uid="{BA04FEF4-079E-4FC3-9887-6FA4D03913AE}"/>
    <cellStyle name="Normal 2 2 3 5 3 5 2" xfId="12513" xr:uid="{C0E99DB5-E496-4E91-A921-0E517AE8EA8F}"/>
    <cellStyle name="Normal 2 2 3 5 3 5 2 2" xfId="29273" xr:uid="{306E93F3-E6AF-4F31-8F67-56DE33145E27}"/>
    <cellStyle name="Normal 2 2 3 5 3 5 2 3" xfId="46032" xr:uid="{8877CFE3-57B1-428A-873E-CB8122AE074F}"/>
    <cellStyle name="Normal 2 2 3 5 3 5 3" xfId="20893" xr:uid="{17B36030-84A5-4014-9270-E767E951FCE1}"/>
    <cellStyle name="Normal 2 2 3 5 3 5 4" xfId="37652" xr:uid="{1FC1BBA1-3B3F-4E19-862D-FE32F2106550}"/>
    <cellStyle name="Normal 2 2 3 5 3 6" xfId="5746" xr:uid="{131DCC66-E426-445D-A349-8E18C30190A0}"/>
    <cellStyle name="Normal 2 2 3 5 3 6 2" xfId="14126" xr:uid="{58F52A9E-D553-436B-8E68-B3F7C7EE06A7}"/>
    <cellStyle name="Normal 2 2 3 5 3 6 2 2" xfId="30886" xr:uid="{942A59D6-7040-45F2-98E5-FD630C296781}"/>
    <cellStyle name="Normal 2 2 3 5 3 6 2 3" xfId="47645" xr:uid="{E941CF63-5C71-46E6-9229-A8F7B61EFF06}"/>
    <cellStyle name="Normal 2 2 3 5 3 6 3" xfId="22506" xr:uid="{E55163B5-3BAE-4D53-A8D5-D5C134D45288}"/>
    <cellStyle name="Normal 2 2 3 5 3 6 4" xfId="39265" xr:uid="{AF4A98E9-DD50-4461-8447-355AF8CF9FC0}"/>
    <cellStyle name="Normal 2 2 3 5 3 7" xfId="7496" xr:uid="{02474206-DE22-43A3-BFF6-D4C8BA59379D}"/>
    <cellStyle name="Normal 2 2 3 5 3 7 2" xfId="15876" xr:uid="{99330987-A9DB-4011-9459-FC6A6C382FC9}"/>
    <cellStyle name="Normal 2 2 3 5 3 7 2 2" xfId="32636" xr:uid="{BD69CA99-7624-4F8D-A32C-1EB6B335FF08}"/>
    <cellStyle name="Normal 2 2 3 5 3 7 2 3" xfId="49395" xr:uid="{AF9AA077-D2C1-4F52-8260-188173B2C0C6}"/>
    <cellStyle name="Normal 2 2 3 5 3 7 3" xfId="24256" xr:uid="{202E27B1-6241-4E26-9E6E-6B7816756BCF}"/>
    <cellStyle name="Normal 2 2 3 5 3 7 4" xfId="41015" xr:uid="{0A937FB4-47AF-4611-8BC6-67BE01BFAA58}"/>
    <cellStyle name="Normal 2 2 3 5 3 8" xfId="7902" xr:uid="{9E8033B7-DCE9-4152-8FFF-EB36AAB618DA}"/>
    <cellStyle name="Normal 2 2 3 5 3 8 2" xfId="16282" xr:uid="{86D5CF10-86DE-4825-8DA5-80D7B133E224}"/>
    <cellStyle name="Normal 2 2 3 5 3 8 2 2" xfId="33042" xr:uid="{6F98A909-9E3F-40F1-8460-9FA9E8A7681F}"/>
    <cellStyle name="Normal 2 2 3 5 3 8 2 3" xfId="49801" xr:uid="{9333D07B-7907-47D2-972A-072D12D025AC}"/>
    <cellStyle name="Normal 2 2 3 5 3 8 3" xfId="24662" xr:uid="{C9E75217-CAA8-45B8-815D-2FE32D02546C}"/>
    <cellStyle name="Normal 2 2 3 5 3 8 4" xfId="41421" xr:uid="{B8433AAA-319A-450D-9B82-AC014043D728}"/>
    <cellStyle name="Normal 2 2 3 5 3 9" xfId="8308" xr:uid="{3C6A42B6-77C4-4731-BA35-948CBD348D94}"/>
    <cellStyle name="Normal 2 2 3 5 3 9 2" xfId="16688" xr:uid="{8345E338-C128-431C-BADF-DA4BFEE6AA29}"/>
    <cellStyle name="Normal 2 2 3 5 3 9 2 2" xfId="33448" xr:uid="{5D964BDA-4781-44F6-8FA1-8D7D49A0102C}"/>
    <cellStyle name="Normal 2 2 3 5 3 9 2 3" xfId="50207" xr:uid="{D87BA823-D1E3-4568-A9D4-5A8C7EA32775}"/>
    <cellStyle name="Normal 2 2 3 5 3 9 3" xfId="25068" xr:uid="{FC7E6BDE-5C8F-458E-A4D2-826708AEA69E}"/>
    <cellStyle name="Normal 2 2 3 5 3 9 4" xfId="41827" xr:uid="{A2B51252-5FA2-4654-AB2A-18129514DC42}"/>
    <cellStyle name="Normal 2 2 3 5 4" xfId="1088" xr:uid="{205361C3-D5A3-4860-BDE0-783EFA79ED74}"/>
    <cellStyle name="Normal 2 2 3 5 4 2" xfId="4483" xr:uid="{69FA258E-7EC0-4C57-A09C-6AAFA416D0C2}"/>
    <cellStyle name="Normal 2 2 3 5 4 2 2" xfId="12863" xr:uid="{81F2714C-C7B3-48F4-B101-ADD9F58E42F6}"/>
    <cellStyle name="Normal 2 2 3 5 4 2 2 2" xfId="29623" xr:uid="{19811225-183D-413D-B5E9-070CC417D330}"/>
    <cellStyle name="Normal 2 2 3 5 4 2 2 3" xfId="46382" xr:uid="{B80472E5-F4BD-4958-AB76-458D8B57FAEC}"/>
    <cellStyle name="Normal 2 2 3 5 4 2 3" xfId="21243" xr:uid="{562120B0-241C-49E5-941A-34B2B157D5D8}"/>
    <cellStyle name="Normal 2 2 3 5 4 2 4" xfId="38002" xr:uid="{F3692A5E-CA23-4BCB-A777-B42F84BF9770}"/>
    <cellStyle name="Normal 2 2 3 5 4 3" xfId="6170" xr:uid="{8C8CB791-EDA2-4D07-9FA2-FC6B8B1FEAE8}"/>
    <cellStyle name="Normal 2 2 3 5 4 3 2" xfId="14550" xr:uid="{BEAF51B4-C18F-42D7-9D99-5910B926E79B}"/>
    <cellStyle name="Normal 2 2 3 5 4 3 2 2" xfId="31310" xr:uid="{A7740944-C96B-498C-A8CE-21ACDEC5466F}"/>
    <cellStyle name="Normal 2 2 3 5 4 3 2 3" xfId="48069" xr:uid="{7490846A-2FDE-483A-82B2-925360C399D6}"/>
    <cellStyle name="Normal 2 2 3 5 4 3 3" xfId="22930" xr:uid="{4BABF726-1020-45DA-B86B-C7DC4F7BC368}"/>
    <cellStyle name="Normal 2 2 3 5 4 3 4" xfId="39689" xr:uid="{E9511739-EF84-478B-B912-F7415FBF9DE5}"/>
    <cellStyle name="Normal 2 2 3 5 4 4" xfId="2906" xr:uid="{C7AECF8D-DF8E-4F22-84F7-53E7BECF258C}"/>
    <cellStyle name="Normal 2 2 3 5 4 4 2" xfId="11286" xr:uid="{EF51F071-9126-4D6A-B9C2-4741F8B094D4}"/>
    <cellStyle name="Normal 2 2 3 5 4 4 2 2" xfId="28046" xr:uid="{438C9023-D691-40E7-B4FB-43224A2E9600}"/>
    <cellStyle name="Normal 2 2 3 5 4 4 2 3" xfId="44805" xr:uid="{DD5EF759-9842-4A50-84B2-8A124ADD3B63}"/>
    <cellStyle name="Normal 2 2 3 5 4 4 3" xfId="19666" xr:uid="{7D7B70CF-B57E-4900-8164-C0B0E0A21F41}"/>
    <cellStyle name="Normal 2 2 3 5 4 4 4" xfId="36425" xr:uid="{4DF50223-3ED8-4C32-8933-4099B205020C}"/>
    <cellStyle name="Normal 2 2 3 5 4 5" xfId="9483" xr:uid="{7683B1A7-D8B0-48EA-95C4-A4F9F9B1956A}"/>
    <cellStyle name="Normal 2 2 3 5 4 5 2" xfId="26243" xr:uid="{4F6B1D9F-3DFE-428A-B7D4-CE6A23F71A04}"/>
    <cellStyle name="Normal 2 2 3 5 4 5 3" xfId="43002" xr:uid="{CC4BB54C-47B4-4477-BABD-CFB73B593D6D}"/>
    <cellStyle name="Normal 2 2 3 5 4 6" xfId="17863" xr:uid="{E457526B-2129-4524-8C70-229151984BC9}"/>
    <cellStyle name="Normal 2 2 3 5 4 7" xfId="34622" xr:uid="{7402383A-7AAF-4E6D-ABCA-91237B94E43E}"/>
    <cellStyle name="Normal 2 2 3 5 5" xfId="1522" xr:uid="{D07E6FB2-717D-49AE-A94D-B0576785521E}"/>
    <cellStyle name="Normal 2 2 3 5 5 2" xfId="4911" xr:uid="{EFA112A1-2BD2-40C3-8B49-6E56EBA2E890}"/>
    <cellStyle name="Normal 2 2 3 5 5 2 2" xfId="13291" xr:uid="{E100F2A4-4B8B-4C96-9C1B-4CDDFF86734B}"/>
    <cellStyle name="Normal 2 2 3 5 5 2 2 2" xfId="30051" xr:uid="{F4754A3F-B227-4E5B-B36C-BAF943FE421C}"/>
    <cellStyle name="Normal 2 2 3 5 5 2 2 3" xfId="46810" xr:uid="{12AF728A-9AF9-4B80-B6D6-A685D3EE15EE}"/>
    <cellStyle name="Normal 2 2 3 5 5 2 3" xfId="21671" xr:uid="{5C85D438-8604-4317-A9B2-62F857306511}"/>
    <cellStyle name="Normal 2 2 3 5 5 2 4" xfId="38430" xr:uid="{C8F54E35-6F6E-433C-AB4E-572753CEEA1B}"/>
    <cellStyle name="Normal 2 2 3 5 5 3" xfId="6598" xr:uid="{522DAA3A-B486-45CE-8B3C-3235E955E505}"/>
    <cellStyle name="Normal 2 2 3 5 5 3 2" xfId="14978" xr:uid="{050DB4EE-B95B-4F21-868C-695CFEA39324}"/>
    <cellStyle name="Normal 2 2 3 5 5 3 2 2" xfId="31738" xr:uid="{2186DD07-0910-469B-8CF6-F572E77EC9CD}"/>
    <cellStyle name="Normal 2 2 3 5 5 3 2 3" xfId="48497" xr:uid="{6A446848-CADA-40CF-A0CC-1FBCA3C625D4}"/>
    <cellStyle name="Normal 2 2 3 5 5 3 3" xfId="23358" xr:uid="{7832CCD2-BC1E-46F5-9683-04A63F9FFE55}"/>
    <cellStyle name="Normal 2 2 3 5 5 3 4" xfId="40117" xr:uid="{3A1D7D9C-2D84-471B-84DA-B6645AB922C1}"/>
    <cellStyle name="Normal 2 2 3 5 5 4" xfId="3334" xr:uid="{7C7C922A-C4F9-401C-A236-E0F1DD88AE0A}"/>
    <cellStyle name="Normal 2 2 3 5 5 4 2" xfId="11714" xr:uid="{31B44A42-CA60-423C-9E8E-A6CD17DE5711}"/>
    <cellStyle name="Normal 2 2 3 5 5 4 2 2" xfId="28474" xr:uid="{30AEFBFB-E6E1-41BF-8906-41A12703DC43}"/>
    <cellStyle name="Normal 2 2 3 5 5 4 2 3" xfId="45233" xr:uid="{F2C504BB-4BAC-4D2E-995D-EC000FA3CB12}"/>
    <cellStyle name="Normal 2 2 3 5 5 4 3" xfId="20094" xr:uid="{37DBD582-DA3A-4184-834C-3180B29AFCA8}"/>
    <cellStyle name="Normal 2 2 3 5 5 4 4" xfId="36853" xr:uid="{A87CE79E-E634-4B8B-A72C-66A277E0618E}"/>
    <cellStyle name="Normal 2 2 3 5 5 5" xfId="9911" xr:uid="{4FB0C16A-B3C8-407B-9C30-9E47782C4872}"/>
    <cellStyle name="Normal 2 2 3 5 5 5 2" xfId="26671" xr:uid="{ADC2F1DD-BA62-43B6-9BF6-D229E26251FA}"/>
    <cellStyle name="Normal 2 2 3 5 5 5 3" xfId="43430" xr:uid="{4CBA42C8-B932-4416-898C-397E1745BC39}"/>
    <cellStyle name="Normal 2 2 3 5 5 6" xfId="18291" xr:uid="{958BB892-A5A6-424F-BB1A-B503AEC0C902}"/>
    <cellStyle name="Normal 2 2 3 5 5 7" xfId="35050" xr:uid="{28DE14DF-74CA-4E0E-8891-1AE6E0B680D6}"/>
    <cellStyle name="Normal 2 2 3 5 6" xfId="1743" xr:uid="{EF970A02-E417-4FB3-B461-A11BCAA592F2}"/>
    <cellStyle name="Normal 2 2 3 5 6 2" xfId="5132" xr:uid="{CC23C8D4-CA4E-48FA-8823-ECB62B6D1E90}"/>
    <cellStyle name="Normal 2 2 3 5 6 2 2" xfId="13512" xr:uid="{1B603207-8E67-4131-8260-11148540058E}"/>
    <cellStyle name="Normal 2 2 3 5 6 2 2 2" xfId="30272" xr:uid="{7B981BE4-C6BD-4951-9EE9-A436FEACE25B}"/>
    <cellStyle name="Normal 2 2 3 5 6 2 2 3" xfId="47031" xr:uid="{7F37454D-C0DB-4F53-A4ED-C904DF96A7C7}"/>
    <cellStyle name="Normal 2 2 3 5 6 2 3" xfId="21892" xr:uid="{2FDAE19E-E403-4289-9176-3E0BDDC371F9}"/>
    <cellStyle name="Normal 2 2 3 5 6 2 4" xfId="38651" xr:uid="{8227D426-13EF-44EB-B38B-C3C5A8B871FD}"/>
    <cellStyle name="Normal 2 2 3 5 6 3" xfId="6819" xr:uid="{EF84637C-35BC-4B1F-97B5-839F8C25AE13}"/>
    <cellStyle name="Normal 2 2 3 5 6 3 2" xfId="15199" xr:uid="{ED12D879-080A-472B-9459-305F184898B6}"/>
    <cellStyle name="Normal 2 2 3 5 6 3 2 2" xfId="31959" xr:uid="{8F6E20A1-2DCB-4166-8BCE-6ACD14B32203}"/>
    <cellStyle name="Normal 2 2 3 5 6 3 2 3" xfId="48718" xr:uid="{806B69CF-6681-4290-B36F-0FFB3FC1E94E}"/>
    <cellStyle name="Normal 2 2 3 5 6 3 3" xfId="23579" xr:uid="{0D8D34C5-56B0-4403-8310-699056906041}"/>
    <cellStyle name="Normal 2 2 3 5 6 3 4" xfId="40338" xr:uid="{A2FDB258-A5D6-4023-9559-C87EE65F34AF}"/>
    <cellStyle name="Normal 2 2 3 5 6 4" xfId="2478" xr:uid="{E2F20BA0-25B9-4CDA-AD7F-F1285237D3EC}"/>
    <cellStyle name="Normal 2 2 3 5 6 4 2" xfId="10860" xr:uid="{5B18B421-CB50-41B9-8860-05A2A5277E05}"/>
    <cellStyle name="Normal 2 2 3 5 6 4 2 2" xfId="27620" xr:uid="{719228D1-85AF-487E-9FDE-F5E72C9B9E81}"/>
    <cellStyle name="Normal 2 2 3 5 6 4 2 3" xfId="44379" xr:uid="{9CEF9D68-8452-4AB1-8DF7-9865874717A3}"/>
    <cellStyle name="Normal 2 2 3 5 6 4 3" xfId="19240" xr:uid="{FAD616C0-EB5C-41BB-B32D-4E03C41492F6}"/>
    <cellStyle name="Normal 2 2 3 5 6 4 4" xfId="35999" xr:uid="{CB77F545-C875-4F94-8015-1B72E08DD9F2}"/>
    <cellStyle name="Normal 2 2 3 5 6 5" xfId="10132" xr:uid="{791D7A97-09AD-4BFF-AE49-B771620F8062}"/>
    <cellStyle name="Normal 2 2 3 5 6 5 2" xfId="26892" xr:uid="{9C6D4D4C-9776-47A6-9C5B-D362B32AC5D5}"/>
    <cellStyle name="Normal 2 2 3 5 6 5 3" xfId="43651" xr:uid="{5C1F8602-98F0-4716-978B-CD8CBE8EDD5D}"/>
    <cellStyle name="Normal 2 2 3 5 6 6" xfId="18512" xr:uid="{68141E2D-A9BB-427C-830C-71B152EBD3EB}"/>
    <cellStyle name="Normal 2 2 3 5 6 7" xfId="35271" xr:uid="{EFDB4B91-E147-45BE-B988-14F9C4512CDC}"/>
    <cellStyle name="Normal 2 2 3 5 7" xfId="3862" xr:uid="{18B2FEDD-C6D5-402F-A1C0-B5936C6B3080}"/>
    <cellStyle name="Normal 2 2 3 5 7 2" xfId="12242" xr:uid="{A209C3D7-5320-4472-83A7-54A478DBE499}"/>
    <cellStyle name="Normal 2 2 3 5 7 2 2" xfId="29002" xr:uid="{841B025F-C5F4-4CA1-B1D8-61DFCDCCFDF1}"/>
    <cellStyle name="Normal 2 2 3 5 7 2 3" xfId="45761" xr:uid="{5E34416C-F4B5-4FDD-8632-F8A575B25867}"/>
    <cellStyle name="Normal 2 2 3 5 7 3" xfId="20622" xr:uid="{8F97CBDC-E62F-4A00-BD12-F1188C294863}"/>
    <cellStyle name="Normal 2 2 3 5 7 4" xfId="37381" xr:uid="{A691CB53-47B2-4E87-8596-88904CB3BC78}"/>
    <cellStyle name="Normal 2 2 3 5 8" xfId="5744" xr:uid="{F0158C44-A7A7-462B-812F-5E3754BAAEDA}"/>
    <cellStyle name="Normal 2 2 3 5 8 2" xfId="14124" xr:uid="{4416FCA7-67BB-4DF8-9D82-9CF7640E4489}"/>
    <cellStyle name="Normal 2 2 3 5 8 2 2" xfId="30884" xr:uid="{F4971AD3-21CA-4163-A4D4-724B9304BE22}"/>
    <cellStyle name="Normal 2 2 3 5 8 2 3" xfId="47643" xr:uid="{C633AA70-4006-488C-821F-3C1756F46489}"/>
    <cellStyle name="Normal 2 2 3 5 8 3" xfId="22504" xr:uid="{53D7D3AA-4519-42D6-B703-6E00D2B9E7FF}"/>
    <cellStyle name="Normal 2 2 3 5 8 4" xfId="39263" xr:uid="{2DD59F08-37FD-4FE3-9821-0BD0B79198AD}"/>
    <cellStyle name="Normal 2 2 3 5 9" xfId="7225" xr:uid="{AB1AC047-FC38-48CD-B22F-4E2DB53A6048}"/>
    <cellStyle name="Normal 2 2 3 5 9 2" xfId="15605" xr:uid="{483F4984-5BCF-46E5-B6A6-CBC3669B3E03}"/>
    <cellStyle name="Normal 2 2 3 5 9 2 2" xfId="32365" xr:uid="{AD78E4BD-47BA-4A83-878C-D8BF86B35125}"/>
    <cellStyle name="Normal 2 2 3 5 9 2 3" xfId="49124" xr:uid="{BF36FE6B-D8E8-477B-9AC3-B3D7B282FD6E}"/>
    <cellStyle name="Normal 2 2 3 5 9 3" xfId="23985" xr:uid="{9C43483C-5085-4B42-9B16-6028BF7A2981}"/>
    <cellStyle name="Normal 2 2 3 5 9 4" xfId="40744" xr:uid="{8CCA512F-C1BF-45BC-B12D-125DCEB57D06}"/>
    <cellStyle name="Normal 2 2 3 6" xfId="649" xr:uid="{D1DEB7C5-9C0E-4266-B6BA-1C3DFAAE716E}"/>
    <cellStyle name="Normal 2 2 3 6 10" xfId="8543" xr:uid="{313ED8D4-20C7-417F-8887-4A77C52A35E4}"/>
    <cellStyle name="Normal 2 2 3 6 10 2" xfId="16923" xr:uid="{4BF6657D-AC09-4343-9D07-4304AF3F688E}"/>
    <cellStyle name="Normal 2 2 3 6 10 2 2" xfId="33683" xr:uid="{62B8A2D1-E396-4EA0-8030-64844A18FF21}"/>
    <cellStyle name="Normal 2 2 3 6 10 2 3" xfId="50442" xr:uid="{3BD5D5A0-A4A8-42A9-B4A8-D59E71CB55EB}"/>
    <cellStyle name="Normal 2 2 3 6 10 3" xfId="25303" xr:uid="{F8044E40-2432-4D0A-94AF-A9398401DE46}"/>
    <cellStyle name="Normal 2 2 3 6 10 4" xfId="42062" xr:uid="{71F2A96F-244D-4C92-8645-BBC078EBF37F}"/>
    <cellStyle name="Normal 2 2 3 6 11" xfId="2481" xr:uid="{CDB405DC-CAF8-408E-845A-29408F71B29E}"/>
    <cellStyle name="Normal 2 2 3 6 11 2" xfId="10863" xr:uid="{FE47C198-8C84-4DE9-9926-EEC505230A2F}"/>
    <cellStyle name="Normal 2 2 3 6 11 2 2" xfId="27623" xr:uid="{DC2F0F83-0414-42B4-B419-A0562C54DA85}"/>
    <cellStyle name="Normal 2 2 3 6 11 2 3" xfId="44382" xr:uid="{BA1507DA-280D-4CA1-902F-DE6B55DB8D28}"/>
    <cellStyle name="Normal 2 2 3 6 11 3" xfId="19243" xr:uid="{D1AAA57E-993B-47B2-8CD3-259208B62F3E}"/>
    <cellStyle name="Normal 2 2 3 6 11 4" xfId="36002" xr:uid="{693399BD-D66A-4C77-8C47-CD7CF92CCC84}"/>
    <cellStyle name="Normal 2 2 3 6 12" xfId="9060" xr:uid="{7AE961A4-AD20-4138-B536-DBD2055C7915}"/>
    <cellStyle name="Normal 2 2 3 6 12 2" xfId="25820" xr:uid="{A75C60C5-633D-4ACE-B483-4A6ADB9CF3F4}"/>
    <cellStyle name="Normal 2 2 3 6 12 3" xfId="42579" xr:uid="{2406648A-54EB-4BCA-9FBB-9AD8BD2F3049}"/>
    <cellStyle name="Normal 2 2 3 6 13" xfId="17440" xr:uid="{E03ADC4F-F071-4142-99CD-382A3BE68C96}"/>
    <cellStyle name="Normal 2 2 3 6 14" xfId="34199" xr:uid="{10FF93DA-D488-46AD-A037-703E79E43679}"/>
    <cellStyle name="Normal 2 2 3 6 2" xfId="1091" xr:uid="{3B184F64-B388-4B23-A5B8-0DBD26BA922B}"/>
    <cellStyle name="Normal 2 2 3 6 2 2" xfId="4486" xr:uid="{57C2BE3D-B0DF-4392-83CB-A96BA95C3C4F}"/>
    <cellStyle name="Normal 2 2 3 6 2 2 2" xfId="12866" xr:uid="{DC0AAD67-F9D9-4B99-A251-C39F46440DB1}"/>
    <cellStyle name="Normal 2 2 3 6 2 2 2 2" xfId="29626" xr:uid="{87E31BF3-49E8-4EFD-83EF-DB09D6804885}"/>
    <cellStyle name="Normal 2 2 3 6 2 2 2 3" xfId="46385" xr:uid="{B1427D6A-4B3D-406E-8830-41196515BD87}"/>
    <cellStyle name="Normal 2 2 3 6 2 2 3" xfId="21246" xr:uid="{81BA451E-83C3-4CAD-952B-7492B257CA07}"/>
    <cellStyle name="Normal 2 2 3 6 2 2 4" xfId="38005" xr:uid="{DC44F204-3689-4143-91FB-D95EB9B73A9F}"/>
    <cellStyle name="Normal 2 2 3 6 2 3" xfId="6173" xr:uid="{6A46F35C-416D-439A-8B64-DFE437C27E61}"/>
    <cellStyle name="Normal 2 2 3 6 2 3 2" xfId="14553" xr:uid="{79F446CF-13F6-4FC8-A12F-CEB4ED4703C2}"/>
    <cellStyle name="Normal 2 2 3 6 2 3 2 2" xfId="31313" xr:uid="{FE46002A-8DA8-4B08-9A18-0D8117302A08}"/>
    <cellStyle name="Normal 2 2 3 6 2 3 2 3" xfId="48072" xr:uid="{0F477BC7-CE17-494B-9575-621317C13D5B}"/>
    <cellStyle name="Normal 2 2 3 6 2 3 3" xfId="22933" xr:uid="{D94EA2E8-14B3-4C8D-A3B8-AD508A7B5DE6}"/>
    <cellStyle name="Normal 2 2 3 6 2 3 4" xfId="39692" xr:uid="{FCF253AF-12C2-4B66-9C09-A30F39FD5BCB}"/>
    <cellStyle name="Normal 2 2 3 6 2 4" xfId="2909" xr:uid="{339723CA-8D83-43B3-A74E-28A587793094}"/>
    <cellStyle name="Normal 2 2 3 6 2 4 2" xfId="11289" xr:uid="{5A3D2AC6-3478-403E-B62E-A6EF6A727E3B}"/>
    <cellStyle name="Normal 2 2 3 6 2 4 2 2" xfId="28049" xr:uid="{3B5F4577-411B-4BEB-B18E-A6C737B18B29}"/>
    <cellStyle name="Normal 2 2 3 6 2 4 2 3" xfId="44808" xr:uid="{9366C16E-DFE6-4BD9-BA5F-785057FDAFFE}"/>
    <cellStyle name="Normal 2 2 3 6 2 4 3" xfId="19669" xr:uid="{91A976AF-6B25-47DF-BCD7-3A4BE48FFF89}"/>
    <cellStyle name="Normal 2 2 3 6 2 4 4" xfId="36428" xr:uid="{A3C56C9C-34A1-47DC-98C1-516DB8B93017}"/>
    <cellStyle name="Normal 2 2 3 6 2 5" xfId="9486" xr:uid="{C74EE276-38B9-4B57-9EAC-F270897B8E27}"/>
    <cellStyle name="Normal 2 2 3 6 2 5 2" xfId="26246" xr:uid="{AF53B96E-5A4D-4741-836F-08CE3E4B0C2A}"/>
    <cellStyle name="Normal 2 2 3 6 2 5 3" xfId="43005" xr:uid="{CD4E34E2-F2FD-4E30-B1EB-CAC1E53F12A7}"/>
    <cellStyle name="Normal 2 2 3 6 2 6" xfId="17866" xr:uid="{91471BFB-89FC-4233-AC7F-987DD7280872}"/>
    <cellStyle name="Normal 2 2 3 6 2 7" xfId="34625" xr:uid="{375D9ED1-7F12-4B16-AB61-7C34683CE318}"/>
    <cellStyle name="Normal 2 2 3 6 3" xfId="1525" xr:uid="{16BC6686-9CD7-4D5A-A173-39E71A84770C}"/>
    <cellStyle name="Normal 2 2 3 6 3 2" xfId="4914" xr:uid="{A9152B58-C163-4437-852A-6FB92CB63098}"/>
    <cellStyle name="Normal 2 2 3 6 3 2 2" xfId="13294" xr:uid="{F455B436-D30F-4FA6-9010-8075A0D61C81}"/>
    <cellStyle name="Normal 2 2 3 6 3 2 2 2" xfId="30054" xr:uid="{CC8E26E3-151C-4E84-B3C1-12877EE1A090}"/>
    <cellStyle name="Normal 2 2 3 6 3 2 2 3" xfId="46813" xr:uid="{31CA89D8-A8DE-41F6-A852-571A1147F7E4}"/>
    <cellStyle name="Normal 2 2 3 6 3 2 3" xfId="21674" xr:uid="{A9A8E3BF-657E-46CC-B103-D921EC73B409}"/>
    <cellStyle name="Normal 2 2 3 6 3 2 4" xfId="38433" xr:uid="{D4623012-3B5C-4CEE-B897-C0368C5A9962}"/>
    <cellStyle name="Normal 2 2 3 6 3 3" xfId="6601" xr:uid="{279BC3EB-A9EF-4438-9322-81CB94E75F73}"/>
    <cellStyle name="Normal 2 2 3 6 3 3 2" xfId="14981" xr:uid="{611F7F6C-F4F2-46DB-A400-64C4793F7059}"/>
    <cellStyle name="Normal 2 2 3 6 3 3 2 2" xfId="31741" xr:uid="{D5CD9F32-D293-4D15-BCD4-6E918F93D691}"/>
    <cellStyle name="Normal 2 2 3 6 3 3 2 3" xfId="48500" xr:uid="{4508C178-F72C-4C13-A73E-F839E51775D1}"/>
    <cellStyle name="Normal 2 2 3 6 3 3 3" xfId="23361" xr:uid="{8A631542-7BA7-4DCE-80B0-2812ACD0589B}"/>
    <cellStyle name="Normal 2 2 3 6 3 3 4" xfId="40120" xr:uid="{F5AE8765-8C62-4262-B97E-604930E435C7}"/>
    <cellStyle name="Normal 2 2 3 6 3 4" xfId="3337" xr:uid="{EE29D078-292A-4AA5-B721-F70BEEFF025D}"/>
    <cellStyle name="Normal 2 2 3 6 3 4 2" xfId="11717" xr:uid="{DC6B13A3-487B-4673-AD32-F287282B3D86}"/>
    <cellStyle name="Normal 2 2 3 6 3 4 2 2" xfId="28477" xr:uid="{E4381D73-7F33-4525-B2A0-BD5AE027169B}"/>
    <cellStyle name="Normal 2 2 3 6 3 4 2 3" xfId="45236" xr:uid="{48ED1D97-B348-4F59-AD0F-9E19D8D875BE}"/>
    <cellStyle name="Normal 2 2 3 6 3 4 3" xfId="20097" xr:uid="{9E963824-3D13-470C-BABA-A5FF5E7EAAD1}"/>
    <cellStyle name="Normal 2 2 3 6 3 4 4" xfId="36856" xr:uid="{F4193B36-6466-41C4-BF3C-50BA31814A74}"/>
    <cellStyle name="Normal 2 2 3 6 3 5" xfId="9914" xr:uid="{91A42F36-F6BD-42AF-8065-1FDFFBE9A3B8}"/>
    <cellStyle name="Normal 2 2 3 6 3 5 2" xfId="26674" xr:uid="{53546BE1-90FF-4C20-B0D3-93C3298C4298}"/>
    <cellStyle name="Normal 2 2 3 6 3 5 3" xfId="43433" xr:uid="{25A7E8F3-46AF-4668-B4FB-9027830D49EB}"/>
    <cellStyle name="Normal 2 2 3 6 3 6" xfId="18294" xr:uid="{99F9DE9D-A513-4D38-AAD1-2FCD350F5995}"/>
    <cellStyle name="Normal 2 2 3 6 3 7" xfId="35053" xr:uid="{EC7F4003-FE71-4EE3-A58E-231D13509A94}"/>
    <cellStyle name="Normal 2 2 3 6 4" xfId="1843" xr:uid="{4BE0A895-8607-411A-86F9-01703366E1CA}"/>
    <cellStyle name="Normal 2 2 3 6 4 2" xfId="5232" xr:uid="{9FF27725-91AB-4FD7-99FD-FA2770CE241E}"/>
    <cellStyle name="Normal 2 2 3 6 4 2 2" xfId="13612" xr:uid="{F132E424-5EE3-481B-9CBF-81D3B8948961}"/>
    <cellStyle name="Normal 2 2 3 6 4 2 2 2" xfId="30372" xr:uid="{481762AE-33E2-426C-A91C-862C190D3F96}"/>
    <cellStyle name="Normal 2 2 3 6 4 2 2 3" xfId="47131" xr:uid="{6BCFC090-FA37-4FE0-B2D6-C6ACB3089219}"/>
    <cellStyle name="Normal 2 2 3 6 4 2 3" xfId="21992" xr:uid="{F7953D4E-D858-477D-9F6F-151B6519A534}"/>
    <cellStyle name="Normal 2 2 3 6 4 2 4" xfId="38751" xr:uid="{2BF36F5D-781A-4AEC-9130-06C827681E45}"/>
    <cellStyle name="Normal 2 2 3 6 4 3" xfId="6919" xr:uid="{8DE21619-6213-4621-A399-D04F7054BF5F}"/>
    <cellStyle name="Normal 2 2 3 6 4 3 2" xfId="15299" xr:uid="{8C346DC5-789B-48D7-A581-6EE6B3F8B7A4}"/>
    <cellStyle name="Normal 2 2 3 6 4 3 2 2" xfId="32059" xr:uid="{EA9BF295-AC43-4AB8-8584-8E86B22A768C}"/>
    <cellStyle name="Normal 2 2 3 6 4 3 2 3" xfId="48818" xr:uid="{EC922541-7253-479C-A463-60FD8CE276F1}"/>
    <cellStyle name="Normal 2 2 3 6 4 3 3" xfId="23679" xr:uid="{98C68815-F5E4-4DAA-9D25-01DC2CF8B5CF}"/>
    <cellStyle name="Normal 2 2 3 6 4 3 4" xfId="40438" xr:uid="{2367413C-1D41-4E26-A71A-7D90F5B4C96C}"/>
    <cellStyle name="Normal 2 2 3 6 4 4" xfId="3543" xr:uid="{6D4F98D9-D7B6-46B2-8D29-057F2A938D3D}"/>
    <cellStyle name="Normal 2 2 3 6 4 4 2" xfId="11923" xr:uid="{9C582780-9892-42FC-B799-B3BDABB010C0}"/>
    <cellStyle name="Normal 2 2 3 6 4 4 2 2" xfId="28683" xr:uid="{07A11572-E886-4634-A819-D886EB7732E2}"/>
    <cellStyle name="Normal 2 2 3 6 4 4 2 3" xfId="45442" xr:uid="{DD2697BE-7D18-4B1B-82FC-7878865D66F2}"/>
    <cellStyle name="Normal 2 2 3 6 4 4 3" xfId="20303" xr:uid="{1430081C-4ACC-4479-94C3-103159F5514B}"/>
    <cellStyle name="Normal 2 2 3 6 4 4 4" xfId="37062" xr:uid="{8C42AF87-E9C5-43A8-8843-A127D7628338}"/>
    <cellStyle name="Normal 2 2 3 6 4 5" xfId="10232" xr:uid="{8E117788-F884-4C33-8C40-968BC6C0B9A4}"/>
    <cellStyle name="Normal 2 2 3 6 4 5 2" xfId="26992" xr:uid="{85223CDD-AFCF-4A0D-96C9-9B2D445CA4C7}"/>
    <cellStyle name="Normal 2 2 3 6 4 5 3" xfId="43751" xr:uid="{48A9349E-F96E-49FF-83D0-873161BAAA70}"/>
    <cellStyle name="Normal 2 2 3 6 4 6" xfId="18612" xr:uid="{16273036-E48C-4EC0-A320-09D966C1E4AE}"/>
    <cellStyle name="Normal 2 2 3 6 4 7" xfId="35371" xr:uid="{1ABE0ED4-0C3C-4956-8B9B-692E5FB44264}"/>
    <cellStyle name="Normal 2 2 3 6 5" xfId="3962" xr:uid="{3DF5A581-410D-4486-B595-5DC80618A4E2}"/>
    <cellStyle name="Normal 2 2 3 6 5 2" xfId="12342" xr:uid="{E9457D2C-BF9A-4B38-BD46-1ADC42067239}"/>
    <cellStyle name="Normal 2 2 3 6 5 2 2" xfId="29102" xr:uid="{F871E108-3C3E-4165-BA3E-2F978A2BDED0}"/>
    <cellStyle name="Normal 2 2 3 6 5 2 3" xfId="45861" xr:uid="{1641DDB1-80FB-48C5-ADBF-BDD3AE6136D1}"/>
    <cellStyle name="Normal 2 2 3 6 5 3" xfId="20722" xr:uid="{A90CB300-4B4F-4C23-BD90-2D8A5CA877D1}"/>
    <cellStyle name="Normal 2 2 3 6 5 4" xfId="37481" xr:uid="{83360C52-EE28-4CD0-9FA4-61E1CCF6AC1D}"/>
    <cellStyle name="Normal 2 2 3 6 6" xfId="5747" xr:uid="{6B360A78-E1E5-4EE1-A82D-A5ED79294C2E}"/>
    <cellStyle name="Normal 2 2 3 6 6 2" xfId="14127" xr:uid="{7E3087A8-06AC-48A5-9C90-40CE4C7DED0E}"/>
    <cellStyle name="Normal 2 2 3 6 6 2 2" xfId="30887" xr:uid="{34CD08DD-2FAC-406F-8ABC-6D8F07140AE0}"/>
    <cellStyle name="Normal 2 2 3 6 6 2 3" xfId="47646" xr:uid="{3DF1DE06-9B32-48AE-A55B-4E929D59FE55}"/>
    <cellStyle name="Normal 2 2 3 6 6 3" xfId="22507" xr:uid="{0EF46E55-ADFC-43C2-9F8A-58F07EB2EB25}"/>
    <cellStyle name="Normal 2 2 3 6 6 4" xfId="39266" xr:uid="{45872311-4666-469F-83CE-93272293FED1}"/>
    <cellStyle name="Normal 2 2 3 6 7" xfId="7325" xr:uid="{A7891F5A-51C1-4543-8A40-F17962A4CD8A}"/>
    <cellStyle name="Normal 2 2 3 6 7 2" xfId="15705" xr:uid="{24E5D79C-FA4F-40DA-A9B0-E6CEF409A42C}"/>
    <cellStyle name="Normal 2 2 3 6 7 2 2" xfId="32465" xr:uid="{F1188A27-538B-4840-B7BF-096831873093}"/>
    <cellStyle name="Normal 2 2 3 6 7 2 3" xfId="49224" xr:uid="{B1E26598-AFDD-4C42-8DD4-B053D7DD9E2F}"/>
    <cellStyle name="Normal 2 2 3 6 7 3" xfId="24085" xr:uid="{F55C3814-FA57-4807-BFD3-23474AA667D9}"/>
    <cellStyle name="Normal 2 2 3 6 7 4" xfId="40844" xr:uid="{5C26B259-F527-4924-B61C-7CB532EDB011}"/>
    <cellStyle name="Normal 2 2 3 6 8" xfId="7731" xr:uid="{24DCE37E-B61F-4A33-A0DA-A412A791D606}"/>
    <cellStyle name="Normal 2 2 3 6 8 2" xfId="16111" xr:uid="{5BF54197-E6A8-4C27-A128-3FFAEEB0C1C4}"/>
    <cellStyle name="Normal 2 2 3 6 8 2 2" xfId="32871" xr:uid="{40950C84-17EE-4818-A587-75E2AC66CB0F}"/>
    <cellStyle name="Normal 2 2 3 6 8 2 3" xfId="49630" xr:uid="{898CB665-684F-4781-B31B-9294C89F9DBF}"/>
    <cellStyle name="Normal 2 2 3 6 8 3" xfId="24491" xr:uid="{AFF5FB67-DFF6-4051-AAE6-DAD8A100636F}"/>
    <cellStyle name="Normal 2 2 3 6 8 4" xfId="41250" xr:uid="{11BAE2D0-D5D2-4F96-A6C5-07D2D794A671}"/>
    <cellStyle name="Normal 2 2 3 6 9" xfId="8137" xr:uid="{8C185B56-7498-4B5A-95F9-F56B79DAC022}"/>
    <cellStyle name="Normal 2 2 3 6 9 2" xfId="16517" xr:uid="{2E4C89A9-B40F-45D4-B409-29FF44BDFFE5}"/>
    <cellStyle name="Normal 2 2 3 6 9 2 2" xfId="33277" xr:uid="{E452833E-D43F-4B20-8C12-B994A6AE79BA}"/>
    <cellStyle name="Normal 2 2 3 6 9 2 3" xfId="50036" xr:uid="{D190757A-7242-4F05-AA27-A4F9D251AA24}"/>
    <cellStyle name="Normal 2 2 3 6 9 3" xfId="24897" xr:uid="{E29CB52C-69D7-4DEC-B37C-7FFD3909C7B3}"/>
    <cellStyle name="Normal 2 2 3 6 9 4" xfId="41656" xr:uid="{C8258FDF-2E21-4BE5-8C33-3F834420692D}"/>
    <cellStyle name="Normal 2 2 3 7" xfId="650" xr:uid="{500BA471-415F-4EAD-9D43-E2C89A298600}"/>
    <cellStyle name="Normal 2 2 3 7 10" xfId="8612" xr:uid="{2791FE59-0A0F-4C61-8ADB-0017DEF5174E}"/>
    <cellStyle name="Normal 2 2 3 7 10 2" xfId="16992" xr:uid="{DC1836D7-63C0-4BE9-BFF8-6C9B1261E6EC}"/>
    <cellStyle name="Normal 2 2 3 7 10 2 2" xfId="33752" xr:uid="{F5C8AEB9-EE17-4B2F-B5AA-60D8C19D3D4F}"/>
    <cellStyle name="Normal 2 2 3 7 10 2 3" xfId="50511" xr:uid="{B16A9C1E-8EE0-4C84-A48F-27FF8712458E}"/>
    <cellStyle name="Normal 2 2 3 7 10 3" xfId="25372" xr:uid="{9FB6BB11-699F-4634-B578-E3449287FDFD}"/>
    <cellStyle name="Normal 2 2 3 7 10 4" xfId="42131" xr:uid="{A4225583-D849-4969-911C-E494415FFDEA}"/>
    <cellStyle name="Normal 2 2 3 7 11" xfId="2482" xr:uid="{AB1CBB61-ECF9-46AD-960C-1A3589490D6F}"/>
    <cellStyle name="Normal 2 2 3 7 11 2" xfId="10864" xr:uid="{8A83FDFC-D0D6-4106-9B70-F495F105DF35}"/>
    <cellStyle name="Normal 2 2 3 7 11 2 2" xfId="27624" xr:uid="{5F90DA86-1356-4A98-B098-562CD3124ED1}"/>
    <cellStyle name="Normal 2 2 3 7 11 2 3" xfId="44383" xr:uid="{8F941704-F380-4F13-ABC6-025548A7ECAA}"/>
    <cellStyle name="Normal 2 2 3 7 11 3" xfId="19244" xr:uid="{651C25F6-FF35-498A-9160-4A23085ADDB6}"/>
    <cellStyle name="Normal 2 2 3 7 11 4" xfId="36003" xr:uid="{D0DF3C1A-04A2-42B1-97B5-04CC98F7E80E}"/>
    <cellStyle name="Normal 2 2 3 7 12" xfId="9061" xr:uid="{45F3A04C-2BDA-45FE-AD8A-EC142C4536C0}"/>
    <cellStyle name="Normal 2 2 3 7 12 2" xfId="25821" xr:uid="{B0B8BDE3-19FB-453D-8440-3C7FDC65479E}"/>
    <cellStyle name="Normal 2 2 3 7 12 3" xfId="42580" xr:uid="{A4024BB2-984D-459E-9004-C080CA4ECF98}"/>
    <cellStyle name="Normal 2 2 3 7 13" xfId="17441" xr:uid="{CEF60366-6979-4550-9995-61DE2C4EE74F}"/>
    <cellStyle name="Normal 2 2 3 7 14" xfId="34200" xr:uid="{625A7288-9C79-4EA8-A4AC-0E884B7BFDF9}"/>
    <cellStyle name="Normal 2 2 3 7 2" xfId="1092" xr:uid="{852337D2-B445-48E9-AC28-43BF8DAD6E17}"/>
    <cellStyle name="Normal 2 2 3 7 2 2" xfId="4487" xr:uid="{DF24B65F-18B8-48E9-8084-ECF6A77E6A1D}"/>
    <cellStyle name="Normal 2 2 3 7 2 2 2" xfId="12867" xr:uid="{33C65CA6-5B32-4D1D-9FDE-54B1568B84B1}"/>
    <cellStyle name="Normal 2 2 3 7 2 2 2 2" xfId="29627" xr:uid="{29437C29-AC3A-4E88-AB20-51BBB767163B}"/>
    <cellStyle name="Normal 2 2 3 7 2 2 2 3" xfId="46386" xr:uid="{4EFEEA57-D83E-4C73-ADAA-094A10DD732C}"/>
    <cellStyle name="Normal 2 2 3 7 2 2 3" xfId="21247" xr:uid="{FE1C3E26-4A6B-4E3C-86E1-6A46823FB726}"/>
    <cellStyle name="Normal 2 2 3 7 2 2 4" xfId="38006" xr:uid="{4C10B896-B765-4118-8ADB-E05ED88F0548}"/>
    <cellStyle name="Normal 2 2 3 7 2 3" xfId="6174" xr:uid="{77D2320C-6140-4D97-80DB-D20B88F4FC75}"/>
    <cellStyle name="Normal 2 2 3 7 2 3 2" xfId="14554" xr:uid="{E27BFBA2-E5DE-4AF3-90D7-796499F69358}"/>
    <cellStyle name="Normal 2 2 3 7 2 3 2 2" xfId="31314" xr:uid="{81E92B19-33C3-4D07-9CAF-54D6EAE4C07F}"/>
    <cellStyle name="Normal 2 2 3 7 2 3 2 3" xfId="48073" xr:uid="{6FCE4F68-05C7-4164-84CD-8582D206A664}"/>
    <cellStyle name="Normal 2 2 3 7 2 3 3" xfId="22934" xr:uid="{B601F598-02D6-4A89-9BA5-58E0DBDD48F0}"/>
    <cellStyle name="Normal 2 2 3 7 2 3 4" xfId="39693" xr:uid="{D7307B36-3A0D-45BF-9C2C-81859C577FEA}"/>
    <cellStyle name="Normal 2 2 3 7 2 4" xfId="2910" xr:uid="{42EAE230-B91E-4D50-86DB-444AD055E123}"/>
    <cellStyle name="Normal 2 2 3 7 2 4 2" xfId="11290" xr:uid="{D79FED85-1931-4E76-AC67-6D18DCCCE87B}"/>
    <cellStyle name="Normal 2 2 3 7 2 4 2 2" xfId="28050" xr:uid="{31EE6C2D-2960-4B1D-9751-FB49A1C6504C}"/>
    <cellStyle name="Normal 2 2 3 7 2 4 2 3" xfId="44809" xr:uid="{B5268CAB-138A-47AB-BA03-2F66ACB68D7A}"/>
    <cellStyle name="Normal 2 2 3 7 2 4 3" xfId="19670" xr:uid="{DCBD7CC5-9025-405E-91A3-38CFA4171FF9}"/>
    <cellStyle name="Normal 2 2 3 7 2 4 4" xfId="36429" xr:uid="{73485EC6-00B5-4FB3-9B89-BC638A40D93D}"/>
    <cellStyle name="Normal 2 2 3 7 2 5" xfId="9487" xr:uid="{0EED9E7A-FC20-4974-A603-C4FB20AEB1FE}"/>
    <cellStyle name="Normal 2 2 3 7 2 5 2" xfId="26247" xr:uid="{7A9273D7-24A5-418C-B628-C21A9165DA76}"/>
    <cellStyle name="Normal 2 2 3 7 2 5 3" xfId="43006" xr:uid="{94084CBE-D881-417E-A5E9-E900CD844B3A}"/>
    <cellStyle name="Normal 2 2 3 7 2 6" xfId="17867" xr:uid="{2198D0C3-D6C3-46F2-93C2-04A4DD66AB50}"/>
    <cellStyle name="Normal 2 2 3 7 2 7" xfId="34626" xr:uid="{D759488B-38FF-45C8-9EBC-0FFD3F1D124D}"/>
    <cellStyle name="Normal 2 2 3 7 3" xfId="1526" xr:uid="{8F82FBED-81B1-4B58-9EEA-0D4CCE87FBD9}"/>
    <cellStyle name="Normal 2 2 3 7 3 2" xfId="4915" xr:uid="{2472A6B4-E943-447D-B572-4B40BB2DA6D7}"/>
    <cellStyle name="Normal 2 2 3 7 3 2 2" xfId="13295" xr:uid="{A590A4A5-366A-4C41-BE23-3B4FF75BEA9D}"/>
    <cellStyle name="Normal 2 2 3 7 3 2 2 2" xfId="30055" xr:uid="{DF22DB68-C270-49B0-92E2-522389EE8766}"/>
    <cellStyle name="Normal 2 2 3 7 3 2 2 3" xfId="46814" xr:uid="{A11076CB-E20C-4139-BD28-C8B3E792E874}"/>
    <cellStyle name="Normal 2 2 3 7 3 2 3" xfId="21675" xr:uid="{6571DB8D-86D0-4ADF-AE79-4ECB32CE68FC}"/>
    <cellStyle name="Normal 2 2 3 7 3 2 4" xfId="38434" xr:uid="{73B108E0-E975-421D-AE08-C6764FF0D185}"/>
    <cellStyle name="Normal 2 2 3 7 3 3" xfId="6602" xr:uid="{DB7E5077-6D31-4A0A-8B43-CA614002553C}"/>
    <cellStyle name="Normal 2 2 3 7 3 3 2" xfId="14982" xr:uid="{F77619E6-059F-4844-B625-989D46D441A2}"/>
    <cellStyle name="Normal 2 2 3 7 3 3 2 2" xfId="31742" xr:uid="{88C17010-D105-4621-9ADE-9736E9C6064B}"/>
    <cellStyle name="Normal 2 2 3 7 3 3 2 3" xfId="48501" xr:uid="{97517D24-BFC7-47E6-BFFF-3A6F4E01AC80}"/>
    <cellStyle name="Normal 2 2 3 7 3 3 3" xfId="23362" xr:uid="{E2733462-CB7A-4493-9E0B-8F1EFF9E093D}"/>
    <cellStyle name="Normal 2 2 3 7 3 3 4" xfId="40121" xr:uid="{387C03E5-70D6-4A94-B955-8DEABDD891CB}"/>
    <cellStyle name="Normal 2 2 3 7 3 4" xfId="3338" xr:uid="{0E47EE51-4942-4566-8986-577BBABC9A7B}"/>
    <cellStyle name="Normal 2 2 3 7 3 4 2" xfId="11718" xr:uid="{7661F0D8-66BC-442A-BCEC-24A2B0864725}"/>
    <cellStyle name="Normal 2 2 3 7 3 4 2 2" xfId="28478" xr:uid="{91DA313C-0843-4E0C-B771-4CCACDC73CD3}"/>
    <cellStyle name="Normal 2 2 3 7 3 4 2 3" xfId="45237" xr:uid="{0EA48481-B26E-4A54-9EA0-46889F9AE611}"/>
    <cellStyle name="Normal 2 2 3 7 3 4 3" xfId="20098" xr:uid="{1DDD32DC-A3FB-48E1-912C-19F3124FDD3F}"/>
    <cellStyle name="Normal 2 2 3 7 3 4 4" xfId="36857" xr:uid="{089129F2-7C68-433B-85DC-E3C054C02853}"/>
    <cellStyle name="Normal 2 2 3 7 3 5" xfId="9915" xr:uid="{44FB5CFC-79B1-46DA-A3ED-2CA1E30CBEE1}"/>
    <cellStyle name="Normal 2 2 3 7 3 5 2" xfId="26675" xr:uid="{E90CC7A8-A087-4302-82C4-2609CAC9F614}"/>
    <cellStyle name="Normal 2 2 3 7 3 5 3" xfId="43434" xr:uid="{365E79D4-F176-4263-9A72-CC06BD1B5339}"/>
    <cellStyle name="Normal 2 2 3 7 3 6" xfId="18295" xr:uid="{1794DDE2-FFA2-4201-9C48-ACB49B48D112}"/>
    <cellStyle name="Normal 2 2 3 7 3 7" xfId="35054" xr:uid="{0A6EC614-FF70-4BDB-9761-646C7A336878}"/>
    <cellStyle name="Normal 2 2 3 7 4" xfId="1912" xr:uid="{34FE858C-0627-47F3-B7F6-054133E17D8E}"/>
    <cellStyle name="Normal 2 2 3 7 4 2" xfId="5301" xr:uid="{057498F2-91B9-4D14-9AB1-0CE1934EDEEA}"/>
    <cellStyle name="Normal 2 2 3 7 4 2 2" xfId="13681" xr:uid="{F133E206-E16D-44AE-9D4F-5CE4EFE3F47B}"/>
    <cellStyle name="Normal 2 2 3 7 4 2 2 2" xfId="30441" xr:uid="{1AC2BA1B-9871-473B-823F-FA18B17A8D67}"/>
    <cellStyle name="Normal 2 2 3 7 4 2 2 3" xfId="47200" xr:uid="{8D7D8B97-B864-48EC-8D7F-B54C52CC0BF2}"/>
    <cellStyle name="Normal 2 2 3 7 4 2 3" xfId="22061" xr:uid="{2E957986-BB8D-4C25-AB46-02880E0A36EA}"/>
    <cellStyle name="Normal 2 2 3 7 4 2 4" xfId="38820" xr:uid="{CFF980F3-20CA-4C60-A5FB-08623B8A4499}"/>
    <cellStyle name="Normal 2 2 3 7 4 3" xfId="6988" xr:uid="{5C980350-8D2C-41B5-B2EB-8EB0D502C2A6}"/>
    <cellStyle name="Normal 2 2 3 7 4 3 2" xfId="15368" xr:uid="{39920773-3C0E-46DE-8208-094E292BE9E1}"/>
    <cellStyle name="Normal 2 2 3 7 4 3 2 2" xfId="32128" xr:uid="{A002897C-0E7C-4603-B5A6-E18E8FC2B860}"/>
    <cellStyle name="Normal 2 2 3 7 4 3 2 3" xfId="48887" xr:uid="{D32FB97C-AC61-4FD8-A598-57345ECFCA1A}"/>
    <cellStyle name="Normal 2 2 3 7 4 3 3" xfId="23748" xr:uid="{A8A259A7-B546-4827-A367-6797A48516AE}"/>
    <cellStyle name="Normal 2 2 3 7 4 3 4" xfId="40507" xr:uid="{0E8C69D3-4F7F-47DC-A0A0-1C39CA5951BC}"/>
    <cellStyle name="Normal 2 2 3 7 4 4" xfId="3611" xr:uid="{26137D0B-E13B-4290-83D0-8C321B760B2C}"/>
    <cellStyle name="Normal 2 2 3 7 4 4 2" xfId="11991" xr:uid="{679A00B4-8249-412B-85F4-A8B6BB2E37AA}"/>
    <cellStyle name="Normal 2 2 3 7 4 4 2 2" xfId="28751" xr:uid="{F200B683-9933-4D55-8F4C-3B6FD4AD9B13}"/>
    <cellStyle name="Normal 2 2 3 7 4 4 2 3" xfId="45510" xr:uid="{75503552-B857-42F9-B93A-FD15C97F57FB}"/>
    <cellStyle name="Normal 2 2 3 7 4 4 3" xfId="20371" xr:uid="{E2141367-9AF3-4713-81BF-A9CBB903EAB1}"/>
    <cellStyle name="Normal 2 2 3 7 4 4 4" xfId="37130" xr:uid="{39D4865E-F61E-4FD6-8807-D06DE2F5F713}"/>
    <cellStyle name="Normal 2 2 3 7 4 5" xfId="10301" xr:uid="{9C8CB9BD-FEEA-4DB4-9988-0310D7506271}"/>
    <cellStyle name="Normal 2 2 3 7 4 5 2" xfId="27061" xr:uid="{048E8A09-2023-4431-8F91-E784A3EEDA81}"/>
    <cellStyle name="Normal 2 2 3 7 4 5 3" xfId="43820" xr:uid="{8835FE04-2B38-4301-B6CA-1507E86E8394}"/>
    <cellStyle name="Normal 2 2 3 7 4 6" xfId="18681" xr:uid="{AF6914F1-C96B-4953-BF14-51AD0BD2DBA7}"/>
    <cellStyle name="Normal 2 2 3 7 4 7" xfId="35440" xr:uid="{AC074878-239D-4AE5-BE95-118C5F90EB2E}"/>
    <cellStyle name="Normal 2 2 3 7 5" xfId="4031" xr:uid="{A42966E9-0BD1-4A74-9D05-CA066D3A68B2}"/>
    <cellStyle name="Normal 2 2 3 7 5 2" xfId="12411" xr:uid="{21ADF2EE-7C19-405F-9CEB-367EF22A7A8F}"/>
    <cellStyle name="Normal 2 2 3 7 5 2 2" xfId="29171" xr:uid="{2C3659A8-D87F-44F8-9536-D29762EDA0B7}"/>
    <cellStyle name="Normal 2 2 3 7 5 2 3" xfId="45930" xr:uid="{E80F2481-00BF-4A40-B2B5-FBAB973FB6AF}"/>
    <cellStyle name="Normal 2 2 3 7 5 3" xfId="20791" xr:uid="{2F05D2A4-53CF-4051-94CF-1D871295B797}"/>
    <cellStyle name="Normal 2 2 3 7 5 4" xfId="37550" xr:uid="{3FAF1F37-93CE-48AF-A3BD-EE03EE0455DB}"/>
    <cellStyle name="Normal 2 2 3 7 6" xfId="5748" xr:uid="{92D5C4D4-6904-4FBA-9D32-D5F316B52A21}"/>
    <cellStyle name="Normal 2 2 3 7 6 2" xfId="14128" xr:uid="{BF2DFA3C-EFD2-4D50-9407-EFA6401D371A}"/>
    <cellStyle name="Normal 2 2 3 7 6 2 2" xfId="30888" xr:uid="{9BE7810D-C7CF-42FD-B65E-EE49F82DBE83}"/>
    <cellStyle name="Normal 2 2 3 7 6 2 3" xfId="47647" xr:uid="{D6976D3D-4AD4-4C50-9E17-D7757534A81D}"/>
    <cellStyle name="Normal 2 2 3 7 6 3" xfId="22508" xr:uid="{776149FE-EA59-4DB8-99ED-FD509B4E5985}"/>
    <cellStyle name="Normal 2 2 3 7 6 4" xfId="39267" xr:uid="{9B1E88E3-1B43-4AA2-AE77-EA0FEF3F12DE}"/>
    <cellStyle name="Normal 2 2 3 7 7" xfId="7394" xr:uid="{5AF2C2D9-3023-4679-A06D-D6D77DF44CFC}"/>
    <cellStyle name="Normal 2 2 3 7 7 2" xfId="15774" xr:uid="{0258DCB3-AE27-498A-9978-C0E1E97FC5E4}"/>
    <cellStyle name="Normal 2 2 3 7 7 2 2" xfId="32534" xr:uid="{ADC2F0A7-8D8D-402F-8FA8-51A500A4B7A3}"/>
    <cellStyle name="Normal 2 2 3 7 7 2 3" xfId="49293" xr:uid="{C6F06F50-DD01-47B5-A3B3-6A04F776010C}"/>
    <cellStyle name="Normal 2 2 3 7 7 3" xfId="24154" xr:uid="{64595373-3848-4453-B790-FCAD1B96797C}"/>
    <cellStyle name="Normal 2 2 3 7 7 4" xfId="40913" xr:uid="{3C8E1972-6B88-4CD4-9493-838802A2C520}"/>
    <cellStyle name="Normal 2 2 3 7 8" xfId="7800" xr:uid="{76BDBAC0-6105-4AEA-958F-AF3AD0A8D832}"/>
    <cellStyle name="Normal 2 2 3 7 8 2" xfId="16180" xr:uid="{9EBFF3C2-D074-4E87-9441-69440F983322}"/>
    <cellStyle name="Normal 2 2 3 7 8 2 2" xfId="32940" xr:uid="{686AAE8B-23AA-4EFD-A9DE-585F48E919E5}"/>
    <cellStyle name="Normal 2 2 3 7 8 2 3" xfId="49699" xr:uid="{2DB314AD-ED21-4B95-84C2-F8FA768E2244}"/>
    <cellStyle name="Normal 2 2 3 7 8 3" xfId="24560" xr:uid="{CE5E4586-A3D7-43B7-B2E7-64B0558BECA8}"/>
    <cellStyle name="Normal 2 2 3 7 8 4" xfId="41319" xr:uid="{DDB35DF6-D51D-4075-9E70-EA6C18438C50}"/>
    <cellStyle name="Normal 2 2 3 7 9" xfId="8206" xr:uid="{900F1AFB-517D-4B1E-8DD3-400359BE4FBC}"/>
    <cellStyle name="Normal 2 2 3 7 9 2" xfId="16586" xr:uid="{80EEE2DA-C731-446B-A0F5-ED99D4CADA5B}"/>
    <cellStyle name="Normal 2 2 3 7 9 2 2" xfId="33346" xr:uid="{735A6D28-285B-43D8-87A5-2F715D82057A}"/>
    <cellStyle name="Normal 2 2 3 7 9 2 3" xfId="50105" xr:uid="{AB6A7948-4303-4491-ABEF-B33E638EE31D}"/>
    <cellStyle name="Normal 2 2 3 7 9 3" xfId="24966" xr:uid="{4B8BA78A-741B-4330-8836-3561912C40C7}"/>
    <cellStyle name="Normal 2 2 3 7 9 4" xfId="41725" xr:uid="{7EEDB350-15EE-455A-BB9F-BA1A400E36EA}"/>
    <cellStyle name="Normal 2 2 3 8" xfId="771" xr:uid="{903D3DAC-E17A-432C-BD08-8FC92322EA32}"/>
    <cellStyle name="Normal 2 2 3 8 2" xfId="4166" xr:uid="{B54B5944-C5A8-4EA0-8021-F25C1AFA8457}"/>
    <cellStyle name="Normal 2 2 3 8 2 2" xfId="12546" xr:uid="{CB55F503-B6E1-4B64-8021-FEBFAEA4F89D}"/>
    <cellStyle name="Normal 2 2 3 8 2 2 2" xfId="29306" xr:uid="{63C6B3DA-D90C-4AC0-A829-B680857C9EDE}"/>
    <cellStyle name="Normal 2 2 3 8 2 2 3" xfId="46065" xr:uid="{1277C310-1BFF-4AA3-8DA3-2892C5C3D80D}"/>
    <cellStyle name="Normal 2 2 3 8 2 3" xfId="20926" xr:uid="{913D5CAE-80AA-47FC-8E8E-432ABF4E2333}"/>
    <cellStyle name="Normal 2 2 3 8 2 4" xfId="37685" xr:uid="{CCB4E5B0-BD7B-4CC1-A63F-9BE68374BD29}"/>
    <cellStyle name="Normal 2 2 3 8 3" xfId="5853" xr:uid="{6AF23CC6-01DA-494B-B47E-72FF5D2D29DB}"/>
    <cellStyle name="Normal 2 2 3 8 3 2" xfId="14233" xr:uid="{9EE0CAA7-2922-4A8F-BBF0-9657084E6CB1}"/>
    <cellStyle name="Normal 2 2 3 8 3 2 2" xfId="30993" xr:uid="{F7F79931-1548-4B62-8F0A-1C0D326E379F}"/>
    <cellStyle name="Normal 2 2 3 8 3 2 3" xfId="47752" xr:uid="{1DA67CDF-E0ED-40A0-A5B9-80E258861A9B}"/>
    <cellStyle name="Normal 2 2 3 8 3 3" xfId="22613" xr:uid="{B4E01B0E-2D95-464B-84C6-EEB517C93428}"/>
    <cellStyle name="Normal 2 2 3 8 3 4" xfId="39372" xr:uid="{7587EE36-9A09-45CD-B5D7-D02487ADCCFD}"/>
    <cellStyle name="Normal 2 2 3 8 4" xfId="2589" xr:uid="{EFF18392-9E79-4900-9180-003D34EDFBB6}"/>
    <cellStyle name="Normal 2 2 3 8 4 2" xfId="10969" xr:uid="{E3D6D0F3-B44A-4462-8883-472237F9995E}"/>
    <cellStyle name="Normal 2 2 3 8 4 2 2" xfId="27729" xr:uid="{99A2F0D2-146F-46A4-99DC-67DAF311165E}"/>
    <cellStyle name="Normal 2 2 3 8 4 2 3" xfId="44488" xr:uid="{54623AC3-7562-44EE-9A90-7D9CDBB63799}"/>
    <cellStyle name="Normal 2 2 3 8 4 3" xfId="19349" xr:uid="{A64378F1-967E-4DC0-BEBF-DCCF4EF25AD4}"/>
    <cellStyle name="Normal 2 2 3 8 4 4" xfId="36108" xr:uid="{66F6E1B5-7808-4216-B46A-C1DB2B32C12E}"/>
    <cellStyle name="Normal 2 2 3 8 5" xfId="9166" xr:uid="{DABBBDF6-978B-4D5C-A862-75FB6A7337B9}"/>
    <cellStyle name="Normal 2 2 3 8 5 2" xfId="25926" xr:uid="{59C9A984-1FC0-4D07-9B6A-3CC1A8E04BFC}"/>
    <cellStyle name="Normal 2 2 3 8 5 3" xfId="42685" xr:uid="{03703C23-34B4-4A37-958D-429E90471C8F}"/>
    <cellStyle name="Normal 2 2 3 8 6" xfId="17546" xr:uid="{324B2CD7-F560-4959-96B5-FFD6D8495473}"/>
    <cellStyle name="Normal 2 2 3 8 7" xfId="34305" xr:uid="{0C72323C-26E1-43AC-9A1C-CF3E755131B4}"/>
    <cellStyle name="Normal 2 2 3 9" xfId="1205" xr:uid="{0638BEA2-C6F4-4B1A-87A4-88EC9AF87211}"/>
    <cellStyle name="Normal 2 2 3 9 2" xfId="4594" xr:uid="{8F24106B-7ED5-4632-82E6-E48440F9AD5F}"/>
    <cellStyle name="Normal 2 2 3 9 2 2" xfId="12974" xr:uid="{DA32E76B-AC0E-4DA8-B88E-D9B3DB0A43A9}"/>
    <cellStyle name="Normal 2 2 3 9 2 2 2" xfId="29734" xr:uid="{284E0EAD-BEFD-44EF-956D-20C0B4398053}"/>
    <cellStyle name="Normal 2 2 3 9 2 2 3" xfId="46493" xr:uid="{7E9BCA77-6B9F-421E-A089-64C51026FBD1}"/>
    <cellStyle name="Normal 2 2 3 9 2 3" xfId="21354" xr:uid="{2AC46E99-6C88-44A6-8461-9306D537DE0F}"/>
    <cellStyle name="Normal 2 2 3 9 2 4" xfId="38113" xr:uid="{9FCA394D-976C-41B6-9DAD-7D6E702DA668}"/>
    <cellStyle name="Normal 2 2 3 9 3" xfId="6281" xr:uid="{0358A0FA-8629-4A97-9785-536D16533B1A}"/>
    <cellStyle name="Normal 2 2 3 9 3 2" xfId="14661" xr:uid="{85B8B585-D7BC-400A-B2F8-C9712383E4A3}"/>
    <cellStyle name="Normal 2 2 3 9 3 2 2" xfId="31421" xr:uid="{0E489202-4482-482C-97C7-C1A622228EFC}"/>
    <cellStyle name="Normal 2 2 3 9 3 2 3" xfId="48180" xr:uid="{56DDF73B-12C1-4A01-B6CA-41D27B1228F0}"/>
    <cellStyle name="Normal 2 2 3 9 3 3" xfId="23041" xr:uid="{488C0BF4-42F8-474F-8B80-6F39C8466970}"/>
    <cellStyle name="Normal 2 2 3 9 3 4" xfId="39800" xr:uid="{9884C171-34ED-4914-AC0C-CBB798A0D5F6}"/>
    <cellStyle name="Normal 2 2 3 9 4" xfId="3017" xr:uid="{F7A01535-D3D2-4F13-8D1C-33C14DF2EF32}"/>
    <cellStyle name="Normal 2 2 3 9 4 2" xfId="11397" xr:uid="{09C10563-9F76-49FA-9465-6BA6176CE449}"/>
    <cellStyle name="Normal 2 2 3 9 4 2 2" xfId="28157" xr:uid="{F7ADB7F3-FF7F-41C4-BA22-46E9E08D9C6E}"/>
    <cellStyle name="Normal 2 2 3 9 4 2 3" xfId="44916" xr:uid="{2E039375-50CA-43BD-91DB-F74BB3067E91}"/>
    <cellStyle name="Normal 2 2 3 9 4 3" xfId="19777" xr:uid="{E08A7431-7FAD-4B70-89E0-DA47EAF6E185}"/>
    <cellStyle name="Normal 2 2 3 9 4 4" xfId="36536" xr:uid="{AB12ABD8-BADB-401E-BCAD-8DD5BDC1C5E8}"/>
    <cellStyle name="Normal 2 2 3 9 5" xfId="9594" xr:uid="{ACC7332D-3C41-4B15-97A6-7D78555BA10D}"/>
    <cellStyle name="Normal 2 2 3 9 5 2" xfId="26354" xr:uid="{2ECFD7F5-6240-40D8-AB96-94EFC2197EDE}"/>
    <cellStyle name="Normal 2 2 3 9 5 3" xfId="43113" xr:uid="{F7BD5E97-22F4-4055-B933-86F0FDE24B41}"/>
    <cellStyle name="Normal 2 2 3 9 6" xfId="17974" xr:uid="{0C18F1B6-D56E-4B0F-9F0F-1871140D0438}"/>
    <cellStyle name="Normal 2 2 3 9 7" xfId="34733" xr:uid="{5D9D137B-BB07-4AF7-9B23-E0A929C8C35F}"/>
    <cellStyle name="Normal 2 2 4" xfId="288" xr:uid="{1C9BFDE5-8A6C-4651-B9AC-2F5E788166C0}"/>
    <cellStyle name="Normal 2 2 4 10" xfId="7176" xr:uid="{46645970-5FF5-4152-9A71-3F5A4AFC271A}"/>
    <cellStyle name="Normal 2 2 4 10 2" xfId="15556" xr:uid="{AC029801-4E9C-459C-9F8E-7CC08E78025C}"/>
    <cellStyle name="Normal 2 2 4 10 2 2" xfId="32316" xr:uid="{AD069E17-5095-49E0-AB00-79142165F579}"/>
    <cellStyle name="Normal 2 2 4 10 2 3" xfId="49075" xr:uid="{2C086DE3-81DC-4BBD-8695-1C4576FF6DA3}"/>
    <cellStyle name="Normal 2 2 4 10 3" xfId="23936" xr:uid="{A0F5A3B8-C8E0-4ED7-B026-B7AE17787AA5}"/>
    <cellStyle name="Normal 2 2 4 10 4" xfId="40695" xr:uid="{0BB4C0E1-0781-47B0-B1D7-5C1B3DB9C7A4}"/>
    <cellStyle name="Normal 2 2 4 11" xfId="7582" xr:uid="{F2765C6C-21A1-4522-BCD4-E995F24C4DC5}"/>
    <cellStyle name="Normal 2 2 4 11 2" xfId="15962" xr:uid="{9C0FEF40-D9D0-4AB2-820F-EFE8ACD2414A}"/>
    <cellStyle name="Normal 2 2 4 11 2 2" xfId="32722" xr:uid="{C80C9033-4104-4DB6-91CC-D788408EF49E}"/>
    <cellStyle name="Normal 2 2 4 11 2 3" xfId="49481" xr:uid="{EA56C42E-3B0B-493C-B0D6-6D281BB98E0E}"/>
    <cellStyle name="Normal 2 2 4 11 3" xfId="24342" xr:uid="{4C63BEE3-82B4-4368-8F94-E8334518100C}"/>
    <cellStyle name="Normal 2 2 4 11 4" xfId="41101" xr:uid="{1DE1D5E5-DBC0-4306-B013-2331E2D7223B}"/>
    <cellStyle name="Normal 2 2 4 12" xfId="7988" xr:uid="{5667A348-CAD0-4055-8FEC-BEA144B0F7B4}"/>
    <cellStyle name="Normal 2 2 4 12 2" xfId="16368" xr:uid="{FBFBD8E5-CB27-4E22-98C4-AAE0BA4C1C46}"/>
    <cellStyle name="Normal 2 2 4 12 2 2" xfId="33128" xr:uid="{427BDAF7-D68E-43CD-BE37-4364BDCBCAF0}"/>
    <cellStyle name="Normal 2 2 4 12 2 3" xfId="49887" xr:uid="{34F7C0B8-67B6-47E7-A08A-B3CD4D46EAB9}"/>
    <cellStyle name="Normal 2 2 4 12 3" xfId="24748" xr:uid="{DAFD9322-A17E-4F4B-8DFA-C15EE3809C0A}"/>
    <cellStyle name="Normal 2 2 4 12 4" xfId="41507" xr:uid="{1F2DEDA5-D965-441D-876E-A7136AB3465C}"/>
    <cellStyle name="Normal 2 2 4 13" xfId="8394" xr:uid="{39889E56-C3B4-456C-8411-C5EB22FE73F6}"/>
    <cellStyle name="Normal 2 2 4 13 2" xfId="16774" xr:uid="{3B6123D5-5DCE-4FC7-B8C8-AF27C2ADCEBC}"/>
    <cellStyle name="Normal 2 2 4 13 2 2" xfId="33534" xr:uid="{F6E36D4D-1795-4281-83AA-7360D31630B1}"/>
    <cellStyle name="Normal 2 2 4 13 2 3" xfId="50293" xr:uid="{C3A7CAC4-1B13-405B-8EDF-27CEDA41A2E6}"/>
    <cellStyle name="Normal 2 2 4 13 3" xfId="25154" xr:uid="{BC1618DD-4425-4A7F-BD01-814A51E35A26}"/>
    <cellStyle name="Normal 2 2 4 13 4" xfId="41913" xr:uid="{53E0C9CE-A6F4-4E68-B243-0280FAA1657B}"/>
    <cellStyle name="Normal 2 2 4 14" xfId="2036" xr:uid="{D009C259-641D-4D86-B9E9-44D9CDA554B4}"/>
    <cellStyle name="Normal 2 2 4 14 2" xfId="10424" xr:uid="{0BFC481C-E18D-4520-902D-9FC1B98CF3A9}"/>
    <cellStyle name="Normal 2 2 4 14 2 2" xfId="27184" xr:uid="{A5DB02B2-EA56-44C8-9E58-B724B074C4DD}"/>
    <cellStyle name="Normal 2 2 4 14 2 3" xfId="43943" xr:uid="{23EC618A-D2BE-48DB-95CC-3EC0C5E21DB1}"/>
    <cellStyle name="Normal 2 2 4 14 3" xfId="18804" xr:uid="{1FA0BDD4-EB39-4C6B-A428-B1150B0C54B2}"/>
    <cellStyle name="Normal 2 2 4 14 4" xfId="35563" xr:uid="{5E6348A6-D105-4348-B096-2A31110B0ABD}"/>
    <cellStyle name="Normal 2 2 4 15" xfId="8761" xr:uid="{308F0F8E-E0A9-4D7A-B2D7-C79DB4DE6FDE}"/>
    <cellStyle name="Normal 2 2 4 15 2" xfId="25521" xr:uid="{A69DAC0D-9728-4E84-9C80-EB840A4CF2B4}"/>
    <cellStyle name="Normal 2 2 4 15 3" xfId="42280" xr:uid="{49D13609-30CF-4801-BBF6-9D47C2237822}"/>
    <cellStyle name="Normal 2 2 4 16" xfId="17141" xr:uid="{3C3CC8C7-C80C-4AFE-9345-5538D47509A9}"/>
    <cellStyle name="Normal 2 2 4 17" xfId="33900" xr:uid="{FCCC3BAA-D1F9-4F5E-9FF7-421F279B2D4C}"/>
    <cellStyle name="Normal 2 2 4 18" xfId="50928" xr:uid="{BF59BE38-F292-4570-974E-1123058DBCF3}"/>
    <cellStyle name="Normal 2 2 4 19" xfId="51430" xr:uid="{C630E77E-24CD-4904-B42A-BCAA587456C7}"/>
    <cellStyle name="Normal 2 2 4 2" xfId="371" xr:uid="{B8D2A828-9AD0-4E42-8F96-0FEEFD8B5DBE}"/>
    <cellStyle name="Normal 2 2 4 2 10" xfId="7614" xr:uid="{9F1F8FEC-94E6-4E8A-80AB-E6AF33A97177}"/>
    <cellStyle name="Normal 2 2 4 2 10 2" xfId="15994" xr:uid="{7AAEEA25-2736-4E34-9367-EB85CEA38645}"/>
    <cellStyle name="Normal 2 2 4 2 10 2 2" xfId="32754" xr:uid="{F3560AF4-5821-4C6F-844E-CE109D87F084}"/>
    <cellStyle name="Normal 2 2 4 2 10 2 3" xfId="49513" xr:uid="{CA9CD310-060F-4E43-8CEA-2DD492E4A00A}"/>
    <cellStyle name="Normal 2 2 4 2 10 3" xfId="24374" xr:uid="{5A369694-062C-4EB8-888C-E305443EF921}"/>
    <cellStyle name="Normal 2 2 4 2 10 4" xfId="41133" xr:uid="{F2914A87-791E-4452-866E-3D70D91DFD65}"/>
    <cellStyle name="Normal 2 2 4 2 11" xfId="8020" xr:uid="{2A8F03CA-EA7F-4EE8-B261-8B827B2276F9}"/>
    <cellStyle name="Normal 2 2 4 2 11 2" xfId="16400" xr:uid="{3BE3A4D3-F5D8-4465-9A19-AC28151C5486}"/>
    <cellStyle name="Normal 2 2 4 2 11 2 2" xfId="33160" xr:uid="{D785671F-3F33-49CC-AFBD-74C3B04953AE}"/>
    <cellStyle name="Normal 2 2 4 2 11 2 3" xfId="49919" xr:uid="{951CADD9-6E14-41D7-BCC0-382A73C9CA11}"/>
    <cellStyle name="Normal 2 2 4 2 11 3" xfId="24780" xr:uid="{A59B91FB-E152-4DA2-846B-B86765652A47}"/>
    <cellStyle name="Normal 2 2 4 2 11 4" xfId="41539" xr:uid="{DDC7D43B-2D9D-4990-874C-1BD3001EED50}"/>
    <cellStyle name="Normal 2 2 4 2 12" xfId="8426" xr:uid="{D63DD5D8-DA84-4144-AFEB-E054FFF29213}"/>
    <cellStyle name="Normal 2 2 4 2 12 2" xfId="16806" xr:uid="{ED86985A-388E-45C2-A13A-CCC0B7A66890}"/>
    <cellStyle name="Normal 2 2 4 2 12 2 2" xfId="33566" xr:uid="{7D38B3F7-4977-4E6E-BF6D-5A9AB5CEC9F4}"/>
    <cellStyle name="Normal 2 2 4 2 12 2 3" xfId="50325" xr:uid="{CD10F529-781A-4B50-B924-F706FCA13872}"/>
    <cellStyle name="Normal 2 2 4 2 12 3" xfId="25186" xr:uid="{4303CB74-073E-4450-AE6C-FBCA7FDF9DFD}"/>
    <cellStyle name="Normal 2 2 4 2 12 4" xfId="41945" xr:uid="{2D3136CE-C9B9-4172-A584-D03ECB3ABABE}"/>
    <cellStyle name="Normal 2 2 4 2 13" xfId="2254" xr:uid="{88600254-C073-4AD6-9C06-6E162A2AAF3A}"/>
    <cellStyle name="Normal 2 2 4 2 13 2" xfId="10638" xr:uid="{F34FC35D-968C-4275-A870-4FB0459FCA73}"/>
    <cellStyle name="Normal 2 2 4 2 13 2 2" xfId="27398" xr:uid="{DD613255-94AA-44AC-AE87-E92DC880691D}"/>
    <cellStyle name="Normal 2 2 4 2 13 2 3" xfId="44157" xr:uid="{4AB7DE6F-3C9F-4A7D-9E37-29BC27B6D738}"/>
    <cellStyle name="Normal 2 2 4 2 13 3" xfId="19018" xr:uid="{96A98F27-8F12-4DEC-8E5E-843ED92DA04E}"/>
    <cellStyle name="Normal 2 2 4 2 13 4" xfId="35777" xr:uid="{0898A761-A06A-4BF0-9892-6CB010A6BE54}"/>
    <cellStyle name="Normal 2 2 4 2 14" xfId="8835" xr:uid="{679552FE-4169-4A5B-B6E9-B80E5672A543}"/>
    <cellStyle name="Normal 2 2 4 2 14 2" xfId="25595" xr:uid="{D0AED97E-CF2A-424E-8459-5AD347FB924D}"/>
    <cellStyle name="Normal 2 2 4 2 14 3" xfId="42354" xr:uid="{EF3B47F1-2E43-4069-91EA-6D6AC5A61782}"/>
    <cellStyle name="Normal 2 2 4 2 15" xfId="17215" xr:uid="{A141B1D0-3D46-4053-B2BC-CE857294C619}"/>
    <cellStyle name="Normal 2 2 4 2 16" xfId="33974" xr:uid="{FBB4373B-088C-4C52-A102-A63E237A82DE}"/>
    <cellStyle name="Normal 2 2 4 2 17" xfId="51191" xr:uid="{058A4F40-F57D-48A5-9595-579F52A44872}"/>
    <cellStyle name="Normal 2 2 4 2 18" xfId="51665" xr:uid="{CEA535B7-739E-4DF6-9DB5-2BB028622A20}"/>
    <cellStyle name="Normal 2 2 4 2 19" xfId="52141" xr:uid="{1F826599-A137-4DC2-97FC-004D5A097CC9}"/>
    <cellStyle name="Normal 2 2 4 2 2" xfId="651" xr:uid="{DCD8384F-9528-43D7-B7BF-FD57BE535EC9}"/>
    <cellStyle name="Normal 2 2 4 2 2 10" xfId="8550" xr:uid="{F23DEA5E-98CE-4662-89BA-B9FB55556A4E}"/>
    <cellStyle name="Normal 2 2 4 2 2 10 2" xfId="16930" xr:uid="{CB5B9C65-B154-43B1-9662-9F570B3F5D3C}"/>
    <cellStyle name="Normal 2 2 4 2 2 10 2 2" xfId="33690" xr:uid="{4A2D4736-AF8D-4B04-B37B-A3A02E7CB00A}"/>
    <cellStyle name="Normal 2 2 4 2 2 10 2 3" xfId="50449" xr:uid="{4A676BE3-8417-4764-B4F5-8A79192F1BA6}"/>
    <cellStyle name="Normal 2 2 4 2 2 10 3" xfId="25310" xr:uid="{8A7B3946-2C2A-473D-A825-6A57E5572978}"/>
    <cellStyle name="Normal 2 2 4 2 2 10 4" xfId="42069" xr:uid="{A83862BE-A91C-4EE9-844E-5FD96AC0F5A2}"/>
    <cellStyle name="Normal 2 2 4 2 2 11" xfId="2483" xr:uid="{FCCAA0DC-9819-4DE0-908A-E740FB01B1B2}"/>
    <cellStyle name="Normal 2 2 4 2 2 11 2" xfId="10865" xr:uid="{02AF3E2F-17EF-4465-B08E-8CF807F5EFD1}"/>
    <cellStyle name="Normal 2 2 4 2 2 11 2 2" xfId="27625" xr:uid="{9ED40B02-B457-4898-834C-24F6E50D16AE}"/>
    <cellStyle name="Normal 2 2 4 2 2 11 2 3" xfId="44384" xr:uid="{6A2F4F16-DB7E-4FA3-AC40-BE9A219779E9}"/>
    <cellStyle name="Normal 2 2 4 2 2 11 3" xfId="19245" xr:uid="{0C4B4C53-2100-4908-825D-D2874F3EDA18}"/>
    <cellStyle name="Normal 2 2 4 2 2 11 4" xfId="36004" xr:uid="{21651B18-6C1C-4FA8-8FA6-222570688D3D}"/>
    <cellStyle name="Normal 2 2 4 2 2 12" xfId="9062" xr:uid="{F704BB3E-50F8-4868-8AE0-91385CE75500}"/>
    <cellStyle name="Normal 2 2 4 2 2 12 2" xfId="25822" xr:uid="{07F40467-F6DE-4A79-8F8C-DA2C73D6833F}"/>
    <cellStyle name="Normal 2 2 4 2 2 12 3" xfId="42581" xr:uid="{E917263D-CCA5-42FB-A6A8-C3716E2E77ED}"/>
    <cellStyle name="Normal 2 2 4 2 2 13" xfId="17442" xr:uid="{53CBD983-F2B0-4B4A-A85E-868C6F63E4D1}"/>
    <cellStyle name="Normal 2 2 4 2 2 14" xfId="34201" xr:uid="{6A4B14E9-CDC2-494C-A158-E155BBC696E5}"/>
    <cellStyle name="Normal 2 2 4 2 2 2" xfId="1093" xr:uid="{6E3C349F-E9E4-4987-B068-4532C5EC234B}"/>
    <cellStyle name="Normal 2 2 4 2 2 2 2" xfId="4488" xr:uid="{93892291-AAB7-486F-BA91-DA2BF9CC9933}"/>
    <cellStyle name="Normal 2 2 4 2 2 2 2 2" xfId="12868" xr:uid="{14B286E8-74CB-434E-A2A6-1AE0373FAEF1}"/>
    <cellStyle name="Normal 2 2 4 2 2 2 2 2 2" xfId="29628" xr:uid="{604CD04C-8704-4D40-8892-5E4D729B0B7E}"/>
    <cellStyle name="Normal 2 2 4 2 2 2 2 2 3" xfId="46387" xr:uid="{711B57E2-D716-4497-AD9F-5CF0F085D1B7}"/>
    <cellStyle name="Normal 2 2 4 2 2 2 2 3" xfId="21248" xr:uid="{C2EC9B79-142F-4D9C-9B7E-4B3CE07E4F06}"/>
    <cellStyle name="Normal 2 2 4 2 2 2 2 4" xfId="38007" xr:uid="{7A477670-F904-40E1-872E-933FCA86A2D6}"/>
    <cellStyle name="Normal 2 2 4 2 2 2 3" xfId="6175" xr:uid="{53DA275A-3737-4BB1-83B4-31AC9764FC2F}"/>
    <cellStyle name="Normal 2 2 4 2 2 2 3 2" xfId="14555" xr:uid="{93C102B7-7BDE-443E-86A7-F412D16F51F9}"/>
    <cellStyle name="Normal 2 2 4 2 2 2 3 2 2" xfId="31315" xr:uid="{1FDE43B9-4F0E-4734-8231-A16A691563A5}"/>
    <cellStyle name="Normal 2 2 4 2 2 2 3 2 3" xfId="48074" xr:uid="{4680D672-FC5A-4442-B350-1148CB6416CC}"/>
    <cellStyle name="Normal 2 2 4 2 2 2 3 3" xfId="22935" xr:uid="{8AD83E68-05CF-475B-8CB1-F7F467348236}"/>
    <cellStyle name="Normal 2 2 4 2 2 2 3 4" xfId="39694" xr:uid="{248FBB95-FA74-4D92-98EC-CDB4F2F97B6C}"/>
    <cellStyle name="Normal 2 2 4 2 2 2 4" xfId="2911" xr:uid="{33E1C986-9828-41D5-9F46-EB046062DCF5}"/>
    <cellStyle name="Normal 2 2 4 2 2 2 4 2" xfId="11291" xr:uid="{92391E91-F1A4-4A90-BD93-6E9A97611062}"/>
    <cellStyle name="Normal 2 2 4 2 2 2 4 2 2" xfId="28051" xr:uid="{61AA2A6C-AA38-4FB4-86A3-1AB4EE4C81B4}"/>
    <cellStyle name="Normal 2 2 4 2 2 2 4 2 3" xfId="44810" xr:uid="{2FD5FB03-93E4-4202-BEDA-28B0691768A7}"/>
    <cellStyle name="Normal 2 2 4 2 2 2 4 3" xfId="19671" xr:uid="{614FC7C7-EB62-4224-8772-E0DEC6A52040}"/>
    <cellStyle name="Normal 2 2 4 2 2 2 4 4" xfId="36430" xr:uid="{6BEB4D86-0E6B-4EE8-9EFE-8446A82F415C}"/>
    <cellStyle name="Normal 2 2 4 2 2 2 5" xfId="9488" xr:uid="{5C24511A-B630-45CF-AA73-ED281F29BD4C}"/>
    <cellStyle name="Normal 2 2 4 2 2 2 5 2" xfId="26248" xr:uid="{71C1A7A1-FFF9-44C1-BAE8-49297A4AB976}"/>
    <cellStyle name="Normal 2 2 4 2 2 2 5 3" xfId="43007" xr:uid="{6A9E84F3-6060-41D2-8914-4206E52B7055}"/>
    <cellStyle name="Normal 2 2 4 2 2 2 6" xfId="17868" xr:uid="{59A79D0B-ECA4-4757-998E-C8DA49DC1AE7}"/>
    <cellStyle name="Normal 2 2 4 2 2 2 7" xfId="34627" xr:uid="{DF76F835-54B6-4F75-B843-E95427F25B93}"/>
    <cellStyle name="Normal 2 2 4 2 2 3" xfId="1527" xr:uid="{4D7C03F7-FC87-40C2-A795-1B69BC6006C2}"/>
    <cellStyle name="Normal 2 2 4 2 2 3 2" xfId="4916" xr:uid="{3F912B32-1839-410F-B725-AED048DDC18C}"/>
    <cellStyle name="Normal 2 2 4 2 2 3 2 2" xfId="13296" xr:uid="{101D41A1-4B80-4A26-8C03-CD288D8CF04D}"/>
    <cellStyle name="Normal 2 2 4 2 2 3 2 2 2" xfId="30056" xr:uid="{33A6E639-7F26-48BB-ADEE-D9BAFA27E88B}"/>
    <cellStyle name="Normal 2 2 4 2 2 3 2 2 3" xfId="46815" xr:uid="{5D647338-453A-4F21-B1EE-5C8C02664A48}"/>
    <cellStyle name="Normal 2 2 4 2 2 3 2 3" xfId="21676" xr:uid="{9A21E8A5-F29D-4862-B829-49E80708B821}"/>
    <cellStyle name="Normal 2 2 4 2 2 3 2 4" xfId="38435" xr:uid="{99038350-6EA6-48C3-AC53-905AAB2916B5}"/>
    <cellStyle name="Normal 2 2 4 2 2 3 3" xfId="6603" xr:uid="{08A5DC88-2E8A-461A-A45E-68149EE196DB}"/>
    <cellStyle name="Normal 2 2 4 2 2 3 3 2" xfId="14983" xr:uid="{20559E37-7DBF-4BEA-877F-4D7A5279087A}"/>
    <cellStyle name="Normal 2 2 4 2 2 3 3 2 2" xfId="31743" xr:uid="{3F7CE314-71F2-439C-9CC7-D94000F7B2DE}"/>
    <cellStyle name="Normal 2 2 4 2 2 3 3 2 3" xfId="48502" xr:uid="{C2438645-8B84-47BF-B58D-61E7FB5D8A7B}"/>
    <cellStyle name="Normal 2 2 4 2 2 3 3 3" xfId="23363" xr:uid="{5B551BD3-DA01-4431-B64D-1069D01D4BAC}"/>
    <cellStyle name="Normal 2 2 4 2 2 3 3 4" xfId="40122" xr:uid="{2CF9A549-5A5D-4E64-8764-F34C55D26622}"/>
    <cellStyle name="Normal 2 2 4 2 2 3 4" xfId="3339" xr:uid="{B7754E00-3FE2-4F08-A6C1-85E414483F62}"/>
    <cellStyle name="Normal 2 2 4 2 2 3 4 2" xfId="11719" xr:uid="{D7148B8A-ED3E-448C-895F-FECD79878387}"/>
    <cellStyle name="Normal 2 2 4 2 2 3 4 2 2" xfId="28479" xr:uid="{E0CCA048-6A42-4B26-B8FB-CEAF3B229524}"/>
    <cellStyle name="Normal 2 2 4 2 2 3 4 2 3" xfId="45238" xr:uid="{60F4F9C5-7324-4EF6-9224-2164A3B998B3}"/>
    <cellStyle name="Normal 2 2 4 2 2 3 4 3" xfId="20099" xr:uid="{9A612D6D-D98F-45D0-9084-BC070FCD459F}"/>
    <cellStyle name="Normal 2 2 4 2 2 3 4 4" xfId="36858" xr:uid="{AC22946E-B6F5-4CDB-A377-BE0A5000E2A3}"/>
    <cellStyle name="Normal 2 2 4 2 2 3 5" xfId="9916" xr:uid="{A966C909-6113-4686-BAFE-C096CF605991}"/>
    <cellStyle name="Normal 2 2 4 2 2 3 5 2" xfId="26676" xr:uid="{9A4DE3BC-37E8-43C9-9B95-CDB9DE519C10}"/>
    <cellStyle name="Normal 2 2 4 2 2 3 5 3" xfId="43435" xr:uid="{8A1B35A2-441B-4224-B5D9-297A75DACCF3}"/>
    <cellStyle name="Normal 2 2 4 2 2 3 6" xfId="18296" xr:uid="{8CAE055C-649E-4908-8041-C42D0FC7DC07}"/>
    <cellStyle name="Normal 2 2 4 2 2 3 7" xfId="35055" xr:uid="{EF4907DB-F809-4604-ACE9-A1B2B430101F}"/>
    <cellStyle name="Normal 2 2 4 2 2 4" xfId="1850" xr:uid="{CB271193-15F7-4130-A454-A1281BBB4ACB}"/>
    <cellStyle name="Normal 2 2 4 2 2 4 2" xfId="5239" xr:uid="{6495BA1F-1313-440B-ABDC-9983C3E452AB}"/>
    <cellStyle name="Normal 2 2 4 2 2 4 2 2" xfId="13619" xr:uid="{B61FD526-0752-4AD7-8B34-A9F2A5CB6566}"/>
    <cellStyle name="Normal 2 2 4 2 2 4 2 2 2" xfId="30379" xr:uid="{83869321-E8F8-4F8C-97A2-8164F0C54490}"/>
    <cellStyle name="Normal 2 2 4 2 2 4 2 2 3" xfId="47138" xr:uid="{40D5B888-5E2F-4ABB-A6DE-F614EB43E79F}"/>
    <cellStyle name="Normal 2 2 4 2 2 4 2 3" xfId="21999" xr:uid="{D5A2E7F2-E353-45C3-9ED5-6C7B389084CB}"/>
    <cellStyle name="Normal 2 2 4 2 2 4 2 4" xfId="38758" xr:uid="{28B14FC3-6559-4711-94CD-771453835F61}"/>
    <cellStyle name="Normal 2 2 4 2 2 4 3" xfId="6926" xr:uid="{C9589E17-D970-4259-83D6-7465330B515F}"/>
    <cellStyle name="Normal 2 2 4 2 2 4 3 2" xfId="15306" xr:uid="{505E2F8F-51AF-4903-9035-E62F3E20F220}"/>
    <cellStyle name="Normal 2 2 4 2 2 4 3 2 2" xfId="32066" xr:uid="{FD6283B2-51F9-416E-BD9C-1E2FC50D5CB2}"/>
    <cellStyle name="Normal 2 2 4 2 2 4 3 2 3" xfId="48825" xr:uid="{7F00D630-22C4-449C-8ED9-6502ECD523AF}"/>
    <cellStyle name="Normal 2 2 4 2 2 4 3 3" xfId="23686" xr:uid="{E1523CA9-95AB-4634-B8CF-E2ED01A0057D}"/>
    <cellStyle name="Normal 2 2 4 2 2 4 3 4" xfId="40445" xr:uid="{50D83C93-1691-4C5B-BAB0-42A990213179}"/>
    <cellStyle name="Normal 2 2 4 2 2 4 4" xfId="3550" xr:uid="{4691B43E-EF67-43C3-BE5E-D966E1725352}"/>
    <cellStyle name="Normal 2 2 4 2 2 4 4 2" xfId="11930" xr:uid="{0A973F1E-DDE8-49BC-B6CF-244204D10BE4}"/>
    <cellStyle name="Normal 2 2 4 2 2 4 4 2 2" xfId="28690" xr:uid="{7ECE00BE-84C4-4C80-844F-C869820661E7}"/>
    <cellStyle name="Normal 2 2 4 2 2 4 4 2 3" xfId="45449" xr:uid="{B03ECB83-F545-4A64-AEFE-BE7790992917}"/>
    <cellStyle name="Normal 2 2 4 2 2 4 4 3" xfId="20310" xr:uid="{BA977F8C-DDA8-46FC-A315-9DA3CDAFC371}"/>
    <cellStyle name="Normal 2 2 4 2 2 4 4 4" xfId="37069" xr:uid="{560D914F-DD51-4351-9C52-973E4EC53B20}"/>
    <cellStyle name="Normal 2 2 4 2 2 4 5" xfId="10239" xr:uid="{C9ECE81D-8BF3-466E-AFA7-3C2990D1CB5C}"/>
    <cellStyle name="Normal 2 2 4 2 2 4 5 2" xfId="26999" xr:uid="{B8602206-37EB-44C3-9F63-87A2CE079071}"/>
    <cellStyle name="Normal 2 2 4 2 2 4 5 3" xfId="43758" xr:uid="{E4B0F71D-B528-4995-98C4-A87BD4E7FD44}"/>
    <cellStyle name="Normal 2 2 4 2 2 4 6" xfId="18619" xr:uid="{94646727-C39A-49C7-AB13-D3D63AEF2DEF}"/>
    <cellStyle name="Normal 2 2 4 2 2 4 7" xfId="35378" xr:uid="{98ACA2A0-08E7-48D0-9B22-92D7A4AE57F7}"/>
    <cellStyle name="Normal 2 2 4 2 2 5" xfId="3969" xr:uid="{BCA19E0C-490F-4F94-8BB5-88105193C557}"/>
    <cellStyle name="Normal 2 2 4 2 2 5 2" xfId="12349" xr:uid="{9087882B-6D8C-408F-8BEF-3486D3D5F65C}"/>
    <cellStyle name="Normal 2 2 4 2 2 5 2 2" xfId="29109" xr:uid="{F5492287-CA74-4F51-B427-644F8F10FBC7}"/>
    <cellStyle name="Normal 2 2 4 2 2 5 2 3" xfId="45868" xr:uid="{B9F921E9-E27C-4E55-BD09-285EB79A9BB3}"/>
    <cellStyle name="Normal 2 2 4 2 2 5 3" xfId="20729" xr:uid="{5CFBA5D2-9BD7-4A31-AEDE-DD0B539466AB}"/>
    <cellStyle name="Normal 2 2 4 2 2 5 4" xfId="37488" xr:uid="{3123D799-FE25-457D-BAF4-3A153CCD7623}"/>
    <cellStyle name="Normal 2 2 4 2 2 6" xfId="5749" xr:uid="{1000D9DF-B550-4AAC-A1BF-60B8893BE26E}"/>
    <cellStyle name="Normal 2 2 4 2 2 6 2" xfId="14129" xr:uid="{E910B62A-045E-4FC1-97B3-38FEBF6B9A15}"/>
    <cellStyle name="Normal 2 2 4 2 2 6 2 2" xfId="30889" xr:uid="{C8F3BEA7-5AEE-4EF0-8D87-66A3050D2BA6}"/>
    <cellStyle name="Normal 2 2 4 2 2 6 2 3" xfId="47648" xr:uid="{2E4716BA-2757-45C1-A1D2-E31EA1249F3D}"/>
    <cellStyle name="Normal 2 2 4 2 2 6 3" xfId="22509" xr:uid="{5D27CAD6-4674-4987-A745-EA8CE1854A65}"/>
    <cellStyle name="Normal 2 2 4 2 2 6 4" xfId="39268" xr:uid="{DBE814B0-0EDD-4D8D-BD85-3FB23396538D}"/>
    <cellStyle name="Normal 2 2 4 2 2 7" xfId="7332" xr:uid="{E5819A0D-A3EC-475B-B6F7-3E33492D66F3}"/>
    <cellStyle name="Normal 2 2 4 2 2 7 2" xfId="15712" xr:uid="{D893A945-DF95-469B-AB43-A254CE36372F}"/>
    <cellStyle name="Normal 2 2 4 2 2 7 2 2" xfId="32472" xr:uid="{985E0D55-25F2-40EA-A877-BA4A8FD32AC3}"/>
    <cellStyle name="Normal 2 2 4 2 2 7 2 3" xfId="49231" xr:uid="{952CB859-261B-4A5E-8F36-BA7CA7ED4214}"/>
    <cellStyle name="Normal 2 2 4 2 2 7 3" xfId="24092" xr:uid="{F5BB861A-A658-4FF0-A94E-9262C80368D9}"/>
    <cellStyle name="Normal 2 2 4 2 2 7 4" xfId="40851" xr:uid="{18777A11-FE1B-4708-B5B8-22599125E607}"/>
    <cellStyle name="Normal 2 2 4 2 2 8" xfId="7738" xr:uid="{72F80028-297B-4C75-A9DC-672F01A54BBE}"/>
    <cellStyle name="Normal 2 2 4 2 2 8 2" xfId="16118" xr:uid="{48D82EE2-71BD-4AED-B293-0ECAD0CD6726}"/>
    <cellStyle name="Normal 2 2 4 2 2 8 2 2" xfId="32878" xr:uid="{3414CACF-CE53-46B6-91B8-85885E866B05}"/>
    <cellStyle name="Normal 2 2 4 2 2 8 2 3" xfId="49637" xr:uid="{13D7F2A7-1B55-4AF5-852F-D787CF7039EB}"/>
    <cellStyle name="Normal 2 2 4 2 2 8 3" xfId="24498" xr:uid="{9C0A5FE2-82CB-45FA-9C5F-CD3C74B0F0B9}"/>
    <cellStyle name="Normal 2 2 4 2 2 8 4" xfId="41257" xr:uid="{95099033-D321-4BFC-BC2E-4EBC9AB3D7F5}"/>
    <cellStyle name="Normal 2 2 4 2 2 9" xfId="8144" xr:uid="{2BE23CDC-4BE8-465E-803E-ACCBE1F4A988}"/>
    <cellStyle name="Normal 2 2 4 2 2 9 2" xfId="16524" xr:uid="{0661FB4B-E207-4F68-ADD0-34D041910011}"/>
    <cellStyle name="Normal 2 2 4 2 2 9 2 2" xfId="33284" xr:uid="{E7DF27D2-EF3D-4F44-8EF8-9AA1A94BF1D4}"/>
    <cellStyle name="Normal 2 2 4 2 2 9 2 3" xfId="50043" xr:uid="{0FEB7072-6326-4813-96C0-827B9783CCD0}"/>
    <cellStyle name="Normal 2 2 4 2 2 9 3" xfId="24904" xr:uid="{4149214B-0D3A-46E8-8A21-CC46713E1FCC}"/>
    <cellStyle name="Normal 2 2 4 2 2 9 4" xfId="41663" xr:uid="{4E0D7066-F6FC-41EE-AF46-7611E41FF972}"/>
    <cellStyle name="Normal 2 2 4 2 3" xfId="652" xr:uid="{7E5D2D4A-4DFC-425F-A053-D0E8D731F681}"/>
    <cellStyle name="Normal 2 2 4 2 3 10" xfId="8697" xr:uid="{3B58E5F4-21D0-4432-BE22-42E18599B269}"/>
    <cellStyle name="Normal 2 2 4 2 3 10 2" xfId="17077" xr:uid="{E6044A3A-BE92-466E-B84B-BE0A82F77697}"/>
    <cellStyle name="Normal 2 2 4 2 3 10 2 2" xfId="33837" xr:uid="{9E4E00B6-019F-437C-835B-A9EC7F242F1B}"/>
    <cellStyle name="Normal 2 2 4 2 3 10 2 3" xfId="50596" xr:uid="{8FBA80A3-46C3-478A-BA19-9FCD2F0D49DE}"/>
    <cellStyle name="Normal 2 2 4 2 3 10 3" xfId="25457" xr:uid="{2C7322B4-6AC9-4B5B-8C98-293B65A119C5}"/>
    <cellStyle name="Normal 2 2 4 2 3 10 4" xfId="42216" xr:uid="{7A76A453-8E3F-41B0-8652-E4EB27717E6E}"/>
    <cellStyle name="Normal 2 2 4 2 3 11" xfId="2484" xr:uid="{1C5FD78E-B1E4-415E-B1E0-DFC839B46994}"/>
    <cellStyle name="Normal 2 2 4 2 3 11 2" xfId="10866" xr:uid="{644EF055-E103-4DAC-B07C-95CE1EB1D921}"/>
    <cellStyle name="Normal 2 2 4 2 3 11 2 2" xfId="27626" xr:uid="{0693EAF0-8005-4FA5-9EE4-D32041E2896F}"/>
    <cellStyle name="Normal 2 2 4 2 3 11 2 3" xfId="44385" xr:uid="{18939B1F-5B48-4E4D-86D3-EB6870398D39}"/>
    <cellStyle name="Normal 2 2 4 2 3 11 3" xfId="19246" xr:uid="{6EF4AD0F-626E-40DB-A085-593E6E197A8A}"/>
    <cellStyle name="Normal 2 2 4 2 3 11 4" xfId="36005" xr:uid="{DADA76CD-F829-4FE7-8711-C67E60935392}"/>
    <cellStyle name="Normal 2 2 4 2 3 12" xfId="9063" xr:uid="{0EFF46C2-7FC1-47D8-81D4-1E0F5D07452E}"/>
    <cellStyle name="Normal 2 2 4 2 3 12 2" xfId="25823" xr:uid="{58374C4A-CA8B-4646-80DD-5F212F53DBDF}"/>
    <cellStyle name="Normal 2 2 4 2 3 12 3" xfId="42582" xr:uid="{ED768EBD-CAD5-484B-8081-E4657FF74A4E}"/>
    <cellStyle name="Normal 2 2 4 2 3 13" xfId="17443" xr:uid="{8442559F-ADB2-4903-B7B5-8A3AD9DD2D14}"/>
    <cellStyle name="Normal 2 2 4 2 3 14" xfId="34202" xr:uid="{3665BF06-64E6-4CB9-8EE2-1A9D014696F0}"/>
    <cellStyle name="Normal 2 2 4 2 3 2" xfId="1094" xr:uid="{F0ECC3AF-6085-4F44-BA72-B60C9C0CBF22}"/>
    <cellStyle name="Normal 2 2 4 2 3 2 2" xfId="4489" xr:uid="{A97F0355-E816-4D6F-9807-3FAEBC20976D}"/>
    <cellStyle name="Normal 2 2 4 2 3 2 2 2" xfId="12869" xr:uid="{7A1EA69E-60C2-4FFB-9119-78B64CCCF7DF}"/>
    <cellStyle name="Normal 2 2 4 2 3 2 2 2 2" xfId="29629" xr:uid="{C12D7172-556A-4C14-9E76-088233B1D517}"/>
    <cellStyle name="Normal 2 2 4 2 3 2 2 2 3" xfId="46388" xr:uid="{4426D09E-8050-48B4-BF5D-FE32E191EAD3}"/>
    <cellStyle name="Normal 2 2 4 2 3 2 2 3" xfId="21249" xr:uid="{97B4111A-C695-4883-BBEE-FCCB469F764B}"/>
    <cellStyle name="Normal 2 2 4 2 3 2 2 4" xfId="38008" xr:uid="{F3ABDAEE-9E62-47CE-A1EE-A7A16CE35649}"/>
    <cellStyle name="Normal 2 2 4 2 3 2 3" xfId="6176" xr:uid="{CCA2D16B-F61D-40E1-9499-D925F64ED1AD}"/>
    <cellStyle name="Normal 2 2 4 2 3 2 3 2" xfId="14556" xr:uid="{C61C6BE2-6295-4294-A4C1-F2E265536078}"/>
    <cellStyle name="Normal 2 2 4 2 3 2 3 2 2" xfId="31316" xr:uid="{2D6619BB-5E03-4D1C-953E-7E50D23BC23E}"/>
    <cellStyle name="Normal 2 2 4 2 3 2 3 2 3" xfId="48075" xr:uid="{E3B39311-765A-4868-8E74-3DDC4A963219}"/>
    <cellStyle name="Normal 2 2 4 2 3 2 3 3" xfId="22936" xr:uid="{769C6660-D9DB-4A18-BF85-BC3A79CE38D2}"/>
    <cellStyle name="Normal 2 2 4 2 3 2 3 4" xfId="39695" xr:uid="{CA711EFF-78E9-4694-BC24-54766EA7E94A}"/>
    <cellStyle name="Normal 2 2 4 2 3 2 4" xfId="2912" xr:uid="{35D25F59-B9D6-4D4D-A6D3-82494D19813A}"/>
    <cellStyle name="Normal 2 2 4 2 3 2 4 2" xfId="11292" xr:uid="{28606380-D5F9-4EBB-9EBB-344E6FBA300B}"/>
    <cellStyle name="Normal 2 2 4 2 3 2 4 2 2" xfId="28052" xr:uid="{9C573101-2B87-47DF-AB4B-A2A0348194B7}"/>
    <cellStyle name="Normal 2 2 4 2 3 2 4 2 3" xfId="44811" xr:uid="{76BEC02A-377E-458A-B17C-8D2932ED2BA1}"/>
    <cellStyle name="Normal 2 2 4 2 3 2 4 3" xfId="19672" xr:uid="{AD4EBA3A-A662-49EB-B69F-43DFBE8439FF}"/>
    <cellStyle name="Normal 2 2 4 2 3 2 4 4" xfId="36431" xr:uid="{745F8B28-1AD0-4C63-81F2-3727AAE55CDA}"/>
    <cellStyle name="Normal 2 2 4 2 3 2 5" xfId="9489" xr:uid="{62BC5497-67D7-46BD-BFCE-952DA1F7F9EE}"/>
    <cellStyle name="Normal 2 2 4 2 3 2 5 2" xfId="26249" xr:uid="{4D08FF24-7E97-4732-943D-0018377BB995}"/>
    <cellStyle name="Normal 2 2 4 2 3 2 5 3" xfId="43008" xr:uid="{6D052059-3654-4B1F-AEEA-125283A46A31}"/>
    <cellStyle name="Normal 2 2 4 2 3 2 6" xfId="17869" xr:uid="{1A84E333-EBE2-4656-A063-C3503C40E035}"/>
    <cellStyle name="Normal 2 2 4 2 3 2 7" xfId="34628" xr:uid="{6FF025B0-5A98-4C9B-9F4F-FF4DCC1307A7}"/>
    <cellStyle name="Normal 2 2 4 2 3 3" xfId="1528" xr:uid="{F02CA74D-915B-4C37-B4DD-1F7309A1B787}"/>
    <cellStyle name="Normal 2 2 4 2 3 3 2" xfId="4917" xr:uid="{EBF27E8D-55CF-479D-AEA1-24CEDE7FA9E8}"/>
    <cellStyle name="Normal 2 2 4 2 3 3 2 2" xfId="13297" xr:uid="{0F99FE34-ECCD-4543-AE68-5D9BE526A0EB}"/>
    <cellStyle name="Normal 2 2 4 2 3 3 2 2 2" xfId="30057" xr:uid="{F558A11A-C505-4379-8F9A-BD2B52B2E9B1}"/>
    <cellStyle name="Normal 2 2 4 2 3 3 2 2 3" xfId="46816" xr:uid="{6F0368E7-BF64-42BD-A6AB-D19653C02F23}"/>
    <cellStyle name="Normal 2 2 4 2 3 3 2 3" xfId="21677" xr:uid="{8686704F-9F8C-400C-B00B-F0849D0E2EA0}"/>
    <cellStyle name="Normal 2 2 4 2 3 3 2 4" xfId="38436" xr:uid="{8E880305-6BFB-4E71-B1E4-251F246905D5}"/>
    <cellStyle name="Normal 2 2 4 2 3 3 3" xfId="6604" xr:uid="{72EDA23E-9A98-4B79-9197-CBFB02D93AA2}"/>
    <cellStyle name="Normal 2 2 4 2 3 3 3 2" xfId="14984" xr:uid="{6BAFADF3-AF61-4B33-91C4-A08A1D6A9202}"/>
    <cellStyle name="Normal 2 2 4 2 3 3 3 2 2" xfId="31744" xr:uid="{B2EF5E12-1294-4153-848E-9F789DCF7792}"/>
    <cellStyle name="Normal 2 2 4 2 3 3 3 2 3" xfId="48503" xr:uid="{1906CEA5-AF75-4FE2-A8D3-7AA6EB371FAF}"/>
    <cellStyle name="Normal 2 2 4 2 3 3 3 3" xfId="23364" xr:uid="{389E5AFB-389F-43DE-992E-CDEBBC57E43D}"/>
    <cellStyle name="Normal 2 2 4 2 3 3 3 4" xfId="40123" xr:uid="{27FCEB2F-B753-4118-8D58-08C74EA67D5E}"/>
    <cellStyle name="Normal 2 2 4 2 3 3 4" xfId="3340" xr:uid="{E1934C7E-5662-419A-8BF4-B608B715D8BD}"/>
    <cellStyle name="Normal 2 2 4 2 3 3 4 2" xfId="11720" xr:uid="{0C347DD9-B103-4E93-9EC7-EF1B2B4FFC37}"/>
    <cellStyle name="Normal 2 2 4 2 3 3 4 2 2" xfId="28480" xr:uid="{69034837-30D7-4F1A-9F6F-0BD5AEDC414A}"/>
    <cellStyle name="Normal 2 2 4 2 3 3 4 2 3" xfId="45239" xr:uid="{828D3310-9E3C-4D61-BA10-C7F0D05023CD}"/>
    <cellStyle name="Normal 2 2 4 2 3 3 4 3" xfId="20100" xr:uid="{818BC00C-CA27-40AD-B869-C716E1517644}"/>
    <cellStyle name="Normal 2 2 4 2 3 3 4 4" xfId="36859" xr:uid="{E6BB015C-B1EB-45ED-999B-FA568D0A90BA}"/>
    <cellStyle name="Normal 2 2 4 2 3 3 5" xfId="9917" xr:uid="{D04F4B80-9FE0-45B8-B1EE-ADFC1F5CF8D4}"/>
    <cellStyle name="Normal 2 2 4 2 3 3 5 2" xfId="26677" xr:uid="{39E80D56-992C-428D-940C-EF5629880980}"/>
    <cellStyle name="Normal 2 2 4 2 3 3 5 3" xfId="43436" xr:uid="{6168AA80-3E7D-4463-8764-00EC7DF8556D}"/>
    <cellStyle name="Normal 2 2 4 2 3 3 6" xfId="18297" xr:uid="{CFC6C615-EF25-4061-A2F9-888652ABB234}"/>
    <cellStyle name="Normal 2 2 4 2 3 3 7" xfId="35056" xr:uid="{23DD35FE-4C99-4EFE-B514-0B187EED4670}"/>
    <cellStyle name="Normal 2 2 4 2 3 4" xfId="1997" xr:uid="{88EDDD8C-A56A-4C37-875C-1369203ACB16}"/>
    <cellStyle name="Normal 2 2 4 2 3 4 2" xfId="5386" xr:uid="{FE8423EC-B589-4FA4-879E-40358D4EAA12}"/>
    <cellStyle name="Normal 2 2 4 2 3 4 2 2" xfId="13766" xr:uid="{DBB531E8-24A5-404A-BC11-360AADCA50FC}"/>
    <cellStyle name="Normal 2 2 4 2 3 4 2 2 2" xfId="30526" xr:uid="{8CDEA4DD-C3EA-43F0-92CD-5ADDDB7D38DC}"/>
    <cellStyle name="Normal 2 2 4 2 3 4 2 2 3" xfId="47285" xr:uid="{58610AF1-1B71-4CBB-86BC-F4D71D052091}"/>
    <cellStyle name="Normal 2 2 4 2 3 4 2 3" xfId="22146" xr:uid="{A1A412C8-39B3-47CA-B6A5-4213910DA9B5}"/>
    <cellStyle name="Normal 2 2 4 2 3 4 2 4" xfId="38905" xr:uid="{DF5214D0-800D-4660-8B98-C2377E35A800}"/>
    <cellStyle name="Normal 2 2 4 2 3 4 3" xfId="7073" xr:uid="{66C05CC7-B376-4C79-B6CA-E7B0987CEF6D}"/>
    <cellStyle name="Normal 2 2 4 2 3 4 3 2" xfId="15453" xr:uid="{3EF2A06D-1CDE-4565-B630-33885C30C737}"/>
    <cellStyle name="Normal 2 2 4 2 3 4 3 2 2" xfId="32213" xr:uid="{280CAA3C-2E0F-452E-92B9-AA12A32DA731}"/>
    <cellStyle name="Normal 2 2 4 2 3 4 3 2 3" xfId="48972" xr:uid="{A3BBA3C6-78C3-431C-BEF3-094F900A6770}"/>
    <cellStyle name="Normal 2 2 4 2 3 4 3 3" xfId="23833" xr:uid="{EF8EBE5B-A618-4C32-B46A-E3E93F5D2D80}"/>
    <cellStyle name="Normal 2 2 4 2 3 4 3 4" xfId="40592" xr:uid="{5D8CFCA3-22EA-40BF-93B7-302731305DDF}"/>
    <cellStyle name="Normal 2 2 4 2 3 4 4" xfId="3696" xr:uid="{67EF90FA-0F70-4900-95EA-EFDCA385DF1B}"/>
    <cellStyle name="Normal 2 2 4 2 3 4 4 2" xfId="12076" xr:uid="{D50DEEA7-C0C3-4A9A-944B-8EC183C42538}"/>
    <cellStyle name="Normal 2 2 4 2 3 4 4 2 2" xfId="28836" xr:uid="{66B86BD0-8540-4A69-9FF7-FC93C7FD89CC}"/>
    <cellStyle name="Normal 2 2 4 2 3 4 4 2 3" xfId="45595" xr:uid="{FAF5DFB0-9419-4001-A6AC-FDD58E8B70F0}"/>
    <cellStyle name="Normal 2 2 4 2 3 4 4 3" xfId="20456" xr:uid="{C5B65B2C-0D21-4499-9DA7-01283D96BA99}"/>
    <cellStyle name="Normal 2 2 4 2 3 4 4 4" xfId="37215" xr:uid="{613362A6-85D8-453B-8B70-B2A849EEB255}"/>
    <cellStyle name="Normal 2 2 4 2 3 4 5" xfId="10386" xr:uid="{B67691F3-8092-4A3C-B0EB-940AEE2B84CA}"/>
    <cellStyle name="Normal 2 2 4 2 3 4 5 2" xfId="27146" xr:uid="{5FB7C491-3E8F-41BA-A996-8BDB5DE623E1}"/>
    <cellStyle name="Normal 2 2 4 2 3 4 5 3" xfId="43905" xr:uid="{A1AE0345-2DB4-41C7-A0E9-277159A5871B}"/>
    <cellStyle name="Normal 2 2 4 2 3 4 6" xfId="18766" xr:uid="{42A28327-8501-46F1-A4F4-FC99E8BB7A97}"/>
    <cellStyle name="Normal 2 2 4 2 3 4 7" xfId="35525" xr:uid="{CD8AC508-20EE-43A8-8AF8-AA02ED4A8194}"/>
    <cellStyle name="Normal 2 2 4 2 3 5" xfId="4116" xr:uid="{0D878D1C-5B07-4442-AA8B-7BCC579FB49A}"/>
    <cellStyle name="Normal 2 2 4 2 3 5 2" xfId="12496" xr:uid="{9510389F-A9B8-4B9A-899B-F0A112F4A8E9}"/>
    <cellStyle name="Normal 2 2 4 2 3 5 2 2" xfId="29256" xr:uid="{18681B96-8E87-4671-BD2C-12E6B658A83B}"/>
    <cellStyle name="Normal 2 2 4 2 3 5 2 3" xfId="46015" xr:uid="{C2FB8070-13CC-4003-8693-5FC608D4C0D1}"/>
    <cellStyle name="Normal 2 2 4 2 3 5 3" xfId="20876" xr:uid="{618CE1B4-D752-4CAD-94A1-C6D65216732D}"/>
    <cellStyle name="Normal 2 2 4 2 3 5 4" xfId="37635" xr:uid="{37E11F2F-FA56-47D8-8A80-45949DF2EC86}"/>
    <cellStyle name="Normal 2 2 4 2 3 6" xfId="5750" xr:uid="{5054B3FD-FF35-4B29-A250-FC046DEE1882}"/>
    <cellStyle name="Normal 2 2 4 2 3 6 2" xfId="14130" xr:uid="{4096C939-D60F-4744-9420-A9E6EEBFC247}"/>
    <cellStyle name="Normal 2 2 4 2 3 6 2 2" xfId="30890" xr:uid="{D7812919-07AD-40B5-8DD7-3A163C637AFE}"/>
    <cellStyle name="Normal 2 2 4 2 3 6 2 3" xfId="47649" xr:uid="{05162F58-A39C-4E94-BDAC-98F607AD9B17}"/>
    <cellStyle name="Normal 2 2 4 2 3 6 3" xfId="22510" xr:uid="{EC1F655D-42A4-421C-B10E-DBEA9ABF9500}"/>
    <cellStyle name="Normal 2 2 4 2 3 6 4" xfId="39269" xr:uid="{75F7B6F0-FEB2-46D0-A9D2-3A9C176B50EF}"/>
    <cellStyle name="Normal 2 2 4 2 3 7" xfId="7479" xr:uid="{FA7EED99-5AB5-4ABA-BCD2-14B1E6353575}"/>
    <cellStyle name="Normal 2 2 4 2 3 7 2" xfId="15859" xr:uid="{9C3E0789-7DFF-4B0C-97FF-FC279E0D08C5}"/>
    <cellStyle name="Normal 2 2 4 2 3 7 2 2" xfId="32619" xr:uid="{7C55EEBC-BD6A-41CE-84A4-DD89E8024DA5}"/>
    <cellStyle name="Normal 2 2 4 2 3 7 2 3" xfId="49378" xr:uid="{FF04EAC2-3303-4BE6-BDA9-C52C96475C47}"/>
    <cellStyle name="Normal 2 2 4 2 3 7 3" xfId="24239" xr:uid="{BE8F4D74-054B-4419-A125-89BA60828993}"/>
    <cellStyle name="Normal 2 2 4 2 3 7 4" xfId="40998" xr:uid="{C1FDBA37-14B3-44AE-97CC-57E255646EC6}"/>
    <cellStyle name="Normal 2 2 4 2 3 8" xfId="7885" xr:uid="{9DD5E862-012C-4A46-AA7C-62C40750FBFB}"/>
    <cellStyle name="Normal 2 2 4 2 3 8 2" xfId="16265" xr:uid="{F6CB84BA-B78A-4641-94CF-9817672964F7}"/>
    <cellStyle name="Normal 2 2 4 2 3 8 2 2" xfId="33025" xr:uid="{4DFE4ACF-6CDB-4D23-BFE2-AF40C1CB54D8}"/>
    <cellStyle name="Normal 2 2 4 2 3 8 2 3" xfId="49784" xr:uid="{86C7E9B5-7C53-4D64-BB3C-7EDC594F01E2}"/>
    <cellStyle name="Normal 2 2 4 2 3 8 3" xfId="24645" xr:uid="{4185D145-0384-4D44-926F-A4011B7F90C4}"/>
    <cellStyle name="Normal 2 2 4 2 3 8 4" xfId="41404" xr:uid="{61E99643-7E26-447F-82A4-CBF1E8615523}"/>
    <cellStyle name="Normal 2 2 4 2 3 9" xfId="8291" xr:uid="{6090DB24-97E7-436C-B2BE-7C4F47FB6BB2}"/>
    <cellStyle name="Normal 2 2 4 2 3 9 2" xfId="16671" xr:uid="{BD252FB3-891E-439A-8083-8115E5676B8C}"/>
    <cellStyle name="Normal 2 2 4 2 3 9 2 2" xfId="33431" xr:uid="{4720BEB7-1C8F-4C29-AD91-E9F6529199BE}"/>
    <cellStyle name="Normal 2 2 4 2 3 9 2 3" xfId="50190" xr:uid="{941D467D-4FF5-4526-94C4-DBA7DBE493AE}"/>
    <cellStyle name="Normal 2 2 4 2 3 9 3" xfId="25051" xr:uid="{BBA8F181-AAE5-4B23-BA65-082852076E6D}"/>
    <cellStyle name="Normal 2 2 4 2 3 9 4" xfId="41810" xr:uid="{007C44C5-F4E0-48D5-AC51-2C1DBBA880CE}"/>
    <cellStyle name="Normal 2 2 4 2 4" xfId="866" xr:uid="{E8BA4BF2-F4CD-4F5F-B758-BDD5A170E128}"/>
    <cellStyle name="Normal 2 2 4 2 4 2" xfId="4261" xr:uid="{5FFB75F9-7513-4EB4-9DFA-B75C788D0AF7}"/>
    <cellStyle name="Normal 2 2 4 2 4 2 2" xfId="12641" xr:uid="{82B5EEC4-B128-407A-B260-7B50C31AE450}"/>
    <cellStyle name="Normal 2 2 4 2 4 2 2 2" xfId="29401" xr:uid="{A21FF17E-D089-4F3E-AF65-3F7BA179AB92}"/>
    <cellStyle name="Normal 2 2 4 2 4 2 2 3" xfId="46160" xr:uid="{9D2F4298-EB24-47E8-AEA9-AE9605C9EACB}"/>
    <cellStyle name="Normal 2 2 4 2 4 2 3" xfId="21021" xr:uid="{3CC91AA3-A2DC-429B-91A7-90FB49D0FD2E}"/>
    <cellStyle name="Normal 2 2 4 2 4 2 4" xfId="37780" xr:uid="{DF6A468A-5EEB-43A9-A941-436BBBD70F99}"/>
    <cellStyle name="Normal 2 2 4 2 4 3" xfId="5948" xr:uid="{BED5398A-A40A-47AA-B718-E81963768599}"/>
    <cellStyle name="Normal 2 2 4 2 4 3 2" xfId="14328" xr:uid="{4A885D66-ECB6-452F-B5CD-64E44F415DBD}"/>
    <cellStyle name="Normal 2 2 4 2 4 3 2 2" xfId="31088" xr:uid="{1BCCD221-5E12-4600-8367-4D7DEFE933F7}"/>
    <cellStyle name="Normal 2 2 4 2 4 3 2 3" xfId="47847" xr:uid="{D46FE0A0-EDD5-495E-80E8-64A48C297FC9}"/>
    <cellStyle name="Normal 2 2 4 2 4 3 3" xfId="22708" xr:uid="{1659CD8D-7193-4A5C-BF77-D6093198BDBD}"/>
    <cellStyle name="Normal 2 2 4 2 4 3 4" xfId="39467" xr:uid="{6F2D6BAC-5A6D-4103-8037-263F94265B2E}"/>
    <cellStyle name="Normal 2 2 4 2 4 4" xfId="2684" xr:uid="{48C80AF6-A430-4FBE-AFFE-A11A24F6D86B}"/>
    <cellStyle name="Normal 2 2 4 2 4 4 2" xfId="11064" xr:uid="{92B27740-1E01-423E-9666-CF8099601D8C}"/>
    <cellStyle name="Normal 2 2 4 2 4 4 2 2" xfId="27824" xr:uid="{D9452E65-F191-4C70-A375-D58C757FAD03}"/>
    <cellStyle name="Normal 2 2 4 2 4 4 2 3" xfId="44583" xr:uid="{04343F7C-ED18-4FF5-9327-5062E0481920}"/>
    <cellStyle name="Normal 2 2 4 2 4 4 3" xfId="19444" xr:uid="{5EF9223C-0F65-40E6-998B-BF4EA66FBE31}"/>
    <cellStyle name="Normal 2 2 4 2 4 4 4" xfId="36203" xr:uid="{4D065ADB-DB31-4671-850E-AB91A64CFBB8}"/>
    <cellStyle name="Normal 2 2 4 2 4 5" xfId="9261" xr:uid="{4A9BAF67-6709-42F2-A225-CF242A0295E0}"/>
    <cellStyle name="Normal 2 2 4 2 4 5 2" xfId="26021" xr:uid="{4D4E1B07-16B4-4C57-8233-D04027984121}"/>
    <cellStyle name="Normal 2 2 4 2 4 5 3" xfId="42780" xr:uid="{D83D51B8-F6F6-4285-968C-CA0B4BCC68A4}"/>
    <cellStyle name="Normal 2 2 4 2 4 6" xfId="17641" xr:uid="{C86D48DD-4EB3-430F-867F-436864DC6E47}"/>
    <cellStyle name="Normal 2 2 4 2 4 7" xfId="34400" xr:uid="{C9300E15-00F7-415B-A8C4-C55E644E6723}"/>
    <cellStyle name="Normal 2 2 4 2 5" xfId="1300" xr:uid="{16C7D718-9EEB-4049-A3AA-F64DF7D7ECA2}"/>
    <cellStyle name="Normal 2 2 4 2 5 2" xfId="4689" xr:uid="{3666D8B2-A553-4469-8048-DCB37C584A7A}"/>
    <cellStyle name="Normal 2 2 4 2 5 2 2" xfId="13069" xr:uid="{CDB81A57-3941-4FA2-944F-FC091D0072AA}"/>
    <cellStyle name="Normal 2 2 4 2 5 2 2 2" xfId="29829" xr:uid="{2B1E5F9C-C88C-400E-8FFD-A943588144B7}"/>
    <cellStyle name="Normal 2 2 4 2 5 2 2 3" xfId="46588" xr:uid="{1F34F0F6-BB16-48C7-AC30-75591A9B37FF}"/>
    <cellStyle name="Normal 2 2 4 2 5 2 3" xfId="21449" xr:uid="{F553E71A-4EA3-4338-A374-22A96283D3FA}"/>
    <cellStyle name="Normal 2 2 4 2 5 2 4" xfId="38208" xr:uid="{7C6CF452-6806-4BE1-8953-07D8D52C6F8F}"/>
    <cellStyle name="Normal 2 2 4 2 5 3" xfId="6376" xr:uid="{2C00EF73-BFFF-4F1B-AED7-68C70687BABD}"/>
    <cellStyle name="Normal 2 2 4 2 5 3 2" xfId="14756" xr:uid="{448C279A-904C-4773-92F2-CCFA8B8B33C6}"/>
    <cellStyle name="Normal 2 2 4 2 5 3 2 2" xfId="31516" xr:uid="{6D2FE10A-54E4-4976-BCAA-C03EE7ADD06D}"/>
    <cellStyle name="Normal 2 2 4 2 5 3 2 3" xfId="48275" xr:uid="{97640F3E-B1E5-4885-B079-2305292079F3}"/>
    <cellStyle name="Normal 2 2 4 2 5 3 3" xfId="23136" xr:uid="{E42F9403-15EB-4BA6-A158-FB156CD99302}"/>
    <cellStyle name="Normal 2 2 4 2 5 3 4" xfId="39895" xr:uid="{764CC188-DA1F-4763-8008-5F3117A5D4D7}"/>
    <cellStyle name="Normal 2 2 4 2 5 4" xfId="3112" xr:uid="{19C2037C-391E-4190-8382-DFB2FC349B67}"/>
    <cellStyle name="Normal 2 2 4 2 5 4 2" xfId="11492" xr:uid="{86E820A4-51A2-42A2-A960-5145DF31B986}"/>
    <cellStyle name="Normal 2 2 4 2 5 4 2 2" xfId="28252" xr:uid="{F48A6D6E-4512-45D3-B3A7-753FF9CBA49A}"/>
    <cellStyle name="Normal 2 2 4 2 5 4 2 3" xfId="45011" xr:uid="{5DA795B3-63DB-4BBE-9451-924ABB1176D1}"/>
    <cellStyle name="Normal 2 2 4 2 5 4 3" xfId="19872" xr:uid="{5504B410-89D0-46A5-BF01-84AB0EE185B4}"/>
    <cellStyle name="Normal 2 2 4 2 5 4 4" xfId="36631" xr:uid="{70D9B1A9-89C3-4720-966E-ED8C41265A6B}"/>
    <cellStyle name="Normal 2 2 4 2 5 5" xfId="9689" xr:uid="{20690B35-9428-4700-BE39-3BD507DB3185}"/>
    <cellStyle name="Normal 2 2 4 2 5 5 2" xfId="26449" xr:uid="{6D3C407C-3ED1-4B76-8D87-A72B95DF1BDB}"/>
    <cellStyle name="Normal 2 2 4 2 5 5 3" xfId="43208" xr:uid="{7E629537-0C57-43E3-86FD-2344D11D640B}"/>
    <cellStyle name="Normal 2 2 4 2 5 6" xfId="18069" xr:uid="{82BB892F-1447-4600-92F7-D7752945759B}"/>
    <cellStyle name="Normal 2 2 4 2 5 7" xfId="34828" xr:uid="{39DFCAC2-CF40-482E-8CF3-36C64E1B94D2}"/>
    <cellStyle name="Normal 2 2 4 2 6" xfId="1726" xr:uid="{D7AE6C7B-5BC6-4C08-AA06-1D4351D48E9C}"/>
    <cellStyle name="Normal 2 2 4 2 6 2" xfId="5115" xr:uid="{841BB8EA-8C83-4AF4-9B92-9292AA978977}"/>
    <cellStyle name="Normal 2 2 4 2 6 2 2" xfId="13495" xr:uid="{F49B78E1-5FF7-48F9-917B-BDB2D3B5998A}"/>
    <cellStyle name="Normal 2 2 4 2 6 2 2 2" xfId="30255" xr:uid="{05E60CD8-8235-4F68-AD57-D3ABF8E8CF8C}"/>
    <cellStyle name="Normal 2 2 4 2 6 2 2 3" xfId="47014" xr:uid="{CF5A4575-9C0A-4EB7-86F1-58BA24D90E2E}"/>
    <cellStyle name="Normal 2 2 4 2 6 2 3" xfId="21875" xr:uid="{F7E842E3-01C5-41B1-BF76-A326CC15F1B0}"/>
    <cellStyle name="Normal 2 2 4 2 6 2 4" xfId="38634" xr:uid="{541AE3FB-FC0C-464F-BE2B-66A4F517A456}"/>
    <cellStyle name="Normal 2 2 4 2 6 3" xfId="6802" xr:uid="{BFA21EC0-1409-4FA4-869B-AAA63988929F}"/>
    <cellStyle name="Normal 2 2 4 2 6 3 2" xfId="15182" xr:uid="{C1D292F4-EF65-47BC-B063-001F96D1BB0C}"/>
    <cellStyle name="Normal 2 2 4 2 6 3 2 2" xfId="31942" xr:uid="{4872699C-0554-460E-BBD7-DE63A3D4C0B2}"/>
    <cellStyle name="Normal 2 2 4 2 6 3 2 3" xfId="48701" xr:uid="{9C40B924-9905-423A-B275-658B861BCC85}"/>
    <cellStyle name="Normal 2 2 4 2 6 3 3" xfId="23562" xr:uid="{03DFE613-CAB9-4FA9-AF02-84E85CDE1823}"/>
    <cellStyle name="Normal 2 2 4 2 6 3 4" xfId="40321" xr:uid="{C946A9A8-C118-414E-B385-030914F6CB1D}"/>
    <cellStyle name="Normal 2 2 4 2 6 4" xfId="3449" xr:uid="{76655436-0C3A-4BB9-8E30-AEC2B417A7AD}"/>
    <cellStyle name="Normal 2 2 4 2 6 4 2" xfId="11829" xr:uid="{7F2149A9-41C0-4B00-A4B8-45344E719160}"/>
    <cellStyle name="Normal 2 2 4 2 6 4 2 2" xfId="28589" xr:uid="{8D26350D-03BA-4078-96EF-542E097C27D7}"/>
    <cellStyle name="Normal 2 2 4 2 6 4 2 3" xfId="45348" xr:uid="{FC1CA011-7F69-4577-AB32-902D5EA406A9}"/>
    <cellStyle name="Normal 2 2 4 2 6 4 3" xfId="20209" xr:uid="{6E44FDB9-C0D9-4177-A9D0-CC9588421473}"/>
    <cellStyle name="Normal 2 2 4 2 6 4 4" xfId="36968" xr:uid="{B9CD8C46-C53D-408E-9DB3-0B92CDFDE7E6}"/>
    <cellStyle name="Normal 2 2 4 2 6 5" xfId="10115" xr:uid="{DE1FE469-05DF-449D-A76F-2C749733FC68}"/>
    <cellStyle name="Normal 2 2 4 2 6 5 2" xfId="26875" xr:uid="{277BB4EE-FB16-4805-ADF1-9935E2BF3B41}"/>
    <cellStyle name="Normal 2 2 4 2 6 5 3" xfId="43634" xr:uid="{8CDDF104-82CC-4119-9F8B-EAB1A0F3F5B1}"/>
    <cellStyle name="Normal 2 2 4 2 6 6" xfId="18495" xr:uid="{72C30F54-45E9-44F5-BC5C-0C835BB8AFEC}"/>
    <cellStyle name="Normal 2 2 4 2 6 7" xfId="35254" xr:uid="{0E16EBE5-6D4F-4572-BA5B-09A338A52C54}"/>
    <cellStyle name="Normal 2 2 4 2 7" xfId="3845" xr:uid="{59F1699B-405F-4A0F-B0A9-1F32A44996E1}"/>
    <cellStyle name="Normal 2 2 4 2 7 2" xfId="12225" xr:uid="{8EF5C8C4-5D29-4B70-B889-EB6043313A3D}"/>
    <cellStyle name="Normal 2 2 4 2 7 2 2" xfId="28985" xr:uid="{E15DF20A-BC1A-4EAB-8B6F-8C31A2427B8C}"/>
    <cellStyle name="Normal 2 2 4 2 7 2 3" xfId="45744" xr:uid="{281D7E87-D0A7-4880-9127-D340EE960D0E}"/>
    <cellStyle name="Normal 2 2 4 2 7 3" xfId="20605" xr:uid="{6F955F08-28F2-449C-B8D5-7D688BC51FC3}"/>
    <cellStyle name="Normal 2 2 4 2 7 4" xfId="37364" xr:uid="{5ED13CB3-2B54-4182-A5B6-E0F7D8263B86}"/>
    <cellStyle name="Normal 2 2 4 2 8" xfId="5522" xr:uid="{DE695544-79FF-42D0-BFB0-874C0DAE0006}"/>
    <cellStyle name="Normal 2 2 4 2 8 2" xfId="13902" xr:uid="{EE55201F-3D09-402F-8E35-BF9201C0DAFF}"/>
    <cellStyle name="Normal 2 2 4 2 8 2 2" xfId="30662" xr:uid="{48E78589-10B8-4EAA-A5B4-FFD10164D2C7}"/>
    <cellStyle name="Normal 2 2 4 2 8 2 3" xfId="47421" xr:uid="{094E2D70-F89D-48D5-82DF-026F51D8DDF8}"/>
    <cellStyle name="Normal 2 2 4 2 8 3" xfId="22282" xr:uid="{FC6B8C11-B018-46BF-8D6B-723A4F8D3F8B}"/>
    <cellStyle name="Normal 2 2 4 2 8 4" xfId="39041" xr:uid="{37AA5767-CD17-450A-96AE-E81FD4500BB7}"/>
    <cellStyle name="Normal 2 2 4 2 9" xfId="7208" xr:uid="{5CF18821-C762-4859-BBA4-5E7F00ACDE13}"/>
    <cellStyle name="Normal 2 2 4 2 9 2" xfId="15588" xr:uid="{2A7E8C09-7BDE-4AFB-A617-6AA0B28C6620}"/>
    <cellStyle name="Normal 2 2 4 2 9 2 2" xfId="32348" xr:uid="{9F44AC57-AE4B-4E47-8381-CFEABC784430}"/>
    <cellStyle name="Normal 2 2 4 2 9 2 3" xfId="49107" xr:uid="{A3607D8D-886C-4D8B-A4FD-BBA9ED7A544F}"/>
    <cellStyle name="Normal 2 2 4 2 9 3" xfId="23968" xr:uid="{7B9A77BA-FCD6-4D31-8166-E8EC2703A202}"/>
    <cellStyle name="Normal 2 2 4 2 9 4" xfId="40727" xr:uid="{54568B25-207B-4FA8-8EDC-D7732A722F85}"/>
    <cellStyle name="Normal 2 2 4 20" xfId="51944" xr:uid="{A5AA2A6F-BF83-4C6C-A040-799CDB43074E}"/>
    <cellStyle name="Normal 2 2 4 3" xfId="653" xr:uid="{FE569086-0893-4F4B-9F9C-7BC02040C5B7}"/>
    <cellStyle name="Normal 2 2 4 3 10" xfId="8549" xr:uid="{97D8D498-0FD7-4E0F-8320-5D080B76E154}"/>
    <cellStyle name="Normal 2 2 4 3 10 2" xfId="16929" xr:uid="{F9F038B1-A3A5-4904-8CB8-10030B3AB75D}"/>
    <cellStyle name="Normal 2 2 4 3 10 2 2" xfId="33689" xr:uid="{5E817B19-D374-4EE1-9491-42610322A00D}"/>
    <cellStyle name="Normal 2 2 4 3 10 2 3" xfId="50448" xr:uid="{59904FBC-24EB-4209-9E45-B87813536F7B}"/>
    <cellStyle name="Normal 2 2 4 3 10 3" xfId="25309" xr:uid="{44B4F5F5-16F4-44B2-AC4C-49C2EB7F729E}"/>
    <cellStyle name="Normal 2 2 4 3 10 4" xfId="42068" xr:uid="{C7404C2B-C0A8-4555-87C1-72AD97461AAB}"/>
    <cellStyle name="Normal 2 2 4 3 11" xfId="2485" xr:uid="{11111E06-E80F-406C-A8AD-7918708D03A1}"/>
    <cellStyle name="Normal 2 2 4 3 11 2" xfId="10867" xr:uid="{D65B58A3-58B7-4656-9936-B1A1D46BB826}"/>
    <cellStyle name="Normal 2 2 4 3 11 2 2" xfId="27627" xr:uid="{936762A4-E678-4872-99AD-5DD45960C200}"/>
    <cellStyle name="Normal 2 2 4 3 11 2 3" xfId="44386" xr:uid="{E6707CD8-7AAA-494C-BAD6-EF5D4DAF26AD}"/>
    <cellStyle name="Normal 2 2 4 3 11 3" xfId="19247" xr:uid="{7F7B2243-C705-427E-A585-D8A62D41E0AE}"/>
    <cellStyle name="Normal 2 2 4 3 11 4" xfId="36006" xr:uid="{45BCF266-977E-402B-BC07-9732648AA13F}"/>
    <cellStyle name="Normal 2 2 4 3 12" xfId="9064" xr:uid="{DF33E63E-B7D8-4EFF-8A82-40F2BC500175}"/>
    <cellStyle name="Normal 2 2 4 3 12 2" xfId="25824" xr:uid="{B9D3AABC-5A9F-4F76-AA4B-8153EAD2F857}"/>
    <cellStyle name="Normal 2 2 4 3 12 3" xfId="42583" xr:uid="{A9BDBBDE-39FF-46DB-9403-3BEFE051995F}"/>
    <cellStyle name="Normal 2 2 4 3 13" xfId="17444" xr:uid="{5CC0AD66-E3CD-4BC4-A7DA-CC6D8BF3E734}"/>
    <cellStyle name="Normal 2 2 4 3 14" xfId="34203" xr:uid="{F677C432-E633-47AB-9DEB-3643709EB4DD}"/>
    <cellStyle name="Normal 2 2 4 3 2" xfId="1095" xr:uid="{C67540C2-8B5A-49DE-9BFF-527AB89FF821}"/>
    <cellStyle name="Normal 2 2 4 3 2 2" xfId="4490" xr:uid="{D19A5364-919D-4E9A-B8FC-BA8EBCC20F21}"/>
    <cellStyle name="Normal 2 2 4 3 2 2 2" xfId="12870" xr:uid="{F74E4F5D-331A-45EE-AE9F-D3E89579D2BD}"/>
    <cellStyle name="Normal 2 2 4 3 2 2 2 2" xfId="29630" xr:uid="{D77E9124-5C81-4187-B1C4-44A00949B571}"/>
    <cellStyle name="Normal 2 2 4 3 2 2 2 3" xfId="46389" xr:uid="{7245D220-BD8B-407B-B7CC-68FD022E1C97}"/>
    <cellStyle name="Normal 2 2 4 3 2 2 3" xfId="21250" xr:uid="{A7750044-220E-4E6B-A181-B5A713985AF4}"/>
    <cellStyle name="Normal 2 2 4 3 2 2 4" xfId="38009" xr:uid="{A922942C-337C-4133-8208-1C5955840AA6}"/>
    <cellStyle name="Normal 2 2 4 3 2 3" xfId="6177" xr:uid="{CC4B1581-6FC9-40F4-8809-3FB0F099E899}"/>
    <cellStyle name="Normal 2 2 4 3 2 3 2" xfId="14557" xr:uid="{D2BCD2D3-4108-41FE-929E-444B8E2CD986}"/>
    <cellStyle name="Normal 2 2 4 3 2 3 2 2" xfId="31317" xr:uid="{2982B638-AEA2-4B01-82D4-70BF2BB1AC1E}"/>
    <cellStyle name="Normal 2 2 4 3 2 3 2 3" xfId="48076" xr:uid="{8A585C30-AC35-4399-9426-E0E5FC60BE15}"/>
    <cellStyle name="Normal 2 2 4 3 2 3 3" xfId="22937" xr:uid="{47EEDF8D-987F-468D-B2D7-4CDA3B06AF16}"/>
    <cellStyle name="Normal 2 2 4 3 2 3 4" xfId="39696" xr:uid="{53BF1322-6FAD-4189-BC6E-9680096B6657}"/>
    <cellStyle name="Normal 2 2 4 3 2 4" xfId="2913" xr:uid="{043BD39E-8549-4452-8093-5F326F5229EF}"/>
    <cellStyle name="Normal 2 2 4 3 2 4 2" xfId="11293" xr:uid="{292AD658-C976-4CC1-9348-AC9AB1C5F4C3}"/>
    <cellStyle name="Normal 2 2 4 3 2 4 2 2" xfId="28053" xr:uid="{BED717E1-2CE6-4BA6-9376-1A0D7085438F}"/>
    <cellStyle name="Normal 2 2 4 3 2 4 2 3" xfId="44812" xr:uid="{0E0B36CD-C164-49BF-88DC-28E651ADA829}"/>
    <cellStyle name="Normal 2 2 4 3 2 4 3" xfId="19673" xr:uid="{C4173E1D-4914-4558-B07E-534F5CCD0E7A}"/>
    <cellStyle name="Normal 2 2 4 3 2 4 4" xfId="36432" xr:uid="{A2940395-D8AD-4CA9-B9C3-E9D0AE9D2492}"/>
    <cellStyle name="Normal 2 2 4 3 2 5" xfId="9490" xr:uid="{23E061C6-C636-498E-AE5C-FC168574F3E7}"/>
    <cellStyle name="Normal 2 2 4 3 2 5 2" xfId="26250" xr:uid="{5F93FDFC-0E28-40A2-B71E-118BDBC1D88D}"/>
    <cellStyle name="Normal 2 2 4 3 2 5 3" xfId="43009" xr:uid="{92A4BE59-5158-4E94-AE54-50A84226496F}"/>
    <cellStyle name="Normal 2 2 4 3 2 6" xfId="17870" xr:uid="{AECD61B0-B26B-46FC-9F99-28F6993D85A9}"/>
    <cellStyle name="Normal 2 2 4 3 2 7" xfId="34629" xr:uid="{E4017602-5AA3-4224-A3BD-9744049ADFC9}"/>
    <cellStyle name="Normal 2 2 4 3 3" xfId="1529" xr:uid="{28BDC9DF-31F7-4143-8921-69CA31730F5C}"/>
    <cellStyle name="Normal 2 2 4 3 3 2" xfId="4918" xr:uid="{25600BAC-3DB8-4019-A380-F0A3CA158590}"/>
    <cellStyle name="Normal 2 2 4 3 3 2 2" xfId="13298" xr:uid="{06F3B8D8-7769-4C36-BD3B-77CC55D7E734}"/>
    <cellStyle name="Normal 2 2 4 3 3 2 2 2" xfId="30058" xr:uid="{B429D5F3-8787-4FDA-B7CE-C34D915F395A}"/>
    <cellStyle name="Normal 2 2 4 3 3 2 2 3" xfId="46817" xr:uid="{607DC9A3-7CA2-4350-8C4F-A22D4D91D43C}"/>
    <cellStyle name="Normal 2 2 4 3 3 2 3" xfId="21678" xr:uid="{5C8CBECB-A6FB-4AEC-87B3-772E2C6ED5D7}"/>
    <cellStyle name="Normal 2 2 4 3 3 2 4" xfId="38437" xr:uid="{16457722-8ACA-4ABA-988C-826876437577}"/>
    <cellStyle name="Normal 2 2 4 3 3 3" xfId="6605" xr:uid="{934F0844-0044-4762-BBFE-68D903C79F92}"/>
    <cellStyle name="Normal 2 2 4 3 3 3 2" xfId="14985" xr:uid="{BA1F8DF8-7116-4BFA-B95D-388079002499}"/>
    <cellStyle name="Normal 2 2 4 3 3 3 2 2" xfId="31745" xr:uid="{43141962-B757-45E7-B923-B079B5E93F76}"/>
    <cellStyle name="Normal 2 2 4 3 3 3 2 3" xfId="48504" xr:uid="{14F0EFE6-F4B2-440C-B5D5-18B78B534F5F}"/>
    <cellStyle name="Normal 2 2 4 3 3 3 3" xfId="23365" xr:uid="{5FE05752-232A-4266-9C97-DCF0D8FF1ED1}"/>
    <cellStyle name="Normal 2 2 4 3 3 3 4" xfId="40124" xr:uid="{98CC644B-E485-47B3-A25A-8070E9CF7EAD}"/>
    <cellStyle name="Normal 2 2 4 3 3 4" xfId="3341" xr:uid="{64217F85-0DBE-464B-A574-2C94FEF966E7}"/>
    <cellStyle name="Normal 2 2 4 3 3 4 2" xfId="11721" xr:uid="{E81AE211-8775-48FF-91B2-61B2C82AB2E2}"/>
    <cellStyle name="Normal 2 2 4 3 3 4 2 2" xfId="28481" xr:uid="{81AC043E-1C1A-4640-B109-054E2DB764C4}"/>
    <cellStyle name="Normal 2 2 4 3 3 4 2 3" xfId="45240" xr:uid="{50AEE9C8-7EAA-4674-AB2B-5F127CEE5CF1}"/>
    <cellStyle name="Normal 2 2 4 3 3 4 3" xfId="20101" xr:uid="{43697AFE-67C1-459C-B92B-E1E91F47A462}"/>
    <cellStyle name="Normal 2 2 4 3 3 4 4" xfId="36860" xr:uid="{DD309FF1-258C-4320-B88B-9B0E1331A6DC}"/>
    <cellStyle name="Normal 2 2 4 3 3 5" xfId="9918" xr:uid="{CB144A5C-5838-460F-94C2-E04388416FED}"/>
    <cellStyle name="Normal 2 2 4 3 3 5 2" xfId="26678" xr:uid="{B3CC5842-57BA-4038-83AE-7546F7D63D3C}"/>
    <cellStyle name="Normal 2 2 4 3 3 5 3" xfId="43437" xr:uid="{8EE4837A-56FE-4852-9EAB-FAC006AC459E}"/>
    <cellStyle name="Normal 2 2 4 3 3 6" xfId="18298" xr:uid="{1E1BC295-99B6-4FF6-A0EB-2F7BD5E13DE7}"/>
    <cellStyle name="Normal 2 2 4 3 3 7" xfId="35057" xr:uid="{4E4CBA0C-6811-425B-A451-5E862626FE4A}"/>
    <cellStyle name="Normal 2 2 4 3 4" xfId="1849" xr:uid="{42C9DA1B-63DC-40C0-A355-36B500A2D410}"/>
    <cellStyle name="Normal 2 2 4 3 4 2" xfId="5238" xr:uid="{2482EF42-9C8C-48AF-8E06-F3A2C728126D}"/>
    <cellStyle name="Normal 2 2 4 3 4 2 2" xfId="13618" xr:uid="{9B184A65-FDE1-4B13-9A2D-1FE91EC52A51}"/>
    <cellStyle name="Normal 2 2 4 3 4 2 2 2" xfId="30378" xr:uid="{0D1A8373-F738-4A83-B412-EDE86F0A7FBE}"/>
    <cellStyle name="Normal 2 2 4 3 4 2 2 3" xfId="47137" xr:uid="{4DB6A8AD-79C8-4EDE-AA9A-C5B6DA71BBCE}"/>
    <cellStyle name="Normal 2 2 4 3 4 2 3" xfId="21998" xr:uid="{DA4FBDA8-C98E-4809-9721-4103BAD989CC}"/>
    <cellStyle name="Normal 2 2 4 3 4 2 4" xfId="38757" xr:uid="{20AEAD73-E5FC-4F1E-81D3-045360063BD3}"/>
    <cellStyle name="Normal 2 2 4 3 4 3" xfId="6925" xr:uid="{5CAF2B89-B7BC-4C98-8ACC-52A54776A289}"/>
    <cellStyle name="Normal 2 2 4 3 4 3 2" xfId="15305" xr:uid="{6DAB9EDE-3315-416C-9D05-556546ACDF92}"/>
    <cellStyle name="Normal 2 2 4 3 4 3 2 2" xfId="32065" xr:uid="{B95A434C-AC9D-4D6A-BC10-6FCDA4607BA2}"/>
    <cellStyle name="Normal 2 2 4 3 4 3 2 3" xfId="48824" xr:uid="{A17FF7ED-6B85-4AD6-9F8B-8786EB881095}"/>
    <cellStyle name="Normal 2 2 4 3 4 3 3" xfId="23685" xr:uid="{97CB906C-D971-42D0-82E2-E1176DE10F00}"/>
    <cellStyle name="Normal 2 2 4 3 4 3 4" xfId="40444" xr:uid="{1BE4FC40-F3E1-46CE-958B-9ACB0503A954}"/>
    <cellStyle name="Normal 2 2 4 3 4 4" xfId="3549" xr:uid="{6068D6B8-BFF3-49F1-8533-291581F7578E}"/>
    <cellStyle name="Normal 2 2 4 3 4 4 2" xfId="11929" xr:uid="{5CB8DE83-10B0-4B2C-9769-E02E2E8DF7CA}"/>
    <cellStyle name="Normal 2 2 4 3 4 4 2 2" xfId="28689" xr:uid="{2CFC1F31-7D3B-423B-9C15-193E92B28773}"/>
    <cellStyle name="Normal 2 2 4 3 4 4 2 3" xfId="45448" xr:uid="{33F3F569-3EED-44C0-B876-ACCF7CC918E7}"/>
    <cellStyle name="Normal 2 2 4 3 4 4 3" xfId="20309" xr:uid="{096D5BE7-D7E5-4B3F-9D7D-5E19A6203D75}"/>
    <cellStyle name="Normal 2 2 4 3 4 4 4" xfId="37068" xr:uid="{6F03C659-68C4-4404-AE14-B4E1DA32DFB2}"/>
    <cellStyle name="Normal 2 2 4 3 4 5" xfId="10238" xr:uid="{B13DEDBF-6812-4BC3-912B-0444B17B8C5A}"/>
    <cellStyle name="Normal 2 2 4 3 4 5 2" xfId="26998" xr:uid="{A523429A-16F7-4F55-AB30-70945C10AE02}"/>
    <cellStyle name="Normal 2 2 4 3 4 5 3" xfId="43757" xr:uid="{EABDAC24-D141-452A-A2E2-E1FDEDD056C4}"/>
    <cellStyle name="Normal 2 2 4 3 4 6" xfId="18618" xr:uid="{69A0FA72-ABFD-4472-80D0-E55A70E1955C}"/>
    <cellStyle name="Normal 2 2 4 3 4 7" xfId="35377" xr:uid="{281C64F0-EE48-4009-A32D-3A91FD933A54}"/>
    <cellStyle name="Normal 2 2 4 3 5" xfId="3968" xr:uid="{D76E7195-C7D3-4881-9FA2-78E684E80F67}"/>
    <cellStyle name="Normal 2 2 4 3 5 2" xfId="12348" xr:uid="{2E27BDEC-CFAC-4FF1-9C9A-E20442363595}"/>
    <cellStyle name="Normal 2 2 4 3 5 2 2" xfId="29108" xr:uid="{FC8448F0-2FE5-41BD-BFEF-B6F6F98AB445}"/>
    <cellStyle name="Normal 2 2 4 3 5 2 3" xfId="45867" xr:uid="{CE00F8BC-083E-44DD-8623-DDD4AD2ACD37}"/>
    <cellStyle name="Normal 2 2 4 3 5 3" xfId="20728" xr:uid="{6504C43E-69B7-49CB-8380-71E491CBFA1B}"/>
    <cellStyle name="Normal 2 2 4 3 5 4" xfId="37487" xr:uid="{68811045-1849-42B4-B034-71332C10DD89}"/>
    <cellStyle name="Normal 2 2 4 3 6" xfId="5751" xr:uid="{92EE4703-A19C-4080-B8AD-D6CBB7E7619C}"/>
    <cellStyle name="Normal 2 2 4 3 6 2" xfId="14131" xr:uid="{D1D78AB7-A1D7-435F-8D13-0429B31B4F8E}"/>
    <cellStyle name="Normal 2 2 4 3 6 2 2" xfId="30891" xr:uid="{9E371898-625B-4C2C-B931-1CF0205145EB}"/>
    <cellStyle name="Normal 2 2 4 3 6 2 3" xfId="47650" xr:uid="{0FCEE436-4E03-42B7-9D10-A4AD433EE599}"/>
    <cellStyle name="Normal 2 2 4 3 6 3" xfId="22511" xr:uid="{FC1FD6B2-54A5-416C-832E-380028D6E261}"/>
    <cellStyle name="Normal 2 2 4 3 6 4" xfId="39270" xr:uid="{92075760-76CF-4957-969E-CED04A216073}"/>
    <cellStyle name="Normal 2 2 4 3 7" xfId="7331" xr:uid="{0EFB1E12-768F-467A-95A0-16349670E96C}"/>
    <cellStyle name="Normal 2 2 4 3 7 2" xfId="15711" xr:uid="{9E2F7387-F0FE-4EEA-8B1D-61DA71612479}"/>
    <cellStyle name="Normal 2 2 4 3 7 2 2" xfId="32471" xr:uid="{E1907620-F3C9-4FE7-BC42-29F02CCAF5D3}"/>
    <cellStyle name="Normal 2 2 4 3 7 2 3" xfId="49230" xr:uid="{C5183761-A205-4BCD-BD0E-A9AD50DB0B58}"/>
    <cellStyle name="Normal 2 2 4 3 7 3" xfId="24091" xr:uid="{F89F84E1-7238-44C1-86F2-895526937724}"/>
    <cellStyle name="Normal 2 2 4 3 7 4" xfId="40850" xr:uid="{7D81B689-3561-4F43-A363-8B031F8942CA}"/>
    <cellStyle name="Normal 2 2 4 3 8" xfId="7737" xr:uid="{232B54DC-FC37-4F04-8CE1-0C13FE14FB61}"/>
    <cellStyle name="Normal 2 2 4 3 8 2" xfId="16117" xr:uid="{55F0E3E1-80FE-49EF-AA59-E0E9CC9100F4}"/>
    <cellStyle name="Normal 2 2 4 3 8 2 2" xfId="32877" xr:uid="{4EDEDE0D-0459-44A2-85CA-81B18F38682D}"/>
    <cellStyle name="Normal 2 2 4 3 8 2 3" xfId="49636" xr:uid="{F26BB2FA-D147-4572-8042-BF4B43AAEE06}"/>
    <cellStyle name="Normal 2 2 4 3 8 3" xfId="24497" xr:uid="{4EDCAF24-A2C4-49CE-A96B-AD6EE77DB048}"/>
    <cellStyle name="Normal 2 2 4 3 8 4" xfId="41256" xr:uid="{4B542A3A-BAD0-4A50-AF7A-7F0D32441895}"/>
    <cellStyle name="Normal 2 2 4 3 9" xfId="8143" xr:uid="{4831F065-D7FB-4BDE-A671-2F28699B35E2}"/>
    <cellStyle name="Normal 2 2 4 3 9 2" xfId="16523" xr:uid="{634E470E-6B5D-44A8-8849-C14565EFA27A}"/>
    <cellStyle name="Normal 2 2 4 3 9 2 2" xfId="33283" xr:uid="{FF49B21A-7DB4-44E2-8549-E8ACE84210B1}"/>
    <cellStyle name="Normal 2 2 4 3 9 2 3" xfId="50042" xr:uid="{368169E0-B103-4F8D-A2FE-A2899094198D}"/>
    <cellStyle name="Normal 2 2 4 3 9 3" xfId="24903" xr:uid="{0D39699C-B381-4717-9F6E-298EC068875A}"/>
    <cellStyle name="Normal 2 2 4 3 9 4" xfId="41662" xr:uid="{24421DDD-8B6C-49A3-B231-5805E5FE3626}"/>
    <cellStyle name="Normal 2 2 4 4" xfId="654" xr:uid="{49F60EC4-D823-416D-8730-54FD5F506683}"/>
    <cellStyle name="Normal 2 2 4 4 10" xfId="8665" xr:uid="{9CE7F641-E8C5-41C8-8744-7F4F0E99664B}"/>
    <cellStyle name="Normal 2 2 4 4 10 2" xfId="17045" xr:uid="{2A8D53D8-41CE-4740-BFEA-0CCB21D852A5}"/>
    <cellStyle name="Normal 2 2 4 4 10 2 2" xfId="33805" xr:uid="{0B37A9B9-468C-40D4-A58C-0C9E941B3831}"/>
    <cellStyle name="Normal 2 2 4 4 10 2 3" xfId="50564" xr:uid="{E8A20037-7136-4DC9-BC78-8C84E0AFD289}"/>
    <cellStyle name="Normal 2 2 4 4 10 3" xfId="25425" xr:uid="{F39B2A6D-B9E3-4B0C-AFEE-398423C62C4B}"/>
    <cellStyle name="Normal 2 2 4 4 10 4" xfId="42184" xr:uid="{271CEBDD-B73B-4E6F-8D2E-C73646A0A382}"/>
    <cellStyle name="Normal 2 2 4 4 11" xfId="2486" xr:uid="{88109285-3F37-4E52-970B-39F499EC7AE5}"/>
    <cellStyle name="Normal 2 2 4 4 11 2" xfId="10868" xr:uid="{0CCD4F7C-2221-434C-9F62-3762140353E4}"/>
    <cellStyle name="Normal 2 2 4 4 11 2 2" xfId="27628" xr:uid="{163A147F-50E2-409B-AF0E-41F75B8E4835}"/>
    <cellStyle name="Normal 2 2 4 4 11 2 3" xfId="44387" xr:uid="{0049B18E-BCBC-47ED-9281-A4C5036B9173}"/>
    <cellStyle name="Normal 2 2 4 4 11 3" xfId="19248" xr:uid="{A6742B1B-0947-4AD2-8541-905660C2A233}"/>
    <cellStyle name="Normal 2 2 4 4 11 4" xfId="36007" xr:uid="{0A98DCDC-26EA-41D9-9F5B-5984E90E3F44}"/>
    <cellStyle name="Normal 2 2 4 4 12" xfId="9065" xr:uid="{445AE3AA-EC75-4FFA-A141-0901B52623D4}"/>
    <cellStyle name="Normal 2 2 4 4 12 2" xfId="25825" xr:uid="{677417C6-8CB9-4A4C-8B2C-66F5C32D4B10}"/>
    <cellStyle name="Normal 2 2 4 4 12 3" xfId="42584" xr:uid="{5D56597B-D959-459E-BA46-25D25ED72AAA}"/>
    <cellStyle name="Normal 2 2 4 4 13" xfId="17445" xr:uid="{E88E0E6E-DC3D-4678-8801-22871AFECAB1}"/>
    <cellStyle name="Normal 2 2 4 4 14" xfId="34204" xr:uid="{CA4CD579-417F-4D93-83BA-CDFB0BDD382E}"/>
    <cellStyle name="Normal 2 2 4 4 2" xfId="1096" xr:uid="{01967926-F73F-4C8B-85EE-F05E7ABA4D33}"/>
    <cellStyle name="Normal 2 2 4 4 2 2" xfId="4491" xr:uid="{C28CE0A5-E473-4DB7-919B-C304A03666C6}"/>
    <cellStyle name="Normal 2 2 4 4 2 2 2" xfId="12871" xr:uid="{61BC4CCB-87DC-4B4E-857D-48A99387D45F}"/>
    <cellStyle name="Normal 2 2 4 4 2 2 2 2" xfId="29631" xr:uid="{47616EDE-78D5-4947-A7E2-678397C757B9}"/>
    <cellStyle name="Normal 2 2 4 4 2 2 2 3" xfId="46390" xr:uid="{203E8919-3DFD-46F8-B4D8-E08F5ADC692A}"/>
    <cellStyle name="Normal 2 2 4 4 2 2 3" xfId="21251" xr:uid="{9B4CA23B-7270-429C-B920-06F895CD32F2}"/>
    <cellStyle name="Normal 2 2 4 4 2 2 4" xfId="38010" xr:uid="{2E9EC1AF-B4D1-465E-A32A-FDA3CE702E18}"/>
    <cellStyle name="Normal 2 2 4 4 2 3" xfId="6178" xr:uid="{BA0024A1-7773-4F6B-8973-C4BED581E16B}"/>
    <cellStyle name="Normal 2 2 4 4 2 3 2" xfId="14558" xr:uid="{51B04F6C-6FA9-4CE7-942B-9954280A3005}"/>
    <cellStyle name="Normal 2 2 4 4 2 3 2 2" xfId="31318" xr:uid="{18B0422F-ACCF-4192-B863-802A0F10A321}"/>
    <cellStyle name="Normal 2 2 4 4 2 3 2 3" xfId="48077" xr:uid="{24B05DF1-8E7A-47A5-853D-3BAEC5ADEEEB}"/>
    <cellStyle name="Normal 2 2 4 4 2 3 3" xfId="22938" xr:uid="{4E2C4F16-4B4E-42D2-BA02-DA295F0EAE09}"/>
    <cellStyle name="Normal 2 2 4 4 2 3 4" xfId="39697" xr:uid="{E4E88DC7-3A65-4A78-8D0A-4D2CEDB215DB}"/>
    <cellStyle name="Normal 2 2 4 4 2 4" xfId="2914" xr:uid="{6EE46FEC-C335-4749-BB97-5F6340B54A00}"/>
    <cellStyle name="Normal 2 2 4 4 2 4 2" xfId="11294" xr:uid="{01EB3816-4542-4595-899E-B9626AF36D2B}"/>
    <cellStyle name="Normal 2 2 4 4 2 4 2 2" xfId="28054" xr:uid="{08148C72-7AB7-4BB1-9662-9C11A75D4D7D}"/>
    <cellStyle name="Normal 2 2 4 4 2 4 2 3" xfId="44813" xr:uid="{C1B1EB12-0484-46FC-A038-34F76017B734}"/>
    <cellStyle name="Normal 2 2 4 4 2 4 3" xfId="19674" xr:uid="{AE5CDAAE-898D-43EE-8204-C3AD957D3207}"/>
    <cellStyle name="Normal 2 2 4 4 2 4 4" xfId="36433" xr:uid="{80CABE6C-F9A5-48F1-BA64-D8D2667CC7E0}"/>
    <cellStyle name="Normal 2 2 4 4 2 5" xfId="9491" xr:uid="{8EFF9D7B-57D1-42EE-9678-A873DC177F5E}"/>
    <cellStyle name="Normal 2 2 4 4 2 5 2" xfId="26251" xr:uid="{6451D7E7-1929-4800-BE73-EE2ED725AD41}"/>
    <cellStyle name="Normal 2 2 4 4 2 5 3" xfId="43010" xr:uid="{987679B1-324E-45DC-94D6-D0278FB2A7B4}"/>
    <cellStyle name="Normal 2 2 4 4 2 6" xfId="17871" xr:uid="{5E0FD77F-B5B3-4E64-A966-2647DA0796F2}"/>
    <cellStyle name="Normal 2 2 4 4 2 7" xfId="34630" xr:uid="{63D625E4-1B84-4165-8CE5-4B686A7088CB}"/>
    <cellStyle name="Normal 2 2 4 4 3" xfId="1530" xr:uid="{51AFA3CA-DA0F-461D-A3FE-D80EBBEE5361}"/>
    <cellStyle name="Normal 2 2 4 4 3 2" xfId="4919" xr:uid="{6BFCA036-7216-441C-BB0E-F660E184452F}"/>
    <cellStyle name="Normal 2 2 4 4 3 2 2" xfId="13299" xr:uid="{1A166060-5588-487B-9197-875D3FBBD380}"/>
    <cellStyle name="Normal 2 2 4 4 3 2 2 2" xfId="30059" xr:uid="{BFCF728E-619E-46DA-81AE-C6965090C992}"/>
    <cellStyle name="Normal 2 2 4 4 3 2 2 3" xfId="46818" xr:uid="{9DE02BAE-44E3-4747-8E32-A9D169417972}"/>
    <cellStyle name="Normal 2 2 4 4 3 2 3" xfId="21679" xr:uid="{88548C36-C636-4973-BA7E-798012E81F50}"/>
    <cellStyle name="Normal 2 2 4 4 3 2 4" xfId="38438" xr:uid="{DE7CB875-9521-4CE1-917E-66D62AEE11F8}"/>
    <cellStyle name="Normal 2 2 4 4 3 3" xfId="6606" xr:uid="{0552E7DD-C8F4-4298-9B2D-F0E7AD54855F}"/>
    <cellStyle name="Normal 2 2 4 4 3 3 2" xfId="14986" xr:uid="{A12214CC-C998-4BB5-BE7F-B71F72F98360}"/>
    <cellStyle name="Normal 2 2 4 4 3 3 2 2" xfId="31746" xr:uid="{9E0B4730-69C7-4945-9A22-B7348112C570}"/>
    <cellStyle name="Normal 2 2 4 4 3 3 2 3" xfId="48505" xr:uid="{2A4ABE9B-BCB2-4DD2-A30A-4A903A7FCBE5}"/>
    <cellStyle name="Normal 2 2 4 4 3 3 3" xfId="23366" xr:uid="{5E2105BD-6BCC-4EC4-A32F-596BFA600801}"/>
    <cellStyle name="Normal 2 2 4 4 3 3 4" xfId="40125" xr:uid="{A3314DDD-7373-4D42-A56F-FCC98436AE51}"/>
    <cellStyle name="Normal 2 2 4 4 3 4" xfId="3342" xr:uid="{DAC6463A-07EC-475A-961B-8AA103969612}"/>
    <cellStyle name="Normal 2 2 4 4 3 4 2" xfId="11722" xr:uid="{A2230E28-AB4E-4207-A68E-3CF21E8AB974}"/>
    <cellStyle name="Normal 2 2 4 4 3 4 2 2" xfId="28482" xr:uid="{438C7E07-B728-427C-8393-50AF76FC5881}"/>
    <cellStyle name="Normal 2 2 4 4 3 4 2 3" xfId="45241" xr:uid="{52D4076B-801D-419A-9941-62B431C0BAFC}"/>
    <cellStyle name="Normal 2 2 4 4 3 4 3" xfId="20102" xr:uid="{BA2EC463-34FD-4F18-B6C2-8A665F04140C}"/>
    <cellStyle name="Normal 2 2 4 4 3 4 4" xfId="36861" xr:uid="{E9014FF0-8861-4190-A64F-C9FB375232F1}"/>
    <cellStyle name="Normal 2 2 4 4 3 5" xfId="9919" xr:uid="{277056EA-565A-442F-B034-1E8FD2BEF02F}"/>
    <cellStyle name="Normal 2 2 4 4 3 5 2" xfId="26679" xr:uid="{1157F564-03A0-4707-9471-1C282B00003A}"/>
    <cellStyle name="Normal 2 2 4 4 3 5 3" xfId="43438" xr:uid="{D6E06976-CFBF-4D72-8368-5AE351DB226D}"/>
    <cellStyle name="Normal 2 2 4 4 3 6" xfId="18299" xr:uid="{1365D401-AEEC-4A68-9356-4E2E091B6ABD}"/>
    <cellStyle name="Normal 2 2 4 4 3 7" xfId="35058" xr:uid="{125F9FAE-15D7-496B-8144-C78267D551C6}"/>
    <cellStyle name="Normal 2 2 4 4 4" xfId="1965" xr:uid="{0D354947-005B-490C-8157-ABB3B4AD135C}"/>
    <cellStyle name="Normal 2 2 4 4 4 2" xfId="5354" xr:uid="{B84D254F-07B9-4498-8FBE-87BB18A3F3B1}"/>
    <cellStyle name="Normal 2 2 4 4 4 2 2" xfId="13734" xr:uid="{DDCA8599-6D1B-4106-B3E4-8D02D277507F}"/>
    <cellStyle name="Normal 2 2 4 4 4 2 2 2" xfId="30494" xr:uid="{17EA64F7-A554-40F2-AD8E-DA513022E7D9}"/>
    <cellStyle name="Normal 2 2 4 4 4 2 2 3" xfId="47253" xr:uid="{566A8DFF-D0C5-4B18-B6FE-07D757BA7E85}"/>
    <cellStyle name="Normal 2 2 4 4 4 2 3" xfId="22114" xr:uid="{2EA4BAB5-20C9-4AAA-BCFB-4D58B66C89D2}"/>
    <cellStyle name="Normal 2 2 4 4 4 2 4" xfId="38873" xr:uid="{133B4C69-C9C0-4231-BA1B-00928C5DC966}"/>
    <cellStyle name="Normal 2 2 4 4 4 3" xfId="7041" xr:uid="{83617AAA-C0E2-402B-A7FE-435CFFF67925}"/>
    <cellStyle name="Normal 2 2 4 4 4 3 2" xfId="15421" xr:uid="{F0041B7B-E8C2-450F-B9F3-0E79971B8946}"/>
    <cellStyle name="Normal 2 2 4 4 4 3 2 2" xfId="32181" xr:uid="{7702E5AB-5CA4-4373-8A1F-1E5A98D32296}"/>
    <cellStyle name="Normal 2 2 4 4 4 3 2 3" xfId="48940" xr:uid="{FDF8742B-57B0-4F23-B7A1-4DFC9BB7D091}"/>
    <cellStyle name="Normal 2 2 4 4 4 3 3" xfId="23801" xr:uid="{A1DB7309-E0B6-4BD6-8869-E11A1557F6C6}"/>
    <cellStyle name="Normal 2 2 4 4 4 3 4" xfId="40560" xr:uid="{F21A4830-3326-4562-8EDB-539558407294}"/>
    <cellStyle name="Normal 2 2 4 4 4 4" xfId="3664" xr:uid="{38DCCF80-4E32-459E-A3B7-35EC34B93146}"/>
    <cellStyle name="Normal 2 2 4 4 4 4 2" xfId="12044" xr:uid="{DC5C3B17-D153-4FA0-B9FA-A7C587DB3193}"/>
    <cellStyle name="Normal 2 2 4 4 4 4 2 2" xfId="28804" xr:uid="{5142D139-065C-4665-9DF9-1E10FCA71470}"/>
    <cellStyle name="Normal 2 2 4 4 4 4 2 3" xfId="45563" xr:uid="{178D6AD9-7CA2-44F8-BB40-69309DF78A28}"/>
    <cellStyle name="Normal 2 2 4 4 4 4 3" xfId="20424" xr:uid="{85356CE4-1BEA-498B-9E3D-6A9A1393F8C4}"/>
    <cellStyle name="Normal 2 2 4 4 4 4 4" xfId="37183" xr:uid="{D1014F97-2320-4B5F-B607-4AD0D4A7B738}"/>
    <cellStyle name="Normal 2 2 4 4 4 5" xfId="10354" xr:uid="{193A4F87-6135-4282-9DBC-CDB2B77D76A9}"/>
    <cellStyle name="Normal 2 2 4 4 4 5 2" xfId="27114" xr:uid="{09E63A5D-25BC-4F46-91C2-B3B2BCA7DDBD}"/>
    <cellStyle name="Normal 2 2 4 4 4 5 3" xfId="43873" xr:uid="{4B69E2B0-5DA9-46A5-971A-2CDCF048B6CC}"/>
    <cellStyle name="Normal 2 2 4 4 4 6" xfId="18734" xr:uid="{BB881E06-39E3-4008-8CF7-64B2C6AA4458}"/>
    <cellStyle name="Normal 2 2 4 4 4 7" xfId="35493" xr:uid="{C4797317-5130-41B7-9B06-49756EF6C47C}"/>
    <cellStyle name="Normal 2 2 4 4 5" xfId="4084" xr:uid="{E6BB2872-F6C6-4DB9-B489-292C6C3079E3}"/>
    <cellStyle name="Normal 2 2 4 4 5 2" xfId="12464" xr:uid="{25229B82-DD62-4510-A5F1-C58E1EB2DBC8}"/>
    <cellStyle name="Normal 2 2 4 4 5 2 2" xfId="29224" xr:uid="{7EBA32DB-3D8F-49F8-99CD-3838DDBC8F15}"/>
    <cellStyle name="Normal 2 2 4 4 5 2 3" xfId="45983" xr:uid="{74147064-8CF5-48F7-AD57-57DB602F4511}"/>
    <cellStyle name="Normal 2 2 4 4 5 3" xfId="20844" xr:uid="{C43C0B0F-EC9A-49ED-9426-A964C7AB1B09}"/>
    <cellStyle name="Normal 2 2 4 4 5 4" xfId="37603" xr:uid="{C754B2EA-C838-44A2-9A77-57BA1A18B4A5}"/>
    <cellStyle name="Normal 2 2 4 4 6" xfId="5752" xr:uid="{E58ABB30-7D97-4A4C-8CFA-23E41A26E406}"/>
    <cellStyle name="Normal 2 2 4 4 6 2" xfId="14132" xr:uid="{3D5E6FA0-258E-4128-9593-8AD800F6FA7B}"/>
    <cellStyle name="Normal 2 2 4 4 6 2 2" xfId="30892" xr:uid="{DAF81481-6E1A-46D3-8765-5797E72CE18C}"/>
    <cellStyle name="Normal 2 2 4 4 6 2 3" xfId="47651" xr:uid="{AFD21A1F-6367-43BB-A22E-4F537E429B8E}"/>
    <cellStyle name="Normal 2 2 4 4 6 3" xfId="22512" xr:uid="{F4829F60-F1D4-4606-84E7-3491F8064D33}"/>
    <cellStyle name="Normal 2 2 4 4 6 4" xfId="39271" xr:uid="{11274C87-F0F3-475C-967D-485F1F781881}"/>
    <cellStyle name="Normal 2 2 4 4 7" xfId="7447" xr:uid="{F52CF419-EF8C-4656-BE02-7689C7A570FF}"/>
    <cellStyle name="Normal 2 2 4 4 7 2" xfId="15827" xr:uid="{0BB609E6-0F11-4066-A54A-496D630BF562}"/>
    <cellStyle name="Normal 2 2 4 4 7 2 2" xfId="32587" xr:uid="{2B1DEE32-E905-470A-8A3C-A5AE754A9084}"/>
    <cellStyle name="Normal 2 2 4 4 7 2 3" xfId="49346" xr:uid="{863937EE-9A75-46CB-BCCC-A8E321516C2C}"/>
    <cellStyle name="Normal 2 2 4 4 7 3" xfId="24207" xr:uid="{03CC530B-048A-4EFE-8FB8-673665C059CF}"/>
    <cellStyle name="Normal 2 2 4 4 7 4" xfId="40966" xr:uid="{57843250-FF55-4608-B14D-E17509E1E1BC}"/>
    <cellStyle name="Normal 2 2 4 4 8" xfId="7853" xr:uid="{24695190-F76C-42C3-8E11-6E8B256CF5B2}"/>
    <cellStyle name="Normal 2 2 4 4 8 2" xfId="16233" xr:uid="{832A2C06-7FF1-428B-A8D4-DBFE23ADC280}"/>
    <cellStyle name="Normal 2 2 4 4 8 2 2" xfId="32993" xr:uid="{D5261FB6-89FB-4563-AF4C-C8BBC557C2E8}"/>
    <cellStyle name="Normal 2 2 4 4 8 2 3" xfId="49752" xr:uid="{E1F49894-3CC4-4BEC-813B-8F2F161282B8}"/>
    <cellStyle name="Normal 2 2 4 4 8 3" xfId="24613" xr:uid="{E9869CC7-AE6A-4186-B793-08BCBA2DBBFD}"/>
    <cellStyle name="Normal 2 2 4 4 8 4" xfId="41372" xr:uid="{992BE568-0BDC-4B11-9B71-C0C51A48573E}"/>
    <cellStyle name="Normal 2 2 4 4 9" xfId="8259" xr:uid="{57C969A6-40AD-451A-9F1B-BB0841A1FC0F}"/>
    <cellStyle name="Normal 2 2 4 4 9 2" xfId="16639" xr:uid="{ACB62E22-24D2-4FAB-B295-D2767269DC8E}"/>
    <cellStyle name="Normal 2 2 4 4 9 2 2" xfId="33399" xr:uid="{8CF84DFF-97E8-4F27-AACF-65E974BB27EE}"/>
    <cellStyle name="Normal 2 2 4 4 9 2 3" xfId="50158" xr:uid="{02749723-C0D5-4EA6-8BA3-95A9808D9059}"/>
    <cellStyle name="Normal 2 2 4 4 9 3" xfId="25019" xr:uid="{0A547657-36E0-41FC-9F69-998E7ABB1B35}"/>
    <cellStyle name="Normal 2 2 4 4 9 4" xfId="41778" xr:uid="{1661B392-F127-415D-A8CD-A580A67979AA}"/>
    <cellStyle name="Normal 2 2 4 5" xfId="792" xr:uid="{A86A13BF-C6CF-42D9-954F-58FE0A863C2E}"/>
    <cellStyle name="Normal 2 2 4 5 2" xfId="4187" xr:uid="{00DF5E9A-16C4-4A80-9D8E-EC99B5CDBCF8}"/>
    <cellStyle name="Normal 2 2 4 5 2 2" xfId="12567" xr:uid="{28AA5D81-1F18-42A7-90E8-CC0C72E515DB}"/>
    <cellStyle name="Normal 2 2 4 5 2 2 2" xfId="29327" xr:uid="{4AF7DA36-C880-4E3D-A4CE-CCDA2EA33AF6}"/>
    <cellStyle name="Normal 2 2 4 5 2 2 3" xfId="46086" xr:uid="{28A8800A-AA9C-4EB9-893A-917C4F0D5467}"/>
    <cellStyle name="Normal 2 2 4 5 2 3" xfId="20947" xr:uid="{E867F314-82C0-490C-8730-E7E4AFEC48C0}"/>
    <cellStyle name="Normal 2 2 4 5 2 4" xfId="37706" xr:uid="{D71E9B69-5210-46DD-8F59-69B6CE661C1D}"/>
    <cellStyle name="Normal 2 2 4 5 3" xfId="5874" xr:uid="{D9E2FD8B-3C92-4BD9-811E-95CE2906B4CD}"/>
    <cellStyle name="Normal 2 2 4 5 3 2" xfId="14254" xr:uid="{3B7B27CA-7747-4823-BF12-414C182049CA}"/>
    <cellStyle name="Normal 2 2 4 5 3 2 2" xfId="31014" xr:uid="{24CE3AC4-129B-41AF-BEE2-8FF73FB7B31C}"/>
    <cellStyle name="Normal 2 2 4 5 3 2 3" xfId="47773" xr:uid="{A5779696-8DBB-405E-B61B-5A70E1E1A1FD}"/>
    <cellStyle name="Normal 2 2 4 5 3 3" xfId="22634" xr:uid="{5F5F8487-29A3-4601-91D5-F09CAB8A857C}"/>
    <cellStyle name="Normal 2 2 4 5 3 4" xfId="39393" xr:uid="{BE1204B3-5247-42AC-9C9B-89FABEF52273}"/>
    <cellStyle name="Normal 2 2 4 5 4" xfId="2610" xr:uid="{FC294046-0A0F-4BF6-809C-C219FBB84EDC}"/>
    <cellStyle name="Normal 2 2 4 5 4 2" xfId="10990" xr:uid="{DEB00532-503E-4983-BAB4-1598975115EC}"/>
    <cellStyle name="Normal 2 2 4 5 4 2 2" xfId="27750" xr:uid="{C868E347-5106-4AE1-B9D6-9D457AEB47F0}"/>
    <cellStyle name="Normal 2 2 4 5 4 2 3" xfId="44509" xr:uid="{C6A6DB40-4E88-477C-85BA-AAB5E92F7E66}"/>
    <cellStyle name="Normal 2 2 4 5 4 3" xfId="19370" xr:uid="{B0B575A7-925A-43A6-8ECB-ADAC89BB24EC}"/>
    <cellStyle name="Normal 2 2 4 5 4 4" xfId="36129" xr:uid="{D4E0AB8D-D539-4191-9E83-41D4D1692F98}"/>
    <cellStyle name="Normal 2 2 4 5 5" xfId="9187" xr:uid="{E0746EBC-3749-4BA4-98FA-C9A906343945}"/>
    <cellStyle name="Normal 2 2 4 5 5 2" xfId="25947" xr:uid="{97A670F6-D1DC-4417-8804-01CE171D387A}"/>
    <cellStyle name="Normal 2 2 4 5 5 3" xfId="42706" xr:uid="{0D102952-BD8B-4412-A044-4888E1689F35}"/>
    <cellStyle name="Normal 2 2 4 5 6" xfId="17567" xr:uid="{CFF14EDE-61B8-4F43-B3D6-0BDA0E5CD717}"/>
    <cellStyle name="Normal 2 2 4 5 7" xfId="34326" xr:uid="{80C0E4DB-90AC-43C8-BD71-3984E5662EA5}"/>
    <cellStyle name="Normal 2 2 4 6" xfId="1226" xr:uid="{EEF47E6B-AB07-4EE8-B178-C005586374C2}"/>
    <cellStyle name="Normal 2 2 4 6 2" xfId="4615" xr:uid="{E2AD826C-61CC-4E6B-A285-54D538E9977B}"/>
    <cellStyle name="Normal 2 2 4 6 2 2" xfId="12995" xr:uid="{9861FDAA-7FAF-4F31-8D83-C651A3D8BE53}"/>
    <cellStyle name="Normal 2 2 4 6 2 2 2" xfId="29755" xr:uid="{91EF3F7F-48B2-4A35-BF25-73E292BF1077}"/>
    <cellStyle name="Normal 2 2 4 6 2 2 3" xfId="46514" xr:uid="{85FA213A-60F9-4D0E-96FC-EFA68C2A6C23}"/>
    <cellStyle name="Normal 2 2 4 6 2 3" xfId="21375" xr:uid="{5F467E05-1E3B-4B03-BB1F-DEB2519BC677}"/>
    <cellStyle name="Normal 2 2 4 6 2 4" xfId="38134" xr:uid="{4D3054BA-7FE3-4527-9BC1-2C2314E7BDBD}"/>
    <cellStyle name="Normal 2 2 4 6 3" xfId="6302" xr:uid="{CD0094A7-B3D9-45BE-B86A-A78AC9C49D6C}"/>
    <cellStyle name="Normal 2 2 4 6 3 2" xfId="14682" xr:uid="{9905895F-6B04-455E-BCA0-FE6346EA6C32}"/>
    <cellStyle name="Normal 2 2 4 6 3 2 2" xfId="31442" xr:uid="{7A7B19AF-8654-4C94-B902-DD7CBBFCF8F8}"/>
    <cellStyle name="Normal 2 2 4 6 3 2 3" xfId="48201" xr:uid="{7AF97AB6-76EF-4F32-A69B-39A9C90D6F27}"/>
    <cellStyle name="Normal 2 2 4 6 3 3" xfId="23062" xr:uid="{B88E6A26-70E0-492F-9398-D2E9F3D3C0FA}"/>
    <cellStyle name="Normal 2 2 4 6 3 4" xfId="39821" xr:uid="{4E00F385-7617-4EE6-BCC7-ED60F9ED5B1A}"/>
    <cellStyle name="Normal 2 2 4 6 4" xfId="3038" xr:uid="{66ECD929-E71B-4048-B818-1709ACE667C9}"/>
    <cellStyle name="Normal 2 2 4 6 4 2" xfId="11418" xr:uid="{CC6B7782-7520-4B87-8099-4135C2F3FFC3}"/>
    <cellStyle name="Normal 2 2 4 6 4 2 2" xfId="28178" xr:uid="{1282255F-30E1-4F2E-A770-A04ED0B510E2}"/>
    <cellStyle name="Normal 2 2 4 6 4 2 3" xfId="44937" xr:uid="{8C19B473-29ED-412C-8529-7B3CD9D2C834}"/>
    <cellStyle name="Normal 2 2 4 6 4 3" xfId="19798" xr:uid="{D88B6DD9-4FED-42C1-A708-63FBE59CE16A}"/>
    <cellStyle name="Normal 2 2 4 6 4 4" xfId="36557" xr:uid="{1B2919CE-75E4-41E0-852A-C90A22A0AF81}"/>
    <cellStyle name="Normal 2 2 4 6 5" xfId="9615" xr:uid="{EEEBEE24-5615-4D51-9E9B-E53A0AD1C2D3}"/>
    <cellStyle name="Normal 2 2 4 6 5 2" xfId="26375" xr:uid="{DCB54ECB-6F04-4CA6-94C9-47407BDF5245}"/>
    <cellStyle name="Normal 2 2 4 6 5 3" xfId="43134" xr:uid="{C7DE1FA6-0D71-4F71-B94C-AA959AFBBDFD}"/>
    <cellStyle name="Normal 2 2 4 6 6" xfId="17995" xr:uid="{D154EB92-32CD-4AD1-AF9A-1F3E5DC0284A}"/>
    <cellStyle name="Normal 2 2 4 6 7" xfId="34754" xr:uid="{1D3F00ED-31E9-46D2-8D0F-B0A5CB0570E9}"/>
    <cellStyle name="Normal 2 2 4 7" xfId="1694" xr:uid="{8574469E-CF54-4778-A302-AAFEE9991337}"/>
    <cellStyle name="Normal 2 2 4 7 2" xfId="5083" xr:uid="{FFBC6A07-62C7-4772-819A-D36CCC1F20C9}"/>
    <cellStyle name="Normal 2 2 4 7 2 2" xfId="13463" xr:uid="{2130AC51-85F6-46DD-B7DD-7106254D9F56}"/>
    <cellStyle name="Normal 2 2 4 7 2 2 2" xfId="30223" xr:uid="{2C394363-BE37-4115-9289-D4FC0AFC550E}"/>
    <cellStyle name="Normal 2 2 4 7 2 2 3" xfId="46982" xr:uid="{4D336C87-E0B9-46A1-983A-F746CE042E53}"/>
    <cellStyle name="Normal 2 2 4 7 2 3" xfId="21843" xr:uid="{167B2B82-F280-440E-B5AF-7D551DB83467}"/>
    <cellStyle name="Normal 2 2 4 7 2 4" xfId="38602" xr:uid="{242BD15A-794C-4E4D-9071-D0B30505ABAF}"/>
    <cellStyle name="Normal 2 2 4 7 3" xfId="6770" xr:uid="{FF5B4D45-1739-480E-AE3E-59375242F2FD}"/>
    <cellStyle name="Normal 2 2 4 7 3 2" xfId="15150" xr:uid="{E16C3DE9-F744-4D6D-A510-59D3B929BB70}"/>
    <cellStyle name="Normal 2 2 4 7 3 2 2" xfId="31910" xr:uid="{129103EC-8BF6-413C-B0B4-1A2E113221CF}"/>
    <cellStyle name="Normal 2 2 4 7 3 2 3" xfId="48669" xr:uid="{E9A98E98-250B-4761-AD7B-B8390BD8E45A}"/>
    <cellStyle name="Normal 2 2 4 7 3 3" xfId="23530" xr:uid="{2DE8794E-17D5-4860-8E7D-73DAD0C81A60}"/>
    <cellStyle name="Normal 2 2 4 7 3 4" xfId="40289" xr:uid="{947DF2AA-C8CB-4115-B444-728C2A7F7388}"/>
    <cellStyle name="Normal 2 2 4 7 4" xfId="2177" xr:uid="{58DFD80D-127A-425C-A84C-CD8F69AC8944}"/>
    <cellStyle name="Normal 2 2 4 7 4 2" xfId="10564" xr:uid="{B37A7968-C82B-442F-9864-69AA72EB7539}"/>
    <cellStyle name="Normal 2 2 4 7 4 2 2" xfId="27324" xr:uid="{4342E153-8812-4AFE-8857-06829BF7CBEB}"/>
    <cellStyle name="Normal 2 2 4 7 4 2 3" xfId="44083" xr:uid="{46661683-0590-44E0-8F0D-F24E16929FD4}"/>
    <cellStyle name="Normal 2 2 4 7 4 3" xfId="18944" xr:uid="{5D642A28-39B9-4DE6-80EB-3BEC8AF03FFF}"/>
    <cellStyle name="Normal 2 2 4 7 4 4" xfId="35703" xr:uid="{1F03C7C0-1330-421D-AA4F-D1EA4E5BE828}"/>
    <cellStyle name="Normal 2 2 4 7 5" xfId="10083" xr:uid="{2AE5A58A-0E43-4537-81E2-BF8EE8BD940A}"/>
    <cellStyle name="Normal 2 2 4 7 5 2" xfId="26843" xr:uid="{0D5A90E3-2D63-45ED-8239-9A9CACC1F910}"/>
    <cellStyle name="Normal 2 2 4 7 5 3" xfId="43602" xr:uid="{6CA0A645-86C4-4E33-922B-C1DCBF2C7592}"/>
    <cellStyle name="Normal 2 2 4 7 6" xfId="18463" xr:uid="{E136E1EA-5424-49D3-B545-85DFD2B5C0AE}"/>
    <cellStyle name="Normal 2 2 4 7 7" xfId="35222" xr:uid="{A52539F8-4DB1-41F9-832A-0566201A1640}"/>
    <cellStyle name="Normal 2 2 4 8" xfId="3812" xr:uid="{D795C36A-C23B-40B3-B382-87B7C00A1326}"/>
    <cellStyle name="Normal 2 2 4 8 2" xfId="12192" xr:uid="{8D80F90E-6F93-4ABA-BEAF-B3B66BCE8AB1}"/>
    <cellStyle name="Normal 2 2 4 8 2 2" xfId="28952" xr:uid="{B932D83B-BE56-4F46-BA03-39133C7D0974}"/>
    <cellStyle name="Normal 2 2 4 8 2 3" xfId="45711" xr:uid="{C27BFB00-610B-4D75-BBB9-E8CD0710D3E0}"/>
    <cellStyle name="Normal 2 2 4 8 3" xfId="20572" xr:uid="{25CD22BC-45CF-4EE3-BF67-EFC5F010FB27}"/>
    <cellStyle name="Normal 2 2 4 8 4" xfId="37331" xr:uid="{EEE73AF0-C07F-4614-8F55-C9D7F5D8049F}"/>
    <cellStyle name="Normal 2 2 4 9" xfId="5448" xr:uid="{F4C8DBBE-C9DE-4682-860A-1F02BCECC672}"/>
    <cellStyle name="Normal 2 2 4 9 2" xfId="13828" xr:uid="{15997F55-D6DB-49EF-9F24-58C399114450}"/>
    <cellStyle name="Normal 2 2 4 9 2 2" xfId="30588" xr:uid="{C9055010-5819-481E-B526-0FCFC908CC8E}"/>
    <cellStyle name="Normal 2 2 4 9 2 3" xfId="47347" xr:uid="{7A73E642-F07D-4D15-843B-1F63E3254A68}"/>
    <cellStyle name="Normal 2 2 4 9 3" xfId="22208" xr:uid="{298D1081-983E-4969-BFF1-5E3FC530BD61}"/>
    <cellStyle name="Normal 2 2 4 9 4" xfId="38967" xr:uid="{4008CA6E-81EC-4D0F-9233-B5C872EC4C58}"/>
    <cellStyle name="Normal 2 2 5" xfId="337" xr:uid="{213D9805-8937-432A-8A97-1615BCAD9DCA}"/>
    <cellStyle name="Normal 2 2 5 10" xfId="7583" xr:uid="{0AFD2605-18B0-4FAA-BEF3-860C40627381}"/>
    <cellStyle name="Normal 2 2 5 10 2" xfId="15963" xr:uid="{64BECED4-8638-43F1-935C-5C686D701839}"/>
    <cellStyle name="Normal 2 2 5 10 2 2" xfId="32723" xr:uid="{D17C2435-5203-4925-BC5B-3520F5BF0FD9}"/>
    <cellStyle name="Normal 2 2 5 10 2 3" xfId="49482" xr:uid="{5C63BD97-1DD8-451D-B0B0-A66C220B56B5}"/>
    <cellStyle name="Normal 2 2 5 10 3" xfId="24343" xr:uid="{5D02DD4F-DFC3-4E4C-86FA-FF2224C92253}"/>
    <cellStyle name="Normal 2 2 5 10 4" xfId="41102" xr:uid="{6C20D7CE-510B-4B15-B95C-1BB0B1A25F3E}"/>
    <cellStyle name="Normal 2 2 5 11" xfId="7989" xr:uid="{0082F1E1-41DF-4005-A387-3027B857EC01}"/>
    <cellStyle name="Normal 2 2 5 11 2" xfId="16369" xr:uid="{DD37546A-3DB4-4014-A270-3FFB9F850DA9}"/>
    <cellStyle name="Normal 2 2 5 11 2 2" xfId="33129" xr:uid="{45450771-02D6-45F6-8C91-8C10A4244730}"/>
    <cellStyle name="Normal 2 2 5 11 2 3" xfId="49888" xr:uid="{FA4F0473-548C-4430-BB1B-978668DD7ED4}"/>
    <cellStyle name="Normal 2 2 5 11 3" xfId="24749" xr:uid="{B3B4D052-08D2-4402-A1A4-D270F6A9A13E}"/>
    <cellStyle name="Normal 2 2 5 11 4" xfId="41508" xr:uid="{5565F91D-D555-4CB6-9A51-AB519E3A594B}"/>
    <cellStyle name="Normal 2 2 5 12" xfId="8395" xr:uid="{C4664F78-23DE-425C-92CE-5125B182EEB5}"/>
    <cellStyle name="Normal 2 2 5 12 2" xfId="16775" xr:uid="{AC6EB7E4-05AE-4F31-BB21-3149CCA45224}"/>
    <cellStyle name="Normal 2 2 5 12 2 2" xfId="33535" xr:uid="{F8859BB9-B6B3-4D0E-B5E1-9A3F6D692C15}"/>
    <cellStyle name="Normal 2 2 5 12 2 3" xfId="50294" xr:uid="{5CDCE38B-17CE-4111-A023-968BBCE37812}"/>
    <cellStyle name="Normal 2 2 5 12 3" xfId="25155" xr:uid="{36B6D3AD-182B-47C5-9647-89840CA9B099}"/>
    <cellStyle name="Normal 2 2 5 12 4" xfId="41914" xr:uid="{557BA4A2-9313-46EA-B0ED-26EECC02182E}"/>
    <cellStyle name="Normal 2 2 5 13" xfId="2054" xr:uid="{CDD6F0E4-E57E-4F52-B105-43B1B0D387A9}"/>
    <cellStyle name="Normal 2 2 5 13 2" xfId="10442" xr:uid="{88D8BC06-8F79-49BF-BC79-0D694B1D8AD0}"/>
    <cellStyle name="Normal 2 2 5 13 2 2" xfId="27202" xr:uid="{025C6C54-1514-48D7-A975-CE716444CC7E}"/>
    <cellStyle name="Normal 2 2 5 13 2 3" xfId="43961" xr:uid="{DECF4C59-93AF-4E52-A5EB-CB0D1DA7679F}"/>
    <cellStyle name="Normal 2 2 5 13 3" xfId="18822" xr:uid="{3CAF67D1-71D5-4342-AFBD-F0753A3F813C}"/>
    <cellStyle name="Normal 2 2 5 13 4" xfId="35581" xr:uid="{CAAF13C4-2B00-44EB-AC16-36CE91CF5005}"/>
    <cellStyle name="Normal 2 2 5 14" xfId="8807" xr:uid="{9BAFA165-0C53-416A-887E-CBAD1A3A6CC8}"/>
    <cellStyle name="Normal 2 2 5 14 2" xfId="25567" xr:uid="{36637D67-413E-4FF8-9402-8EA2480B2CA0}"/>
    <cellStyle name="Normal 2 2 5 14 3" xfId="42326" xr:uid="{517BAD87-5261-4985-A768-30DE894BDBC9}"/>
    <cellStyle name="Normal 2 2 5 15" xfId="17187" xr:uid="{95A7BF2E-C717-4111-8A27-DD86F889CD20}"/>
    <cellStyle name="Normal 2 2 5 16" xfId="33946" xr:uid="{8E614DD9-C569-4019-8233-1A5D73FA427B}"/>
    <cellStyle name="Normal 2 2 5 17" xfId="50967" xr:uid="{71FCF492-888F-4CC4-8FA4-FA33B3F3C451}"/>
    <cellStyle name="Normal 2 2 5 18" xfId="51449" xr:uid="{E7D2C224-841C-4771-A07A-BC48C0A52C13}"/>
    <cellStyle name="Normal 2 2 5 19" xfId="51963" xr:uid="{95734658-B240-40AA-922C-D72465C39E58}"/>
    <cellStyle name="Normal 2 2 5 2" xfId="655" xr:uid="{15BE47E5-9562-4C2D-B2E1-5C3548D77B6F}"/>
    <cellStyle name="Normal 2 2 5 2 10" xfId="8551" xr:uid="{0B6330DA-4E90-42A6-A3BF-639E8F76B2F7}"/>
    <cellStyle name="Normal 2 2 5 2 10 2" xfId="16931" xr:uid="{F546E835-ED12-4D15-8028-A033AC49D067}"/>
    <cellStyle name="Normal 2 2 5 2 10 2 2" xfId="33691" xr:uid="{CB3418DE-B900-45D1-A02A-EA74F9120DF2}"/>
    <cellStyle name="Normal 2 2 5 2 10 2 3" xfId="50450" xr:uid="{BA918053-D38F-4AD1-B082-724D47B67BC7}"/>
    <cellStyle name="Normal 2 2 5 2 10 3" xfId="25311" xr:uid="{76C59EE3-32F7-47CD-B387-26E912F624D1}"/>
    <cellStyle name="Normal 2 2 5 2 10 4" xfId="42070" xr:uid="{4F433FD0-5B44-4187-939B-700D08CEC062}"/>
    <cellStyle name="Normal 2 2 5 2 11" xfId="2487" xr:uid="{DDF42517-D7C3-4603-9261-85E6E4B49F91}"/>
    <cellStyle name="Normal 2 2 5 2 11 2" xfId="10869" xr:uid="{D77841D2-763C-45A9-AB43-9246D8B83074}"/>
    <cellStyle name="Normal 2 2 5 2 11 2 2" xfId="27629" xr:uid="{866E8152-697D-40D7-8FC8-5EE4FA66803C}"/>
    <cellStyle name="Normal 2 2 5 2 11 2 3" xfId="44388" xr:uid="{BF0FDF03-7143-4A8F-AF49-A90AC2A61308}"/>
    <cellStyle name="Normal 2 2 5 2 11 3" xfId="19249" xr:uid="{20E09CC8-19FC-4AD5-BC0C-71B006E43AA8}"/>
    <cellStyle name="Normal 2 2 5 2 11 4" xfId="36008" xr:uid="{2DC2CD54-A5E5-4261-B678-59380B73224A}"/>
    <cellStyle name="Normal 2 2 5 2 12" xfId="9066" xr:uid="{022FA632-E843-47F7-A518-E167EB78B1C6}"/>
    <cellStyle name="Normal 2 2 5 2 12 2" xfId="25826" xr:uid="{A2114125-DFA9-48E1-B7CB-0CC3EEB3AA98}"/>
    <cellStyle name="Normal 2 2 5 2 12 3" xfId="42585" xr:uid="{2BC16351-E82E-41C5-BBAD-F431ECB60E53}"/>
    <cellStyle name="Normal 2 2 5 2 13" xfId="17446" xr:uid="{07330B4A-14EF-4FEE-9285-409B7F1BCE59}"/>
    <cellStyle name="Normal 2 2 5 2 14" xfId="34205" xr:uid="{C7E0AE58-9B63-4AF5-B48A-8C064475FCB2}"/>
    <cellStyle name="Normal 2 2 5 2 15" xfId="51211" xr:uid="{F3CB5621-7663-46BD-8D29-31AC3BA47A72}"/>
    <cellStyle name="Normal 2 2 5 2 16" xfId="51684" xr:uid="{1351225F-1AD2-4C7A-83C5-E0201E3248C6}"/>
    <cellStyle name="Normal 2 2 5 2 17" xfId="52160" xr:uid="{F49DB179-3C8B-48D7-A20B-975B1BC50A50}"/>
    <cellStyle name="Normal 2 2 5 2 2" xfId="1097" xr:uid="{5F586AA8-55BC-432B-B6FB-96971F96936C}"/>
    <cellStyle name="Normal 2 2 5 2 2 2" xfId="4492" xr:uid="{39439C2A-239A-4790-AAF7-1B4AC5F8750E}"/>
    <cellStyle name="Normal 2 2 5 2 2 2 2" xfId="12872" xr:uid="{49F13CC7-DDF6-42B6-AE8D-F9B2FCF9C462}"/>
    <cellStyle name="Normal 2 2 5 2 2 2 2 2" xfId="29632" xr:uid="{B855F6BD-42EA-46D0-B000-4A24CE375772}"/>
    <cellStyle name="Normal 2 2 5 2 2 2 2 3" xfId="46391" xr:uid="{AE372BE4-1761-4CA9-B97C-92CF488EA823}"/>
    <cellStyle name="Normal 2 2 5 2 2 2 3" xfId="21252" xr:uid="{2E6CE19C-DFD7-4281-95A0-3927BBB9FC93}"/>
    <cellStyle name="Normal 2 2 5 2 2 2 4" xfId="38011" xr:uid="{1535F5C3-2DB6-47D5-925F-1D1ACC10DCFF}"/>
    <cellStyle name="Normal 2 2 5 2 2 3" xfId="6179" xr:uid="{475FE51D-DC73-43D3-BB61-C3713BDE3AB9}"/>
    <cellStyle name="Normal 2 2 5 2 2 3 2" xfId="14559" xr:uid="{05581E53-A8DD-4C70-BF0A-2251719FAD61}"/>
    <cellStyle name="Normal 2 2 5 2 2 3 2 2" xfId="31319" xr:uid="{CDB130CA-511A-45FF-936E-0EFADCC4BCE7}"/>
    <cellStyle name="Normal 2 2 5 2 2 3 2 3" xfId="48078" xr:uid="{3DACCE0E-361C-4B53-BA22-4D10FC817781}"/>
    <cellStyle name="Normal 2 2 5 2 2 3 3" xfId="22939" xr:uid="{975ACB3C-A18A-491D-B45D-D95BBFCAA323}"/>
    <cellStyle name="Normal 2 2 5 2 2 3 4" xfId="39698" xr:uid="{F279DF7A-2F5D-4789-8019-52E1D1CB48A3}"/>
    <cellStyle name="Normal 2 2 5 2 2 4" xfId="2915" xr:uid="{1F031FB9-3AB4-4C3D-81FF-D6843CDE4A72}"/>
    <cellStyle name="Normal 2 2 5 2 2 4 2" xfId="11295" xr:uid="{28F7500B-C812-402F-A271-0F27910C49DF}"/>
    <cellStyle name="Normal 2 2 5 2 2 4 2 2" xfId="28055" xr:uid="{35BDB118-7943-4468-93EA-A8345F003885}"/>
    <cellStyle name="Normal 2 2 5 2 2 4 2 3" xfId="44814" xr:uid="{58590887-21A7-4D80-8EB7-EAFCA3565E76}"/>
    <cellStyle name="Normal 2 2 5 2 2 4 3" xfId="19675" xr:uid="{697CD7DA-EAFA-4553-A514-B0617639E586}"/>
    <cellStyle name="Normal 2 2 5 2 2 4 4" xfId="36434" xr:uid="{5E41B640-86CD-4E87-B300-621BC7431212}"/>
    <cellStyle name="Normal 2 2 5 2 2 5" xfId="9492" xr:uid="{E2CA0681-2F7A-4DDB-9D2E-477A44A7D958}"/>
    <cellStyle name="Normal 2 2 5 2 2 5 2" xfId="26252" xr:uid="{B5A01CAF-34BC-4A39-9047-C2B54E37A556}"/>
    <cellStyle name="Normal 2 2 5 2 2 5 3" xfId="43011" xr:uid="{A0AB0E60-02D4-43D4-AEEA-D3992E9A304F}"/>
    <cellStyle name="Normal 2 2 5 2 2 6" xfId="17872" xr:uid="{6CD0BC48-37F6-4885-9CED-FBCC662F78FD}"/>
    <cellStyle name="Normal 2 2 5 2 2 7" xfId="34631" xr:uid="{19A55BA3-E676-4FF1-BF87-2AFC85C23408}"/>
    <cellStyle name="Normal 2 2 5 2 3" xfId="1531" xr:uid="{96F6E3CA-D87D-46A3-ABAC-598288FD7B92}"/>
    <cellStyle name="Normal 2 2 5 2 3 2" xfId="4920" xr:uid="{9440A4ED-B97E-4DCE-8559-C1FFB89B0F6E}"/>
    <cellStyle name="Normal 2 2 5 2 3 2 2" xfId="13300" xr:uid="{7F5AA640-980F-4F76-B158-6ADC22AB58B6}"/>
    <cellStyle name="Normal 2 2 5 2 3 2 2 2" xfId="30060" xr:uid="{371E2634-0B97-4D10-895D-6759B4B419CF}"/>
    <cellStyle name="Normal 2 2 5 2 3 2 2 3" xfId="46819" xr:uid="{E8975001-A0C1-4A08-9B31-0CE7B1A0455E}"/>
    <cellStyle name="Normal 2 2 5 2 3 2 3" xfId="21680" xr:uid="{E17DAC3A-FD43-4FD5-B93E-7229427EBBBE}"/>
    <cellStyle name="Normal 2 2 5 2 3 2 4" xfId="38439" xr:uid="{35556F70-D3A2-4670-8483-65F2A3AEA68B}"/>
    <cellStyle name="Normal 2 2 5 2 3 3" xfId="6607" xr:uid="{3851511D-176A-4BC4-8CA8-68A1DD9C7154}"/>
    <cellStyle name="Normal 2 2 5 2 3 3 2" xfId="14987" xr:uid="{DF996D81-8272-4CBA-9A2C-310DC0E146B1}"/>
    <cellStyle name="Normal 2 2 5 2 3 3 2 2" xfId="31747" xr:uid="{1819155D-2DAD-4018-8857-32BEB9D21D34}"/>
    <cellStyle name="Normal 2 2 5 2 3 3 2 3" xfId="48506" xr:uid="{5B40EF4B-56A2-4FEF-9A14-B869A7E6CA9C}"/>
    <cellStyle name="Normal 2 2 5 2 3 3 3" xfId="23367" xr:uid="{71FED419-F053-4357-A819-F1EDBC4EE662}"/>
    <cellStyle name="Normal 2 2 5 2 3 3 4" xfId="40126" xr:uid="{8D4DE598-E190-4E14-98E5-776BA6E61426}"/>
    <cellStyle name="Normal 2 2 5 2 3 4" xfId="3343" xr:uid="{2E7A05D9-2079-423F-B7B4-BDF270D29DAB}"/>
    <cellStyle name="Normal 2 2 5 2 3 4 2" xfId="11723" xr:uid="{A60C118F-C92E-48D5-878A-B8F7F3C1D551}"/>
    <cellStyle name="Normal 2 2 5 2 3 4 2 2" xfId="28483" xr:uid="{DDD837FF-0A2D-4DDB-BAEF-40F3680FA3D5}"/>
    <cellStyle name="Normal 2 2 5 2 3 4 2 3" xfId="45242" xr:uid="{012AE20C-A311-42FC-96B4-8B88CBF7A13A}"/>
    <cellStyle name="Normal 2 2 5 2 3 4 3" xfId="20103" xr:uid="{E67E5A09-EBCD-4EBE-80EA-9A459EA4BC58}"/>
    <cellStyle name="Normal 2 2 5 2 3 4 4" xfId="36862" xr:uid="{27D6DE7B-425A-43B9-85F3-3074955746DB}"/>
    <cellStyle name="Normal 2 2 5 2 3 5" xfId="9920" xr:uid="{FB11F062-E4D4-4B23-A909-D76EA5E82A42}"/>
    <cellStyle name="Normal 2 2 5 2 3 5 2" xfId="26680" xr:uid="{BECB2908-1424-4B00-94B5-2AEACE69E0CE}"/>
    <cellStyle name="Normal 2 2 5 2 3 5 3" xfId="43439" xr:uid="{1DBFED87-7B33-47FD-9A0C-2AC769814BC6}"/>
    <cellStyle name="Normal 2 2 5 2 3 6" xfId="18300" xr:uid="{B42F37C2-A1D6-425E-A108-E3649A292280}"/>
    <cellStyle name="Normal 2 2 5 2 3 7" xfId="35059" xr:uid="{7387E55F-2C5E-48FF-893E-4A9DD5AE7621}"/>
    <cellStyle name="Normal 2 2 5 2 4" xfId="1851" xr:uid="{FC5D963A-3F9C-4594-AB5B-EC5DD655A49E}"/>
    <cellStyle name="Normal 2 2 5 2 4 2" xfId="5240" xr:uid="{47B305A9-0428-4D24-99F8-E448E3969775}"/>
    <cellStyle name="Normal 2 2 5 2 4 2 2" xfId="13620" xr:uid="{B2943364-B30E-4A43-A13E-2D91FBEAE8FB}"/>
    <cellStyle name="Normal 2 2 5 2 4 2 2 2" xfId="30380" xr:uid="{F4EAE876-EAED-4DB9-B33D-B366013AD461}"/>
    <cellStyle name="Normal 2 2 5 2 4 2 2 3" xfId="47139" xr:uid="{F61CDAFD-F6AD-40B5-AE10-40C44C00EDC9}"/>
    <cellStyle name="Normal 2 2 5 2 4 2 3" xfId="22000" xr:uid="{F819DDE6-E64F-4B48-920B-B331B94DA228}"/>
    <cellStyle name="Normal 2 2 5 2 4 2 4" xfId="38759" xr:uid="{E723A0A6-5712-4D40-B234-A82482BF51D1}"/>
    <cellStyle name="Normal 2 2 5 2 4 3" xfId="6927" xr:uid="{E3E7D8E1-5901-43E6-B803-59C0A5FFA1D0}"/>
    <cellStyle name="Normal 2 2 5 2 4 3 2" xfId="15307" xr:uid="{808A574A-9575-4E37-AE12-54AC2B58D8FC}"/>
    <cellStyle name="Normal 2 2 5 2 4 3 2 2" xfId="32067" xr:uid="{FCD838AA-BCAF-4B88-AE12-C2C729528F5D}"/>
    <cellStyle name="Normal 2 2 5 2 4 3 2 3" xfId="48826" xr:uid="{9F97EF4E-6594-4AEA-B316-739AD3062E73}"/>
    <cellStyle name="Normal 2 2 5 2 4 3 3" xfId="23687" xr:uid="{DE81A633-6D01-4A48-BAFF-688E250D53F3}"/>
    <cellStyle name="Normal 2 2 5 2 4 3 4" xfId="40446" xr:uid="{0A372BC3-C353-473B-ADB0-515ACE855F38}"/>
    <cellStyle name="Normal 2 2 5 2 4 4" xfId="3551" xr:uid="{AF032E8C-A8F9-4AB3-BDC7-A43B154CB06C}"/>
    <cellStyle name="Normal 2 2 5 2 4 4 2" xfId="11931" xr:uid="{07819E21-EAA3-400D-9D1B-23660556BAC5}"/>
    <cellStyle name="Normal 2 2 5 2 4 4 2 2" xfId="28691" xr:uid="{C429372E-6527-4DD2-8549-C3EB9114A786}"/>
    <cellStyle name="Normal 2 2 5 2 4 4 2 3" xfId="45450" xr:uid="{090493B3-37C1-465F-A4A0-6378E7251703}"/>
    <cellStyle name="Normal 2 2 5 2 4 4 3" xfId="20311" xr:uid="{2CF9E8FC-FD31-403A-B125-4553B9DB3838}"/>
    <cellStyle name="Normal 2 2 5 2 4 4 4" xfId="37070" xr:uid="{7EFD1E0B-63E9-4696-9295-9D6097874420}"/>
    <cellStyle name="Normal 2 2 5 2 4 5" xfId="10240" xr:uid="{CF8E9585-DB80-45AE-8323-3316A2A58C41}"/>
    <cellStyle name="Normal 2 2 5 2 4 5 2" xfId="27000" xr:uid="{E7CD95ED-53A7-48BD-9C80-2116F65A7028}"/>
    <cellStyle name="Normal 2 2 5 2 4 5 3" xfId="43759" xr:uid="{D57F29CF-00F1-40C5-97DB-FADA56700018}"/>
    <cellStyle name="Normal 2 2 5 2 4 6" xfId="18620" xr:uid="{323A6FD1-3AFA-44B6-A0CE-1AEC930CBBC8}"/>
    <cellStyle name="Normal 2 2 5 2 4 7" xfId="35379" xr:uid="{FE0272DD-67D7-4481-98D7-39D5F776E00A}"/>
    <cellStyle name="Normal 2 2 5 2 5" xfId="3970" xr:uid="{A8FD16B5-03C2-45C4-BF18-42AC3F79B8E0}"/>
    <cellStyle name="Normal 2 2 5 2 5 2" xfId="12350" xr:uid="{B0DC02F8-2006-4F60-8A2B-1F061EC87EC3}"/>
    <cellStyle name="Normal 2 2 5 2 5 2 2" xfId="29110" xr:uid="{E7E859D4-D658-41EB-91B2-CD54DF716D86}"/>
    <cellStyle name="Normal 2 2 5 2 5 2 3" xfId="45869" xr:uid="{FB001AD6-55A1-41CF-AD1B-E3F690691E5C}"/>
    <cellStyle name="Normal 2 2 5 2 5 3" xfId="20730" xr:uid="{7DAB9BA4-DB6C-4099-BB53-AC8330C527EE}"/>
    <cellStyle name="Normal 2 2 5 2 5 4" xfId="37489" xr:uid="{6DD2F044-32EA-4DCD-9B51-83E75C40AB0B}"/>
    <cellStyle name="Normal 2 2 5 2 6" xfId="5753" xr:uid="{BFC10D0D-75E0-4938-B197-07D7078A0661}"/>
    <cellStyle name="Normal 2 2 5 2 6 2" xfId="14133" xr:uid="{7DEA4B2E-1F6C-41B0-A0F0-6E493A115EA4}"/>
    <cellStyle name="Normal 2 2 5 2 6 2 2" xfId="30893" xr:uid="{C9975FF5-635A-4534-9168-F7CB2529D758}"/>
    <cellStyle name="Normal 2 2 5 2 6 2 3" xfId="47652" xr:uid="{8E449046-1ADA-42E9-B68A-3A6491891524}"/>
    <cellStyle name="Normal 2 2 5 2 6 3" xfId="22513" xr:uid="{66A93B04-513F-4218-9B2C-55BCCB118D7E}"/>
    <cellStyle name="Normal 2 2 5 2 6 4" xfId="39272" xr:uid="{51969077-1A45-4700-B787-50653CBBE718}"/>
    <cellStyle name="Normal 2 2 5 2 7" xfId="7333" xr:uid="{ACF51329-3BEC-4E56-896A-1D520E48CCF9}"/>
    <cellStyle name="Normal 2 2 5 2 7 2" xfId="15713" xr:uid="{7817EC34-D467-4098-8847-5289105A4E13}"/>
    <cellStyle name="Normal 2 2 5 2 7 2 2" xfId="32473" xr:uid="{54CBABD3-3C35-4E54-8288-E4AE74E59DE7}"/>
    <cellStyle name="Normal 2 2 5 2 7 2 3" xfId="49232" xr:uid="{71C76A08-249B-42C4-B9D1-26749B1CBEC9}"/>
    <cellStyle name="Normal 2 2 5 2 7 3" xfId="24093" xr:uid="{9EE41FEA-C4C9-4EDB-A4A9-264066369CEE}"/>
    <cellStyle name="Normal 2 2 5 2 7 4" xfId="40852" xr:uid="{432D0265-48B5-45C6-893F-57FB778CE7CB}"/>
    <cellStyle name="Normal 2 2 5 2 8" xfId="7739" xr:uid="{527970A9-F6AB-4141-9730-DDFED9E37CF2}"/>
    <cellStyle name="Normal 2 2 5 2 8 2" xfId="16119" xr:uid="{7A097532-1236-46B1-8BCD-3FAA4B58799C}"/>
    <cellStyle name="Normal 2 2 5 2 8 2 2" xfId="32879" xr:uid="{B6A83C04-3ADB-441B-8A78-32215AC1D1CA}"/>
    <cellStyle name="Normal 2 2 5 2 8 2 3" xfId="49638" xr:uid="{59709E66-AE8A-443A-8E56-56846EAA7463}"/>
    <cellStyle name="Normal 2 2 5 2 8 3" xfId="24499" xr:uid="{AC0F8E41-9B74-4E4F-94AA-7C99820DA25B}"/>
    <cellStyle name="Normal 2 2 5 2 8 4" xfId="41258" xr:uid="{93DAA471-8EF4-42B6-B92F-B36299C070F3}"/>
    <cellStyle name="Normal 2 2 5 2 9" xfId="8145" xr:uid="{77978345-42F3-483E-9100-E0382358620B}"/>
    <cellStyle name="Normal 2 2 5 2 9 2" xfId="16525" xr:uid="{F28BBD22-0FEC-408B-ADF0-C899D53D9D2C}"/>
    <cellStyle name="Normal 2 2 5 2 9 2 2" xfId="33285" xr:uid="{6DEC04C2-6543-4C0A-A3FE-F110DE9ADE38}"/>
    <cellStyle name="Normal 2 2 5 2 9 2 3" xfId="50044" xr:uid="{2D8B4260-42AD-41D3-A5FD-CFFABBAC2C9F}"/>
    <cellStyle name="Normal 2 2 5 2 9 3" xfId="24905" xr:uid="{D3AFF930-336D-4400-AA61-A6FC4360A9BE}"/>
    <cellStyle name="Normal 2 2 5 2 9 4" xfId="41664" xr:uid="{A9DF9F0D-06B0-4E4E-BF56-42FF4AEE8F7C}"/>
    <cellStyle name="Normal 2 2 5 3" xfId="656" xr:uid="{03D8B9D2-F2AB-4E42-8825-42A62B0B810B}"/>
    <cellStyle name="Normal 2 2 5 3 10" xfId="8666" xr:uid="{599C3DDE-1257-4C43-8A4C-958B27C1F901}"/>
    <cellStyle name="Normal 2 2 5 3 10 2" xfId="17046" xr:uid="{C0FEEAF1-738A-47CC-912C-51440A635B41}"/>
    <cellStyle name="Normal 2 2 5 3 10 2 2" xfId="33806" xr:uid="{490A0B9A-527E-4F78-8F23-44976BAE99E3}"/>
    <cellStyle name="Normal 2 2 5 3 10 2 3" xfId="50565" xr:uid="{507A18A0-3532-4868-A1FE-ACCA9FDD25FB}"/>
    <cellStyle name="Normal 2 2 5 3 10 3" xfId="25426" xr:uid="{593AF690-A4B3-4FC8-BADD-9AA6FF2FBB35}"/>
    <cellStyle name="Normal 2 2 5 3 10 4" xfId="42185" xr:uid="{6C8F44CE-FFFB-44FC-96B7-1DE2D10F219C}"/>
    <cellStyle name="Normal 2 2 5 3 11" xfId="2488" xr:uid="{A0B44F39-2CC0-417C-8F9A-DA0152AB1900}"/>
    <cellStyle name="Normal 2 2 5 3 11 2" xfId="10870" xr:uid="{E5AA4098-6A37-4D27-ADD8-89E4FCEDA069}"/>
    <cellStyle name="Normal 2 2 5 3 11 2 2" xfId="27630" xr:uid="{EA0809F7-9DCB-42DF-AD38-B173CB18E050}"/>
    <cellStyle name="Normal 2 2 5 3 11 2 3" xfId="44389" xr:uid="{39C165C2-BC95-4AE2-9F41-D260F22E3860}"/>
    <cellStyle name="Normal 2 2 5 3 11 3" xfId="19250" xr:uid="{DA7A2123-4BAE-4917-9726-CC224030E178}"/>
    <cellStyle name="Normal 2 2 5 3 11 4" xfId="36009" xr:uid="{B08B1465-CD61-4030-8D6A-72FAE2F7B250}"/>
    <cellStyle name="Normal 2 2 5 3 12" xfId="9067" xr:uid="{91F68149-D4AD-4271-A3F2-81A47A44DBF5}"/>
    <cellStyle name="Normal 2 2 5 3 12 2" xfId="25827" xr:uid="{B5663B4B-D034-4FFE-88CB-895B44769E5F}"/>
    <cellStyle name="Normal 2 2 5 3 12 3" xfId="42586" xr:uid="{2183376B-E369-4BA8-B558-5B6DF16BBB6B}"/>
    <cellStyle name="Normal 2 2 5 3 13" xfId="17447" xr:uid="{EC9CD5D7-ABF2-4547-B45A-CFAF6025E2D7}"/>
    <cellStyle name="Normal 2 2 5 3 14" xfId="34206" xr:uid="{A2DFD33A-3E0E-47BF-9DEF-82A5D73CFDF3}"/>
    <cellStyle name="Normal 2 2 5 3 2" xfId="1098" xr:uid="{7793B513-FA87-4C3D-8AF4-536B23F5EAE2}"/>
    <cellStyle name="Normal 2 2 5 3 2 2" xfId="4493" xr:uid="{08876405-07AB-41C2-AFB1-64EEEA45987A}"/>
    <cellStyle name="Normal 2 2 5 3 2 2 2" xfId="12873" xr:uid="{DA77168C-2142-4499-A55F-68CC3C16FCA7}"/>
    <cellStyle name="Normal 2 2 5 3 2 2 2 2" xfId="29633" xr:uid="{1CCBC52B-6361-4EEB-95BD-7CA70B905C65}"/>
    <cellStyle name="Normal 2 2 5 3 2 2 2 3" xfId="46392" xr:uid="{2C0E64DC-BA68-410E-A6D3-21D17C349017}"/>
    <cellStyle name="Normal 2 2 5 3 2 2 3" xfId="21253" xr:uid="{0C662A4C-BAFE-4B45-8038-DECCA57A31FA}"/>
    <cellStyle name="Normal 2 2 5 3 2 2 4" xfId="38012" xr:uid="{5AC238BE-C57D-405B-87A0-AB8D7F7F2B9F}"/>
    <cellStyle name="Normal 2 2 5 3 2 3" xfId="6180" xr:uid="{2E9B8F31-80A1-48E5-80A9-B68BF9B2AB57}"/>
    <cellStyle name="Normal 2 2 5 3 2 3 2" xfId="14560" xr:uid="{B5E9113E-412D-4323-9812-35DD8D9D8AD9}"/>
    <cellStyle name="Normal 2 2 5 3 2 3 2 2" xfId="31320" xr:uid="{7CD1EAE8-4067-4504-9524-9075686A4CB6}"/>
    <cellStyle name="Normal 2 2 5 3 2 3 2 3" xfId="48079" xr:uid="{0F902513-15FF-4527-878A-FCC0554DF4D7}"/>
    <cellStyle name="Normal 2 2 5 3 2 3 3" xfId="22940" xr:uid="{1F8D5E7C-5706-496C-9C40-9DA961D884B5}"/>
    <cellStyle name="Normal 2 2 5 3 2 3 4" xfId="39699" xr:uid="{7E52E25F-0438-49DD-8327-AB261DE92D7C}"/>
    <cellStyle name="Normal 2 2 5 3 2 4" xfId="2916" xr:uid="{FA254A93-B397-4BD8-9DCB-1C9C556E91BB}"/>
    <cellStyle name="Normal 2 2 5 3 2 4 2" xfId="11296" xr:uid="{229BDDC9-33B3-4AEA-B0E9-848100B405CD}"/>
    <cellStyle name="Normal 2 2 5 3 2 4 2 2" xfId="28056" xr:uid="{5CDF8F00-CEDD-4C5E-96B4-CE10DAA04665}"/>
    <cellStyle name="Normal 2 2 5 3 2 4 2 3" xfId="44815" xr:uid="{7EB0DDE7-6FE7-4491-862B-6EFBF749A6C1}"/>
    <cellStyle name="Normal 2 2 5 3 2 4 3" xfId="19676" xr:uid="{333F52A5-BF02-405C-834F-9E8DDEE3B53F}"/>
    <cellStyle name="Normal 2 2 5 3 2 4 4" xfId="36435" xr:uid="{71F78664-F528-4684-B81A-79399F3D1DB9}"/>
    <cellStyle name="Normal 2 2 5 3 2 5" xfId="9493" xr:uid="{0924E691-CB33-4BD8-9DA5-D0EAB929F4DE}"/>
    <cellStyle name="Normal 2 2 5 3 2 5 2" xfId="26253" xr:uid="{D0D0766B-8CB1-4418-B89F-055D18434AD8}"/>
    <cellStyle name="Normal 2 2 5 3 2 5 3" xfId="43012" xr:uid="{FCEA9AA1-1061-4194-9106-1861C2760A9F}"/>
    <cellStyle name="Normal 2 2 5 3 2 6" xfId="17873" xr:uid="{97C6B00A-3DFA-4503-A6B2-86A13F4A66C8}"/>
    <cellStyle name="Normal 2 2 5 3 2 7" xfId="34632" xr:uid="{55709EE5-E6BE-4AA3-96A1-BF5A9F68C788}"/>
    <cellStyle name="Normal 2 2 5 3 3" xfId="1532" xr:uid="{ED83ABB1-022C-40F1-BE05-1B4AF720E514}"/>
    <cellStyle name="Normal 2 2 5 3 3 2" xfId="4921" xr:uid="{FE56AF8F-8523-4129-A88F-07E3EE4F3078}"/>
    <cellStyle name="Normal 2 2 5 3 3 2 2" xfId="13301" xr:uid="{287752AE-D123-4A82-A9F8-D17A9971E588}"/>
    <cellStyle name="Normal 2 2 5 3 3 2 2 2" xfId="30061" xr:uid="{DBD48C7A-2594-4BC8-88A0-15925DAC7C68}"/>
    <cellStyle name="Normal 2 2 5 3 3 2 2 3" xfId="46820" xr:uid="{A84D74D2-8DDD-4B3D-A562-7A4F603928F0}"/>
    <cellStyle name="Normal 2 2 5 3 3 2 3" xfId="21681" xr:uid="{CD9600FE-2907-44EC-9530-B58D071CCFDC}"/>
    <cellStyle name="Normal 2 2 5 3 3 2 4" xfId="38440" xr:uid="{157FA48E-31B3-46F5-8D2A-2D05C5FBF0E4}"/>
    <cellStyle name="Normal 2 2 5 3 3 3" xfId="6608" xr:uid="{DBB802A1-0FF4-41A0-A123-BFB2C8D51C20}"/>
    <cellStyle name="Normal 2 2 5 3 3 3 2" xfId="14988" xr:uid="{6E00248C-79F7-4285-AB36-32CE2F548652}"/>
    <cellStyle name="Normal 2 2 5 3 3 3 2 2" xfId="31748" xr:uid="{05DD9921-56C3-4CBF-A64C-9C150E426846}"/>
    <cellStyle name="Normal 2 2 5 3 3 3 2 3" xfId="48507" xr:uid="{CA073E85-445C-4244-9BD6-28F4A247BF81}"/>
    <cellStyle name="Normal 2 2 5 3 3 3 3" xfId="23368" xr:uid="{1504EBAC-51EE-423E-BE77-B6F6270F34A5}"/>
    <cellStyle name="Normal 2 2 5 3 3 3 4" xfId="40127" xr:uid="{A2A3DD58-424B-430B-ACDB-7C0EA30A148A}"/>
    <cellStyle name="Normal 2 2 5 3 3 4" xfId="3344" xr:uid="{8D8E775E-6210-4BDB-A98C-B323331AE2AA}"/>
    <cellStyle name="Normal 2 2 5 3 3 4 2" xfId="11724" xr:uid="{4AE6ED16-7FCE-4C1F-9013-2F53AB11FB63}"/>
    <cellStyle name="Normal 2 2 5 3 3 4 2 2" xfId="28484" xr:uid="{177DC169-C789-4C23-AE0C-6B239677CD29}"/>
    <cellStyle name="Normal 2 2 5 3 3 4 2 3" xfId="45243" xr:uid="{60C1EC5D-77DB-41A3-8D24-6790E3B29213}"/>
    <cellStyle name="Normal 2 2 5 3 3 4 3" xfId="20104" xr:uid="{552B5A9D-2AAC-4A25-B992-67AD3B9586B2}"/>
    <cellStyle name="Normal 2 2 5 3 3 4 4" xfId="36863" xr:uid="{5529A0BF-2C05-41BC-BC76-40D421755870}"/>
    <cellStyle name="Normal 2 2 5 3 3 5" xfId="9921" xr:uid="{B7DDAD93-C674-4C05-AEBF-A9352B2697FE}"/>
    <cellStyle name="Normal 2 2 5 3 3 5 2" xfId="26681" xr:uid="{1BE78B23-A6B2-447F-9E84-C33D4972ADA3}"/>
    <cellStyle name="Normal 2 2 5 3 3 5 3" xfId="43440" xr:uid="{232725F2-69BE-46D9-BDA8-507215B5777F}"/>
    <cellStyle name="Normal 2 2 5 3 3 6" xfId="18301" xr:uid="{475A7327-CB07-47DF-93AE-DCB414CCCF03}"/>
    <cellStyle name="Normal 2 2 5 3 3 7" xfId="35060" xr:uid="{4AD64722-28BF-4014-9B16-5768CD989612}"/>
    <cellStyle name="Normal 2 2 5 3 4" xfId="1966" xr:uid="{75BB2E85-A488-4AE8-9F3E-0A09292ED483}"/>
    <cellStyle name="Normal 2 2 5 3 4 2" xfId="5355" xr:uid="{56D1AEE9-3432-480B-8B7D-BB5800D94561}"/>
    <cellStyle name="Normal 2 2 5 3 4 2 2" xfId="13735" xr:uid="{188558A1-F3F9-47B5-83E1-2595DB89899B}"/>
    <cellStyle name="Normal 2 2 5 3 4 2 2 2" xfId="30495" xr:uid="{F877ED86-A643-44AA-8A01-EBB6DD66785C}"/>
    <cellStyle name="Normal 2 2 5 3 4 2 2 3" xfId="47254" xr:uid="{05CC5A80-8E2E-4C3F-9249-96FCF1512EEE}"/>
    <cellStyle name="Normal 2 2 5 3 4 2 3" xfId="22115" xr:uid="{C5CDF9D1-AFD4-41DE-8ABC-5383B4447A44}"/>
    <cellStyle name="Normal 2 2 5 3 4 2 4" xfId="38874" xr:uid="{1292424E-6404-4763-B3AD-8B1AF27D198B}"/>
    <cellStyle name="Normal 2 2 5 3 4 3" xfId="7042" xr:uid="{1700CB4B-5987-49FD-A50C-32F6AA18AB69}"/>
    <cellStyle name="Normal 2 2 5 3 4 3 2" xfId="15422" xr:uid="{F8B9D060-3F5C-4EF8-AFA6-31543651FD86}"/>
    <cellStyle name="Normal 2 2 5 3 4 3 2 2" xfId="32182" xr:uid="{93EB37B6-3F33-49E0-B6C2-CA4021F34683}"/>
    <cellStyle name="Normal 2 2 5 3 4 3 2 3" xfId="48941" xr:uid="{BFD0147A-7632-4210-A93A-43375409F07F}"/>
    <cellStyle name="Normal 2 2 5 3 4 3 3" xfId="23802" xr:uid="{B07A990F-E754-45B8-9632-29E61F6ECEB6}"/>
    <cellStyle name="Normal 2 2 5 3 4 3 4" xfId="40561" xr:uid="{1D1F3DC3-D44B-44BD-BE41-2DB6167EEF1B}"/>
    <cellStyle name="Normal 2 2 5 3 4 4" xfId="3665" xr:uid="{0AB64498-E677-4986-B318-16400D05E21A}"/>
    <cellStyle name="Normal 2 2 5 3 4 4 2" xfId="12045" xr:uid="{FAB5EA7B-0953-4487-BFD1-52598C732F0D}"/>
    <cellStyle name="Normal 2 2 5 3 4 4 2 2" xfId="28805" xr:uid="{E873EE05-728B-43EC-ABB6-720043727534}"/>
    <cellStyle name="Normal 2 2 5 3 4 4 2 3" xfId="45564" xr:uid="{5C36F011-7854-4AD6-927D-BD2D0B59C8E5}"/>
    <cellStyle name="Normal 2 2 5 3 4 4 3" xfId="20425" xr:uid="{A633AE19-8D3A-4076-B45B-EA5CDEC92016}"/>
    <cellStyle name="Normal 2 2 5 3 4 4 4" xfId="37184" xr:uid="{1E85AA5F-2056-41A9-8FA1-D3488E062956}"/>
    <cellStyle name="Normal 2 2 5 3 4 5" xfId="10355" xr:uid="{E3224AD7-BD48-4F9F-8C66-648A6C8A4F2C}"/>
    <cellStyle name="Normal 2 2 5 3 4 5 2" xfId="27115" xr:uid="{8C1E7561-EB72-4B9F-A7A1-A6BCE0EBBD71}"/>
    <cellStyle name="Normal 2 2 5 3 4 5 3" xfId="43874" xr:uid="{909671A3-F9FA-4653-9431-5FDCAADF3057}"/>
    <cellStyle name="Normal 2 2 5 3 4 6" xfId="18735" xr:uid="{DAAF722B-8B11-4DA7-A013-7BCA42A7BDEA}"/>
    <cellStyle name="Normal 2 2 5 3 4 7" xfId="35494" xr:uid="{876DF409-28FE-471C-B518-C65FF0E9916C}"/>
    <cellStyle name="Normal 2 2 5 3 5" xfId="4085" xr:uid="{E3DFDAAA-23D2-401F-A715-FF4A316B2542}"/>
    <cellStyle name="Normal 2 2 5 3 5 2" xfId="12465" xr:uid="{D64A8AB6-32F9-4191-B1BF-04CB5B7FEEE9}"/>
    <cellStyle name="Normal 2 2 5 3 5 2 2" xfId="29225" xr:uid="{814EEAFF-8C9E-4246-9230-8A2F9C5FEDC5}"/>
    <cellStyle name="Normal 2 2 5 3 5 2 3" xfId="45984" xr:uid="{8116971E-16E2-4CE9-AD4A-4A2B396DC943}"/>
    <cellStyle name="Normal 2 2 5 3 5 3" xfId="20845" xr:uid="{48654CC4-07CB-4D8A-9ACD-DD48A6BF56F1}"/>
    <cellStyle name="Normal 2 2 5 3 5 4" xfId="37604" xr:uid="{6E8551FA-CEA8-4DEE-8A14-68FCC21B4DC5}"/>
    <cellStyle name="Normal 2 2 5 3 6" xfId="5754" xr:uid="{17A0A132-BE08-4720-8296-4A92FADDC868}"/>
    <cellStyle name="Normal 2 2 5 3 6 2" xfId="14134" xr:uid="{6D8C80AA-C303-4706-BB7D-3FFB33F3B75D}"/>
    <cellStyle name="Normal 2 2 5 3 6 2 2" xfId="30894" xr:uid="{8CC19744-5C52-4709-ACDA-F666F86E4B38}"/>
    <cellStyle name="Normal 2 2 5 3 6 2 3" xfId="47653" xr:uid="{7883D73F-1E48-4587-AB84-A9D5554997AA}"/>
    <cellStyle name="Normal 2 2 5 3 6 3" xfId="22514" xr:uid="{13B9C6A8-6695-4CD2-AB99-35A378FCA48B}"/>
    <cellStyle name="Normal 2 2 5 3 6 4" xfId="39273" xr:uid="{0133B9EA-B677-4D00-8579-A7194F8573D8}"/>
    <cellStyle name="Normal 2 2 5 3 7" xfId="7448" xr:uid="{678C0EEE-832B-4066-8B7D-34673D7773C7}"/>
    <cellStyle name="Normal 2 2 5 3 7 2" xfId="15828" xr:uid="{75605863-5F67-4EF1-8E5A-7AA690E2AC40}"/>
    <cellStyle name="Normal 2 2 5 3 7 2 2" xfId="32588" xr:uid="{E41EA414-6975-4C88-9A45-F44B51C2D7B1}"/>
    <cellStyle name="Normal 2 2 5 3 7 2 3" xfId="49347" xr:uid="{E408F952-FD32-4111-858E-94D1110B3B55}"/>
    <cellStyle name="Normal 2 2 5 3 7 3" xfId="24208" xr:uid="{387FDB81-93C9-4D61-9AB8-7A0F97ED92F3}"/>
    <cellStyle name="Normal 2 2 5 3 7 4" xfId="40967" xr:uid="{94A6A02D-3E5B-4058-B844-DC1B5C355308}"/>
    <cellStyle name="Normal 2 2 5 3 8" xfId="7854" xr:uid="{013D7A06-0E50-4404-B16A-969895B8456E}"/>
    <cellStyle name="Normal 2 2 5 3 8 2" xfId="16234" xr:uid="{DD41A702-BC34-4B5E-9A6F-8C8A09B641F0}"/>
    <cellStyle name="Normal 2 2 5 3 8 2 2" xfId="32994" xr:uid="{F5AFFDD7-408B-447A-9F36-EDA1B062190D}"/>
    <cellStyle name="Normal 2 2 5 3 8 2 3" xfId="49753" xr:uid="{CC7507EE-BDDA-423E-874A-0A44345AC834}"/>
    <cellStyle name="Normal 2 2 5 3 8 3" xfId="24614" xr:uid="{4D48A17C-4219-45B7-BB84-190D1D21A04F}"/>
    <cellStyle name="Normal 2 2 5 3 8 4" xfId="41373" xr:uid="{C35714CA-EFF2-45FF-9BDE-C8A5E3F463CF}"/>
    <cellStyle name="Normal 2 2 5 3 9" xfId="8260" xr:uid="{ACF38A9D-DFB5-404C-97BD-621CC881B08C}"/>
    <cellStyle name="Normal 2 2 5 3 9 2" xfId="16640" xr:uid="{5F23CE7D-D7FD-4D3F-AF71-D85A6BF91CEE}"/>
    <cellStyle name="Normal 2 2 5 3 9 2 2" xfId="33400" xr:uid="{8AF83CB3-68DD-4F50-BA62-C35503D4BC22}"/>
    <cellStyle name="Normal 2 2 5 3 9 2 3" xfId="50159" xr:uid="{1AA4BCA5-22F7-4C8B-ACBC-52742E77FCDF}"/>
    <cellStyle name="Normal 2 2 5 3 9 3" xfId="25020" xr:uid="{96512C30-4138-4BF1-9540-E4FEC29F2B4E}"/>
    <cellStyle name="Normal 2 2 5 3 9 4" xfId="41779" xr:uid="{6C808879-1BE2-4804-96C7-A1E3CD3F1B67}"/>
    <cellStyle name="Normal 2 2 5 4" xfId="838" xr:uid="{E6EC4F3E-6627-4F86-8445-4AE7D098DF6C}"/>
    <cellStyle name="Normal 2 2 5 4 2" xfId="4233" xr:uid="{6DD2B47E-3831-4A1E-81A1-C9FF45A7C4F2}"/>
    <cellStyle name="Normal 2 2 5 4 2 2" xfId="12613" xr:uid="{0E7E7434-84D5-47ED-846A-8F53B0CFC5C7}"/>
    <cellStyle name="Normal 2 2 5 4 2 2 2" xfId="29373" xr:uid="{607222D7-36EB-4517-BF19-F4580B7194DB}"/>
    <cellStyle name="Normal 2 2 5 4 2 2 3" xfId="46132" xr:uid="{7B0539FC-443F-42C0-8FEA-3E6B89EA7FA5}"/>
    <cellStyle name="Normal 2 2 5 4 2 3" xfId="20993" xr:uid="{FFAB0878-0C84-4E28-A716-D66ACEE57FB1}"/>
    <cellStyle name="Normal 2 2 5 4 2 4" xfId="37752" xr:uid="{E72BE4FF-F7AF-4C79-AA27-CFD893F7C073}"/>
    <cellStyle name="Normal 2 2 5 4 3" xfId="5920" xr:uid="{FF40D506-F980-4143-8158-FAD0D92595A2}"/>
    <cellStyle name="Normal 2 2 5 4 3 2" xfId="14300" xr:uid="{5379422F-948C-429C-AAE5-5988F35420C9}"/>
    <cellStyle name="Normal 2 2 5 4 3 2 2" xfId="31060" xr:uid="{416B99A0-409E-4980-A586-2681FEF51061}"/>
    <cellStyle name="Normal 2 2 5 4 3 2 3" xfId="47819" xr:uid="{670FB4FB-DB59-4470-8A40-2573D26F6DA0}"/>
    <cellStyle name="Normal 2 2 5 4 3 3" xfId="22680" xr:uid="{36F6833B-ECB3-4B3D-9780-4F76C7DAED06}"/>
    <cellStyle name="Normal 2 2 5 4 3 4" xfId="39439" xr:uid="{4EBA1000-BA9C-4045-BBE5-EC6F245C5395}"/>
    <cellStyle name="Normal 2 2 5 4 4" xfId="2656" xr:uid="{551E01B2-0531-445F-8A48-99A03370EF6C}"/>
    <cellStyle name="Normal 2 2 5 4 4 2" xfId="11036" xr:uid="{FAAFA6CA-BEB3-431D-A337-87E07AD48F90}"/>
    <cellStyle name="Normal 2 2 5 4 4 2 2" xfId="27796" xr:uid="{5B43DF09-A78D-45C0-9179-0E5DBEF39DDB}"/>
    <cellStyle name="Normal 2 2 5 4 4 2 3" xfId="44555" xr:uid="{68874203-585C-447A-AD79-8E9365766D0A}"/>
    <cellStyle name="Normal 2 2 5 4 4 3" xfId="19416" xr:uid="{485E83A5-294A-47BD-AB41-D94EE5561771}"/>
    <cellStyle name="Normal 2 2 5 4 4 4" xfId="36175" xr:uid="{A614162D-0150-4EEF-9DB6-0DCE3880F79E}"/>
    <cellStyle name="Normal 2 2 5 4 5" xfId="9233" xr:uid="{A6E19A21-E7CB-40D3-99E9-E8BA4A23160F}"/>
    <cellStyle name="Normal 2 2 5 4 5 2" xfId="25993" xr:uid="{5827FB7D-706E-4364-B31C-F85BEC34988A}"/>
    <cellStyle name="Normal 2 2 5 4 5 3" xfId="42752" xr:uid="{1B735A97-1EF9-4F52-823C-56287FDA627E}"/>
    <cellStyle name="Normal 2 2 5 4 6" xfId="17613" xr:uid="{98B10B3B-87A7-4A0E-9ED7-BB22A3A8F285}"/>
    <cellStyle name="Normal 2 2 5 4 7" xfId="34372" xr:uid="{1F9E8613-CF88-42C5-9850-5A48841117B2}"/>
    <cellStyle name="Normal 2 2 5 5" xfId="1272" xr:uid="{1E0F48E8-11E4-4CBB-8D53-7EF470031BD0}"/>
    <cellStyle name="Normal 2 2 5 5 2" xfId="4661" xr:uid="{4AD53AA7-0A9A-4FBF-987B-CF69DA05C36C}"/>
    <cellStyle name="Normal 2 2 5 5 2 2" xfId="13041" xr:uid="{92F4A718-4287-42B6-84EB-2A2F033FAC89}"/>
    <cellStyle name="Normal 2 2 5 5 2 2 2" xfId="29801" xr:uid="{EBA90879-1820-408F-A1FB-88821DF15A35}"/>
    <cellStyle name="Normal 2 2 5 5 2 2 3" xfId="46560" xr:uid="{70432760-EDBB-4EEC-8F66-7F9477662C49}"/>
    <cellStyle name="Normal 2 2 5 5 2 3" xfId="21421" xr:uid="{7DAA9013-9E70-4857-9BCC-9A7D1505A4A8}"/>
    <cellStyle name="Normal 2 2 5 5 2 4" xfId="38180" xr:uid="{84B79A0B-170A-40E1-86A9-3D981382A1E0}"/>
    <cellStyle name="Normal 2 2 5 5 3" xfId="6348" xr:uid="{D7B2E1B3-6B0C-4450-B7DA-22488A5AB558}"/>
    <cellStyle name="Normal 2 2 5 5 3 2" xfId="14728" xr:uid="{80AFA89A-5AF5-4257-9A5C-CB81FBF9846E}"/>
    <cellStyle name="Normal 2 2 5 5 3 2 2" xfId="31488" xr:uid="{C42BC7B8-C004-47F6-A180-0D5CD9EAF336}"/>
    <cellStyle name="Normal 2 2 5 5 3 2 3" xfId="48247" xr:uid="{F7E22DBF-691B-435D-939C-1BFAD1AE3977}"/>
    <cellStyle name="Normal 2 2 5 5 3 3" xfId="23108" xr:uid="{9D6151E4-FEE8-475E-B9F6-156CFC1497A5}"/>
    <cellStyle name="Normal 2 2 5 5 3 4" xfId="39867" xr:uid="{7FD4B563-15D8-4CC3-B517-3C79A000A88C}"/>
    <cellStyle name="Normal 2 2 5 5 4" xfId="3084" xr:uid="{A880A4B1-FAF7-4ADF-AAA0-007BE3780B09}"/>
    <cellStyle name="Normal 2 2 5 5 4 2" xfId="11464" xr:uid="{DCC31A0A-CBD1-4E3C-A090-005BBD408C89}"/>
    <cellStyle name="Normal 2 2 5 5 4 2 2" xfId="28224" xr:uid="{709E11E5-2768-4655-B06C-528CAFC95FDD}"/>
    <cellStyle name="Normal 2 2 5 5 4 2 3" xfId="44983" xr:uid="{EBE4A2CE-CEFA-43FC-9352-894B67A72E8C}"/>
    <cellStyle name="Normal 2 2 5 5 4 3" xfId="19844" xr:uid="{4835B330-7923-413C-B0C0-B681A6E87C7F}"/>
    <cellStyle name="Normal 2 2 5 5 4 4" xfId="36603" xr:uid="{760B4271-5CF1-4BE3-B394-68E00CDB7D59}"/>
    <cellStyle name="Normal 2 2 5 5 5" xfId="9661" xr:uid="{7B96812F-B3F9-42F1-9283-DEA2B202AB13}"/>
    <cellStyle name="Normal 2 2 5 5 5 2" xfId="26421" xr:uid="{76C37E83-F2F6-4EAE-9425-7B3B8D4B3033}"/>
    <cellStyle name="Normal 2 2 5 5 5 3" xfId="43180" xr:uid="{754C4B40-0236-4B9F-AFF3-EB93DCA53CA3}"/>
    <cellStyle name="Normal 2 2 5 5 6" xfId="18041" xr:uid="{2BF6523D-C4FD-4BBF-8E88-A96D5485466E}"/>
    <cellStyle name="Normal 2 2 5 5 7" xfId="34800" xr:uid="{9287870C-E6E6-4A08-96A4-0CD63E347D85}"/>
    <cellStyle name="Normal 2 2 5 6" xfId="1695" xr:uid="{4BCA3B90-005C-4737-908F-AE2C8B234FA0}"/>
    <cellStyle name="Normal 2 2 5 6 2" xfId="5084" xr:uid="{E72F8FF8-D459-4E6E-BDDE-89A47C4DDED0}"/>
    <cellStyle name="Normal 2 2 5 6 2 2" xfId="13464" xr:uid="{39C80B24-4FD6-4CBD-A1E6-FD9F174F2132}"/>
    <cellStyle name="Normal 2 2 5 6 2 2 2" xfId="30224" xr:uid="{9371B7BA-DA1B-461D-B6FC-BA02ABD9689E}"/>
    <cellStyle name="Normal 2 2 5 6 2 2 3" xfId="46983" xr:uid="{C75371F3-289A-4107-8E81-D5A334051330}"/>
    <cellStyle name="Normal 2 2 5 6 2 3" xfId="21844" xr:uid="{D7AE0C3F-E194-4D48-AE9D-5160493BB1D7}"/>
    <cellStyle name="Normal 2 2 5 6 2 4" xfId="38603" xr:uid="{EFC90117-A9B5-4D75-AC68-681AF7FE9216}"/>
    <cellStyle name="Normal 2 2 5 6 3" xfId="6771" xr:uid="{882B622F-6FEB-4C8E-8A38-8A8923E8F270}"/>
    <cellStyle name="Normal 2 2 5 6 3 2" xfId="15151" xr:uid="{B18F5E74-AF0E-4349-AB16-8305CC511716}"/>
    <cellStyle name="Normal 2 2 5 6 3 2 2" xfId="31911" xr:uid="{4415BADD-C655-4607-9D2C-80CD1824810C}"/>
    <cellStyle name="Normal 2 2 5 6 3 2 3" xfId="48670" xr:uid="{A89936F6-65D6-4F48-88AD-936B9E1BEEBD}"/>
    <cellStyle name="Normal 2 2 5 6 3 3" xfId="23531" xr:uid="{A909229D-3ED1-40A9-80E4-D5C90033597A}"/>
    <cellStyle name="Normal 2 2 5 6 3 4" xfId="40290" xr:uid="{1B70A0DC-E3F8-4722-82CC-5F280E13B301}"/>
    <cellStyle name="Normal 2 2 5 6 4" xfId="2226" xr:uid="{27EFCB1B-8922-4F98-BF36-C3F6D31D9C0F}"/>
    <cellStyle name="Normal 2 2 5 6 4 2" xfId="10610" xr:uid="{5B3F8383-9488-495E-B13F-6AC6F51838E7}"/>
    <cellStyle name="Normal 2 2 5 6 4 2 2" xfId="27370" xr:uid="{7F07763B-F368-4001-9E37-109FDA8E61B3}"/>
    <cellStyle name="Normal 2 2 5 6 4 2 3" xfId="44129" xr:uid="{090E4751-2EC8-449B-A949-8175EABA6C8E}"/>
    <cellStyle name="Normal 2 2 5 6 4 3" xfId="18990" xr:uid="{502BFBDD-9405-43A5-9186-761A79614275}"/>
    <cellStyle name="Normal 2 2 5 6 4 4" xfId="35749" xr:uid="{5DB38C8F-3432-4409-B983-30893C775661}"/>
    <cellStyle name="Normal 2 2 5 6 5" xfId="10084" xr:uid="{397C7E37-F158-4FEA-AA91-A5F7B2F2705F}"/>
    <cellStyle name="Normal 2 2 5 6 5 2" xfId="26844" xr:uid="{59028C6F-5B61-48A9-AA54-3230F650FE7A}"/>
    <cellStyle name="Normal 2 2 5 6 5 3" xfId="43603" xr:uid="{E50514C1-08AE-4A8B-933F-45F69F3AA789}"/>
    <cellStyle name="Normal 2 2 5 6 6" xfId="18464" xr:uid="{BB7C034C-594E-4BCD-8389-35EAB5C8A174}"/>
    <cellStyle name="Normal 2 2 5 6 7" xfId="35223" xr:uid="{31A6FCDB-4C71-40C6-B7BF-F4AFAF523A80}"/>
    <cellStyle name="Normal 2 2 5 7" xfId="3813" xr:uid="{90895FEF-D869-4963-80EA-2C595DF07383}"/>
    <cellStyle name="Normal 2 2 5 7 2" xfId="12193" xr:uid="{B3C04F25-6A84-4753-A4DB-0C67989EBEC9}"/>
    <cellStyle name="Normal 2 2 5 7 2 2" xfId="28953" xr:uid="{97D1A528-0341-4D0B-AFFF-CDBA8C3601F4}"/>
    <cellStyle name="Normal 2 2 5 7 2 3" xfId="45712" xr:uid="{E9792CC1-BEA6-44F3-B7F7-FB8E42E7F20C}"/>
    <cellStyle name="Normal 2 2 5 7 3" xfId="20573" xr:uid="{AE07DF4A-550C-4968-ADDF-A3F35D17DDA4}"/>
    <cellStyle name="Normal 2 2 5 7 4" xfId="37332" xr:uid="{C1114BA2-D616-4614-B95B-ED11DCF4DC58}"/>
    <cellStyle name="Normal 2 2 5 8" xfId="5494" xr:uid="{9A28B4B0-CC51-4DDB-BB36-55435D8732AD}"/>
    <cellStyle name="Normal 2 2 5 8 2" xfId="13874" xr:uid="{D8A54798-AE36-44D1-9423-F3A7593A5734}"/>
    <cellStyle name="Normal 2 2 5 8 2 2" xfId="30634" xr:uid="{13E41774-7092-4E7B-9471-D69B894C59B6}"/>
    <cellStyle name="Normal 2 2 5 8 2 3" xfId="47393" xr:uid="{324E53E0-EBF9-4A5B-B0EE-AAC85C07373A}"/>
    <cellStyle name="Normal 2 2 5 8 3" xfId="22254" xr:uid="{9B1AA5AD-AEAC-4926-8015-745EB0205DFF}"/>
    <cellStyle name="Normal 2 2 5 8 4" xfId="39013" xr:uid="{F9259C83-5219-45D9-A878-7A721688A759}"/>
    <cellStyle name="Normal 2 2 5 9" xfId="7177" xr:uid="{C25ED1E5-1A32-4D8D-8E54-7631E7DF1D55}"/>
    <cellStyle name="Normal 2 2 5 9 2" xfId="15557" xr:uid="{963DB1F7-8726-41A0-B1DE-807A5698E014}"/>
    <cellStyle name="Normal 2 2 5 9 2 2" xfId="32317" xr:uid="{1206A6A8-05DA-48E9-BF49-EA31D0271480}"/>
    <cellStyle name="Normal 2 2 5 9 2 3" xfId="49076" xr:uid="{77564CC0-70E7-432A-AC5E-5D47CCA48F1B}"/>
    <cellStyle name="Normal 2 2 5 9 3" xfId="23937" xr:uid="{E7CD9FF0-2C90-42D1-8506-295E88162420}"/>
    <cellStyle name="Normal 2 2 5 9 4" xfId="40696" xr:uid="{0AFF9285-ACBC-4A99-9AD3-9ED0FBE8BC38}"/>
    <cellStyle name="Normal 2 2 6" xfId="319" xr:uid="{0DF5F50A-360C-40DB-8FEA-7291E1D97242}"/>
    <cellStyle name="Normal 2 2 6 10" xfId="2073" xr:uid="{E64AD294-14B8-45C3-BAB2-DEB17CBBAB37}"/>
    <cellStyle name="Normal 2 2 6 10 2" xfId="10461" xr:uid="{47E48A73-C088-4D98-93EE-FDC96E364507}"/>
    <cellStyle name="Normal 2 2 6 10 2 2" xfId="27221" xr:uid="{C59D90C1-2A5D-4A7D-AFC0-27583DF9391A}"/>
    <cellStyle name="Normal 2 2 6 10 2 3" xfId="43980" xr:uid="{6826F29B-20C3-4C80-BA28-47FA85BD3D3F}"/>
    <cellStyle name="Normal 2 2 6 10 3" xfId="18841" xr:uid="{CEEE6588-9F71-4A81-AF23-635AD49F3670}"/>
    <cellStyle name="Normal 2 2 6 10 4" xfId="35600" xr:uid="{AB1D67B0-5498-42D3-9BF8-C179EBFE402F}"/>
    <cellStyle name="Normal 2 2 6 2" xfId="657" xr:uid="{013A8E51-8479-44C9-9422-298072E193B5}"/>
    <cellStyle name="Normal 2 2 6 2 10" xfId="8552" xr:uid="{AA39B858-33CD-4CF1-B0B9-95467DC25D9D}"/>
    <cellStyle name="Normal 2 2 6 2 10 2" xfId="16932" xr:uid="{5B23BDFC-E210-436C-BEB2-86CD51E8760F}"/>
    <cellStyle name="Normal 2 2 6 2 10 2 2" xfId="33692" xr:uid="{E78057DB-C44B-45AA-AFA5-8AB45104BFBC}"/>
    <cellStyle name="Normal 2 2 6 2 10 2 3" xfId="50451" xr:uid="{A255EDA0-DD81-4267-94FE-9AA2F71BE176}"/>
    <cellStyle name="Normal 2 2 6 2 10 3" xfId="25312" xr:uid="{D0963F9D-FB56-485F-9F4B-D8840BF9DD8C}"/>
    <cellStyle name="Normal 2 2 6 2 10 4" xfId="42071" xr:uid="{61193815-EFDC-4BB3-8114-6DA1DC7A98D2}"/>
    <cellStyle name="Normal 2 2 6 2 11" xfId="2489" xr:uid="{0566DFBD-355C-4B32-BFB2-525EBCBFA98C}"/>
    <cellStyle name="Normal 2 2 6 2 11 2" xfId="10871" xr:uid="{02C1A4C5-6EDF-450D-9498-961EE209A537}"/>
    <cellStyle name="Normal 2 2 6 2 11 2 2" xfId="27631" xr:uid="{F3BB36FC-4342-4F94-A5DB-4158E5DEB4F3}"/>
    <cellStyle name="Normal 2 2 6 2 11 2 3" xfId="44390" xr:uid="{EE04781E-62DB-4EFE-8922-D73A3788C9EB}"/>
    <cellStyle name="Normal 2 2 6 2 11 3" xfId="19251" xr:uid="{F926BE43-1928-4943-9517-5495644923EE}"/>
    <cellStyle name="Normal 2 2 6 2 11 4" xfId="36010" xr:uid="{1406A01F-7527-4520-9FCE-26918B256E97}"/>
    <cellStyle name="Normal 2 2 6 2 12" xfId="9068" xr:uid="{7798801D-985A-4A24-814E-CC30867E05F8}"/>
    <cellStyle name="Normal 2 2 6 2 12 2" xfId="25828" xr:uid="{574B9EAF-C8A2-4CBE-B86E-AA96F7320E29}"/>
    <cellStyle name="Normal 2 2 6 2 12 3" xfId="42587" xr:uid="{D227BB07-9F03-4388-B3B8-5C6A5D8109EC}"/>
    <cellStyle name="Normal 2 2 6 2 13" xfId="17448" xr:uid="{5C483495-FFAB-43F5-8990-FAF4B1EEEF19}"/>
    <cellStyle name="Normal 2 2 6 2 14" xfId="34207" xr:uid="{E2B139B0-3F41-4137-BF39-9F6500355295}"/>
    <cellStyle name="Normal 2 2 6 2 2" xfId="1099" xr:uid="{7B46DA70-67A6-48E2-9AEE-D47C14DD58E7}"/>
    <cellStyle name="Normal 2 2 6 2 2 2" xfId="4494" xr:uid="{374E72EC-EAE4-427D-B1D6-6F3B1DA0E761}"/>
    <cellStyle name="Normal 2 2 6 2 2 2 2" xfId="12874" xr:uid="{0AC1C08C-B939-4A52-9A31-E5A53147B9AE}"/>
    <cellStyle name="Normal 2 2 6 2 2 2 2 2" xfId="29634" xr:uid="{C1293F37-A26B-4FBB-A448-E2FF29965037}"/>
    <cellStyle name="Normal 2 2 6 2 2 2 2 3" xfId="46393" xr:uid="{137C184C-CAF2-416B-9E50-25BC1BE6B33A}"/>
    <cellStyle name="Normal 2 2 6 2 2 2 3" xfId="21254" xr:uid="{FF9CD2FF-20A2-4A15-A431-529B80218DA6}"/>
    <cellStyle name="Normal 2 2 6 2 2 2 4" xfId="38013" xr:uid="{655A7616-40AE-46B3-B56A-FAAC6E937838}"/>
    <cellStyle name="Normal 2 2 6 2 2 3" xfId="6181" xr:uid="{06300751-1968-4FA3-8A15-61C84047665A}"/>
    <cellStyle name="Normal 2 2 6 2 2 3 2" xfId="14561" xr:uid="{A3406F57-C26E-41E2-B964-ED2223204F9C}"/>
    <cellStyle name="Normal 2 2 6 2 2 3 2 2" xfId="31321" xr:uid="{1569A5C0-FB18-492D-8BE2-8C5977E33D4D}"/>
    <cellStyle name="Normal 2 2 6 2 2 3 2 3" xfId="48080" xr:uid="{EA5B24B1-859F-4856-819D-E78F4D9DE2F9}"/>
    <cellStyle name="Normal 2 2 6 2 2 3 3" xfId="22941" xr:uid="{65C9BACA-E4F1-4E7F-BE39-75E9014F563E}"/>
    <cellStyle name="Normal 2 2 6 2 2 3 4" xfId="39700" xr:uid="{266AAE79-E544-406F-AE24-FA60303BA121}"/>
    <cellStyle name="Normal 2 2 6 2 2 4" xfId="2917" xr:uid="{C7AE314B-D790-4AA9-A5CC-4DA66AE3C175}"/>
    <cellStyle name="Normal 2 2 6 2 2 4 2" xfId="11297" xr:uid="{590DC1F5-9973-45B0-8113-0E1801D364BC}"/>
    <cellStyle name="Normal 2 2 6 2 2 4 2 2" xfId="28057" xr:uid="{5E520543-E59E-4A37-A2AA-418388B76086}"/>
    <cellStyle name="Normal 2 2 6 2 2 4 2 3" xfId="44816" xr:uid="{81537A76-F33D-4E38-85B3-D686CE653671}"/>
    <cellStyle name="Normal 2 2 6 2 2 4 3" xfId="19677" xr:uid="{92CB672E-7411-4DD0-8310-9C76304D673A}"/>
    <cellStyle name="Normal 2 2 6 2 2 4 4" xfId="36436" xr:uid="{476E084C-17F8-482B-A1FA-0856A92E010A}"/>
    <cellStyle name="Normal 2 2 6 2 2 5" xfId="9494" xr:uid="{2B9D2F92-8FF5-48FC-92F5-4088838EDDFC}"/>
    <cellStyle name="Normal 2 2 6 2 2 5 2" xfId="26254" xr:uid="{A2CB5FDE-5118-4CE3-9CF9-E94DDE4DA80C}"/>
    <cellStyle name="Normal 2 2 6 2 2 5 3" xfId="43013" xr:uid="{D004BB48-D43E-4B45-9E97-A08342297191}"/>
    <cellStyle name="Normal 2 2 6 2 2 6" xfId="17874" xr:uid="{5D5A012C-310C-4E47-923E-E165CA306451}"/>
    <cellStyle name="Normal 2 2 6 2 2 7" xfId="34633" xr:uid="{ACF74E1F-DA31-43E1-A583-DA35D12FB7CB}"/>
    <cellStyle name="Normal 2 2 6 2 3" xfId="1533" xr:uid="{24A26C88-E749-45F1-BAA7-1DC6FBB36C5D}"/>
    <cellStyle name="Normal 2 2 6 2 3 2" xfId="4922" xr:uid="{4B74A529-8A04-427C-BD8B-D35702FC1586}"/>
    <cellStyle name="Normal 2 2 6 2 3 2 2" xfId="13302" xr:uid="{4DCB3372-A1B6-4D0C-9B76-9FFA49D67C54}"/>
    <cellStyle name="Normal 2 2 6 2 3 2 2 2" xfId="30062" xr:uid="{31A3C774-3026-4AC1-8678-1D1B76C9B973}"/>
    <cellStyle name="Normal 2 2 6 2 3 2 2 3" xfId="46821" xr:uid="{169309F3-8679-427D-BC87-DA62EB8F793E}"/>
    <cellStyle name="Normal 2 2 6 2 3 2 3" xfId="21682" xr:uid="{2EE4C162-9696-4605-B7F5-6F83D142B6CB}"/>
    <cellStyle name="Normal 2 2 6 2 3 2 4" xfId="38441" xr:uid="{7B851B65-BA0B-4CAD-9CE9-F2952F7CA912}"/>
    <cellStyle name="Normal 2 2 6 2 3 3" xfId="6609" xr:uid="{1A949C6A-4601-4978-BE54-AB91D93CB813}"/>
    <cellStyle name="Normal 2 2 6 2 3 3 2" xfId="14989" xr:uid="{9694F327-010A-4CFA-91E6-3E5CDBBC323F}"/>
    <cellStyle name="Normal 2 2 6 2 3 3 2 2" xfId="31749" xr:uid="{725B1109-E4F7-4326-82EE-4C28887B69C5}"/>
    <cellStyle name="Normal 2 2 6 2 3 3 2 3" xfId="48508" xr:uid="{CCFE68A9-57EC-4070-AB59-833ABCA98939}"/>
    <cellStyle name="Normal 2 2 6 2 3 3 3" xfId="23369" xr:uid="{8120AE8C-F08E-4A30-B013-99F42DB5C20B}"/>
    <cellStyle name="Normal 2 2 6 2 3 3 4" xfId="40128" xr:uid="{16A248D0-1BB8-4213-8C4D-400DB9B75A1F}"/>
    <cellStyle name="Normal 2 2 6 2 3 4" xfId="3345" xr:uid="{0830F1A4-B6AC-4ADC-A26C-6B683DFE33E2}"/>
    <cellStyle name="Normal 2 2 6 2 3 4 2" xfId="11725" xr:uid="{826D9A9B-0C89-4CA8-B27F-53BB6B08459C}"/>
    <cellStyle name="Normal 2 2 6 2 3 4 2 2" xfId="28485" xr:uid="{B0B239B7-61EA-43B0-903A-44ABD0575976}"/>
    <cellStyle name="Normal 2 2 6 2 3 4 2 3" xfId="45244" xr:uid="{ADFD9A54-A365-4C06-AC10-3663DE5D4188}"/>
    <cellStyle name="Normal 2 2 6 2 3 4 3" xfId="20105" xr:uid="{8D47AE6D-FD39-4855-BB8E-5D04264A90B3}"/>
    <cellStyle name="Normal 2 2 6 2 3 4 4" xfId="36864" xr:uid="{40C68EA2-FD8E-4798-8CF1-C79947626FFF}"/>
    <cellStyle name="Normal 2 2 6 2 3 5" xfId="9922" xr:uid="{D9E51F07-B017-458D-9C49-A542B98CF5BF}"/>
    <cellStyle name="Normal 2 2 6 2 3 5 2" xfId="26682" xr:uid="{A667904F-2D13-469E-A054-633D6A350CF0}"/>
    <cellStyle name="Normal 2 2 6 2 3 5 3" xfId="43441" xr:uid="{B95448EC-E74A-42ED-B09F-25AA3A0ED280}"/>
    <cellStyle name="Normal 2 2 6 2 3 6" xfId="18302" xr:uid="{F2B38F55-A3F7-4A7B-9951-53BA085D6CD3}"/>
    <cellStyle name="Normal 2 2 6 2 3 7" xfId="35061" xr:uid="{B3F1F5B5-35FF-4965-9622-DF08FC708635}"/>
    <cellStyle name="Normal 2 2 6 2 4" xfId="1852" xr:uid="{989639C7-66B7-4D53-B42C-F2E0CD36A42A}"/>
    <cellStyle name="Normal 2 2 6 2 4 2" xfId="5241" xr:uid="{F4369BA6-0202-4DBA-B5AF-C64C867101E9}"/>
    <cellStyle name="Normal 2 2 6 2 4 2 2" xfId="13621" xr:uid="{C03067C5-BC64-461C-9132-A00C84D0ECD9}"/>
    <cellStyle name="Normal 2 2 6 2 4 2 2 2" xfId="30381" xr:uid="{59A22524-5E4F-40FE-A9A5-8CB6EFA61DBB}"/>
    <cellStyle name="Normal 2 2 6 2 4 2 2 3" xfId="47140" xr:uid="{6C947D3A-DFE8-47DD-B6D7-BA8FAA315E84}"/>
    <cellStyle name="Normal 2 2 6 2 4 2 3" xfId="22001" xr:uid="{92C7AEBB-FC77-498A-B176-74E4A71DCB0F}"/>
    <cellStyle name="Normal 2 2 6 2 4 2 4" xfId="38760" xr:uid="{F4B7AA5E-5260-4F14-A440-5E7BDDFA7CEC}"/>
    <cellStyle name="Normal 2 2 6 2 4 3" xfId="6928" xr:uid="{3B43DC3F-8D6A-43BE-A055-D7C1867E1030}"/>
    <cellStyle name="Normal 2 2 6 2 4 3 2" xfId="15308" xr:uid="{0F27AFBD-424B-4F77-8E1D-2B3EB5C7A69C}"/>
    <cellStyle name="Normal 2 2 6 2 4 3 2 2" xfId="32068" xr:uid="{EBBCCE53-23C0-4D16-A7D8-4688AFB9229B}"/>
    <cellStyle name="Normal 2 2 6 2 4 3 2 3" xfId="48827" xr:uid="{348E7B45-89DA-4157-A14A-4B54F0E3A3C3}"/>
    <cellStyle name="Normal 2 2 6 2 4 3 3" xfId="23688" xr:uid="{932C5604-60CA-4B7C-A3D8-9944F1078987}"/>
    <cellStyle name="Normal 2 2 6 2 4 3 4" xfId="40447" xr:uid="{B69C6EB3-5B8E-4FEF-9E4D-BADDEA7C4E95}"/>
    <cellStyle name="Normal 2 2 6 2 4 4" xfId="3552" xr:uid="{341599FA-320F-47D9-B602-BD53692DF0E5}"/>
    <cellStyle name="Normal 2 2 6 2 4 4 2" xfId="11932" xr:uid="{809F1AB3-80B7-43D8-A5B2-999C31AAF03A}"/>
    <cellStyle name="Normal 2 2 6 2 4 4 2 2" xfId="28692" xr:uid="{788C52F0-53C8-4A57-97B0-6FE5C14AB795}"/>
    <cellStyle name="Normal 2 2 6 2 4 4 2 3" xfId="45451" xr:uid="{D2305589-0645-449B-BD25-CEB041943E57}"/>
    <cellStyle name="Normal 2 2 6 2 4 4 3" xfId="20312" xr:uid="{F19395BB-3B85-4006-B12E-DFFE908D1F45}"/>
    <cellStyle name="Normal 2 2 6 2 4 4 4" xfId="37071" xr:uid="{C300EDED-D62C-41C3-B92C-37CBDBA03AFF}"/>
    <cellStyle name="Normal 2 2 6 2 4 5" xfId="10241" xr:uid="{1FE430FA-82AB-4422-B329-1A68D99FF3A1}"/>
    <cellStyle name="Normal 2 2 6 2 4 5 2" xfId="27001" xr:uid="{C2856097-06D0-4455-A7EE-8A6EE1191DD1}"/>
    <cellStyle name="Normal 2 2 6 2 4 5 3" xfId="43760" xr:uid="{06C14E68-9997-483A-B2B1-1297E754DC68}"/>
    <cellStyle name="Normal 2 2 6 2 4 6" xfId="18621" xr:uid="{66AD96CF-578A-4915-8812-8ACC631E1811}"/>
    <cellStyle name="Normal 2 2 6 2 4 7" xfId="35380" xr:uid="{02643658-7C43-490A-9343-FF4AD2862333}"/>
    <cellStyle name="Normal 2 2 6 2 5" xfId="3971" xr:uid="{BFCFA62F-F50C-4053-A6B4-22FAC0CB6D6A}"/>
    <cellStyle name="Normal 2 2 6 2 5 2" xfId="12351" xr:uid="{C3742DB5-ACAE-42AB-9E2B-687E7A5EF883}"/>
    <cellStyle name="Normal 2 2 6 2 5 2 2" xfId="29111" xr:uid="{3EAE15B4-DA82-43B1-8D6B-4ECA1CF13A6F}"/>
    <cellStyle name="Normal 2 2 6 2 5 2 3" xfId="45870" xr:uid="{D675D5A5-52BE-4930-891D-6BB9876BC814}"/>
    <cellStyle name="Normal 2 2 6 2 5 3" xfId="20731" xr:uid="{0C00A5CC-F442-48E4-9A2B-52A8FA9344A2}"/>
    <cellStyle name="Normal 2 2 6 2 5 4" xfId="37490" xr:uid="{32159D2B-89B7-4E7B-9CA5-A0936D1130D2}"/>
    <cellStyle name="Normal 2 2 6 2 6" xfId="5755" xr:uid="{BD64C213-5E08-4F4D-9252-DFF22F6BE61C}"/>
    <cellStyle name="Normal 2 2 6 2 6 2" xfId="14135" xr:uid="{1B4FEF59-0426-45C8-8A33-C4B0EA361000}"/>
    <cellStyle name="Normal 2 2 6 2 6 2 2" xfId="30895" xr:uid="{FF209A76-2525-440B-9050-C80B77D73434}"/>
    <cellStyle name="Normal 2 2 6 2 6 2 3" xfId="47654" xr:uid="{0443C29D-63CB-4A36-A564-6ACBBF456619}"/>
    <cellStyle name="Normal 2 2 6 2 6 3" xfId="22515" xr:uid="{DE4E25ED-E4D4-4FBF-832F-64A6B4DFC926}"/>
    <cellStyle name="Normal 2 2 6 2 6 4" xfId="39274" xr:uid="{6DFB1D64-5927-48C1-B185-D7A29B7A522E}"/>
    <cellStyle name="Normal 2 2 6 2 7" xfId="7334" xr:uid="{620280BC-400D-49B9-8C1B-EDE46D8A9743}"/>
    <cellStyle name="Normal 2 2 6 2 7 2" xfId="15714" xr:uid="{ED7E4519-9B59-47CF-8E10-60CE170D7E31}"/>
    <cellStyle name="Normal 2 2 6 2 7 2 2" xfId="32474" xr:uid="{EA81BA82-522F-4965-A123-DF3382D03C3A}"/>
    <cellStyle name="Normal 2 2 6 2 7 2 3" xfId="49233" xr:uid="{C3B778E6-14CA-4E62-A155-BACB1EEF4A65}"/>
    <cellStyle name="Normal 2 2 6 2 7 3" xfId="24094" xr:uid="{ED6AEF03-4FCF-4F85-943F-A9E5D507A66D}"/>
    <cellStyle name="Normal 2 2 6 2 7 4" xfId="40853" xr:uid="{0AEC5CF4-F70B-482B-B342-2EFB8D2B2DAC}"/>
    <cellStyle name="Normal 2 2 6 2 8" xfId="7740" xr:uid="{57B0DE1E-7318-4FD0-A8E1-28AC285F4286}"/>
    <cellStyle name="Normal 2 2 6 2 8 2" xfId="16120" xr:uid="{5A22B31F-10D7-4FBA-912B-4C672691DFFA}"/>
    <cellStyle name="Normal 2 2 6 2 8 2 2" xfId="32880" xr:uid="{C0F06439-CB51-49BE-88CE-B85D3841EEB8}"/>
    <cellStyle name="Normal 2 2 6 2 8 2 3" xfId="49639" xr:uid="{D0C0BCE6-5AB7-4731-85D7-EDEBD9CA4215}"/>
    <cellStyle name="Normal 2 2 6 2 8 3" xfId="24500" xr:uid="{B81AF0CC-DB4D-4734-81A2-E33096F0C733}"/>
    <cellStyle name="Normal 2 2 6 2 8 4" xfId="41259" xr:uid="{75088CB2-6DC3-4B34-8CFC-1E2AE739CA6A}"/>
    <cellStyle name="Normal 2 2 6 2 9" xfId="8146" xr:uid="{E0C5E993-CF28-4570-AFF9-4F0EAAFE9AA5}"/>
    <cellStyle name="Normal 2 2 6 2 9 2" xfId="16526" xr:uid="{005ACAC4-8734-496A-A841-0E12CF9F59A5}"/>
    <cellStyle name="Normal 2 2 6 2 9 2 2" xfId="33286" xr:uid="{D1F522CE-07F4-45AF-8FBC-00BC8703A83B}"/>
    <cellStyle name="Normal 2 2 6 2 9 2 3" xfId="50045" xr:uid="{CBCB7598-80B5-4D30-A6F6-180B3699E225}"/>
    <cellStyle name="Normal 2 2 6 2 9 3" xfId="24906" xr:uid="{C17F4B10-B2EB-4FC0-A8D4-E75C29DA226C}"/>
    <cellStyle name="Normal 2 2 6 2 9 4" xfId="41665" xr:uid="{7423F4DF-08E4-4156-B913-3C02954B9AAB}"/>
    <cellStyle name="Normal 2 2 6 3" xfId="658" xr:uid="{84773726-5EA5-48C7-8724-CD9AF5A2CEBC}"/>
    <cellStyle name="Normal 2 2 6 3 10" xfId="8667" xr:uid="{E91887E7-135B-4231-A611-A5DB01FEC4C1}"/>
    <cellStyle name="Normal 2 2 6 3 10 2" xfId="17047" xr:uid="{E298CE45-59A3-41B9-A46C-A014034426C5}"/>
    <cellStyle name="Normal 2 2 6 3 10 2 2" xfId="33807" xr:uid="{FA70C0C5-9905-4F39-932E-744D71374A57}"/>
    <cellStyle name="Normal 2 2 6 3 10 2 3" xfId="50566" xr:uid="{807C2C9F-E63B-49DC-9891-70381ADBB82D}"/>
    <cellStyle name="Normal 2 2 6 3 10 3" xfId="25427" xr:uid="{7A263250-DCF0-4186-A852-BB159E3A47BD}"/>
    <cellStyle name="Normal 2 2 6 3 10 4" xfId="42186" xr:uid="{44AD4491-FD8D-48DF-B7A5-186328EC6670}"/>
    <cellStyle name="Normal 2 2 6 3 11" xfId="2490" xr:uid="{89907240-D142-4984-9FD7-64CE8718E074}"/>
    <cellStyle name="Normal 2 2 6 3 11 2" xfId="10872" xr:uid="{4ABC627A-7CCB-4D10-9F77-98C1F7BC3B48}"/>
    <cellStyle name="Normal 2 2 6 3 11 2 2" xfId="27632" xr:uid="{E353545F-3E1D-4D49-B8AB-E6354B68582A}"/>
    <cellStyle name="Normal 2 2 6 3 11 2 3" xfId="44391" xr:uid="{CD738E86-A99E-4325-A9D6-55EAF64E9B2B}"/>
    <cellStyle name="Normal 2 2 6 3 11 3" xfId="19252" xr:uid="{517859E2-73A8-4B5F-9B60-BDFC858039C3}"/>
    <cellStyle name="Normal 2 2 6 3 11 4" xfId="36011" xr:uid="{B5097B70-1821-404B-9427-D65591161742}"/>
    <cellStyle name="Normal 2 2 6 3 12" xfId="9069" xr:uid="{C1C4B9C0-FB2F-4DB6-BF8A-B03606818977}"/>
    <cellStyle name="Normal 2 2 6 3 12 2" xfId="25829" xr:uid="{AB5FF1AA-7F62-43D5-84C5-317A3D2EBF59}"/>
    <cellStyle name="Normal 2 2 6 3 12 3" xfId="42588" xr:uid="{F0A42E8A-86A7-4AEE-832C-438E9C819774}"/>
    <cellStyle name="Normal 2 2 6 3 13" xfId="17449" xr:uid="{7B4C6D57-BAE0-4434-B335-1123624CAE97}"/>
    <cellStyle name="Normal 2 2 6 3 14" xfId="34208" xr:uid="{3B06AF8D-F01E-4DF5-B172-81C0E727AD68}"/>
    <cellStyle name="Normal 2 2 6 3 2" xfId="1100" xr:uid="{6FC054A0-3FE6-46EB-8075-1B879DAB3DB7}"/>
    <cellStyle name="Normal 2 2 6 3 2 2" xfId="4495" xr:uid="{3F5F0241-A1E7-42E1-A404-48B28AD16043}"/>
    <cellStyle name="Normal 2 2 6 3 2 2 2" xfId="12875" xr:uid="{FF4A74B5-56C6-44DC-B926-E0D0E4BB1B12}"/>
    <cellStyle name="Normal 2 2 6 3 2 2 2 2" xfId="29635" xr:uid="{8E92253B-AE65-4E77-8FA1-BE7F7E286560}"/>
    <cellStyle name="Normal 2 2 6 3 2 2 2 3" xfId="46394" xr:uid="{F1CCA438-5CD2-4F0D-A238-62336C261E77}"/>
    <cellStyle name="Normal 2 2 6 3 2 2 3" xfId="21255" xr:uid="{6AE984B5-CED8-486E-BC24-F99C05554F33}"/>
    <cellStyle name="Normal 2 2 6 3 2 2 4" xfId="38014" xr:uid="{DAA36EEF-206B-40FE-AA93-3FFF3F2B736C}"/>
    <cellStyle name="Normal 2 2 6 3 2 3" xfId="6182" xr:uid="{93AD07B6-CD5F-4204-9E7F-8DE7CAE77CA9}"/>
    <cellStyle name="Normal 2 2 6 3 2 3 2" xfId="14562" xr:uid="{C15F3F57-C40B-4B16-BBA4-166CF9236932}"/>
    <cellStyle name="Normal 2 2 6 3 2 3 2 2" xfId="31322" xr:uid="{1F8D3217-7D15-497D-A991-BE227E820356}"/>
    <cellStyle name="Normal 2 2 6 3 2 3 2 3" xfId="48081" xr:uid="{AF4862AD-64CA-4CC0-95F9-BF0A29A61747}"/>
    <cellStyle name="Normal 2 2 6 3 2 3 3" xfId="22942" xr:uid="{5589BF8C-B393-46FC-A13C-29D515071742}"/>
    <cellStyle name="Normal 2 2 6 3 2 3 4" xfId="39701" xr:uid="{A73E317F-0654-4DEE-A3AE-E22320A11A47}"/>
    <cellStyle name="Normal 2 2 6 3 2 4" xfId="2918" xr:uid="{77BDE300-3FB0-4E60-BBB1-9931F6A3D648}"/>
    <cellStyle name="Normal 2 2 6 3 2 4 2" xfId="11298" xr:uid="{5D549E2A-7D0A-4E05-A38B-5411A5D8B030}"/>
    <cellStyle name="Normal 2 2 6 3 2 4 2 2" xfId="28058" xr:uid="{83A3A189-EFE3-4291-8DAF-F1AE0B748098}"/>
    <cellStyle name="Normal 2 2 6 3 2 4 2 3" xfId="44817" xr:uid="{76B6C586-F9F9-48BA-B232-10CAED465A21}"/>
    <cellStyle name="Normal 2 2 6 3 2 4 3" xfId="19678" xr:uid="{41EE9222-64EF-4DF8-ACB0-85E88768691D}"/>
    <cellStyle name="Normal 2 2 6 3 2 4 4" xfId="36437" xr:uid="{D34BA71E-2D51-4644-BFE9-141CB47599A6}"/>
    <cellStyle name="Normal 2 2 6 3 2 5" xfId="9495" xr:uid="{7D32EC7B-61F5-422F-ABD3-4A68AE80D0AF}"/>
    <cellStyle name="Normal 2 2 6 3 2 5 2" xfId="26255" xr:uid="{3BACB021-54F4-4BCD-BFE9-D92DD4987BF4}"/>
    <cellStyle name="Normal 2 2 6 3 2 5 3" xfId="43014" xr:uid="{D99516B8-5295-4A53-A9A5-2B3076FEF9E6}"/>
    <cellStyle name="Normal 2 2 6 3 2 6" xfId="17875" xr:uid="{605DEB01-6BCC-4703-BC91-9679B5B8A703}"/>
    <cellStyle name="Normal 2 2 6 3 2 7" xfId="34634" xr:uid="{F2548D4C-C766-4BA7-A7C7-8FC97A51984A}"/>
    <cellStyle name="Normal 2 2 6 3 3" xfId="1534" xr:uid="{30D7334E-FCD0-429F-8AAF-1B9D05442863}"/>
    <cellStyle name="Normal 2 2 6 3 3 2" xfId="4923" xr:uid="{96A5D587-CC98-45C3-BD0A-7854394855A9}"/>
    <cellStyle name="Normal 2 2 6 3 3 2 2" xfId="13303" xr:uid="{43FC357A-FB04-4379-BBF1-30F1DFBA19AE}"/>
    <cellStyle name="Normal 2 2 6 3 3 2 2 2" xfId="30063" xr:uid="{6F804366-737C-4FED-B160-5DAE8F6BC076}"/>
    <cellStyle name="Normal 2 2 6 3 3 2 2 3" xfId="46822" xr:uid="{3496D777-8FF0-4A0C-BF09-90DD92FB85BE}"/>
    <cellStyle name="Normal 2 2 6 3 3 2 3" xfId="21683" xr:uid="{7DA687F4-031A-45B9-BF10-5EA5E9DEC550}"/>
    <cellStyle name="Normal 2 2 6 3 3 2 4" xfId="38442" xr:uid="{675EB5DA-FE54-4176-BFF0-AE8FEDF4C1CA}"/>
    <cellStyle name="Normal 2 2 6 3 3 3" xfId="6610" xr:uid="{3643C2DB-078F-4A06-BF8C-9046993D2109}"/>
    <cellStyle name="Normal 2 2 6 3 3 3 2" xfId="14990" xr:uid="{D6207551-390D-4086-A22A-A1281FD22271}"/>
    <cellStyle name="Normal 2 2 6 3 3 3 2 2" xfId="31750" xr:uid="{8F812119-DA34-405D-92E4-418BB5929A87}"/>
    <cellStyle name="Normal 2 2 6 3 3 3 2 3" xfId="48509" xr:uid="{1125FC94-49AB-4BA5-8B0A-947A6C1E4040}"/>
    <cellStyle name="Normal 2 2 6 3 3 3 3" xfId="23370" xr:uid="{678D3787-C58A-4621-A09E-F03463F3452B}"/>
    <cellStyle name="Normal 2 2 6 3 3 3 4" xfId="40129" xr:uid="{2407A10B-4487-419E-A739-4C8AD9A3B586}"/>
    <cellStyle name="Normal 2 2 6 3 3 4" xfId="3346" xr:uid="{7540D95E-5AC1-4E8A-BFCD-5B19F2C76858}"/>
    <cellStyle name="Normal 2 2 6 3 3 4 2" xfId="11726" xr:uid="{931E2898-CBBA-43F6-923E-D3E628F7D171}"/>
    <cellStyle name="Normal 2 2 6 3 3 4 2 2" xfId="28486" xr:uid="{053FDAEE-8630-4DB1-9C76-2347C20D2213}"/>
    <cellStyle name="Normal 2 2 6 3 3 4 2 3" xfId="45245" xr:uid="{B362FD07-E697-4451-89E3-44600B66C346}"/>
    <cellStyle name="Normal 2 2 6 3 3 4 3" xfId="20106" xr:uid="{CE2AC604-8BF7-4412-8BE8-27B9607B3E50}"/>
    <cellStyle name="Normal 2 2 6 3 3 4 4" xfId="36865" xr:uid="{E8A86090-78D0-497B-BF1B-FD38C8BD3D2C}"/>
    <cellStyle name="Normal 2 2 6 3 3 5" xfId="9923" xr:uid="{7E4FAD05-59B0-497B-BFCB-9D6D3DD76BD0}"/>
    <cellStyle name="Normal 2 2 6 3 3 5 2" xfId="26683" xr:uid="{EDE5FF79-DA46-4480-A5CD-2C3E66E38820}"/>
    <cellStyle name="Normal 2 2 6 3 3 5 3" xfId="43442" xr:uid="{8174C402-D7AD-4D13-AF28-32D0A7936D96}"/>
    <cellStyle name="Normal 2 2 6 3 3 6" xfId="18303" xr:uid="{3D252FC5-B871-4A34-8A30-52C579CE0850}"/>
    <cellStyle name="Normal 2 2 6 3 3 7" xfId="35062" xr:uid="{2B321FF6-235C-411B-901C-C29134D7F289}"/>
    <cellStyle name="Normal 2 2 6 3 4" xfId="1967" xr:uid="{A1A74CB5-2C2A-4543-AD16-52AA4811D1FC}"/>
    <cellStyle name="Normal 2 2 6 3 4 2" xfId="5356" xr:uid="{9B2D26F3-4025-4B62-8BBD-09A0F528E455}"/>
    <cellStyle name="Normal 2 2 6 3 4 2 2" xfId="13736" xr:uid="{1035912A-2208-466D-A8E9-E0EAA796074A}"/>
    <cellStyle name="Normal 2 2 6 3 4 2 2 2" xfId="30496" xr:uid="{FD1B7734-0763-49BE-AFBE-717F7F82FF63}"/>
    <cellStyle name="Normal 2 2 6 3 4 2 2 3" xfId="47255" xr:uid="{E5957818-EF22-4441-AEA6-A0BFAF63ED29}"/>
    <cellStyle name="Normal 2 2 6 3 4 2 3" xfId="22116" xr:uid="{1813035B-E6FA-4FC8-B95D-697368DD4E1A}"/>
    <cellStyle name="Normal 2 2 6 3 4 2 4" xfId="38875" xr:uid="{5585FB5E-41F9-4631-A581-6E033970A88F}"/>
    <cellStyle name="Normal 2 2 6 3 4 3" xfId="7043" xr:uid="{7C59FA8A-4B23-45EF-9449-339223A24452}"/>
    <cellStyle name="Normal 2 2 6 3 4 3 2" xfId="15423" xr:uid="{6EE8A1F8-46DE-448D-9831-8D22A4779EBE}"/>
    <cellStyle name="Normal 2 2 6 3 4 3 2 2" xfId="32183" xr:uid="{567403E9-11B6-4C56-81A9-E47CF126B616}"/>
    <cellStyle name="Normal 2 2 6 3 4 3 2 3" xfId="48942" xr:uid="{7F97C45B-D114-4874-B360-535824C95D1B}"/>
    <cellStyle name="Normal 2 2 6 3 4 3 3" xfId="23803" xr:uid="{D8C8230C-BD81-4F1C-A4F2-BDFEABE753BE}"/>
    <cellStyle name="Normal 2 2 6 3 4 3 4" xfId="40562" xr:uid="{DCB3A14B-357F-4E30-BF1B-ADA3C61518DD}"/>
    <cellStyle name="Normal 2 2 6 3 4 4" xfId="3666" xr:uid="{BD05918D-B0D9-40D9-8649-113ECE71BA9F}"/>
    <cellStyle name="Normal 2 2 6 3 4 4 2" xfId="12046" xr:uid="{63846870-5CCD-43CE-AC23-EE2FB4E83219}"/>
    <cellStyle name="Normal 2 2 6 3 4 4 2 2" xfId="28806" xr:uid="{F515D935-5AEF-463E-A6AA-577F5A61C992}"/>
    <cellStyle name="Normal 2 2 6 3 4 4 2 3" xfId="45565" xr:uid="{8CE6E2E5-9636-49AA-9A86-598452AECAE7}"/>
    <cellStyle name="Normal 2 2 6 3 4 4 3" xfId="20426" xr:uid="{61AF94FC-398A-486C-A301-209D48303C1A}"/>
    <cellStyle name="Normal 2 2 6 3 4 4 4" xfId="37185" xr:uid="{CAABB219-DAE7-4213-8DB8-56A802D2EF7E}"/>
    <cellStyle name="Normal 2 2 6 3 4 5" xfId="10356" xr:uid="{C8C310D0-1108-4F43-A12A-F0E36CE70514}"/>
    <cellStyle name="Normal 2 2 6 3 4 5 2" xfId="27116" xr:uid="{9ABEC749-A9F5-467A-BF5F-1986C11348A3}"/>
    <cellStyle name="Normal 2 2 6 3 4 5 3" xfId="43875" xr:uid="{F3FCABE7-A15D-4F19-87C1-86F7B924F020}"/>
    <cellStyle name="Normal 2 2 6 3 4 6" xfId="18736" xr:uid="{CE85C709-1376-4FB8-A1FA-27D5FF7B7FAD}"/>
    <cellStyle name="Normal 2 2 6 3 4 7" xfId="35495" xr:uid="{52D00F37-BBDF-4C84-94BB-98A1DA981E5A}"/>
    <cellStyle name="Normal 2 2 6 3 5" xfId="4086" xr:uid="{88F75109-21B8-46A2-9F9F-3803EA533FBE}"/>
    <cellStyle name="Normal 2 2 6 3 5 2" xfId="12466" xr:uid="{4E1392F1-E508-4F85-90CC-E8C7C0A5D938}"/>
    <cellStyle name="Normal 2 2 6 3 5 2 2" xfId="29226" xr:uid="{62645C46-5594-45DF-9DFE-4555CC06B781}"/>
    <cellStyle name="Normal 2 2 6 3 5 2 3" xfId="45985" xr:uid="{19A3D1A8-F0AD-4283-9FDF-D62FFEB786DA}"/>
    <cellStyle name="Normal 2 2 6 3 5 3" xfId="20846" xr:uid="{F2AC9B2C-2052-4F15-AF02-15072C9F334B}"/>
    <cellStyle name="Normal 2 2 6 3 5 4" xfId="37605" xr:uid="{3A0804BA-2C54-4520-ACA1-D06B014DE65A}"/>
    <cellStyle name="Normal 2 2 6 3 6" xfId="5756" xr:uid="{CE693452-7AAE-462D-8F07-59D45D70BCAE}"/>
    <cellStyle name="Normal 2 2 6 3 6 2" xfId="14136" xr:uid="{03EF7447-92AA-443B-808C-FE4BC807F1CA}"/>
    <cellStyle name="Normal 2 2 6 3 6 2 2" xfId="30896" xr:uid="{C7353E60-4B44-43EA-8F8A-1866452AD207}"/>
    <cellStyle name="Normal 2 2 6 3 6 2 3" xfId="47655" xr:uid="{B2C90045-888A-4A26-90B2-01C2094D0F3E}"/>
    <cellStyle name="Normal 2 2 6 3 6 3" xfId="22516" xr:uid="{2D9A905F-3FFC-4963-9371-2F968B1A57B3}"/>
    <cellStyle name="Normal 2 2 6 3 6 4" xfId="39275" xr:uid="{674128D1-9D3E-420B-8054-67B1A81B875A}"/>
    <cellStyle name="Normal 2 2 6 3 7" xfId="7449" xr:uid="{041B5FC1-4F9B-493D-AEE1-FFDAF53DC38A}"/>
    <cellStyle name="Normal 2 2 6 3 7 2" xfId="15829" xr:uid="{E7A3B7D5-749D-4EFA-900B-836EF3B2240F}"/>
    <cellStyle name="Normal 2 2 6 3 7 2 2" xfId="32589" xr:uid="{F6CAF697-6109-4F94-9F5E-AA9BF8F5E694}"/>
    <cellStyle name="Normal 2 2 6 3 7 2 3" xfId="49348" xr:uid="{3A781CD8-D447-47E7-B433-4957ED1319DA}"/>
    <cellStyle name="Normal 2 2 6 3 7 3" xfId="24209" xr:uid="{7A4F26F5-D0F8-463F-9352-12ABEA938AE6}"/>
    <cellStyle name="Normal 2 2 6 3 7 4" xfId="40968" xr:uid="{8B6ACEFA-96E0-49DA-A523-ED3F2B355297}"/>
    <cellStyle name="Normal 2 2 6 3 8" xfId="7855" xr:uid="{8A4143CC-3380-4327-8382-64BDC6F56F29}"/>
    <cellStyle name="Normal 2 2 6 3 8 2" xfId="16235" xr:uid="{50372D1F-0E91-4B64-948B-7EBDE8EC323B}"/>
    <cellStyle name="Normal 2 2 6 3 8 2 2" xfId="32995" xr:uid="{80F7E851-9A95-4C44-8D15-77D7B1C7D814}"/>
    <cellStyle name="Normal 2 2 6 3 8 2 3" xfId="49754" xr:uid="{B53AC626-C603-4978-AA4F-099AB77C6A25}"/>
    <cellStyle name="Normal 2 2 6 3 8 3" xfId="24615" xr:uid="{311ECC69-88B2-41B7-988A-76DDCFF49A84}"/>
    <cellStyle name="Normal 2 2 6 3 8 4" xfId="41374" xr:uid="{77FCC113-8EC7-4EA3-B14B-56E345DB4CC6}"/>
    <cellStyle name="Normal 2 2 6 3 9" xfId="8261" xr:uid="{A72FA334-5C42-4212-8395-F5C88BE1A1A5}"/>
    <cellStyle name="Normal 2 2 6 3 9 2" xfId="16641" xr:uid="{661028E1-0CC2-4181-9B8E-F1D2ABFE7910}"/>
    <cellStyle name="Normal 2 2 6 3 9 2 2" xfId="33401" xr:uid="{1281DC8F-72BC-499F-8758-DC1A9FF67254}"/>
    <cellStyle name="Normal 2 2 6 3 9 2 3" xfId="50160" xr:uid="{41B6C977-072E-44D3-80D5-D6774047F8A0}"/>
    <cellStyle name="Normal 2 2 6 3 9 3" xfId="25021" xr:uid="{E1837F6F-19B0-4387-ABA9-57C752837765}"/>
    <cellStyle name="Normal 2 2 6 3 9 4" xfId="41780" xr:uid="{E7BF52DD-E4C2-481B-91AF-13122E63E097}"/>
    <cellStyle name="Normal 2 2 6 4" xfId="1696" xr:uid="{B9149AF6-14CB-4F85-BD61-17D9C4E453D5}"/>
    <cellStyle name="Normal 2 2 6 4 2" xfId="3437" xr:uid="{79159A33-0D4D-4598-8293-A8AA82F4EE52}"/>
    <cellStyle name="Normal 2 2 6 4 2 2" xfId="11817" xr:uid="{40A7932D-CF1E-4213-99B9-FE2465FBA588}"/>
    <cellStyle name="Normal 2 2 6 4 2 2 2" xfId="28577" xr:uid="{D86E8887-14FE-4A33-8561-671C950A959E}"/>
    <cellStyle name="Normal 2 2 6 4 2 2 3" xfId="45336" xr:uid="{7EC755B0-0185-4574-939A-ADB88DF21DD3}"/>
    <cellStyle name="Normal 2 2 6 4 2 3" xfId="20197" xr:uid="{70CE3328-864C-4317-8D90-99D7DB72DBAE}"/>
    <cellStyle name="Normal 2 2 6 4 2 4" xfId="36956" xr:uid="{85BF529E-7EE2-4E85-88DD-C4835293FAE6}"/>
    <cellStyle name="Normal 2 2 6 4 3" xfId="5085" xr:uid="{4199BB7A-B082-4CE6-B30F-F8B5C42ED02A}"/>
    <cellStyle name="Normal 2 2 6 4 3 2" xfId="13465" xr:uid="{103EE9FF-580C-467A-AB92-5DBD3D9295A3}"/>
    <cellStyle name="Normal 2 2 6 4 3 2 2" xfId="30225" xr:uid="{1561E9C8-38A8-4ADA-BE70-30F92FBFE9E7}"/>
    <cellStyle name="Normal 2 2 6 4 3 2 3" xfId="46984" xr:uid="{4F857EA9-399F-4986-B036-42B3DCFA148F}"/>
    <cellStyle name="Normal 2 2 6 4 3 3" xfId="21845" xr:uid="{4DB66714-BDDC-49DE-9918-EF8B5018EEC3}"/>
    <cellStyle name="Normal 2 2 6 4 3 4" xfId="38604" xr:uid="{EF861F31-DA5D-4B12-A668-0FB8B14290EC}"/>
    <cellStyle name="Normal 2 2 6 4 4" xfId="6772" xr:uid="{E6743720-1267-42F2-AA7F-BCF2EF386829}"/>
    <cellStyle name="Normal 2 2 6 4 4 2" xfId="15152" xr:uid="{9F3EBF07-0E4F-48A4-982D-1DBF931E3320}"/>
    <cellStyle name="Normal 2 2 6 4 4 2 2" xfId="31912" xr:uid="{ADE4112E-E22D-4D40-91F5-855911FE5C79}"/>
    <cellStyle name="Normal 2 2 6 4 4 2 3" xfId="48671" xr:uid="{E1A1A48B-EAF5-4264-B870-F093EABB3B00}"/>
    <cellStyle name="Normal 2 2 6 4 4 3" xfId="23532" xr:uid="{E3E8B659-15C0-4B97-B2EC-16C3DE5E7839}"/>
    <cellStyle name="Normal 2 2 6 4 4 4" xfId="40291" xr:uid="{BFD12BF7-9B25-4459-9EE1-C66DBF7339F9}"/>
    <cellStyle name="Normal 2 2 6 4 5" xfId="2208" xr:uid="{AD0A41E5-9F51-49A4-B49B-BFA9DC860296}"/>
    <cellStyle name="Normal 2 2 6 4 6" xfId="10085" xr:uid="{CD3C0C1F-B2BE-4A02-BCBD-A6B8A73AAA15}"/>
    <cellStyle name="Normal 2 2 6 4 6 2" xfId="26845" xr:uid="{03DA2535-9634-4F56-BBBD-9DE10A8072EE}"/>
    <cellStyle name="Normal 2 2 6 4 6 3" xfId="43604" xr:uid="{7ED21DC3-736F-428F-9F1F-86D7A5018D3F}"/>
    <cellStyle name="Normal 2 2 6 4 7" xfId="18465" xr:uid="{3B47ED70-0778-4737-B6CA-C5E255190C15}"/>
    <cellStyle name="Normal 2 2 6 4 8" xfId="35224" xr:uid="{BDD22ABC-E8B0-432C-88FE-39E2593ECD18}"/>
    <cellStyle name="Normal 2 2 6 5" xfId="3814" xr:uid="{686F7F2F-AB37-4455-A1E0-8374F2BA5555}"/>
    <cellStyle name="Normal 2 2 6 5 2" xfId="12194" xr:uid="{8F7B9837-6889-4B40-B4FE-B6D9E7D73698}"/>
    <cellStyle name="Normal 2 2 6 5 2 2" xfId="28954" xr:uid="{A3D75E20-E1E2-4FA6-847C-97E7159D3F36}"/>
    <cellStyle name="Normal 2 2 6 5 2 3" xfId="45713" xr:uid="{7C44DF14-ADD4-4A7C-9C68-38D9DCA51766}"/>
    <cellStyle name="Normal 2 2 6 5 3" xfId="20574" xr:uid="{456DFF09-F79D-4F03-874A-04CD4F35F339}"/>
    <cellStyle name="Normal 2 2 6 5 4" xfId="37333" xr:uid="{8BF72043-3190-4DAC-9218-C9D14C48749C}"/>
    <cellStyle name="Normal 2 2 6 6" xfId="7178" xr:uid="{5ED26B2A-AC12-44F1-9F09-15359662A91E}"/>
    <cellStyle name="Normal 2 2 6 6 2" xfId="15558" xr:uid="{CCAFC8FD-5393-48A3-9525-9DE69FF132D2}"/>
    <cellStyle name="Normal 2 2 6 6 2 2" xfId="32318" xr:uid="{B5DA6352-1827-4F01-88A4-0430DF9C1E5B}"/>
    <cellStyle name="Normal 2 2 6 6 2 3" xfId="49077" xr:uid="{E68771AF-49ED-4FB8-B1C6-5DDB9CA238E6}"/>
    <cellStyle name="Normal 2 2 6 6 3" xfId="23938" xr:uid="{8FCBD7AB-9E56-4E5A-BCCF-338FAD877134}"/>
    <cellStyle name="Normal 2 2 6 6 4" xfId="40697" xr:uid="{3C1B8D81-0B43-4992-BF36-FCFC289FC56E}"/>
    <cellStyle name="Normal 2 2 6 7" xfId="7584" xr:uid="{AD0B8172-F3F3-4553-8EBB-1CDAB8936AF4}"/>
    <cellStyle name="Normal 2 2 6 7 2" xfId="15964" xr:uid="{3477FEB4-E793-42E0-90A1-F47A05088355}"/>
    <cellStyle name="Normal 2 2 6 7 2 2" xfId="32724" xr:uid="{BC887A28-B9F6-4005-A2C6-A23D2B67FC1D}"/>
    <cellStyle name="Normal 2 2 6 7 2 3" xfId="49483" xr:uid="{67ED522C-174F-49FB-BE4F-B5A36BE84FF3}"/>
    <cellStyle name="Normal 2 2 6 7 3" xfId="24344" xr:uid="{97F3F82F-4F9D-4CBB-B202-AA2BD8BEA72C}"/>
    <cellStyle name="Normal 2 2 6 7 4" xfId="41103" xr:uid="{42AE1B0E-13DD-4255-9B5B-B4D083DF2721}"/>
    <cellStyle name="Normal 2 2 6 8" xfId="7990" xr:uid="{A5B0252E-C899-4767-B234-4B39AAE12FC5}"/>
    <cellStyle name="Normal 2 2 6 8 2" xfId="16370" xr:uid="{B89CD871-7B2B-4C48-9107-7386D7527795}"/>
    <cellStyle name="Normal 2 2 6 8 2 2" xfId="33130" xr:uid="{CD0BB813-0A80-4E26-B97D-FC94821F604E}"/>
    <cellStyle name="Normal 2 2 6 8 2 3" xfId="49889" xr:uid="{0C5055C9-C052-4841-B364-16F42401D559}"/>
    <cellStyle name="Normal 2 2 6 8 3" xfId="24750" xr:uid="{85C2DEDC-5BC4-4CDA-A7E7-D70AC8DAF170}"/>
    <cellStyle name="Normal 2 2 6 8 4" xfId="41509" xr:uid="{0FD7B229-6B7B-46DF-8BF1-27CBB40BC484}"/>
    <cellStyle name="Normal 2 2 6 9" xfId="8396" xr:uid="{B05E7F3E-2316-476B-9731-516D6E017E6B}"/>
    <cellStyle name="Normal 2 2 6 9 2" xfId="16776" xr:uid="{1198E0CE-31AA-4B84-9839-CE77A318AD04}"/>
    <cellStyle name="Normal 2 2 6 9 2 2" xfId="33536" xr:uid="{17D3F786-B3EE-4AD6-82A2-A1D256A46D97}"/>
    <cellStyle name="Normal 2 2 6 9 2 3" xfId="50295" xr:uid="{6AACC04B-BFAF-4DF0-867C-9EC86AC3F9F6}"/>
    <cellStyle name="Normal 2 2 6 9 3" xfId="25156" xr:uid="{83AE3282-F468-46DD-B337-A6AB26BEC4DE}"/>
    <cellStyle name="Normal 2 2 6 9 4" xfId="41915" xr:uid="{60C78A09-15B5-420C-83E2-31A0AC5414C4}"/>
    <cellStyle name="Normal 2 2 7" xfId="659" xr:uid="{3C075294-5674-4E7E-9047-A98BE1545B3E}"/>
    <cellStyle name="Normal 2 2 7 10" xfId="7585" xr:uid="{401357F8-A127-4F39-8647-3AA59B7D49C0}"/>
    <cellStyle name="Normal 2 2 7 10 2" xfId="15965" xr:uid="{7F1AA04E-1984-4854-8688-D960368E4534}"/>
    <cellStyle name="Normal 2 2 7 10 2 2" xfId="32725" xr:uid="{299202E7-5A7F-4A99-90FD-78E1C62B1423}"/>
    <cellStyle name="Normal 2 2 7 10 2 3" xfId="49484" xr:uid="{D12C35A3-D9CF-413C-A8EA-F33F49FB53CD}"/>
    <cellStyle name="Normal 2 2 7 10 3" xfId="24345" xr:uid="{FB7F4684-7764-4A17-B119-D6E1DB490207}"/>
    <cellStyle name="Normal 2 2 7 10 4" xfId="41104" xr:uid="{C619F544-4406-4FD8-AC0F-D81025B3696C}"/>
    <cellStyle name="Normal 2 2 7 11" xfId="7991" xr:uid="{8F0C9394-C7EF-4E02-96B7-BE8BA8BC5D1E}"/>
    <cellStyle name="Normal 2 2 7 11 2" xfId="16371" xr:uid="{380A928D-E432-4729-AD93-5B02A1580EAF}"/>
    <cellStyle name="Normal 2 2 7 11 2 2" xfId="33131" xr:uid="{F028D910-FD16-4D9A-AFD8-1B13F447BAF4}"/>
    <cellStyle name="Normal 2 2 7 11 2 3" xfId="49890" xr:uid="{512FCD94-935B-48F3-9ED9-5060BDD797C6}"/>
    <cellStyle name="Normal 2 2 7 11 3" xfId="24751" xr:uid="{5DF8AD84-E76E-4C79-9B1D-BB66F2E5274E}"/>
    <cellStyle name="Normal 2 2 7 11 4" xfId="41510" xr:uid="{926CB8CC-3CE7-4526-B63A-66FC4EDDCCED}"/>
    <cellStyle name="Normal 2 2 7 12" xfId="8397" xr:uid="{639E2934-FCC1-4450-98EB-1B3B730E14AD}"/>
    <cellStyle name="Normal 2 2 7 12 2" xfId="16777" xr:uid="{E91EFB5E-3D79-49B5-AA6A-BF68973843A1}"/>
    <cellStyle name="Normal 2 2 7 12 2 2" xfId="33537" xr:uid="{7A2BC4CC-FDA4-4026-88E3-027D27C72BBC}"/>
    <cellStyle name="Normal 2 2 7 12 2 3" xfId="50296" xr:uid="{4C989363-DAC8-40CD-B99C-9960B1ED7366}"/>
    <cellStyle name="Normal 2 2 7 12 3" xfId="25157" xr:uid="{F6184BDF-497F-44C5-BA2F-3BECB53E0FC9}"/>
    <cellStyle name="Normal 2 2 7 12 4" xfId="41916" xr:uid="{D0A9A734-5E05-4B23-BE7B-3A669A3486BF}"/>
    <cellStyle name="Normal 2 2 7 13" xfId="2101" xr:uid="{47E56C4B-E705-4A5C-BB0B-FD8A711110F2}"/>
    <cellStyle name="Normal 2 2 7 13 2" xfId="10489" xr:uid="{52B1253F-DFF5-48BE-9CE7-FA0DA8E3F7A7}"/>
    <cellStyle name="Normal 2 2 7 13 2 2" xfId="27249" xr:uid="{040BC1FB-240C-457F-AF4E-F96615157080}"/>
    <cellStyle name="Normal 2 2 7 13 2 3" xfId="44008" xr:uid="{A1878B67-4AFE-4822-9390-D3A6D9101449}"/>
    <cellStyle name="Normal 2 2 7 13 3" xfId="18869" xr:uid="{13BA437B-ED66-4F86-A47B-821839D9766C}"/>
    <cellStyle name="Normal 2 2 7 13 4" xfId="35628" xr:uid="{DE03BFA6-AB8C-43C4-A992-0E2FBA0D8700}"/>
    <cellStyle name="Normal 2 2 7 14" xfId="9070" xr:uid="{211E03DE-E620-457D-968F-E461872EE624}"/>
    <cellStyle name="Normal 2 2 7 14 2" xfId="25830" xr:uid="{B4F9FF40-2397-403F-A217-9313B3473B3E}"/>
    <cellStyle name="Normal 2 2 7 14 3" xfId="42589" xr:uid="{04EA153A-228D-4F51-8E9E-DFEAE990A337}"/>
    <cellStyle name="Normal 2 2 7 15" xfId="17450" xr:uid="{01747844-3F81-400D-AC3B-BF254EF5A22C}"/>
    <cellStyle name="Normal 2 2 7 16" xfId="34209" xr:uid="{EC88FA30-E4EC-43A4-8818-D72D75A86217}"/>
    <cellStyle name="Normal 2 2 7 2" xfId="660" xr:uid="{39CEC0B1-D59B-4134-BCED-50559A939464}"/>
    <cellStyle name="Normal 2 2 7 2 10" xfId="8553" xr:uid="{41180D14-0300-4D0F-B11C-7D092183C7AB}"/>
    <cellStyle name="Normal 2 2 7 2 10 2" xfId="16933" xr:uid="{FF44278E-8392-498A-ABE8-17E42CD72DEB}"/>
    <cellStyle name="Normal 2 2 7 2 10 2 2" xfId="33693" xr:uid="{ADEDBA6F-FD19-4416-9F71-3E28BD3AD9E9}"/>
    <cellStyle name="Normal 2 2 7 2 10 2 3" xfId="50452" xr:uid="{E6345D5C-6B86-4C69-BC79-F630E1B3749A}"/>
    <cellStyle name="Normal 2 2 7 2 10 3" xfId="25313" xr:uid="{1D4429AC-A385-4E5B-867C-E005B17F7E2E}"/>
    <cellStyle name="Normal 2 2 7 2 10 4" xfId="42072" xr:uid="{9DB097C6-9AFF-4467-B242-A054F110E4F5}"/>
    <cellStyle name="Normal 2 2 7 2 11" xfId="2492" xr:uid="{EACD1B94-5BA1-4CC2-B6C3-DB9CE3EE03E3}"/>
    <cellStyle name="Normal 2 2 7 2 11 2" xfId="10874" xr:uid="{7D2D6FD8-868D-4DA5-8A2B-0AC3489C18FD}"/>
    <cellStyle name="Normal 2 2 7 2 11 2 2" xfId="27634" xr:uid="{EF50B0EC-172A-43D6-A2E4-07899F9FC2BF}"/>
    <cellStyle name="Normal 2 2 7 2 11 2 3" xfId="44393" xr:uid="{EE694E1D-BE73-47F9-BB51-399F7C3935D4}"/>
    <cellStyle name="Normal 2 2 7 2 11 3" xfId="19254" xr:uid="{09397693-F29A-480F-98FE-7F9FA8A39DBE}"/>
    <cellStyle name="Normal 2 2 7 2 11 4" xfId="36013" xr:uid="{D8F0DAEF-237C-4244-8910-C3905006C101}"/>
    <cellStyle name="Normal 2 2 7 2 12" xfId="9071" xr:uid="{030B5F2C-DAC4-4174-9597-1763F540C937}"/>
    <cellStyle name="Normal 2 2 7 2 12 2" xfId="25831" xr:uid="{17EEDD7F-E1F4-4F7C-A765-DABFC76767B1}"/>
    <cellStyle name="Normal 2 2 7 2 12 3" xfId="42590" xr:uid="{6594A70B-282A-4539-8291-B67D46366A99}"/>
    <cellStyle name="Normal 2 2 7 2 13" xfId="17451" xr:uid="{80344C00-85D8-4860-85CA-6C701A064068}"/>
    <cellStyle name="Normal 2 2 7 2 14" xfId="34210" xr:uid="{D9A4D64A-B3AE-4C7C-A150-05F28DE045E5}"/>
    <cellStyle name="Normal 2 2 7 2 2" xfId="1102" xr:uid="{6A8EAB4D-CB75-45A6-8F7C-ACD369B2CCD7}"/>
    <cellStyle name="Normal 2 2 7 2 2 2" xfId="4497" xr:uid="{25CCCC42-29A3-45C1-AE7A-906E220E62FF}"/>
    <cellStyle name="Normal 2 2 7 2 2 2 2" xfId="12877" xr:uid="{E252D19B-DBAF-45E9-88A8-9DFC7E1FBBB8}"/>
    <cellStyle name="Normal 2 2 7 2 2 2 2 2" xfId="29637" xr:uid="{753B7EED-3863-493E-9FC7-47AA38D2C07E}"/>
    <cellStyle name="Normal 2 2 7 2 2 2 2 3" xfId="46396" xr:uid="{059852E9-03C5-43ED-8A89-0A3FAE6AB741}"/>
    <cellStyle name="Normal 2 2 7 2 2 2 3" xfId="21257" xr:uid="{5C128DFB-3F1E-4DAE-A078-875FAF9E061C}"/>
    <cellStyle name="Normal 2 2 7 2 2 2 4" xfId="38016" xr:uid="{753064E9-935C-4981-B4D7-9B5C86A65B21}"/>
    <cellStyle name="Normal 2 2 7 2 2 3" xfId="6184" xr:uid="{F5A3B5F4-AEA6-467C-A89C-FAE639EFD764}"/>
    <cellStyle name="Normal 2 2 7 2 2 3 2" xfId="14564" xr:uid="{967F003A-BD26-468C-ABB2-142CF482BE34}"/>
    <cellStyle name="Normal 2 2 7 2 2 3 2 2" xfId="31324" xr:uid="{BE7AA6B0-BD01-4E55-B193-4D9F55ABBBE3}"/>
    <cellStyle name="Normal 2 2 7 2 2 3 2 3" xfId="48083" xr:uid="{47314314-0020-4E47-9712-CBCC1980D4E3}"/>
    <cellStyle name="Normal 2 2 7 2 2 3 3" xfId="22944" xr:uid="{D1522C52-5A88-47F7-8533-D0EE60B794FA}"/>
    <cellStyle name="Normal 2 2 7 2 2 3 4" xfId="39703" xr:uid="{7B83E960-63D3-438E-A5B7-F2D3F73FF9FB}"/>
    <cellStyle name="Normal 2 2 7 2 2 4" xfId="2920" xr:uid="{941AA24E-90F3-46F9-8E67-1D5E8C6692AC}"/>
    <cellStyle name="Normal 2 2 7 2 2 4 2" xfId="11300" xr:uid="{7641B883-2526-4251-BBBF-9D72139952FB}"/>
    <cellStyle name="Normal 2 2 7 2 2 4 2 2" xfId="28060" xr:uid="{57F8685D-906D-4F8B-8178-BEBD940A1ABD}"/>
    <cellStyle name="Normal 2 2 7 2 2 4 2 3" xfId="44819" xr:uid="{877E029F-2A84-4817-BD87-87E5FA9BA1B0}"/>
    <cellStyle name="Normal 2 2 7 2 2 4 3" xfId="19680" xr:uid="{1950B5CF-097A-46D5-90DC-9E5B0FFE44F4}"/>
    <cellStyle name="Normal 2 2 7 2 2 4 4" xfId="36439" xr:uid="{2D9CA136-2855-41F8-8C30-33603A31D5D8}"/>
    <cellStyle name="Normal 2 2 7 2 2 5" xfId="9497" xr:uid="{04C88D86-47FB-48E2-AAB4-C4A0858866DE}"/>
    <cellStyle name="Normal 2 2 7 2 2 5 2" xfId="26257" xr:uid="{89BCEFB6-D43B-48F3-AEF0-05D2975EC454}"/>
    <cellStyle name="Normal 2 2 7 2 2 5 3" xfId="43016" xr:uid="{92920043-9DF6-4F88-B3C3-1983D3A81A1C}"/>
    <cellStyle name="Normal 2 2 7 2 2 6" xfId="17877" xr:uid="{30A255D6-AA72-4B83-8C2D-03C2BDD239E6}"/>
    <cellStyle name="Normal 2 2 7 2 2 7" xfId="34636" xr:uid="{A1959048-97CF-4BF4-92EF-0D5F26983E67}"/>
    <cellStyle name="Normal 2 2 7 2 3" xfId="1536" xr:uid="{F3722304-90E3-4DD2-AA9C-A842FC90BC87}"/>
    <cellStyle name="Normal 2 2 7 2 3 2" xfId="4925" xr:uid="{0516A5C8-E515-42FC-A20F-B327A97493CB}"/>
    <cellStyle name="Normal 2 2 7 2 3 2 2" xfId="13305" xr:uid="{75692E1E-5C3C-46D0-98A0-4F7571B08638}"/>
    <cellStyle name="Normal 2 2 7 2 3 2 2 2" xfId="30065" xr:uid="{AC707EAF-7979-4E42-8774-C4CB5F0CE13D}"/>
    <cellStyle name="Normal 2 2 7 2 3 2 2 3" xfId="46824" xr:uid="{DC30DE1F-6147-4A13-8B9A-15FBD8994F88}"/>
    <cellStyle name="Normal 2 2 7 2 3 2 3" xfId="21685" xr:uid="{04806D02-7F19-4414-A016-061A5D2BE151}"/>
    <cellStyle name="Normal 2 2 7 2 3 2 4" xfId="38444" xr:uid="{29CAFA5A-0E26-4516-A773-BC9D6D3C5773}"/>
    <cellStyle name="Normal 2 2 7 2 3 3" xfId="6612" xr:uid="{A787C05F-A9B9-4694-B0C3-53DC8C3B5872}"/>
    <cellStyle name="Normal 2 2 7 2 3 3 2" xfId="14992" xr:uid="{122C86CE-7A91-4284-99D6-9A5456AD0550}"/>
    <cellStyle name="Normal 2 2 7 2 3 3 2 2" xfId="31752" xr:uid="{E689FA88-E4DB-4F61-B1BE-DEE5BF51FE53}"/>
    <cellStyle name="Normal 2 2 7 2 3 3 2 3" xfId="48511" xr:uid="{22494A03-E7CC-4C4B-A9FB-1309625A3C09}"/>
    <cellStyle name="Normal 2 2 7 2 3 3 3" xfId="23372" xr:uid="{FDFB8AE0-C6A0-45E2-B7A8-D02E3E1CC777}"/>
    <cellStyle name="Normal 2 2 7 2 3 3 4" xfId="40131" xr:uid="{137A2BB5-7D60-42FD-9A51-E317652A1F1A}"/>
    <cellStyle name="Normal 2 2 7 2 3 4" xfId="3348" xr:uid="{95E0709F-1987-430C-9BAE-71F27CC68F7E}"/>
    <cellStyle name="Normal 2 2 7 2 3 4 2" xfId="11728" xr:uid="{F0A0FC67-0574-4AF1-9878-44CF024EB8E4}"/>
    <cellStyle name="Normal 2 2 7 2 3 4 2 2" xfId="28488" xr:uid="{BFB5326C-B199-4280-A93F-45CBB582BC2F}"/>
    <cellStyle name="Normal 2 2 7 2 3 4 2 3" xfId="45247" xr:uid="{B568A1C4-8777-46BA-9245-71ABC9AF1211}"/>
    <cellStyle name="Normal 2 2 7 2 3 4 3" xfId="20108" xr:uid="{0C704246-B2F3-4861-B684-B8366CC9039C}"/>
    <cellStyle name="Normal 2 2 7 2 3 4 4" xfId="36867" xr:uid="{11669733-77E0-43EE-9334-2911645E5E13}"/>
    <cellStyle name="Normal 2 2 7 2 3 5" xfId="9925" xr:uid="{74E43F23-FC63-4625-B16D-73239F82C14C}"/>
    <cellStyle name="Normal 2 2 7 2 3 5 2" xfId="26685" xr:uid="{FD0CE20E-5130-4F66-86F2-1FE7644A9A89}"/>
    <cellStyle name="Normal 2 2 7 2 3 5 3" xfId="43444" xr:uid="{776BBF86-5066-4DCF-A4EE-8722849853CC}"/>
    <cellStyle name="Normal 2 2 7 2 3 6" xfId="18305" xr:uid="{8540E48D-BA92-47A0-A770-0686FAF89C4E}"/>
    <cellStyle name="Normal 2 2 7 2 3 7" xfId="35064" xr:uid="{C3A9593E-FC6D-4419-8813-BBC73538C0E9}"/>
    <cellStyle name="Normal 2 2 7 2 4" xfId="1853" xr:uid="{373777E7-6EB6-4B96-BB2F-9B48A5C9F5F4}"/>
    <cellStyle name="Normal 2 2 7 2 4 2" xfId="5242" xr:uid="{6C165905-AE81-4E87-861C-DBF307E2BFED}"/>
    <cellStyle name="Normal 2 2 7 2 4 2 2" xfId="13622" xr:uid="{351EB3D1-FED1-499D-99F1-77A1D8936C83}"/>
    <cellStyle name="Normal 2 2 7 2 4 2 2 2" xfId="30382" xr:uid="{C0AA942D-810F-4A96-9591-0C61ACDEF604}"/>
    <cellStyle name="Normal 2 2 7 2 4 2 2 3" xfId="47141" xr:uid="{032B9556-0E86-4B74-B281-43BFBFBFFABE}"/>
    <cellStyle name="Normal 2 2 7 2 4 2 3" xfId="22002" xr:uid="{1435D2B1-F4D0-473A-9243-EE22C5F2B059}"/>
    <cellStyle name="Normal 2 2 7 2 4 2 4" xfId="38761" xr:uid="{A3730C82-1D4C-40BA-A3A6-18607A40B997}"/>
    <cellStyle name="Normal 2 2 7 2 4 3" xfId="6929" xr:uid="{8935B778-E6C4-46BE-9745-BAC9B3EDA967}"/>
    <cellStyle name="Normal 2 2 7 2 4 3 2" xfId="15309" xr:uid="{7F24E52D-B2DC-4E98-BB16-086C8260E5A2}"/>
    <cellStyle name="Normal 2 2 7 2 4 3 2 2" xfId="32069" xr:uid="{55834F4F-9666-40CA-91FD-FB05AD247062}"/>
    <cellStyle name="Normal 2 2 7 2 4 3 2 3" xfId="48828" xr:uid="{9EF97A12-58D6-4F3F-A676-C59D0C1745EE}"/>
    <cellStyle name="Normal 2 2 7 2 4 3 3" xfId="23689" xr:uid="{0FCFCF6E-0070-436B-B837-A239699C4345}"/>
    <cellStyle name="Normal 2 2 7 2 4 3 4" xfId="40448" xr:uid="{25C5B322-9423-4646-AE7A-FDA3F665046F}"/>
    <cellStyle name="Normal 2 2 7 2 4 4" xfId="3553" xr:uid="{51EFDE07-B000-4BB2-9EBD-928A9D0A6257}"/>
    <cellStyle name="Normal 2 2 7 2 4 4 2" xfId="11933" xr:uid="{BFCE5F7A-41BA-403F-A090-B23493DFEA77}"/>
    <cellStyle name="Normal 2 2 7 2 4 4 2 2" xfId="28693" xr:uid="{E935E134-1940-4532-98D2-585B166FE1B2}"/>
    <cellStyle name="Normal 2 2 7 2 4 4 2 3" xfId="45452" xr:uid="{B73AA7F7-E34D-44A7-B4FB-81D552A24491}"/>
    <cellStyle name="Normal 2 2 7 2 4 4 3" xfId="20313" xr:uid="{442ABD83-46CB-4B28-8392-168A499E0F3D}"/>
    <cellStyle name="Normal 2 2 7 2 4 4 4" xfId="37072" xr:uid="{6D345F96-FBAE-4033-BEAA-18EEB67E4EE8}"/>
    <cellStyle name="Normal 2 2 7 2 4 5" xfId="10242" xr:uid="{50A82FC5-3CD9-45D6-B941-552CF3DC7EDE}"/>
    <cellStyle name="Normal 2 2 7 2 4 5 2" xfId="27002" xr:uid="{0AFABC0C-0A7E-4010-A917-3707C8C5F2E2}"/>
    <cellStyle name="Normal 2 2 7 2 4 5 3" xfId="43761" xr:uid="{D40EF97A-40AD-4FAC-8451-319E922F03DE}"/>
    <cellStyle name="Normal 2 2 7 2 4 6" xfId="18622" xr:uid="{D9EEF376-23FD-4E6B-A8FF-42CC99908C4B}"/>
    <cellStyle name="Normal 2 2 7 2 4 7" xfId="35381" xr:uid="{378F2A21-69CD-4711-A362-A7AC5BE93D9B}"/>
    <cellStyle name="Normal 2 2 7 2 5" xfId="3972" xr:uid="{0F7E1111-8C06-4C7D-AA0B-8140CA944236}"/>
    <cellStyle name="Normal 2 2 7 2 5 2" xfId="12352" xr:uid="{35825875-AEE8-4D39-824A-45BEBB6D032B}"/>
    <cellStyle name="Normal 2 2 7 2 5 2 2" xfId="29112" xr:uid="{A1448BD3-905B-4063-B71B-ECDCA9477727}"/>
    <cellStyle name="Normal 2 2 7 2 5 2 3" xfId="45871" xr:uid="{F81D8062-EB8E-4D92-B15E-1FFF8AC76ED8}"/>
    <cellStyle name="Normal 2 2 7 2 5 3" xfId="20732" xr:uid="{65CEA8CF-1910-4D7A-8E4B-A127ECFBFE85}"/>
    <cellStyle name="Normal 2 2 7 2 5 4" xfId="37491" xr:uid="{91B19330-96F9-43A8-8808-074951CD0819}"/>
    <cellStyle name="Normal 2 2 7 2 6" xfId="5758" xr:uid="{044879FA-2040-4C35-A4DC-0D3B77CA1208}"/>
    <cellStyle name="Normal 2 2 7 2 6 2" xfId="14138" xr:uid="{52610663-6BA7-4BF3-9ED8-B0593ABD03C0}"/>
    <cellStyle name="Normal 2 2 7 2 6 2 2" xfId="30898" xr:uid="{2B2DC40D-D2D8-434B-A695-145D4F236DDB}"/>
    <cellStyle name="Normal 2 2 7 2 6 2 3" xfId="47657" xr:uid="{84AA9AC8-B5EA-497A-A62E-1D376670F00E}"/>
    <cellStyle name="Normal 2 2 7 2 6 3" xfId="22518" xr:uid="{06181821-0714-445D-9218-C2AAEA68A80F}"/>
    <cellStyle name="Normal 2 2 7 2 6 4" xfId="39277" xr:uid="{A68C74B8-E21E-44BF-BBFF-1CB220DAF93D}"/>
    <cellStyle name="Normal 2 2 7 2 7" xfId="7335" xr:uid="{B4FF7654-56A5-4B56-93DB-EEDFB6641487}"/>
    <cellStyle name="Normal 2 2 7 2 7 2" xfId="15715" xr:uid="{684D05A2-FFFE-465B-96BE-A8A7187B0E38}"/>
    <cellStyle name="Normal 2 2 7 2 7 2 2" xfId="32475" xr:uid="{5A8B3C9C-9C6A-4420-AF98-06B788DC5DEA}"/>
    <cellStyle name="Normal 2 2 7 2 7 2 3" xfId="49234" xr:uid="{5B29280F-ED71-4B2D-8295-89D1E3707423}"/>
    <cellStyle name="Normal 2 2 7 2 7 3" xfId="24095" xr:uid="{75090CDD-8548-4996-A67F-3FA58556DD44}"/>
    <cellStyle name="Normal 2 2 7 2 7 4" xfId="40854" xr:uid="{2A727224-31CD-4E61-A7B3-734EFA38E642}"/>
    <cellStyle name="Normal 2 2 7 2 8" xfId="7741" xr:uid="{B2BD10D5-F525-466B-B038-EE36770DE0A7}"/>
    <cellStyle name="Normal 2 2 7 2 8 2" xfId="16121" xr:uid="{5DA88D5D-CE36-416C-92BA-586FD5193004}"/>
    <cellStyle name="Normal 2 2 7 2 8 2 2" xfId="32881" xr:uid="{D54D672A-9C83-455F-B67C-FA6968CCC38B}"/>
    <cellStyle name="Normal 2 2 7 2 8 2 3" xfId="49640" xr:uid="{E731E48E-D6E0-4817-8D22-64397B7E522A}"/>
    <cellStyle name="Normal 2 2 7 2 8 3" xfId="24501" xr:uid="{A6F6E486-EB5F-4E51-9F35-6192D94942E7}"/>
    <cellStyle name="Normal 2 2 7 2 8 4" xfId="41260" xr:uid="{FA9B87DB-E9EB-4E96-9031-0F88E534DB99}"/>
    <cellStyle name="Normal 2 2 7 2 9" xfId="8147" xr:uid="{56A79910-7FD1-4853-8551-582F84E40A00}"/>
    <cellStyle name="Normal 2 2 7 2 9 2" xfId="16527" xr:uid="{24E5F8DD-89E9-4A52-BC7D-F089C85FE5CF}"/>
    <cellStyle name="Normal 2 2 7 2 9 2 2" xfId="33287" xr:uid="{1F447952-46F1-4495-9D7B-1FB043AAEADB}"/>
    <cellStyle name="Normal 2 2 7 2 9 2 3" xfId="50046" xr:uid="{9E7605F8-2442-4348-B776-AF711AC5FEEC}"/>
    <cellStyle name="Normal 2 2 7 2 9 3" xfId="24907" xr:uid="{08154324-E2C8-4B94-BF5C-21ED1FF7C4BF}"/>
    <cellStyle name="Normal 2 2 7 2 9 4" xfId="41666" xr:uid="{CE40489B-FE1C-41A8-9BF0-906AE480B174}"/>
    <cellStyle name="Normal 2 2 7 3" xfId="661" xr:uid="{34F48DC8-5AA1-4690-A4C8-2D0FD41C330D}"/>
    <cellStyle name="Normal 2 2 7 3 10" xfId="8668" xr:uid="{5005F30B-D549-49A4-868E-E55433213B00}"/>
    <cellStyle name="Normal 2 2 7 3 10 2" xfId="17048" xr:uid="{157EF4A0-F006-49E4-B79B-8428116D8F9C}"/>
    <cellStyle name="Normal 2 2 7 3 10 2 2" xfId="33808" xr:uid="{A92D6E59-3C32-4B0F-9063-AE13FCED4FF4}"/>
    <cellStyle name="Normal 2 2 7 3 10 2 3" xfId="50567" xr:uid="{BEAC5709-AEB3-46B1-9B84-B173882E24A9}"/>
    <cellStyle name="Normal 2 2 7 3 10 3" xfId="25428" xr:uid="{6B4ADF3E-529D-4F40-ABB4-7A5602A07C8F}"/>
    <cellStyle name="Normal 2 2 7 3 10 4" xfId="42187" xr:uid="{BF7D26E4-39C5-4845-9B04-A2453DA474B2}"/>
    <cellStyle name="Normal 2 2 7 3 11" xfId="2493" xr:uid="{8903FF4B-E342-4C5B-B2EB-2F214334D5CD}"/>
    <cellStyle name="Normal 2 2 7 3 11 2" xfId="10875" xr:uid="{B0DBC85A-C6C0-436D-B0CC-C9777BFE09DD}"/>
    <cellStyle name="Normal 2 2 7 3 11 2 2" xfId="27635" xr:uid="{12F00388-836A-4E12-9B62-4DC32A4D3C04}"/>
    <cellStyle name="Normal 2 2 7 3 11 2 3" xfId="44394" xr:uid="{654C57BF-5741-42C9-9CD1-9CA433AEEF42}"/>
    <cellStyle name="Normal 2 2 7 3 11 3" xfId="19255" xr:uid="{8FAF2D70-249F-4FAE-ABE7-8C9F6E1E8DDD}"/>
    <cellStyle name="Normal 2 2 7 3 11 4" xfId="36014" xr:uid="{B7786631-2131-4019-8764-79373D4FBF95}"/>
    <cellStyle name="Normal 2 2 7 3 12" xfId="9072" xr:uid="{1973B252-8411-4DA0-B92E-5246DE38C7FB}"/>
    <cellStyle name="Normal 2 2 7 3 12 2" xfId="25832" xr:uid="{BF2D63D8-867D-430C-AD3B-7ACB955797DA}"/>
    <cellStyle name="Normal 2 2 7 3 12 3" xfId="42591" xr:uid="{75C257D6-DC14-47D9-9A15-D953FCF457AE}"/>
    <cellStyle name="Normal 2 2 7 3 13" xfId="17452" xr:uid="{89CE1B32-CEDF-4482-B5EC-293A75ACA5EC}"/>
    <cellStyle name="Normal 2 2 7 3 14" xfId="34211" xr:uid="{A37DC847-0A13-40BE-B250-4ED2B6595CBC}"/>
    <cellStyle name="Normal 2 2 7 3 2" xfId="1103" xr:uid="{E2546A02-5E89-49F9-A102-76D0810147F8}"/>
    <cellStyle name="Normal 2 2 7 3 2 2" xfId="4498" xr:uid="{5154905B-5E4D-497E-818E-DA5510C22CEC}"/>
    <cellStyle name="Normal 2 2 7 3 2 2 2" xfId="12878" xr:uid="{ECDFBFBB-EC83-4962-94BF-B37BE3E4EACA}"/>
    <cellStyle name="Normal 2 2 7 3 2 2 2 2" xfId="29638" xr:uid="{DD3DA1E0-E46B-4820-A03D-FD2785DD03D8}"/>
    <cellStyle name="Normal 2 2 7 3 2 2 2 3" xfId="46397" xr:uid="{596F9C75-3993-4C04-A7CE-5A7ED8007986}"/>
    <cellStyle name="Normal 2 2 7 3 2 2 3" xfId="21258" xr:uid="{9971B8C8-EA12-4E19-A2E4-CBD3281755E3}"/>
    <cellStyle name="Normal 2 2 7 3 2 2 4" xfId="38017" xr:uid="{4EB2DB56-5CF6-4227-BA22-AC4BA78EFD32}"/>
    <cellStyle name="Normal 2 2 7 3 2 3" xfId="6185" xr:uid="{26C03201-0025-47B1-B331-6C33A0390C13}"/>
    <cellStyle name="Normal 2 2 7 3 2 3 2" xfId="14565" xr:uid="{EF535EC1-3A3A-4E97-873D-8D1AFBA9AF11}"/>
    <cellStyle name="Normal 2 2 7 3 2 3 2 2" xfId="31325" xr:uid="{4E2468AD-A3F0-4035-BC04-12EB97B3D18E}"/>
    <cellStyle name="Normal 2 2 7 3 2 3 2 3" xfId="48084" xr:uid="{55E803C8-CEE0-4C1C-AADD-9A3A91B1987C}"/>
    <cellStyle name="Normal 2 2 7 3 2 3 3" xfId="22945" xr:uid="{A9CA84EC-AAD2-4A2D-8363-E1FEA6A52493}"/>
    <cellStyle name="Normal 2 2 7 3 2 3 4" xfId="39704" xr:uid="{80D70B1A-80DC-41FD-A6B8-0E396680C4C1}"/>
    <cellStyle name="Normal 2 2 7 3 2 4" xfId="2921" xr:uid="{C13949D2-7D37-45A0-B8B3-B900CE331425}"/>
    <cellStyle name="Normal 2 2 7 3 2 4 2" xfId="11301" xr:uid="{E6259E23-22FF-4429-9339-BD180B398FBE}"/>
    <cellStyle name="Normal 2 2 7 3 2 4 2 2" xfId="28061" xr:uid="{B8BE6F02-F11F-4CCF-8800-FBC98231A3EA}"/>
    <cellStyle name="Normal 2 2 7 3 2 4 2 3" xfId="44820" xr:uid="{5EDDF453-06AC-425D-AB8E-0FD5B64314E1}"/>
    <cellStyle name="Normal 2 2 7 3 2 4 3" xfId="19681" xr:uid="{6C174025-12DF-4D5F-AD50-754D9A550214}"/>
    <cellStyle name="Normal 2 2 7 3 2 4 4" xfId="36440" xr:uid="{48F3729E-F0CC-4047-A9AD-1FCA40C7A59E}"/>
    <cellStyle name="Normal 2 2 7 3 2 5" xfId="9498" xr:uid="{A40BA648-D68E-4E21-98F6-0548226E10BC}"/>
    <cellStyle name="Normal 2 2 7 3 2 5 2" xfId="26258" xr:uid="{5FA97214-8E8F-4578-8148-84101B5D8320}"/>
    <cellStyle name="Normal 2 2 7 3 2 5 3" xfId="43017" xr:uid="{6D58890C-60AD-4209-BA1E-1A620040D28D}"/>
    <cellStyle name="Normal 2 2 7 3 2 6" xfId="17878" xr:uid="{4EA69B59-3F8E-4435-8286-729D412BD4BE}"/>
    <cellStyle name="Normal 2 2 7 3 2 7" xfId="34637" xr:uid="{ED2436AA-35AC-4CD0-AC72-A687356F7687}"/>
    <cellStyle name="Normal 2 2 7 3 3" xfId="1537" xr:uid="{D8642B8B-982A-423A-92F8-D008D9A28194}"/>
    <cellStyle name="Normal 2 2 7 3 3 2" xfId="4926" xr:uid="{8EB39490-9361-43C4-BA95-63FDB4CEC38B}"/>
    <cellStyle name="Normal 2 2 7 3 3 2 2" xfId="13306" xr:uid="{BD370C29-1999-4054-8623-816E33D7A0BB}"/>
    <cellStyle name="Normal 2 2 7 3 3 2 2 2" xfId="30066" xr:uid="{4E08A10E-3116-4195-92AD-F56096608FF8}"/>
    <cellStyle name="Normal 2 2 7 3 3 2 2 3" xfId="46825" xr:uid="{58BEC85B-9DE3-404B-B541-F4AC6234AA26}"/>
    <cellStyle name="Normal 2 2 7 3 3 2 3" xfId="21686" xr:uid="{2509668E-C3CB-43F3-839F-947B3E069348}"/>
    <cellStyle name="Normal 2 2 7 3 3 2 4" xfId="38445" xr:uid="{5BA1BB1F-FF6D-4DBE-8CC9-3EF485AA05E3}"/>
    <cellStyle name="Normal 2 2 7 3 3 3" xfId="6613" xr:uid="{AF5A73FB-A978-449C-8C0A-8240846E5C4A}"/>
    <cellStyle name="Normal 2 2 7 3 3 3 2" xfId="14993" xr:uid="{FE64C09B-6CBE-4A95-B361-A4091ABF5269}"/>
    <cellStyle name="Normal 2 2 7 3 3 3 2 2" xfId="31753" xr:uid="{5DF44B52-8A6E-431C-AD36-77A582F5548D}"/>
    <cellStyle name="Normal 2 2 7 3 3 3 2 3" xfId="48512" xr:uid="{84398FE3-1F33-4CFA-9B43-377323790A9B}"/>
    <cellStyle name="Normal 2 2 7 3 3 3 3" xfId="23373" xr:uid="{5155F07F-866B-4D3A-B5C2-98801695DF39}"/>
    <cellStyle name="Normal 2 2 7 3 3 3 4" xfId="40132" xr:uid="{46BB4332-0328-43F7-9CF7-1AA6E54ED1E8}"/>
    <cellStyle name="Normal 2 2 7 3 3 4" xfId="3349" xr:uid="{8AFE1F2F-F2A5-4753-8065-3801FF39D52D}"/>
    <cellStyle name="Normal 2 2 7 3 3 4 2" xfId="11729" xr:uid="{56E7B107-8645-4008-8364-2F559613975F}"/>
    <cellStyle name="Normal 2 2 7 3 3 4 2 2" xfId="28489" xr:uid="{A0C06EFB-3AB0-437A-BD78-F043CC7208BF}"/>
    <cellStyle name="Normal 2 2 7 3 3 4 2 3" xfId="45248" xr:uid="{75CDF02A-8DD8-4A45-9A4F-0834431AB176}"/>
    <cellStyle name="Normal 2 2 7 3 3 4 3" xfId="20109" xr:uid="{74D57B11-ACFD-4C8A-901A-7BB21F6E9D7C}"/>
    <cellStyle name="Normal 2 2 7 3 3 4 4" xfId="36868" xr:uid="{C41DCDFA-8792-4CCD-B753-17C675D99BFC}"/>
    <cellStyle name="Normal 2 2 7 3 3 5" xfId="9926" xr:uid="{F2A46796-7DDA-4126-A687-7892A7C5FF95}"/>
    <cellStyle name="Normal 2 2 7 3 3 5 2" xfId="26686" xr:uid="{3D102B41-C479-43A2-9ECD-8842726678DA}"/>
    <cellStyle name="Normal 2 2 7 3 3 5 3" xfId="43445" xr:uid="{0F71D69D-E913-4FDB-A728-FC97697E6AEE}"/>
    <cellStyle name="Normal 2 2 7 3 3 6" xfId="18306" xr:uid="{43FAAFE7-003B-43EA-9AD2-0B464B492CE2}"/>
    <cellStyle name="Normal 2 2 7 3 3 7" xfId="35065" xr:uid="{955D35A2-D1F3-41A0-BC31-0F6050FCAED8}"/>
    <cellStyle name="Normal 2 2 7 3 4" xfId="1968" xr:uid="{8D0A2D9A-447C-4681-9DAE-6079F6D5F269}"/>
    <cellStyle name="Normal 2 2 7 3 4 2" xfId="5357" xr:uid="{68708420-E0CA-4CA9-989D-13A2770BC676}"/>
    <cellStyle name="Normal 2 2 7 3 4 2 2" xfId="13737" xr:uid="{F8490720-48BC-457D-8C05-A2C97EFDD331}"/>
    <cellStyle name="Normal 2 2 7 3 4 2 2 2" xfId="30497" xr:uid="{96E97657-449C-4FF6-914B-E7B507FF9FA6}"/>
    <cellStyle name="Normal 2 2 7 3 4 2 2 3" xfId="47256" xr:uid="{36BA54A0-0823-4F6D-8382-1F46B062588A}"/>
    <cellStyle name="Normal 2 2 7 3 4 2 3" xfId="22117" xr:uid="{BE623D45-84DF-4AEA-B417-5432223EEA50}"/>
    <cellStyle name="Normal 2 2 7 3 4 2 4" xfId="38876" xr:uid="{EE4D403B-B8D8-48B0-B414-18B2900804F1}"/>
    <cellStyle name="Normal 2 2 7 3 4 3" xfId="7044" xr:uid="{5204FB71-637E-4A77-84F6-FDE3CB710B09}"/>
    <cellStyle name="Normal 2 2 7 3 4 3 2" xfId="15424" xr:uid="{DEE9339B-3108-4867-AB74-D4EF18C6570A}"/>
    <cellStyle name="Normal 2 2 7 3 4 3 2 2" xfId="32184" xr:uid="{7E47FBFC-1D5E-4236-9F3E-B42FD8793D2D}"/>
    <cellStyle name="Normal 2 2 7 3 4 3 2 3" xfId="48943" xr:uid="{7721897E-D181-4B94-A94A-3F2D508C3DEE}"/>
    <cellStyle name="Normal 2 2 7 3 4 3 3" xfId="23804" xr:uid="{5A837178-424B-47CB-83E4-E8213115432E}"/>
    <cellStyle name="Normal 2 2 7 3 4 3 4" xfId="40563" xr:uid="{C9A2CC9A-EC9F-4B3B-B3C7-18A6ACA5F051}"/>
    <cellStyle name="Normal 2 2 7 3 4 4" xfId="3667" xr:uid="{DABB566D-0A9F-4347-AB9A-F0EE51C796D5}"/>
    <cellStyle name="Normal 2 2 7 3 4 4 2" xfId="12047" xr:uid="{0BED82B7-31F4-4027-8F23-2D1A18F75CC8}"/>
    <cellStyle name="Normal 2 2 7 3 4 4 2 2" xfId="28807" xr:uid="{5115FC97-6053-4A84-8A66-D8341AAFB1E8}"/>
    <cellStyle name="Normal 2 2 7 3 4 4 2 3" xfId="45566" xr:uid="{1EDCDAF5-5DEB-475F-9C62-8263A0EEEBA6}"/>
    <cellStyle name="Normal 2 2 7 3 4 4 3" xfId="20427" xr:uid="{EB6B4401-54AB-497E-B914-6DC1C5EA26EE}"/>
    <cellStyle name="Normal 2 2 7 3 4 4 4" xfId="37186" xr:uid="{E38D9874-D4C5-4EF5-BDD4-F012CE2AAAD9}"/>
    <cellStyle name="Normal 2 2 7 3 4 5" xfId="10357" xr:uid="{673AC1DA-AE1D-4BCD-94A8-F9E59B1A8C49}"/>
    <cellStyle name="Normal 2 2 7 3 4 5 2" xfId="27117" xr:uid="{AFBBBD7B-3BA7-4CFB-BC0A-5649AB9BE388}"/>
    <cellStyle name="Normal 2 2 7 3 4 5 3" xfId="43876" xr:uid="{1196951F-0273-470A-B8EA-0D8FB5B7E25F}"/>
    <cellStyle name="Normal 2 2 7 3 4 6" xfId="18737" xr:uid="{66F74D8B-398C-4364-9BB6-1821CBA07B96}"/>
    <cellStyle name="Normal 2 2 7 3 4 7" xfId="35496" xr:uid="{54603EB8-CAE0-4074-99CA-A175CEB03D28}"/>
    <cellStyle name="Normal 2 2 7 3 5" xfId="4087" xr:uid="{73C0CCEE-27CE-408D-BFA3-3A11B3CA03B9}"/>
    <cellStyle name="Normal 2 2 7 3 5 2" xfId="12467" xr:uid="{D0CA8102-B069-436B-9A58-CA3019E4F73C}"/>
    <cellStyle name="Normal 2 2 7 3 5 2 2" xfId="29227" xr:uid="{5550BFB9-6BB1-4A3E-B17C-1E96FC3ED8ED}"/>
    <cellStyle name="Normal 2 2 7 3 5 2 3" xfId="45986" xr:uid="{5A30BD81-3BA1-4103-81D3-E044DB289B4D}"/>
    <cellStyle name="Normal 2 2 7 3 5 3" xfId="20847" xr:uid="{F6582902-129F-4FBC-A64E-E6D30020CBDE}"/>
    <cellStyle name="Normal 2 2 7 3 5 4" xfId="37606" xr:uid="{760767C0-BF0D-4CBE-B932-CDFB018592E4}"/>
    <cellStyle name="Normal 2 2 7 3 6" xfId="5759" xr:uid="{021BB1D8-E7A7-440B-B3A2-BE86374E7790}"/>
    <cellStyle name="Normal 2 2 7 3 6 2" xfId="14139" xr:uid="{37B4F5A2-56E1-420C-8B8F-589D0728C761}"/>
    <cellStyle name="Normal 2 2 7 3 6 2 2" xfId="30899" xr:uid="{993E10A3-57FE-4E8C-9E45-3BE5FCA880EB}"/>
    <cellStyle name="Normal 2 2 7 3 6 2 3" xfId="47658" xr:uid="{1174EEB0-244D-4277-9FC5-1C5B464914DC}"/>
    <cellStyle name="Normal 2 2 7 3 6 3" xfId="22519" xr:uid="{3D7CAB63-FADF-4F09-9AF2-5E52B8E51582}"/>
    <cellStyle name="Normal 2 2 7 3 6 4" xfId="39278" xr:uid="{4575482C-DBEC-4A36-B98C-A621E3B746F0}"/>
    <cellStyle name="Normal 2 2 7 3 7" xfId="7450" xr:uid="{D6641234-DF95-4FA8-AD1A-B1D82FD3661B}"/>
    <cellStyle name="Normal 2 2 7 3 7 2" xfId="15830" xr:uid="{5E5F3A7D-899B-45BD-AC50-769C800C55E9}"/>
    <cellStyle name="Normal 2 2 7 3 7 2 2" xfId="32590" xr:uid="{D92DC061-59A1-4564-BB56-7DAEEF808705}"/>
    <cellStyle name="Normal 2 2 7 3 7 2 3" xfId="49349" xr:uid="{F8360A4A-C918-4CF8-A875-179162CB6E8B}"/>
    <cellStyle name="Normal 2 2 7 3 7 3" xfId="24210" xr:uid="{384E566E-0875-4EC9-AFAA-DF1B4BD22524}"/>
    <cellStyle name="Normal 2 2 7 3 7 4" xfId="40969" xr:uid="{357F10A6-4835-4F53-820E-F0830FB10F97}"/>
    <cellStyle name="Normal 2 2 7 3 8" xfId="7856" xr:uid="{59491B3B-B5B1-4CBB-B408-57897D5C7999}"/>
    <cellStyle name="Normal 2 2 7 3 8 2" xfId="16236" xr:uid="{E151F35B-D1F3-4E72-ADDC-6857DD34451B}"/>
    <cellStyle name="Normal 2 2 7 3 8 2 2" xfId="32996" xr:uid="{B72A6F36-BF66-4AE6-ABAA-DD7C96289681}"/>
    <cellStyle name="Normal 2 2 7 3 8 2 3" xfId="49755" xr:uid="{08CB57CF-504A-4D6A-BEB5-2C0BA40F4DA5}"/>
    <cellStyle name="Normal 2 2 7 3 8 3" xfId="24616" xr:uid="{478D2AAB-3EF4-43DC-8DBC-118571CDFBA9}"/>
    <cellStyle name="Normal 2 2 7 3 8 4" xfId="41375" xr:uid="{77B893FC-4D5E-4112-A09A-6A204B69486C}"/>
    <cellStyle name="Normal 2 2 7 3 9" xfId="8262" xr:uid="{C4CA0BBC-41A6-46AB-88DF-A5DD72D6B448}"/>
    <cellStyle name="Normal 2 2 7 3 9 2" xfId="16642" xr:uid="{75BB3D46-26BE-49CF-AC83-7BF79D9BB51B}"/>
    <cellStyle name="Normal 2 2 7 3 9 2 2" xfId="33402" xr:uid="{923AF0A0-6895-4C3D-A431-1D9C522E7BF0}"/>
    <cellStyle name="Normal 2 2 7 3 9 2 3" xfId="50161" xr:uid="{C20D4CC5-8070-4EA6-9D5A-03AD295FE562}"/>
    <cellStyle name="Normal 2 2 7 3 9 3" xfId="25022" xr:uid="{845C3E44-C95D-4491-8796-93FAF91424D9}"/>
    <cellStyle name="Normal 2 2 7 3 9 4" xfId="41781" xr:uid="{2ED1A344-2533-47A0-AE7D-88C92D11688A}"/>
    <cellStyle name="Normal 2 2 7 4" xfId="1101" xr:uid="{672BB531-0918-4A90-873D-866A7FB003D9}"/>
    <cellStyle name="Normal 2 2 7 4 2" xfId="4496" xr:uid="{61FCB53F-9FF9-4409-9AD9-7200CE1B62F1}"/>
    <cellStyle name="Normal 2 2 7 4 2 2" xfId="12876" xr:uid="{E505A036-E65A-4F6D-9DFF-09D20C73C57E}"/>
    <cellStyle name="Normal 2 2 7 4 2 2 2" xfId="29636" xr:uid="{1DA4B1B8-FCEC-4AE9-89E1-CE072589D59B}"/>
    <cellStyle name="Normal 2 2 7 4 2 2 3" xfId="46395" xr:uid="{D52F5521-4858-40D5-91F5-C62F006E96E8}"/>
    <cellStyle name="Normal 2 2 7 4 2 3" xfId="21256" xr:uid="{0E9DA026-FD5E-439E-BD0F-34B0CB7F18E7}"/>
    <cellStyle name="Normal 2 2 7 4 2 4" xfId="38015" xr:uid="{7CECF7D2-47F3-4DF5-A798-EF76430D0E91}"/>
    <cellStyle name="Normal 2 2 7 4 3" xfId="6183" xr:uid="{3811FB8C-2542-4353-848E-D0425811B053}"/>
    <cellStyle name="Normal 2 2 7 4 3 2" xfId="14563" xr:uid="{4ABD3168-F38D-4747-8B66-6C5607D07820}"/>
    <cellStyle name="Normal 2 2 7 4 3 2 2" xfId="31323" xr:uid="{D4250713-30BF-4633-851F-B0A3695CB5E5}"/>
    <cellStyle name="Normal 2 2 7 4 3 2 3" xfId="48082" xr:uid="{6CDA25A0-9FEE-4229-85B9-8ACA26B076A3}"/>
    <cellStyle name="Normal 2 2 7 4 3 3" xfId="22943" xr:uid="{55FFA80C-BABF-4833-94D2-0D6A83E76F5A}"/>
    <cellStyle name="Normal 2 2 7 4 3 4" xfId="39702" xr:uid="{64FF56FC-4F9A-438F-93B1-D34967C91747}"/>
    <cellStyle name="Normal 2 2 7 4 4" xfId="2919" xr:uid="{453B67EE-1401-4B6C-ADC4-19343D9FD48C}"/>
    <cellStyle name="Normal 2 2 7 4 4 2" xfId="11299" xr:uid="{672E77B8-8984-4BD0-BAE1-923749BFDB8C}"/>
    <cellStyle name="Normal 2 2 7 4 4 2 2" xfId="28059" xr:uid="{61CEDF34-4B88-460A-ABF6-F5F791CD937C}"/>
    <cellStyle name="Normal 2 2 7 4 4 2 3" xfId="44818" xr:uid="{35CF84B7-5A66-4908-A21E-81A8C49908B7}"/>
    <cellStyle name="Normal 2 2 7 4 4 3" xfId="19679" xr:uid="{AFD7C8AE-80A9-42BD-8C2F-E433E20993DB}"/>
    <cellStyle name="Normal 2 2 7 4 4 4" xfId="36438" xr:uid="{D69CCBB2-5293-4526-9122-7235F89E1255}"/>
    <cellStyle name="Normal 2 2 7 4 5" xfId="9496" xr:uid="{67D175E4-9C45-42A5-9182-CD57208E1DED}"/>
    <cellStyle name="Normal 2 2 7 4 5 2" xfId="26256" xr:uid="{63FCF7BC-8F91-4918-BDF2-C536099FFF9E}"/>
    <cellStyle name="Normal 2 2 7 4 5 3" xfId="43015" xr:uid="{1F927479-7E7E-4EC1-B55B-1CE551941D89}"/>
    <cellStyle name="Normal 2 2 7 4 6" xfId="17876" xr:uid="{AF1E736C-8BCB-4984-9DCD-6AA552C957A2}"/>
    <cellStyle name="Normal 2 2 7 4 7" xfId="34635" xr:uid="{AAF89162-4724-462A-BA82-89E501BF0E52}"/>
    <cellStyle name="Normal 2 2 7 5" xfId="1535" xr:uid="{5C5E3FFE-6AB1-46D3-A2C1-F758CD74504D}"/>
    <cellStyle name="Normal 2 2 7 5 2" xfId="4924" xr:uid="{6C4FBF16-3D9F-4F20-B637-0658998E09A9}"/>
    <cellStyle name="Normal 2 2 7 5 2 2" xfId="13304" xr:uid="{E4603222-4A3A-49FF-9049-56CBAAF2F2B7}"/>
    <cellStyle name="Normal 2 2 7 5 2 2 2" xfId="30064" xr:uid="{C6E6038E-0F57-4534-955C-F19691AE450F}"/>
    <cellStyle name="Normal 2 2 7 5 2 2 3" xfId="46823" xr:uid="{04D0B469-C362-4B77-B201-AE9C5AD491FE}"/>
    <cellStyle name="Normal 2 2 7 5 2 3" xfId="21684" xr:uid="{F0661D89-EEE8-449A-B9F1-C0584F881E99}"/>
    <cellStyle name="Normal 2 2 7 5 2 4" xfId="38443" xr:uid="{5C3B8666-7E72-42B9-9E3D-191E03ECF839}"/>
    <cellStyle name="Normal 2 2 7 5 3" xfId="6611" xr:uid="{BAC4EC4C-BE11-4F64-A922-EC17241E98E5}"/>
    <cellStyle name="Normal 2 2 7 5 3 2" xfId="14991" xr:uid="{B6D86D83-A8BF-4FBD-B346-367529D1A972}"/>
    <cellStyle name="Normal 2 2 7 5 3 2 2" xfId="31751" xr:uid="{C1E3FEC8-C3A7-4D55-BB26-ABCA2DB25A11}"/>
    <cellStyle name="Normal 2 2 7 5 3 2 3" xfId="48510" xr:uid="{0F9DE47D-C6D3-4217-B00C-E0303D1B318D}"/>
    <cellStyle name="Normal 2 2 7 5 3 3" xfId="23371" xr:uid="{EBF56F41-061A-435D-959E-3529D263DE80}"/>
    <cellStyle name="Normal 2 2 7 5 3 4" xfId="40130" xr:uid="{6EF8A5F0-83A8-4F3E-AFDC-EB809B0D0ED2}"/>
    <cellStyle name="Normal 2 2 7 5 4" xfId="3347" xr:uid="{5AB4E94D-9693-412B-95A1-DC335D4D2FE4}"/>
    <cellStyle name="Normal 2 2 7 5 4 2" xfId="11727" xr:uid="{858C04AB-156B-4F21-AB26-C5F701ACA832}"/>
    <cellStyle name="Normal 2 2 7 5 4 2 2" xfId="28487" xr:uid="{19A9FFDD-3567-4CD2-A088-FC707642FC5D}"/>
    <cellStyle name="Normal 2 2 7 5 4 2 3" xfId="45246" xr:uid="{C9D806AE-43F1-47DB-8E50-61AE05371DCA}"/>
    <cellStyle name="Normal 2 2 7 5 4 3" xfId="20107" xr:uid="{16CC8C93-7CB9-4129-8477-036A85422772}"/>
    <cellStyle name="Normal 2 2 7 5 4 4" xfId="36866" xr:uid="{6BB25AE0-A89E-4336-B697-BC4DF7F71E52}"/>
    <cellStyle name="Normal 2 2 7 5 5" xfId="9924" xr:uid="{016FFEE8-63F0-4728-9146-41BDE62FD542}"/>
    <cellStyle name="Normal 2 2 7 5 5 2" xfId="26684" xr:uid="{8461BC4B-3D1A-4E52-953A-6290A0A022AF}"/>
    <cellStyle name="Normal 2 2 7 5 5 3" xfId="43443" xr:uid="{84080DC4-9980-4850-AE55-1CAA1031F5FF}"/>
    <cellStyle name="Normal 2 2 7 5 6" xfId="18304" xr:uid="{913FFB72-BFC2-45ED-88FC-B27497461375}"/>
    <cellStyle name="Normal 2 2 7 5 7" xfId="35063" xr:uid="{00C03656-D6AC-40AC-8923-8E91B9EA4675}"/>
    <cellStyle name="Normal 2 2 7 6" xfId="1697" xr:uid="{76DEC223-39ED-4481-AA1D-D350E2CE2611}"/>
    <cellStyle name="Normal 2 2 7 6 2" xfId="5086" xr:uid="{2D54DA92-1125-470C-920D-42C35896E5E8}"/>
    <cellStyle name="Normal 2 2 7 6 2 2" xfId="13466" xr:uid="{72F046A4-1B9B-455A-9C53-E11472D484B8}"/>
    <cellStyle name="Normal 2 2 7 6 2 2 2" xfId="30226" xr:uid="{7FFD93BB-5B32-46D3-9867-EBEAD6621EF3}"/>
    <cellStyle name="Normal 2 2 7 6 2 2 3" xfId="46985" xr:uid="{4B76359A-A204-4A7B-ACB0-1634D25EDC1B}"/>
    <cellStyle name="Normal 2 2 7 6 2 3" xfId="21846" xr:uid="{6A432837-835E-4CFF-824B-E873D864D00F}"/>
    <cellStyle name="Normal 2 2 7 6 2 4" xfId="38605" xr:uid="{16654917-E22B-42D7-B09A-8E5B8FB617DD}"/>
    <cellStyle name="Normal 2 2 7 6 3" xfId="6773" xr:uid="{F86553C6-98A6-44E7-AB93-02D20210FADE}"/>
    <cellStyle name="Normal 2 2 7 6 3 2" xfId="15153" xr:uid="{D3594D56-1B9E-4BD8-A511-AB0203DE0DA8}"/>
    <cellStyle name="Normal 2 2 7 6 3 2 2" xfId="31913" xr:uid="{EB88D01C-A562-4066-8EF6-5F0BD8A13B9D}"/>
    <cellStyle name="Normal 2 2 7 6 3 2 3" xfId="48672" xr:uid="{BEB4700F-D9E0-400B-936F-5F2B3912BCCE}"/>
    <cellStyle name="Normal 2 2 7 6 3 3" xfId="23533" xr:uid="{F4346FD7-ABE8-4142-A120-27976DAFBD69}"/>
    <cellStyle name="Normal 2 2 7 6 3 4" xfId="40292" xr:uid="{5B6B8E69-0EFC-45DA-81A9-D0EA757A9519}"/>
    <cellStyle name="Normal 2 2 7 6 4" xfId="2491" xr:uid="{623D7C2C-A27E-41B5-BCB9-35EDB3876B6E}"/>
    <cellStyle name="Normal 2 2 7 6 4 2" xfId="10873" xr:uid="{0CAC3DF2-39D9-4C3D-B76C-FF7408AE5149}"/>
    <cellStyle name="Normal 2 2 7 6 4 2 2" xfId="27633" xr:uid="{865BDC69-DBDA-4C6B-901D-E6DD3A3EA01F}"/>
    <cellStyle name="Normal 2 2 7 6 4 2 3" xfId="44392" xr:uid="{2441E31D-2F95-42B5-A544-5EA5795476A3}"/>
    <cellStyle name="Normal 2 2 7 6 4 3" xfId="19253" xr:uid="{A91CF356-A2CF-4F90-A3B1-EB6112913037}"/>
    <cellStyle name="Normal 2 2 7 6 4 4" xfId="36012" xr:uid="{A836D9FE-7256-4EB4-B563-CDA7546F4FA8}"/>
    <cellStyle name="Normal 2 2 7 6 5" xfId="10086" xr:uid="{4C62F71A-6989-4965-99B9-2DE673723969}"/>
    <cellStyle name="Normal 2 2 7 6 5 2" xfId="26846" xr:uid="{D4897357-4CE0-4641-973C-36A08B7DD73A}"/>
    <cellStyle name="Normal 2 2 7 6 5 3" xfId="43605" xr:uid="{E701BE1D-3013-42CF-8199-23E53D8F762D}"/>
    <cellStyle name="Normal 2 2 7 6 6" xfId="18466" xr:uid="{E24C8FA2-A1B2-4F36-A877-E38D9F6CDE54}"/>
    <cellStyle name="Normal 2 2 7 6 7" xfId="35225" xr:uid="{8FD963E1-7DFA-4C77-92E4-32EA23B29B09}"/>
    <cellStyle name="Normal 2 2 7 7" xfId="3815" xr:uid="{30245BC9-8D70-4CCF-9798-CECB2B51233B}"/>
    <cellStyle name="Normal 2 2 7 7 2" xfId="12195" xr:uid="{84AAADB1-32EE-4FAA-97C9-16690F86355E}"/>
    <cellStyle name="Normal 2 2 7 7 2 2" xfId="28955" xr:uid="{A01A98BE-2B8B-4967-B445-F52E3AE54EAD}"/>
    <cellStyle name="Normal 2 2 7 7 2 3" xfId="45714" xr:uid="{262B501C-8886-48E6-AB61-E622FFBEEAF5}"/>
    <cellStyle name="Normal 2 2 7 7 3" xfId="20575" xr:uid="{A5F5B7D6-2F02-41E0-B718-C898F8EB7B71}"/>
    <cellStyle name="Normal 2 2 7 7 4" xfId="37334" xr:uid="{8DC870DA-4BA1-4622-AE61-D8562C31B8D0}"/>
    <cellStyle name="Normal 2 2 7 8" xfId="5757" xr:uid="{F80B00AE-932F-4603-AC94-AEC4D6343D8F}"/>
    <cellStyle name="Normal 2 2 7 8 2" xfId="14137" xr:uid="{A33697F5-6A84-4D8F-AF6B-71E7E339C657}"/>
    <cellStyle name="Normal 2 2 7 8 2 2" xfId="30897" xr:uid="{64878D3B-B5DE-4CAC-B0DB-D6624317AD28}"/>
    <cellStyle name="Normal 2 2 7 8 2 3" xfId="47656" xr:uid="{3EDA6865-306B-44BC-B43D-EB6F26C80A9A}"/>
    <cellStyle name="Normal 2 2 7 8 3" xfId="22517" xr:uid="{4C1F8143-3EF9-4EBA-9604-187B86AF3FCE}"/>
    <cellStyle name="Normal 2 2 7 8 4" xfId="39276" xr:uid="{DCC1903F-83B7-4D23-99CF-C855CA91FC14}"/>
    <cellStyle name="Normal 2 2 7 9" xfId="7179" xr:uid="{6859E6CE-5299-4BD5-B433-50AF8919D4F3}"/>
    <cellStyle name="Normal 2 2 7 9 2" xfId="15559" xr:uid="{77116929-33E0-486D-84A2-150C29660BEC}"/>
    <cellStyle name="Normal 2 2 7 9 2 2" xfId="32319" xr:uid="{5619D858-D643-453F-B25C-355A60ADFC9F}"/>
    <cellStyle name="Normal 2 2 7 9 2 3" xfId="49078" xr:uid="{092EF3B0-CF9F-4274-A818-E167FDE113B5}"/>
    <cellStyle name="Normal 2 2 7 9 3" xfId="23939" xr:uid="{F6CF7749-9AFA-44BA-B614-2C7BE4A646A7}"/>
    <cellStyle name="Normal 2 2 7 9 4" xfId="40698" xr:uid="{917C30CD-2A75-4B7B-B061-9F807D231351}"/>
    <cellStyle name="Normal 2 2 8" xfId="662" xr:uid="{9DFC4E69-83B6-4DF6-B5B9-9D021A628C10}"/>
    <cellStyle name="Normal 2 2 8 10" xfId="7624" xr:uid="{7F0F6377-F8FA-41EE-AB2D-F02FD65B38CF}"/>
    <cellStyle name="Normal 2 2 8 10 2" xfId="16004" xr:uid="{CFAB2C2F-637A-453B-8581-B10617AD9A02}"/>
    <cellStyle name="Normal 2 2 8 10 2 2" xfId="32764" xr:uid="{8B771D9D-896E-46C2-883E-D1945797CA57}"/>
    <cellStyle name="Normal 2 2 8 10 2 3" xfId="49523" xr:uid="{A4632363-EC85-4614-B2DE-F07AA7FC4638}"/>
    <cellStyle name="Normal 2 2 8 10 3" xfId="24384" xr:uid="{D872735D-FBEB-429C-883E-B5B991A7A332}"/>
    <cellStyle name="Normal 2 2 8 10 4" xfId="41143" xr:uid="{D18B04BF-C431-4840-ABE4-6B31650D6C55}"/>
    <cellStyle name="Normal 2 2 8 11" xfId="8030" xr:uid="{EA6FA6D0-3A96-4021-B4D8-CF54999F8FE5}"/>
    <cellStyle name="Normal 2 2 8 11 2" xfId="16410" xr:uid="{88AA8F56-366E-44DF-A660-90F81BDDC3BF}"/>
    <cellStyle name="Normal 2 2 8 11 2 2" xfId="33170" xr:uid="{D7F23544-0687-457E-85D9-81A232839A52}"/>
    <cellStyle name="Normal 2 2 8 11 2 3" xfId="49929" xr:uid="{90011524-3F8F-4E95-84A6-BF3764F38ECA}"/>
    <cellStyle name="Normal 2 2 8 11 3" xfId="24790" xr:uid="{2506F04B-DCD8-4E9D-BC2D-9B135415C2BD}"/>
    <cellStyle name="Normal 2 2 8 11 4" xfId="41549" xr:uid="{BB40CF63-DFB2-49F1-A08A-76FD5E2AB1B4}"/>
    <cellStyle name="Normal 2 2 8 12" xfId="8436" xr:uid="{8CEACD93-BEA1-4896-B907-360CABB7CD2D}"/>
    <cellStyle name="Normal 2 2 8 12 2" xfId="16816" xr:uid="{861106BB-A5F2-4145-8B47-32D84F716118}"/>
    <cellStyle name="Normal 2 2 8 12 2 2" xfId="33576" xr:uid="{6A71EC0D-6A3B-41FC-B23C-A62DB2DCDB2B}"/>
    <cellStyle name="Normal 2 2 8 12 2 3" xfId="50335" xr:uid="{C7261275-CEF9-4CC0-9ABC-59DBB0115C98}"/>
    <cellStyle name="Normal 2 2 8 12 3" xfId="25196" xr:uid="{FBAA3E2C-FF64-4186-AB97-E47167D7E60A}"/>
    <cellStyle name="Normal 2 2 8 12 4" xfId="41955" xr:uid="{043A1348-D369-4746-987A-513B47AE44E8}"/>
    <cellStyle name="Normal 2 2 8 13" xfId="2123" xr:uid="{91CBE3C1-59BF-46E4-A933-567ABC95AFE0}"/>
    <cellStyle name="Normal 2 2 8 13 2" xfId="10511" xr:uid="{878B8D30-3887-4447-889E-6F6C518A3B24}"/>
    <cellStyle name="Normal 2 2 8 13 2 2" xfId="27271" xr:uid="{0D6C8AD3-BDE4-4A4C-9478-F539BF8F504E}"/>
    <cellStyle name="Normal 2 2 8 13 2 3" xfId="44030" xr:uid="{3741C91F-59FE-4FBB-861E-FC8CEA2B7BF6}"/>
    <cellStyle name="Normal 2 2 8 13 3" xfId="18891" xr:uid="{3B30EFB6-FB4C-4834-AD2B-D2AFB8C709EE}"/>
    <cellStyle name="Normal 2 2 8 13 4" xfId="35650" xr:uid="{0C49B642-1BB8-44E9-86DA-92CAF9895A71}"/>
    <cellStyle name="Normal 2 2 8 14" xfId="9073" xr:uid="{982F07FD-F0F9-4273-8A27-118A048645E5}"/>
    <cellStyle name="Normal 2 2 8 14 2" xfId="25833" xr:uid="{E01E6FA2-AD8B-464C-B98D-F7FD487A626D}"/>
    <cellStyle name="Normal 2 2 8 14 3" xfId="42592" xr:uid="{A4A191C1-F12A-431B-A592-830370F5F850}"/>
    <cellStyle name="Normal 2 2 8 15" xfId="17453" xr:uid="{9BC773FD-03CB-44C8-BFEA-F7E4BFD72EF7}"/>
    <cellStyle name="Normal 2 2 8 16" xfId="34212" xr:uid="{78DBAC5D-0963-495C-A753-81554653EA18}"/>
    <cellStyle name="Normal 2 2 8 2" xfId="663" xr:uid="{D74E99A2-DC9C-4C82-A039-5917F5E2F495}"/>
    <cellStyle name="Normal 2 2 8 2 10" xfId="8554" xr:uid="{081DAAE6-41A5-44AA-91AD-1C990962C884}"/>
    <cellStyle name="Normal 2 2 8 2 10 2" xfId="16934" xr:uid="{D116EE3A-411B-413B-B427-2617F6E024D9}"/>
    <cellStyle name="Normal 2 2 8 2 10 2 2" xfId="33694" xr:uid="{328A694D-BBC3-4249-82DE-30C96CC118FE}"/>
    <cellStyle name="Normal 2 2 8 2 10 2 3" xfId="50453" xr:uid="{28BA8599-4A70-4720-9D76-642FD489E09C}"/>
    <cellStyle name="Normal 2 2 8 2 10 3" xfId="25314" xr:uid="{FA373AF5-8B0B-4D7B-9035-5B51FE9144EE}"/>
    <cellStyle name="Normal 2 2 8 2 10 4" xfId="42073" xr:uid="{66A9B48A-1F00-4A12-A613-B31C7CBF3986}"/>
    <cellStyle name="Normal 2 2 8 2 11" xfId="2495" xr:uid="{A0A96817-7E8D-4224-81D8-CBF7AC0C19D2}"/>
    <cellStyle name="Normal 2 2 8 2 11 2" xfId="10877" xr:uid="{82D8A7BB-610C-49DE-85D3-8E7FF4C1D196}"/>
    <cellStyle name="Normal 2 2 8 2 11 2 2" xfId="27637" xr:uid="{CF912867-0D97-4BCB-A03A-AFB37D4769AC}"/>
    <cellStyle name="Normal 2 2 8 2 11 2 3" xfId="44396" xr:uid="{E2C740FF-44AC-4480-966E-44C5E0F03E16}"/>
    <cellStyle name="Normal 2 2 8 2 11 3" xfId="19257" xr:uid="{00320200-0A01-429B-A953-246C7EB9D5AC}"/>
    <cellStyle name="Normal 2 2 8 2 11 4" xfId="36016" xr:uid="{D2C659F2-D3DA-4DA1-B00F-00D2B0541244}"/>
    <cellStyle name="Normal 2 2 8 2 12" xfId="9074" xr:uid="{ECB94B2B-3B36-4ED1-A50E-C60775F220DA}"/>
    <cellStyle name="Normal 2 2 8 2 12 2" xfId="25834" xr:uid="{78D1539D-5A6D-416D-8023-3B4D89A72D4A}"/>
    <cellStyle name="Normal 2 2 8 2 12 3" xfId="42593" xr:uid="{6ABDA0B0-D887-4F77-9B7E-08C4EA81705E}"/>
    <cellStyle name="Normal 2 2 8 2 13" xfId="17454" xr:uid="{4195D421-5C54-4141-AB42-843ADC961856}"/>
    <cellStyle name="Normal 2 2 8 2 14" xfId="34213" xr:uid="{14C888EA-1B96-4852-923A-A174124D8E24}"/>
    <cellStyle name="Normal 2 2 8 2 2" xfId="1105" xr:uid="{B2AC1E3B-063B-489B-A148-704D0A6DB9DC}"/>
    <cellStyle name="Normal 2 2 8 2 2 2" xfId="4500" xr:uid="{2BFC30A8-27B6-44A7-8357-2A8AE81D71C1}"/>
    <cellStyle name="Normal 2 2 8 2 2 2 2" xfId="12880" xr:uid="{D53087BE-212C-4522-9051-E8923FA53F24}"/>
    <cellStyle name="Normal 2 2 8 2 2 2 2 2" xfId="29640" xr:uid="{7D83E78E-DBC5-4225-8202-927FCCC55213}"/>
    <cellStyle name="Normal 2 2 8 2 2 2 2 3" xfId="46399" xr:uid="{9082C312-5228-48CF-A632-FD1959B8DB56}"/>
    <cellStyle name="Normal 2 2 8 2 2 2 3" xfId="21260" xr:uid="{E01C48ED-0757-4193-B7A5-DDA1030F27F8}"/>
    <cellStyle name="Normal 2 2 8 2 2 2 4" xfId="38019" xr:uid="{9839E841-734B-4934-AE46-23D1F0BEC918}"/>
    <cellStyle name="Normal 2 2 8 2 2 3" xfId="6187" xr:uid="{C4F84EF9-CEFB-41E2-99EE-3E8EAB005B21}"/>
    <cellStyle name="Normal 2 2 8 2 2 3 2" xfId="14567" xr:uid="{7E5178F9-5161-4BE9-854B-F0885808BF0F}"/>
    <cellStyle name="Normal 2 2 8 2 2 3 2 2" xfId="31327" xr:uid="{8C00ED52-B8E9-43F1-AC53-2CAC0E331079}"/>
    <cellStyle name="Normal 2 2 8 2 2 3 2 3" xfId="48086" xr:uid="{33F28AF9-9FCA-4574-9DDD-8196B9CC6C08}"/>
    <cellStyle name="Normal 2 2 8 2 2 3 3" xfId="22947" xr:uid="{F680BCB6-71F4-43B0-86F1-793B9DDAB07F}"/>
    <cellStyle name="Normal 2 2 8 2 2 3 4" xfId="39706" xr:uid="{EA51CD28-E61F-4182-B637-64397CA3D617}"/>
    <cellStyle name="Normal 2 2 8 2 2 4" xfId="2923" xr:uid="{9AA045C3-AAC6-49CC-B2FD-5B7272456681}"/>
    <cellStyle name="Normal 2 2 8 2 2 4 2" xfId="11303" xr:uid="{81C1962B-BCA6-4726-B912-ABFAB2D5A121}"/>
    <cellStyle name="Normal 2 2 8 2 2 4 2 2" xfId="28063" xr:uid="{5FC9A036-FDE1-44FD-AECB-55B4D541C253}"/>
    <cellStyle name="Normal 2 2 8 2 2 4 2 3" xfId="44822" xr:uid="{BF315567-64AF-438E-82C9-2D0107EAA959}"/>
    <cellStyle name="Normal 2 2 8 2 2 4 3" xfId="19683" xr:uid="{A1324C3D-A7C7-4597-9EC9-F32CFB4D5EA2}"/>
    <cellStyle name="Normal 2 2 8 2 2 4 4" xfId="36442" xr:uid="{07628166-4023-4257-B375-6FAE5D96E1D0}"/>
    <cellStyle name="Normal 2 2 8 2 2 5" xfId="9500" xr:uid="{9970D4B8-222F-4BE0-9978-DD84822C6AA7}"/>
    <cellStyle name="Normal 2 2 8 2 2 5 2" xfId="26260" xr:uid="{EC1F5F48-0B6F-4F7F-8DE5-B5A42778D7DB}"/>
    <cellStyle name="Normal 2 2 8 2 2 5 3" xfId="43019" xr:uid="{0E4B5974-221E-420C-B17C-FD8109781DEC}"/>
    <cellStyle name="Normal 2 2 8 2 2 6" xfId="17880" xr:uid="{BA4F3851-3ED5-4CE2-9E8A-9176138DFCD7}"/>
    <cellStyle name="Normal 2 2 8 2 2 7" xfId="34639" xr:uid="{8C40A22C-B5F1-4F43-AA74-E14E849EE874}"/>
    <cellStyle name="Normal 2 2 8 2 3" xfId="1539" xr:uid="{D113A508-1738-47B9-85C7-8E15501F12B2}"/>
    <cellStyle name="Normal 2 2 8 2 3 2" xfId="4928" xr:uid="{A1D913D6-3481-488E-9D0A-44C30EDBC4D6}"/>
    <cellStyle name="Normal 2 2 8 2 3 2 2" xfId="13308" xr:uid="{183A93B4-A2F4-4E3B-A2B4-7D6CA7ABEF15}"/>
    <cellStyle name="Normal 2 2 8 2 3 2 2 2" xfId="30068" xr:uid="{1C8B5A48-7BD6-455A-97B3-BC7A47934D64}"/>
    <cellStyle name="Normal 2 2 8 2 3 2 2 3" xfId="46827" xr:uid="{556AA41C-5BE6-4A81-81A7-95C895030685}"/>
    <cellStyle name="Normal 2 2 8 2 3 2 3" xfId="21688" xr:uid="{2E0FAE2A-3FA8-4812-A506-57C4595F4686}"/>
    <cellStyle name="Normal 2 2 8 2 3 2 4" xfId="38447" xr:uid="{58BC5C72-6A43-4231-BAF9-63C91D135758}"/>
    <cellStyle name="Normal 2 2 8 2 3 3" xfId="6615" xr:uid="{71D283C2-0AAE-47A0-B832-2F110ED29BAE}"/>
    <cellStyle name="Normal 2 2 8 2 3 3 2" xfId="14995" xr:uid="{7695AB49-1556-45C0-96CC-4F57E2CAD72F}"/>
    <cellStyle name="Normal 2 2 8 2 3 3 2 2" xfId="31755" xr:uid="{1EE6E871-2D6B-42E4-A0CC-E32616721B0A}"/>
    <cellStyle name="Normal 2 2 8 2 3 3 2 3" xfId="48514" xr:uid="{01115D01-AC08-4203-88A7-DCE8CDECBED6}"/>
    <cellStyle name="Normal 2 2 8 2 3 3 3" xfId="23375" xr:uid="{0DEDDD73-8DB9-44D3-A5E4-172B83C11CE5}"/>
    <cellStyle name="Normal 2 2 8 2 3 3 4" xfId="40134" xr:uid="{9821A115-8AC5-44B8-AC94-0E3BE8861AAA}"/>
    <cellStyle name="Normal 2 2 8 2 3 4" xfId="3351" xr:uid="{4DF7C4F2-8D93-45F2-9707-0519718047CB}"/>
    <cellStyle name="Normal 2 2 8 2 3 4 2" xfId="11731" xr:uid="{AECF1A0B-2AFB-40B2-A8CC-DBDCE45D385C}"/>
    <cellStyle name="Normal 2 2 8 2 3 4 2 2" xfId="28491" xr:uid="{39D4B2C1-1782-4EA5-B91C-71A2EEC0095C}"/>
    <cellStyle name="Normal 2 2 8 2 3 4 2 3" xfId="45250" xr:uid="{79B93F51-645E-4C11-99F8-352A238A61C2}"/>
    <cellStyle name="Normal 2 2 8 2 3 4 3" xfId="20111" xr:uid="{F3FB2861-96ED-45F0-8DF5-BE24DC61A855}"/>
    <cellStyle name="Normal 2 2 8 2 3 4 4" xfId="36870" xr:uid="{C7F0F47A-3FB7-4B3F-A006-B291C255B93D}"/>
    <cellStyle name="Normal 2 2 8 2 3 5" xfId="9928" xr:uid="{F33CA0E3-145B-4565-9758-F944E41A5178}"/>
    <cellStyle name="Normal 2 2 8 2 3 5 2" xfId="26688" xr:uid="{6F18DBED-E946-4DE0-8447-D14316D532E0}"/>
    <cellStyle name="Normal 2 2 8 2 3 5 3" xfId="43447" xr:uid="{E89C6B27-9F0B-49D3-AF14-198EDB686E26}"/>
    <cellStyle name="Normal 2 2 8 2 3 6" xfId="18308" xr:uid="{59013208-DDD8-4EE7-B7DB-C4BD2D0111DF}"/>
    <cellStyle name="Normal 2 2 8 2 3 7" xfId="35067" xr:uid="{F291B4A2-A33A-4816-AEB0-FBF8A5B5A233}"/>
    <cellStyle name="Normal 2 2 8 2 4" xfId="1854" xr:uid="{64DFDCDA-6185-4322-9494-1C14F1923239}"/>
    <cellStyle name="Normal 2 2 8 2 4 2" xfId="5243" xr:uid="{6C2E1391-77EA-4A98-B449-5E09A95CF4B0}"/>
    <cellStyle name="Normal 2 2 8 2 4 2 2" xfId="13623" xr:uid="{543A4514-A1EA-4C82-8F36-D8D6088534FC}"/>
    <cellStyle name="Normal 2 2 8 2 4 2 2 2" xfId="30383" xr:uid="{0FDC7810-354E-4A3E-A121-9ACE4DFCB123}"/>
    <cellStyle name="Normal 2 2 8 2 4 2 2 3" xfId="47142" xr:uid="{FE79E778-7371-4CA7-B85E-BAEC705A7CFE}"/>
    <cellStyle name="Normal 2 2 8 2 4 2 3" xfId="22003" xr:uid="{D6D1321D-8A0D-40DF-8BC5-9E052F661652}"/>
    <cellStyle name="Normal 2 2 8 2 4 2 4" xfId="38762" xr:uid="{758E236C-0D44-43C2-9EE3-F164D92BCEB7}"/>
    <cellStyle name="Normal 2 2 8 2 4 3" xfId="6930" xr:uid="{4E84F2E3-ED10-445B-BD9F-E6FE3308CE03}"/>
    <cellStyle name="Normal 2 2 8 2 4 3 2" xfId="15310" xr:uid="{3DCA7348-DCAB-497A-BD71-633FD5DBF5AE}"/>
    <cellStyle name="Normal 2 2 8 2 4 3 2 2" xfId="32070" xr:uid="{60451E7F-5F18-496E-8BA3-89AB7959F38F}"/>
    <cellStyle name="Normal 2 2 8 2 4 3 2 3" xfId="48829" xr:uid="{FEB838A6-5869-42D4-B8BC-627EE4A1D2A9}"/>
    <cellStyle name="Normal 2 2 8 2 4 3 3" xfId="23690" xr:uid="{23096F10-F24C-4E0F-8AF9-D77B85FC37BD}"/>
    <cellStyle name="Normal 2 2 8 2 4 3 4" xfId="40449" xr:uid="{8BB9D628-CE6F-424A-B286-EE41BCB9B1FC}"/>
    <cellStyle name="Normal 2 2 8 2 4 4" xfId="3554" xr:uid="{8B2666DC-D06E-48B7-8173-155C5B957E47}"/>
    <cellStyle name="Normal 2 2 8 2 4 4 2" xfId="11934" xr:uid="{57F325A5-1BF0-4DDE-86F8-50834EE03084}"/>
    <cellStyle name="Normal 2 2 8 2 4 4 2 2" xfId="28694" xr:uid="{7EF940FA-AF9D-4F85-BE22-35E4E503355E}"/>
    <cellStyle name="Normal 2 2 8 2 4 4 2 3" xfId="45453" xr:uid="{8AAEE5DB-2C53-47F7-9746-BEF19C26A76D}"/>
    <cellStyle name="Normal 2 2 8 2 4 4 3" xfId="20314" xr:uid="{1716139F-9FAE-4371-958B-C386AE1F0BC7}"/>
    <cellStyle name="Normal 2 2 8 2 4 4 4" xfId="37073" xr:uid="{9BCC800C-D907-4EB2-8200-9AA6D85B6703}"/>
    <cellStyle name="Normal 2 2 8 2 4 5" xfId="10243" xr:uid="{89CA2200-B738-4E51-B797-2570E0DD0AC4}"/>
    <cellStyle name="Normal 2 2 8 2 4 5 2" xfId="27003" xr:uid="{378A48A6-CDB5-4524-9065-E7253034F606}"/>
    <cellStyle name="Normal 2 2 8 2 4 5 3" xfId="43762" xr:uid="{963F416F-11E6-4B48-931C-3644F7835226}"/>
    <cellStyle name="Normal 2 2 8 2 4 6" xfId="18623" xr:uid="{85DA5122-6AB8-4B74-9588-1CB3338A42B1}"/>
    <cellStyle name="Normal 2 2 8 2 4 7" xfId="35382" xr:uid="{CF130EAF-69DC-477F-B3B5-2019C3B2F3F4}"/>
    <cellStyle name="Normal 2 2 8 2 5" xfId="3973" xr:uid="{237C57D0-9E59-4A98-B515-3B9D3C0D7834}"/>
    <cellStyle name="Normal 2 2 8 2 5 2" xfId="12353" xr:uid="{AD482D00-91EE-4436-AAD7-AE1C6C601DAA}"/>
    <cellStyle name="Normal 2 2 8 2 5 2 2" xfId="29113" xr:uid="{3F8BA21C-A60C-496C-8809-477E5809E5C5}"/>
    <cellStyle name="Normal 2 2 8 2 5 2 3" xfId="45872" xr:uid="{509D42C8-27AB-43BF-A2C7-DCF5FEFCFF86}"/>
    <cellStyle name="Normal 2 2 8 2 5 3" xfId="20733" xr:uid="{E3DAF8B6-7BAC-4986-AD07-B60D57893458}"/>
    <cellStyle name="Normal 2 2 8 2 5 4" xfId="37492" xr:uid="{3D4A753D-ACFD-4C8C-93A5-7C1EA5841EA7}"/>
    <cellStyle name="Normal 2 2 8 2 6" xfId="5761" xr:uid="{66776109-BFAB-4AAD-BACE-BF1169737C14}"/>
    <cellStyle name="Normal 2 2 8 2 6 2" xfId="14141" xr:uid="{0806484E-57AE-41CE-9576-921F61BA7EBB}"/>
    <cellStyle name="Normal 2 2 8 2 6 2 2" xfId="30901" xr:uid="{D54CBA30-74B9-4D56-85F8-F327004BFDB5}"/>
    <cellStyle name="Normal 2 2 8 2 6 2 3" xfId="47660" xr:uid="{28ECA3EA-96FE-4872-A8F5-6277C024953C}"/>
    <cellStyle name="Normal 2 2 8 2 6 3" xfId="22521" xr:uid="{5A9ACB15-6364-42C4-940F-CC1DFC99A096}"/>
    <cellStyle name="Normal 2 2 8 2 6 4" xfId="39280" xr:uid="{A8A870BC-0444-48A4-8127-F76CFA7A3CFE}"/>
    <cellStyle name="Normal 2 2 8 2 7" xfId="7336" xr:uid="{DA881B30-82B3-4CBD-9FE7-DA714B985E97}"/>
    <cellStyle name="Normal 2 2 8 2 7 2" xfId="15716" xr:uid="{37DD8E15-B1A8-48D9-ADDC-B6284FF6E2FC}"/>
    <cellStyle name="Normal 2 2 8 2 7 2 2" xfId="32476" xr:uid="{6F891E4F-7C35-478A-848E-031B9D2B13AB}"/>
    <cellStyle name="Normal 2 2 8 2 7 2 3" xfId="49235" xr:uid="{FBFD69F3-1E58-4A00-9EED-CF620DC79A60}"/>
    <cellStyle name="Normal 2 2 8 2 7 3" xfId="24096" xr:uid="{B9F35618-C359-4FCB-95C6-489890F50592}"/>
    <cellStyle name="Normal 2 2 8 2 7 4" xfId="40855" xr:uid="{30251A44-D350-4966-B1EE-5087D4BFB03E}"/>
    <cellStyle name="Normal 2 2 8 2 8" xfId="7742" xr:uid="{4B37C937-1871-41B7-8623-E52EF94A043D}"/>
    <cellStyle name="Normal 2 2 8 2 8 2" xfId="16122" xr:uid="{B77CCA9E-14CE-4442-AFA6-F98F7C0349ED}"/>
    <cellStyle name="Normal 2 2 8 2 8 2 2" xfId="32882" xr:uid="{E8BD5A52-7B91-453D-91CB-223F7E0C7168}"/>
    <cellStyle name="Normal 2 2 8 2 8 2 3" xfId="49641" xr:uid="{46EB58DF-E47C-4DF5-AFD5-7916A6A2B971}"/>
    <cellStyle name="Normal 2 2 8 2 8 3" xfId="24502" xr:uid="{CD8CA50D-EF04-490B-ABEC-707168DF8E5F}"/>
    <cellStyle name="Normal 2 2 8 2 8 4" xfId="41261" xr:uid="{0FC50C11-716A-4A07-ADAF-BD13C48042C4}"/>
    <cellStyle name="Normal 2 2 8 2 9" xfId="8148" xr:uid="{DAAA3FD3-D83E-43A5-B6DC-463A92C5688A}"/>
    <cellStyle name="Normal 2 2 8 2 9 2" xfId="16528" xr:uid="{6C64FC87-3F1F-457F-93AB-40812B3BD8C4}"/>
    <cellStyle name="Normal 2 2 8 2 9 2 2" xfId="33288" xr:uid="{8911A0D3-4FC6-4B7F-854A-5B0EC9057230}"/>
    <cellStyle name="Normal 2 2 8 2 9 2 3" xfId="50047" xr:uid="{DF5A2B94-602E-452B-B8FB-18A8150842E7}"/>
    <cellStyle name="Normal 2 2 8 2 9 3" xfId="24908" xr:uid="{A6BC03CC-AF95-4781-8277-403AF3F54E2F}"/>
    <cellStyle name="Normal 2 2 8 2 9 4" xfId="41667" xr:uid="{9BBCB6F3-44F0-4165-9049-7ACA78338B8A}"/>
    <cellStyle name="Normal 2 2 8 3" xfId="664" xr:uid="{924C5C41-146B-4D0A-A21E-D08A20FDF972}"/>
    <cellStyle name="Normal 2 2 8 3 10" xfId="8707" xr:uid="{840F915F-1BC5-4BD6-A71E-EF977BAB9655}"/>
    <cellStyle name="Normal 2 2 8 3 10 2" xfId="17087" xr:uid="{E8FAEFD5-B572-4D03-9E0A-4937212D70C9}"/>
    <cellStyle name="Normal 2 2 8 3 10 2 2" xfId="33847" xr:uid="{7B7D419A-1DCA-4DE7-8E95-1EA05BFAA57C}"/>
    <cellStyle name="Normal 2 2 8 3 10 2 3" xfId="50606" xr:uid="{7D19BF32-E244-456F-8C05-878E953E4ED8}"/>
    <cellStyle name="Normal 2 2 8 3 10 3" xfId="25467" xr:uid="{F40FD15E-ADCC-4018-BDE6-B4079461B633}"/>
    <cellStyle name="Normal 2 2 8 3 10 4" xfId="42226" xr:uid="{C40B5741-2B59-4930-9282-46965B8D9A81}"/>
    <cellStyle name="Normal 2 2 8 3 11" xfId="2496" xr:uid="{FB70BA63-58AE-4642-9108-477A936A70B3}"/>
    <cellStyle name="Normal 2 2 8 3 11 2" xfId="10878" xr:uid="{5B68435E-8F7C-4E1C-9200-1F89E1AC3BEC}"/>
    <cellStyle name="Normal 2 2 8 3 11 2 2" xfId="27638" xr:uid="{3CD95329-97AC-46BD-A148-5B603F121604}"/>
    <cellStyle name="Normal 2 2 8 3 11 2 3" xfId="44397" xr:uid="{5ED353FD-0E3D-4ECA-959B-73CE17EBCEF2}"/>
    <cellStyle name="Normal 2 2 8 3 11 3" xfId="19258" xr:uid="{DC1AD476-124A-406A-929A-C37A92BF3B9C}"/>
    <cellStyle name="Normal 2 2 8 3 11 4" xfId="36017" xr:uid="{11D1AAA6-7C65-4748-9A52-413BFAC7CC30}"/>
    <cellStyle name="Normal 2 2 8 3 12" xfId="9075" xr:uid="{4A943534-4203-4293-85F6-0173CC358600}"/>
    <cellStyle name="Normal 2 2 8 3 12 2" xfId="25835" xr:uid="{7FAE3967-F190-438A-9155-C762A5836CE8}"/>
    <cellStyle name="Normal 2 2 8 3 12 3" xfId="42594" xr:uid="{C5629E68-BB41-4ACC-BE4D-7C834A963CAF}"/>
    <cellStyle name="Normal 2 2 8 3 13" xfId="17455" xr:uid="{48C8C79D-756D-4FC1-A4B6-164819689287}"/>
    <cellStyle name="Normal 2 2 8 3 14" xfId="34214" xr:uid="{7F1BCA13-E61A-45E0-8BCE-F12D99B9D9EA}"/>
    <cellStyle name="Normal 2 2 8 3 2" xfId="1106" xr:uid="{E6FA90B2-A66B-43F7-A05B-F157FB149F4A}"/>
    <cellStyle name="Normal 2 2 8 3 2 2" xfId="4501" xr:uid="{5D2E693B-1E1A-4AEF-BC8C-31BC58367BEA}"/>
    <cellStyle name="Normal 2 2 8 3 2 2 2" xfId="12881" xr:uid="{C7A9A587-C051-482C-9A93-6643DA34DD82}"/>
    <cellStyle name="Normal 2 2 8 3 2 2 2 2" xfId="29641" xr:uid="{A776F242-8879-4F4F-9C1F-B93E18327371}"/>
    <cellStyle name="Normal 2 2 8 3 2 2 2 3" xfId="46400" xr:uid="{307A9C37-2BE8-4C00-B5E4-89B2FBA169B6}"/>
    <cellStyle name="Normal 2 2 8 3 2 2 3" xfId="21261" xr:uid="{80D4CDEA-5668-4237-9B4D-404D43EE7546}"/>
    <cellStyle name="Normal 2 2 8 3 2 2 4" xfId="38020" xr:uid="{2B9DFFAE-49B2-4D1A-9E44-0FCE0DD5FB98}"/>
    <cellStyle name="Normal 2 2 8 3 2 3" xfId="6188" xr:uid="{6BFCCA8A-0C04-4AA0-926B-FEF0435C11A2}"/>
    <cellStyle name="Normal 2 2 8 3 2 3 2" xfId="14568" xr:uid="{6DA38AE2-D678-4478-9A15-808ABB7686C7}"/>
    <cellStyle name="Normal 2 2 8 3 2 3 2 2" xfId="31328" xr:uid="{D27F787A-0977-44B1-AF34-97C6F7F192B9}"/>
    <cellStyle name="Normal 2 2 8 3 2 3 2 3" xfId="48087" xr:uid="{FAA3DE56-36BD-4345-B690-67C2942A6481}"/>
    <cellStyle name="Normal 2 2 8 3 2 3 3" xfId="22948" xr:uid="{29DE9D68-3255-4C56-9F7B-C257B48ECD48}"/>
    <cellStyle name="Normal 2 2 8 3 2 3 4" xfId="39707" xr:uid="{5CB77492-DD03-4443-87FE-8C2599FDBA54}"/>
    <cellStyle name="Normal 2 2 8 3 2 4" xfId="2924" xr:uid="{006A6E66-DEA5-4329-8926-858524E042BA}"/>
    <cellStyle name="Normal 2 2 8 3 2 4 2" xfId="11304" xr:uid="{14651C42-D15E-421D-8946-78548FFE07CB}"/>
    <cellStyle name="Normal 2 2 8 3 2 4 2 2" xfId="28064" xr:uid="{794D9AD7-47C4-4FB7-AA45-AC5B77D53C01}"/>
    <cellStyle name="Normal 2 2 8 3 2 4 2 3" xfId="44823" xr:uid="{4E0C104E-5DDA-4EE4-AE41-159362E56338}"/>
    <cellStyle name="Normal 2 2 8 3 2 4 3" xfId="19684" xr:uid="{0ADF7EE3-2908-43BC-B6FE-314B8AD297CC}"/>
    <cellStyle name="Normal 2 2 8 3 2 4 4" xfId="36443" xr:uid="{948C0193-217D-40D8-BC22-F2F476D0BBC9}"/>
    <cellStyle name="Normal 2 2 8 3 2 5" xfId="9501" xr:uid="{0805B3B1-50EB-4172-9391-C53BF6C4A733}"/>
    <cellStyle name="Normal 2 2 8 3 2 5 2" xfId="26261" xr:uid="{CFD4F62D-271D-4DA9-89A3-297B47E2ADEA}"/>
    <cellStyle name="Normal 2 2 8 3 2 5 3" xfId="43020" xr:uid="{8BF03E72-399B-478F-8D4B-E1680292BFA3}"/>
    <cellStyle name="Normal 2 2 8 3 2 6" xfId="17881" xr:uid="{BFC08D43-5A74-4046-BE9B-3AAB7FAD5DD9}"/>
    <cellStyle name="Normal 2 2 8 3 2 7" xfId="34640" xr:uid="{BE0BBAA0-3960-4331-B8AA-B3D997B4CB2D}"/>
    <cellStyle name="Normal 2 2 8 3 3" xfId="1540" xr:uid="{776DCB6E-2F42-467B-A696-4C085B19C7E9}"/>
    <cellStyle name="Normal 2 2 8 3 3 2" xfId="4929" xr:uid="{88672672-AA6E-40AC-8E35-D2ABC318170C}"/>
    <cellStyle name="Normal 2 2 8 3 3 2 2" xfId="13309" xr:uid="{8CDF4AB1-E701-431B-9600-14ACB1A52EC9}"/>
    <cellStyle name="Normal 2 2 8 3 3 2 2 2" xfId="30069" xr:uid="{84DB84E2-9694-485D-8C5C-261CF1B25885}"/>
    <cellStyle name="Normal 2 2 8 3 3 2 2 3" xfId="46828" xr:uid="{3AE0F1D0-F316-443D-928A-1D5272D092F3}"/>
    <cellStyle name="Normal 2 2 8 3 3 2 3" xfId="21689" xr:uid="{6548D0F3-5B3A-4FEB-88A5-2AC2309E3673}"/>
    <cellStyle name="Normal 2 2 8 3 3 2 4" xfId="38448" xr:uid="{4A0D95B7-DFC9-4474-A30C-B40A0C30AEBA}"/>
    <cellStyle name="Normal 2 2 8 3 3 3" xfId="6616" xr:uid="{7AD511E7-DF4D-43B2-87EE-3E517189690F}"/>
    <cellStyle name="Normal 2 2 8 3 3 3 2" xfId="14996" xr:uid="{19213A50-E866-46A7-B07F-41F92090F44C}"/>
    <cellStyle name="Normal 2 2 8 3 3 3 2 2" xfId="31756" xr:uid="{13A4414B-915F-4D2E-94BC-63C9B32426EC}"/>
    <cellStyle name="Normal 2 2 8 3 3 3 2 3" xfId="48515" xr:uid="{6F30CF3E-27A2-48D7-8F91-6C3E2ED21388}"/>
    <cellStyle name="Normal 2 2 8 3 3 3 3" xfId="23376" xr:uid="{44A087AF-5DEE-45C5-BE56-27543F0404FB}"/>
    <cellStyle name="Normal 2 2 8 3 3 3 4" xfId="40135" xr:uid="{D0B59B8B-2356-4C61-BCB3-03F93CE15F1B}"/>
    <cellStyle name="Normal 2 2 8 3 3 4" xfId="3352" xr:uid="{A0D9DD91-8CE2-4BFE-B871-CED70D7A0E3C}"/>
    <cellStyle name="Normal 2 2 8 3 3 4 2" xfId="11732" xr:uid="{1DB26740-5489-447B-A1C3-766B610D2A38}"/>
    <cellStyle name="Normal 2 2 8 3 3 4 2 2" xfId="28492" xr:uid="{C01BE6DE-5691-46C6-A5A4-F0D202B9497E}"/>
    <cellStyle name="Normal 2 2 8 3 3 4 2 3" xfId="45251" xr:uid="{0C315017-C24B-4F9A-A0A6-69519D844900}"/>
    <cellStyle name="Normal 2 2 8 3 3 4 3" xfId="20112" xr:uid="{7DDAF32B-523C-400B-90A2-1DD309967F1F}"/>
    <cellStyle name="Normal 2 2 8 3 3 4 4" xfId="36871" xr:uid="{8233206E-69B3-4540-8A6F-B0550E8874D8}"/>
    <cellStyle name="Normal 2 2 8 3 3 5" xfId="9929" xr:uid="{55E1379D-6A16-4611-80C8-930C0353A5F7}"/>
    <cellStyle name="Normal 2 2 8 3 3 5 2" xfId="26689" xr:uid="{9732A65E-67B5-4DBB-976E-D6ACFEFEF223}"/>
    <cellStyle name="Normal 2 2 8 3 3 5 3" xfId="43448" xr:uid="{452072A0-6D90-40A4-ABA0-10F32750F531}"/>
    <cellStyle name="Normal 2 2 8 3 3 6" xfId="18309" xr:uid="{C5F192B7-5618-4AA1-8F99-BACF8DCEA79D}"/>
    <cellStyle name="Normal 2 2 8 3 3 7" xfId="35068" xr:uid="{0402DBC0-6A60-40F7-9E20-1CB228BEA6A7}"/>
    <cellStyle name="Normal 2 2 8 3 4" xfId="2007" xr:uid="{521FB4BD-CF37-462D-B523-2EEB2C7F14F4}"/>
    <cellStyle name="Normal 2 2 8 3 4 2" xfId="5396" xr:uid="{2D82353D-06A2-49D8-90F8-96E1D3EB01C6}"/>
    <cellStyle name="Normal 2 2 8 3 4 2 2" xfId="13776" xr:uid="{B757B606-8CFF-45FB-8312-CD4A19D11571}"/>
    <cellStyle name="Normal 2 2 8 3 4 2 2 2" xfId="30536" xr:uid="{4990FFBE-FAAD-4F62-A63B-4D01619491BA}"/>
    <cellStyle name="Normal 2 2 8 3 4 2 2 3" xfId="47295" xr:uid="{EF07AA2F-CF09-463B-86F5-EA193B5E1EE1}"/>
    <cellStyle name="Normal 2 2 8 3 4 2 3" xfId="22156" xr:uid="{CEE0C51E-700A-4865-95CA-91D39C21F5E3}"/>
    <cellStyle name="Normal 2 2 8 3 4 2 4" xfId="38915" xr:uid="{B4A5DA7E-8B27-41B4-9454-B9B9A134CA81}"/>
    <cellStyle name="Normal 2 2 8 3 4 3" xfId="7083" xr:uid="{074E06E9-3FA1-4CC8-9EB0-15E7BB6A7655}"/>
    <cellStyle name="Normal 2 2 8 3 4 3 2" xfId="15463" xr:uid="{719B54D2-7B06-415E-8303-0CE898C561D9}"/>
    <cellStyle name="Normal 2 2 8 3 4 3 2 2" xfId="32223" xr:uid="{0EE51787-AB1F-45C2-82DA-03949619D7DF}"/>
    <cellStyle name="Normal 2 2 8 3 4 3 2 3" xfId="48982" xr:uid="{391C1F33-AF2C-4D99-9DF2-E4B189629A96}"/>
    <cellStyle name="Normal 2 2 8 3 4 3 3" xfId="23843" xr:uid="{FB28A277-BE56-40BD-AD2C-6217A2BC3EC1}"/>
    <cellStyle name="Normal 2 2 8 3 4 3 4" xfId="40602" xr:uid="{91016EFB-296F-4D33-953D-F64B05E5145F}"/>
    <cellStyle name="Normal 2 2 8 3 4 4" xfId="3706" xr:uid="{A123BEB8-EC45-4635-8145-7D3DB38110AC}"/>
    <cellStyle name="Normal 2 2 8 3 4 4 2" xfId="12086" xr:uid="{4A40B768-2B4F-4EBA-BEA7-4F3337106B42}"/>
    <cellStyle name="Normal 2 2 8 3 4 4 2 2" xfId="28846" xr:uid="{C54AE627-9A8D-4CF8-99D8-3EA0620B5EA8}"/>
    <cellStyle name="Normal 2 2 8 3 4 4 2 3" xfId="45605" xr:uid="{11E297CB-2C29-41CC-9784-6D102F1A135F}"/>
    <cellStyle name="Normal 2 2 8 3 4 4 3" xfId="20466" xr:uid="{D7AF50D5-0679-45AA-A9C2-D4CF5E7A77A3}"/>
    <cellStyle name="Normal 2 2 8 3 4 4 4" xfId="37225" xr:uid="{CD81FF3C-56A7-48A3-A9D3-A656751F2D24}"/>
    <cellStyle name="Normal 2 2 8 3 4 5" xfId="10396" xr:uid="{0BDF0C7E-A95C-4E44-9397-8805E772C3AB}"/>
    <cellStyle name="Normal 2 2 8 3 4 5 2" xfId="27156" xr:uid="{CE8C389C-80CA-4D08-9016-73AA1578382D}"/>
    <cellStyle name="Normal 2 2 8 3 4 5 3" xfId="43915" xr:uid="{F46E76DE-ADB7-4DC4-A5A0-AECB4D285756}"/>
    <cellStyle name="Normal 2 2 8 3 4 6" xfId="18776" xr:uid="{A53C4FC5-6825-45C1-9AF6-F20398427D75}"/>
    <cellStyle name="Normal 2 2 8 3 4 7" xfId="35535" xr:uid="{61F163D5-40E4-47C1-A55E-CDB984D99FAF}"/>
    <cellStyle name="Normal 2 2 8 3 5" xfId="4126" xr:uid="{4AF6EF54-BBD3-42A5-B7E2-A7CD34543622}"/>
    <cellStyle name="Normal 2 2 8 3 5 2" xfId="12506" xr:uid="{30574B71-7257-4261-B8D0-45E636D8E6B5}"/>
    <cellStyle name="Normal 2 2 8 3 5 2 2" xfId="29266" xr:uid="{A203C10E-342C-4861-A0D0-F8D04AECC6E7}"/>
    <cellStyle name="Normal 2 2 8 3 5 2 3" xfId="46025" xr:uid="{4A725490-A4FE-467C-B677-CCAF2627CAAA}"/>
    <cellStyle name="Normal 2 2 8 3 5 3" xfId="20886" xr:uid="{D47C1142-6DD8-4DE8-B27F-245CE0044DE9}"/>
    <cellStyle name="Normal 2 2 8 3 5 4" xfId="37645" xr:uid="{A625F7FE-E51D-4EA0-A820-70D055A5053E}"/>
    <cellStyle name="Normal 2 2 8 3 6" xfId="5762" xr:uid="{9ADDABB4-A476-4EAC-95A8-7FC3A6941DDA}"/>
    <cellStyle name="Normal 2 2 8 3 6 2" xfId="14142" xr:uid="{3746A26F-0DF3-48D5-AEAA-5BB78F91B9D4}"/>
    <cellStyle name="Normal 2 2 8 3 6 2 2" xfId="30902" xr:uid="{4AB12F85-2D14-438D-A047-91E2C641EDD9}"/>
    <cellStyle name="Normal 2 2 8 3 6 2 3" xfId="47661" xr:uid="{B50A7414-51B2-4050-A04B-9D774669D28F}"/>
    <cellStyle name="Normal 2 2 8 3 6 3" xfId="22522" xr:uid="{8C39FCD4-2997-44DC-8E2A-5AF82E8D8E48}"/>
    <cellStyle name="Normal 2 2 8 3 6 4" xfId="39281" xr:uid="{B4CD0E08-5834-48FC-831E-CD91668DF69D}"/>
    <cellStyle name="Normal 2 2 8 3 7" xfId="7489" xr:uid="{6401430B-39D6-4DB6-8DAC-FDF09D1CD2AA}"/>
    <cellStyle name="Normal 2 2 8 3 7 2" xfId="15869" xr:uid="{E57C6C2A-F637-4611-8163-1C89227CDC02}"/>
    <cellStyle name="Normal 2 2 8 3 7 2 2" xfId="32629" xr:uid="{FFF24F66-298F-4BF3-A055-2EC3CAABB314}"/>
    <cellStyle name="Normal 2 2 8 3 7 2 3" xfId="49388" xr:uid="{E3F0C177-9F5E-4976-B9E4-C1EC53129718}"/>
    <cellStyle name="Normal 2 2 8 3 7 3" xfId="24249" xr:uid="{12106947-F21D-400D-AD9B-A23271848D60}"/>
    <cellStyle name="Normal 2 2 8 3 7 4" xfId="41008" xr:uid="{F596C918-B79F-48E5-A540-02816132B5A3}"/>
    <cellStyle name="Normal 2 2 8 3 8" xfId="7895" xr:uid="{47FC74FA-20A4-4F7B-9B99-8CDB6E28D940}"/>
    <cellStyle name="Normal 2 2 8 3 8 2" xfId="16275" xr:uid="{F2753B91-BE52-43B7-9B23-F872352BB954}"/>
    <cellStyle name="Normal 2 2 8 3 8 2 2" xfId="33035" xr:uid="{8D976F6F-A79F-4A04-B9AA-B22781A7F7FD}"/>
    <cellStyle name="Normal 2 2 8 3 8 2 3" xfId="49794" xr:uid="{DD07E303-D8A3-4509-AC93-603FA3CF8435}"/>
    <cellStyle name="Normal 2 2 8 3 8 3" xfId="24655" xr:uid="{57489EBC-B666-451C-B035-24B6BA71E081}"/>
    <cellStyle name="Normal 2 2 8 3 8 4" xfId="41414" xr:uid="{1D6502D1-32A2-4145-8AB1-315B9405DAC3}"/>
    <cellStyle name="Normal 2 2 8 3 9" xfId="8301" xr:uid="{0FFFA8E7-88C7-4176-9446-EB7119EE3415}"/>
    <cellStyle name="Normal 2 2 8 3 9 2" xfId="16681" xr:uid="{FE3C7811-6303-476F-92BF-6C8C486FF3D6}"/>
    <cellStyle name="Normal 2 2 8 3 9 2 2" xfId="33441" xr:uid="{AAB2F973-D475-4997-B660-F44ECEC76545}"/>
    <cellStyle name="Normal 2 2 8 3 9 2 3" xfId="50200" xr:uid="{27E2FE1B-3199-47D1-9D47-F0DAEBDDB944}"/>
    <cellStyle name="Normal 2 2 8 3 9 3" xfId="25061" xr:uid="{113C0BF8-F603-4FEE-8403-CD74B2A33589}"/>
    <cellStyle name="Normal 2 2 8 3 9 4" xfId="41820" xr:uid="{B9A1A663-B0D2-41EC-81A3-E15B0AA5F43E}"/>
    <cellStyle name="Normal 2 2 8 4" xfId="1104" xr:uid="{09BF6C6A-C17E-41C5-B724-240336E6EC6C}"/>
    <cellStyle name="Normal 2 2 8 4 2" xfId="4499" xr:uid="{CF98990A-6296-4387-BB13-59193E4B4170}"/>
    <cellStyle name="Normal 2 2 8 4 2 2" xfId="12879" xr:uid="{7ECCDA40-FAFB-4B3C-A5A8-F0DFE822DB06}"/>
    <cellStyle name="Normal 2 2 8 4 2 2 2" xfId="29639" xr:uid="{A5FD4C45-1108-43A2-A1C9-B43566E3B07B}"/>
    <cellStyle name="Normal 2 2 8 4 2 2 3" xfId="46398" xr:uid="{64F18CAF-A8F8-4B04-95AF-092B9A80FF17}"/>
    <cellStyle name="Normal 2 2 8 4 2 3" xfId="21259" xr:uid="{946EBCAB-5B16-4B81-8D92-696011439168}"/>
    <cellStyle name="Normal 2 2 8 4 2 4" xfId="38018" xr:uid="{49F15B17-C25F-4BBF-9840-5F0534E9DEDD}"/>
    <cellStyle name="Normal 2 2 8 4 3" xfId="6186" xr:uid="{2648ADFE-ACE3-4557-AC5F-3AA4808AC81A}"/>
    <cellStyle name="Normal 2 2 8 4 3 2" xfId="14566" xr:uid="{6DC810F1-6E47-4D54-AFD4-E6A6710AEB37}"/>
    <cellStyle name="Normal 2 2 8 4 3 2 2" xfId="31326" xr:uid="{3D6DEB8F-5D7C-4D7A-AAA4-9A3B5B65F9A6}"/>
    <cellStyle name="Normal 2 2 8 4 3 2 3" xfId="48085" xr:uid="{81475F1C-5252-4A92-AE3A-6743EDBB6AE2}"/>
    <cellStyle name="Normal 2 2 8 4 3 3" xfId="22946" xr:uid="{312EE6F9-D37D-416D-9C80-63B5D3B46C7E}"/>
    <cellStyle name="Normal 2 2 8 4 3 4" xfId="39705" xr:uid="{F13EF78B-F6E6-439A-95AA-DB7AB92969D9}"/>
    <cellStyle name="Normal 2 2 8 4 4" xfId="2922" xr:uid="{B895AFA4-2C1F-4946-AC2A-2FC728275B4F}"/>
    <cellStyle name="Normal 2 2 8 4 4 2" xfId="11302" xr:uid="{7E75191C-372A-4D3A-B900-DCA63FA11AD6}"/>
    <cellStyle name="Normal 2 2 8 4 4 2 2" xfId="28062" xr:uid="{864E2FE4-FE41-4680-BC09-7D22A69A5989}"/>
    <cellStyle name="Normal 2 2 8 4 4 2 3" xfId="44821" xr:uid="{BF4237DD-83F9-48CC-B360-63E39422CE01}"/>
    <cellStyle name="Normal 2 2 8 4 4 3" xfId="19682" xr:uid="{6BB45AEB-98CF-40F0-A740-0590AB9EA9BE}"/>
    <cellStyle name="Normal 2 2 8 4 4 4" xfId="36441" xr:uid="{F9EFE87E-4370-4BA3-9603-2B4ABC7611D5}"/>
    <cellStyle name="Normal 2 2 8 4 5" xfId="9499" xr:uid="{3B4EBF14-771D-4DB0-8586-6FB87C62B2FB}"/>
    <cellStyle name="Normal 2 2 8 4 5 2" xfId="26259" xr:uid="{94DF82CD-C64A-4E01-B5B4-FFDA10040DFE}"/>
    <cellStyle name="Normal 2 2 8 4 5 3" xfId="43018" xr:uid="{96B40582-817C-418F-B9BD-2D00F011A749}"/>
    <cellStyle name="Normal 2 2 8 4 6" xfId="17879" xr:uid="{8E1B14F7-0026-49B7-A18D-BF35EEBDAB1C}"/>
    <cellStyle name="Normal 2 2 8 4 7" xfId="34638" xr:uid="{C481B169-2B54-4311-A9AB-73998C7EC440}"/>
    <cellStyle name="Normal 2 2 8 5" xfId="1538" xr:uid="{152BA91B-B8AD-4B91-92B4-3F52923EBA2B}"/>
    <cellStyle name="Normal 2 2 8 5 2" xfId="4927" xr:uid="{58EB4645-A542-4106-8B0B-6DB5C6031DB6}"/>
    <cellStyle name="Normal 2 2 8 5 2 2" xfId="13307" xr:uid="{66779F11-FA6F-4C22-9AA8-111AD42EB1F4}"/>
    <cellStyle name="Normal 2 2 8 5 2 2 2" xfId="30067" xr:uid="{38FB2FE9-88C6-4D59-B991-9827DB4EC948}"/>
    <cellStyle name="Normal 2 2 8 5 2 2 3" xfId="46826" xr:uid="{34E1C3A5-C315-4AE2-A2C8-FFA0252D0D62}"/>
    <cellStyle name="Normal 2 2 8 5 2 3" xfId="21687" xr:uid="{F6B72708-30EF-4F1C-9671-EBBD532494F2}"/>
    <cellStyle name="Normal 2 2 8 5 2 4" xfId="38446" xr:uid="{8B9650BB-1F74-4A8A-BAFD-8438EDD581C6}"/>
    <cellStyle name="Normal 2 2 8 5 3" xfId="6614" xr:uid="{A273D98E-42B5-4478-BB6D-56F903D33F5B}"/>
    <cellStyle name="Normal 2 2 8 5 3 2" xfId="14994" xr:uid="{7FB8D31E-B03A-48B9-9693-822A0F818759}"/>
    <cellStyle name="Normal 2 2 8 5 3 2 2" xfId="31754" xr:uid="{51FDB0EA-1B93-4548-8016-F80748C6C460}"/>
    <cellStyle name="Normal 2 2 8 5 3 2 3" xfId="48513" xr:uid="{E439E009-CCF5-4678-88F0-035ECDA6CE55}"/>
    <cellStyle name="Normal 2 2 8 5 3 3" xfId="23374" xr:uid="{25C678F3-EA08-4A6B-A57F-0042836DD063}"/>
    <cellStyle name="Normal 2 2 8 5 3 4" xfId="40133" xr:uid="{8DB44B14-D2BB-4051-9BEF-94CA6DD65D15}"/>
    <cellStyle name="Normal 2 2 8 5 4" xfId="3350" xr:uid="{0E9E2AB3-B491-46A6-82F0-55A7DE9E2B64}"/>
    <cellStyle name="Normal 2 2 8 5 4 2" xfId="11730" xr:uid="{D3651976-2DD9-4CAE-A466-71735DDEA9BA}"/>
    <cellStyle name="Normal 2 2 8 5 4 2 2" xfId="28490" xr:uid="{DD3F6BDB-20A2-4193-BF86-5DFEC11B67DC}"/>
    <cellStyle name="Normal 2 2 8 5 4 2 3" xfId="45249" xr:uid="{89AE1C51-78F0-4354-BEB5-7F76A5E1C2B2}"/>
    <cellStyle name="Normal 2 2 8 5 4 3" xfId="20110" xr:uid="{B9D74513-ECF0-4842-AE2F-FFD55CE3CBE6}"/>
    <cellStyle name="Normal 2 2 8 5 4 4" xfId="36869" xr:uid="{04F5F7DF-C3D7-45A4-984F-50A21C746A0A}"/>
    <cellStyle name="Normal 2 2 8 5 5" xfId="9927" xr:uid="{FA8FD151-D77C-45E9-8EB6-053F1570560F}"/>
    <cellStyle name="Normal 2 2 8 5 5 2" xfId="26687" xr:uid="{7F9C2148-DF22-4E40-8B65-2366BDF5D664}"/>
    <cellStyle name="Normal 2 2 8 5 5 3" xfId="43446" xr:uid="{5C071546-9444-4044-B811-DDDD4FD23133}"/>
    <cellStyle name="Normal 2 2 8 5 6" xfId="18307" xr:uid="{784A14E2-62BF-42E3-88ED-1DDCB83951E5}"/>
    <cellStyle name="Normal 2 2 8 5 7" xfId="35066" xr:uid="{4D43DE44-0F73-4B49-BEB3-2F0B73A9B5F0}"/>
    <cellStyle name="Normal 2 2 8 6" xfId="1736" xr:uid="{C02335B5-55DA-4115-8D40-3131823B14CD}"/>
    <cellStyle name="Normal 2 2 8 6 2" xfId="5125" xr:uid="{1D84C55A-DEE2-4D76-A04C-CF988CB00294}"/>
    <cellStyle name="Normal 2 2 8 6 2 2" xfId="13505" xr:uid="{2F653FA3-C324-4043-8AC6-260532ED0B35}"/>
    <cellStyle name="Normal 2 2 8 6 2 2 2" xfId="30265" xr:uid="{31559EF5-B3F8-4882-A7CB-697DEF7D3BB1}"/>
    <cellStyle name="Normal 2 2 8 6 2 2 3" xfId="47024" xr:uid="{83C60ECE-291B-4464-AC3C-696AFB820B5A}"/>
    <cellStyle name="Normal 2 2 8 6 2 3" xfId="21885" xr:uid="{EDF07E31-4093-48E3-BA13-34D5283C26C3}"/>
    <cellStyle name="Normal 2 2 8 6 2 4" xfId="38644" xr:uid="{3A35C592-36EF-44CB-BAF2-48F53071B77F}"/>
    <cellStyle name="Normal 2 2 8 6 3" xfId="6812" xr:uid="{A9F4B8F8-19BF-4F06-B84F-419D1C24DF17}"/>
    <cellStyle name="Normal 2 2 8 6 3 2" xfId="15192" xr:uid="{9CFF0538-E47D-43E5-80DD-B67FEC2525F7}"/>
    <cellStyle name="Normal 2 2 8 6 3 2 2" xfId="31952" xr:uid="{E41B8944-32BB-48FC-8BB9-127540A968E9}"/>
    <cellStyle name="Normal 2 2 8 6 3 2 3" xfId="48711" xr:uid="{FBED6377-EDDD-46F3-8865-4D40C6D8C2F0}"/>
    <cellStyle name="Normal 2 2 8 6 3 3" xfId="23572" xr:uid="{AF1A6150-C78A-4B6C-B520-7DF06B284699}"/>
    <cellStyle name="Normal 2 2 8 6 3 4" xfId="40331" xr:uid="{A16EE49E-A22D-46BB-A544-B0D912AE804C}"/>
    <cellStyle name="Normal 2 2 8 6 4" xfId="2494" xr:uid="{8161DAD9-888A-4C67-8392-952643CAC51B}"/>
    <cellStyle name="Normal 2 2 8 6 4 2" xfId="10876" xr:uid="{33B726D1-EBA0-44B2-8151-232200E451DD}"/>
    <cellStyle name="Normal 2 2 8 6 4 2 2" xfId="27636" xr:uid="{6B43572C-44AD-45BC-ADE6-D5888A398A95}"/>
    <cellStyle name="Normal 2 2 8 6 4 2 3" xfId="44395" xr:uid="{DF9D0E1F-20F3-4A33-B150-60E07B5C1123}"/>
    <cellStyle name="Normal 2 2 8 6 4 3" xfId="19256" xr:uid="{0165799F-87F1-4B6E-995B-F8DD8D9FC5C7}"/>
    <cellStyle name="Normal 2 2 8 6 4 4" xfId="36015" xr:uid="{D71A0ADA-32E9-4009-A75F-CC3BBE827FC8}"/>
    <cellStyle name="Normal 2 2 8 6 5" xfId="10125" xr:uid="{8B174284-9F8F-4FF0-91A9-BF4F9163C901}"/>
    <cellStyle name="Normal 2 2 8 6 5 2" xfId="26885" xr:uid="{645F78B7-D31A-4F9A-878E-E29EB338568A}"/>
    <cellStyle name="Normal 2 2 8 6 5 3" xfId="43644" xr:uid="{9730E9F1-CB06-40C5-AFDE-3022A4EFD96B}"/>
    <cellStyle name="Normal 2 2 8 6 6" xfId="18505" xr:uid="{594940C5-39A6-4F71-9F48-6AFC8E684F29}"/>
    <cellStyle name="Normal 2 2 8 6 7" xfId="35264" xr:uid="{B12223A8-08C2-4E9C-992A-BC9809678569}"/>
    <cellStyle name="Normal 2 2 8 7" xfId="3855" xr:uid="{8DA840CB-4D69-4E37-9746-0A8126D0C4DD}"/>
    <cellStyle name="Normal 2 2 8 7 2" xfId="12235" xr:uid="{8361D87E-59C6-4E36-A5DD-377F40094EAA}"/>
    <cellStyle name="Normal 2 2 8 7 2 2" xfId="28995" xr:uid="{65F660C4-3335-4CB5-A1BE-D8D322CE7112}"/>
    <cellStyle name="Normal 2 2 8 7 2 3" xfId="45754" xr:uid="{C7810D67-E1C3-460B-AC25-99ECF92D266D}"/>
    <cellStyle name="Normal 2 2 8 7 3" xfId="20615" xr:uid="{E11EEB90-D83B-4800-92A7-14FB10CCBF76}"/>
    <cellStyle name="Normal 2 2 8 7 4" xfId="37374" xr:uid="{BD66D9ED-E07F-4AAC-A484-468B462D3258}"/>
    <cellStyle name="Normal 2 2 8 8" xfId="5760" xr:uid="{7EA1DE0B-327F-4280-AC08-B1547D8E4926}"/>
    <cellStyle name="Normal 2 2 8 8 2" xfId="14140" xr:uid="{172E983B-B406-4A5F-919B-1400219100BF}"/>
    <cellStyle name="Normal 2 2 8 8 2 2" xfId="30900" xr:uid="{D1EEC626-975E-4CA1-A50C-D16BD3423C00}"/>
    <cellStyle name="Normal 2 2 8 8 2 3" xfId="47659" xr:uid="{54B22BD2-1BC9-4675-B827-B5D57A46302B}"/>
    <cellStyle name="Normal 2 2 8 8 3" xfId="22520" xr:uid="{4C4BCA63-F8FE-4357-AB13-9CD4A2592F7D}"/>
    <cellStyle name="Normal 2 2 8 8 4" xfId="39279" xr:uid="{661EF750-0FA7-4322-82EE-DB5F4B607ADA}"/>
    <cellStyle name="Normal 2 2 8 9" xfId="7218" xr:uid="{A5F0E2A5-8D41-41E9-99FE-0409F0DDF26B}"/>
    <cellStyle name="Normal 2 2 8 9 2" xfId="15598" xr:uid="{9A270B01-D57F-4277-958B-1AC58705364E}"/>
    <cellStyle name="Normal 2 2 8 9 2 2" xfId="32358" xr:uid="{BFBD0A55-44EF-4AD3-A55E-EB073EF65EAF}"/>
    <cellStyle name="Normal 2 2 8 9 2 3" xfId="49117" xr:uid="{CABE3009-20B2-46D9-93F9-F9D2C26F81ED}"/>
    <cellStyle name="Normal 2 2 8 9 3" xfId="23978" xr:uid="{4112E440-5094-44E6-9090-43C746FA303D}"/>
    <cellStyle name="Normal 2 2 8 9 4" xfId="40737" xr:uid="{8BF559AC-53BC-4B1B-AC45-99575452A0A6}"/>
    <cellStyle name="Normal 2 2 9" xfId="764" xr:uid="{E95AF5C7-21CC-4CBD-B65C-73E6335ECEE8}"/>
    <cellStyle name="Normal 2 2 9 2" xfId="4159" xr:uid="{3B80E98A-5239-4437-A8D9-5EA98881A601}"/>
    <cellStyle name="Normal 2 2 9 2 2" xfId="12539" xr:uid="{71F53897-5ABC-493D-B751-F30CF6FA0F12}"/>
    <cellStyle name="Normal 2 2 9 2 2 2" xfId="29299" xr:uid="{F3808E90-02B2-4430-8F88-979A9C5C9A14}"/>
    <cellStyle name="Normal 2 2 9 2 2 3" xfId="46058" xr:uid="{94A68AAF-E474-459A-9534-3911C89A2A11}"/>
    <cellStyle name="Normal 2 2 9 2 3" xfId="20919" xr:uid="{B6BB13B4-2180-4750-96F1-523B09DEBECD}"/>
    <cellStyle name="Normal 2 2 9 2 4" xfId="37678" xr:uid="{BEAC960E-41B7-45AB-BEE1-60BD0ED64218}"/>
    <cellStyle name="Normal 2 2 9 3" xfId="5846" xr:uid="{4334A57B-D874-4C94-ADD2-1F0CCF4F4652}"/>
    <cellStyle name="Normal 2 2 9 3 2" xfId="14226" xr:uid="{5AF375A2-38C8-4AF3-B22E-1F53F86DEF06}"/>
    <cellStyle name="Normal 2 2 9 3 2 2" xfId="30986" xr:uid="{9150FB3E-BE46-4114-AED5-0857FA631F6E}"/>
    <cellStyle name="Normal 2 2 9 3 2 3" xfId="47745" xr:uid="{AF4B150A-1894-493A-AE25-EDF3A430BCFF}"/>
    <cellStyle name="Normal 2 2 9 3 3" xfId="22606" xr:uid="{11718522-67EF-443D-8DC4-CF73935E8174}"/>
    <cellStyle name="Normal 2 2 9 3 4" xfId="39365" xr:uid="{72B9CC09-0041-41EA-847F-21722FB58F8E}"/>
    <cellStyle name="Normal 2 2 9 4" xfId="2582" xr:uid="{19A76971-7060-4571-A531-8D009517DE1E}"/>
    <cellStyle name="Normal 2 2 9 4 2" xfId="10962" xr:uid="{22914A0A-B926-431B-B620-2EA8624F3968}"/>
    <cellStyle name="Normal 2 2 9 4 2 2" xfId="27722" xr:uid="{CEBA1DD4-965A-4AB6-94E9-376715B68BD8}"/>
    <cellStyle name="Normal 2 2 9 4 2 3" xfId="44481" xr:uid="{E6DD8A01-F17D-450A-B8FC-138326FD0670}"/>
    <cellStyle name="Normal 2 2 9 4 3" xfId="19342" xr:uid="{FDB509EC-2457-4982-8596-D3D4B49576C4}"/>
    <cellStyle name="Normal 2 2 9 4 4" xfId="36101" xr:uid="{48992C4C-77C6-4DC7-A2EA-1766AD151C06}"/>
    <cellStyle name="Normal 2 2 9 5" xfId="9159" xr:uid="{404D635F-2317-4E8D-A040-21725404AFC9}"/>
    <cellStyle name="Normal 2 2 9 5 2" xfId="25919" xr:uid="{711FF5A4-41E5-417F-B026-9507B76FE87C}"/>
    <cellStyle name="Normal 2 2 9 5 3" xfId="42678" xr:uid="{4EAEC713-E94A-4045-86CC-376DDED9AF05}"/>
    <cellStyle name="Normal 2 2 9 6" xfId="17539" xr:uid="{DB2DC89C-7C14-4B39-BC45-8C21998F57E7}"/>
    <cellStyle name="Normal 2 2 9 7" xfId="34298" xr:uid="{522D8FE2-7354-4406-988E-3ADFF8DED75F}"/>
    <cellStyle name="Normal 2 3" xfId="77" xr:uid="{DE6076A9-2E3C-4935-8C89-D4900DF382C1}"/>
    <cellStyle name="Normal 2 3 2" xfId="235" xr:uid="{B099DDA2-B758-4D17-9002-D8FF6546C309}"/>
    <cellStyle name="Normal 2 3 2 2" xfId="51188" xr:uid="{CD279811-8C4C-4079-8771-1FD7CB28AC19}"/>
    <cellStyle name="Normal 2 3 2 2 2" xfId="51662" xr:uid="{2656591B-152B-4255-BE5A-7E31545F4518}"/>
    <cellStyle name="Normal 2 3 2 2 3" xfId="52138" xr:uid="{0F4C6616-03EE-4DD6-ACB7-46BE7013B518}"/>
    <cellStyle name="Normal 2 3 2 3" xfId="50925" xr:uid="{B577BD28-3672-486F-9DFF-14499154CE45}"/>
    <cellStyle name="Normal 2 3 2 4" xfId="51427" xr:uid="{1CF4D99D-6866-4B3E-9CB4-DDECC9E70EA7}"/>
    <cellStyle name="Normal 2 3 2 5" xfId="51941" xr:uid="{C9F81823-8D3A-436B-B535-1E27094FF588}"/>
    <cellStyle name="Normal 2 3 3" xfId="155" xr:uid="{E17C135C-4578-4700-8918-7F4C103F0623}"/>
    <cellStyle name="Normal 2 3 3 2" xfId="10420" xr:uid="{5DDD48BB-AF31-4F31-95C6-EBFB242FEB05}"/>
    <cellStyle name="Normal 2 3 3 2 2" xfId="27180" xr:uid="{25A95EEE-BA3D-497F-82B7-45CE0588DF8F}"/>
    <cellStyle name="Normal 2 3 3 2 3" xfId="43939" xr:uid="{B88111DC-2E37-4DC1-A7F9-DD3C47FE2A96}"/>
    <cellStyle name="Normal 2 3 3 3" xfId="18800" xr:uid="{291175CE-C85D-482B-A8CF-435BED63FD95}"/>
    <cellStyle name="Normal 2 3 3 4" xfId="35559" xr:uid="{3B40C262-66D9-44FC-BA70-7CCF4A280513}"/>
    <cellStyle name="Normal 2 3 3 5" xfId="51010" xr:uid="{260CAFC6-A0A4-4184-A3DC-7128F164D486}"/>
    <cellStyle name="Normal 2 3 3 6" xfId="2031" xr:uid="{D819BA77-914B-4A6B-ADCE-E0DA3230ABE1}"/>
    <cellStyle name="Normal 2 3 4" xfId="51082" xr:uid="{3E65B59D-A410-4965-B781-2F33B4E24355}"/>
    <cellStyle name="Normal 2 3 4 2" xfId="51556" xr:uid="{F5B6B3A1-CCBD-4D7A-AFC7-3C2FD55B95D1}"/>
    <cellStyle name="Normal 2 3 4 3" xfId="52034" xr:uid="{421F491C-FA7C-4CD5-A824-0E8F3C894DA0}"/>
    <cellStyle name="Normal 2 3 5" xfId="50817" xr:uid="{66D34AC5-BFD9-47FD-A110-929A7FA88941}"/>
    <cellStyle name="Normal 2 3 6" xfId="51321" xr:uid="{2100A637-0450-478A-A8AF-E23FD69D4E3B}"/>
    <cellStyle name="Normal 2 3 7" xfId="51833" xr:uid="{5253A83C-6C84-4AC3-AA9C-2A432200ED99}"/>
    <cellStyle name="Normal 2 3 8" xfId="255" xr:uid="{E8F54E30-AB76-40AF-B0E5-A75286914225}"/>
    <cellStyle name="Normal 2 4" xfId="154" xr:uid="{B18A8799-EB70-42F4-9F2D-C3F83ECC2675}"/>
    <cellStyle name="Normal 2 4 2" xfId="51138" xr:uid="{1500AE18-9A46-4352-A29D-E54122E3EF65}"/>
    <cellStyle name="Normal 2 4 2 2" xfId="51612" xr:uid="{47BF9F66-1A28-4C78-897F-876C56F288B9}"/>
    <cellStyle name="Normal 2 4 2 3" xfId="52090" xr:uid="{0BE13E18-BFDA-440D-94D9-0E70C0401266}"/>
    <cellStyle name="Normal 2 4 3" xfId="50874" xr:uid="{A768AFD0-C05A-45D9-9C39-311FA2E4B847}"/>
    <cellStyle name="Normal 2 4 4" xfId="51377" xr:uid="{7E8658D8-54D4-470E-A08E-3C060D8D2345}"/>
    <cellStyle name="Normal 2 4 5" xfId="51891" xr:uid="{90DDF4B1-B24C-40F3-AE36-975600B6798F}"/>
    <cellStyle name="Normal 2 4 6" xfId="665" xr:uid="{67E2F081-78CB-442C-89A2-21E3FD7E1E9C}"/>
    <cellStyle name="Normal 2 5" xfId="234" xr:uid="{0E9C39AF-F89C-4DC2-B406-EAC86AF23C75}"/>
    <cellStyle name="Normal 2 5 2" xfId="51210" xr:uid="{E30BB26A-7647-4776-9338-609971F92DBA}"/>
    <cellStyle name="Normal 2 5 2 2" xfId="51683" xr:uid="{26ACD1D6-F308-4FA8-9F9F-FFECF12C04BE}"/>
    <cellStyle name="Normal 2 5 2 3" xfId="52159" xr:uid="{50CF27D4-AEB9-4F24-9EE9-88255DD33127}"/>
    <cellStyle name="Normal 2 5 3" xfId="50966" xr:uid="{A1D97D6C-5E92-4C73-B579-BACD3DD87589}"/>
    <cellStyle name="Normal 2 5 4" xfId="51448" xr:uid="{9353970D-B395-4640-98F4-2AA49C8C604D}"/>
    <cellStyle name="Normal 2 5 5" xfId="51962" xr:uid="{1E5B678D-D37D-4FEA-AA5E-C1C409F27165}"/>
    <cellStyle name="Normal 2 5 6" xfId="666" xr:uid="{56DC5FA1-9379-46EB-B08D-FABA9F618760}"/>
    <cellStyle name="Normal 2 6" xfId="89" xr:uid="{4D531EDC-500D-43C2-8A70-8C0CCBCF14AA}"/>
    <cellStyle name="Normal 2 6 2" xfId="50765" xr:uid="{DA9C22ED-EDAB-4214-B4EC-68AF724FE037}"/>
    <cellStyle name="Normal 2 7" xfId="70" xr:uid="{F15C6356-F5F6-447E-8945-A7DF70E4210A}"/>
    <cellStyle name="Normal 20" xfId="231" xr:uid="{BEAAC9AA-CA6D-4FCE-B497-DAD43BBC68BD}"/>
    <cellStyle name="Normal 20 10" xfId="5440" xr:uid="{CAF4CCC2-E8BC-4E2E-B5EE-50339CD6B4C6}"/>
    <cellStyle name="Normal 20 10 2" xfId="13820" xr:uid="{8001879F-57E7-4D93-AAC6-504C4C988097}"/>
    <cellStyle name="Normal 20 10 2 2" xfId="30580" xr:uid="{28FE5F64-2DCF-432E-84CA-D526603A4754}"/>
    <cellStyle name="Normal 20 10 2 3" xfId="47339" xr:uid="{9D7CEA98-522F-4F3B-891A-9CA4B38F16EC}"/>
    <cellStyle name="Normal 20 10 3" xfId="22200" xr:uid="{4F446271-56F0-4BBE-BE6F-DDDA2916096F}"/>
    <cellStyle name="Normal 20 10 4" xfId="38959" xr:uid="{738432CE-9240-4105-A438-424DF0534B48}"/>
    <cellStyle name="Normal 20 11" xfId="7124" xr:uid="{C2A5239D-825E-4485-94F6-A488212E7E6D}"/>
    <cellStyle name="Normal 20 11 2" xfId="15504" xr:uid="{F8D5D8F5-1428-41AF-A923-7ED50F06F348}"/>
    <cellStyle name="Normal 20 11 2 2" xfId="32264" xr:uid="{B478BF66-7A97-4E84-B0FC-FD72A2207A82}"/>
    <cellStyle name="Normal 20 11 2 3" xfId="49023" xr:uid="{D243FE1B-A494-48CE-AA26-B4A2AB6410CA}"/>
    <cellStyle name="Normal 20 11 3" xfId="23884" xr:uid="{42E15698-7131-4174-9B64-A725A5170240}"/>
    <cellStyle name="Normal 20 11 4" xfId="40643" xr:uid="{0D82C21F-C696-41A5-8D3A-0AF9CA3C8AA4}"/>
    <cellStyle name="Normal 20 12" xfId="7530" xr:uid="{5B9D39E1-D0BA-4D0D-964B-2050CCC49E1E}"/>
    <cellStyle name="Normal 20 12 2" xfId="15910" xr:uid="{77D2313F-AAB1-43E4-BE4E-AA2752E599D1}"/>
    <cellStyle name="Normal 20 12 2 2" xfId="32670" xr:uid="{B11D362B-38A8-4773-B2CE-A86D3C49AC8C}"/>
    <cellStyle name="Normal 20 12 2 3" xfId="49429" xr:uid="{1D9B475C-7B57-4D08-802E-4888F51F87F3}"/>
    <cellStyle name="Normal 20 12 3" xfId="24290" xr:uid="{710250B0-BC62-4DB0-9990-C1820CCC676A}"/>
    <cellStyle name="Normal 20 12 4" xfId="41049" xr:uid="{75F679C1-15FB-4E46-BAE9-DAA5D08362B2}"/>
    <cellStyle name="Normal 20 13" xfId="7936" xr:uid="{406B4936-FDD9-479B-9974-C6D52E18239D}"/>
    <cellStyle name="Normal 20 13 2" xfId="16316" xr:uid="{2670A4C2-2543-44B5-9CF2-41F2B52C4F89}"/>
    <cellStyle name="Normal 20 13 2 2" xfId="33076" xr:uid="{2FDFE4A3-5257-4CA1-B5F4-D95B1E1A59C8}"/>
    <cellStyle name="Normal 20 13 2 3" xfId="49835" xr:uid="{CF3C179F-12E4-4E57-9405-F5AAA4E0C5A8}"/>
    <cellStyle name="Normal 20 13 3" xfId="24696" xr:uid="{D87CF5FE-F4AE-4EB4-A75C-E753311789BB}"/>
    <cellStyle name="Normal 20 13 4" xfId="41455" xr:uid="{13B87D53-C465-4FFF-81F2-A64B089CD039}"/>
    <cellStyle name="Normal 20 14" xfId="8342" xr:uid="{2DA6CFC4-E02D-46F0-A17F-EEC0269BB835}"/>
    <cellStyle name="Normal 20 14 2" xfId="16722" xr:uid="{70FE4F1A-D6CD-4397-B8D4-B1A5932779E4}"/>
    <cellStyle name="Normal 20 14 2 2" xfId="33482" xr:uid="{210BC84D-E251-4CA0-AD81-2980C3B81727}"/>
    <cellStyle name="Normal 20 14 2 3" xfId="50241" xr:uid="{9C3E493F-6D0D-4423-8498-B63E1C621ADB}"/>
    <cellStyle name="Normal 20 14 3" xfId="25102" xr:uid="{95C1038B-68F6-472A-AD39-78A22668EA28}"/>
    <cellStyle name="Normal 20 14 4" xfId="41861" xr:uid="{B48036E5-770D-482E-8FD8-8431A5B5644E}"/>
    <cellStyle name="Normal 20 15" xfId="2093" xr:uid="{DE3B8272-54D4-4EAE-8AB1-5936ED179F9D}"/>
    <cellStyle name="Normal 20 15 2" xfId="10481" xr:uid="{D127BF91-6728-4646-A37F-4B2D321A771C}"/>
    <cellStyle name="Normal 20 15 2 2" xfId="27241" xr:uid="{67B50957-4F56-4AEE-8D09-2C7ABB620EF0}"/>
    <cellStyle name="Normal 20 15 2 3" xfId="44000" xr:uid="{C1566D9C-4514-41E7-BDFC-49542B603909}"/>
    <cellStyle name="Normal 20 15 3" xfId="18861" xr:uid="{EC6C5148-7790-4828-9D19-937837CC5D14}"/>
    <cellStyle name="Normal 20 15 4" xfId="35620" xr:uid="{ADC036A3-CB65-4280-96E1-A36CBB36BC82}"/>
    <cellStyle name="Normal 20 16" xfId="8753" xr:uid="{7A1777A0-F92A-4EB0-9A21-DE6C57BE2834}"/>
    <cellStyle name="Normal 20 16 2" xfId="25513" xr:uid="{45F5A29C-12E4-4656-B29D-64B9DFC58732}"/>
    <cellStyle name="Normal 20 16 3" xfId="42272" xr:uid="{A5916C68-A864-48F8-821A-82D3BEFAE255}"/>
    <cellStyle name="Normal 20 17" xfId="17133" xr:uid="{0B7DD03D-97E6-47BC-A8A6-344712A9F115}"/>
    <cellStyle name="Normal 20 18" xfId="33892" xr:uid="{ECAD7CDC-F395-4D05-90C9-7BEAE5098EDB}"/>
    <cellStyle name="Normal 20 19" xfId="50941" xr:uid="{B785556B-FD54-4E95-B6C5-25AE0A2B72AF}"/>
    <cellStyle name="Normal 20 2" xfId="308" xr:uid="{0192F877-A8C7-41D9-85FB-43B4A999EB5E}"/>
    <cellStyle name="Normal 20 2 10" xfId="7586" xr:uid="{EC3DBB0D-6FCC-485C-B2E3-EBE0478321EC}"/>
    <cellStyle name="Normal 20 2 10 2" xfId="15966" xr:uid="{02450401-8F52-4F47-A75A-6EA9083C52ED}"/>
    <cellStyle name="Normal 20 2 10 2 2" xfId="32726" xr:uid="{39DB548F-B2BD-426D-B84A-1ECB5AA25DCE}"/>
    <cellStyle name="Normal 20 2 10 2 3" xfId="49485" xr:uid="{EB33DEFC-F672-467A-A5FE-5A750A4D5547}"/>
    <cellStyle name="Normal 20 2 10 3" xfId="24346" xr:uid="{CBBB21DF-5152-4330-9EE6-0770892F24DD}"/>
    <cellStyle name="Normal 20 2 10 4" xfId="41105" xr:uid="{15FC210F-297C-461A-B9B4-B5D509E0F92A}"/>
    <cellStyle name="Normal 20 2 11" xfId="7992" xr:uid="{2467A506-2ABE-4BD9-8511-3218DA994DDA}"/>
    <cellStyle name="Normal 20 2 11 2" xfId="16372" xr:uid="{2C314EA3-6F8D-4404-840F-E1AF2F43FA84}"/>
    <cellStyle name="Normal 20 2 11 2 2" xfId="33132" xr:uid="{91F5C8FD-367E-4A18-9D50-7825FDADF4C9}"/>
    <cellStyle name="Normal 20 2 11 2 3" xfId="49891" xr:uid="{71E72E46-0A47-40CD-B59B-A93A678CBB23}"/>
    <cellStyle name="Normal 20 2 11 3" xfId="24752" xr:uid="{9AC07613-EF07-4701-8840-F753BD65AF6A}"/>
    <cellStyle name="Normal 20 2 11 4" xfId="41511" xr:uid="{2901B1FF-E300-4329-8CD9-6FAB7165847E}"/>
    <cellStyle name="Normal 20 2 12" xfId="8398" xr:uid="{9C162A5B-EC60-4553-8198-61DB4AFE7F0F}"/>
    <cellStyle name="Normal 20 2 12 2" xfId="16778" xr:uid="{8941467D-188D-440D-86CB-6DBA02112C01}"/>
    <cellStyle name="Normal 20 2 12 2 2" xfId="33538" xr:uid="{F6E9AAFF-502A-4C53-B763-45188BCF0B80}"/>
    <cellStyle name="Normal 20 2 12 2 3" xfId="50297" xr:uid="{22CE312E-74CE-4581-8124-DEA65C421585}"/>
    <cellStyle name="Normal 20 2 12 3" xfId="25158" xr:uid="{63B85E19-9688-4F69-8892-5FB6DB006B35}"/>
    <cellStyle name="Normal 20 2 12 4" xfId="41917" xr:uid="{A7484A0B-6D4B-41B6-9334-8BE82CDAF272}"/>
    <cellStyle name="Normal 20 2 13" xfId="2119" xr:uid="{4637F345-FF31-4D48-B3F9-CE509051F524}"/>
    <cellStyle name="Normal 20 2 13 2" xfId="10507" xr:uid="{61C23C54-CBD9-479E-A2DC-F17913613031}"/>
    <cellStyle name="Normal 20 2 13 2 2" xfId="27267" xr:uid="{9DA4C6D9-2BCE-42BD-83D6-919E608281CF}"/>
    <cellStyle name="Normal 20 2 13 2 3" xfId="44026" xr:uid="{EE36CD49-4341-4662-880A-C3B36149F44E}"/>
    <cellStyle name="Normal 20 2 13 3" xfId="18887" xr:uid="{ABB182AA-5239-49A5-A596-0E94EEA3A76B}"/>
    <cellStyle name="Normal 20 2 13 4" xfId="35646" xr:uid="{2E2FA438-4F76-43E3-9FC9-B4F77A4DF79D}"/>
    <cellStyle name="Normal 20 2 14" xfId="8781" xr:uid="{E289D072-9ADE-4519-859E-BF7F0E6DC603}"/>
    <cellStyle name="Normal 20 2 14 2" xfId="25541" xr:uid="{94C478A2-98A8-408A-9562-670B5CEBA911}"/>
    <cellStyle name="Normal 20 2 14 3" xfId="42300" xr:uid="{2919DA8E-9C20-4730-8D12-CB8BB97A43FF}"/>
    <cellStyle name="Normal 20 2 15" xfId="17161" xr:uid="{1F5DF639-E4CB-47EF-9A6F-0DB00137AADF}"/>
    <cellStyle name="Normal 20 2 16" xfId="33920" xr:uid="{D0B68B39-96A1-4A7E-8486-D6093DC700ED}"/>
    <cellStyle name="Normal 20 2 2" xfId="391" xr:uid="{DABAB59A-BAC3-4B6B-94B5-253BAA5CB500}"/>
    <cellStyle name="Normal 20 2 2 10" xfId="8556" xr:uid="{0E5277A3-B5DD-4625-A49E-1BF06B521742}"/>
    <cellStyle name="Normal 20 2 2 10 2" xfId="16936" xr:uid="{8A1A26B8-8962-4B86-B041-FF7DE66E8BB8}"/>
    <cellStyle name="Normal 20 2 2 10 2 2" xfId="33696" xr:uid="{3CBBA06E-4D64-45CE-A4AE-3FFE60DAC04D}"/>
    <cellStyle name="Normal 20 2 2 10 2 3" xfId="50455" xr:uid="{A3766635-1803-41B6-A889-F17453AFE8AA}"/>
    <cellStyle name="Normal 20 2 2 10 3" xfId="25316" xr:uid="{9ED54739-F4E5-4051-BFF1-8432879C02FF}"/>
    <cellStyle name="Normal 20 2 2 10 4" xfId="42075" xr:uid="{8E770409-5958-4D26-BB7C-877FB20EDE8A}"/>
    <cellStyle name="Normal 20 2 2 11" xfId="2274" xr:uid="{BA4E5D5D-161C-4795-B5D0-25D31AD5000F}"/>
    <cellStyle name="Normal 20 2 2 11 2" xfId="10658" xr:uid="{E961F830-5FEF-45A6-A498-56CFC75B4919}"/>
    <cellStyle name="Normal 20 2 2 11 2 2" xfId="27418" xr:uid="{35CFA65B-F3F0-43C0-B295-2740401FF7EC}"/>
    <cellStyle name="Normal 20 2 2 11 2 3" xfId="44177" xr:uid="{AED70245-C230-4C2B-BD4F-0194C7934469}"/>
    <cellStyle name="Normal 20 2 2 11 3" xfId="19038" xr:uid="{34E60C56-050E-424B-94D0-932AAC78F042}"/>
    <cellStyle name="Normal 20 2 2 11 4" xfId="35797" xr:uid="{47A34853-E2D6-4549-BA3C-E91B2A2B0428}"/>
    <cellStyle name="Normal 20 2 2 12" xfId="8855" xr:uid="{797C3877-F6C9-488D-BBE2-171FA78311B1}"/>
    <cellStyle name="Normal 20 2 2 12 2" xfId="25615" xr:uid="{69EE29E8-15E7-465A-A088-8BC621D92898}"/>
    <cellStyle name="Normal 20 2 2 12 3" xfId="42374" xr:uid="{AD02CB16-4022-4309-81AA-9F2DB84B2D71}"/>
    <cellStyle name="Normal 20 2 2 13" xfId="17235" xr:uid="{1F314D27-A151-4FB1-AB38-AD5673A6DF00}"/>
    <cellStyle name="Normal 20 2 2 14" xfId="33994" xr:uid="{66F6901F-711F-4BAF-881E-C9EA4D0CBA9A}"/>
    <cellStyle name="Normal 20 2 2 2" xfId="886" xr:uid="{96993FB1-5830-43DF-B1B0-EA4D4ACD0432}"/>
    <cellStyle name="Normal 20 2 2 2 2" xfId="4281" xr:uid="{6FA0E704-765A-4EC8-AEC1-1DA030ACC398}"/>
    <cellStyle name="Normal 20 2 2 2 2 2" xfId="12661" xr:uid="{B0E36D60-ADEF-4D2E-B86A-69E28A2CDB47}"/>
    <cellStyle name="Normal 20 2 2 2 2 2 2" xfId="29421" xr:uid="{76C1BB6B-23FA-40D9-B8F6-50D541AB63B2}"/>
    <cellStyle name="Normal 20 2 2 2 2 2 3" xfId="46180" xr:uid="{D37DF7BC-4D5F-4BD3-9536-827BA5D6D7E1}"/>
    <cellStyle name="Normal 20 2 2 2 2 3" xfId="21041" xr:uid="{82854C22-C04D-4A5C-B339-2838CEB48EF5}"/>
    <cellStyle name="Normal 20 2 2 2 2 4" xfId="37800" xr:uid="{3400A9E2-CA3C-443D-86A0-C32E8CA0CF85}"/>
    <cellStyle name="Normal 20 2 2 2 3" xfId="5968" xr:uid="{EB3C5435-F106-4611-838D-7AF6021B8183}"/>
    <cellStyle name="Normal 20 2 2 2 3 2" xfId="14348" xr:uid="{DC470113-F752-4B62-B8D2-D2BFE14E248A}"/>
    <cellStyle name="Normal 20 2 2 2 3 2 2" xfId="31108" xr:uid="{ABAD5F52-C6F9-445F-97D4-B7FE1DF2AC49}"/>
    <cellStyle name="Normal 20 2 2 2 3 2 3" xfId="47867" xr:uid="{B4DB9DAE-E0E8-48C3-ACF3-E2170D622FB9}"/>
    <cellStyle name="Normal 20 2 2 2 3 3" xfId="22728" xr:uid="{8521B638-000A-4943-9F11-A6431FC6BAB2}"/>
    <cellStyle name="Normal 20 2 2 2 3 4" xfId="39487" xr:uid="{C45F105A-7D47-4680-9C41-EDCBD4380FB1}"/>
    <cellStyle name="Normal 20 2 2 2 4" xfId="2704" xr:uid="{44B91704-E638-4FE5-B9E9-2C2DB8D94724}"/>
    <cellStyle name="Normal 20 2 2 2 4 2" xfId="11084" xr:uid="{180F675B-9170-497C-96EF-4A1AC9DBA9AE}"/>
    <cellStyle name="Normal 20 2 2 2 4 2 2" xfId="27844" xr:uid="{34AAD54D-00EE-411E-83A9-C5FAAB1A0D0D}"/>
    <cellStyle name="Normal 20 2 2 2 4 2 3" xfId="44603" xr:uid="{8D530542-216F-4C6C-B245-E67CD5ABE4F2}"/>
    <cellStyle name="Normal 20 2 2 2 4 3" xfId="19464" xr:uid="{33BD465A-B7A7-43A4-B3EA-CD823F60DC22}"/>
    <cellStyle name="Normal 20 2 2 2 4 4" xfId="36223" xr:uid="{C0E8F356-333F-4026-930E-BFE1610D9CDF}"/>
    <cellStyle name="Normal 20 2 2 2 5" xfId="9281" xr:uid="{0C7BCB9F-6C0F-4B3A-A0AE-35BD60BEBBAF}"/>
    <cellStyle name="Normal 20 2 2 2 5 2" xfId="26041" xr:uid="{EAB4B6CE-040E-476B-83C2-E3556319973B}"/>
    <cellStyle name="Normal 20 2 2 2 5 3" xfId="42800" xr:uid="{B3974895-3AD0-4854-BAE6-2CE1A9130441}"/>
    <cellStyle name="Normal 20 2 2 2 6" xfId="17661" xr:uid="{81EB895C-777D-4914-B197-644CE874D473}"/>
    <cellStyle name="Normal 20 2 2 2 7" xfId="34420" xr:uid="{E64BDEDF-B438-4B24-9775-41863A046309}"/>
    <cellStyle name="Normal 20 2 2 3" xfId="1320" xr:uid="{2B8CE1C5-F134-4281-85AE-051E3221E2DC}"/>
    <cellStyle name="Normal 20 2 2 3 2" xfId="4709" xr:uid="{A3A7B4FF-BCEB-4C4E-8A76-F024E9340BC7}"/>
    <cellStyle name="Normal 20 2 2 3 2 2" xfId="13089" xr:uid="{4AFB37F9-DA91-4EDE-883E-5E1B298A18F6}"/>
    <cellStyle name="Normal 20 2 2 3 2 2 2" xfId="29849" xr:uid="{0CB44D53-178E-484B-8F52-8B22A6AC44F0}"/>
    <cellStyle name="Normal 20 2 2 3 2 2 3" xfId="46608" xr:uid="{7E1A69C8-C991-44F3-84FC-2EAAF3748A42}"/>
    <cellStyle name="Normal 20 2 2 3 2 3" xfId="21469" xr:uid="{E38E73BA-9EE6-4285-9B46-6D7FA13228F6}"/>
    <cellStyle name="Normal 20 2 2 3 2 4" xfId="38228" xr:uid="{46EB0175-9735-4C2C-94FF-B9FBFFCA094F}"/>
    <cellStyle name="Normal 20 2 2 3 3" xfId="6396" xr:uid="{F6EFB3A5-C68B-4F3B-8038-04D5F0C4B475}"/>
    <cellStyle name="Normal 20 2 2 3 3 2" xfId="14776" xr:uid="{BBE1820F-8B48-4465-9B01-114F4DCAE9F1}"/>
    <cellStyle name="Normal 20 2 2 3 3 2 2" xfId="31536" xr:uid="{1847F887-A5EA-47B0-B4D6-01630917253B}"/>
    <cellStyle name="Normal 20 2 2 3 3 2 3" xfId="48295" xr:uid="{93E050FE-76E7-4CDF-8F3F-9296C14D960F}"/>
    <cellStyle name="Normal 20 2 2 3 3 3" xfId="23156" xr:uid="{054E3DE4-15FE-4324-BCD3-38CD899414ED}"/>
    <cellStyle name="Normal 20 2 2 3 3 4" xfId="39915" xr:uid="{77FC3A12-2F08-47FC-A27C-3CBEE56C05FB}"/>
    <cellStyle name="Normal 20 2 2 3 4" xfId="3132" xr:uid="{03A064E0-02F9-4B87-A7C5-D48736AF3D30}"/>
    <cellStyle name="Normal 20 2 2 3 4 2" xfId="11512" xr:uid="{95AD48AC-35FE-44B5-815A-5A0406EA4B8C}"/>
    <cellStyle name="Normal 20 2 2 3 4 2 2" xfId="28272" xr:uid="{DD312F80-DAE5-4BB3-B4C4-526A9585CFD7}"/>
    <cellStyle name="Normal 20 2 2 3 4 2 3" xfId="45031" xr:uid="{17019C82-1114-4627-BDD1-6A1147A96BA7}"/>
    <cellStyle name="Normal 20 2 2 3 4 3" xfId="19892" xr:uid="{8388DCDA-C5A7-44E0-9EA1-E35840F9592E}"/>
    <cellStyle name="Normal 20 2 2 3 4 4" xfId="36651" xr:uid="{2DA4F60C-3EE5-4FC5-B7AC-19900DE74E26}"/>
    <cellStyle name="Normal 20 2 2 3 5" xfId="9709" xr:uid="{34C68A50-3C8B-434D-BF3B-B0FDC0AF5DD3}"/>
    <cellStyle name="Normal 20 2 2 3 5 2" xfId="26469" xr:uid="{8061AC84-6400-4E0A-9017-ACB2385E8095}"/>
    <cellStyle name="Normal 20 2 2 3 5 3" xfId="43228" xr:uid="{8651845B-F372-460C-8F5B-D9599B03DC71}"/>
    <cellStyle name="Normal 20 2 2 3 6" xfId="18089" xr:uid="{C42C7A06-7773-4997-BB59-36B721881945}"/>
    <cellStyle name="Normal 20 2 2 3 7" xfId="34848" xr:uid="{49A2A840-8783-4526-BA2B-C8160E8120BB}"/>
    <cellStyle name="Normal 20 2 2 4" xfId="1856" xr:uid="{4463C589-4DE3-480F-BFB6-EC1DA5D01DA8}"/>
    <cellStyle name="Normal 20 2 2 4 2" xfId="5245" xr:uid="{992FEE27-DADB-4DD0-8EC7-789831482131}"/>
    <cellStyle name="Normal 20 2 2 4 2 2" xfId="13625" xr:uid="{7950EC22-9E10-44E7-A26C-29090307FB9A}"/>
    <cellStyle name="Normal 20 2 2 4 2 2 2" xfId="30385" xr:uid="{CD95F5AC-086E-439C-887D-82305CD8B73C}"/>
    <cellStyle name="Normal 20 2 2 4 2 2 3" xfId="47144" xr:uid="{9A47A0EA-ED1C-4921-B0A4-97CC3D0F1EF4}"/>
    <cellStyle name="Normal 20 2 2 4 2 3" xfId="22005" xr:uid="{6B282F02-383F-4D61-9FD9-6912B9FB6045}"/>
    <cellStyle name="Normal 20 2 2 4 2 4" xfId="38764" xr:uid="{F30C30A5-37D3-46B2-9EE8-E6647AE3BE3A}"/>
    <cellStyle name="Normal 20 2 2 4 3" xfId="6932" xr:uid="{F1EF9DC4-C5D8-44C5-8B45-B3D72BC73941}"/>
    <cellStyle name="Normal 20 2 2 4 3 2" xfId="15312" xr:uid="{7723A995-9DEC-4181-8918-46D4393E7990}"/>
    <cellStyle name="Normal 20 2 2 4 3 2 2" xfId="32072" xr:uid="{FE065DDC-E205-4EE6-A8F8-029A372ED704}"/>
    <cellStyle name="Normal 20 2 2 4 3 2 3" xfId="48831" xr:uid="{84D8D7AA-7C38-4E08-96B0-9D0ED7F1E8AB}"/>
    <cellStyle name="Normal 20 2 2 4 3 3" xfId="23692" xr:uid="{4FEB49AE-EDD5-45BA-8171-EA240DF2FED0}"/>
    <cellStyle name="Normal 20 2 2 4 3 4" xfId="40451" xr:uid="{2720A4D6-71EB-4782-837F-360916C6CCF7}"/>
    <cellStyle name="Normal 20 2 2 4 4" xfId="3556" xr:uid="{08DED3AC-DB28-473C-9AB3-4AE5BAEF5606}"/>
    <cellStyle name="Normal 20 2 2 4 4 2" xfId="11936" xr:uid="{2E78822F-0C0F-4D06-86E5-59ABF12E4607}"/>
    <cellStyle name="Normal 20 2 2 4 4 2 2" xfId="28696" xr:uid="{EDD21610-D61C-41A2-959D-BAEC9EF5903A}"/>
    <cellStyle name="Normal 20 2 2 4 4 2 3" xfId="45455" xr:uid="{B00F8F6F-2E71-4BD7-88D5-A59A9D380111}"/>
    <cellStyle name="Normal 20 2 2 4 4 3" xfId="20316" xr:uid="{D2D34B5F-947B-4D48-A684-B34B73C3D43B}"/>
    <cellStyle name="Normal 20 2 2 4 4 4" xfId="37075" xr:uid="{E857A24A-AA9D-407E-B176-C18C982F68E4}"/>
    <cellStyle name="Normal 20 2 2 4 5" xfId="10245" xr:uid="{FB98ED82-FDC0-4E63-9FD4-F791A051FB82}"/>
    <cellStyle name="Normal 20 2 2 4 5 2" xfId="27005" xr:uid="{35CF2317-7611-4D0C-B087-FDB5D728B0E6}"/>
    <cellStyle name="Normal 20 2 2 4 5 3" xfId="43764" xr:uid="{32D6A9E5-9689-4227-83A3-216981CAE439}"/>
    <cellStyle name="Normal 20 2 2 4 6" xfId="18625" xr:uid="{1D3787F5-6EAC-456E-A67C-D1E0FC57061A}"/>
    <cellStyle name="Normal 20 2 2 4 7" xfId="35384" xr:uid="{E04A865E-7AD5-4D83-92C0-F303B60D7FA1}"/>
    <cellStyle name="Normal 20 2 2 5" xfId="3975" xr:uid="{C9F96315-DD1A-4E8B-A793-21BF277D2EB9}"/>
    <cellStyle name="Normal 20 2 2 5 2" xfId="12355" xr:uid="{012F00A9-FF84-4766-B2D6-1F183D1FA8EC}"/>
    <cellStyle name="Normal 20 2 2 5 2 2" xfId="29115" xr:uid="{A416FCCA-3B9D-4EF3-9431-78C85BB52440}"/>
    <cellStyle name="Normal 20 2 2 5 2 3" xfId="45874" xr:uid="{BB51302F-98D4-431C-A51D-81015F57C847}"/>
    <cellStyle name="Normal 20 2 2 5 3" xfId="20735" xr:uid="{7150F0CA-05BE-4B6F-BABF-F6757B404B2B}"/>
    <cellStyle name="Normal 20 2 2 5 4" xfId="37494" xr:uid="{BC7AD3CD-D177-44AD-A6B9-BAE810D32BB6}"/>
    <cellStyle name="Normal 20 2 2 6" xfId="5542" xr:uid="{34487D66-0577-4B2A-BBB2-252FA3889291}"/>
    <cellStyle name="Normal 20 2 2 6 2" xfId="13922" xr:uid="{A64FF73E-3815-4FFA-8E14-B2E19630162D}"/>
    <cellStyle name="Normal 20 2 2 6 2 2" xfId="30682" xr:uid="{7A1F1FDC-9744-45ED-9972-A9170A17C25F}"/>
    <cellStyle name="Normal 20 2 2 6 2 3" xfId="47441" xr:uid="{10877EF3-0191-43C0-96C1-624F0A35FE1E}"/>
    <cellStyle name="Normal 20 2 2 6 3" xfId="22302" xr:uid="{AC592043-093F-41A9-811D-BCDAA4D6427D}"/>
    <cellStyle name="Normal 20 2 2 6 4" xfId="39061" xr:uid="{C8F05785-8C35-47C3-BF3D-B8DE1EB09F3B}"/>
    <cellStyle name="Normal 20 2 2 7" xfId="7338" xr:uid="{C44432DF-9303-4755-8F0A-DF94284E045A}"/>
    <cellStyle name="Normal 20 2 2 7 2" xfId="15718" xr:uid="{713CF1B1-531E-4E31-9466-90071882CBE9}"/>
    <cellStyle name="Normal 20 2 2 7 2 2" xfId="32478" xr:uid="{72F872E3-8F66-491B-B04B-A2786A068625}"/>
    <cellStyle name="Normal 20 2 2 7 2 3" xfId="49237" xr:uid="{458B50D4-C912-4825-8909-D18EF46DD3AA}"/>
    <cellStyle name="Normal 20 2 2 7 3" xfId="24098" xr:uid="{B541FE9B-658C-4A80-B637-8A587500AC8D}"/>
    <cellStyle name="Normal 20 2 2 7 4" xfId="40857" xr:uid="{B8CFFEB7-11EA-4469-B080-856D05F7EDDA}"/>
    <cellStyle name="Normal 20 2 2 8" xfId="7744" xr:uid="{F6C23323-B230-4021-93D2-887700C17569}"/>
    <cellStyle name="Normal 20 2 2 8 2" xfId="16124" xr:uid="{E72CE67E-E7F8-475A-9C4E-3443F1F810F6}"/>
    <cellStyle name="Normal 20 2 2 8 2 2" xfId="32884" xr:uid="{3933A50C-D0EC-4371-8F83-B658902B1B79}"/>
    <cellStyle name="Normal 20 2 2 8 2 3" xfId="49643" xr:uid="{76994E6E-9915-4B9C-AD84-771B6A8658FC}"/>
    <cellStyle name="Normal 20 2 2 8 3" xfId="24504" xr:uid="{95749490-1631-4A93-A0CF-A97627A449A3}"/>
    <cellStyle name="Normal 20 2 2 8 4" xfId="41263" xr:uid="{DE6D591B-7388-4905-8B0E-A834C37B4640}"/>
    <cellStyle name="Normal 20 2 2 9" xfId="8150" xr:uid="{52792931-2740-483F-BD3C-C27A56455D0A}"/>
    <cellStyle name="Normal 20 2 2 9 2" xfId="16530" xr:uid="{4B5B8BF8-F892-4706-A73E-5F685B9F660B}"/>
    <cellStyle name="Normal 20 2 2 9 2 2" xfId="33290" xr:uid="{2418020B-F120-42A7-A3A1-F426E9CD74B8}"/>
    <cellStyle name="Normal 20 2 2 9 2 3" xfId="50049" xr:uid="{A087BBB5-2441-475F-A13F-48D3C092A8AC}"/>
    <cellStyle name="Normal 20 2 2 9 3" xfId="24910" xr:uid="{2BB12D98-8C9D-43D2-A018-285C29834498}"/>
    <cellStyle name="Normal 20 2 2 9 4" xfId="41669" xr:uid="{46FD5AFA-D408-4E02-A4DD-AE7DDB58FCCE}"/>
    <cellStyle name="Normal 20 2 3" xfId="667" xr:uid="{7D1C6402-7F2D-4F73-809A-F70575D55945}"/>
    <cellStyle name="Normal 20 2 3 10" xfId="8669" xr:uid="{EAE6C15D-E47A-49D9-B1E4-64F3E7013282}"/>
    <cellStyle name="Normal 20 2 3 10 2" xfId="17049" xr:uid="{270D07CA-B356-4D59-A850-75ABEBCB0D24}"/>
    <cellStyle name="Normal 20 2 3 10 2 2" xfId="33809" xr:uid="{0351B401-621C-46FD-B957-733F586056A6}"/>
    <cellStyle name="Normal 20 2 3 10 2 3" xfId="50568" xr:uid="{41D96CF5-85C9-4505-A66D-4693867242A9}"/>
    <cellStyle name="Normal 20 2 3 10 3" xfId="25429" xr:uid="{E1A5F734-F705-4814-B57D-9866EDE8C97F}"/>
    <cellStyle name="Normal 20 2 3 10 4" xfId="42188" xr:uid="{46FA0BD9-B770-42AC-8755-8CDAA0C5D92B}"/>
    <cellStyle name="Normal 20 2 3 11" xfId="2497" xr:uid="{F0C9C266-5A75-4086-80D3-023363024AFD}"/>
    <cellStyle name="Normal 20 2 3 11 2" xfId="10879" xr:uid="{4FE88018-0C09-4547-BE68-4CFE2BC7E36A}"/>
    <cellStyle name="Normal 20 2 3 11 2 2" xfId="27639" xr:uid="{B89DB702-363C-4F7C-BF5E-AAAB5AD60B4B}"/>
    <cellStyle name="Normal 20 2 3 11 2 3" xfId="44398" xr:uid="{0A9338AC-66A7-4EF6-A4E5-680752B8BBAB}"/>
    <cellStyle name="Normal 20 2 3 11 3" xfId="19259" xr:uid="{527143E6-F65C-44E8-92A8-4B0AFE282B2A}"/>
    <cellStyle name="Normal 20 2 3 11 4" xfId="36018" xr:uid="{B3638922-91D2-4950-B49D-30C882BDE8CA}"/>
    <cellStyle name="Normal 20 2 3 12" xfId="9076" xr:uid="{F761B66E-B3BC-4A7F-BEAB-7745F2FC3E20}"/>
    <cellStyle name="Normal 20 2 3 12 2" xfId="25836" xr:uid="{151C851E-D5D7-417A-A809-BA44D3713B25}"/>
    <cellStyle name="Normal 20 2 3 12 3" xfId="42595" xr:uid="{8B73EDF5-CF04-45C4-BBBF-AE61642E6412}"/>
    <cellStyle name="Normal 20 2 3 13" xfId="17456" xr:uid="{376951B1-4B73-47E7-A5A2-53EC5AC193F7}"/>
    <cellStyle name="Normal 20 2 3 14" xfId="34215" xr:uid="{BB48D282-82BD-410D-9CDC-53A2545BDECA}"/>
    <cellStyle name="Normal 20 2 3 2" xfId="1107" xr:uid="{B9F64714-A77B-4E00-8EC8-5CCA538909B1}"/>
    <cellStyle name="Normal 20 2 3 2 2" xfId="4502" xr:uid="{ED233944-DC67-48BD-BA6A-575C8B8BF3BB}"/>
    <cellStyle name="Normal 20 2 3 2 2 2" xfId="12882" xr:uid="{C9E1023D-6A35-49CD-9E64-5DF3AE7E5951}"/>
    <cellStyle name="Normal 20 2 3 2 2 2 2" xfId="29642" xr:uid="{1B749D91-E98E-4230-9992-54652D4E7379}"/>
    <cellStyle name="Normal 20 2 3 2 2 2 3" xfId="46401" xr:uid="{EB731C7A-9467-478B-8229-E101AB199DC5}"/>
    <cellStyle name="Normal 20 2 3 2 2 3" xfId="21262" xr:uid="{1A14E053-2525-48D1-AB65-AB3307C0B165}"/>
    <cellStyle name="Normal 20 2 3 2 2 4" xfId="38021" xr:uid="{B619575C-3672-42E1-B987-DDC83DD37860}"/>
    <cellStyle name="Normal 20 2 3 2 3" xfId="6189" xr:uid="{860B4D16-3052-4B89-8538-60C3565A9F60}"/>
    <cellStyle name="Normal 20 2 3 2 3 2" xfId="14569" xr:uid="{2BCAF7B5-88F1-480E-A266-19D672AC3E9A}"/>
    <cellStyle name="Normal 20 2 3 2 3 2 2" xfId="31329" xr:uid="{34EADA45-DC63-4741-9672-76B855C3DD96}"/>
    <cellStyle name="Normal 20 2 3 2 3 2 3" xfId="48088" xr:uid="{3E98FA88-AD3F-4CD4-BE70-451E90D71D41}"/>
    <cellStyle name="Normal 20 2 3 2 3 3" xfId="22949" xr:uid="{127CBB93-ADBD-401D-886A-84228C5F003E}"/>
    <cellStyle name="Normal 20 2 3 2 3 4" xfId="39708" xr:uid="{8ED9DB13-001B-4B72-BD02-F37EC0F3D119}"/>
    <cellStyle name="Normal 20 2 3 2 4" xfId="2925" xr:uid="{BDE2B2BD-0EBA-496B-8068-F53B54121433}"/>
    <cellStyle name="Normal 20 2 3 2 4 2" xfId="11305" xr:uid="{AE43F02B-8015-4CCF-AE04-32C728077556}"/>
    <cellStyle name="Normal 20 2 3 2 4 2 2" xfId="28065" xr:uid="{47D91A4E-57C4-4A50-8F40-C41826D551A6}"/>
    <cellStyle name="Normal 20 2 3 2 4 2 3" xfId="44824" xr:uid="{44ADBB38-B0FA-42AD-BEF3-540616E42DBF}"/>
    <cellStyle name="Normal 20 2 3 2 4 3" xfId="19685" xr:uid="{3134D1FE-F41F-4B94-B283-35B2ECC9E221}"/>
    <cellStyle name="Normal 20 2 3 2 4 4" xfId="36444" xr:uid="{ADDEC1B9-9A9B-4B70-892F-AD9B5D61FE51}"/>
    <cellStyle name="Normal 20 2 3 2 5" xfId="9502" xr:uid="{D533BE38-EEE1-4845-8E3A-89ED9A963D4E}"/>
    <cellStyle name="Normal 20 2 3 2 5 2" xfId="26262" xr:uid="{36228FB7-402F-428F-83C5-3136FA5AA267}"/>
    <cellStyle name="Normal 20 2 3 2 5 3" xfId="43021" xr:uid="{9571DF16-38CD-45D2-B91B-E7F34E033D8E}"/>
    <cellStyle name="Normal 20 2 3 2 6" xfId="17882" xr:uid="{4A03AE8B-8AA6-4E5A-B335-94EF515C2293}"/>
    <cellStyle name="Normal 20 2 3 2 7" xfId="34641" xr:uid="{91266EB6-87CA-42C4-BB89-7FDA4D25E203}"/>
    <cellStyle name="Normal 20 2 3 3" xfId="1541" xr:uid="{10A707AC-8319-4091-B677-476B43B7E37E}"/>
    <cellStyle name="Normal 20 2 3 3 2" xfId="4930" xr:uid="{70052AB2-DFA4-4A23-9412-98D4DECDA5D2}"/>
    <cellStyle name="Normal 20 2 3 3 2 2" xfId="13310" xr:uid="{534718C2-CA51-409C-B9A7-64D5C9261D83}"/>
    <cellStyle name="Normal 20 2 3 3 2 2 2" xfId="30070" xr:uid="{21780BD4-2BE7-4BB7-8CB6-F48E635EE34A}"/>
    <cellStyle name="Normal 20 2 3 3 2 2 3" xfId="46829" xr:uid="{C0FC4182-65DF-4C84-8234-79521D7EB2E5}"/>
    <cellStyle name="Normal 20 2 3 3 2 3" xfId="21690" xr:uid="{43AE98AB-D076-4D6B-B879-8694FA450D10}"/>
    <cellStyle name="Normal 20 2 3 3 2 4" xfId="38449" xr:uid="{61DCEA3E-0AAF-40E7-9E69-AFFEA87AFCC9}"/>
    <cellStyle name="Normal 20 2 3 3 3" xfId="6617" xr:uid="{2A82F057-BD4F-4569-8376-98CFD34C0720}"/>
    <cellStyle name="Normal 20 2 3 3 3 2" xfId="14997" xr:uid="{B138BFB4-ACBA-4CC5-81EE-9C906E2EDE9C}"/>
    <cellStyle name="Normal 20 2 3 3 3 2 2" xfId="31757" xr:uid="{04DD7ACC-EB47-42FF-8335-697ADE43C883}"/>
    <cellStyle name="Normal 20 2 3 3 3 2 3" xfId="48516" xr:uid="{6C0B63AB-F3DE-4528-86E5-384C4AFC57F9}"/>
    <cellStyle name="Normal 20 2 3 3 3 3" xfId="23377" xr:uid="{90AEE2BA-00C7-442B-AD48-8ABCC80718B8}"/>
    <cellStyle name="Normal 20 2 3 3 3 4" xfId="40136" xr:uid="{2CE2CBF7-791E-43C5-8431-FECD1ECBE6EA}"/>
    <cellStyle name="Normal 20 2 3 3 4" xfId="3353" xr:uid="{C1FDF1B9-9C1C-4C10-9D35-133B45701169}"/>
    <cellStyle name="Normal 20 2 3 3 4 2" xfId="11733" xr:uid="{5BC17A16-C2C9-4674-9745-2D75789AD736}"/>
    <cellStyle name="Normal 20 2 3 3 4 2 2" xfId="28493" xr:uid="{709E9E9F-975B-4D1A-BFC4-27AF29217AE0}"/>
    <cellStyle name="Normal 20 2 3 3 4 2 3" xfId="45252" xr:uid="{6631E33D-2335-4D9D-A8C9-6B8088CB11D2}"/>
    <cellStyle name="Normal 20 2 3 3 4 3" xfId="20113" xr:uid="{B5FCDA31-7B68-43F2-9BB1-4D8239F1D145}"/>
    <cellStyle name="Normal 20 2 3 3 4 4" xfId="36872" xr:uid="{E6E6C634-D065-4A69-B82D-5878B866EC6C}"/>
    <cellStyle name="Normal 20 2 3 3 5" xfId="9930" xr:uid="{9BE389B9-FF98-4584-A3FB-C42444867E5A}"/>
    <cellStyle name="Normal 20 2 3 3 5 2" xfId="26690" xr:uid="{464B925C-A587-4F4E-BB64-17BD4E89E4DE}"/>
    <cellStyle name="Normal 20 2 3 3 5 3" xfId="43449" xr:uid="{412A7E91-7A28-4A6A-AF6D-32D3B8052626}"/>
    <cellStyle name="Normal 20 2 3 3 6" xfId="18310" xr:uid="{29B25C9C-C372-4A54-9312-64AF90F75BD7}"/>
    <cellStyle name="Normal 20 2 3 3 7" xfId="35069" xr:uid="{B8211177-B4B7-4815-8559-C158AB2580EE}"/>
    <cellStyle name="Normal 20 2 3 4" xfId="1969" xr:uid="{D7AD742E-D298-4BA2-B678-63348B2641BD}"/>
    <cellStyle name="Normal 20 2 3 4 2" xfId="5358" xr:uid="{B777654D-E128-43D0-9E21-7B0E1E6805B3}"/>
    <cellStyle name="Normal 20 2 3 4 2 2" xfId="13738" xr:uid="{F4C21E0A-7613-46F6-A794-DFAF564E542B}"/>
    <cellStyle name="Normal 20 2 3 4 2 2 2" xfId="30498" xr:uid="{16BF8BB9-3721-4F0C-ADA5-A5A4E6D38DDA}"/>
    <cellStyle name="Normal 20 2 3 4 2 2 3" xfId="47257" xr:uid="{74291297-E3F5-46CF-A6C6-E71CA047E805}"/>
    <cellStyle name="Normal 20 2 3 4 2 3" xfId="22118" xr:uid="{8EE954FE-ABC2-459C-8EBD-B52FA586CE8D}"/>
    <cellStyle name="Normal 20 2 3 4 2 4" xfId="38877" xr:uid="{986F56FF-1E32-402B-9FDE-0373345D5429}"/>
    <cellStyle name="Normal 20 2 3 4 3" xfId="7045" xr:uid="{090B6E98-A212-4E70-8D80-C77058446174}"/>
    <cellStyle name="Normal 20 2 3 4 3 2" xfId="15425" xr:uid="{9A1BAD42-7F83-411E-8C2D-CB502071F9C0}"/>
    <cellStyle name="Normal 20 2 3 4 3 2 2" xfId="32185" xr:uid="{B61BD728-4846-4C04-887E-853A680449CF}"/>
    <cellStyle name="Normal 20 2 3 4 3 2 3" xfId="48944" xr:uid="{3016D955-3552-43F1-8973-3387EC8CF5AF}"/>
    <cellStyle name="Normal 20 2 3 4 3 3" xfId="23805" xr:uid="{B884010E-7FD7-42E4-880E-C750CC93BC09}"/>
    <cellStyle name="Normal 20 2 3 4 3 4" xfId="40564" xr:uid="{C4CD413F-B748-41BC-B60D-44AE9D2222E9}"/>
    <cellStyle name="Normal 20 2 3 4 4" xfId="3668" xr:uid="{1B76A272-F2C1-4052-84C3-AC734281EE5F}"/>
    <cellStyle name="Normal 20 2 3 4 4 2" xfId="12048" xr:uid="{D839A9E5-3086-4901-ACCB-60B0883A67B1}"/>
    <cellStyle name="Normal 20 2 3 4 4 2 2" xfId="28808" xr:uid="{52596A25-D031-4448-A0A1-64B3523F2BCA}"/>
    <cellStyle name="Normal 20 2 3 4 4 2 3" xfId="45567" xr:uid="{70B2CD2B-E6E2-4071-9081-1BB7C61D9A36}"/>
    <cellStyle name="Normal 20 2 3 4 4 3" xfId="20428" xr:uid="{02396298-FE11-4DD0-A00B-29E362F9F00E}"/>
    <cellStyle name="Normal 20 2 3 4 4 4" xfId="37187" xr:uid="{3407A47B-EDD3-44F1-9B58-5F41E0F5A819}"/>
    <cellStyle name="Normal 20 2 3 4 5" xfId="10358" xr:uid="{28E4889B-25A4-434A-A195-85B719C4D848}"/>
    <cellStyle name="Normal 20 2 3 4 5 2" xfId="27118" xr:uid="{BCE533D6-9D6B-4B3E-B4D5-0064F03E9742}"/>
    <cellStyle name="Normal 20 2 3 4 5 3" xfId="43877" xr:uid="{46AE4801-2E2B-43E8-8961-529F15CCFAEC}"/>
    <cellStyle name="Normal 20 2 3 4 6" xfId="18738" xr:uid="{F05A3EF4-8C8D-40BC-8143-9CD0FE19C002}"/>
    <cellStyle name="Normal 20 2 3 4 7" xfId="35497" xr:uid="{467FF84A-47E5-4146-A66D-DE43AF8F3ADB}"/>
    <cellStyle name="Normal 20 2 3 5" xfId="4088" xr:uid="{C3F90020-752A-4403-8413-5F067030F012}"/>
    <cellStyle name="Normal 20 2 3 5 2" xfId="12468" xr:uid="{A58D5D40-AB28-4444-908E-892577606E32}"/>
    <cellStyle name="Normal 20 2 3 5 2 2" xfId="29228" xr:uid="{5D4DFA8F-8E85-4E31-A525-0B3CCACC906C}"/>
    <cellStyle name="Normal 20 2 3 5 2 3" xfId="45987" xr:uid="{C0AC57F6-219A-44EB-9D1B-FC5A05C9ACD4}"/>
    <cellStyle name="Normal 20 2 3 5 3" xfId="20848" xr:uid="{BB300817-1C1C-46F0-8BBD-0D01938A3758}"/>
    <cellStyle name="Normal 20 2 3 5 4" xfId="37607" xr:uid="{9C40C330-5718-47C5-ADA1-D727D54CB532}"/>
    <cellStyle name="Normal 20 2 3 6" xfId="5763" xr:uid="{51E1C8B3-55A6-4F82-9B34-71DBDBACE48B}"/>
    <cellStyle name="Normal 20 2 3 6 2" xfId="14143" xr:uid="{4541FABB-A636-495F-8607-A56A77AA4D05}"/>
    <cellStyle name="Normal 20 2 3 6 2 2" xfId="30903" xr:uid="{B73DE41D-F8E5-4AD7-BEC6-249698AEF946}"/>
    <cellStyle name="Normal 20 2 3 6 2 3" xfId="47662" xr:uid="{77D3D03C-E693-4754-8875-43A9F7395698}"/>
    <cellStyle name="Normal 20 2 3 6 3" xfId="22523" xr:uid="{6B3945A4-CFED-4C5B-82B6-BD3B1B4C4C6E}"/>
    <cellStyle name="Normal 20 2 3 6 4" xfId="39282" xr:uid="{E8FC228C-FCE9-4F2A-B9CD-742A24436B80}"/>
    <cellStyle name="Normal 20 2 3 7" xfId="7451" xr:uid="{17D66941-7750-41FE-A260-FC434DDEC31D}"/>
    <cellStyle name="Normal 20 2 3 7 2" xfId="15831" xr:uid="{A109458D-87B1-4E3B-AC2B-947EC9BDDAD6}"/>
    <cellStyle name="Normal 20 2 3 7 2 2" xfId="32591" xr:uid="{38B2F5AF-15B4-4C93-8A66-1CC02426D13F}"/>
    <cellStyle name="Normal 20 2 3 7 2 3" xfId="49350" xr:uid="{ACEDBAED-BCAC-4ADF-8756-F88A31F0FC1E}"/>
    <cellStyle name="Normal 20 2 3 7 3" xfId="24211" xr:uid="{C45E366C-4616-4349-BF9B-1413C84AB01B}"/>
    <cellStyle name="Normal 20 2 3 7 4" xfId="40970" xr:uid="{171284C8-A6C0-438C-BD8D-777F0D8B281A}"/>
    <cellStyle name="Normal 20 2 3 8" xfId="7857" xr:uid="{7F45E5C2-EC6E-4077-8304-9DE4F7EC0C00}"/>
    <cellStyle name="Normal 20 2 3 8 2" xfId="16237" xr:uid="{89B78732-E0C5-40AF-BE74-67FADFDED026}"/>
    <cellStyle name="Normal 20 2 3 8 2 2" xfId="32997" xr:uid="{CB1AC3C2-971F-43BB-8CD8-B0BA52672B08}"/>
    <cellStyle name="Normal 20 2 3 8 2 3" xfId="49756" xr:uid="{E6B61869-AFA2-444D-A3ED-3BE32C3676E1}"/>
    <cellStyle name="Normal 20 2 3 8 3" xfId="24617" xr:uid="{B46F87CC-60D4-4A33-AEAA-CF83D423803C}"/>
    <cellStyle name="Normal 20 2 3 8 4" xfId="41376" xr:uid="{3A234185-DD32-42D8-8ED3-C08B5CE3A2E4}"/>
    <cellStyle name="Normal 20 2 3 9" xfId="8263" xr:uid="{0563193E-BA24-43D1-AD4F-A941CEED5CA1}"/>
    <cellStyle name="Normal 20 2 3 9 2" xfId="16643" xr:uid="{6C5B3374-C4AF-4E4B-85F7-8EE75A4B813F}"/>
    <cellStyle name="Normal 20 2 3 9 2 2" xfId="33403" xr:uid="{E067D3C5-3262-4116-9D4C-0DB01D048264}"/>
    <cellStyle name="Normal 20 2 3 9 2 3" xfId="50162" xr:uid="{AD85E26B-457C-4668-A7F2-5B589933E6E9}"/>
    <cellStyle name="Normal 20 2 3 9 3" xfId="25023" xr:uid="{7C56564C-E15B-4B34-80A8-F63D085BA06B}"/>
    <cellStyle name="Normal 20 2 3 9 4" xfId="41782" xr:uid="{218C4C55-897F-4AA5-BB32-51A9E2288EF6}"/>
    <cellStyle name="Normal 20 2 4" xfId="812" xr:uid="{1F4602B9-8D2A-46AB-AF43-C124158B9F5A}"/>
    <cellStyle name="Normal 20 2 4 2" xfId="4207" xr:uid="{63248EE7-A13B-4817-88C0-9606DF5B14AF}"/>
    <cellStyle name="Normal 20 2 4 2 2" xfId="12587" xr:uid="{A6374930-F7AE-400E-A6EE-1477F5172023}"/>
    <cellStyle name="Normal 20 2 4 2 2 2" xfId="29347" xr:uid="{47CE7500-7326-47A8-A9AE-B361F3D5F697}"/>
    <cellStyle name="Normal 20 2 4 2 2 3" xfId="46106" xr:uid="{F71918DD-1B28-442A-82F1-6EBC12360241}"/>
    <cellStyle name="Normal 20 2 4 2 3" xfId="20967" xr:uid="{51362FEA-3796-4197-B63F-B81DDC864B0E}"/>
    <cellStyle name="Normal 20 2 4 2 4" xfId="37726" xr:uid="{1F3EF991-FC09-4861-8134-4A1EB145B6AB}"/>
    <cellStyle name="Normal 20 2 4 3" xfId="5894" xr:uid="{898F8729-A21B-486C-872A-6E1DFB57FF8E}"/>
    <cellStyle name="Normal 20 2 4 3 2" xfId="14274" xr:uid="{090DAD0F-8E86-44A3-A416-CFC471F921BA}"/>
    <cellStyle name="Normal 20 2 4 3 2 2" xfId="31034" xr:uid="{B80CCAB5-F213-4AB4-9F97-EDAFE13BC73B}"/>
    <cellStyle name="Normal 20 2 4 3 2 3" xfId="47793" xr:uid="{0ED40471-0FA6-4A4F-83FB-6C44081DA496}"/>
    <cellStyle name="Normal 20 2 4 3 3" xfId="22654" xr:uid="{7912F127-CD72-4B7C-8A09-A7D82C2FC935}"/>
    <cellStyle name="Normal 20 2 4 3 4" xfId="39413" xr:uid="{0F80D778-8A00-4F2C-A01F-C0BE66766B57}"/>
    <cellStyle name="Normal 20 2 4 4" xfId="2630" xr:uid="{B711719F-4FBC-4BA0-A033-04E39D393B70}"/>
    <cellStyle name="Normal 20 2 4 4 2" xfId="11010" xr:uid="{F5DCB30A-9937-4F44-A85F-A237C2699FCB}"/>
    <cellStyle name="Normal 20 2 4 4 2 2" xfId="27770" xr:uid="{64E66099-C609-43EA-B957-EB4096EA69E0}"/>
    <cellStyle name="Normal 20 2 4 4 2 3" xfId="44529" xr:uid="{E2857C73-2A1B-4E7C-94C5-1510AB5859E0}"/>
    <cellStyle name="Normal 20 2 4 4 3" xfId="19390" xr:uid="{FFED1403-1F26-4B78-91C4-C0D9BBDA90F7}"/>
    <cellStyle name="Normal 20 2 4 4 4" xfId="36149" xr:uid="{0D8C0DF7-9536-4563-AC50-CB416E50C5A4}"/>
    <cellStyle name="Normal 20 2 4 5" xfId="9207" xr:uid="{3D0EC307-91E6-477D-BBA9-2D61A588EEDD}"/>
    <cellStyle name="Normal 20 2 4 5 2" xfId="25967" xr:uid="{D0354F38-E640-4A7D-A1CA-6BE55683E3BD}"/>
    <cellStyle name="Normal 20 2 4 5 3" xfId="42726" xr:uid="{5DB9EFA0-639E-46DD-9073-0DF4A1A0663E}"/>
    <cellStyle name="Normal 20 2 4 6" xfId="17587" xr:uid="{293FCA1A-F948-4564-B61C-09BE4791A9F0}"/>
    <cellStyle name="Normal 20 2 4 7" xfId="34346" xr:uid="{AC0E0D6D-47A5-4F87-A760-E76FA95DB69A}"/>
    <cellStyle name="Normal 20 2 5" xfId="1246" xr:uid="{D896D138-2EDD-4D7C-9595-61BF30604E60}"/>
    <cellStyle name="Normal 20 2 5 2" xfId="4635" xr:uid="{A3FFB281-B1CF-42E8-8441-7198EFC28705}"/>
    <cellStyle name="Normal 20 2 5 2 2" xfId="13015" xr:uid="{7810AC4E-B708-4BD6-8249-DDBFF2C6059D}"/>
    <cellStyle name="Normal 20 2 5 2 2 2" xfId="29775" xr:uid="{84B416C5-DB43-4B88-AED3-3DB68E11AF42}"/>
    <cellStyle name="Normal 20 2 5 2 2 3" xfId="46534" xr:uid="{D4F9389C-2D71-4B13-A526-D2716662A837}"/>
    <cellStyle name="Normal 20 2 5 2 3" xfId="21395" xr:uid="{5A490C83-6E0C-4B50-98E1-FF890A3A27D6}"/>
    <cellStyle name="Normal 20 2 5 2 4" xfId="38154" xr:uid="{98C72047-0E11-4348-AF90-5764C83758D2}"/>
    <cellStyle name="Normal 20 2 5 3" xfId="6322" xr:uid="{BA47E001-2BAB-4C77-9572-629F0FB7FA44}"/>
    <cellStyle name="Normal 20 2 5 3 2" xfId="14702" xr:uid="{203B0C90-6666-41FC-A88C-46CF1DE2A815}"/>
    <cellStyle name="Normal 20 2 5 3 2 2" xfId="31462" xr:uid="{E377F1C7-5B93-4C34-98BD-5A0149494227}"/>
    <cellStyle name="Normal 20 2 5 3 2 3" xfId="48221" xr:uid="{2020108E-CA6D-4E77-9073-1BE93E824051}"/>
    <cellStyle name="Normal 20 2 5 3 3" xfId="23082" xr:uid="{B4CE40D4-68DF-4CFE-AB5D-E0E05A7C11EE}"/>
    <cellStyle name="Normal 20 2 5 3 4" xfId="39841" xr:uid="{0BF4F248-37C4-4F86-BED1-2A250CA92B50}"/>
    <cellStyle name="Normal 20 2 5 4" xfId="3058" xr:uid="{E461ABC3-68A3-4508-9376-11FD0F621253}"/>
    <cellStyle name="Normal 20 2 5 4 2" xfId="11438" xr:uid="{7993A8F1-D86E-433F-A2AE-B7A34EBD068F}"/>
    <cellStyle name="Normal 20 2 5 4 2 2" xfId="28198" xr:uid="{8EA76405-C0AC-42B2-B702-630760E6A50E}"/>
    <cellStyle name="Normal 20 2 5 4 2 3" xfId="44957" xr:uid="{7BC9520C-736B-4167-A5C3-9BF6EB6D22AA}"/>
    <cellStyle name="Normal 20 2 5 4 3" xfId="19818" xr:uid="{0974F67A-709A-4E3C-A02D-1DC09B47C644}"/>
    <cellStyle name="Normal 20 2 5 4 4" xfId="36577" xr:uid="{E6865EFA-017A-4AFE-9A19-FCDD23735680}"/>
    <cellStyle name="Normal 20 2 5 5" xfId="9635" xr:uid="{6E59D80A-2D6D-47F3-96FC-DF4E04E74743}"/>
    <cellStyle name="Normal 20 2 5 5 2" xfId="26395" xr:uid="{96E66E50-3049-474A-AA3B-A3BCF93339F1}"/>
    <cellStyle name="Normal 20 2 5 5 3" xfId="43154" xr:uid="{617B06BA-7629-47F9-8881-EC630B366EB4}"/>
    <cellStyle name="Normal 20 2 5 6" xfId="18015" xr:uid="{94711DA5-5457-476D-B4DF-19622BEB11F5}"/>
    <cellStyle name="Normal 20 2 5 7" xfId="34774" xr:uid="{8446C6FE-5F10-4B2D-96F4-4F784E6B484A}"/>
    <cellStyle name="Normal 20 2 6" xfId="1698" xr:uid="{C00E230A-67AA-4666-8BDF-00E4F96A5F6F}"/>
    <cellStyle name="Normal 20 2 6 2" xfId="5087" xr:uid="{724BF586-DB05-47C6-AF3F-52ED363E529A}"/>
    <cellStyle name="Normal 20 2 6 2 2" xfId="13467" xr:uid="{E9B64F62-E655-418D-AA20-9C63B8CA0CDE}"/>
    <cellStyle name="Normal 20 2 6 2 2 2" xfId="30227" xr:uid="{DBA95B90-8AE3-4CC0-990C-6F6BC3115322}"/>
    <cellStyle name="Normal 20 2 6 2 2 3" xfId="46986" xr:uid="{DCC0B756-DE43-498B-A410-E8EB0D377A35}"/>
    <cellStyle name="Normal 20 2 6 2 3" xfId="21847" xr:uid="{B343E8EF-2E19-4CEB-9E4C-D40E3441E272}"/>
    <cellStyle name="Normal 20 2 6 2 4" xfId="38606" xr:uid="{77CD19F5-8B8A-4AAB-A795-F3BEFF06542D}"/>
    <cellStyle name="Normal 20 2 6 3" xfId="6774" xr:uid="{EAB2BD23-1E49-4FC7-A453-CB56FAFA29A2}"/>
    <cellStyle name="Normal 20 2 6 3 2" xfId="15154" xr:uid="{3FFA10AE-C4C7-466D-B2B6-F73216B89FD6}"/>
    <cellStyle name="Normal 20 2 6 3 2 2" xfId="31914" xr:uid="{E26FEF02-5D4A-405E-91DD-541D4079609F}"/>
    <cellStyle name="Normal 20 2 6 3 2 3" xfId="48673" xr:uid="{F806DF6F-75E6-4884-A031-6F60CA0AB72C}"/>
    <cellStyle name="Normal 20 2 6 3 3" xfId="23534" xr:uid="{9B20FF94-2522-4BA1-A2D5-4A6DAE90B49C}"/>
    <cellStyle name="Normal 20 2 6 3 4" xfId="40293" xr:uid="{BA8736C6-A57F-47F1-A912-7B8924FCDF8A}"/>
    <cellStyle name="Normal 20 2 6 4" xfId="2197" xr:uid="{F3167942-40B5-47EB-9DF1-2B495A5E4281}"/>
    <cellStyle name="Normal 20 2 6 4 2" xfId="10584" xr:uid="{2175D807-9EA3-4DA7-80AE-D179513B4622}"/>
    <cellStyle name="Normal 20 2 6 4 2 2" xfId="27344" xr:uid="{2E5E1BE5-16B0-4AF1-AFAA-23EAB2B26248}"/>
    <cellStyle name="Normal 20 2 6 4 2 3" xfId="44103" xr:uid="{72265BEE-E19A-403D-8D95-F2E069724509}"/>
    <cellStyle name="Normal 20 2 6 4 3" xfId="18964" xr:uid="{12DA6321-E1F6-4183-9267-9B8DEA03609A}"/>
    <cellStyle name="Normal 20 2 6 4 4" xfId="35723" xr:uid="{34DB8E0A-6F8F-40C1-81A7-5499FA6E7E20}"/>
    <cellStyle name="Normal 20 2 6 5" xfId="10087" xr:uid="{B5B4F4C0-9D14-4E31-8006-694D244B4F7F}"/>
    <cellStyle name="Normal 20 2 6 5 2" xfId="26847" xr:uid="{30C69E06-4CF0-4062-A174-02F569F55CE0}"/>
    <cellStyle name="Normal 20 2 6 5 3" xfId="43606" xr:uid="{CEA272D5-73B8-43F3-AF3A-92BF0EBCCAA7}"/>
    <cellStyle name="Normal 20 2 6 6" xfId="18467" xr:uid="{23A72F91-313A-403B-B7E1-9B6EEADDF45E}"/>
    <cellStyle name="Normal 20 2 6 7" xfId="35226" xr:uid="{754A7A7F-F46D-47B4-88DA-4802C8B6F78F}"/>
    <cellStyle name="Normal 20 2 7" xfId="3816" xr:uid="{6C498BCA-E512-4F60-92FD-CC47B6305A8A}"/>
    <cellStyle name="Normal 20 2 7 2" xfId="12196" xr:uid="{4900B8E0-D3D3-4547-B829-3D6813E313BB}"/>
    <cellStyle name="Normal 20 2 7 2 2" xfId="28956" xr:uid="{0C6C5AD4-2793-48AE-99E0-0AA883BAC3C7}"/>
    <cellStyle name="Normal 20 2 7 2 3" xfId="45715" xr:uid="{3776F808-E479-4D73-81BB-71F9CD465415}"/>
    <cellStyle name="Normal 20 2 7 3" xfId="20576" xr:uid="{936EF24A-0262-4DD4-AB93-576BE13F159D}"/>
    <cellStyle name="Normal 20 2 7 4" xfId="37335" xr:uid="{F00A7B65-7B21-4248-879B-6C33B7FAF43D}"/>
    <cellStyle name="Normal 20 2 8" xfId="5468" xr:uid="{F8739CEE-F34B-4AEF-9421-791C960C5BA9}"/>
    <cellStyle name="Normal 20 2 8 2" xfId="13848" xr:uid="{B0B72DDE-DA3D-4345-8749-9FBB1BB12E44}"/>
    <cellStyle name="Normal 20 2 8 2 2" xfId="30608" xr:uid="{9B055AF9-4B37-4A60-993A-70307A8DC586}"/>
    <cellStyle name="Normal 20 2 8 2 3" xfId="47367" xr:uid="{27BBD12D-4261-4776-880C-44A3F3DC05DC}"/>
    <cellStyle name="Normal 20 2 8 3" xfId="22228" xr:uid="{434B8097-C06F-4B5C-B830-3EA13BDC6418}"/>
    <cellStyle name="Normal 20 2 8 4" xfId="38987" xr:uid="{42436331-785C-4BED-9BF2-A52463D74E53}"/>
    <cellStyle name="Normal 20 2 9" xfId="7180" xr:uid="{A88BBCF9-75D1-4F6B-BA2E-0602CB013DD2}"/>
    <cellStyle name="Normal 20 2 9 2" xfId="15560" xr:uid="{C9F63E60-A9DE-44F5-8ADC-215B8EE23128}"/>
    <cellStyle name="Normal 20 2 9 2 2" xfId="32320" xr:uid="{EE58ED5F-2D53-4FCF-95F5-E860B79D4257}"/>
    <cellStyle name="Normal 20 2 9 2 3" xfId="49079" xr:uid="{48445EFC-9195-42E2-8EB3-E1E96402DBC9}"/>
    <cellStyle name="Normal 20 2 9 3" xfId="23940" xr:uid="{9E6EA2DF-560C-41FB-8D4A-2526E119F4C2}"/>
    <cellStyle name="Normal 20 2 9 4" xfId="40699" xr:uid="{D4A5C1C1-60AA-4B92-A361-483144BA5643}"/>
    <cellStyle name="Normal 20 20" xfId="279" xr:uid="{F544A9BC-9348-47E0-AA1F-4E4245C438DC}"/>
    <cellStyle name="Normal 20 3" xfId="363" xr:uid="{786DE7F9-5659-4A89-A8E9-87F68E667F0D}"/>
    <cellStyle name="Normal 20 3 10" xfId="7644" xr:uid="{2172FAB4-2D54-42DA-9486-BE4C08B368CA}"/>
    <cellStyle name="Normal 20 3 10 2" xfId="16024" xr:uid="{520EDD42-1C1D-49EB-990A-BE2BD22BFF36}"/>
    <cellStyle name="Normal 20 3 10 2 2" xfId="32784" xr:uid="{4B18866B-30ED-4E0B-AD65-6D3514947AA0}"/>
    <cellStyle name="Normal 20 3 10 2 3" xfId="49543" xr:uid="{8FBC271F-8FA9-4A8B-9BAC-2768DEA2E715}"/>
    <cellStyle name="Normal 20 3 10 3" xfId="24404" xr:uid="{833EE4A2-C7F1-4C05-A641-5DB9817F9CB2}"/>
    <cellStyle name="Normal 20 3 10 4" xfId="41163" xr:uid="{9E08A600-9F2D-4174-882F-0DFE52BE9651}"/>
    <cellStyle name="Normal 20 3 11" xfId="8050" xr:uid="{D3B41169-735F-4140-98CC-E97D799B31BA}"/>
    <cellStyle name="Normal 20 3 11 2" xfId="16430" xr:uid="{FE3099D1-8C53-4467-9C8E-A6A064EBACFE}"/>
    <cellStyle name="Normal 20 3 11 2 2" xfId="33190" xr:uid="{BEC7578C-5289-4DBA-820F-2EB6AC137E79}"/>
    <cellStyle name="Normal 20 3 11 2 3" xfId="49949" xr:uid="{55679788-422A-44EC-86E9-7E95661690B5}"/>
    <cellStyle name="Normal 20 3 11 3" xfId="24810" xr:uid="{E8CCF0C0-2779-4359-A14D-E0396054F5FF}"/>
    <cellStyle name="Normal 20 3 11 4" xfId="41569" xr:uid="{A5862377-1977-448C-B4F2-94EEDB45C4F1}"/>
    <cellStyle name="Normal 20 3 12" xfId="8456" xr:uid="{A6CA0E03-AE5C-4E21-81F6-14FC00AD7144}"/>
    <cellStyle name="Normal 20 3 12 2" xfId="16836" xr:uid="{E6AD50EF-143B-4D8D-9079-7A01AA2010E7}"/>
    <cellStyle name="Normal 20 3 12 2 2" xfId="33596" xr:uid="{35B92EE0-DCEA-406B-9D4C-A5B8833496B1}"/>
    <cellStyle name="Normal 20 3 12 2 3" xfId="50355" xr:uid="{A981D0C4-39AF-499A-837E-429E4455FB8E}"/>
    <cellStyle name="Normal 20 3 12 3" xfId="25216" xr:uid="{CF524DEB-E95E-4F03-B4CF-35CC2A4EFB9C}"/>
    <cellStyle name="Normal 20 3 12 4" xfId="41975" xr:uid="{B088B90A-46E2-47BC-80BE-EACA04E67F67}"/>
    <cellStyle name="Normal 20 3 13" xfId="2143" xr:uid="{A6812843-230C-45DD-873D-81BD554A6EFE}"/>
    <cellStyle name="Normal 20 3 13 2" xfId="10531" xr:uid="{A1197384-C3C1-4E28-97CC-7BA3ACE5A67B}"/>
    <cellStyle name="Normal 20 3 13 2 2" xfId="27291" xr:uid="{26D6C56F-D9AA-4B18-9380-4C653D09EB09}"/>
    <cellStyle name="Normal 20 3 13 2 3" xfId="44050" xr:uid="{0EB94926-E1FC-4EB0-8857-3EC9F64BA99F}"/>
    <cellStyle name="Normal 20 3 13 3" xfId="18911" xr:uid="{CDB6B527-B0A4-484F-B26A-8E116CD14279}"/>
    <cellStyle name="Normal 20 3 13 4" xfId="35670" xr:uid="{1BABC883-CF54-4A2A-9159-6D24887433DA}"/>
    <cellStyle name="Normal 20 3 14" xfId="8827" xr:uid="{FEA29B59-6EB1-4F7F-81BB-ACD05AD48D1E}"/>
    <cellStyle name="Normal 20 3 14 2" xfId="25587" xr:uid="{B0C4B480-948B-4D91-B2AF-463D472D02B0}"/>
    <cellStyle name="Normal 20 3 14 3" xfId="42346" xr:uid="{8F2A4F24-3A9C-4BE9-9F44-684A25DFC000}"/>
    <cellStyle name="Normal 20 3 15" xfId="17207" xr:uid="{CA1DFE2C-7B07-490E-BCEC-17CE21185BB9}"/>
    <cellStyle name="Normal 20 3 16" xfId="33966" xr:uid="{D0854B1D-8C62-4315-8B00-ABFD4C85C821}"/>
    <cellStyle name="Normal 20 3 2" xfId="668" xr:uid="{BECCA332-7DFD-4EF6-AD05-B92FB3E72D39}"/>
    <cellStyle name="Normal 20 3 2 10" xfId="8557" xr:uid="{6A098071-6784-4E46-A127-7A38FD5275BB}"/>
    <cellStyle name="Normal 20 3 2 10 2" xfId="16937" xr:uid="{2976060B-0E75-4BDF-94BD-90C67E369A13}"/>
    <cellStyle name="Normal 20 3 2 10 2 2" xfId="33697" xr:uid="{AB6F23F7-8077-40D1-938E-A4EDA87FD489}"/>
    <cellStyle name="Normal 20 3 2 10 2 3" xfId="50456" xr:uid="{4B4DCF49-9159-4C9D-8DD7-99446BE19BBC}"/>
    <cellStyle name="Normal 20 3 2 10 3" xfId="25317" xr:uid="{F54404A4-A84A-4DF7-BCA0-54ED4D22C1D5}"/>
    <cellStyle name="Normal 20 3 2 10 4" xfId="42076" xr:uid="{F971CE6A-7983-4081-BF41-7423FE7DD6EC}"/>
    <cellStyle name="Normal 20 3 2 11" xfId="2498" xr:uid="{39033F69-DC3D-4804-8E40-D6AC460DC1DA}"/>
    <cellStyle name="Normal 20 3 2 11 2" xfId="10880" xr:uid="{218BF3C3-C544-41B8-A4F5-76AD9AB9440F}"/>
    <cellStyle name="Normal 20 3 2 11 2 2" xfId="27640" xr:uid="{8CCEBBD1-0974-4E88-9B94-E61CFCDA9AB9}"/>
    <cellStyle name="Normal 20 3 2 11 2 3" xfId="44399" xr:uid="{F578F575-3AC8-4B2E-B1C7-BE8027A22F26}"/>
    <cellStyle name="Normal 20 3 2 11 3" xfId="19260" xr:uid="{A5827FF4-5419-40A8-9CBF-C73B4F03BCE1}"/>
    <cellStyle name="Normal 20 3 2 11 4" xfId="36019" xr:uid="{747C2C8E-9B65-45F6-BB6A-BF24740A8958}"/>
    <cellStyle name="Normal 20 3 2 12" xfId="9077" xr:uid="{2A7515E2-4C82-47EB-A1CF-1ABF5C8959A9}"/>
    <cellStyle name="Normal 20 3 2 12 2" xfId="25837" xr:uid="{944B88DA-7335-49F8-A2F8-70BF05EF89C9}"/>
    <cellStyle name="Normal 20 3 2 12 3" xfId="42596" xr:uid="{BC057139-3228-422C-88DD-49F82CE4616F}"/>
    <cellStyle name="Normal 20 3 2 13" xfId="17457" xr:uid="{2ED02D99-3E91-4F5F-B5BA-FA37B9D568E8}"/>
    <cellStyle name="Normal 20 3 2 14" xfId="34216" xr:uid="{590B97D5-F151-439E-99D2-0A04F39B7D34}"/>
    <cellStyle name="Normal 20 3 2 2" xfId="1108" xr:uid="{9F159B73-D075-4B65-95FA-86FADAD53049}"/>
    <cellStyle name="Normal 20 3 2 2 2" xfId="4503" xr:uid="{3A2AA87E-69A0-4D4B-9367-E6444237BDF4}"/>
    <cellStyle name="Normal 20 3 2 2 2 2" xfId="12883" xr:uid="{1DC330EB-D609-4101-BB1C-465C4CDCA2AA}"/>
    <cellStyle name="Normal 20 3 2 2 2 2 2" xfId="29643" xr:uid="{E1536C20-75BE-4544-8DB8-555948719002}"/>
    <cellStyle name="Normal 20 3 2 2 2 2 3" xfId="46402" xr:uid="{B808C769-464D-429E-93A0-B87A1775723B}"/>
    <cellStyle name="Normal 20 3 2 2 2 3" xfId="21263" xr:uid="{01C5C27E-0BE4-4395-91D6-B8AA14FF540A}"/>
    <cellStyle name="Normal 20 3 2 2 2 4" xfId="38022" xr:uid="{164E3FB7-D10C-45A0-A55D-5F8D91E4E2A7}"/>
    <cellStyle name="Normal 20 3 2 2 3" xfId="6190" xr:uid="{D1644364-A115-4297-A11E-41A0C207BDBC}"/>
    <cellStyle name="Normal 20 3 2 2 3 2" xfId="14570" xr:uid="{4233F867-0399-47F1-A6F6-7AE643440C13}"/>
    <cellStyle name="Normal 20 3 2 2 3 2 2" xfId="31330" xr:uid="{E366FE99-4042-4E8E-86D8-3BEAA1ED3AB6}"/>
    <cellStyle name="Normal 20 3 2 2 3 2 3" xfId="48089" xr:uid="{3E70B36A-BE19-46A4-8134-812B389B1609}"/>
    <cellStyle name="Normal 20 3 2 2 3 3" xfId="22950" xr:uid="{452D9D47-2B8C-45D5-BFA7-B315EF1EBC71}"/>
    <cellStyle name="Normal 20 3 2 2 3 4" xfId="39709" xr:uid="{75D0E4C3-D172-4ECA-8618-4A7A764FFBA6}"/>
    <cellStyle name="Normal 20 3 2 2 4" xfId="2926" xr:uid="{030FDE84-A688-4C59-80C9-31CA4E192A03}"/>
    <cellStyle name="Normal 20 3 2 2 4 2" xfId="11306" xr:uid="{81149C8F-CE7C-4B87-B382-400C5D7BC5C4}"/>
    <cellStyle name="Normal 20 3 2 2 4 2 2" xfId="28066" xr:uid="{DEA7AD72-B542-44DB-9EC8-C05E9897083F}"/>
    <cellStyle name="Normal 20 3 2 2 4 2 3" xfId="44825" xr:uid="{11A954DB-8C6F-44D8-9C1A-7637E89EAEE4}"/>
    <cellStyle name="Normal 20 3 2 2 4 3" xfId="19686" xr:uid="{52CAFCBE-7DB9-40DC-805C-E7E6C94BC229}"/>
    <cellStyle name="Normal 20 3 2 2 4 4" xfId="36445" xr:uid="{EB27BF8A-08E9-4DED-91B5-DE8501D7C785}"/>
    <cellStyle name="Normal 20 3 2 2 5" xfId="9503" xr:uid="{26976D31-EE63-4EFA-991A-879188012BBA}"/>
    <cellStyle name="Normal 20 3 2 2 5 2" xfId="26263" xr:uid="{5B665257-CC8F-482F-B392-447170B2F31F}"/>
    <cellStyle name="Normal 20 3 2 2 5 3" xfId="43022" xr:uid="{D80230B3-0B8E-43CF-B29C-0B8C010BCA4E}"/>
    <cellStyle name="Normal 20 3 2 2 6" xfId="17883" xr:uid="{0BFDEAE9-6691-4B47-A522-06ACABDD7973}"/>
    <cellStyle name="Normal 20 3 2 2 7" xfId="34642" xr:uid="{394703F8-53A5-4624-A74F-31EACD57E579}"/>
    <cellStyle name="Normal 20 3 2 3" xfId="1542" xr:uid="{3627B81C-1002-433E-957C-04ECCCF0DDF2}"/>
    <cellStyle name="Normal 20 3 2 3 2" xfId="4931" xr:uid="{CB871DEA-DC44-4F81-B177-AB95AF9F0399}"/>
    <cellStyle name="Normal 20 3 2 3 2 2" xfId="13311" xr:uid="{83CDE093-FE6E-4A89-9202-BBC33CC42AFC}"/>
    <cellStyle name="Normal 20 3 2 3 2 2 2" xfId="30071" xr:uid="{E78CB020-02E8-464C-89F7-D79014636B7A}"/>
    <cellStyle name="Normal 20 3 2 3 2 2 3" xfId="46830" xr:uid="{A138743A-3D29-4433-9334-63EA62DCD3F5}"/>
    <cellStyle name="Normal 20 3 2 3 2 3" xfId="21691" xr:uid="{2651AF0A-3F38-404C-84F4-B6B8FFE8C3E0}"/>
    <cellStyle name="Normal 20 3 2 3 2 4" xfId="38450" xr:uid="{4A8F9D99-EF99-497F-BE7F-7A347E609A03}"/>
    <cellStyle name="Normal 20 3 2 3 3" xfId="6618" xr:uid="{FA7DC747-FF36-4BCF-853E-3ABD9A16A879}"/>
    <cellStyle name="Normal 20 3 2 3 3 2" xfId="14998" xr:uid="{BE4C63F6-1638-492E-ADE0-0FE558022E5B}"/>
    <cellStyle name="Normal 20 3 2 3 3 2 2" xfId="31758" xr:uid="{2BBB461F-CA76-4E36-A0A3-59D9D27CE3EC}"/>
    <cellStyle name="Normal 20 3 2 3 3 2 3" xfId="48517" xr:uid="{04CB7EED-8E2D-4E8E-8EA4-86BB64DC0CCD}"/>
    <cellStyle name="Normal 20 3 2 3 3 3" xfId="23378" xr:uid="{89EED6D3-CD41-4CE8-B132-E69F54564A5B}"/>
    <cellStyle name="Normal 20 3 2 3 3 4" xfId="40137" xr:uid="{1202919E-8E63-4A2B-807F-BC9DD95E51E0}"/>
    <cellStyle name="Normal 20 3 2 3 4" xfId="3354" xr:uid="{5A303A4C-785B-4AE8-BB85-8E8E25A6C663}"/>
    <cellStyle name="Normal 20 3 2 3 4 2" xfId="11734" xr:uid="{92B1F764-D964-4124-BEB6-86B9214309BA}"/>
    <cellStyle name="Normal 20 3 2 3 4 2 2" xfId="28494" xr:uid="{7AF74ACA-4758-42B6-AEF6-F12FA5043272}"/>
    <cellStyle name="Normal 20 3 2 3 4 2 3" xfId="45253" xr:uid="{96BBA780-0D5B-4139-BF4B-B51D0B9946B5}"/>
    <cellStyle name="Normal 20 3 2 3 4 3" xfId="20114" xr:uid="{D0AD17A2-F44D-451D-BB2C-F0E179498FFF}"/>
    <cellStyle name="Normal 20 3 2 3 4 4" xfId="36873" xr:uid="{A9E6C66B-2D85-4343-83BB-F95622DE4F98}"/>
    <cellStyle name="Normal 20 3 2 3 5" xfId="9931" xr:uid="{85637701-BEEB-43CF-BBCC-11FD54DA8B9B}"/>
    <cellStyle name="Normal 20 3 2 3 5 2" xfId="26691" xr:uid="{067F2956-1596-4F92-991B-F222DF4115D5}"/>
    <cellStyle name="Normal 20 3 2 3 5 3" xfId="43450" xr:uid="{7928E938-91F4-4DD1-ACDE-32FDA86CD8DE}"/>
    <cellStyle name="Normal 20 3 2 3 6" xfId="18311" xr:uid="{7CB7DA62-FCCD-4D77-B24A-FF2D43AB11FA}"/>
    <cellStyle name="Normal 20 3 2 3 7" xfId="35070" xr:uid="{69DAEA27-5ED9-485F-881A-F6037198DAC6}"/>
    <cellStyle name="Normal 20 3 2 4" xfId="1857" xr:uid="{A93ABB1B-70A7-400F-BD94-0553E134E2D7}"/>
    <cellStyle name="Normal 20 3 2 4 2" xfId="5246" xr:uid="{92A159CB-CE90-4396-8F53-3E0ECE926346}"/>
    <cellStyle name="Normal 20 3 2 4 2 2" xfId="13626" xr:uid="{A2E0B64A-95B6-4884-B1F3-298B2D4CF116}"/>
    <cellStyle name="Normal 20 3 2 4 2 2 2" xfId="30386" xr:uid="{E1B7EB47-B4D0-4CE1-AC5E-F6943542FDA0}"/>
    <cellStyle name="Normal 20 3 2 4 2 2 3" xfId="47145" xr:uid="{F94EBE91-F758-4973-9547-D8F02AF6E9C7}"/>
    <cellStyle name="Normal 20 3 2 4 2 3" xfId="22006" xr:uid="{6241205A-5B4D-45FD-98EE-31B4F5931523}"/>
    <cellStyle name="Normal 20 3 2 4 2 4" xfId="38765" xr:uid="{12503CF2-CA17-4334-9999-1EF5F53195D6}"/>
    <cellStyle name="Normal 20 3 2 4 3" xfId="6933" xr:uid="{39FD286B-B55A-47DF-A45C-93E459361817}"/>
    <cellStyle name="Normal 20 3 2 4 3 2" xfId="15313" xr:uid="{9938BD78-95F5-4D51-A461-E7B901657231}"/>
    <cellStyle name="Normal 20 3 2 4 3 2 2" xfId="32073" xr:uid="{CCEB8BE4-33A3-450D-8B88-EF59F263EECD}"/>
    <cellStyle name="Normal 20 3 2 4 3 2 3" xfId="48832" xr:uid="{2795A56A-1247-4D31-8F30-EE58B523FCCA}"/>
    <cellStyle name="Normal 20 3 2 4 3 3" xfId="23693" xr:uid="{D51C3CFF-E4F3-4F27-BC95-007B6C8AF5BF}"/>
    <cellStyle name="Normal 20 3 2 4 3 4" xfId="40452" xr:uid="{B4D32B87-0765-4A08-9C7A-E5F8E616C6FD}"/>
    <cellStyle name="Normal 20 3 2 4 4" xfId="3557" xr:uid="{0428D871-EAC3-4D78-A1B3-371D154C5198}"/>
    <cellStyle name="Normal 20 3 2 4 4 2" xfId="11937" xr:uid="{C995707F-5140-49CE-9867-2B56C0830B6F}"/>
    <cellStyle name="Normal 20 3 2 4 4 2 2" xfId="28697" xr:uid="{1C132547-0D3C-4BBB-A940-F95EE1099616}"/>
    <cellStyle name="Normal 20 3 2 4 4 2 3" xfId="45456" xr:uid="{2A57E331-9DF5-41D2-B843-14AC51FBA5D4}"/>
    <cellStyle name="Normal 20 3 2 4 4 3" xfId="20317" xr:uid="{27EC8BC2-5B46-4756-90FB-72AAAFAD02A8}"/>
    <cellStyle name="Normal 20 3 2 4 4 4" xfId="37076" xr:uid="{2D1B4704-63B0-4BA0-979C-3FD339D5C75E}"/>
    <cellStyle name="Normal 20 3 2 4 5" xfId="10246" xr:uid="{81FCE88F-BA77-4DCB-BB76-C7AE7AA2D334}"/>
    <cellStyle name="Normal 20 3 2 4 5 2" xfId="27006" xr:uid="{73B3CE80-1E75-4685-AAAA-9C4569C776F1}"/>
    <cellStyle name="Normal 20 3 2 4 5 3" xfId="43765" xr:uid="{5198BAA9-A6AB-4150-921B-E88EF54D1A99}"/>
    <cellStyle name="Normal 20 3 2 4 6" xfId="18626" xr:uid="{3A973D0B-9EAE-4FC5-8BF0-748791892369}"/>
    <cellStyle name="Normal 20 3 2 4 7" xfId="35385" xr:uid="{912776DC-D7D3-45C5-8FEF-3B654D2FF7A3}"/>
    <cellStyle name="Normal 20 3 2 5" xfId="3976" xr:uid="{C739234F-A98D-4C35-9A84-F930DD2229D5}"/>
    <cellStyle name="Normal 20 3 2 5 2" xfId="12356" xr:uid="{8C43A7A0-725A-4136-BA30-267CFCC84AF2}"/>
    <cellStyle name="Normal 20 3 2 5 2 2" xfId="29116" xr:uid="{705449F1-561C-4BEC-92BE-AC2B36E07569}"/>
    <cellStyle name="Normal 20 3 2 5 2 3" xfId="45875" xr:uid="{1E197A3F-7C7F-4DA1-A141-D74F3D9D13DD}"/>
    <cellStyle name="Normal 20 3 2 5 3" xfId="20736" xr:uid="{2B0ACD3B-8CD5-463B-97B3-FD63C57E3A48}"/>
    <cellStyle name="Normal 20 3 2 5 4" xfId="37495" xr:uid="{98667FF8-6AA0-4400-91F7-D5D811123594}"/>
    <cellStyle name="Normal 20 3 2 6" xfId="5764" xr:uid="{A6178006-28EC-49CE-AAAF-9864EC3C48E9}"/>
    <cellStyle name="Normal 20 3 2 6 2" xfId="14144" xr:uid="{511FB4F3-36DB-4628-953E-A396D031F45D}"/>
    <cellStyle name="Normal 20 3 2 6 2 2" xfId="30904" xr:uid="{43D874F6-8C43-4918-A565-5D8E43894677}"/>
    <cellStyle name="Normal 20 3 2 6 2 3" xfId="47663" xr:uid="{D682E081-9D48-48CE-81B5-E68B79B31855}"/>
    <cellStyle name="Normal 20 3 2 6 3" xfId="22524" xr:uid="{1E3E1520-B9E5-4079-BC18-408B97A8C4BD}"/>
    <cellStyle name="Normal 20 3 2 6 4" xfId="39283" xr:uid="{7547668A-CA5D-4AED-B011-523E90E1B45D}"/>
    <cellStyle name="Normal 20 3 2 7" xfId="7339" xr:uid="{9CA6E55F-D71B-4B3D-9AC1-0DB06C02903D}"/>
    <cellStyle name="Normal 20 3 2 7 2" xfId="15719" xr:uid="{CA009499-7538-4FA1-B809-DC001A4429FB}"/>
    <cellStyle name="Normal 20 3 2 7 2 2" xfId="32479" xr:uid="{7DE6A0C7-6E51-4643-9C79-915708DF9064}"/>
    <cellStyle name="Normal 20 3 2 7 2 3" xfId="49238" xr:uid="{68B071C9-1841-4FC7-9E66-A91A3F960256}"/>
    <cellStyle name="Normal 20 3 2 7 3" xfId="24099" xr:uid="{9B90FE0E-D44D-42AA-A4CA-5C6B11C52142}"/>
    <cellStyle name="Normal 20 3 2 7 4" xfId="40858" xr:uid="{25B79650-CE52-4F2B-8A29-E20AD15181E1}"/>
    <cellStyle name="Normal 20 3 2 8" xfId="7745" xr:uid="{F231464A-F873-4F31-A25A-820D27CB3972}"/>
    <cellStyle name="Normal 20 3 2 8 2" xfId="16125" xr:uid="{C3B354EE-72DA-4BD6-AA02-854C9333C9BE}"/>
    <cellStyle name="Normal 20 3 2 8 2 2" xfId="32885" xr:uid="{B1E6B0A3-33CB-47C2-92E5-C389209F472C}"/>
    <cellStyle name="Normal 20 3 2 8 2 3" xfId="49644" xr:uid="{34E81FE9-DBBB-40F8-921D-C9A9B785B157}"/>
    <cellStyle name="Normal 20 3 2 8 3" xfId="24505" xr:uid="{1859BF2E-6EF6-45CB-931D-E2FE2D8B3748}"/>
    <cellStyle name="Normal 20 3 2 8 4" xfId="41264" xr:uid="{2B8E719D-7013-43FA-B67E-E69477CB48E7}"/>
    <cellStyle name="Normal 20 3 2 9" xfId="8151" xr:uid="{3E185D6C-FA47-43BC-B86D-0D4ED8FC1D3E}"/>
    <cellStyle name="Normal 20 3 2 9 2" xfId="16531" xr:uid="{375E7992-C9C2-44F3-94AE-88B54B925386}"/>
    <cellStyle name="Normal 20 3 2 9 2 2" xfId="33291" xr:uid="{8946C7E6-B8C4-4F66-BA04-CF22F024C45F}"/>
    <cellStyle name="Normal 20 3 2 9 2 3" xfId="50050" xr:uid="{4D4F16AD-51D7-4ECB-B090-56A27EC75FCA}"/>
    <cellStyle name="Normal 20 3 2 9 3" xfId="24911" xr:uid="{9A4AA53A-9774-4670-90B8-6356105C18CA}"/>
    <cellStyle name="Normal 20 3 2 9 4" xfId="41670" xr:uid="{2D6F5411-16DB-4FDB-AA71-C0F06676263E}"/>
    <cellStyle name="Normal 20 3 3" xfId="669" xr:uid="{AACDD147-5B1D-4E67-8AA3-F74C3B586F93}"/>
    <cellStyle name="Normal 20 3 3 10" xfId="8727" xr:uid="{6BF8E8C4-A4D0-41EC-A409-9C0BD6F14FE9}"/>
    <cellStyle name="Normal 20 3 3 10 2" xfId="17107" xr:uid="{30430FDB-DAB9-4894-B560-AA80C0AD27A7}"/>
    <cellStyle name="Normal 20 3 3 10 2 2" xfId="33867" xr:uid="{C53ABD43-A9BD-4E16-920D-969DE0011D8C}"/>
    <cellStyle name="Normal 20 3 3 10 2 3" xfId="50626" xr:uid="{4717C1CF-94EF-4850-81B5-6253878880D2}"/>
    <cellStyle name="Normal 20 3 3 10 3" xfId="25487" xr:uid="{5327F8E1-ED58-4E59-A27E-6F8B97751086}"/>
    <cellStyle name="Normal 20 3 3 10 4" xfId="42246" xr:uid="{6B0CB5E4-952D-4794-8C4E-86709BAD8B64}"/>
    <cellStyle name="Normal 20 3 3 11" xfId="2499" xr:uid="{09A4EA42-9A2D-4F39-86A5-61D9601A5CD3}"/>
    <cellStyle name="Normal 20 3 3 11 2" xfId="10881" xr:uid="{764569B0-A597-4ABE-9BC2-B13B9AED0523}"/>
    <cellStyle name="Normal 20 3 3 11 2 2" xfId="27641" xr:uid="{80F7564B-55DD-487C-A7F0-7D6754275CF8}"/>
    <cellStyle name="Normal 20 3 3 11 2 3" xfId="44400" xr:uid="{CE329A12-D38A-431E-982D-194C23297DE8}"/>
    <cellStyle name="Normal 20 3 3 11 3" xfId="19261" xr:uid="{10B8284E-F736-4415-B9E0-7D23F63AD27C}"/>
    <cellStyle name="Normal 20 3 3 11 4" xfId="36020" xr:uid="{4D8F08D6-A480-46A5-B57E-35961E94B264}"/>
    <cellStyle name="Normal 20 3 3 12" xfId="9078" xr:uid="{DC8566D3-EC63-430B-AFA0-A43EC91880E9}"/>
    <cellStyle name="Normal 20 3 3 12 2" xfId="25838" xr:uid="{390045A9-0823-4ECB-857E-38950887F72C}"/>
    <cellStyle name="Normal 20 3 3 12 3" xfId="42597" xr:uid="{39AC4959-16F4-4C82-AF4C-9D575BB386BB}"/>
    <cellStyle name="Normal 20 3 3 13" xfId="17458" xr:uid="{4EFC98EB-960D-43D8-A486-C5F089389E1A}"/>
    <cellStyle name="Normal 20 3 3 14" xfId="34217" xr:uid="{D62F1800-F467-4864-916C-85EB1B9F513B}"/>
    <cellStyle name="Normal 20 3 3 2" xfId="1109" xr:uid="{B24BF5F5-CF49-437E-BCA1-8DCE69FCB94E}"/>
    <cellStyle name="Normal 20 3 3 2 2" xfId="4504" xr:uid="{E3CC1D2D-65A6-44BA-AAE3-DC82E2AA309B}"/>
    <cellStyle name="Normal 20 3 3 2 2 2" xfId="12884" xr:uid="{B0CA67EA-650D-44F8-A2B4-F65AF6CE50D8}"/>
    <cellStyle name="Normal 20 3 3 2 2 2 2" xfId="29644" xr:uid="{3B4B03A1-9D45-49E7-BCBE-D781F4656958}"/>
    <cellStyle name="Normal 20 3 3 2 2 2 3" xfId="46403" xr:uid="{E90F0BD9-1A81-4D3E-92D9-C438A93C3492}"/>
    <cellStyle name="Normal 20 3 3 2 2 3" xfId="21264" xr:uid="{2747A7C7-EF69-47B0-80A1-C3FF2DECFC09}"/>
    <cellStyle name="Normal 20 3 3 2 2 4" xfId="38023" xr:uid="{C9BF710E-16C7-47EF-A242-5A6058B95565}"/>
    <cellStyle name="Normal 20 3 3 2 3" xfId="6191" xr:uid="{3A6220BE-ECF0-41EE-B49C-A45986787E75}"/>
    <cellStyle name="Normal 20 3 3 2 3 2" xfId="14571" xr:uid="{CA1705A1-293C-4C8C-A8E0-80C9F8E21591}"/>
    <cellStyle name="Normal 20 3 3 2 3 2 2" xfId="31331" xr:uid="{1F6BC95B-278C-4C4F-822E-92D8795C3E9C}"/>
    <cellStyle name="Normal 20 3 3 2 3 2 3" xfId="48090" xr:uid="{07E1EA0F-3486-4D7E-95E7-E42AD17400EF}"/>
    <cellStyle name="Normal 20 3 3 2 3 3" xfId="22951" xr:uid="{8D0BEF91-7FF0-4B1C-B42D-03E0F57F5F97}"/>
    <cellStyle name="Normal 20 3 3 2 3 4" xfId="39710" xr:uid="{3068739C-4D6D-43A5-B101-B89E3BE562B3}"/>
    <cellStyle name="Normal 20 3 3 2 4" xfId="2927" xr:uid="{E6DE0FDF-96FD-4B3A-8805-919F41E239A9}"/>
    <cellStyle name="Normal 20 3 3 2 4 2" xfId="11307" xr:uid="{6797EB8C-1764-424C-B861-F8194EF2DB18}"/>
    <cellStyle name="Normal 20 3 3 2 4 2 2" xfId="28067" xr:uid="{7B6E5735-3E21-4FB9-AC54-967D16C15A21}"/>
    <cellStyle name="Normal 20 3 3 2 4 2 3" xfId="44826" xr:uid="{3447B8EC-0CCE-46C6-AE70-05185BBEAA32}"/>
    <cellStyle name="Normal 20 3 3 2 4 3" xfId="19687" xr:uid="{AEFD86FD-489B-404C-8BF5-3C373B0E7955}"/>
    <cellStyle name="Normal 20 3 3 2 4 4" xfId="36446" xr:uid="{EC9CDE63-FCFD-4A71-943E-427CF202A616}"/>
    <cellStyle name="Normal 20 3 3 2 5" xfId="9504" xr:uid="{307059D9-CC7B-47CD-8056-F324E46F8C9A}"/>
    <cellStyle name="Normal 20 3 3 2 5 2" xfId="26264" xr:uid="{21492335-E5E9-4E77-B704-7A651327B636}"/>
    <cellStyle name="Normal 20 3 3 2 5 3" xfId="43023" xr:uid="{BF969EC1-8F21-440E-83E7-EF33D0158C61}"/>
    <cellStyle name="Normal 20 3 3 2 6" xfId="17884" xr:uid="{36A47961-9109-4537-9512-1F4D66502ACD}"/>
    <cellStyle name="Normal 20 3 3 2 7" xfId="34643" xr:uid="{1087CD95-CE15-4EBB-9C38-351F7DCAB3F6}"/>
    <cellStyle name="Normal 20 3 3 3" xfId="1543" xr:uid="{46C9B918-82C4-4F4F-BEF4-6924FEF39357}"/>
    <cellStyle name="Normal 20 3 3 3 2" xfId="4932" xr:uid="{EE85A2D9-1B46-4A90-9254-0A96D993D2BE}"/>
    <cellStyle name="Normal 20 3 3 3 2 2" xfId="13312" xr:uid="{21FEE2D8-189E-4146-9229-A2074082B98C}"/>
    <cellStyle name="Normal 20 3 3 3 2 2 2" xfId="30072" xr:uid="{A6D4BBFC-200C-442A-8072-AEC01DD40BA2}"/>
    <cellStyle name="Normal 20 3 3 3 2 2 3" xfId="46831" xr:uid="{F4BDCDBD-FC83-491C-A0ED-E88B221E1360}"/>
    <cellStyle name="Normal 20 3 3 3 2 3" xfId="21692" xr:uid="{47400CDF-2D47-43BB-92FD-E807B5F24305}"/>
    <cellStyle name="Normal 20 3 3 3 2 4" xfId="38451" xr:uid="{6E43788D-0C5B-4243-B57F-33C83AD24280}"/>
    <cellStyle name="Normal 20 3 3 3 3" xfId="6619" xr:uid="{C3D8F4FF-767C-4A7C-BB85-50694039E2B3}"/>
    <cellStyle name="Normal 20 3 3 3 3 2" xfId="14999" xr:uid="{83450DEC-1275-4C9A-B4CD-6EABBC28E1C0}"/>
    <cellStyle name="Normal 20 3 3 3 3 2 2" xfId="31759" xr:uid="{C27FA8AB-CBF4-4DBF-89DA-48D0A26E839E}"/>
    <cellStyle name="Normal 20 3 3 3 3 2 3" xfId="48518" xr:uid="{2F53F1BF-73E8-4A5F-B837-E2EA3DA27F01}"/>
    <cellStyle name="Normal 20 3 3 3 3 3" xfId="23379" xr:uid="{39240349-55C6-46F0-B073-358184759EF3}"/>
    <cellStyle name="Normal 20 3 3 3 3 4" xfId="40138" xr:uid="{A1430CD5-CFA7-4677-B1F6-FD6784AFC873}"/>
    <cellStyle name="Normal 20 3 3 3 4" xfId="3355" xr:uid="{5EA94F92-8480-414C-9FBE-9EA4EBFF7707}"/>
    <cellStyle name="Normal 20 3 3 3 4 2" xfId="11735" xr:uid="{CEAB2BA0-9FA5-4184-BCE8-F38308DFB636}"/>
    <cellStyle name="Normal 20 3 3 3 4 2 2" xfId="28495" xr:uid="{E3BEBB5C-D4CD-4ACC-8D66-4D2F8F6BABA3}"/>
    <cellStyle name="Normal 20 3 3 3 4 2 3" xfId="45254" xr:uid="{60E0238E-4657-4D92-A9CC-41C198161D11}"/>
    <cellStyle name="Normal 20 3 3 3 4 3" xfId="20115" xr:uid="{0A8E9AFB-9549-4074-BF7D-C90F09F41BF5}"/>
    <cellStyle name="Normal 20 3 3 3 4 4" xfId="36874" xr:uid="{8016B453-5805-4844-90F6-18075AF0D67C}"/>
    <cellStyle name="Normal 20 3 3 3 5" xfId="9932" xr:uid="{37DBEC3C-1F83-42B7-BDD3-5AD07EA3AC8A}"/>
    <cellStyle name="Normal 20 3 3 3 5 2" xfId="26692" xr:uid="{8927744E-CB25-4294-B91E-6F7F3B69CE35}"/>
    <cellStyle name="Normal 20 3 3 3 5 3" xfId="43451" xr:uid="{6852F2A6-C9B8-4689-AD5C-E862DD7001BF}"/>
    <cellStyle name="Normal 20 3 3 3 6" xfId="18312" xr:uid="{5A4C2027-98E9-4553-A468-E1DC67F2451C}"/>
    <cellStyle name="Normal 20 3 3 3 7" xfId="35071" xr:uid="{7C6A8EAC-1847-4A3E-A43F-316820C79722}"/>
    <cellStyle name="Normal 20 3 3 4" xfId="2027" xr:uid="{FBE8E1C8-D34E-4932-8BF9-563DA713730A}"/>
    <cellStyle name="Normal 20 3 3 4 2" xfId="5416" xr:uid="{6484145E-8B48-4DBC-9738-3BA9ECBA4A0A}"/>
    <cellStyle name="Normal 20 3 3 4 2 2" xfId="13796" xr:uid="{1433D9DD-0BFE-4377-BC96-FD269D826990}"/>
    <cellStyle name="Normal 20 3 3 4 2 2 2" xfId="30556" xr:uid="{11E10F04-C2BF-4783-B100-CF9A73DEED73}"/>
    <cellStyle name="Normal 20 3 3 4 2 2 3" xfId="47315" xr:uid="{CE6E5C32-CABC-47D0-8774-B129D75A024F}"/>
    <cellStyle name="Normal 20 3 3 4 2 3" xfId="22176" xr:uid="{D2112361-9EE7-4C34-B133-AF967EDEFBBF}"/>
    <cellStyle name="Normal 20 3 3 4 2 4" xfId="38935" xr:uid="{35C0FDA5-848F-4A2D-9A46-0BCCE9F44573}"/>
    <cellStyle name="Normal 20 3 3 4 3" xfId="7103" xr:uid="{8556AD04-D5FE-4E52-B8F6-D9E12BD05853}"/>
    <cellStyle name="Normal 20 3 3 4 3 2" xfId="15483" xr:uid="{2C69D98F-4AD6-4458-AF63-A611045DBF5A}"/>
    <cellStyle name="Normal 20 3 3 4 3 2 2" xfId="32243" xr:uid="{37B9D882-3361-4626-8984-002486310CAE}"/>
    <cellStyle name="Normal 20 3 3 4 3 2 3" xfId="49002" xr:uid="{C362DE9B-9588-4CCC-833D-E4F82C653952}"/>
    <cellStyle name="Normal 20 3 3 4 3 3" xfId="23863" xr:uid="{47C8D86D-A123-43B9-807D-941400D018EA}"/>
    <cellStyle name="Normal 20 3 3 4 3 4" xfId="40622" xr:uid="{3F811E56-E7BD-43D8-8167-DC866F0B797D}"/>
    <cellStyle name="Normal 20 3 3 4 4" xfId="3726" xr:uid="{D19807A9-6386-4487-BFD9-AA4820C0120E}"/>
    <cellStyle name="Normal 20 3 3 4 4 2" xfId="12106" xr:uid="{6D267F8B-9DFD-4030-848C-90424D920744}"/>
    <cellStyle name="Normal 20 3 3 4 4 2 2" xfId="28866" xr:uid="{A12A40BF-B339-4272-925B-26CC40FDC1EE}"/>
    <cellStyle name="Normal 20 3 3 4 4 2 3" xfId="45625" xr:uid="{84A2AEF7-B474-4DC3-88C1-DAC76D70462A}"/>
    <cellStyle name="Normal 20 3 3 4 4 3" xfId="20486" xr:uid="{E763FEE1-3FE0-4BAD-BA7B-7965103E72FA}"/>
    <cellStyle name="Normal 20 3 3 4 4 4" xfId="37245" xr:uid="{73C55AC1-986D-4B73-B652-429FACDB834C}"/>
    <cellStyle name="Normal 20 3 3 4 5" xfId="10416" xr:uid="{CF85A131-24C0-49E3-8A29-F65CFD5CCC9E}"/>
    <cellStyle name="Normal 20 3 3 4 5 2" xfId="27176" xr:uid="{D6DFB2C5-BC42-4B68-86B6-11388C099FE2}"/>
    <cellStyle name="Normal 20 3 3 4 5 3" xfId="43935" xr:uid="{FC8BE952-DCA3-4C85-8608-F8CEEDCB77FE}"/>
    <cellStyle name="Normal 20 3 3 4 6" xfId="18796" xr:uid="{29B67F91-D967-4218-B7F8-2C274304F07C}"/>
    <cellStyle name="Normal 20 3 3 4 7" xfId="35555" xr:uid="{15FBACFD-EC31-4710-B6D2-7FB4B0EF0A7E}"/>
    <cellStyle name="Normal 20 3 3 5" xfId="4146" xr:uid="{382EB253-C1D9-48C7-A160-FF95EB408825}"/>
    <cellStyle name="Normal 20 3 3 5 2" xfId="12526" xr:uid="{B71A295F-95EF-454C-9FE0-67452E551148}"/>
    <cellStyle name="Normal 20 3 3 5 2 2" xfId="29286" xr:uid="{0F1858D9-9535-446D-9C38-9F5E3A2DECA7}"/>
    <cellStyle name="Normal 20 3 3 5 2 3" xfId="46045" xr:uid="{D2CEE204-D421-4308-8BA4-21F4FA61EDEF}"/>
    <cellStyle name="Normal 20 3 3 5 3" xfId="20906" xr:uid="{4EF9AA38-7742-403F-83B8-D3779791A66F}"/>
    <cellStyle name="Normal 20 3 3 5 4" xfId="37665" xr:uid="{F649D168-DDAF-42D8-9E1B-840DF7F49FCF}"/>
    <cellStyle name="Normal 20 3 3 6" xfId="5765" xr:uid="{1927AD7E-5426-4230-A0D3-9126936B1584}"/>
    <cellStyle name="Normal 20 3 3 6 2" xfId="14145" xr:uid="{5AF86A59-4597-4D8E-ABF7-CA0AD4149D04}"/>
    <cellStyle name="Normal 20 3 3 6 2 2" xfId="30905" xr:uid="{869BAC26-D146-4B06-989B-E5ECC176A6C7}"/>
    <cellStyle name="Normal 20 3 3 6 2 3" xfId="47664" xr:uid="{A93B8891-294A-425A-A4AE-894FEF7D96BB}"/>
    <cellStyle name="Normal 20 3 3 6 3" xfId="22525" xr:uid="{A71D4E78-16C5-4129-8A17-133021E1FEB9}"/>
    <cellStyle name="Normal 20 3 3 6 4" xfId="39284" xr:uid="{144B0F5F-3A1E-4481-AA6F-F6A3A5BA69BF}"/>
    <cellStyle name="Normal 20 3 3 7" xfId="7509" xr:uid="{EE98ED61-9B1A-4036-9F05-3B816214F2F1}"/>
    <cellStyle name="Normal 20 3 3 7 2" xfId="15889" xr:uid="{49420BA8-A938-4E6C-A867-F60F5730D733}"/>
    <cellStyle name="Normal 20 3 3 7 2 2" xfId="32649" xr:uid="{F04B12C3-C260-48BB-8D44-4A10E11D488B}"/>
    <cellStyle name="Normal 20 3 3 7 2 3" xfId="49408" xr:uid="{1CDD8FE2-8CB2-4DC5-82DE-33BC89952E33}"/>
    <cellStyle name="Normal 20 3 3 7 3" xfId="24269" xr:uid="{676A5E61-A00D-477A-A281-68993C651051}"/>
    <cellStyle name="Normal 20 3 3 7 4" xfId="41028" xr:uid="{D512D950-26F4-4AB5-8744-649BA98DA24C}"/>
    <cellStyle name="Normal 20 3 3 8" xfId="7915" xr:uid="{B510B160-F2BF-4296-BC6A-D28F941E34D4}"/>
    <cellStyle name="Normal 20 3 3 8 2" xfId="16295" xr:uid="{537F8F8F-5B94-4F76-BD9F-93850FF37DE8}"/>
    <cellStyle name="Normal 20 3 3 8 2 2" xfId="33055" xr:uid="{C1B4DD6F-51EB-4B68-99C1-3BBC59810B82}"/>
    <cellStyle name="Normal 20 3 3 8 2 3" xfId="49814" xr:uid="{3001C7BD-B254-46B5-92CA-6ECDB9414E86}"/>
    <cellStyle name="Normal 20 3 3 8 3" xfId="24675" xr:uid="{22CBCC27-CFA8-48E6-9435-76C26061EDEF}"/>
    <cellStyle name="Normal 20 3 3 8 4" xfId="41434" xr:uid="{2253580F-F156-4F9F-A738-39AC33ECD9F6}"/>
    <cellStyle name="Normal 20 3 3 9" xfId="8321" xr:uid="{C78C6586-32DD-4EF3-A8B4-0F5E8EB6D023}"/>
    <cellStyle name="Normal 20 3 3 9 2" xfId="16701" xr:uid="{C9D995FC-70DC-45BE-B8AF-9FB11F27F5BE}"/>
    <cellStyle name="Normal 20 3 3 9 2 2" xfId="33461" xr:uid="{24D61850-6555-4583-9654-733921CC2D41}"/>
    <cellStyle name="Normal 20 3 3 9 2 3" xfId="50220" xr:uid="{D9CF1CE0-C702-4588-8BD5-1255D4D3591B}"/>
    <cellStyle name="Normal 20 3 3 9 3" xfId="25081" xr:uid="{98A34963-C876-42A8-BC01-513CC99C2100}"/>
    <cellStyle name="Normal 20 3 3 9 4" xfId="41840" xr:uid="{372E51E0-3643-4FAD-BCEB-F38F8CCAF556}"/>
    <cellStyle name="Normal 20 3 4" xfId="858" xr:uid="{19B54DB5-AEB0-4A63-A1BF-56CC64F44044}"/>
    <cellStyle name="Normal 20 3 4 2" xfId="4253" xr:uid="{2C5052EC-3DCD-45A4-B424-6AC61A07D250}"/>
    <cellStyle name="Normal 20 3 4 2 2" xfId="12633" xr:uid="{08B44894-9C1D-4FC7-A6D4-5387F44D62FD}"/>
    <cellStyle name="Normal 20 3 4 2 2 2" xfId="29393" xr:uid="{6D689CCC-6797-4B16-8FA8-DE2AC265A4DE}"/>
    <cellStyle name="Normal 20 3 4 2 2 3" xfId="46152" xr:uid="{C41F55DB-127D-41B3-BCDE-0BF360CF6999}"/>
    <cellStyle name="Normal 20 3 4 2 3" xfId="21013" xr:uid="{D32C43C1-1788-4E68-B99F-3FBC8815824C}"/>
    <cellStyle name="Normal 20 3 4 2 4" xfId="37772" xr:uid="{EA664ACD-F51C-44CE-B697-17704A13E2AD}"/>
    <cellStyle name="Normal 20 3 4 3" xfId="5940" xr:uid="{BFBB05AA-12B1-4FFC-846B-7898C2F83A23}"/>
    <cellStyle name="Normal 20 3 4 3 2" xfId="14320" xr:uid="{640F707F-AF40-4D52-BB17-2C13A75F0CA8}"/>
    <cellStyle name="Normal 20 3 4 3 2 2" xfId="31080" xr:uid="{9EECF057-C975-4D4C-801E-21F7447145F0}"/>
    <cellStyle name="Normal 20 3 4 3 2 3" xfId="47839" xr:uid="{8BFCECF6-71CF-4C1D-A96A-EDF10D01417A}"/>
    <cellStyle name="Normal 20 3 4 3 3" xfId="22700" xr:uid="{2CB7829F-ABEF-4B81-837B-CAC8BE384593}"/>
    <cellStyle name="Normal 20 3 4 3 4" xfId="39459" xr:uid="{DC254FA4-D22E-4C02-9A8D-4691987EDDD7}"/>
    <cellStyle name="Normal 20 3 4 4" xfId="2676" xr:uid="{599E73D3-6E97-4231-90FF-8AE3E700CEFD}"/>
    <cellStyle name="Normal 20 3 4 4 2" xfId="11056" xr:uid="{63E6BBC9-924A-4A66-BFD1-5DC231ED84F0}"/>
    <cellStyle name="Normal 20 3 4 4 2 2" xfId="27816" xr:uid="{194F3BF9-F184-464E-BED4-3C04DF86BEEE}"/>
    <cellStyle name="Normal 20 3 4 4 2 3" xfId="44575" xr:uid="{DC9151EC-D329-42F7-8B76-9D1191F7E06E}"/>
    <cellStyle name="Normal 20 3 4 4 3" xfId="19436" xr:uid="{F39F1D5D-1AD1-43B5-B77F-89BCA6E1D8E3}"/>
    <cellStyle name="Normal 20 3 4 4 4" xfId="36195" xr:uid="{DE248A3B-7512-4FBD-A5DD-E720BD83F785}"/>
    <cellStyle name="Normal 20 3 4 5" xfId="9253" xr:uid="{95DEBF41-0D0B-420D-9AFA-983229C39ABE}"/>
    <cellStyle name="Normal 20 3 4 5 2" xfId="26013" xr:uid="{80A07965-79D7-4852-9F84-DC2DA1B78978}"/>
    <cellStyle name="Normal 20 3 4 5 3" xfId="42772" xr:uid="{D4C802A9-AAD3-40DA-8F95-DDD52BDB54AC}"/>
    <cellStyle name="Normal 20 3 4 6" xfId="17633" xr:uid="{0C8F8A89-2E70-47DD-B926-3A16FB6AE31D}"/>
    <cellStyle name="Normal 20 3 4 7" xfId="34392" xr:uid="{54E6E84D-E666-47E6-90B3-C82ED4911CD5}"/>
    <cellStyle name="Normal 20 3 5" xfId="1292" xr:uid="{A4F5BD80-E396-4715-A63C-6A2EA6A57FBD}"/>
    <cellStyle name="Normal 20 3 5 2" xfId="4681" xr:uid="{E12BDE71-AB9E-4AA0-B75F-EC06BAACF0CB}"/>
    <cellStyle name="Normal 20 3 5 2 2" xfId="13061" xr:uid="{7F4E1919-4803-4A5B-9BE0-015E85AAC5CE}"/>
    <cellStyle name="Normal 20 3 5 2 2 2" xfId="29821" xr:uid="{16E46212-8C52-45D2-8752-68595691D039}"/>
    <cellStyle name="Normal 20 3 5 2 2 3" xfId="46580" xr:uid="{2B87675B-156C-436B-A62C-253B022D9BA7}"/>
    <cellStyle name="Normal 20 3 5 2 3" xfId="21441" xr:uid="{CDC5A789-FDC7-4EE4-A891-9D971327B40B}"/>
    <cellStyle name="Normal 20 3 5 2 4" xfId="38200" xr:uid="{98D4AE7B-3A8A-4167-9646-8EE04E21C260}"/>
    <cellStyle name="Normal 20 3 5 3" xfId="6368" xr:uid="{6F7DAB16-35C4-47A7-8D3B-8F193DC7C750}"/>
    <cellStyle name="Normal 20 3 5 3 2" xfId="14748" xr:uid="{E3495328-BFD8-4CED-937F-75BB1459D015}"/>
    <cellStyle name="Normal 20 3 5 3 2 2" xfId="31508" xr:uid="{B2B33420-880D-486A-B623-27175937A10A}"/>
    <cellStyle name="Normal 20 3 5 3 2 3" xfId="48267" xr:uid="{DA3218EA-9509-4431-8AC9-D0FC8BF3A875}"/>
    <cellStyle name="Normal 20 3 5 3 3" xfId="23128" xr:uid="{6EE73B6D-4857-418A-BB21-A4B11403C34A}"/>
    <cellStyle name="Normal 20 3 5 3 4" xfId="39887" xr:uid="{E9AC4243-A590-40DA-8869-10C029E57EFF}"/>
    <cellStyle name="Normal 20 3 5 4" xfId="3104" xr:uid="{AFE69E7F-7E5A-4EA4-A89E-5DE42339AE40}"/>
    <cellStyle name="Normal 20 3 5 4 2" xfId="11484" xr:uid="{F907DE98-25E3-4B8C-9CC2-56F89A0C01CA}"/>
    <cellStyle name="Normal 20 3 5 4 2 2" xfId="28244" xr:uid="{2388AFED-C08A-4C89-86C4-6E8A9B5A095D}"/>
    <cellStyle name="Normal 20 3 5 4 2 3" xfId="45003" xr:uid="{F323256B-6606-4BCF-9C9B-E64B235BEF3F}"/>
    <cellStyle name="Normal 20 3 5 4 3" xfId="19864" xr:uid="{FF360ECC-E09E-49DA-A991-F4D67BE06DA8}"/>
    <cellStyle name="Normal 20 3 5 4 4" xfId="36623" xr:uid="{2DA145BA-E79C-499B-964F-23A96FB8168F}"/>
    <cellStyle name="Normal 20 3 5 5" xfId="9681" xr:uid="{B59FDED9-7D3F-49BC-AFBA-A2A90393F572}"/>
    <cellStyle name="Normal 20 3 5 5 2" xfId="26441" xr:uid="{813E0A55-1583-43B4-84B6-C6AEC3CA387D}"/>
    <cellStyle name="Normal 20 3 5 5 3" xfId="43200" xr:uid="{E3A73096-1745-4D3B-BB5B-0D87AF0C73AC}"/>
    <cellStyle name="Normal 20 3 5 6" xfId="18061" xr:uid="{FF1BCAC4-E89A-4A24-AFEA-3BF4F1CE8345}"/>
    <cellStyle name="Normal 20 3 5 7" xfId="34820" xr:uid="{EF10FE22-A241-4A53-8FB9-28FD22D2267E}"/>
    <cellStyle name="Normal 20 3 6" xfId="1756" xr:uid="{8FD232CC-B3B3-4C44-A3E4-B6A682BD343F}"/>
    <cellStyle name="Normal 20 3 6 2" xfId="5145" xr:uid="{EF246601-9A90-4758-9395-033E12C1520C}"/>
    <cellStyle name="Normal 20 3 6 2 2" xfId="13525" xr:uid="{2D5FF1C0-74C5-4263-8ED6-A8AB60E22D18}"/>
    <cellStyle name="Normal 20 3 6 2 2 2" xfId="30285" xr:uid="{04712CF7-CF63-4660-B1C9-540180BDFE59}"/>
    <cellStyle name="Normal 20 3 6 2 2 3" xfId="47044" xr:uid="{1FF243CF-B988-4D68-B384-D97E2460147A}"/>
    <cellStyle name="Normal 20 3 6 2 3" xfId="21905" xr:uid="{C511C605-43EB-4D66-A6F1-2151F194C7C4}"/>
    <cellStyle name="Normal 20 3 6 2 4" xfId="38664" xr:uid="{CD1F21C2-FF9D-42F9-8135-50AB628FD6DA}"/>
    <cellStyle name="Normal 20 3 6 3" xfId="6832" xr:uid="{31628656-06CC-4419-90B5-723FCEF7F7F1}"/>
    <cellStyle name="Normal 20 3 6 3 2" xfId="15212" xr:uid="{A656B380-8894-49CF-9C59-CDDAB25057D8}"/>
    <cellStyle name="Normal 20 3 6 3 2 2" xfId="31972" xr:uid="{F3FD12A2-D1F5-40FE-B4DE-8BDC0AB3E779}"/>
    <cellStyle name="Normal 20 3 6 3 2 3" xfId="48731" xr:uid="{53F7B137-A5B4-4307-AD0F-FA4461E1874B}"/>
    <cellStyle name="Normal 20 3 6 3 3" xfId="23592" xr:uid="{C9742752-C474-4FE1-9820-5824DB6AEB6A}"/>
    <cellStyle name="Normal 20 3 6 3 4" xfId="40351" xr:uid="{0357ED74-9F83-4A3D-AFE4-BD1F5A4CBEA7}"/>
    <cellStyle name="Normal 20 3 6 4" xfId="2246" xr:uid="{F190F4D1-E61F-4819-8F04-E64C67272168}"/>
    <cellStyle name="Normal 20 3 6 4 2" xfId="10630" xr:uid="{2788A2DA-7EEA-4F93-B06D-20C192681E71}"/>
    <cellStyle name="Normal 20 3 6 4 2 2" xfId="27390" xr:uid="{643A722E-B41C-42DA-948D-F6725E26051F}"/>
    <cellStyle name="Normal 20 3 6 4 2 3" xfId="44149" xr:uid="{E84AC8FD-3E43-46C5-BBA5-DA7440DEFE34}"/>
    <cellStyle name="Normal 20 3 6 4 3" xfId="19010" xr:uid="{55AB8CA1-9F99-49E1-B956-399B4F1024ED}"/>
    <cellStyle name="Normal 20 3 6 4 4" xfId="35769" xr:uid="{E8356148-E8A0-4A78-9BFE-E8E42D845668}"/>
    <cellStyle name="Normal 20 3 6 5" xfId="10145" xr:uid="{2EF26411-8881-44C1-A98B-F4A425C2F372}"/>
    <cellStyle name="Normal 20 3 6 5 2" xfId="26905" xr:uid="{6C090316-8334-4572-B3F5-56AD50804E6F}"/>
    <cellStyle name="Normal 20 3 6 5 3" xfId="43664" xr:uid="{1CD4CE05-F2C8-45DF-A109-917417D1F04B}"/>
    <cellStyle name="Normal 20 3 6 6" xfId="18525" xr:uid="{BF8924F4-78F5-4338-9128-B204478955FC}"/>
    <cellStyle name="Normal 20 3 6 7" xfId="35284" xr:uid="{33A2E40B-B9BF-4B09-8A4C-7D37EB975F80}"/>
    <cellStyle name="Normal 20 3 7" xfId="3875" xr:uid="{1A94F1DD-8E62-4DB2-9067-AEB267CC7372}"/>
    <cellStyle name="Normal 20 3 7 2" xfId="12255" xr:uid="{BBDA14C1-CD70-4F81-B28D-F838CF350BA5}"/>
    <cellStyle name="Normal 20 3 7 2 2" xfId="29015" xr:uid="{12ED60F6-3443-49DF-B8A4-FDE258F7B0E2}"/>
    <cellStyle name="Normal 20 3 7 2 3" xfId="45774" xr:uid="{4B997AE9-04E7-4BD8-8525-0A29E1D3625C}"/>
    <cellStyle name="Normal 20 3 7 3" xfId="20635" xr:uid="{4CE1E79E-A426-4F84-B1A1-268705C0779D}"/>
    <cellStyle name="Normal 20 3 7 4" xfId="37394" xr:uid="{B4267A26-7C39-4B99-9818-CA323DC9A5C3}"/>
    <cellStyle name="Normal 20 3 8" xfId="5514" xr:uid="{0C6973F0-AA9E-4BBA-9B8F-C0235092A410}"/>
    <cellStyle name="Normal 20 3 8 2" xfId="13894" xr:uid="{1F4E4188-5766-459B-A3B8-251D5B220DBD}"/>
    <cellStyle name="Normal 20 3 8 2 2" xfId="30654" xr:uid="{37D0E009-BD90-4228-8671-51E92CFA6448}"/>
    <cellStyle name="Normal 20 3 8 2 3" xfId="47413" xr:uid="{17206463-F263-4AB2-9737-685101551B77}"/>
    <cellStyle name="Normal 20 3 8 3" xfId="22274" xr:uid="{57E32745-729F-453A-B77E-8E839E72C723}"/>
    <cellStyle name="Normal 20 3 8 4" xfId="39033" xr:uid="{D7CF67D1-36F2-44D8-AFCB-C7AB58F0174C}"/>
    <cellStyle name="Normal 20 3 9" xfId="7238" xr:uid="{46A1A94D-5818-4B50-A51D-F841CE7BAD21}"/>
    <cellStyle name="Normal 20 3 9 2" xfId="15618" xr:uid="{BC131D32-BC99-4252-9B7D-D5DF61E96E96}"/>
    <cellStyle name="Normal 20 3 9 2 2" xfId="32378" xr:uid="{AAF5B1EA-C096-49CE-AC05-9BD25FF6C95D}"/>
    <cellStyle name="Normal 20 3 9 2 3" xfId="49137" xr:uid="{8B2CA0AD-77A1-4518-99D1-B42F366DE510}"/>
    <cellStyle name="Normal 20 3 9 3" xfId="23998" xr:uid="{2D32221F-00BD-4E83-97A1-E3642C00B43D}"/>
    <cellStyle name="Normal 20 3 9 4" xfId="40757" xr:uid="{1AFA0879-1DBB-4BD3-A02A-81C2B9F1E20A}"/>
    <cellStyle name="Normal 20 4" xfId="670" xr:uid="{E85A60CF-7BB9-400E-8C23-C79E93E6B161}"/>
    <cellStyle name="Normal 20 4 10" xfId="8555" xr:uid="{BAC27C80-771A-4F45-A08A-484F07E84DB3}"/>
    <cellStyle name="Normal 20 4 10 2" xfId="16935" xr:uid="{150020F0-F189-4923-BB8B-FE395BB22F45}"/>
    <cellStyle name="Normal 20 4 10 2 2" xfId="33695" xr:uid="{8223D27E-F3D5-45A2-B036-6B632B636200}"/>
    <cellStyle name="Normal 20 4 10 2 3" xfId="50454" xr:uid="{3DC02224-F5BB-4434-91C9-79C453DFC590}"/>
    <cellStyle name="Normal 20 4 10 3" xfId="25315" xr:uid="{B5112755-9CD8-41F7-B1E6-7367FBE02AAB}"/>
    <cellStyle name="Normal 20 4 10 4" xfId="42074" xr:uid="{40D416ED-E7C4-4460-8EE7-FC878EE3F8F6}"/>
    <cellStyle name="Normal 20 4 11" xfId="2500" xr:uid="{C26E40C7-CDFE-4AB3-A84A-8F1DE7BE66DF}"/>
    <cellStyle name="Normal 20 4 11 2" xfId="10882" xr:uid="{E29D519C-A8B9-47C2-8B83-F483AFED81BD}"/>
    <cellStyle name="Normal 20 4 11 2 2" xfId="27642" xr:uid="{1057580D-5B76-4182-9E1D-6A8DCBEF4DD3}"/>
    <cellStyle name="Normal 20 4 11 2 3" xfId="44401" xr:uid="{529C74AB-E23B-4AD8-B49B-FD5205F27207}"/>
    <cellStyle name="Normal 20 4 11 3" xfId="19262" xr:uid="{DEE043EC-E8AC-4701-BA14-A11B13B68AF2}"/>
    <cellStyle name="Normal 20 4 11 4" xfId="36021" xr:uid="{48E7E8D2-3FB8-498B-B7F1-5E086D37D760}"/>
    <cellStyle name="Normal 20 4 12" xfId="9079" xr:uid="{5E18C43A-C50C-46B1-8FA4-31F8E7DB58F5}"/>
    <cellStyle name="Normal 20 4 12 2" xfId="25839" xr:uid="{BF996819-795E-45F1-A1EF-6F1A651EB45B}"/>
    <cellStyle name="Normal 20 4 12 3" xfId="42598" xr:uid="{A69AC377-15FF-475C-B0B5-2C664AAD76F9}"/>
    <cellStyle name="Normal 20 4 13" xfId="17459" xr:uid="{E02C89D1-326C-4723-A7B2-2F4E1FBA2A54}"/>
    <cellStyle name="Normal 20 4 14" xfId="34218" xr:uid="{72E315B0-DA1A-4472-80EB-BBF5020E0400}"/>
    <cellStyle name="Normal 20 4 2" xfId="1110" xr:uid="{1E937850-F279-4F1B-8578-9A2AE2E4DE9F}"/>
    <cellStyle name="Normal 20 4 2 2" xfId="4505" xr:uid="{8FF3D853-71EE-405F-8A68-70BD77428B21}"/>
    <cellStyle name="Normal 20 4 2 2 2" xfId="12885" xr:uid="{D61B2811-3EC4-4B97-80B9-8F5472C88D6D}"/>
    <cellStyle name="Normal 20 4 2 2 2 2" xfId="29645" xr:uid="{5D32A342-E157-476C-8629-AD2053B6A402}"/>
    <cellStyle name="Normal 20 4 2 2 2 3" xfId="46404" xr:uid="{2EDA86BF-21BD-4757-970F-87CDC9DB476D}"/>
    <cellStyle name="Normal 20 4 2 2 3" xfId="21265" xr:uid="{626BE868-986D-48C8-BF4E-D3D320E6550D}"/>
    <cellStyle name="Normal 20 4 2 2 4" xfId="38024" xr:uid="{F03BF7A9-8F44-4413-9F10-DC6388D9B332}"/>
    <cellStyle name="Normal 20 4 2 3" xfId="6192" xr:uid="{259ED6D8-5DD3-47B3-8A6A-49CFCBF77AC2}"/>
    <cellStyle name="Normal 20 4 2 3 2" xfId="14572" xr:uid="{6E2E79DE-0AB1-4669-9650-10B246B4D6A3}"/>
    <cellStyle name="Normal 20 4 2 3 2 2" xfId="31332" xr:uid="{929E947F-0030-4FAA-A262-AE00466911BA}"/>
    <cellStyle name="Normal 20 4 2 3 2 3" xfId="48091" xr:uid="{FABD7E59-9BFD-4825-8B1A-53624A405A57}"/>
    <cellStyle name="Normal 20 4 2 3 3" xfId="22952" xr:uid="{BAACCF8B-2CD1-4A85-B8C5-3DC63E106CDF}"/>
    <cellStyle name="Normal 20 4 2 3 4" xfId="39711" xr:uid="{851D611F-54C6-4F0A-8648-9C6683616239}"/>
    <cellStyle name="Normal 20 4 2 4" xfId="2928" xr:uid="{75489641-C20C-467F-9EA9-601845C9C6BF}"/>
    <cellStyle name="Normal 20 4 2 4 2" xfId="11308" xr:uid="{766289A5-B32F-495B-AD74-65B003940EB9}"/>
    <cellStyle name="Normal 20 4 2 4 2 2" xfId="28068" xr:uid="{544B307A-DF9D-450B-ABA7-F5E0E87964C1}"/>
    <cellStyle name="Normal 20 4 2 4 2 3" xfId="44827" xr:uid="{A2442D70-0D40-445C-99BF-CD20A4290FEE}"/>
    <cellStyle name="Normal 20 4 2 4 3" xfId="19688" xr:uid="{D7F2F18B-9327-4BF1-9C17-28379B744627}"/>
    <cellStyle name="Normal 20 4 2 4 4" xfId="36447" xr:uid="{B8FBE84B-774D-4B06-8B48-6FF3393C0986}"/>
    <cellStyle name="Normal 20 4 2 5" xfId="9505" xr:uid="{49BEEB40-64FD-4061-AF2E-B43898440C0E}"/>
    <cellStyle name="Normal 20 4 2 5 2" xfId="26265" xr:uid="{6FE09C44-01E0-4C6B-9409-482750E3EAAA}"/>
    <cellStyle name="Normal 20 4 2 5 3" xfId="43024" xr:uid="{05809519-2D88-4360-A42A-3B2B79268459}"/>
    <cellStyle name="Normal 20 4 2 6" xfId="17885" xr:uid="{BA950D42-830E-4067-8714-0CB4BF370E9D}"/>
    <cellStyle name="Normal 20 4 2 7" xfId="34644" xr:uid="{6D348608-0DD5-43AA-9DC0-33B1646BF3BB}"/>
    <cellStyle name="Normal 20 4 3" xfId="1544" xr:uid="{98887B71-1B58-4255-980D-D0C719640CCD}"/>
    <cellStyle name="Normal 20 4 3 2" xfId="4933" xr:uid="{8BD13750-FE09-4BA6-8A8F-56BEE06C987F}"/>
    <cellStyle name="Normal 20 4 3 2 2" xfId="13313" xr:uid="{348C8E72-482E-418C-9CA8-763B3DB0F2FC}"/>
    <cellStyle name="Normal 20 4 3 2 2 2" xfId="30073" xr:uid="{722CBF84-1206-451F-8984-C69797C91547}"/>
    <cellStyle name="Normal 20 4 3 2 2 3" xfId="46832" xr:uid="{3CA0188F-570F-430F-97E0-B39D2784CFA9}"/>
    <cellStyle name="Normal 20 4 3 2 3" xfId="21693" xr:uid="{5213F2B6-E8E4-4A25-AB08-1BE890E206D2}"/>
    <cellStyle name="Normal 20 4 3 2 4" xfId="38452" xr:uid="{51A9F7F2-BFB3-4A50-899E-69F2119FD275}"/>
    <cellStyle name="Normal 20 4 3 3" xfId="6620" xr:uid="{00EB784B-F42D-4F77-8BC4-0B04BC404E1A}"/>
    <cellStyle name="Normal 20 4 3 3 2" xfId="15000" xr:uid="{F456205F-7ABA-452E-A3C2-9A354C2D9101}"/>
    <cellStyle name="Normal 20 4 3 3 2 2" xfId="31760" xr:uid="{FD1B7CD9-96AF-4F9B-9EE4-E504AE2260B3}"/>
    <cellStyle name="Normal 20 4 3 3 2 3" xfId="48519" xr:uid="{CD37C1F4-6E11-46C9-A688-2AC34C4A9590}"/>
    <cellStyle name="Normal 20 4 3 3 3" xfId="23380" xr:uid="{9D70A1C8-E17A-4810-B5DD-1746B7501D66}"/>
    <cellStyle name="Normal 20 4 3 3 4" xfId="40139" xr:uid="{8834812A-A648-48C5-BB4C-6E0018AAB9D6}"/>
    <cellStyle name="Normal 20 4 3 4" xfId="3356" xr:uid="{0B29D72C-A8CA-4B89-ABDA-8D28A58DCBFC}"/>
    <cellStyle name="Normal 20 4 3 4 2" xfId="11736" xr:uid="{C50C5702-A636-4DB9-BF2B-9AC5A4CD3BDA}"/>
    <cellStyle name="Normal 20 4 3 4 2 2" xfId="28496" xr:uid="{977BAE8F-B41A-4B16-8DAB-012CB932BA09}"/>
    <cellStyle name="Normal 20 4 3 4 2 3" xfId="45255" xr:uid="{58AF9B1A-A4E6-46FF-B566-0B144DD2E862}"/>
    <cellStyle name="Normal 20 4 3 4 3" xfId="20116" xr:uid="{DC76E5FB-98E9-4E7B-884C-B7BE27F4BB88}"/>
    <cellStyle name="Normal 20 4 3 4 4" xfId="36875" xr:uid="{EA84BF57-CCB1-4D22-A512-3190DB260982}"/>
    <cellStyle name="Normal 20 4 3 5" xfId="9933" xr:uid="{6A5A1A53-0BAE-4EAE-B77C-2CE90BBDF4DC}"/>
    <cellStyle name="Normal 20 4 3 5 2" xfId="26693" xr:uid="{E4D98966-8D59-4A65-B2CC-E0D0C3734D7E}"/>
    <cellStyle name="Normal 20 4 3 5 3" xfId="43452" xr:uid="{7F5AED74-DEAA-4818-92C7-FB6F24EF65CD}"/>
    <cellStyle name="Normal 20 4 3 6" xfId="18313" xr:uid="{E8364A62-4480-477A-BC7D-BD0622F7EAB7}"/>
    <cellStyle name="Normal 20 4 3 7" xfId="35072" xr:uid="{F693F8F6-7E3A-4D66-8006-815C2D21062D}"/>
    <cellStyle name="Normal 20 4 4" xfId="1855" xr:uid="{8B566CCC-4249-41F9-9E19-BB665591B097}"/>
    <cellStyle name="Normal 20 4 4 2" xfId="5244" xr:uid="{3CDE4271-224B-49F2-BB9C-849FED070627}"/>
    <cellStyle name="Normal 20 4 4 2 2" xfId="13624" xr:uid="{BCE78CEF-5C9D-44C9-95F9-3D06B3458036}"/>
    <cellStyle name="Normal 20 4 4 2 2 2" xfId="30384" xr:uid="{6B9DD479-1503-4845-98AB-36DF24275AEB}"/>
    <cellStyle name="Normal 20 4 4 2 2 3" xfId="47143" xr:uid="{2784EF3E-0994-4603-B1FF-EA6900CC9BB9}"/>
    <cellStyle name="Normal 20 4 4 2 3" xfId="22004" xr:uid="{AB635A85-3096-4E93-8A91-A47E489822F7}"/>
    <cellStyle name="Normal 20 4 4 2 4" xfId="38763" xr:uid="{C297580A-131A-45E2-97AB-E167E2501A0E}"/>
    <cellStyle name="Normal 20 4 4 3" xfId="6931" xr:uid="{68568999-5FF3-415E-9F46-874E07D8F438}"/>
    <cellStyle name="Normal 20 4 4 3 2" xfId="15311" xr:uid="{817A6F20-74F8-4206-88C2-7C675F075602}"/>
    <cellStyle name="Normal 20 4 4 3 2 2" xfId="32071" xr:uid="{C454DE06-E4E6-45E3-9581-46650CE055DF}"/>
    <cellStyle name="Normal 20 4 4 3 2 3" xfId="48830" xr:uid="{6D010386-6FF0-4301-AA51-B5E9AECFA1E1}"/>
    <cellStyle name="Normal 20 4 4 3 3" xfId="23691" xr:uid="{DB7CED40-D758-4312-BBEE-67A977E29C26}"/>
    <cellStyle name="Normal 20 4 4 3 4" xfId="40450" xr:uid="{07974600-5B39-4398-96DF-E5474DA5F725}"/>
    <cellStyle name="Normal 20 4 4 4" xfId="3555" xr:uid="{BC9361C5-A737-4B69-B7AF-65621575DC40}"/>
    <cellStyle name="Normal 20 4 4 4 2" xfId="11935" xr:uid="{D320F442-22D9-4A63-BD8B-76CE09BB469B}"/>
    <cellStyle name="Normal 20 4 4 4 2 2" xfId="28695" xr:uid="{ED88C5C1-98C1-415D-9E0B-55192087AE79}"/>
    <cellStyle name="Normal 20 4 4 4 2 3" xfId="45454" xr:uid="{7ED91967-E992-4543-97DC-5973AC0FF0FD}"/>
    <cellStyle name="Normal 20 4 4 4 3" xfId="20315" xr:uid="{EA568327-6DBF-4345-9578-1CE46F9B18F6}"/>
    <cellStyle name="Normal 20 4 4 4 4" xfId="37074" xr:uid="{03835DD6-0BFE-41B7-9B45-93750B2D63CF}"/>
    <cellStyle name="Normal 20 4 4 5" xfId="10244" xr:uid="{CF6EA36E-C9F1-4A2A-B4E3-E665F143C224}"/>
    <cellStyle name="Normal 20 4 4 5 2" xfId="27004" xr:uid="{B61A85CE-F995-4CA9-9BF6-E8791E0A0528}"/>
    <cellStyle name="Normal 20 4 4 5 3" xfId="43763" xr:uid="{7A185900-062C-41D7-88E7-F77633A0328B}"/>
    <cellStyle name="Normal 20 4 4 6" xfId="18624" xr:uid="{C894EC68-C68D-4889-83BF-5464242D42A1}"/>
    <cellStyle name="Normal 20 4 4 7" xfId="35383" xr:uid="{70D5A7DE-0C68-429D-88BD-BEB04013C9DC}"/>
    <cellStyle name="Normal 20 4 5" xfId="3974" xr:uid="{1803AAB3-4F00-45A1-BFB8-17CEB276D18E}"/>
    <cellStyle name="Normal 20 4 5 2" xfId="12354" xr:uid="{5FA5DDFF-B4F9-4824-AB28-925B6EC0F6C6}"/>
    <cellStyle name="Normal 20 4 5 2 2" xfId="29114" xr:uid="{45FAB228-E9D2-481E-89C1-A78A21CE4DFC}"/>
    <cellStyle name="Normal 20 4 5 2 3" xfId="45873" xr:uid="{B562A39B-72A1-4E4A-96DC-C4343A74F5D6}"/>
    <cellStyle name="Normal 20 4 5 3" xfId="20734" xr:uid="{AFEEC3BA-9686-4997-A77D-32C38988F462}"/>
    <cellStyle name="Normal 20 4 5 4" xfId="37493" xr:uid="{1020720B-3423-4172-A0D6-DF7556254AC7}"/>
    <cellStyle name="Normal 20 4 6" xfId="5766" xr:uid="{1544FC39-4DE5-4395-B42D-AA53A2C47A0A}"/>
    <cellStyle name="Normal 20 4 6 2" xfId="14146" xr:uid="{3B73A3EB-78E7-49DC-95D1-A81930157556}"/>
    <cellStyle name="Normal 20 4 6 2 2" xfId="30906" xr:uid="{7F784BC8-65BF-477E-B344-726CADC3A753}"/>
    <cellStyle name="Normal 20 4 6 2 3" xfId="47665" xr:uid="{7FA4C989-0E9D-45FA-81D9-62F98D89660E}"/>
    <cellStyle name="Normal 20 4 6 3" xfId="22526" xr:uid="{21317EC1-D24B-4B05-8E65-D276230C8805}"/>
    <cellStyle name="Normal 20 4 6 4" xfId="39285" xr:uid="{01A01600-F033-4540-9D7A-B086DE850501}"/>
    <cellStyle name="Normal 20 4 7" xfId="7337" xr:uid="{A0AF775C-38C3-4849-BEF9-E61B434AAF52}"/>
    <cellStyle name="Normal 20 4 7 2" xfId="15717" xr:uid="{77442D99-41B6-4EB1-997F-4D9EBE518B51}"/>
    <cellStyle name="Normal 20 4 7 2 2" xfId="32477" xr:uid="{ECE7DEB4-98E4-4BE0-8BF4-B9A92A770515}"/>
    <cellStyle name="Normal 20 4 7 2 3" xfId="49236" xr:uid="{C9A6BC3F-8CB2-4403-BB7B-20489AD52655}"/>
    <cellStyle name="Normal 20 4 7 3" xfId="24097" xr:uid="{2DFBD0FE-0CDF-4C37-908C-421B07F30267}"/>
    <cellStyle name="Normal 20 4 7 4" xfId="40856" xr:uid="{B43DD87F-B0F6-4A7E-A784-6F80D0A6F83E}"/>
    <cellStyle name="Normal 20 4 8" xfId="7743" xr:uid="{66970AD6-CD45-4AE5-9EA3-4510B3F8D15E}"/>
    <cellStyle name="Normal 20 4 8 2" xfId="16123" xr:uid="{FAE2C255-4984-41DA-8D83-EA0AEFC90B97}"/>
    <cellStyle name="Normal 20 4 8 2 2" xfId="32883" xr:uid="{8EE418D8-C4F0-4461-9F89-747C80DF87B3}"/>
    <cellStyle name="Normal 20 4 8 2 3" xfId="49642" xr:uid="{CBD6D6A4-D378-460B-A8FE-FF9CD1CB8D79}"/>
    <cellStyle name="Normal 20 4 8 3" xfId="24503" xr:uid="{B4F59057-BB50-43DA-96F8-EF9FB9768136}"/>
    <cellStyle name="Normal 20 4 8 4" xfId="41262" xr:uid="{612CFEEC-F233-4F83-B4F0-B2670CE61557}"/>
    <cellStyle name="Normal 20 4 9" xfId="8149" xr:uid="{51663DF2-A692-4828-BD4B-451CA6EB04C9}"/>
    <cellStyle name="Normal 20 4 9 2" xfId="16529" xr:uid="{A2E0F25C-F25C-46E0-A44B-8C817F57107F}"/>
    <cellStyle name="Normal 20 4 9 2 2" xfId="33289" xr:uid="{537291FB-0DD7-49DB-B6F2-A4F331860F33}"/>
    <cellStyle name="Normal 20 4 9 2 3" xfId="50048" xr:uid="{A6AA0AE4-8D41-4BB6-A027-67EEC3EA5FF2}"/>
    <cellStyle name="Normal 20 4 9 3" xfId="24909" xr:uid="{676FB0AA-66D4-4186-8726-CF52F0C2629D}"/>
    <cellStyle name="Normal 20 4 9 4" xfId="41668" xr:uid="{BECEDC67-3D60-4D46-AF4D-5099EE4703BD}"/>
    <cellStyle name="Normal 20 5" xfId="671" xr:uid="{B6F60578-C328-489C-B9D4-E9645F58FD83}"/>
    <cellStyle name="Normal 20 5 10" xfId="8613" xr:uid="{F64187FA-64F7-4A89-A3C7-E70DAD60D988}"/>
    <cellStyle name="Normal 20 5 10 2" xfId="16993" xr:uid="{13678092-3B30-478F-8592-A30B782E1C7E}"/>
    <cellStyle name="Normal 20 5 10 2 2" xfId="33753" xr:uid="{4442E7B6-5069-439D-8261-8B92B3EA18A3}"/>
    <cellStyle name="Normal 20 5 10 2 3" xfId="50512" xr:uid="{9B246D97-B7A6-4DE3-88B4-561612B11124}"/>
    <cellStyle name="Normal 20 5 10 3" xfId="25373" xr:uid="{445F29C9-41E3-424B-83CC-16A7CCF68ADF}"/>
    <cellStyle name="Normal 20 5 10 4" xfId="42132" xr:uid="{7B4A274A-EAE5-4978-AEF7-2DF6C222A5A1}"/>
    <cellStyle name="Normal 20 5 11" xfId="2501" xr:uid="{602A01BA-8F4C-4C66-A4B3-4F5DBB3E0229}"/>
    <cellStyle name="Normal 20 5 11 2" xfId="10883" xr:uid="{19997337-6739-4181-AEF5-F74B49A4042C}"/>
    <cellStyle name="Normal 20 5 11 2 2" xfId="27643" xr:uid="{97C3C4C9-776B-467F-92C0-C2F2AD8CCAE2}"/>
    <cellStyle name="Normal 20 5 11 2 3" xfId="44402" xr:uid="{3A09284C-029C-4B1C-9B38-8C70CA11C200}"/>
    <cellStyle name="Normal 20 5 11 3" xfId="19263" xr:uid="{00A68B86-3E25-4042-A995-15216EDA8B5A}"/>
    <cellStyle name="Normal 20 5 11 4" xfId="36022" xr:uid="{7C3CFF87-CBAE-4E04-9742-95962BD7DA87}"/>
    <cellStyle name="Normal 20 5 12" xfId="9080" xr:uid="{04A237DF-0497-4362-A485-8EF946877340}"/>
    <cellStyle name="Normal 20 5 12 2" xfId="25840" xr:uid="{9C85E9FF-EC45-4399-A667-3042EC7347E2}"/>
    <cellStyle name="Normal 20 5 12 3" xfId="42599" xr:uid="{B3852113-AE86-4D91-982D-58E2D9BFD4EF}"/>
    <cellStyle name="Normal 20 5 13" xfId="17460" xr:uid="{DAF9441D-3295-472E-995D-B851113C9FA8}"/>
    <cellStyle name="Normal 20 5 14" xfId="34219" xr:uid="{D7C150E7-4043-4206-BE91-E0697C352C95}"/>
    <cellStyle name="Normal 20 5 2" xfId="1111" xr:uid="{1F3149C9-6DD2-4EA7-9C04-41E464E74299}"/>
    <cellStyle name="Normal 20 5 2 2" xfId="4506" xr:uid="{AE1F20CD-F27E-4391-AFD4-8FF3E48B0D64}"/>
    <cellStyle name="Normal 20 5 2 2 2" xfId="12886" xr:uid="{266C14FC-7F3E-4682-982E-CD1FEC332788}"/>
    <cellStyle name="Normal 20 5 2 2 2 2" xfId="29646" xr:uid="{7654CC8F-D373-4E76-8489-019DD5F0C460}"/>
    <cellStyle name="Normal 20 5 2 2 2 3" xfId="46405" xr:uid="{9DEB4A42-058D-42C4-AF38-210E624F311B}"/>
    <cellStyle name="Normal 20 5 2 2 3" xfId="21266" xr:uid="{ED94DFB2-420B-4C05-96D9-43D7961D44F6}"/>
    <cellStyle name="Normal 20 5 2 2 4" xfId="38025" xr:uid="{B7079B4A-939E-4FB7-B865-B3689A72B77C}"/>
    <cellStyle name="Normal 20 5 2 3" xfId="6193" xr:uid="{844DD53C-A07A-45A2-8C66-EE39CA632CCD}"/>
    <cellStyle name="Normal 20 5 2 3 2" xfId="14573" xr:uid="{935EE105-E832-42BA-BDB8-A2FE0232E7B7}"/>
    <cellStyle name="Normal 20 5 2 3 2 2" xfId="31333" xr:uid="{EBF9BA43-602F-40B0-A5B3-AB8FC0BA7ADF}"/>
    <cellStyle name="Normal 20 5 2 3 2 3" xfId="48092" xr:uid="{E22E1D60-FF25-43E0-BA54-CB0A2789041B}"/>
    <cellStyle name="Normal 20 5 2 3 3" xfId="22953" xr:uid="{589841BA-88C9-4EC5-A63A-0B79286FF844}"/>
    <cellStyle name="Normal 20 5 2 3 4" xfId="39712" xr:uid="{12FD65CD-0544-4AD2-9BC7-259827203225}"/>
    <cellStyle name="Normal 20 5 2 4" xfId="2929" xr:uid="{6D95F76A-D824-42F5-89F8-354C968FFC67}"/>
    <cellStyle name="Normal 20 5 2 4 2" xfId="11309" xr:uid="{FAEEAC59-0C6D-4C71-9736-CBA1E7EFB2B5}"/>
    <cellStyle name="Normal 20 5 2 4 2 2" xfId="28069" xr:uid="{2249FD7F-5CD2-48E8-8C2B-E14B89872CDE}"/>
    <cellStyle name="Normal 20 5 2 4 2 3" xfId="44828" xr:uid="{C5DB6F24-C3FA-4BB4-BA7E-6ACF1A1B2624}"/>
    <cellStyle name="Normal 20 5 2 4 3" xfId="19689" xr:uid="{8A27700D-0929-4E28-A624-DBAE40443E2E}"/>
    <cellStyle name="Normal 20 5 2 4 4" xfId="36448" xr:uid="{6C66BB71-A0A4-4F2C-B9FC-305FDA38540F}"/>
    <cellStyle name="Normal 20 5 2 5" xfId="9506" xr:uid="{A4DD9E34-72B9-4C44-AAFE-6F12959FF5CE}"/>
    <cellStyle name="Normal 20 5 2 5 2" xfId="26266" xr:uid="{D1DEB92A-4AB2-48F4-9C46-62940F350787}"/>
    <cellStyle name="Normal 20 5 2 5 3" xfId="43025" xr:uid="{ADCE6766-8F95-4C81-8409-5AE2CDED6831}"/>
    <cellStyle name="Normal 20 5 2 6" xfId="17886" xr:uid="{A6634B89-A22A-4A68-B2B5-5745832853E3}"/>
    <cellStyle name="Normal 20 5 2 7" xfId="34645" xr:uid="{B982884E-A8BA-4554-9305-C00BB5AE8C34}"/>
    <cellStyle name="Normal 20 5 3" xfId="1545" xr:uid="{408C6B2E-1DEE-4E38-9FF1-6CEB324E42D9}"/>
    <cellStyle name="Normal 20 5 3 2" xfId="4934" xr:uid="{BF635C28-D911-4AFF-A130-B31B0FD7ED36}"/>
    <cellStyle name="Normal 20 5 3 2 2" xfId="13314" xr:uid="{8C745D43-D1CE-4A11-ACF8-6910F25302CF}"/>
    <cellStyle name="Normal 20 5 3 2 2 2" xfId="30074" xr:uid="{763CDD2D-3003-4C17-8442-75195B4A4E0F}"/>
    <cellStyle name="Normal 20 5 3 2 2 3" xfId="46833" xr:uid="{E6D3D00D-328C-448C-BF3F-12A19593B95D}"/>
    <cellStyle name="Normal 20 5 3 2 3" xfId="21694" xr:uid="{B99AA5D6-49BD-4922-915A-2F7A271A0069}"/>
    <cellStyle name="Normal 20 5 3 2 4" xfId="38453" xr:uid="{0DDE8A1A-C963-4A20-A23F-4F85A2681770}"/>
    <cellStyle name="Normal 20 5 3 3" xfId="6621" xr:uid="{CEA77FAF-94CA-4D23-8B9B-63B6D74A0771}"/>
    <cellStyle name="Normal 20 5 3 3 2" xfId="15001" xr:uid="{56A0B1B4-6915-4B09-8E96-CDDB74052734}"/>
    <cellStyle name="Normal 20 5 3 3 2 2" xfId="31761" xr:uid="{8876FCD5-C91B-4045-83DE-CC90D99E7BC5}"/>
    <cellStyle name="Normal 20 5 3 3 2 3" xfId="48520" xr:uid="{3543F1F2-BE22-4BB1-96AB-344EADE6F28B}"/>
    <cellStyle name="Normal 20 5 3 3 3" xfId="23381" xr:uid="{B4766860-CE9B-40C7-82F4-5368ACF21860}"/>
    <cellStyle name="Normal 20 5 3 3 4" xfId="40140" xr:uid="{2E148471-EF4F-4735-9635-E5A117C3ECCD}"/>
    <cellStyle name="Normal 20 5 3 4" xfId="3357" xr:uid="{1151A6E8-03EF-46BC-A914-DF1436158CEC}"/>
    <cellStyle name="Normal 20 5 3 4 2" xfId="11737" xr:uid="{B9DA864A-540C-48BA-9D2E-5CC05780282F}"/>
    <cellStyle name="Normal 20 5 3 4 2 2" xfId="28497" xr:uid="{A15F8DA3-7CC0-4E25-8C52-F1FDDBD6ACB9}"/>
    <cellStyle name="Normal 20 5 3 4 2 3" xfId="45256" xr:uid="{27F02E2D-17D0-4648-9E5F-28F92CBB33B7}"/>
    <cellStyle name="Normal 20 5 3 4 3" xfId="20117" xr:uid="{5D9644D9-9322-4BD9-8005-C67FCA35AA95}"/>
    <cellStyle name="Normal 20 5 3 4 4" xfId="36876" xr:uid="{15CB67DE-82B9-4F68-8617-30441416ED52}"/>
    <cellStyle name="Normal 20 5 3 5" xfId="9934" xr:uid="{0F92EE64-052E-4262-8F82-A5CD02CCD393}"/>
    <cellStyle name="Normal 20 5 3 5 2" xfId="26694" xr:uid="{D5BC0415-56E5-4D39-BA42-969A36A681FE}"/>
    <cellStyle name="Normal 20 5 3 5 3" xfId="43453" xr:uid="{8FC3EE39-E853-4ED1-BCD0-211C6009B851}"/>
    <cellStyle name="Normal 20 5 3 6" xfId="18314" xr:uid="{ABCD5388-2810-4D75-B794-979EBCE5D2C4}"/>
    <cellStyle name="Normal 20 5 3 7" xfId="35073" xr:uid="{467D349B-5D06-47F1-9E03-36EFFC676933}"/>
    <cellStyle name="Normal 20 5 4" xfId="1913" xr:uid="{F9196B2B-E1AF-4EB2-85EE-04B3D6BACC88}"/>
    <cellStyle name="Normal 20 5 4 2" xfId="5302" xr:uid="{5470189B-A4D5-452B-9A8D-1A2C6A0FE987}"/>
    <cellStyle name="Normal 20 5 4 2 2" xfId="13682" xr:uid="{A7B0483D-0AA4-4841-92FD-4C9D613E2C73}"/>
    <cellStyle name="Normal 20 5 4 2 2 2" xfId="30442" xr:uid="{02C5E529-9928-4799-B11E-CDAAF5B191AB}"/>
    <cellStyle name="Normal 20 5 4 2 2 3" xfId="47201" xr:uid="{CD8913A8-9861-4373-8D39-904B79634C8B}"/>
    <cellStyle name="Normal 20 5 4 2 3" xfId="22062" xr:uid="{F03A5D1D-F8BB-4BF0-9122-81D3E5C5AB27}"/>
    <cellStyle name="Normal 20 5 4 2 4" xfId="38821" xr:uid="{E18A91D4-EF4A-4F7C-821E-F6C7F7C40A59}"/>
    <cellStyle name="Normal 20 5 4 3" xfId="6989" xr:uid="{A036DC28-83CE-4E7C-A842-3E894457212C}"/>
    <cellStyle name="Normal 20 5 4 3 2" xfId="15369" xr:uid="{27A4E7FB-A744-448F-BEEA-0FA16BB26CBB}"/>
    <cellStyle name="Normal 20 5 4 3 2 2" xfId="32129" xr:uid="{1B778A87-BD45-4961-A980-57831C17161B}"/>
    <cellStyle name="Normal 20 5 4 3 2 3" xfId="48888" xr:uid="{3162B24B-AA91-43BE-A50F-D19CEB07F714}"/>
    <cellStyle name="Normal 20 5 4 3 3" xfId="23749" xr:uid="{D2AD99CA-08C7-4D98-9745-2551386F8795}"/>
    <cellStyle name="Normal 20 5 4 3 4" xfId="40508" xr:uid="{2EF523B5-53E5-4D61-9153-1640EA9B8881}"/>
    <cellStyle name="Normal 20 5 4 4" xfId="3612" xr:uid="{80FC5BF9-0909-46F2-829F-00146BD18FB8}"/>
    <cellStyle name="Normal 20 5 4 4 2" xfId="11992" xr:uid="{71754CCA-3578-4196-8957-4BFED55D4546}"/>
    <cellStyle name="Normal 20 5 4 4 2 2" xfId="28752" xr:uid="{61F9E269-C391-4D0B-8BB3-F7EF8BC0F43E}"/>
    <cellStyle name="Normal 20 5 4 4 2 3" xfId="45511" xr:uid="{2B61C065-2D88-4475-B23A-EBCA6B567A3D}"/>
    <cellStyle name="Normal 20 5 4 4 3" xfId="20372" xr:uid="{5E2565D1-2C1E-4D3A-B10C-875D000CDF42}"/>
    <cellStyle name="Normal 20 5 4 4 4" xfId="37131" xr:uid="{A8F22981-C60D-4D9C-8F09-FBBAAB2A898E}"/>
    <cellStyle name="Normal 20 5 4 5" xfId="10302" xr:uid="{DB914AF4-C455-42BB-8DCD-CD7FE05E3A4C}"/>
    <cellStyle name="Normal 20 5 4 5 2" xfId="27062" xr:uid="{51F4508D-F802-44A8-9FE5-9473DE5DBCB5}"/>
    <cellStyle name="Normal 20 5 4 5 3" xfId="43821" xr:uid="{D4C53240-4A65-4E48-A31A-EA96DD0F4984}"/>
    <cellStyle name="Normal 20 5 4 6" xfId="18682" xr:uid="{96A76AEC-CCAE-421C-9F11-911012D3B670}"/>
    <cellStyle name="Normal 20 5 4 7" xfId="35441" xr:uid="{634DE08C-F114-4532-A4CE-1D99065781FE}"/>
    <cellStyle name="Normal 20 5 5" xfId="4032" xr:uid="{89393714-D823-43D4-9498-EC99AE160C97}"/>
    <cellStyle name="Normal 20 5 5 2" xfId="12412" xr:uid="{5D417689-2D9D-47CA-A34F-33DEC392B617}"/>
    <cellStyle name="Normal 20 5 5 2 2" xfId="29172" xr:uid="{C2FF1FE1-65F9-40F8-91B8-9303590BB684}"/>
    <cellStyle name="Normal 20 5 5 2 3" xfId="45931" xr:uid="{185FAC99-25D8-4AB7-AB44-2637F1A8360F}"/>
    <cellStyle name="Normal 20 5 5 3" xfId="20792" xr:uid="{638B30CE-68C2-495E-8D8C-D3BF5EF5B0F0}"/>
    <cellStyle name="Normal 20 5 5 4" xfId="37551" xr:uid="{71B2C338-10B4-4B48-9741-A1CD90990D36}"/>
    <cellStyle name="Normal 20 5 6" xfId="5767" xr:uid="{03516E68-22C4-44F2-8C4B-6D2AEC130B1F}"/>
    <cellStyle name="Normal 20 5 6 2" xfId="14147" xr:uid="{8AEFAA7B-E426-4C22-98D5-B2836DFD27AF}"/>
    <cellStyle name="Normal 20 5 6 2 2" xfId="30907" xr:uid="{73582B58-C70B-43B7-838A-C28A999D22AC}"/>
    <cellStyle name="Normal 20 5 6 2 3" xfId="47666" xr:uid="{7FE0572E-F69C-4EBA-BA58-2687A9251C19}"/>
    <cellStyle name="Normal 20 5 6 3" xfId="22527" xr:uid="{3A1C3BA8-0654-4D34-B0C5-E1E7A43AEE87}"/>
    <cellStyle name="Normal 20 5 6 4" xfId="39286" xr:uid="{D4A37010-49F1-49DF-8D19-7FC8FC48649C}"/>
    <cellStyle name="Normal 20 5 7" xfId="7395" xr:uid="{6CED54F6-48FF-48F8-BD1F-5F40F13FB48B}"/>
    <cellStyle name="Normal 20 5 7 2" xfId="15775" xr:uid="{757C5D08-9C5C-4995-8A1C-2BD883A9A93E}"/>
    <cellStyle name="Normal 20 5 7 2 2" xfId="32535" xr:uid="{E689263B-3C29-45BD-B46B-1C616C2829D0}"/>
    <cellStyle name="Normal 20 5 7 2 3" xfId="49294" xr:uid="{441D9334-B567-4297-B37C-D4B3B784EAB6}"/>
    <cellStyle name="Normal 20 5 7 3" xfId="24155" xr:uid="{CE1AE847-6D93-4358-B28E-4A1C02299801}"/>
    <cellStyle name="Normal 20 5 7 4" xfId="40914" xr:uid="{F6B58065-1503-45A5-8F3A-E7D7111AEF30}"/>
    <cellStyle name="Normal 20 5 8" xfId="7801" xr:uid="{D6C2D927-5607-4FB1-81AA-4DD7636CDB2E}"/>
    <cellStyle name="Normal 20 5 8 2" xfId="16181" xr:uid="{DB6B9C45-0EE9-4765-95E7-CF3398D23E8A}"/>
    <cellStyle name="Normal 20 5 8 2 2" xfId="32941" xr:uid="{E6D4635A-557D-4B86-9EA7-63B52DE33D3B}"/>
    <cellStyle name="Normal 20 5 8 2 3" xfId="49700" xr:uid="{8784BE93-9923-4CAE-AB34-AC70E2DF868F}"/>
    <cellStyle name="Normal 20 5 8 3" xfId="24561" xr:uid="{3AF984D8-3FE1-4CFD-AF40-DA64561F534F}"/>
    <cellStyle name="Normal 20 5 8 4" xfId="41320" xr:uid="{0B72FC9D-B83C-4D74-826B-3BB2AEE05582}"/>
    <cellStyle name="Normal 20 5 9" xfId="8207" xr:uid="{D4FCD8CE-6055-4C8B-8B19-BAF412FF9DCA}"/>
    <cellStyle name="Normal 20 5 9 2" xfId="16587" xr:uid="{7D57394E-DFF5-4974-8253-5874CBE75F29}"/>
    <cellStyle name="Normal 20 5 9 2 2" xfId="33347" xr:uid="{8C255FB7-83F0-4CD0-8422-F03C98367BCE}"/>
    <cellStyle name="Normal 20 5 9 2 3" xfId="50106" xr:uid="{8C900A21-4FC8-4E97-8FFE-363A9AAA3F83}"/>
    <cellStyle name="Normal 20 5 9 3" xfId="24967" xr:uid="{FBDF45D4-2C69-4E5D-A8DF-606235C61C38}"/>
    <cellStyle name="Normal 20 5 9 4" xfId="41726" xr:uid="{6A5C247E-8E2A-4198-99D9-0303BDD1396A}"/>
    <cellStyle name="Normal 20 6" xfId="784" xr:uid="{50409814-4A81-416C-BF61-ED4A88897959}"/>
    <cellStyle name="Normal 20 6 2" xfId="4179" xr:uid="{41024BFE-5F86-4C00-AFBE-AEB3C35A14FA}"/>
    <cellStyle name="Normal 20 6 2 2" xfId="12559" xr:uid="{95D27B53-A1C9-4178-B4F2-F2EF704EE883}"/>
    <cellStyle name="Normal 20 6 2 2 2" xfId="29319" xr:uid="{E8DB193D-21BC-4962-BDC6-C09A3E3A70E7}"/>
    <cellStyle name="Normal 20 6 2 2 3" xfId="46078" xr:uid="{76DCD098-0B48-4B14-85D3-ADF7F2530193}"/>
    <cellStyle name="Normal 20 6 2 3" xfId="20939" xr:uid="{21782DFC-C3A6-4177-BECD-10D27243ED06}"/>
    <cellStyle name="Normal 20 6 2 4" xfId="37698" xr:uid="{E8DC05BC-59B4-4694-BAB5-CEF1622BFF0D}"/>
    <cellStyle name="Normal 20 6 3" xfId="5866" xr:uid="{17409DD4-3506-4571-A8E8-526077F193B9}"/>
    <cellStyle name="Normal 20 6 3 2" xfId="14246" xr:uid="{D704C3D3-493A-41FA-B8BE-1304BD91A7D1}"/>
    <cellStyle name="Normal 20 6 3 2 2" xfId="31006" xr:uid="{7F332FFD-9EA0-4E4C-A613-75D6C37F3DB2}"/>
    <cellStyle name="Normal 20 6 3 2 3" xfId="47765" xr:uid="{DB2398E0-5093-4342-870B-3C92D2595A5D}"/>
    <cellStyle name="Normal 20 6 3 3" xfId="22626" xr:uid="{452F8A25-75CA-4014-9FE1-15F50E6D0DFB}"/>
    <cellStyle name="Normal 20 6 3 4" xfId="39385" xr:uid="{160A8767-FFDC-457A-888F-ABBFDF47B2B4}"/>
    <cellStyle name="Normal 20 6 4" xfId="2602" xr:uid="{A9323AF8-85C5-48F0-A9D8-80814F92FD95}"/>
    <cellStyle name="Normal 20 6 4 2" xfId="10982" xr:uid="{C48A7A3C-F697-4205-A979-B1519D75B38A}"/>
    <cellStyle name="Normal 20 6 4 2 2" xfId="27742" xr:uid="{0C77B2FB-0212-4819-9F40-242DDC22672E}"/>
    <cellStyle name="Normal 20 6 4 2 3" xfId="44501" xr:uid="{7546414B-DED7-4B84-877D-BFB1EF11569A}"/>
    <cellStyle name="Normal 20 6 4 3" xfId="19362" xr:uid="{1939AF59-5869-48B9-AE10-5EC906E87B51}"/>
    <cellStyle name="Normal 20 6 4 4" xfId="36121" xr:uid="{2EDC9D31-4790-4899-844F-451EF26D336E}"/>
    <cellStyle name="Normal 20 6 5" xfId="9179" xr:uid="{E4760B7D-B4D1-442E-BD5A-16DC0B727758}"/>
    <cellStyle name="Normal 20 6 5 2" xfId="25939" xr:uid="{0A119A3C-6E08-4796-BB78-EF5F8E3FE6D6}"/>
    <cellStyle name="Normal 20 6 5 3" xfId="42698" xr:uid="{F5C8EBE0-CE70-414B-BB5C-CE682417CB04}"/>
    <cellStyle name="Normal 20 6 6" xfId="17559" xr:uid="{2F4ABB42-EC03-4A58-B566-7902B093952D}"/>
    <cellStyle name="Normal 20 6 7" xfId="34318" xr:uid="{10A4D28E-2591-400E-A7CD-FC4160523A2C}"/>
    <cellStyle name="Normal 20 7" xfId="1218" xr:uid="{801001E2-482E-43BC-92D1-118C598D396F}"/>
    <cellStyle name="Normal 20 7 2" xfId="4607" xr:uid="{9B97D29B-A9C7-4F30-B942-0114A5371439}"/>
    <cellStyle name="Normal 20 7 2 2" xfId="12987" xr:uid="{26BEEA54-112E-45B7-8DA0-7C28C6540D61}"/>
    <cellStyle name="Normal 20 7 2 2 2" xfId="29747" xr:uid="{2C0FE98A-5050-4F25-833D-50503142F940}"/>
    <cellStyle name="Normal 20 7 2 2 3" xfId="46506" xr:uid="{E86B62BC-0FDD-46B8-9F4C-4372B2A67491}"/>
    <cellStyle name="Normal 20 7 2 3" xfId="21367" xr:uid="{D93E1A86-119E-4172-8652-154E352A69B2}"/>
    <cellStyle name="Normal 20 7 2 4" xfId="38126" xr:uid="{006CE5CF-74E1-4A0D-866C-B7DF58B9176A}"/>
    <cellStyle name="Normal 20 7 3" xfId="6294" xr:uid="{3EC7C5D0-5697-457D-BDF0-7E2FDB2135C9}"/>
    <cellStyle name="Normal 20 7 3 2" xfId="14674" xr:uid="{40603047-C9FE-41A3-BF05-B932086ED19E}"/>
    <cellStyle name="Normal 20 7 3 2 2" xfId="31434" xr:uid="{AC6D88DB-28E1-45B4-86C2-419F26CBA1D8}"/>
    <cellStyle name="Normal 20 7 3 2 3" xfId="48193" xr:uid="{C78DD24A-9E32-4AAA-9F71-31790B2124CD}"/>
    <cellStyle name="Normal 20 7 3 3" xfId="23054" xr:uid="{79D5A8D7-57CC-446F-91AD-FFAD9A462970}"/>
    <cellStyle name="Normal 20 7 3 4" xfId="39813" xr:uid="{E9D6FD26-F591-41A9-A5B4-0616036D55D9}"/>
    <cellStyle name="Normal 20 7 4" xfId="3030" xr:uid="{3EBE7C49-2334-4FE2-8300-FF9077B962BC}"/>
    <cellStyle name="Normal 20 7 4 2" xfId="11410" xr:uid="{997E56C7-69EE-42C1-92E4-728610623A2C}"/>
    <cellStyle name="Normal 20 7 4 2 2" xfId="28170" xr:uid="{F51541E1-E09B-429B-9F7F-528C842E4616}"/>
    <cellStyle name="Normal 20 7 4 2 3" xfId="44929" xr:uid="{F1611BAD-4D77-4104-A61D-13D17118BC64}"/>
    <cellStyle name="Normal 20 7 4 3" xfId="19790" xr:uid="{5A9868D1-1F8C-44E1-A84B-A86ABA2A4968}"/>
    <cellStyle name="Normal 20 7 4 4" xfId="36549" xr:uid="{749CCE01-3BFE-44FC-BFED-01C80793495C}"/>
    <cellStyle name="Normal 20 7 5" xfId="9607" xr:uid="{2E5FAC50-4AB7-4092-8154-CE9CEC341CC0}"/>
    <cellStyle name="Normal 20 7 5 2" xfId="26367" xr:uid="{926E428E-70E0-4A5C-A5DD-61C0C5D26ACC}"/>
    <cellStyle name="Normal 20 7 5 3" xfId="43126" xr:uid="{34EBC9DF-D7AD-4219-82E1-8FB9F9BB54C3}"/>
    <cellStyle name="Normal 20 7 6" xfId="17987" xr:uid="{F0F1BBC1-205A-4048-B87F-84A661F44012}"/>
    <cellStyle name="Normal 20 7 7" xfId="34746" xr:uid="{7D3D0D4E-10FC-40C2-BEAB-AA16E69B1E83}"/>
    <cellStyle name="Normal 20 8" xfId="1642" xr:uid="{7D40B42A-26F9-4634-9254-ED1DFDD074C6}"/>
    <cellStyle name="Normal 20 8 2" xfId="5031" xr:uid="{CCE2CCA4-54E9-4035-80BE-C3A7175A5D31}"/>
    <cellStyle name="Normal 20 8 2 2" xfId="13411" xr:uid="{FC694C52-A095-4683-BB2C-17355E7A7B21}"/>
    <cellStyle name="Normal 20 8 2 2 2" xfId="30171" xr:uid="{56C32BDA-D727-4723-9946-42688C00035B}"/>
    <cellStyle name="Normal 20 8 2 2 3" xfId="46930" xr:uid="{5B6E6016-1E90-4D64-AB16-7C3830468025}"/>
    <cellStyle name="Normal 20 8 2 3" xfId="21791" xr:uid="{62DC5241-6381-48B4-8B1F-6EFEAED03B33}"/>
    <cellStyle name="Normal 20 8 2 4" xfId="38550" xr:uid="{EC785EEE-2DFD-49EF-BD92-82E55F28C6D5}"/>
    <cellStyle name="Normal 20 8 3" xfId="6718" xr:uid="{828E491B-EE82-44DA-80A7-957F6BAC4505}"/>
    <cellStyle name="Normal 20 8 3 2" xfId="15098" xr:uid="{5B1F542F-4D7B-4F31-B77E-291AE8FCAF62}"/>
    <cellStyle name="Normal 20 8 3 2 2" xfId="31858" xr:uid="{EA2EEA16-06D5-4111-9D0B-98824FB190CA}"/>
    <cellStyle name="Normal 20 8 3 2 3" xfId="48617" xr:uid="{392A08D8-2EFC-4030-B36B-6B2A52EA2EC7}"/>
    <cellStyle name="Normal 20 8 3 3" xfId="23478" xr:uid="{6107B154-7041-40A4-9C29-FEE203D219AE}"/>
    <cellStyle name="Normal 20 8 3 4" xfId="40237" xr:uid="{4E82A204-F7DA-4FE6-9655-913DAD3D02DA}"/>
    <cellStyle name="Normal 20 8 4" xfId="2168" xr:uid="{249F0435-7C70-4865-8DFA-505758EFC511}"/>
    <cellStyle name="Normal 20 8 4 2" xfId="10556" xr:uid="{566DB22D-9152-4151-BB93-6A5EAC69C96C}"/>
    <cellStyle name="Normal 20 8 4 2 2" xfId="27316" xr:uid="{2E55E117-01DF-4D43-86FF-5F6F02D6A99B}"/>
    <cellStyle name="Normal 20 8 4 2 3" xfId="44075" xr:uid="{3BB1D0A6-E71B-485B-95C8-286D4EA97B36}"/>
    <cellStyle name="Normal 20 8 4 3" xfId="18936" xr:uid="{F3959C88-0F30-4026-A3A0-67E23D3CF9F0}"/>
    <cellStyle name="Normal 20 8 4 4" xfId="35695" xr:uid="{D9E6608A-DB8D-43A8-80B8-B7C9BF5DD7C1}"/>
    <cellStyle name="Normal 20 8 5" xfId="10031" xr:uid="{0896B392-FE0B-4F55-9AB9-62D184C72F12}"/>
    <cellStyle name="Normal 20 8 5 2" xfId="26791" xr:uid="{2922344F-D9B3-4717-96D9-9EDB958B222A}"/>
    <cellStyle name="Normal 20 8 5 3" xfId="43550" xr:uid="{6D6B145C-F190-4F80-B936-646F5D4A3656}"/>
    <cellStyle name="Normal 20 8 6" xfId="18411" xr:uid="{38142695-C7FF-40C2-9056-DC59C801BF60}"/>
    <cellStyle name="Normal 20 8 7" xfId="35170" xr:uid="{73488619-BC68-4DAB-923D-FECBA1B0D544}"/>
    <cellStyle name="Normal 20 9" xfId="3747" xr:uid="{21254028-EDFB-4EDB-BA07-866A1824727E}"/>
    <cellStyle name="Normal 20 9 2" xfId="12127" xr:uid="{4405945D-5D70-4C76-9C3F-CFA38EE1011B}"/>
    <cellStyle name="Normal 20 9 2 2" xfId="28887" xr:uid="{F7C7259F-5392-4E0B-8ED2-C6F3DF7F7B87}"/>
    <cellStyle name="Normal 20 9 2 3" xfId="45646" xr:uid="{6F1E96D8-6F85-475D-9032-0EF6F0C7FA12}"/>
    <cellStyle name="Normal 20 9 3" xfId="20507" xr:uid="{CC0B3AAF-6C98-4CF6-B8EC-26E6E8DC759E}"/>
    <cellStyle name="Normal 20 9 4" xfId="37266" xr:uid="{94742FD0-7BFB-45FF-BC5E-8483B560887E}"/>
    <cellStyle name="Normal 21" xfId="232" xr:uid="{1B4AEC4A-119E-47E0-94D0-D29D66FCA1BD}"/>
    <cellStyle name="Normal 21 10" xfId="5441" xr:uid="{BD90C5EC-DCE5-486F-B29D-7D7C486CAD19}"/>
    <cellStyle name="Normal 21 10 2" xfId="13821" xr:uid="{53C726BC-4F8A-49E1-BD9F-B45DE5A7EA72}"/>
    <cellStyle name="Normal 21 10 2 2" xfId="30581" xr:uid="{EEB15860-743A-45A6-9286-13FAF8D1F92D}"/>
    <cellStyle name="Normal 21 10 2 3" xfId="47340" xr:uid="{8DF5D012-F0DE-4E5A-AF52-321931DA54E8}"/>
    <cellStyle name="Normal 21 10 3" xfId="22201" xr:uid="{EEED620F-0C9E-4023-828F-E9C8047BDDEF}"/>
    <cellStyle name="Normal 21 10 4" xfId="38960" xr:uid="{681819D6-4598-43BF-8C6D-238DA440D70D}"/>
    <cellStyle name="Normal 21 11" xfId="7107" xr:uid="{B582AB83-C124-4AF7-93D6-ABF1FECBCE59}"/>
    <cellStyle name="Normal 21 11 2" xfId="15487" xr:uid="{32DC1DE0-6D9A-4F74-9DE4-074B17AD8E9F}"/>
    <cellStyle name="Normal 21 11 2 2" xfId="32247" xr:uid="{87852A75-68BB-46AF-AF10-A43729FFC694}"/>
    <cellStyle name="Normal 21 11 2 3" xfId="49006" xr:uid="{D778DEB9-7F89-4EA0-A2D0-D98650641BA6}"/>
    <cellStyle name="Normal 21 11 3" xfId="23867" xr:uid="{6DE89A97-2E3E-4F1C-A5BD-29CD678569A5}"/>
    <cellStyle name="Normal 21 11 4" xfId="40626" xr:uid="{84AEC021-DE09-4ED6-B1CA-F43A82BD51E1}"/>
    <cellStyle name="Normal 21 12" xfId="7513" xr:uid="{22CD9399-1054-4928-B660-7D96A8222983}"/>
    <cellStyle name="Normal 21 12 2" xfId="15893" xr:uid="{F0283D35-4678-459D-A3FC-474C7B38F438}"/>
    <cellStyle name="Normal 21 12 2 2" xfId="32653" xr:uid="{4B65C09D-4ED8-471B-8920-5978C0D940C2}"/>
    <cellStyle name="Normal 21 12 2 3" xfId="49412" xr:uid="{D38A3CB1-E57E-4AAD-A0D4-2445D9C223A6}"/>
    <cellStyle name="Normal 21 12 3" xfId="24273" xr:uid="{905A5840-5039-4C93-8000-A6B5DB89EA01}"/>
    <cellStyle name="Normal 21 12 4" xfId="41032" xr:uid="{A33EA708-E6C6-4164-9539-AA3CE1DCC762}"/>
    <cellStyle name="Normal 21 13" xfId="7919" xr:uid="{611EF2C8-4075-4DBF-B1B1-6B9CCCA0688F}"/>
    <cellStyle name="Normal 21 13 2" xfId="16299" xr:uid="{166D896E-6300-4605-8039-C114CAFC73CB}"/>
    <cellStyle name="Normal 21 13 2 2" xfId="33059" xr:uid="{9B6B65B4-1C5F-4E97-977B-738758AE23B2}"/>
    <cellStyle name="Normal 21 13 2 3" xfId="49818" xr:uid="{90EBEAC5-C260-4603-9F45-9F80D9CE3A21}"/>
    <cellStyle name="Normal 21 13 3" xfId="24679" xr:uid="{81CA0081-24A8-4A45-BD28-30988C6B987B}"/>
    <cellStyle name="Normal 21 13 4" xfId="41438" xr:uid="{2AC88A61-8F09-4281-ACD2-5CCD63B39EC4}"/>
    <cellStyle name="Normal 21 14" xfId="8325" xr:uid="{50FFF714-1F61-41DE-A205-0D8E32446233}"/>
    <cellStyle name="Normal 21 14 2" xfId="16705" xr:uid="{201FE174-3C27-4389-8F00-F613B30886B3}"/>
    <cellStyle name="Normal 21 14 2 2" xfId="33465" xr:uid="{2786EDB6-5250-4F7E-88B8-EBFC577DAF4F}"/>
    <cellStyle name="Normal 21 14 2 3" xfId="50224" xr:uid="{754CE028-8058-49C3-BEBD-2C7851602C3D}"/>
    <cellStyle name="Normal 21 14 3" xfId="25085" xr:uid="{269937B9-729D-4435-BA38-580DC53D3689}"/>
    <cellStyle name="Normal 21 14 4" xfId="41844" xr:uid="{88D1D66A-2779-4C27-9BA1-FA3A134843DE}"/>
    <cellStyle name="Normal 21 15" xfId="2094" xr:uid="{C8256D55-AFA3-4236-AF51-2682E128DFBF}"/>
    <cellStyle name="Normal 21 15 2" xfId="10482" xr:uid="{0C671E76-FDA6-47C6-B272-F22DC43393FC}"/>
    <cellStyle name="Normal 21 15 2 2" xfId="27242" xr:uid="{F74B3015-4C16-4B6F-B332-3C0B58087F8E}"/>
    <cellStyle name="Normal 21 15 2 3" xfId="44001" xr:uid="{F3485992-AADC-4009-9683-33CFC1178A90}"/>
    <cellStyle name="Normal 21 15 3" xfId="18862" xr:uid="{39B7ED9A-84FA-4289-944D-17C88E704788}"/>
    <cellStyle name="Normal 21 15 4" xfId="35621" xr:uid="{FFBFDD73-4EB1-4908-B8DD-52D8FA1A6464}"/>
    <cellStyle name="Normal 21 16" xfId="8754" xr:uid="{73DAB469-53A0-4A47-96F9-321941E25450}"/>
    <cellStyle name="Normal 21 16 2" xfId="25514" xr:uid="{82EA38F1-553A-4332-BA59-F1365B441C22}"/>
    <cellStyle name="Normal 21 16 3" xfId="42273" xr:uid="{65635F6E-1F95-4211-B12C-8A90D112A9F3}"/>
    <cellStyle name="Normal 21 17" xfId="17134" xr:uid="{2E3B92B4-32B6-472B-B4BB-507F95F70257}"/>
    <cellStyle name="Normal 21 18" xfId="33893" xr:uid="{13666AF5-2598-49FE-9ED6-8850CCC49AAB}"/>
    <cellStyle name="Normal 21 19" xfId="50942" xr:uid="{B524C0C5-9CBA-4306-8283-2113C523DDAC}"/>
    <cellStyle name="Normal 21 2" xfId="309" xr:uid="{AB4AFFF6-97EA-438E-B234-4E9D7991D545}"/>
    <cellStyle name="Normal 21 2 10" xfId="7587" xr:uid="{9C2B9F16-6F20-4D9E-BC00-4FC3034B2AF4}"/>
    <cellStyle name="Normal 21 2 10 2" xfId="15967" xr:uid="{98779D7C-23B2-4642-9F80-5C6BEBF79B19}"/>
    <cellStyle name="Normal 21 2 10 2 2" xfId="32727" xr:uid="{AFF0EF91-5698-4A7A-8E27-7299F60EC187}"/>
    <cellStyle name="Normal 21 2 10 2 3" xfId="49486" xr:uid="{11F4AA95-6908-4339-8794-09132D55BE7E}"/>
    <cellStyle name="Normal 21 2 10 3" xfId="24347" xr:uid="{12E07B88-892D-4795-9229-2A309DEA900A}"/>
    <cellStyle name="Normal 21 2 10 4" xfId="41106" xr:uid="{B6C05562-6E15-4C69-9009-9AD62191C743}"/>
    <cellStyle name="Normal 21 2 11" xfId="7993" xr:uid="{FEECF3A9-6C38-4C09-8737-AD87063FB623}"/>
    <cellStyle name="Normal 21 2 11 2" xfId="16373" xr:uid="{D6084F66-4134-47E8-ACE1-D0FD6649E403}"/>
    <cellStyle name="Normal 21 2 11 2 2" xfId="33133" xr:uid="{0EBA39D2-5587-45FE-8892-7D43858634B5}"/>
    <cellStyle name="Normal 21 2 11 2 3" xfId="49892" xr:uid="{BA6C0539-3860-4D24-8561-C26B9DEA6AC5}"/>
    <cellStyle name="Normal 21 2 11 3" xfId="24753" xr:uid="{052A73CC-1B91-473E-99AC-06D8561FE5FE}"/>
    <cellStyle name="Normal 21 2 11 4" xfId="41512" xr:uid="{0A7FB821-24D9-48B4-B6BD-998DFC5C4819}"/>
    <cellStyle name="Normal 21 2 12" xfId="8399" xr:uid="{020E1D9F-D612-49C5-84AF-E14007B014F8}"/>
    <cellStyle name="Normal 21 2 12 2" xfId="16779" xr:uid="{F037AF33-5270-4DF6-9F66-88FDE7C12099}"/>
    <cellStyle name="Normal 21 2 12 2 2" xfId="33539" xr:uid="{C11ACAF3-1AB3-40E2-A63B-705187796454}"/>
    <cellStyle name="Normal 21 2 12 2 3" xfId="50298" xr:uid="{575D3917-8404-42FA-B0B4-7010BD2CEEFD}"/>
    <cellStyle name="Normal 21 2 12 3" xfId="25159" xr:uid="{AD5234BB-7E00-4018-8275-CE901D3BF494}"/>
    <cellStyle name="Normal 21 2 12 4" xfId="41918" xr:uid="{97B69339-0BAA-4043-8E06-20D174E46623}"/>
    <cellStyle name="Normal 21 2 13" xfId="2097" xr:uid="{0CF246A4-F293-4BA0-AD73-7CAAE4080F62}"/>
    <cellStyle name="Normal 21 2 13 2" xfId="10485" xr:uid="{591985B1-F8E3-4E51-B27B-239E218A2853}"/>
    <cellStyle name="Normal 21 2 13 2 2" xfId="27245" xr:uid="{FE4EFF3A-93BB-480A-9B90-98EE1792DD0D}"/>
    <cellStyle name="Normal 21 2 13 2 3" xfId="44004" xr:uid="{38FC6C3F-7AB4-4C96-86FA-B706254A4A71}"/>
    <cellStyle name="Normal 21 2 13 3" xfId="18865" xr:uid="{25E3C714-1673-45D9-A4C6-67C0FFB98375}"/>
    <cellStyle name="Normal 21 2 13 4" xfId="35624" xr:uid="{A1E814DD-B23D-4FF8-A792-01B9F5589674}"/>
    <cellStyle name="Normal 21 2 14" xfId="8782" xr:uid="{802E62A4-52AD-41DF-9438-1035B84B08AC}"/>
    <cellStyle name="Normal 21 2 14 2" xfId="25542" xr:uid="{997A7C19-ACF5-4DC7-8476-D03FB32FFE7B}"/>
    <cellStyle name="Normal 21 2 14 3" xfId="42301" xr:uid="{3DA58757-D2FF-408E-9BDD-5DD3934BF83E}"/>
    <cellStyle name="Normal 21 2 15" xfId="17162" xr:uid="{74A010F5-DF73-4286-9114-512B9F9264C3}"/>
    <cellStyle name="Normal 21 2 16" xfId="33921" xr:uid="{A07A811D-8B65-4C03-A04C-770625773B3F}"/>
    <cellStyle name="Normal 21 2 2" xfId="392" xr:uid="{FD616018-53DD-440D-A1EA-8AC88A8EE430}"/>
    <cellStyle name="Normal 21 2 2 10" xfId="8559" xr:uid="{66B838EB-1DA5-41A2-BF95-39308168EFDD}"/>
    <cellStyle name="Normal 21 2 2 10 2" xfId="16939" xr:uid="{47DFE21A-269B-4E5F-AB8B-D33F02DDE659}"/>
    <cellStyle name="Normal 21 2 2 10 2 2" xfId="33699" xr:uid="{3FA95B90-F497-469D-B983-847EE80BCF34}"/>
    <cellStyle name="Normal 21 2 2 10 2 3" xfId="50458" xr:uid="{B53B9601-E7BA-48EC-A755-155F2493E551}"/>
    <cellStyle name="Normal 21 2 2 10 3" xfId="25319" xr:uid="{472E8F97-2C08-4EB9-ACA5-25548F246569}"/>
    <cellStyle name="Normal 21 2 2 10 4" xfId="42078" xr:uid="{93997F77-EE1B-4166-8E87-9039D3504129}"/>
    <cellStyle name="Normal 21 2 2 11" xfId="2275" xr:uid="{01AA31FF-8C35-4657-B656-77C8E07EE060}"/>
    <cellStyle name="Normal 21 2 2 11 2" xfId="10659" xr:uid="{12B59361-3852-4854-BB94-6FDBD92163D4}"/>
    <cellStyle name="Normal 21 2 2 11 2 2" xfId="27419" xr:uid="{7BFCEA73-F1B7-44BE-A7F3-54CE0F6ABACE}"/>
    <cellStyle name="Normal 21 2 2 11 2 3" xfId="44178" xr:uid="{6D249A66-AF95-414D-878B-0FD758BEB497}"/>
    <cellStyle name="Normal 21 2 2 11 3" xfId="19039" xr:uid="{B3E17255-32A1-45F1-99EB-7A44EF25ADCE}"/>
    <cellStyle name="Normal 21 2 2 11 4" xfId="35798" xr:uid="{72206737-CB12-40B1-B395-B11059B1DDDB}"/>
    <cellStyle name="Normal 21 2 2 12" xfId="8856" xr:uid="{89E8AEFE-B7CB-41B5-BD01-1A8217F63944}"/>
    <cellStyle name="Normal 21 2 2 12 2" xfId="25616" xr:uid="{3C3B6946-C172-4140-ABCE-7DC0A68787D1}"/>
    <cellStyle name="Normal 21 2 2 12 3" xfId="42375" xr:uid="{9F253A19-F31B-4F92-9C82-11D4C06A33A5}"/>
    <cellStyle name="Normal 21 2 2 13" xfId="17236" xr:uid="{F3E393EE-DBC3-46D1-86C7-DDD62C6FBED1}"/>
    <cellStyle name="Normal 21 2 2 14" xfId="33995" xr:uid="{22CBA28D-C489-4D96-A183-52B5E525DC9C}"/>
    <cellStyle name="Normal 21 2 2 2" xfId="887" xr:uid="{180F2143-FD89-4BB9-9DEE-43995B662DB5}"/>
    <cellStyle name="Normal 21 2 2 2 2" xfId="4282" xr:uid="{37679296-A16D-42D9-A16D-8FABDE00681A}"/>
    <cellStyle name="Normal 21 2 2 2 2 2" xfId="12662" xr:uid="{872B1824-BE3E-4B0B-87DD-00E07029DEAD}"/>
    <cellStyle name="Normal 21 2 2 2 2 2 2" xfId="29422" xr:uid="{C067E84B-27CD-4251-9098-1E25B4B52CFD}"/>
    <cellStyle name="Normal 21 2 2 2 2 2 3" xfId="46181" xr:uid="{0EC9EB01-B0D5-425F-8762-6EF0E3315F98}"/>
    <cellStyle name="Normal 21 2 2 2 2 3" xfId="21042" xr:uid="{11569656-6EF9-4CBD-B17D-81626CDCAD07}"/>
    <cellStyle name="Normal 21 2 2 2 2 4" xfId="37801" xr:uid="{6666C980-8547-4EF9-B5CD-C2005206B24B}"/>
    <cellStyle name="Normal 21 2 2 2 3" xfId="5969" xr:uid="{F86A8443-C19A-4D8C-9402-CCC38C37D325}"/>
    <cellStyle name="Normal 21 2 2 2 3 2" xfId="14349" xr:uid="{B1487C56-8631-41CD-A219-D9A2036E4F2D}"/>
    <cellStyle name="Normal 21 2 2 2 3 2 2" xfId="31109" xr:uid="{F07D7777-F935-47CC-A5EB-AFD996D1CF51}"/>
    <cellStyle name="Normal 21 2 2 2 3 2 3" xfId="47868" xr:uid="{63A5F819-C7ED-4BFE-9664-8037A1774478}"/>
    <cellStyle name="Normal 21 2 2 2 3 3" xfId="22729" xr:uid="{E1A2C57C-2970-4E2C-A0BA-E36CD4DEFC1F}"/>
    <cellStyle name="Normal 21 2 2 2 3 4" xfId="39488" xr:uid="{C577C626-3070-4A77-8F7D-64F0DBDEDEE8}"/>
    <cellStyle name="Normal 21 2 2 2 4" xfId="2705" xr:uid="{1CA3308D-35A4-4D47-8230-7770966A0A0C}"/>
    <cellStyle name="Normal 21 2 2 2 4 2" xfId="11085" xr:uid="{31E82B74-CBD5-4A77-AE15-6D2A678525A7}"/>
    <cellStyle name="Normal 21 2 2 2 4 2 2" xfId="27845" xr:uid="{E4FED03A-BC70-4B08-BF87-B8016A87CCE4}"/>
    <cellStyle name="Normal 21 2 2 2 4 2 3" xfId="44604" xr:uid="{F9692986-CD42-4B82-951F-DC75F2DA8243}"/>
    <cellStyle name="Normal 21 2 2 2 4 3" xfId="19465" xr:uid="{596B3E75-2225-44F9-A5B4-A14F89508AE1}"/>
    <cellStyle name="Normal 21 2 2 2 4 4" xfId="36224" xr:uid="{5A691FCF-1B39-43CF-9C65-8010E2AD3DAB}"/>
    <cellStyle name="Normal 21 2 2 2 5" xfId="9282" xr:uid="{EA839810-3F7F-4A06-BB8E-D98BD035EB82}"/>
    <cellStyle name="Normal 21 2 2 2 5 2" xfId="26042" xr:uid="{ADD6DFCD-DEBD-43D4-A615-22CADF1F0C71}"/>
    <cellStyle name="Normal 21 2 2 2 5 3" xfId="42801" xr:uid="{BDA1379D-193F-4440-B45D-14122326F31B}"/>
    <cellStyle name="Normal 21 2 2 2 6" xfId="17662" xr:uid="{4679DE4A-AD57-4037-A6D3-9D4DD6FC0C86}"/>
    <cellStyle name="Normal 21 2 2 2 7" xfId="34421" xr:uid="{449B1F07-3D8A-4A53-9227-8E80D9914BE9}"/>
    <cellStyle name="Normal 21 2 2 3" xfId="1321" xr:uid="{192FDB68-482E-46F1-88EF-AA2F54A7FE3E}"/>
    <cellStyle name="Normal 21 2 2 3 2" xfId="4710" xr:uid="{609EEE1A-CC95-4E34-AAEE-B0B41F25B0E2}"/>
    <cellStyle name="Normal 21 2 2 3 2 2" xfId="13090" xr:uid="{FB878AEF-FB8E-4836-83DD-1297FEC351A5}"/>
    <cellStyle name="Normal 21 2 2 3 2 2 2" xfId="29850" xr:uid="{FE283F66-9CB6-4208-94F8-A2AC2A84F46F}"/>
    <cellStyle name="Normal 21 2 2 3 2 2 3" xfId="46609" xr:uid="{0B9D7DA7-C0FF-4EBA-84EA-00384F1575CC}"/>
    <cellStyle name="Normal 21 2 2 3 2 3" xfId="21470" xr:uid="{46FBD8A9-FDF4-4908-88A4-69A111209062}"/>
    <cellStyle name="Normal 21 2 2 3 2 4" xfId="38229" xr:uid="{44B2987A-9CBD-45BC-B52C-0E04CF0FBE91}"/>
    <cellStyle name="Normal 21 2 2 3 3" xfId="6397" xr:uid="{77C0895A-A3FD-445C-909B-798B27F81A28}"/>
    <cellStyle name="Normal 21 2 2 3 3 2" xfId="14777" xr:uid="{65C476C6-CC15-4688-AF6C-7584994003FE}"/>
    <cellStyle name="Normal 21 2 2 3 3 2 2" xfId="31537" xr:uid="{29AF440F-6345-4CD0-8757-C01DA648907B}"/>
    <cellStyle name="Normal 21 2 2 3 3 2 3" xfId="48296" xr:uid="{CF99C77C-38EA-4E58-8A08-36BEE50874CB}"/>
    <cellStyle name="Normal 21 2 2 3 3 3" xfId="23157" xr:uid="{6A14AAFE-40A9-4F56-859D-7F9009285AB1}"/>
    <cellStyle name="Normal 21 2 2 3 3 4" xfId="39916" xr:uid="{23373020-5038-4A6F-AFED-0B586EE2A62F}"/>
    <cellStyle name="Normal 21 2 2 3 4" xfId="3133" xr:uid="{20D65549-6D9F-4996-B410-8E605BA30DFA}"/>
    <cellStyle name="Normal 21 2 2 3 4 2" xfId="11513" xr:uid="{DC7FBF8A-8218-48A4-9374-AF5C9E8570B4}"/>
    <cellStyle name="Normal 21 2 2 3 4 2 2" xfId="28273" xr:uid="{5B53DCEE-9742-4D5D-9682-64EBCC3DEA57}"/>
    <cellStyle name="Normal 21 2 2 3 4 2 3" xfId="45032" xr:uid="{7F5E59E6-A195-46D4-98C6-1821CA45B0D1}"/>
    <cellStyle name="Normal 21 2 2 3 4 3" xfId="19893" xr:uid="{A37E4A3F-4D32-495F-BF14-4AD0193BF328}"/>
    <cellStyle name="Normal 21 2 2 3 4 4" xfId="36652" xr:uid="{4C4BAF0B-BB95-4283-97F2-5892B473687A}"/>
    <cellStyle name="Normal 21 2 2 3 5" xfId="9710" xr:uid="{C61870E1-B36F-4C63-84A1-649EF0EE2AC3}"/>
    <cellStyle name="Normal 21 2 2 3 5 2" xfId="26470" xr:uid="{A4E089D9-BD9E-4C83-8F1F-A1B1408CD9C7}"/>
    <cellStyle name="Normal 21 2 2 3 5 3" xfId="43229" xr:uid="{E9520ABB-92F5-4699-9BE8-DDD7DA76D4D9}"/>
    <cellStyle name="Normal 21 2 2 3 6" xfId="18090" xr:uid="{0DFF8C92-6ACD-4AD6-BD55-F07F39FFC437}"/>
    <cellStyle name="Normal 21 2 2 3 7" xfId="34849" xr:uid="{B1FF84E8-B207-4643-A1A7-8FCD3980FA12}"/>
    <cellStyle name="Normal 21 2 2 4" xfId="1859" xr:uid="{0AF33843-16F6-4BC4-966F-B0391F62EEC6}"/>
    <cellStyle name="Normal 21 2 2 4 2" xfId="5248" xr:uid="{E53488D7-28E4-4DAC-A246-C9EE9E99A634}"/>
    <cellStyle name="Normal 21 2 2 4 2 2" xfId="13628" xr:uid="{8BF319C1-CDC1-4A30-A30D-C8E28784E516}"/>
    <cellStyle name="Normal 21 2 2 4 2 2 2" xfId="30388" xr:uid="{81515300-63FA-4B56-A4F6-B867625BEB58}"/>
    <cellStyle name="Normal 21 2 2 4 2 2 3" xfId="47147" xr:uid="{F4B1A965-ECBE-45A1-AF3E-879D7292996C}"/>
    <cellStyle name="Normal 21 2 2 4 2 3" xfId="22008" xr:uid="{3EFE060B-BC36-49ED-AE2A-D9ADF2789B47}"/>
    <cellStyle name="Normal 21 2 2 4 2 4" xfId="38767" xr:uid="{FA2D4837-8C41-44D8-95F7-FAA04D824E42}"/>
    <cellStyle name="Normal 21 2 2 4 3" xfId="6935" xr:uid="{975E91C8-6E0F-402E-97FD-63D95624557C}"/>
    <cellStyle name="Normal 21 2 2 4 3 2" xfId="15315" xr:uid="{0FB47CAF-4A2F-4729-90AF-66A88712590E}"/>
    <cellStyle name="Normal 21 2 2 4 3 2 2" xfId="32075" xr:uid="{005945B6-DD59-406E-B2F7-6FF6D80A0ABB}"/>
    <cellStyle name="Normal 21 2 2 4 3 2 3" xfId="48834" xr:uid="{92A6E477-87DD-48FC-834A-0E05B7763C5E}"/>
    <cellStyle name="Normal 21 2 2 4 3 3" xfId="23695" xr:uid="{F68DA0DF-D624-474D-86CE-89129AF16026}"/>
    <cellStyle name="Normal 21 2 2 4 3 4" xfId="40454" xr:uid="{CAD0465A-A882-46DF-91FD-8EFAAFAEA93B}"/>
    <cellStyle name="Normal 21 2 2 4 4" xfId="3559" xr:uid="{01C22D61-25BE-4E1C-BF62-96667FDF255D}"/>
    <cellStyle name="Normal 21 2 2 4 4 2" xfId="11939" xr:uid="{85AD6D7D-0265-4DCB-84BA-B84465F020DF}"/>
    <cellStyle name="Normal 21 2 2 4 4 2 2" xfId="28699" xr:uid="{5B465704-BB63-424D-B665-57DE76A74D76}"/>
    <cellStyle name="Normal 21 2 2 4 4 2 3" xfId="45458" xr:uid="{ABA6C46B-7C47-47E5-B6ED-EE5AED20DF1B}"/>
    <cellStyle name="Normal 21 2 2 4 4 3" xfId="20319" xr:uid="{682AFABA-C0DD-4A9B-A080-8F565A54D1B8}"/>
    <cellStyle name="Normal 21 2 2 4 4 4" xfId="37078" xr:uid="{FDDFE8AF-CCC7-4020-A07B-E54BC4DDFB78}"/>
    <cellStyle name="Normal 21 2 2 4 5" xfId="10248" xr:uid="{F36F1CF8-4479-46ED-A82E-F1BAE9041488}"/>
    <cellStyle name="Normal 21 2 2 4 5 2" xfId="27008" xr:uid="{07B64DED-2B90-4459-9A28-1ED40D7AB679}"/>
    <cellStyle name="Normal 21 2 2 4 5 3" xfId="43767" xr:uid="{3C912A3B-2282-4D47-A83D-AD5D760DE0E0}"/>
    <cellStyle name="Normal 21 2 2 4 6" xfId="18628" xr:uid="{15AB62CA-22BA-4BD6-BF15-B0926D59D84E}"/>
    <cellStyle name="Normal 21 2 2 4 7" xfId="35387" xr:uid="{1146F684-8026-48AD-A802-993DD11DDA75}"/>
    <cellStyle name="Normal 21 2 2 5" xfId="3978" xr:uid="{5FA91533-8C51-4E9C-A8C1-6E7FF264B5A4}"/>
    <cellStyle name="Normal 21 2 2 5 2" xfId="12358" xr:uid="{C3DE1DB5-3FAB-466D-9F6C-C183B54C2E89}"/>
    <cellStyle name="Normal 21 2 2 5 2 2" xfId="29118" xr:uid="{4E5CD4DE-0D81-4C3C-B595-1EF1D529F2A5}"/>
    <cellStyle name="Normal 21 2 2 5 2 3" xfId="45877" xr:uid="{C15657B8-FD0F-4FD4-BF6A-45A116556776}"/>
    <cellStyle name="Normal 21 2 2 5 3" xfId="20738" xr:uid="{72A2162C-3C3E-4400-8E1B-6DCE802E7D59}"/>
    <cellStyle name="Normal 21 2 2 5 4" xfId="37497" xr:uid="{3DB7D14E-A27A-4923-83CC-9C5BDF299C7F}"/>
    <cellStyle name="Normal 21 2 2 6" xfId="5543" xr:uid="{DB6353C7-FDF4-44B6-8941-A2047ACFBC0F}"/>
    <cellStyle name="Normal 21 2 2 6 2" xfId="13923" xr:uid="{D3055F63-5F47-4ECC-B1F4-21BA0B70F801}"/>
    <cellStyle name="Normal 21 2 2 6 2 2" xfId="30683" xr:uid="{29806A9F-1E1B-4003-BE84-D4560E9D096E}"/>
    <cellStyle name="Normal 21 2 2 6 2 3" xfId="47442" xr:uid="{DBFA1F22-B003-4340-8991-68B98542A7F1}"/>
    <cellStyle name="Normal 21 2 2 6 3" xfId="22303" xr:uid="{AF5E2637-B4D7-4A44-A342-30DC352699D3}"/>
    <cellStyle name="Normal 21 2 2 6 4" xfId="39062" xr:uid="{D7136520-B549-4CC7-82D5-5F0B11B5F718}"/>
    <cellStyle name="Normal 21 2 2 7" xfId="7341" xr:uid="{8B5D0151-F314-48EF-B6D0-5C82FD141EFF}"/>
    <cellStyle name="Normal 21 2 2 7 2" xfId="15721" xr:uid="{D0E50310-4E73-4A91-AF95-39E3B258257B}"/>
    <cellStyle name="Normal 21 2 2 7 2 2" xfId="32481" xr:uid="{6E3152B0-40ED-4DBF-BC52-B380456D06F3}"/>
    <cellStyle name="Normal 21 2 2 7 2 3" xfId="49240" xr:uid="{FBFA1F05-97F4-433B-BE7B-A68C6C4B6331}"/>
    <cellStyle name="Normal 21 2 2 7 3" xfId="24101" xr:uid="{5BB1761F-0951-418E-9187-BD658E7AE0DF}"/>
    <cellStyle name="Normal 21 2 2 7 4" xfId="40860" xr:uid="{5B634455-E507-40A5-AEE4-86D4905EE98E}"/>
    <cellStyle name="Normal 21 2 2 8" xfId="7747" xr:uid="{901E4743-6036-4AA2-B643-5D7E0BBCE91F}"/>
    <cellStyle name="Normal 21 2 2 8 2" xfId="16127" xr:uid="{32C8416A-365A-487A-8210-2F1A58A7A5FF}"/>
    <cellStyle name="Normal 21 2 2 8 2 2" xfId="32887" xr:uid="{D475D142-B980-43CC-9028-BE1DB6BC00AD}"/>
    <cellStyle name="Normal 21 2 2 8 2 3" xfId="49646" xr:uid="{2CBD2319-9535-407C-938F-7CF2ADB8C74B}"/>
    <cellStyle name="Normal 21 2 2 8 3" xfId="24507" xr:uid="{7B0969A3-CED6-4943-8B3C-9FF0D8D66F53}"/>
    <cellStyle name="Normal 21 2 2 8 4" xfId="41266" xr:uid="{B39FC0EB-5E6D-449D-A59F-57F2F641495B}"/>
    <cellStyle name="Normal 21 2 2 9" xfId="8153" xr:uid="{74C7CDCA-39CE-4CC6-A6E2-EE83EAE5D57D}"/>
    <cellStyle name="Normal 21 2 2 9 2" xfId="16533" xr:uid="{00BF09C6-D5FD-45DD-BB3F-FCF0ECC6F58C}"/>
    <cellStyle name="Normal 21 2 2 9 2 2" xfId="33293" xr:uid="{1E57E762-3DBA-4600-95D2-194551D087CC}"/>
    <cellStyle name="Normal 21 2 2 9 2 3" xfId="50052" xr:uid="{C9813AAF-DF61-4C14-813A-48B0E20BF801}"/>
    <cellStyle name="Normal 21 2 2 9 3" xfId="24913" xr:uid="{8DC1C54C-34A6-4C60-99DA-8834FE2582E5}"/>
    <cellStyle name="Normal 21 2 2 9 4" xfId="41672" xr:uid="{8DA86E96-8A1D-4A3D-8AC2-87354367E655}"/>
    <cellStyle name="Normal 21 2 3" xfId="672" xr:uid="{2D10EF3A-23DE-426F-8C4D-B7988131C2B7}"/>
    <cellStyle name="Normal 21 2 3 10" xfId="8670" xr:uid="{54333B60-D54E-4AB5-A718-C89D4BA65A5D}"/>
    <cellStyle name="Normal 21 2 3 10 2" xfId="17050" xr:uid="{563A6686-F24D-42C3-BEDA-51465264984F}"/>
    <cellStyle name="Normal 21 2 3 10 2 2" xfId="33810" xr:uid="{AC41E5ED-A580-4D4B-8008-0417631C7C89}"/>
    <cellStyle name="Normal 21 2 3 10 2 3" xfId="50569" xr:uid="{676172C0-92AE-4C6A-A0BA-A1A1C7C5DEEF}"/>
    <cellStyle name="Normal 21 2 3 10 3" xfId="25430" xr:uid="{239E9281-2D72-4A0D-9B98-D1BF6B8EAE06}"/>
    <cellStyle name="Normal 21 2 3 10 4" xfId="42189" xr:uid="{190BF1CC-08F8-4FF1-A7FA-7CACDC4A5795}"/>
    <cellStyle name="Normal 21 2 3 11" xfId="2502" xr:uid="{A6A9355F-9F5D-4D9E-80D7-A27E33A44685}"/>
    <cellStyle name="Normal 21 2 3 11 2" xfId="10884" xr:uid="{80F0D854-D3A2-4AC8-851E-B25225D1798C}"/>
    <cellStyle name="Normal 21 2 3 11 2 2" xfId="27644" xr:uid="{FA9180C2-05DD-4E3E-9FF4-70A73CA67DA1}"/>
    <cellStyle name="Normal 21 2 3 11 2 3" xfId="44403" xr:uid="{21605DD3-9AD2-4594-B76B-5A102E2B0D37}"/>
    <cellStyle name="Normal 21 2 3 11 3" xfId="19264" xr:uid="{CAF10A14-7C73-4E33-BC6D-29FA63FED392}"/>
    <cellStyle name="Normal 21 2 3 11 4" xfId="36023" xr:uid="{DF89CE51-90FC-4609-80FD-9ADAEC507301}"/>
    <cellStyle name="Normal 21 2 3 12" xfId="9081" xr:uid="{1F81077E-645C-456B-8366-63CC3CA0DADA}"/>
    <cellStyle name="Normal 21 2 3 12 2" xfId="25841" xr:uid="{1924232B-5BED-4795-82BF-A293B8AED3E4}"/>
    <cellStyle name="Normal 21 2 3 12 3" xfId="42600" xr:uid="{565A648D-97E4-4B42-AEB9-0692F0F515A5}"/>
    <cellStyle name="Normal 21 2 3 13" xfId="17461" xr:uid="{645DC984-366F-485F-B988-075E671A4A68}"/>
    <cellStyle name="Normal 21 2 3 14" xfId="34220" xr:uid="{22274B30-ECCE-4AB8-9434-459C3286D775}"/>
    <cellStyle name="Normal 21 2 3 2" xfId="1112" xr:uid="{EB35AF2C-9F96-439B-8780-991477677F2B}"/>
    <cellStyle name="Normal 21 2 3 2 2" xfId="4507" xr:uid="{89E43A49-3D5B-4BBA-B1B7-34657D2A519E}"/>
    <cellStyle name="Normal 21 2 3 2 2 2" xfId="12887" xr:uid="{D02E0FBD-E924-4FAB-AE1A-7B490B516A2E}"/>
    <cellStyle name="Normal 21 2 3 2 2 2 2" xfId="29647" xr:uid="{FC38614E-D442-4DB9-BE1A-A62F22A7AAF3}"/>
    <cellStyle name="Normal 21 2 3 2 2 2 3" xfId="46406" xr:uid="{98512192-057F-4923-81BB-1EFA75321BCA}"/>
    <cellStyle name="Normal 21 2 3 2 2 3" xfId="21267" xr:uid="{BE29DC0D-00F0-449B-8682-DE8D1C050E4F}"/>
    <cellStyle name="Normal 21 2 3 2 2 4" xfId="38026" xr:uid="{827C9FB5-9D79-40EE-AB6B-AA16BC494F1B}"/>
    <cellStyle name="Normal 21 2 3 2 3" xfId="6194" xr:uid="{0E389B8D-6E6F-4032-8425-D448A59C2ECB}"/>
    <cellStyle name="Normal 21 2 3 2 3 2" xfId="14574" xr:uid="{9134D885-48B3-4BFC-A091-5A15F437ACAF}"/>
    <cellStyle name="Normal 21 2 3 2 3 2 2" xfId="31334" xr:uid="{898B0F63-EB3D-47E7-A694-0F874721CE45}"/>
    <cellStyle name="Normal 21 2 3 2 3 2 3" xfId="48093" xr:uid="{B40CAB1B-5A6C-4523-BDE0-90651DD9EAA2}"/>
    <cellStyle name="Normal 21 2 3 2 3 3" xfId="22954" xr:uid="{FAEA7160-D14D-4A81-8787-9B65F5BD76B0}"/>
    <cellStyle name="Normal 21 2 3 2 3 4" xfId="39713" xr:uid="{637CBDAF-EA3A-4333-8A97-19099790D038}"/>
    <cellStyle name="Normal 21 2 3 2 4" xfId="2930" xr:uid="{E9BA9C2A-37BD-49F1-A4F5-47CD4C097123}"/>
    <cellStyle name="Normal 21 2 3 2 4 2" xfId="11310" xr:uid="{573F40CD-04C6-45CC-957B-482B4E7AB06F}"/>
    <cellStyle name="Normal 21 2 3 2 4 2 2" xfId="28070" xr:uid="{1092EE69-4661-4159-9E37-9E8CDE68F585}"/>
    <cellStyle name="Normal 21 2 3 2 4 2 3" xfId="44829" xr:uid="{FB818A01-EB36-4808-B8EF-E40F56BAF037}"/>
    <cellStyle name="Normal 21 2 3 2 4 3" xfId="19690" xr:uid="{ED2B635F-A510-4114-8A48-E08943033509}"/>
    <cellStyle name="Normal 21 2 3 2 4 4" xfId="36449" xr:uid="{D3F8B011-C7FD-4546-B5E7-241673BC703C}"/>
    <cellStyle name="Normal 21 2 3 2 5" xfId="9507" xr:uid="{3F8C9A68-4C77-4825-AABE-324717FD5078}"/>
    <cellStyle name="Normal 21 2 3 2 5 2" xfId="26267" xr:uid="{C5948DE3-0410-494A-9661-A28E622CB644}"/>
    <cellStyle name="Normal 21 2 3 2 5 3" xfId="43026" xr:uid="{D216B981-FD6B-4D03-A1F5-9979875E3887}"/>
    <cellStyle name="Normal 21 2 3 2 6" xfId="17887" xr:uid="{4EFD2F6C-4C6F-498B-9173-AD0EA79BAFAC}"/>
    <cellStyle name="Normal 21 2 3 2 7" xfId="34646" xr:uid="{5DCA4A7B-979F-4229-BA98-666037F88841}"/>
    <cellStyle name="Normal 21 2 3 3" xfId="1546" xr:uid="{1ADFFEEA-1721-4091-BDC4-869311F78A18}"/>
    <cellStyle name="Normal 21 2 3 3 2" xfId="4935" xr:uid="{37289CF2-EE77-418D-A186-480249AEECE0}"/>
    <cellStyle name="Normal 21 2 3 3 2 2" xfId="13315" xr:uid="{79DC703B-6A46-4213-8009-D8B3080FA299}"/>
    <cellStyle name="Normal 21 2 3 3 2 2 2" xfId="30075" xr:uid="{F2B627B0-6A44-4B0A-BEF1-335E5484CE08}"/>
    <cellStyle name="Normal 21 2 3 3 2 2 3" xfId="46834" xr:uid="{371135A4-5647-41F5-9AFA-D031481673B7}"/>
    <cellStyle name="Normal 21 2 3 3 2 3" xfId="21695" xr:uid="{98EBE468-3DCD-4435-BF9D-9B7345281CEF}"/>
    <cellStyle name="Normal 21 2 3 3 2 4" xfId="38454" xr:uid="{A3AEDD9E-4DC4-4F13-BEDA-94CB7FFA133F}"/>
    <cellStyle name="Normal 21 2 3 3 3" xfId="6622" xr:uid="{381C24A2-9266-494F-89C6-6E49E8915B5C}"/>
    <cellStyle name="Normal 21 2 3 3 3 2" xfId="15002" xr:uid="{0566F526-290D-4B04-9205-4D60569D6143}"/>
    <cellStyle name="Normal 21 2 3 3 3 2 2" xfId="31762" xr:uid="{5DC8A261-6811-4FCD-9615-E569E969493E}"/>
    <cellStyle name="Normal 21 2 3 3 3 2 3" xfId="48521" xr:uid="{606DF50F-F329-4470-9D70-E9D535F62155}"/>
    <cellStyle name="Normal 21 2 3 3 3 3" xfId="23382" xr:uid="{77868BE3-D1B8-4B5F-89D5-0ED0A896EAD7}"/>
    <cellStyle name="Normal 21 2 3 3 3 4" xfId="40141" xr:uid="{DF0BC696-8AA1-4836-89BC-E58C20A42290}"/>
    <cellStyle name="Normal 21 2 3 3 4" xfId="3358" xr:uid="{3154A0D7-75CE-48CC-9B16-53253966110F}"/>
    <cellStyle name="Normal 21 2 3 3 4 2" xfId="11738" xr:uid="{8DD2AEF7-2700-449E-B661-4B73C73E3C59}"/>
    <cellStyle name="Normal 21 2 3 3 4 2 2" xfId="28498" xr:uid="{1FA6338B-124F-4419-A9B6-DC05FA9590DB}"/>
    <cellStyle name="Normal 21 2 3 3 4 2 3" xfId="45257" xr:uid="{CFB919D0-DBCC-4E10-8413-7895895CA0B4}"/>
    <cellStyle name="Normal 21 2 3 3 4 3" xfId="20118" xr:uid="{0A7DCA3E-5AF8-49D4-9F1C-96D10D2E4EA8}"/>
    <cellStyle name="Normal 21 2 3 3 4 4" xfId="36877" xr:uid="{F6FFB45D-8B42-45D5-B841-C678A84C7EB9}"/>
    <cellStyle name="Normal 21 2 3 3 5" xfId="9935" xr:uid="{9D104607-A0F5-4B03-89F5-3D6C6E068AE4}"/>
    <cellStyle name="Normal 21 2 3 3 5 2" xfId="26695" xr:uid="{55BF8799-2ADA-4FDC-858C-CE10A5710A46}"/>
    <cellStyle name="Normal 21 2 3 3 5 3" xfId="43454" xr:uid="{DB148552-6428-4B81-86E6-54F56DF1D9F2}"/>
    <cellStyle name="Normal 21 2 3 3 6" xfId="18315" xr:uid="{9705470B-9AB7-43A8-924B-4827EF1B263F}"/>
    <cellStyle name="Normal 21 2 3 3 7" xfId="35074" xr:uid="{625AF7D5-C7C2-43D2-B2D2-DBCAF9A59BB8}"/>
    <cellStyle name="Normal 21 2 3 4" xfId="1970" xr:uid="{7154003D-BB9E-4C5A-B0D9-D1F8ED065B84}"/>
    <cellStyle name="Normal 21 2 3 4 2" xfId="5359" xr:uid="{9FD07AF1-D5D3-49D5-B761-7A1B184F48FE}"/>
    <cellStyle name="Normal 21 2 3 4 2 2" xfId="13739" xr:uid="{031FB3E4-AAD7-4A0C-B89E-B10FFDC353C9}"/>
    <cellStyle name="Normal 21 2 3 4 2 2 2" xfId="30499" xr:uid="{56913BCB-0BB6-46E7-AA0B-815520E5ADFE}"/>
    <cellStyle name="Normal 21 2 3 4 2 2 3" xfId="47258" xr:uid="{5E0B5339-4693-4299-8A49-A234FD31768A}"/>
    <cellStyle name="Normal 21 2 3 4 2 3" xfId="22119" xr:uid="{F20ADBBB-2EC8-47EE-8F26-AE985E302385}"/>
    <cellStyle name="Normal 21 2 3 4 2 4" xfId="38878" xr:uid="{C76D7A1E-66F3-4096-BD31-C8D675BD5AED}"/>
    <cellStyle name="Normal 21 2 3 4 3" xfId="7046" xr:uid="{547F0542-6E53-42F1-8475-53BB019B81F1}"/>
    <cellStyle name="Normal 21 2 3 4 3 2" xfId="15426" xr:uid="{19971B1D-D161-41F7-9ADF-B227C37BA6DC}"/>
    <cellStyle name="Normal 21 2 3 4 3 2 2" xfId="32186" xr:uid="{CFA351F6-34EA-4DAB-AAEC-D717E586934F}"/>
    <cellStyle name="Normal 21 2 3 4 3 2 3" xfId="48945" xr:uid="{1C8A946E-4A83-451D-9D06-AC804172686A}"/>
    <cellStyle name="Normal 21 2 3 4 3 3" xfId="23806" xr:uid="{8F66128F-80CA-41CB-9560-E4421E11DAFE}"/>
    <cellStyle name="Normal 21 2 3 4 3 4" xfId="40565" xr:uid="{B77CEEDE-7F3E-4AD0-9FC8-FCAC40D9F4D7}"/>
    <cellStyle name="Normal 21 2 3 4 4" xfId="3669" xr:uid="{8EE28929-F3F6-49A4-B0F4-1E063DE9243E}"/>
    <cellStyle name="Normal 21 2 3 4 4 2" xfId="12049" xr:uid="{5A98F9B0-4EF8-419A-AC7F-A439B1CF03B1}"/>
    <cellStyle name="Normal 21 2 3 4 4 2 2" xfId="28809" xr:uid="{FBB7E48F-9DF0-4454-BA96-FF258831FA18}"/>
    <cellStyle name="Normal 21 2 3 4 4 2 3" xfId="45568" xr:uid="{BBE51B23-5666-4442-89A1-BCF4DAA13DD9}"/>
    <cellStyle name="Normal 21 2 3 4 4 3" xfId="20429" xr:uid="{0BC3D266-D34A-4020-91EF-405BFEF35E4A}"/>
    <cellStyle name="Normal 21 2 3 4 4 4" xfId="37188" xr:uid="{D9627CEC-6866-44CF-8D13-C1D218C70ACA}"/>
    <cellStyle name="Normal 21 2 3 4 5" xfId="10359" xr:uid="{19289977-A296-4FBE-8012-67AF1EE44726}"/>
    <cellStyle name="Normal 21 2 3 4 5 2" xfId="27119" xr:uid="{8AE3DEF4-1CCC-436A-A70D-4DC72C8200A5}"/>
    <cellStyle name="Normal 21 2 3 4 5 3" xfId="43878" xr:uid="{00CED8A3-4567-4C09-86BA-C286B23A673B}"/>
    <cellStyle name="Normal 21 2 3 4 6" xfId="18739" xr:uid="{48A31B33-9F1A-4A69-BA0E-E3665F181F0B}"/>
    <cellStyle name="Normal 21 2 3 4 7" xfId="35498" xr:uid="{65CCCA44-9FF5-4691-9618-E18966BD36B7}"/>
    <cellStyle name="Normal 21 2 3 5" xfId="4089" xr:uid="{D2EC7925-8882-435A-A4D1-D8553D382351}"/>
    <cellStyle name="Normal 21 2 3 5 2" xfId="12469" xr:uid="{F1605BC3-A8F7-481D-9F64-F0BF24A65F28}"/>
    <cellStyle name="Normal 21 2 3 5 2 2" xfId="29229" xr:uid="{91230304-8D40-4CE3-8575-AB05E554011B}"/>
    <cellStyle name="Normal 21 2 3 5 2 3" xfId="45988" xr:uid="{48EB1DED-3594-4158-93EE-720BF1463372}"/>
    <cellStyle name="Normal 21 2 3 5 3" xfId="20849" xr:uid="{F5ECE795-22C4-4F0C-BB5C-45D1FEF06550}"/>
    <cellStyle name="Normal 21 2 3 5 4" xfId="37608" xr:uid="{F0A59755-4676-406C-9748-774D743A8989}"/>
    <cellStyle name="Normal 21 2 3 6" xfId="5768" xr:uid="{9DE77559-DA23-47CD-B802-3041BD3DE10F}"/>
    <cellStyle name="Normal 21 2 3 6 2" xfId="14148" xr:uid="{6C12BF44-C283-4BD0-BC9E-59CF8122059F}"/>
    <cellStyle name="Normal 21 2 3 6 2 2" xfId="30908" xr:uid="{AF4D5394-020A-46D2-B643-DE617D08546F}"/>
    <cellStyle name="Normal 21 2 3 6 2 3" xfId="47667" xr:uid="{D55EC822-867D-4A44-B6FD-09B941CAEC93}"/>
    <cellStyle name="Normal 21 2 3 6 3" xfId="22528" xr:uid="{401DE764-F732-4402-ABF2-CEDA7E206C00}"/>
    <cellStyle name="Normal 21 2 3 6 4" xfId="39287" xr:uid="{58CE4DFC-7CAE-4479-8CE6-3822B3AF1D95}"/>
    <cellStyle name="Normal 21 2 3 7" xfId="7452" xr:uid="{BB76609C-9ABF-4EF2-AE89-C25C7F1CA43E}"/>
    <cellStyle name="Normal 21 2 3 7 2" xfId="15832" xr:uid="{C5CBC124-180F-43D0-833F-82DC4306F0E4}"/>
    <cellStyle name="Normal 21 2 3 7 2 2" xfId="32592" xr:uid="{AE49B75F-9FF1-475D-9F6A-9580EB156579}"/>
    <cellStyle name="Normal 21 2 3 7 2 3" xfId="49351" xr:uid="{748C01B3-A3DF-4932-AE5E-14B72E852D84}"/>
    <cellStyle name="Normal 21 2 3 7 3" xfId="24212" xr:uid="{56C69CE3-804A-4769-90FF-B882F326189C}"/>
    <cellStyle name="Normal 21 2 3 7 4" xfId="40971" xr:uid="{81CCDEA0-218E-4D76-8E9A-41E6A9C3A1D5}"/>
    <cellStyle name="Normal 21 2 3 8" xfId="7858" xr:uid="{07F109DE-76D9-4D6E-926A-341821729326}"/>
    <cellStyle name="Normal 21 2 3 8 2" xfId="16238" xr:uid="{66E39D05-7657-48BB-BE62-2888C6812D58}"/>
    <cellStyle name="Normal 21 2 3 8 2 2" xfId="32998" xr:uid="{7868BD82-541C-4C9D-89F4-97BEF14ACF97}"/>
    <cellStyle name="Normal 21 2 3 8 2 3" xfId="49757" xr:uid="{F363F1C4-7E59-4FB5-B552-CF4132B1DCE3}"/>
    <cellStyle name="Normal 21 2 3 8 3" xfId="24618" xr:uid="{EE173837-4EF8-49A4-A506-FFC32CFD89EC}"/>
    <cellStyle name="Normal 21 2 3 8 4" xfId="41377" xr:uid="{847CAA96-F62D-4195-A653-DB6ABF588732}"/>
    <cellStyle name="Normal 21 2 3 9" xfId="8264" xr:uid="{377B6634-62F3-4FE1-B9AB-E99F4AE3EDA3}"/>
    <cellStyle name="Normal 21 2 3 9 2" xfId="16644" xr:uid="{2E130CBD-A7B8-42FA-A91A-FE8687A41001}"/>
    <cellStyle name="Normal 21 2 3 9 2 2" xfId="33404" xr:uid="{D84DCE00-3D88-4DE9-844C-A2D8FD2C5A67}"/>
    <cellStyle name="Normal 21 2 3 9 2 3" xfId="50163" xr:uid="{EE242B74-506F-449F-873B-BEFC3B4B25D0}"/>
    <cellStyle name="Normal 21 2 3 9 3" xfId="25024" xr:uid="{01037B58-E17C-441E-9435-147DE292914A}"/>
    <cellStyle name="Normal 21 2 3 9 4" xfId="41783" xr:uid="{E6884C2B-9875-4E3A-8316-73637C73D57A}"/>
    <cellStyle name="Normal 21 2 4" xfId="813" xr:uid="{341DAFD5-2FFA-491E-9622-5689248E2F57}"/>
    <cellStyle name="Normal 21 2 4 2" xfId="4208" xr:uid="{C8843D63-B61D-47D3-A13A-D7AC9D269EBC}"/>
    <cellStyle name="Normal 21 2 4 2 2" xfId="12588" xr:uid="{FAB72DB4-D7B9-419F-9165-C352944B4EBF}"/>
    <cellStyle name="Normal 21 2 4 2 2 2" xfId="29348" xr:uid="{D5A42A3A-6113-4B9F-B950-77BB37783BA8}"/>
    <cellStyle name="Normal 21 2 4 2 2 3" xfId="46107" xr:uid="{510A8FC5-C3E7-4D97-946E-D2FB6276FB95}"/>
    <cellStyle name="Normal 21 2 4 2 3" xfId="20968" xr:uid="{C555DC7F-9BC2-47B8-B87D-55C9AAEE817E}"/>
    <cellStyle name="Normal 21 2 4 2 4" xfId="37727" xr:uid="{55E40BFA-BB6E-45C6-A0E6-7D3D73BF8A1D}"/>
    <cellStyle name="Normal 21 2 4 3" xfId="5895" xr:uid="{CC19DF04-6E5C-4B51-96AE-0841BD68A69C}"/>
    <cellStyle name="Normal 21 2 4 3 2" xfId="14275" xr:uid="{FAAE039F-E7B8-4FA7-9F2C-FCB853116DF5}"/>
    <cellStyle name="Normal 21 2 4 3 2 2" xfId="31035" xr:uid="{A204A623-955B-4E8B-8CAA-6E4C36309E10}"/>
    <cellStyle name="Normal 21 2 4 3 2 3" xfId="47794" xr:uid="{5F1094EC-DC34-4B08-9031-6F91734468DF}"/>
    <cellStyle name="Normal 21 2 4 3 3" xfId="22655" xr:uid="{0023E259-B454-4364-9139-6BF3842CD059}"/>
    <cellStyle name="Normal 21 2 4 3 4" xfId="39414" xr:uid="{B35FBF0A-8EFD-4FCB-BF5A-2497CB9BADF5}"/>
    <cellStyle name="Normal 21 2 4 4" xfId="2631" xr:uid="{960A6645-6B2C-4D57-9019-4E16755B3DCE}"/>
    <cellStyle name="Normal 21 2 4 4 2" xfId="11011" xr:uid="{78ECC953-7DE2-45F7-B9C6-FF06463027BE}"/>
    <cellStyle name="Normal 21 2 4 4 2 2" xfId="27771" xr:uid="{0C177F90-A912-440B-86C7-B723EF662A5F}"/>
    <cellStyle name="Normal 21 2 4 4 2 3" xfId="44530" xr:uid="{F9EEBE4F-9463-4CD5-BAF9-53B39A0C7A61}"/>
    <cellStyle name="Normal 21 2 4 4 3" xfId="19391" xr:uid="{9EF3EFF1-DF2A-4452-BCFE-CBC447F5B393}"/>
    <cellStyle name="Normal 21 2 4 4 4" xfId="36150" xr:uid="{B41F36CA-572B-48EC-AD01-1EDBEB7B744C}"/>
    <cellStyle name="Normal 21 2 4 5" xfId="9208" xr:uid="{872D9BDD-19FB-43C2-A4E3-2DA51AFEB267}"/>
    <cellStyle name="Normal 21 2 4 5 2" xfId="25968" xr:uid="{659A948D-08B3-4AFC-9CAE-C5AA42C3241D}"/>
    <cellStyle name="Normal 21 2 4 5 3" xfId="42727" xr:uid="{8EA3B2CE-B882-419D-AD35-DB2C2BBFA2BD}"/>
    <cellStyle name="Normal 21 2 4 6" xfId="17588" xr:uid="{D8AC1E7C-34A9-4AC8-A292-E7BEFB5C177C}"/>
    <cellStyle name="Normal 21 2 4 7" xfId="34347" xr:uid="{01E76A96-EC9D-4BA2-A602-67FD71DC794E}"/>
    <cellStyle name="Normal 21 2 5" xfId="1247" xr:uid="{3BB6FAC9-55BD-4FC1-A923-93C6231FC501}"/>
    <cellStyle name="Normal 21 2 5 2" xfId="4636" xr:uid="{64243FB1-112A-4E92-9263-3EC1B13C9DBC}"/>
    <cellStyle name="Normal 21 2 5 2 2" xfId="13016" xr:uid="{53F82B58-9894-4348-BE7A-466353F38360}"/>
    <cellStyle name="Normal 21 2 5 2 2 2" xfId="29776" xr:uid="{3905C993-0179-46BB-A18A-76282AC1C28B}"/>
    <cellStyle name="Normal 21 2 5 2 2 3" xfId="46535" xr:uid="{5B602047-F123-45EE-8639-B0C0A648CEE2}"/>
    <cellStyle name="Normal 21 2 5 2 3" xfId="21396" xr:uid="{15772023-AB23-473F-B9C8-D648A53F016E}"/>
    <cellStyle name="Normal 21 2 5 2 4" xfId="38155" xr:uid="{DDDAC1C0-A43E-4157-9FA5-167960A547A6}"/>
    <cellStyle name="Normal 21 2 5 3" xfId="6323" xr:uid="{12D3FA6A-7799-4787-B74E-1ED87E9C8671}"/>
    <cellStyle name="Normal 21 2 5 3 2" xfId="14703" xr:uid="{2744BB89-F547-488F-8267-2A65BFA0CD3B}"/>
    <cellStyle name="Normal 21 2 5 3 2 2" xfId="31463" xr:uid="{47FC9EB6-3CEC-4D6B-B093-299A56848B7E}"/>
    <cellStyle name="Normal 21 2 5 3 2 3" xfId="48222" xr:uid="{FA90F653-1AF1-45A7-ADA2-5602C5F5BAC9}"/>
    <cellStyle name="Normal 21 2 5 3 3" xfId="23083" xr:uid="{D0970045-2C25-4CD7-9D11-1B1E3E2DB656}"/>
    <cellStyle name="Normal 21 2 5 3 4" xfId="39842" xr:uid="{437C4D38-95F9-403F-8D31-268DDC0759F4}"/>
    <cellStyle name="Normal 21 2 5 4" xfId="3059" xr:uid="{4D7DCCC1-E30E-46E1-90E8-139BA7EB018A}"/>
    <cellStyle name="Normal 21 2 5 4 2" xfId="11439" xr:uid="{383FF9CD-A0D3-417B-BC2D-5ED43AC0F786}"/>
    <cellStyle name="Normal 21 2 5 4 2 2" xfId="28199" xr:uid="{B95FA773-33D3-43EB-947F-0CDD7BE0A302}"/>
    <cellStyle name="Normal 21 2 5 4 2 3" xfId="44958" xr:uid="{D3BCBCEF-AD5A-409C-B547-EEFFC375E9D2}"/>
    <cellStyle name="Normal 21 2 5 4 3" xfId="19819" xr:uid="{C3190E3B-B1B1-4882-9369-24264082E890}"/>
    <cellStyle name="Normal 21 2 5 4 4" xfId="36578" xr:uid="{9A0F4C2D-B9E2-4DD1-B512-4F26103BFBAA}"/>
    <cellStyle name="Normal 21 2 5 5" xfId="9636" xr:uid="{D6AE514A-80A8-4B66-AA20-D388F1335A02}"/>
    <cellStyle name="Normal 21 2 5 5 2" xfId="26396" xr:uid="{228108A8-B878-490A-96CA-B639FF734256}"/>
    <cellStyle name="Normal 21 2 5 5 3" xfId="43155" xr:uid="{04DC45EB-4674-45AC-81DE-A2B12E046936}"/>
    <cellStyle name="Normal 21 2 5 6" xfId="18016" xr:uid="{0B8330EF-E5A5-40C3-B41F-308315246FF2}"/>
    <cellStyle name="Normal 21 2 5 7" xfId="34775" xr:uid="{4FA4EC34-5D68-4CB7-A017-E19DE9DA9E7E}"/>
    <cellStyle name="Normal 21 2 6" xfId="1699" xr:uid="{12C85760-C1CE-4759-B355-187378FDBFFE}"/>
    <cellStyle name="Normal 21 2 6 2" xfId="5088" xr:uid="{FA26C5F2-6E21-4513-B425-0A625D5C271E}"/>
    <cellStyle name="Normal 21 2 6 2 2" xfId="13468" xr:uid="{C125C2DB-84D6-491D-AC6C-DAC0CEB9CC3D}"/>
    <cellStyle name="Normal 21 2 6 2 2 2" xfId="30228" xr:uid="{08EE949C-FE88-4534-9EB7-5CDD19FD9183}"/>
    <cellStyle name="Normal 21 2 6 2 2 3" xfId="46987" xr:uid="{5B788878-C9E4-4154-B59C-E3007C97285C}"/>
    <cellStyle name="Normal 21 2 6 2 3" xfId="21848" xr:uid="{B4A3D5AE-9B81-4BCA-B3AA-9C71A261BC85}"/>
    <cellStyle name="Normal 21 2 6 2 4" xfId="38607" xr:uid="{44DD5729-6411-4A68-94DF-6DE55EDEA243}"/>
    <cellStyle name="Normal 21 2 6 3" xfId="6775" xr:uid="{74DEC9DA-9234-4E06-8CAE-6B2B96FCF157}"/>
    <cellStyle name="Normal 21 2 6 3 2" xfId="15155" xr:uid="{F6D0EACB-1E32-466B-87B0-5760D4F82283}"/>
    <cellStyle name="Normal 21 2 6 3 2 2" xfId="31915" xr:uid="{DE044439-085B-4440-B633-730D4704D37A}"/>
    <cellStyle name="Normal 21 2 6 3 2 3" xfId="48674" xr:uid="{8038CFF3-24A0-4120-9802-F1E8552F517C}"/>
    <cellStyle name="Normal 21 2 6 3 3" xfId="23535" xr:uid="{79D4394D-DFEC-41BC-951D-F2D685FCA556}"/>
    <cellStyle name="Normal 21 2 6 3 4" xfId="40294" xr:uid="{4211F9F5-611C-4918-BB42-26A60BD19C3C}"/>
    <cellStyle name="Normal 21 2 6 4" xfId="2198" xr:uid="{20D472F3-7F99-40A2-B720-EE4225255341}"/>
    <cellStyle name="Normal 21 2 6 4 2" xfId="10585" xr:uid="{CCD66C8E-EBEF-49C6-AC17-93E63EE12D6E}"/>
    <cellStyle name="Normal 21 2 6 4 2 2" xfId="27345" xr:uid="{AC50E965-F066-4CDE-86D5-A46A9D179E0F}"/>
    <cellStyle name="Normal 21 2 6 4 2 3" xfId="44104" xr:uid="{26E1CB39-C8C6-4654-B157-ED02F3E4A3A2}"/>
    <cellStyle name="Normal 21 2 6 4 3" xfId="18965" xr:uid="{A45448CC-BAC1-4CED-872B-ABCF2AC01352}"/>
    <cellStyle name="Normal 21 2 6 4 4" xfId="35724" xr:uid="{7D7004C6-70EE-439A-BFD2-8F268E61396C}"/>
    <cellStyle name="Normal 21 2 6 5" xfId="10088" xr:uid="{2547D77C-545A-492F-B16E-635EA5AF6C9C}"/>
    <cellStyle name="Normal 21 2 6 5 2" xfId="26848" xr:uid="{D3F3C831-DF0F-4D1A-BF8E-0E800D3A1CF4}"/>
    <cellStyle name="Normal 21 2 6 5 3" xfId="43607" xr:uid="{2E9EC813-9786-43F9-8858-70F895FA5DF3}"/>
    <cellStyle name="Normal 21 2 6 6" xfId="18468" xr:uid="{C6A9565D-8DA2-4B8D-9933-0EBFA757CAFF}"/>
    <cellStyle name="Normal 21 2 6 7" xfId="35227" xr:uid="{7D8DC95A-F34C-414A-9F42-E4D0457FAF25}"/>
    <cellStyle name="Normal 21 2 7" xfId="3817" xr:uid="{0EBB184B-15A4-40FE-B176-D0FA31406F5B}"/>
    <cellStyle name="Normal 21 2 7 2" xfId="12197" xr:uid="{390F1A66-CE94-4A2B-A535-7BA7A772812C}"/>
    <cellStyle name="Normal 21 2 7 2 2" xfId="28957" xr:uid="{957341D4-F8C3-4E89-A1E8-0D90D64170BA}"/>
    <cellStyle name="Normal 21 2 7 2 3" xfId="45716" xr:uid="{0F8728C8-5227-4657-B968-22684385E5CA}"/>
    <cellStyle name="Normal 21 2 7 3" xfId="20577" xr:uid="{580513CF-F44B-4C14-B599-B485F5AE7591}"/>
    <cellStyle name="Normal 21 2 7 4" xfId="37336" xr:uid="{D86B0ECB-9D7B-4691-9601-DA52B851C35C}"/>
    <cellStyle name="Normal 21 2 8" xfId="5469" xr:uid="{65124BF2-4369-457D-9AFE-B06477590182}"/>
    <cellStyle name="Normal 21 2 8 2" xfId="13849" xr:uid="{16D8BA91-6606-4BE6-8214-4781C4D76002}"/>
    <cellStyle name="Normal 21 2 8 2 2" xfId="30609" xr:uid="{B73309C4-36A8-4FE7-896B-B212BDEA1634}"/>
    <cellStyle name="Normal 21 2 8 2 3" xfId="47368" xr:uid="{937E39D2-4559-435B-8D5B-9978D22CF34A}"/>
    <cellStyle name="Normal 21 2 8 3" xfId="22229" xr:uid="{64D3DC1D-73DD-4BE2-9AB9-E80DA1FD9B16}"/>
    <cellStyle name="Normal 21 2 8 4" xfId="38988" xr:uid="{C48518F6-17CD-4F1C-9107-D6E2C0972499}"/>
    <cellStyle name="Normal 21 2 9" xfId="7181" xr:uid="{49FDD0BB-0E6D-48BB-9DAF-373DB2E86C5D}"/>
    <cellStyle name="Normal 21 2 9 2" xfId="15561" xr:uid="{805C0FC4-C3DD-4DEA-A4FC-0E74B35E0F92}"/>
    <cellStyle name="Normal 21 2 9 2 2" xfId="32321" xr:uid="{C8849FA4-0663-4814-A847-8B393CFA9D63}"/>
    <cellStyle name="Normal 21 2 9 2 3" xfId="49080" xr:uid="{CE841946-C654-4154-9D52-CDC38EC36522}"/>
    <cellStyle name="Normal 21 2 9 3" xfId="23941" xr:uid="{13087431-9399-42CD-AD07-D4B76E43794F}"/>
    <cellStyle name="Normal 21 2 9 4" xfId="40700" xr:uid="{4BC6FE17-791F-4E86-A9DA-C0C90BB4399E}"/>
    <cellStyle name="Normal 21 20" xfId="280" xr:uid="{CF9EEF07-DAC9-45CA-BAF0-C6A31F45B54C}"/>
    <cellStyle name="Normal 21 3" xfId="364" xr:uid="{4C7D20E1-A57B-4B75-ADB0-64598DD2537F}"/>
    <cellStyle name="Normal 21 3 10" xfId="7645" xr:uid="{B54BC8FB-B559-48C2-AF97-D84E20862F12}"/>
    <cellStyle name="Normal 21 3 10 2" xfId="16025" xr:uid="{F89C4CB5-BFF0-4AF8-9F4B-B6CE59C0D638}"/>
    <cellStyle name="Normal 21 3 10 2 2" xfId="32785" xr:uid="{1B28FF00-607F-4D24-B770-8C32BC31D6BA}"/>
    <cellStyle name="Normal 21 3 10 2 3" xfId="49544" xr:uid="{681A9908-CB07-4589-8751-9F57B37E9040}"/>
    <cellStyle name="Normal 21 3 10 3" xfId="24405" xr:uid="{144D8300-A35D-43E3-AE6B-A77B86482640}"/>
    <cellStyle name="Normal 21 3 10 4" xfId="41164" xr:uid="{BE9F08AD-105C-4FD9-93FA-F01CF4EA4410}"/>
    <cellStyle name="Normal 21 3 11" xfId="8051" xr:uid="{5384C19E-B4E7-4142-A621-AB04A3E8A43C}"/>
    <cellStyle name="Normal 21 3 11 2" xfId="16431" xr:uid="{79000DAB-ACC1-4F09-A738-DD8BAA8D857B}"/>
    <cellStyle name="Normal 21 3 11 2 2" xfId="33191" xr:uid="{EE793F67-1E42-44F7-B2AB-C07761045DA0}"/>
    <cellStyle name="Normal 21 3 11 2 3" xfId="49950" xr:uid="{09A38C9A-5390-414A-8468-4EB48EFB5086}"/>
    <cellStyle name="Normal 21 3 11 3" xfId="24811" xr:uid="{E1C6035E-7D37-4CC1-8BBD-012B201CAB1C}"/>
    <cellStyle name="Normal 21 3 11 4" xfId="41570" xr:uid="{B7BF91CC-E56A-4025-900B-23CD610595F1}"/>
    <cellStyle name="Normal 21 3 12" xfId="8457" xr:uid="{9BDE2725-75D4-46F3-BB09-5A70CA7D6BD6}"/>
    <cellStyle name="Normal 21 3 12 2" xfId="16837" xr:uid="{3F772D04-93E1-4318-8388-3F3A313DB63C}"/>
    <cellStyle name="Normal 21 3 12 2 2" xfId="33597" xr:uid="{0524D9C0-DB3C-445C-BB37-1043629BC863}"/>
    <cellStyle name="Normal 21 3 12 2 3" xfId="50356" xr:uid="{EFA1746E-6D09-498C-8F9E-1DC71167FD22}"/>
    <cellStyle name="Normal 21 3 12 3" xfId="25217" xr:uid="{D9D45A6D-936D-4E86-9B90-A906F49A1AB9}"/>
    <cellStyle name="Normal 21 3 12 4" xfId="41976" xr:uid="{F785E941-2306-4822-BDEE-4FF5B9AFB5D6}"/>
    <cellStyle name="Normal 21 3 13" xfId="2144" xr:uid="{BCBA8C96-32DD-4AE5-9480-60E36BC2A873}"/>
    <cellStyle name="Normal 21 3 13 2" xfId="10532" xr:uid="{39E538F4-8360-4308-A248-41C49C2FF4AF}"/>
    <cellStyle name="Normal 21 3 13 2 2" xfId="27292" xr:uid="{61E02721-B94D-4D73-99CD-3D392C582D19}"/>
    <cellStyle name="Normal 21 3 13 2 3" xfId="44051" xr:uid="{C23729B0-3BB2-4DA4-B49D-7F7C7FEB6FCA}"/>
    <cellStyle name="Normal 21 3 13 3" xfId="18912" xr:uid="{91557A18-9F2F-4CB8-8A05-68FC9B0C736A}"/>
    <cellStyle name="Normal 21 3 13 4" xfId="35671" xr:uid="{615A1B8D-9302-4312-BA4F-19FCA4AF077B}"/>
    <cellStyle name="Normal 21 3 14" xfId="8828" xr:uid="{7E81D693-D9CF-42FC-9C64-81E0821E81B6}"/>
    <cellStyle name="Normal 21 3 14 2" xfId="25588" xr:uid="{4FCA1E87-E7EE-411D-8C28-08265C9A1D5F}"/>
    <cellStyle name="Normal 21 3 14 3" xfId="42347" xr:uid="{66776632-A6A3-49E4-9E30-07C600C7A16C}"/>
    <cellStyle name="Normal 21 3 15" xfId="17208" xr:uid="{E87F0A12-BC24-4E5C-8093-52EAFA471F37}"/>
    <cellStyle name="Normal 21 3 16" xfId="33967" xr:uid="{DD10EFB0-4BDB-4BDF-854D-3BDB0A934B75}"/>
    <cellStyle name="Normal 21 3 2" xfId="673" xr:uid="{F106BA8F-AF77-4E15-8A0C-F11824955635}"/>
    <cellStyle name="Normal 21 3 2 10" xfId="8560" xr:uid="{4FAA4E95-87FA-4764-8CA6-D94F1F82DD4D}"/>
    <cellStyle name="Normal 21 3 2 10 2" xfId="16940" xr:uid="{CAA0CD6C-2A61-4812-A666-6DE35AE69FE4}"/>
    <cellStyle name="Normal 21 3 2 10 2 2" xfId="33700" xr:uid="{7538E3F9-4312-47A2-843D-5AA44EE67BBE}"/>
    <cellStyle name="Normal 21 3 2 10 2 3" xfId="50459" xr:uid="{3C95CF4E-739A-4009-AEC0-79F6E08CFE59}"/>
    <cellStyle name="Normal 21 3 2 10 3" xfId="25320" xr:uid="{92A0FFE4-9D7A-4356-8D89-1D20DD9BFFFB}"/>
    <cellStyle name="Normal 21 3 2 10 4" xfId="42079" xr:uid="{8177EC84-2503-482F-920E-1D06CA55C04C}"/>
    <cellStyle name="Normal 21 3 2 11" xfId="2503" xr:uid="{714E899F-5845-4823-95DB-C24AEECDC0C0}"/>
    <cellStyle name="Normal 21 3 2 11 2" xfId="10885" xr:uid="{63141797-67F7-47C7-9019-3C48BF0D9ECA}"/>
    <cellStyle name="Normal 21 3 2 11 2 2" xfId="27645" xr:uid="{A17610A3-39D6-443E-B03D-610EC9BF60B5}"/>
    <cellStyle name="Normal 21 3 2 11 2 3" xfId="44404" xr:uid="{661D97B3-C639-4BC3-9C83-F96F24A45DC2}"/>
    <cellStyle name="Normal 21 3 2 11 3" xfId="19265" xr:uid="{7BFA15C6-412E-4F6E-8AF2-3B7F06748830}"/>
    <cellStyle name="Normal 21 3 2 11 4" xfId="36024" xr:uid="{4EB4FE3B-3100-471A-87D7-B8AC06B4F11E}"/>
    <cellStyle name="Normal 21 3 2 12" xfId="9082" xr:uid="{E57AA4AE-4137-4CA5-81E8-92D331DE452F}"/>
    <cellStyle name="Normal 21 3 2 12 2" xfId="25842" xr:uid="{49D2B94F-2D8F-4025-A71D-0FF0053B91AB}"/>
    <cellStyle name="Normal 21 3 2 12 3" xfId="42601" xr:uid="{309552C7-9BE8-4A82-BA5D-73065FB73C06}"/>
    <cellStyle name="Normal 21 3 2 13" xfId="17462" xr:uid="{57E03239-407D-4BB3-818C-2E47AD9AD7D8}"/>
    <cellStyle name="Normal 21 3 2 14" xfId="34221" xr:uid="{399CBCD6-6580-45DC-9490-0976F363297B}"/>
    <cellStyle name="Normal 21 3 2 2" xfId="1113" xr:uid="{76F81227-8B0B-4C17-A742-AB8CD813F0B3}"/>
    <cellStyle name="Normal 21 3 2 2 2" xfId="4508" xr:uid="{F7499A1C-0EEB-4FA9-AC5B-A05A67F84A78}"/>
    <cellStyle name="Normal 21 3 2 2 2 2" xfId="12888" xr:uid="{E7BE5DA9-0A0A-44B8-935F-8991DF8ABF9F}"/>
    <cellStyle name="Normal 21 3 2 2 2 2 2" xfId="29648" xr:uid="{D4A49637-6C9A-447D-BCFB-C899D6BBA1FB}"/>
    <cellStyle name="Normal 21 3 2 2 2 2 3" xfId="46407" xr:uid="{4D6C59C0-C090-4BDE-8785-D5B631925AB2}"/>
    <cellStyle name="Normal 21 3 2 2 2 3" xfId="21268" xr:uid="{F6087C78-53B3-407B-820D-10A9427821F0}"/>
    <cellStyle name="Normal 21 3 2 2 2 4" xfId="38027" xr:uid="{D6B7AAE3-4F99-430A-BF70-5A67FA6FDF32}"/>
    <cellStyle name="Normal 21 3 2 2 3" xfId="6195" xr:uid="{884BE356-C001-4810-ACAC-01EA94E89858}"/>
    <cellStyle name="Normal 21 3 2 2 3 2" xfId="14575" xr:uid="{1727588A-37F1-49B6-B4BE-CAA8B2374C97}"/>
    <cellStyle name="Normal 21 3 2 2 3 2 2" xfId="31335" xr:uid="{843C4DDA-E0C6-487E-A995-E443DEE78C3E}"/>
    <cellStyle name="Normal 21 3 2 2 3 2 3" xfId="48094" xr:uid="{18104B67-7B66-49B7-8FE7-2DB4FBDFEDA5}"/>
    <cellStyle name="Normal 21 3 2 2 3 3" xfId="22955" xr:uid="{D0D44760-1E31-4641-A274-BF9EDD4ABAC1}"/>
    <cellStyle name="Normal 21 3 2 2 3 4" xfId="39714" xr:uid="{E5D89F52-00C9-4B9D-963D-791FCF5D3864}"/>
    <cellStyle name="Normal 21 3 2 2 4" xfId="2931" xr:uid="{151461DC-1B0F-415F-BF95-F08F2220C55A}"/>
    <cellStyle name="Normal 21 3 2 2 4 2" xfId="11311" xr:uid="{F5843AC5-B1A3-4A42-8892-EED6B98B8185}"/>
    <cellStyle name="Normal 21 3 2 2 4 2 2" xfId="28071" xr:uid="{C1221EA6-9B44-4C76-9577-EBB08D6103ED}"/>
    <cellStyle name="Normal 21 3 2 2 4 2 3" xfId="44830" xr:uid="{8E4F5413-1442-45E9-96FA-816E9FE401C8}"/>
    <cellStyle name="Normal 21 3 2 2 4 3" xfId="19691" xr:uid="{E8DF4ED5-BE5C-40DD-9962-3FA9DD1C433C}"/>
    <cellStyle name="Normal 21 3 2 2 4 4" xfId="36450" xr:uid="{C138CF03-D02F-431C-9B73-594753808763}"/>
    <cellStyle name="Normal 21 3 2 2 5" xfId="9508" xr:uid="{D7EC006E-48D1-42C4-8D6C-D82F126CA718}"/>
    <cellStyle name="Normal 21 3 2 2 5 2" xfId="26268" xr:uid="{EF1FBA80-D5C9-4FA1-8DDC-C99DF1B05FA0}"/>
    <cellStyle name="Normal 21 3 2 2 5 3" xfId="43027" xr:uid="{DE2BFFEE-48F4-4EA3-AE02-D16B7202BFF1}"/>
    <cellStyle name="Normal 21 3 2 2 6" xfId="17888" xr:uid="{2FF4E806-8E59-4D49-AA70-C31D1E5A90D8}"/>
    <cellStyle name="Normal 21 3 2 2 7" xfId="34647" xr:uid="{8CE60706-7513-4624-9CC4-C77D3F511028}"/>
    <cellStyle name="Normal 21 3 2 3" xfId="1547" xr:uid="{4E02E2F9-1ADD-41CA-AD23-4E215902E8EE}"/>
    <cellStyle name="Normal 21 3 2 3 2" xfId="4936" xr:uid="{6446498D-B29B-4F3F-ADF0-96F8E9E075DF}"/>
    <cellStyle name="Normal 21 3 2 3 2 2" xfId="13316" xr:uid="{D152823C-1BFF-41C9-B4A5-C92B7A4BFEC9}"/>
    <cellStyle name="Normal 21 3 2 3 2 2 2" xfId="30076" xr:uid="{979DAE70-A719-44E9-AF93-316E5706DADE}"/>
    <cellStyle name="Normal 21 3 2 3 2 2 3" xfId="46835" xr:uid="{6C9F8A12-4C37-417E-B348-D19CDCA7235F}"/>
    <cellStyle name="Normal 21 3 2 3 2 3" xfId="21696" xr:uid="{5216B964-49DB-4F26-8E57-5518A2542049}"/>
    <cellStyle name="Normal 21 3 2 3 2 4" xfId="38455" xr:uid="{9588AC1F-BE4E-479B-A309-90B70E5303E4}"/>
    <cellStyle name="Normal 21 3 2 3 3" xfId="6623" xr:uid="{D1FEB5CA-EF08-4AE8-88F7-0571C174B0A4}"/>
    <cellStyle name="Normal 21 3 2 3 3 2" xfId="15003" xr:uid="{7C4EFEE7-7858-4B1C-BC51-8AE533F7563B}"/>
    <cellStyle name="Normal 21 3 2 3 3 2 2" xfId="31763" xr:uid="{F2A88A34-DCA3-45AA-AB5B-3FBAA07C3A6E}"/>
    <cellStyle name="Normal 21 3 2 3 3 2 3" xfId="48522" xr:uid="{F3D80BE8-C010-4529-BD39-F860A5D69491}"/>
    <cellStyle name="Normal 21 3 2 3 3 3" xfId="23383" xr:uid="{CA556B07-8201-4AA4-BE1F-2CDB03A30C44}"/>
    <cellStyle name="Normal 21 3 2 3 3 4" xfId="40142" xr:uid="{A959C6F7-7329-4D39-B119-E6542CE04585}"/>
    <cellStyle name="Normal 21 3 2 3 4" xfId="3359" xr:uid="{15CB5835-04EC-4383-B8BA-A34B3411B0FF}"/>
    <cellStyle name="Normal 21 3 2 3 4 2" xfId="11739" xr:uid="{D07686F6-3494-493E-AD58-5F5F4077E30B}"/>
    <cellStyle name="Normal 21 3 2 3 4 2 2" xfId="28499" xr:uid="{3932FAC1-919C-4E12-BE14-C32C0B0CA784}"/>
    <cellStyle name="Normal 21 3 2 3 4 2 3" xfId="45258" xr:uid="{969B0097-A7BB-4FC8-B111-8292C7F862B5}"/>
    <cellStyle name="Normal 21 3 2 3 4 3" xfId="20119" xr:uid="{3C4A1B2B-F2C5-4BAB-9F5D-DF1636E3E2A9}"/>
    <cellStyle name="Normal 21 3 2 3 4 4" xfId="36878" xr:uid="{C1ED8A6F-40AF-4765-8C7D-A97338E7F83B}"/>
    <cellStyle name="Normal 21 3 2 3 5" xfId="9936" xr:uid="{CB635E93-FAA5-4BF0-9646-41B72E3D57FC}"/>
    <cellStyle name="Normal 21 3 2 3 5 2" xfId="26696" xr:uid="{8E1540FF-3D19-4E6D-A0E3-11ED5CB2D491}"/>
    <cellStyle name="Normal 21 3 2 3 5 3" xfId="43455" xr:uid="{B3A2A2B7-CC33-46A3-AA27-62E56AA3A9A6}"/>
    <cellStyle name="Normal 21 3 2 3 6" xfId="18316" xr:uid="{EB125A5E-0DA2-4570-8042-60BA5E79222E}"/>
    <cellStyle name="Normal 21 3 2 3 7" xfId="35075" xr:uid="{319EE7E2-EDB9-4DF1-AFD9-9CC17F0AADBE}"/>
    <cellStyle name="Normal 21 3 2 4" xfId="1860" xr:uid="{C1097C95-77C9-4AFC-AB56-176E184CC9E0}"/>
    <cellStyle name="Normal 21 3 2 4 2" xfId="5249" xr:uid="{A83CA338-34F6-4226-8239-969539CED2C9}"/>
    <cellStyle name="Normal 21 3 2 4 2 2" xfId="13629" xr:uid="{5D26E071-5A43-4DB9-A7C2-A7E285A9F659}"/>
    <cellStyle name="Normal 21 3 2 4 2 2 2" xfId="30389" xr:uid="{CDEDB2EB-741C-49F1-A62F-4210897F73C6}"/>
    <cellStyle name="Normal 21 3 2 4 2 2 3" xfId="47148" xr:uid="{AA86065D-67FE-4B72-9525-559B548F0F5B}"/>
    <cellStyle name="Normal 21 3 2 4 2 3" xfId="22009" xr:uid="{5F8AB287-1DFC-4573-9E5F-534E5F2F9D0C}"/>
    <cellStyle name="Normal 21 3 2 4 2 4" xfId="38768" xr:uid="{9DC7558C-8F35-4F3F-BB4E-65FA3F20DBCD}"/>
    <cellStyle name="Normal 21 3 2 4 3" xfId="6936" xr:uid="{66F57DC7-D3F8-4A45-8138-F60AB60793B6}"/>
    <cellStyle name="Normal 21 3 2 4 3 2" xfId="15316" xr:uid="{1C29E825-2DCF-4573-86F5-9A13FBB07AD3}"/>
    <cellStyle name="Normal 21 3 2 4 3 2 2" xfId="32076" xr:uid="{E7F63EEF-F6C2-4423-AB91-B0C442CCE8C8}"/>
    <cellStyle name="Normal 21 3 2 4 3 2 3" xfId="48835" xr:uid="{DDEE069E-BC5A-4501-AB87-6AEB10B0CBDD}"/>
    <cellStyle name="Normal 21 3 2 4 3 3" xfId="23696" xr:uid="{05A97BF3-E9AA-4992-8FD2-AA66C5D097E8}"/>
    <cellStyle name="Normal 21 3 2 4 3 4" xfId="40455" xr:uid="{CD7528E4-0B9A-4788-85B6-42EEF590428D}"/>
    <cellStyle name="Normal 21 3 2 4 4" xfId="3560" xr:uid="{B80B57F6-8BCC-4348-A60A-665CDA3436BC}"/>
    <cellStyle name="Normal 21 3 2 4 4 2" xfId="11940" xr:uid="{8739F52E-3F0F-4FAE-A0C7-F98D7ECFF99B}"/>
    <cellStyle name="Normal 21 3 2 4 4 2 2" xfId="28700" xr:uid="{81AFE89A-2BDF-49A4-BB43-2FEB284E6579}"/>
    <cellStyle name="Normal 21 3 2 4 4 2 3" xfId="45459" xr:uid="{63F0E7C1-A284-4DD9-A045-B07622C7056C}"/>
    <cellStyle name="Normal 21 3 2 4 4 3" xfId="20320" xr:uid="{EEA81A24-1D7D-481C-9732-A7F711723880}"/>
    <cellStyle name="Normal 21 3 2 4 4 4" xfId="37079" xr:uid="{53168441-6301-4B92-8943-033786D2382A}"/>
    <cellStyle name="Normal 21 3 2 4 5" xfId="10249" xr:uid="{07197CA7-5978-40F4-A3F5-B296BAD999D0}"/>
    <cellStyle name="Normal 21 3 2 4 5 2" xfId="27009" xr:uid="{7160B233-45A8-402B-AF20-9043B9BEB85B}"/>
    <cellStyle name="Normal 21 3 2 4 5 3" xfId="43768" xr:uid="{5DCCF5E7-EE1C-4736-A9E3-BCA40AFED1B7}"/>
    <cellStyle name="Normal 21 3 2 4 6" xfId="18629" xr:uid="{192A0299-8CFA-4FDD-A75C-8EC7CCD47AAC}"/>
    <cellStyle name="Normal 21 3 2 4 7" xfId="35388" xr:uid="{C2349B42-DDD4-4FD3-A862-7F50E121DAC3}"/>
    <cellStyle name="Normal 21 3 2 5" xfId="3979" xr:uid="{FDABB78D-2FB5-4D71-ACF9-EAFF5B18D051}"/>
    <cellStyle name="Normal 21 3 2 5 2" xfId="12359" xr:uid="{C207DEE4-7B8C-4741-9FB6-0720512A3A28}"/>
    <cellStyle name="Normal 21 3 2 5 2 2" xfId="29119" xr:uid="{4AA7E1BD-B3D8-41A2-8EC9-A56175E7F791}"/>
    <cellStyle name="Normal 21 3 2 5 2 3" xfId="45878" xr:uid="{0666526F-D8A4-4B19-8113-94612EE5D6A0}"/>
    <cellStyle name="Normal 21 3 2 5 3" xfId="20739" xr:uid="{63ABE47F-F081-418E-AC91-59DF048D969D}"/>
    <cellStyle name="Normal 21 3 2 5 4" xfId="37498" xr:uid="{8E77FBE9-ED8F-401A-828E-E056B11FB0B2}"/>
    <cellStyle name="Normal 21 3 2 6" xfId="5769" xr:uid="{0E93FE3D-FF93-4EE3-8874-2F9F7C1385CE}"/>
    <cellStyle name="Normal 21 3 2 6 2" xfId="14149" xr:uid="{E47A0DE2-49AF-47F9-A123-5C679C491E69}"/>
    <cellStyle name="Normal 21 3 2 6 2 2" xfId="30909" xr:uid="{C48FEC39-FE4A-48A3-A8AF-A2C1CC788362}"/>
    <cellStyle name="Normal 21 3 2 6 2 3" xfId="47668" xr:uid="{25CB9D09-130A-4402-BD3D-4FD3198ED0B2}"/>
    <cellStyle name="Normal 21 3 2 6 3" xfId="22529" xr:uid="{2A1AE574-68B6-47FE-B34B-EFEEE0FE687B}"/>
    <cellStyle name="Normal 21 3 2 6 4" xfId="39288" xr:uid="{7AD522BA-3EF4-4A27-A4CF-5D42D19C144A}"/>
    <cellStyle name="Normal 21 3 2 7" xfId="7342" xr:uid="{341FAADC-3EA7-4702-B34D-964B4F73354F}"/>
    <cellStyle name="Normal 21 3 2 7 2" xfId="15722" xr:uid="{74C3A2D3-6FB6-4E22-8F09-DBBB6D817172}"/>
    <cellStyle name="Normal 21 3 2 7 2 2" xfId="32482" xr:uid="{B41425D1-4BBE-4155-BD53-7673A853F003}"/>
    <cellStyle name="Normal 21 3 2 7 2 3" xfId="49241" xr:uid="{EE75A897-068C-4F72-812A-3D2006BF1094}"/>
    <cellStyle name="Normal 21 3 2 7 3" xfId="24102" xr:uid="{A09F0F1F-0029-4FFA-916D-4AF2406AD7C4}"/>
    <cellStyle name="Normal 21 3 2 7 4" xfId="40861" xr:uid="{9EFADC0B-BD93-43C8-B5D2-0A5F76292847}"/>
    <cellStyle name="Normal 21 3 2 8" xfId="7748" xr:uid="{98FBDF22-F3D0-4C6C-91D0-099E5DD1014B}"/>
    <cellStyle name="Normal 21 3 2 8 2" xfId="16128" xr:uid="{A5A92CA7-D9BC-499C-96DA-D72F27A942FE}"/>
    <cellStyle name="Normal 21 3 2 8 2 2" xfId="32888" xr:uid="{7E12E425-CF8D-44B3-A34A-5D642730566D}"/>
    <cellStyle name="Normal 21 3 2 8 2 3" xfId="49647" xr:uid="{296D8C81-B488-4C07-BF1F-AB95A7B967C4}"/>
    <cellStyle name="Normal 21 3 2 8 3" xfId="24508" xr:uid="{4FC8A02E-F8F4-4F4D-80D8-995CB3AA08AA}"/>
    <cellStyle name="Normal 21 3 2 8 4" xfId="41267" xr:uid="{3D70A9FD-0433-4B83-9035-3221FECACF77}"/>
    <cellStyle name="Normal 21 3 2 9" xfId="8154" xr:uid="{F54CDA8D-18F6-4775-A2E8-8B00C7DE09BE}"/>
    <cellStyle name="Normal 21 3 2 9 2" xfId="16534" xr:uid="{5C8ABBAE-F7C9-4F60-B2AB-2E8042EAF635}"/>
    <cellStyle name="Normal 21 3 2 9 2 2" xfId="33294" xr:uid="{ED71C76A-14A9-476D-9FB7-908AACFEAB20}"/>
    <cellStyle name="Normal 21 3 2 9 2 3" xfId="50053" xr:uid="{2A0641DD-3289-443D-AC26-95E8B451F87F}"/>
    <cellStyle name="Normal 21 3 2 9 3" xfId="24914" xr:uid="{201FFE84-C3F3-4BB5-AEB2-243AC2D12024}"/>
    <cellStyle name="Normal 21 3 2 9 4" xfId="41673" xr:uid="{9E82EE46-48CD-43BE-823E-28C8065CCDE8}"/>
    <cellStyle name="Normal 21 3 3" xfId="674" xr:uid="{B1816643-33C3-4377-A7AA-6C0733666F36}"/>
    <cellStyle name="Normal 21 3 3 10" xfId="8728" xr:uid="{FB152CAC-6DD0-479E-B953-EFECE23E5ECF}"/>
    <cellStyle name="Normal 21 3 3 10 2" xfId="17108" xr:uid="{3D918E99-50F3-4715-AF84-D8B6EFFECD5B}"/>
    <cellStyle name="Normal 21 3 3 10 2 2" xfId="33868" xr:uid="{FA73F74F-BDE3-41D7-B9E0-971FB236ACF2}"/>
    <cellStyle name="Normal 21 3 3 10 2 3" xfId="50627" xr:uid="{60D8C96C-D639-4218-A53A-222F8D04BE40}"/>
    <cellStyle name="Normal 21 3 3 10 3" xfId="25488" xr:uid="{FA8D4931-6975-4243-A137-F6DBD97E6579}"/>
    <cellStyle name="Normal 21 3 3 10 4" xfId="42247" xr:uid="{9CF1B426-6EBC-47BE-BFB5-231C98D2A149}"/>
    <cellStyle name="Normal 21 3 3 11" xfId="2504" xr:uid="{C589558D-FBEA-4084-A3E4-E54F010FBB3F}"/>
    <cellStyle name="Normal 21 3 3 11 2" xfId="10886" xr:uid="{289C9672-62A2-443D-8D6D-26A401F6123C}"/>
    <cellStyle name="Normal 21 3 3 11 2 2" xfId="27646" xr:uid="{B45A66F1-F354-43A5-BCED-5AACF27FA2FA}"/>
    <cellStyle name="Normal 21 3 3 11 2 3" xfId="44405" xr:uid="{205B2E8C-B414-4567-89BE-FFE2616DF610}"/>
    <cellStyle name="Normal 21 3 3 11 3" xfId="19266" xr:uid="{4698B6B0-5B8F-4697-B65B-3BF24B5BB184}"/>
    <cellStyle name="Normal 21 3 3 11 4" xfId="36025" xr:uid="{62495CBD-DEB2-43EB-A8A3-0659B606E343}"/>
    <cellStyle name="Normal 21 3 3 12" xfId="9083" xr:uid="{46C47E39-571D-4F6B-A771-F0DB2BF646F5}"/>
    <cellStyle name="Normal 21 3 3 12 2" xfId="25843" xr:uid="{6329E1D0-9654-4A9A-8499-64C842A27019}"/>
    <cellStyle name="Normal 21 3 3 12 3" xfId="42602" xr:uid="{82306199-01A0-40B8-B75A-C0F47E4DFC4A}"/>
    <cellStyle name="Normal 21 3 3 13" xfId="17463" xr:uid="{86EC3704-3BC9-43D9-AF1E-2BA97E1B5634}"/>
    <cellStyle name="Normal 21 3 3 14" xfId="34222" xr:uid="{3CE9A466-974C-45A9-B584-21FCAF12A119}"/>
    <cellStyle name="Normal 21 3 3 2" xfId="1114" xr:uid="{EFB9D9CC-F00D-461C-9BD1-BCD8D21E7E9E}"/>
    <cellStyle name="Normal 21 3 3 2 2" xfId="4509" xr:uid="{594D7DAF-8C62-4584-AC54-6FE63518F383}"/>
    <cellStyle name="Normal 21 3 3 2 2 2" xfId="12889" xr:uid="{20A4DE08-5413-481E-BF84-BA9719BBE164}"/>
    <cellStyle name="Normal 21 3 3 2 2 2 2" xfId="29649" xr:uid="{ADB4608D-129C-4605-8941-AFFFE37F01B2}"/>
    <cellStyle name="Normal 21 3 3 2 2 2 3" xfId="46408" xr:uid="{6F1BCFC8-D31E-4407-9843-C8A93D6DC5C7}"/>
    <cellStyle name="Normal 21 3 3 2 2 3" xfId="21269" xr:uid="{7E3E1D91-5B7A-46D5-BE3F-DA1B3595CA7C}"/>
    <cellStyle name="Normal 21 3 3 2 2 4" xfId="38028" xr:uid="{77D71BA6-3263-4555-8016-29A1EEBCBEFB}"/>
    <cellStyle name="Normal 21 3 3 2 3" xfId="6196" xr:uid="{DFB31C8A-A462-4988-A668-9FA906A551FA}"/>
    <cellStyle name="Normal 21 3 3 2 3 2" xfId="14576" xr:uid="{5B1631C0-1839-41A3-8024-676B8D4B9EEA}"/>
    <cellStyle name="Normal 21 3 3 2 3 2 2" xfId="31336" xr:uid="{9D9A2692-2701-4E37-BA73-ED3CBCB85E72}"/>
    <cellStyle name="Normal 21 3 3 2 3 2 3" xfId="48095" xr:uid="{7A59D4CF-F7EF-4F30-84E1-C44900C6BED8}"/>
    <cellStyle name="Normal 21 3 3 2 3 3" xfId="22956" xr:uid="{732DADE4-A412-485B-9F3A-119B9D69EBC8}"/>
    <cellStyle name="Normal 21 3 3 2 3 4" xfId="39715" xr:uid="{B72AB78B-848D-41A2-B64F-C1EAFCD5A1BB}"/>
    <cellStyle name="Normal 21 3 3 2 4" xfId="2932" xr:uid="{638565AF-27F4-4F07-8C9F-5093CD978593}"/>
    <cellStyle name="Normal 21 3 3 2 4 2" xfId="11312" xr:uid="{FF016FE6-17E4-4C8E-8CEB-89CC7CEB2DB4}"/>
    <cellStyle name="Normal 21 3 3 2 4 2 2" xfId="28072" xr:uid="{685AEAE8-66F2-4155-89C4-E35EE97DEFE8}"/>
    <cellStyle name="Normal 21 3 3 2 4 2 3" xfId="44831" xr:uid="{BB5ABD1F-1B6F-4EC9-8109-8CF9067F78E1}"/>
    <cellStyle name="Normal 21 3 3 2 4 3" xfId="19692" xr:uid="{7B024FEE-A2BA-4568-B7DD-AE0E31F49077}"/>
    <cellStyle name="Normal 21 3 3 2 4 4" xfId="36451" xr:uid="{2EE6FD3B-F2F6-4942-81C5-32AC7145E4C3}"/>
    <cellStyle name="Normal 21 3 3 2 5" xfId="9509" xr:uid="{2C8BE234-27DA-41FB-AEBD-B4AF82559EE3}"/>
    <cellStyle name="Normal 21 3 3 2 5 2" xfId="26269" xr:uid="{9BF49D3F-87C5-46D2-9650-D8434841348D}"/>
    <cellStyle name="Normal 21 3 3 2 5 3" xfId="43028" xr:uid="{C4147BD2-92A1-47B4-91CF-A7F38EFED884}"/>
    <cellStyle name="Normal 21 3 3 2 6" xfId="17889" xr:uid="{B790F5FF-EAA2-4ED7-89FB-988741EFAE77}"/>
    <cellStyle name="Normal 21 3 3 2 7" xfId="34648" xr:uid="{FDA67D09-40AF-43AC-95AB-B4B94537187B}"/>
    <cellStyle name="Normal 21 3 3 3" xfId="1548" xr:uid="{B749ACE0-2608-4EF0-A1FA-633E5AB1EC9D}"/>
    <cellStyle name="Normal 21 3 3 3 2" xfId="4937" xr:uid="{9F3610F9-7B06-4314-A515-D8230B5813A4}"/>
    <cellStyle name="Normal 21 3 3 3 2 2" xfId="13317" xr:uid="{0394DAE0-B120-4EDA-98DE-6D6FB7BC6EB4}"/>
    <cellStyle name="Normal 21 3 3 3 2 2 2" xfId="30077" xr:uid="{047D8A61-7283-4397-A45E-AAD3D79B9CE7}"/>
    <cellStyle name="Normal 21 3 3 3 2 2 3" xfId="46836" xr:uid="{D408950B-8A1F-4246-9236-0016D7B58A02}"/>
    <cellStyle name="Normal 21 3 3 3 2 3" xfId="21697" xr:uid="{49FB8ED8-DE56-41ED-A45D-F49811EC7961}"/>
    <cellStyle name="Normal 21 3 3 3 2 4" xfId="38456" xr:uid="{AF7E3637-22E3-4E4B-A5A5-72FF2E7ECF3B}"/>
    <cellStyle name="Normal 21 3 3 3 3" xfId="6624" xr:uid="{73190F23-853F-4A7D-A7D6-BAC8AC7F8D7F}"/>
    <cellStyle name="Normal 21 3 3 3 3 2" xfId="15004" xr:uid="{0049AE97-E278-4C29-BE9F-DD8D2FE7E2F6}"/>
    <cellStyle name="Normal 21 3 3 3 3 2 2" xfId="31764" xr:uid="{8EEC17E2-8C94-4E7E-85CB-4F95BD8D0EB1}"/>
    <cellStyle name="Normal 21 3 3 3 3 2 3" xfId="48523" xr:uid="{594D6503-9142-4291-9F74-3D89E415D65E}"/>
    <cellStyle name="Normal 21 3 3 3 3 3" xfId="23384" xr:uid="{A0894074-C9A6-4E2A-BCC3-F1FBB34192C7}"/>
    <cellStyle name="Normal 21 3 3 3 3 4" xfId="40143" xr:uid="{690A8289-4E64-4AE6-A40B-5196C55D739F}"/>
    <cellStyle name="Normal 21 3 3 3 4" xfId="3360" xr:uid="{5152DC5F-F615-4C91-9168-7AD00665081A}"/>
    <cellStyle name="Normal 21 3 3 3 4 2" xfId="11740" xr:uid="{3F10EF77-F6C9-4950-B6C1-B0F43F6BBE00}"/>
    <cellStyle name="Normal 21 3 3 3 4 2 2" xfId="28500" xr:uid="{2E300255-AE30-4EE5-AB28-0883383A4EE4}"/>
    <cellStyle name="Normal 21 3 3 3 4 2 3" xfId="45259" xr:uid="{BDA063B0-29D4-4A3B-8B17-19AFEBE621A7}"/>
    <cellStyle name="Normal 21 3 3 3 4 3" xfId="20120" xr:uid="{0D34E6A8-005C-4D81-B094-D58D3CF6F934}"/>
    <cellStyle name="Normal 21 3 3 3 4 4" xfId="36879" xr:uid="{69C8539C-F365-4E8E-B2D1-3F9E8EFE8745}"/>
    <cellStyle name="Normal 21 3 3 3 5" xfId="9937" xr:uid="{83B20493-10D7-4583-BB56-BD1D31CAAA0F}"/>
    <cellStyle name="Normal 21 3 3 3 5 2" xfId="26697" xr:uid="{409D1459-67A4-4A3F-B82E-59B01F366867}"/>
    <cellStyle name="Normal 21 3 3 3 5 3" xfId="43456" xr:uid="{413F254B-2D67-4733-B729-B16D4AF0A744}"/>
    <cellStyle name="Normal 21 3 3 3 6" xfId="18317" xr:uid="{EF47731E-D4F2-4B33-B919-E798AA002423}"/>
    <cellStyle name="Normal 21 3 3 3 7" xfId="35076" xr:uid="{5A44ECFB-9683-4F87-B718-4E8C591C064B}"/>
    <cellStyle name="Normal 21 3 3 4" xfId="2028" xr:uid="{7290D431-5BD5-4969-8B1C-2BE8C97C0C29}"/>
    <cellStyle name="Normal 21 3 3 4 2" xfId="5417" xr:uid="{339DEEAB-FDC7-44F6-88FF-C4CD0A92E967}"/>
    <cellStyle name="Normal 21 3 3 4 2 2" xfId="13797" xr:uid="{67547925-3785-40C8-B84A-9D0E8058B7AA}"/>
    <cellStyle name="Normal 21 3 3 4 2 2 2" xfId="30557" xr:uid="{EF7B1290-F258-408D-AD31-2DBA0312A5DE}"/>
    <cellStyle name="Normal 21 3 3 4 2 2 3" xfId="47316" xr:uid="{037DD57D-62C8-4B61-B474-1ED66B697D21}"/>
    <cellStyle name="Normal 21 3 3 4 2 3" xfId="22177" xr:uid="{F1D0DC64-50D5-43C9-99DA-66E98491B087}"/>
    <cellStyle name="Normal 21 3 3 4 2 4" xfId="38936" xr:uid="{5FC76689-DCBD-49E2-884F-F01409F76615}"/>
    <cellStyle name="Normal 21 3 3 4 3" xfId="7104" xr:uid="{D27F9820-0ECC-4B7D-B69B-5F4820664609}"/>
    <cellStyle name="Normal 21 3 3 4 3 2" xfId="15484" xr:uid="{D5CE7F0A-F3BF-408F-94B6-832A307360A8}"/>
    <cellStyle name="Normal 21 3 3 4 3 2 2" xfId="32244" xr:uid="{AF7E3D9F-1CE9-4D87-9538-40C73C11B71E}"/>
    <cellStyle name="Normal 21 3 3 4 3 2 3" xfId="49003" xr:uid="{127C3725-8AE6-4FF4-B8F7-7BA3C43AB15C}"/>
    <cellStyle name="Normal 21 3 3 4 3 3" xfId="23864" xr:uid="{0BE6B23B-F901-4DDC-B613-9C0FAE52724E}"/>
    <cellStyle name="Normal 21 3 3 4 3 4" xfId="40623" xr:uid="{9DCCC95D-923B-486D-9CB2-F6712EDB385C}"/>
    <cellStyle name="Normal 21 3 3 4 4" xfId="3727" xr:uid="{C809D70A-1A6D-4F9D-966B-2D364393F8E4}"/>
    <cellStyle name="Normal 21 3 3 4 4 2" xfId="12107" xr:uid="{CD835A10-7397-4BC3-810E-5EC2820F7AE0}"/>
    <cellStyle name="Normal 21 3 3 4 4 2 2" xfId="28867" xr:uid="{7D4C2993-5277-420C-A5A2-7ED0FAD8B409}"/>
    <cellStyle name="Normal 21 3 3 4 4 2 3" xfId="45626" xr:uid="{FACEF051-CD7B-43BF-9976-CB3043B0DA10}"/>
    <cellStyle name="Normal 21 3 3 4 4 3" xfId="20487" xr:uid="{3B2ABD74-5F2F-4EFE-BB90-28DDBBBBC1CC}"/>
    <cellStyle name="Normal 21 3 3 4 4 4" xfId="37246" xr:uid="{F9132C89-8714-49DD-B878-6E10D6CD9314}"/>
    <cellStyle name="Normal 21 3 3 4 5" xfId="10417" xr:uid="{2986DB30-EC54-4D6E-92F9-4C4DF5A7D870}"/>
    <cellStyle name="Normal 21 3 3 4 5 2" xfId="27177" xr:uid="{3C41F22D-C635-4C94-B6AB-40F7A1D10B65}"/>
    <cellStyle name="Normal 21 3 3 4 5 3" xfId="43936" xr:uid="{28B7094B-6523-4913-A0A9-882DC7C99E08}"/>
    <cellStyle name="Normal 21 3 3 4 6" xfId="18797" xr:uid="{432B73A3-93D0-4771-9182-205F981FD314}"/>
    <cellStyle name="Normal 21 3 3 4 7" xfId="35556" xr:uid="{F4A07BA5-2C2C-443A-9C30-8C74F6CD5E97}"/>
    <cellStyle name="Normal 21 3 3 5" xfId="4147" xr:uid="{4DCE2C3E-0315-4992-8633-132286010ED6}"/>
    <cellStyle name="Normal 21 3 3 5 2" xfId="12527" xr:uid="{AB6881A4-C0BF-47B5-A618-96DD9BB4AE47}"/>
    <cellStyle name="Normal 21 3 3 5 2 2" xfId="29287" xr:uid="{9E4E8301-E8EA-4F63-A908-5225AB8B3951}"/>
    <cellStyle name="Normal 21 3 3 5 2 3" xfId="46046" xr:uid="{DF23F3FA-BF2F-4F0A-B52C-DDDDCAEFD242}"/>
    <cellStyle name="Normal 21 3 3 5 3" xfId="20907" xr:uid="{0A77A899-CA76-496B-BF91-A6B869E89D51}"/>
    <cellStyle name="Normal 21 3 3 5 4" xfId="37666" xr:uid="{6488371B-41F1-491C-9EE6-B80F1E9BA234}"/>
    <cellStyle name="Normal 21 3 3 6" xfId="5770" xr:uid="{A16E9BC4-9394-4FED-8FA4-15147AB741D2}"/>
    <cellStyle name="Normal 21 3 3 6 2" xfId="14150" xr:uid="{E4383122-DDA3-42A5-AE42-4ED39AF7F7BD}"/>
    <cellStyle name="Normal 21 3 3 6 2 2" xfId="30910" xr:uid="{08E58F9C-8B26-4436-9D97-19300FF74703}"/>
    <cellStyle name="Normal 21 3 3 6 2 3" xfId="47669" xr:uid="{3C25DE4F-89D2-4E10-ACAD-D0ACF4FFD76B}"/>
    <cellStyle name="Normal 21 3 3 6 3" xfId="22530" xr:uid="{C0624937-BA72-4A92-B708-6DB059AB1732}"/>
    <cellStyle name="Normal 21 3 3 6 4" xfId="39289" xr:uid="{FE587305-FD2A-42AA-828E-7F8914D52A07}"/>
    <cellStyle name="Normal 21 3 3 7" xfId="7510" xr:uid="{F3D8DFB4-1220-438E-A048-B632F590714A}"/>
    <cellStyle name="Normal 21 3 3 7 2" xfId="15890" xr:uid="{AE289145-4081-407C-B94E-30880DC26D97}"/>
    <cellStyle name="Normal 21 3 3 7 2 2" xfId="32650" xr:uid="{3171817F-5F13-4927-A63C-8841A21129F8}"/>
    <cellStyle name="Normal 21 3 3 7 2 3" xfId="49409" xr:uid="{316DD46B-FFFB-41F1-965D-D7F1AD2268E7}"/>
    <cellStyle name="Normal 21 3 3 7 3" xfId="24270" xr:uid="{537A4E5D-B3C4-4B92-A33E-3606259D361A}"/>
    <cellStyle name="Normal 21 3 3 7 4" xfId="41029" xr:uid="{53A0FFE8-9314-48AE-9120-28DCC637898F}"/>
    <cellStyle name="Normal 21 3 3 8" xfId="7916" xr:uid="{0ACE151F-0122-442C-97BE-FCB4F1BE54A7}"/>
    <cellStyle name="Normal 21 3 3 8 2" xfId="16296" xr:uid="{54AF5A40-B043-4686-A273-A8AF347AECAF}"/>
    <cellStyle name="Normal 21 3 3 8 2 2" xfId="33056" xr:uid="{E430DC35-C6F5-45AC-92A5-7EDABE9E3393}"/>
    <cellStyle name="Normal 21 3 3 8 2 3" xfId="49815" xr:uid="{7FE31E7B-BAE1-49BA-89E4-47A2A13F51ED}"/>
    <cellStyle name="Normal 21 3 3 8 3" xfId="24676" xr:uid="{E16FC97E-1DDA-4B2C-9CD7-B31C33D496D1}"/>
    <cellStyle name="Normal 21 3 3 8 4" xfId="41435" xr:uid="{A3EDE5E6-718B-45FF-BBD3-88D4F0D1D4AC}"/>
    <cellStyle name="Normal 21 3 3 9" xfId="8322" xr:uid="{F3A3F078-3F16-4A39-A4C7-14881EC703F2}"/>
    <cellStyle name="Normal 21 3 3 9 2" xfId="16702" xr:uid="{39FD4BEE-82B3-4601-8D17-20A44B6258CC}"/>
    <cellStyle name="Normal 21 3 3 9 2 2" xfId="33462" xr:uid="{FD8E2FC5-01F9-4A5C-840A-8344EDA26E72}"/>
    <cellStyle name="Normal 21 3 3 9 2 3" xfId="50221" xr:uid="{4EFFD392-E8F4-4071-AAFC-15DC9197324D}"/>
    <cellStyle name="Normal 21 3 3 9 3" xfId="25082" xr:uid="{E85693C6-F450-4EE9-9DF2-A91838DBAEB8}"/>
    <cellStyle name="Normal 21 3 3 9 4" xfId="41841" xr:uid="{C6237110-C9C3-4C84-8522-D0010E7EFE03}"/>
    <cellStyle name="Normal 21 3 4" xfId="859" xr:uid="{E959F170-DDAC-49CF-A06A-A007E2903677}"/>
    <cellStyle name="Normal 21 3 4 2" xfId="4254" xr:uid="{EA4F5413-19EF-4884-862E-8FF08FAE6771}"/>
    <cellStyle name="Normal 21 3 4 2 2" xfId="12634" xr:uid="{B6D55024-7619-43CB-A8CF-6C0115DDA7DE}"/>
    <cellStyle name="Normal 21 3 4 2 2 2" xfId="29394" xr:uid="{1B01998B-249E-4E7E-9BFD-658A7525B631}"/>
    <cellStyle name="Normal 21 3 4 2 2 3" xfId="46153" xr:uid="{43CE6E4E-5592-4208-AFF4-9FCA3969267F}"/>
    <cellStyle name="Normal 21 3 4 2 3" xfId="21014" xr:uid="{78666C88-852C-479C-9ED4-897E976CB938}"/>
    <cellStyle name="Normal 21 3 4 2 4" xfId="37773" xr:uid="{B2440F36-B1CB-47DF-8A1B-491439160BFF}"/>
    <cellStyle name="Normal 21 3 4 3" xfId="5941" xr:uid="{649DFEAE-FEB7-4BEC-B2F4-FC0101CF6538}"/>
    <cellStyle name="Normal 21 3 4 3 2" xfId="14321" xr:uid="{950AEC20-2593-4301-AF5B-13F31638B3E8}"/>
    <cellStyle name="Normal 21 3 4 3 2 2" xfId="31081" xr:uid="{5628C37E-6503-4FA2-8665-04711F3E6E75}"/>
    <cellStyle name="Normal 21 3 4 3 2 3" xfId="47840" xr:uid="{604E0EF4-F052-43A6-8E01-D27E76D1DA75}"/>
    <cellStyle name="Normal 21 3 4 3 3" xfId="22701" xr:uid="{3500D221-A6BD-44EE-8806-D74B60FD0F8A}"/>
    <cellStyle name="Normal 21 3 4 3 4" xfId="39460" xr:uid="{65E849E0-7633-4AD2-ADEF-1DCD1DBEB043}"/>
    <cellStyle name="Normal 21 3 4 4" xfId="2677" xr:uid="{5F26DA44-D58E-4671-A66E-C753595ADAF7}"/>
    <cellStyle name="Normal 21 3 4 4 2" xfId="11057" xr:uid="{56C9CDB1-DC3C-44CF-8BAB-5383AFBB85FF}"/>
    <cellStyle name="Normal 21 3 4 4 2 2" xfId="27817" xr:uid="{D682C798-41AF-4DEA-8909-C0B90059ED11}"/>
    <cellStyle name="Normal 21 3 4 4 2 3" xfId="44576" xr:uid="{6DDB6B30-1C19-408A-B241-4A386A3AA9FD}"/>
    <cellStyle name="Normal 21 3 4 4 3" xfId="19437" xr:uid="{F44F855C-BA44-4521-967A-2E04C2182449}"/>
    <cellStyle name="Normal 21 3 4 4 4" xfId="36196" xr:uid="{0AD6653D-B0D0-4695-A485-9E22054DC212}"/>
    <cellStyle name="Normal 21 3 4 5" xfId="9254" xr:uid="{76F8B89A-BBC4-4A72-9586-AF0FB7E62276}"/>
    <cellStyle name="Normal 21 3 4 5 2" xfId="26014" xr:uid="{A92AECF7-08DC-4F60-A167-605FCA5AE68E}"/>
    <cellStyle name="Normal 21 3 4 5 3" xfId="42773" xr:uid="{2A165931-2C40-40DF-ABBB-717EFF89A014}"/>
    <cellStyle name="Normal 21 3 4 6" xfId="17634" xr:uid="{62E24B1E-27C6-44CA-9A34-30781D11F579}"/>
    <cellStyle name="Normal 21 3 4 7" xfId="34393" xr:uid="{92EF5EB0-14BD-4AC1-BFAF-4346CC3CEE99}"/>
    <cellStyle name="Normal 21 3 5" xfId="1293" xr:uid="{C1F5A596-48E6-43EA-95A5-14E4FC6047FA}"/>
    <cellStyle name="Normal 21 3 5 2" xfId="4682" xr:uid="{E716B680-67B0-4FDC-B7A8-D7C537BCF2B3}"/>
    <cellStyle name="Normal 21 3 5 2 2" xfId="13062" xr:uid="{318B95D6-016C-4D19-B7B7-55CEEA7FB7F3}"/>
    <cellStyle name="Normal 21 3 5 2 2 2" xfId="29822" xr:uid="{85D66069-C2DD-4A5B-983D-84CEFB7BCC3F}"/>
    <cellStyle name="Normal 21 3 5 2 2 3" xfId="46581" xr:uid="{EF83DCBF-6A1E-4D99-84B1-44EDB56AF8A3}"/>
    <cellStyle name="Normal 21 3 5 2 3" xfId="21442" xr:uid="{11335447-7109-45C4-BAA0-D649087439FC}"/>
    <cellStyle name="Normal 21 3 5 2 4" xfId="38201" xr:uid="{37B559C4-0BEE-4B25-A890-47457EFA2E54}"/>
    <cellStyle name="Normal 21 3 5 3" xfId="6369" xr:uid="{F2326CDC-394F-4500-B746-F543F182EB03}"/>
    <cellStyle name="Normal 21 3 5 3 2" xfId="14749" xr:uid="{FFAC3B6C-5F2A-41EA-A0D5-2F56AC1FDE98}"/>
    <cellStyle name="Normal 21 3 5 3 2 2" xfId="31509" xr:uid="{727A3985-5EC6-477C-9CF9-BC7E6FD0B0FD}"/>
    <cellStyle name="Normal 21 3 5 3 2 3" xfId="48268" xr:uid="{3863E9E1-6B72-4B40-BEB7-F2BC91E4EB2E}"/>
    <cellStyle name="Normal 21 3 5 3 3" xfId="23129" xr:uid="{B8210B23-CB0F-44EE-AA89-08362D166661}"/>
    <cellStyle name="Normal 21 3 5 3 4" xfId="39888" xr:uid="{72DA5CC5-BC28-4587-BBD8-BB5470494DBD}"/>
    <cellStyle name="Normal 21 3 5 4" xfId="3105" xr:uid="{B79B195C-476E-419E-A112-705885BFAE77}"/>
    <cellStyle name="Normal 21 3 5 4 2" xfId="11485" xr:uid="{499E02FC-61BF-46F7-B789-0C868E350587}"/>
    <cellStyle name="Normal 21 3 5 4 2 2" xfId="28245" xr:uid="{7EC7D0A5-36F7-4C8B-9820-614829E2BAAD}"/>
    <cellStyle name="Normal 21 3 5 4 2 3" xfId="45004" xr:uid="{DBAFED36-3E51-4C9B-97D8-1B0CD539F690}"/>
    <cellStyle name="Normal 21 3 5 4 3" xfId="19865" xr:uid="{AB506A7C-0E7A-44BE-9AFA-C806636E57BE}"/>
    <cellStyle name="Normal 21 3 5 4 4" xfId="36624" xr:uid="{D45DF647-899D-4F07-8225-D8A34E6FF905}"/>
    <cellStyle name="Normal 21 3 5 5" xfId="9682" xr:uid="{11C49EF2-AB8A-40E2-9686-665CA0FD5C2C}"/>
    <cellStyle name="Normal 21 3 5 5 2" xfId="26442" xr:uid="{5F86487A-A3FA-4476-95BB-4D1EC4905FA1}"/>
    <cellStyle name="Normal 21 3 5 5 3" xfId="43201" xr:uid="{38E13344-1398-42C4-95DE-DD4EC0918BFB}"/>
    <cellStyle name="Normal 21 3 5 6" xfId="18062" xr:uid="{2CA35D7C-D19E-434E-94AC-7EE2D37B06FC}"/>
    <cellStyle name="Normal 21 3 5 7" xfId="34821" xr:uid="{4D6427AB-1290-4DBE-904D-4C1D2DE7273E}"/>
    <cellStyle name="Normal 21 3 6" xfId="1757" xr:uid="{1A97D9E0-84D4-45A3-9DB0-B7F309FB870E}"/>
    <cellStyle name="Normal 21 3 6 2" xfId="5146" xr:uid="{8AE0C1A2-70DB-4C06-BB2D-6954F90706C7}"/>
    <cellStyle name="Normal 21 3 6 2 2" xfId="13526" xr:uid="{78286D40-AF4D-4CDD-8DB2-ECE5CEEAE373}"/>
    <cellStyle name="Normal 21 3 6 2 2 2" xfId="30286" xr:uid="{52425DA5-2B2F-47BB-90F0-CDC6CED1C43E}"/>
    <cellStyle name="Normal 21 3 6 2 2 3" xfId="47045" xr:uid="{55DF9BDA-0617-4F17-AD43-11ACD7230371}"/>
    <cellStyle name="Normal 21 3 6 2 3" xfId="21906" xr:uid="{4E16EA80-9361-47D1-87DC-F0FE00E1ABAA}"/>
    <cellStyle name="Normal 21 3 6 2 4" xfId="38665" xr:uid="{32F0AE28-E450-435E-9F67-A713A128F1D6}"/>
    <cellStyle name="Normal 21 3 6 3" xfId="6833" xr:uid="{B4F33152-BE0D-4F1B-BB97-3A110B0B7C92}"/>
    <cellStyle name="Normal 21 3 6 3 2" xfId="15213" xr:uid="{F9EA465B-F7B6-4F11-A6DD-7242564EA3BE}"/>
    <cellStyle name="Normal 21 3 6 3 2 2" xfId="31973" xr:uid="{FF559A40-88CA-4A62-BFAA-E8366E2C0D54}"/>
    <cellStyle name="Normal 21 3 6 3 2 3" xfId="48732" xr:uid="{B04E873A-36D2-4AF7-B477-4DD2E94DBFA3}"/>
    <cellStyle name="Normal 21 3 6 3 3" xfId="23593" xr:uid="{7E575A13-AE55-4A7A-A162-332E760D5142}"/>
    <cellStyle name="Normal 21 3 6 3 4" xfId="40352" xr:uid="{3C67430B-AA7D-4E80-9A8A-8DF5049A316A}"/>
    <cellStyle name="Normal 21 3 6 4" xfId="2247" xr:uid="{203A5A05-95D5-40EE-B7C6-648C5EE95D19}"/>
    <cellStyle name="Normal 21 3 6 4 2" xfId="10631" xr:uid="{6AD2CCCC-2FF1-4271-A316-23022357CE71}"/>
    <cellStyle name="Normal 21 3 6 4 2 2" xfId="27391" xr:uid="{3220A372-0DB3-4697-8CC2-65B6F158AB5A}"/>
    <cellStyle name="Normal 21 3 6 4 2 3" xfId="44150" xr:uid="{0BD36347-AFA7-4268-95F9-850E8F59483E}"/>
    <cellStyle name="Normal 21 3 6 4 3" xfId="19011" xr:uid="{8AA60BB8-2A91-448B-A923-A3097EE13A76}"/>
    <cellStyle name="Normal 21 3 6 4 4" xfId="35770" xr:uid="{513966C4-71D3-414C-831C-16526167CAB8}"/>
    <cellStyle name="Normal 21 3 6 5" xfId="10146" xr:uid="{C50CE494-4260-41A9-B0FE-EACF37321B64}"/>
    <cellStyle name="Normal 21 3 6 5 2" xfId="26906" xr:uid="{B9AC3619-7ED0-415C-A527-4E3B8D50086A}"/>
    <cellStyle name="Normal 21 3 6 5 3" xfId="43665" xr:uid="{F598F055-7EDD-4A87-AD90-9B0CDFA6F33F}"/>
    <cellStyle name="Normal 21 3 6 6" xfId="18526" xr:uid="{2A056A03-8CBA-4AB0-B6A7-34460DC555D2}"/>
    <cellStyle name="Normal 21 3 6 7" xfId="35285" xr:uid="{43F5D5F2-3873-4CFE-AD6D-599CF258FFF9}"/>
    <cellStyle name="Normal 21 3 7" xfId="3876" xr:uid="{A9D18A5C-9F1D-4463-A03C-02E06E3576F0}"/>
    <cellStyle name="Normal 21 3 7 2" xfId="12256" xr:uid="{DE46718D-87D6-4892-9FAD-CDD03F9C0AA7}"/>
    <cellStyle name="Normal 21 3 7 2 2" xfId="29016" xr:uid="{4AB04BF6-97CE-40C5-8F57-6A65DBC18E05}"/>
    <cellStyle name="Normal 21 3 7 2 3" xfId="45775" xr:uid="{48B710E7-E37F-487C-B7FA-744AF1381D92}"/>
    <cellStyle name="Normal 21 3 7 3" xfId="20636" xr:uid="{2CB11DCD-42DF-48DC-BC57-D44498DCD2C8}"/>
    <cellStyle name="Normal 21 3 7 4" xfId="37395" xr:uid="{2FCD5940-C94D-4952-A9DD-F44014A7B705}"/>
    <cellStyle name="Normal 21 3 8" xfId="5515" xr:uid="{7A7C4861-24D4-424D-893C-19C610F9676A}"/>
    <cellStyle name="Normal 21 3 8 2" xfId="13895" xr:uid="{AA949731-CE9E-41F5-A2D7-4B934AA27178}"/>
    <cellStyle name="Normal 21 3 8 2 2" xfId="30655" xr:uid="{848892A0-970D-432E-9B30-C6C6B6D69DD5}"/>
    <cellStyle name="Normal 21 3 8 2 3" xfId="47414" xr:uid="{190BEFAF-666B-4556-937E-EF12134AEC64}"/>
    <cellStyle name="Normal 21 3 8 3" xfId="22275" xr:uid="{5B8CE1D7-64DB-49FC-AB88-38C83BEA3B56}"/>
    <cellStyle name="Normal 21 3 8 4" xfId="39034" xr:uid="{251F1076-917E-4D45-A8C1-AA95D0374A67}"/>
    <cellStyle name="Normal 21 3 9" xfId="7239" xr:uid="{2350FA31-058A-4F56-93C7-9F4A761FA5B9}"/>
    <cellStyle name="Normal 21 3 9 2" xfId="15619" xr:uid="{113B2FCA-AE86-4295-8E76-1660362A5253}"/>
    <cellStyle name="Normal 21 3 9 2 2" xfId="32379" xr:uid="{16E49741-90DF-4D6E-906F-C931F2FD85EE}"/>
    <cellStyle name="Normal 21 3 9 2 3" xfId="49138" xr:uid="{D2D36150-4102-4F46-B7D0-1FB1558C4FD4}"/>
    <cellStyle name="Normal 21 3 9 3" xfId="23999" xr:uid="{C4125146-32E6-4DDC-B737-C69CA4F51AE5}"/>
    <cellStyle name="Normal 21 3 9 4" xfId="40758" xr:uid="{69C9A0A7-BC0A-4C01-A8C5-5A1317DCBE84}"/>
    <cellStyle name="Normal 21 4" xfId="675" xr:uid="{106A8890-420C-4DCC-B66B-E23E7F58BFC8}"/>
    <cellStyle name="Normal 21 4 10" xfId="8558" xr:uid="{12F8B20E-20A1-48CC-B022-060539B905C8}"/>
    <cellStyle name="Normal 21 4 10 2" xfId="16938" xr:uid="{750169F0-2181-4FAE-BFB7-FC62A669A965}"/>
    <cellStyle name="Normal 21 4 10 2 2" xfId="33698" xr:uid="{EEA79CEC-5387-4ECF-8DED-79848FA19C9D}"/>
    <cellStyle name="Normal 21 4 10 2 3" xfId="50457" xr:uid="{04ED0E61-2181-4F6C-A7D3-8567A571212C}"/>
    <cellStyle name="Normal 21 4 10 3" xfId="25318" xr:uid="{A0339121-3C20-4352-98DE-165F8D16647D}"/>
    <cellStyle name="Normal 21 4 10 4" xfId="42077" xr:uid="{EBDF6400-C07F-4D3D-B9E6-DF11FB520D05}"/>
    <cellStyle name="Normal 21 4 11" xfId="2505" xr:uid="{6034FD6F-A2CF-4C47-86E8-B4BE7BF8F94A}"/>
    <cellStyle name="Normal 21 4 11 2" xfId="10887" xr:uid="{7405C5AA-3E7C-440A-819D-CAFA65808DE9}"/>
    <cellStyle name="Normal 21 4 11 2 2" xfId="27647" xr:uid="{9D90FC94-137D-43E5-8F0F-4E70193A2E6A}"/>
    <cellStyle name="Normal 21 4 11 2 3" xfId="44406" xr:uid="{9A675237-CFFF-491D-96E3-4F5603BC0905}"/>
    <cellStyle name="Normal 21 4 11 3" xfId="19267" xr:uid="{3A038896-70FB-4A65-90A3-5676717BDD3A}"/>
    <cellStyle name="Normal 21 4 11 4" xfId="36026" xr:uid="{C571A104-5D18-4002-8E78-26C9D39F8AA7}"/>
    <cellStyle name="Normal 21 4 12" xfId="9084" xr:uid="{4C31774A-C5B0-4CA3-9650-170CDBE4715D}"/>
    <cellStyle name="Normal 21 4 12 2" xfId="25844" xr:uid="{21623E50-F4D3-4943-920A-A2F419DD80B0}"/>
    <cellStyle name="Normal 21 4 12 3" xfId="42603" xr:uid="{AE30095B-0023-45A0-B8A4-E0644B659C84}"/>
    <cellStyle name="Normal 21 4 13" xfId="17464" xr:uid="{594AD943-C58D-4DD9-ABE3-F0DC08EFA84B}"/>
    <cellStyle name="Normal 21 4 14" xfId="34223" xr:uid="{EC375396-9CC5-4C44-BE09-75DA96DD06DD}"/>
    <cellStyle name="Normal 21 4 2" xfId="1115" xr:uid="{26C24640-503B-45C8-A2E9-2061F8620696}"/>
    <cellStyle name="Normal 21 4 2 2" xfId="4510" xr:uid="{E5C37BEF-244F-40CE-964D-61FD94135548}"/>
    <cellStyle name="Normal 21 4 2 2 2" xfId="12890" xr:uid="{24CE83BB-6CF4-47C2-8F0D-D743B3716338}"/>
    <cellStyle name="Normal 21 4 2 2 2 2" xfId="29650" xr:uid="{3117BDE0-1099-428D-9C6C-EDD9D5E5664C}"/>
    <cellStyle name="Normal 21 4 2 2 2 3" xfId="46409" xr:uid="{687CD837-20DE-4B73-9865-0235A87BB00F}"/>
    <cellStyle name="Normal 21 4 2 2 3" xfId="21270" xr:uid="{3F727B64-ED60-4517-83A3-18835F70B11F}"/>
    <cellStyle name="Normal 21 4 2 2 4" xfId="38029" xr:uid="{9E3860CB-B874-4E68-96C7-D40AF7236B0C}"/>
    <cellStyle name="Normal 21 4 2 3" xfId="6197" xr:uid="{CF5010B3-BBD0-4156-80E7-11BEFFBA16A2}"/>
    <cellStyle name="Normal 21 4 2 3 2" xfId="14577" xr:uid="{19882D24-F3B5-4D3D-8D62-75EA540F32E1}"/>
    <cellStyle name="Normal 21 4 2 3 2 2" xfId="31337" xr:uid="{060F83EE-EE16-4985-B5C2-66613D6403B3}"/>
    <cellStyle name="Normal 21 4 2 3 2 3" xfId="48096" xr:uid="{910FC1D3-62F4-4757-9BC6-4335C2160C07}"/>
    <cellStyle name="Normal 21 4 2 3 3" xfId="22957" xr:uid="{F6D5FF4A-A692-4D21-AA5B-9011AFD065BF}"/>
    <cellStyle name="Normal 21 4 2 3 4" xfId="39716" xr:uid="{842559DE-BCF1-4231-9E8F-4B2311F6AF7D}"/>
    <cellStyle name="Normal 21 4 2 4" xfId="2933" xr:uid="{37689F97-AEAF-4E98-A3EA-C0861024E818}"/>
    <cellStyle name="Normal 21 4 2 4 2" xfId="11313" xr:uid="{BC8BA447-AB7F-4D7C-854E-1B58A94128EC}"/>
    <cellStyle name="Normal 21 4 2 4 2 2" xfId="28073" xr:uid="{237F5E5C-F3D9-4E66-8AC8-FB572C069EC8}"/>
    <cellStyle name="Normal 21 4 2 4 2 3" xfId="44832" xr:uid="{5212B0D7-2DD7-4A49-8ABF-5C4E3C36BEAB}"/>
    <cellStyle name="Normal 21 4 2 4 3" xfId="19693" xr:uid="{D4D131A9-3C4E-4930-B299-AE1D79B20B1D}"/>
    <cellStyle name="Normal 21 4 2 4 4" xfId="36452" xr:uid="{427CB359-1729-4DF9-84B3-7707D6114ECF}"/>
    <cellStyle name="Normal 21 4 2 5" xfId="9510" xr:uid="{5F5392EB-8389-4189-B9A1-FCC1E0FE5E0E}"/>
    <cellStyle name="Normal 21 4 2 5 2" xfId="26270" xr:uid="{03B06FBD-2164-42AD-BC3B-E03B7C7CBD3E}"/>
    <cellStyle name="Normal 21 4 2 5 3" xfId="43029" xr:uid="{38D3BA30-AEC2-42D5-AA53-A4AF395DF0E2}"/>
    <cellStyle name="Normal 21 4 2 6" xfId="17890" xr:uid="{DA585F48-46F9-4AB2-8281-CF74EFA7C555}"/>
    <cellStyle name="Normal 21 4 2 7" xfId="34649" xr:uid="{B3B09214-25BA-4C65-A45F-72B356F62845}"/>
    <cellStyle name="Normal 21 4 3" xfId="1549" xr:uid="{0929EBDC-6471-4CA5-A92B-FA5A911A98E4}"/>
    <cellStyle name="Normal 21 4 3 2" xfId="4938" xr:uid="{16C748AF-C3E0-4B18-8415-11BC22D60563}"/>
    <cellStyle name="Normal 21 4 3 2 2" xfId="13318" xr:uid="{C2A928D5-F3A7-46B1-8895-ABCB695901D7}"/>
    <cellStyle name="Normal 21 4 3 2 2 2" xfId="30078" xr:uid="{9D0494E5-F594-45A3-BCB8-C70DF6817119}"/>
    <cellStyle name="Normal 21 4 3 2 2 3" xfId="46837" xr:uid="{B586EA36-8E08-4AF9-827B-215B5A74DFA0}"/>
    <cellStyle name="Normal 21 4 3 2 3" xfId="21698" xr:uid="{7488A9BB-553A-4819-BADC-194EA725FA12}"/>
    <cellStyle name="Normal 21 4 3 2 4" xfId="38457" xr:uid="{E7303029-7D63-48B9-AE07-118F26FE52EC}"/>
    <cellStyle name="Normal 21 4 3 3" xfId="6625" xr:uid="{995ED3E7-DF07-4F49-BBF5-444B4C19644E}"/>
    <cellStyle name="Normal 21 4 3 3 2" xfId="15005" xr:uid="{613E90D1-0494-41CC-A520-04421BC27782}"/>
    <cellStyle name="Normal 21 4 3 3 2 2" xfId="31765" xr:uid="{0A9ECDAD-C275-4D97-BD75-0E7B1C4EBBDE}"/>
    <cellStyle name="Normal 21 4 3 3 2 3" xfId="48524" xr:uid="{A859259F-FA4F-4E38-A3C6-95CBD1937737}"/>
    <cellStyle name="Normal 21 4 3 3 3" xfId="23385" xr:uid="{C5CA5EAF-2D99-4C02-B59C-8EEEAE67EE70}"/>
    <cellStyle name="Normal 21 4 3 3 4" xfId="40144" xr:uid="{7EFF9EB0-90B7-478B-8ADF-70BC0AAAD7AA}"/>
    <cellStyle name="Normal 21 4 3 4" xfId="3361" xr:uid="{DB67261A-AA04-4DDE-ACBC-808CA6DB7270}"/>
    <cellStyle name="Normal 21 4 3 4 2" xfId="11741" xr:uid="{D75DD091-85C9-40EF-85B7-1A6968B3B923}"/>
    <cellStyle name="Normal 21 4 3 4 2 2" xfId="28501" xr:uid="{86CE0E66-7BD4-4017-B56E-C4E54E1E3544}"/>
    <cellStyle name="Normal 21 4 3 4 2 3" xfId="45260" xr:uid="{FC83BA90-8556-494D-A174-CAAA2D35B2DE}"/>
    <cellStyle name="Normal 21 4 3 4 3" xfId="20121" xr:uid="{CBB592AC-26FE-43B0-9605-081597269684}"/>
    <cellStyle name="Normal 21 4 3 4 4" xfId="36880" xr:uid="{0D1A21E0-1C87-422C-B69E-555576F4EADA}"/>
    <cellStyle name="Normal 21 4 3 5" xfId="9938" xr:uid="{2A1D3024-EAF6-41CC-84FE-A7F8ABCE4937}"/>
    <cellStyle name="Normal 21 4 3 5 2" xfId="26698" xr:uid="{98368A0E-66BA-4F9C-BCBD-9AAA958CFEF5}"/>
    <cellStyle name="Normal 21 4 3 5 3" xfId="43457" xr:uid="{B67B8B8E-E70D-470B-901D-78A258CB95EB}"/>
    <cellStyle name="Normal 21 4 3 6" xfId="18318" xr:uid="{B3BE9618-4F9B-4CAB-88F4-1141A40A18A4}"/>
    <cellStyle name="Normal 21 4 3 7" xfId="35077" xr:uid="{4601EAD5-D8A7-4A0F-A374-686420EC17B0}"/>
    <cellStyle name="Normal 21 4 4" xfId="1858" xr:uid="{C454B96C-AD16-4E39-8874-C5E23FA853A1}"/>
    <cellStyle name="Normal 21 4 4 2" xfId="5247" xr:uid="{EF888531-05C8-41DC-AACE-9691C7608B40}"/>
    <cellStyle name="Normal 21 4 4 2 2" xfId="13627" xr:uid="{EE7E4C40-14FA-4041-8AF0-07C5C86C9E87}"/>
    <cellStyle name="Normal 21 4 4 2 2 2" xfId="30387" xr:uid="{1A93207B-FE58-4F68-80D0-EEC3ECDF564B}"/>
    <cellStyle name="Normal 21 4 4 2 2 3" xfId="47146" xr:uid="{DCDCEA37-99A1-49F7-B77D-13D5BAA9D01C}"/>
    <cellStyle name="Normal 21 4 4 2 3" xfId="22007" xr:uid="{1DF8C6A4-1C58-4D24-A67F-D9DCA8207E2E}"/>
    <cellStyle name="Normal 21 4 4 2 4" xfId="38766" xr:uid="{BC1823C4-FD46-4959-B384-F3A1794D1A34}"/>
    <cellStyle name="Normal 21 4 4 3" xfId="6934" xr:uid="{01EC025B-90C9-4C37-B178-0B97EE5BEEAA}"/>
    <cellStyle name="Normal 21 4 4 3 2" xfId="15314" xr:uid="{71B289A4-D4D1-4668-8E66-158B82BC6AC9}"/>
    <cellStyle name="Normal 21 4 4 3 2 2" xfId="32074" xr:uid="{942A1C7F-AF13-4613-952C-4F84A462FE9D}"/>
    <cellStyle name="Normal 21 4 4 3 2 3" xfId="48833" xr:uid="{28EA22A9-1339-4D5A-9707-CC6F19E45CA8}"/>
    <cellStyle name="Normal 21 4 4 3 3" xfId="23694" xr:uid="{B7BB41A4-85BF-43B0-9A06-065704CAEAD0}"/>
    <cellStyle name="Normal 21 4 4 3 4" xfId="40453" xr:uid="{DD063BCA-5EDD-4F05-B2EF-02197E4FD7F1}"/>
    <cellStyle name="Normal 21 4 4 4" xfId="3558" xr:uid="{32944D3D-9A89-4F36-A78F-986BE71E0D29}"/>
    <cellStyle name="Normal 21 4 4 4 2" xfId="11938" xr:uid="{86B188B2-9E5B-4E44-97FC-D4AE0FA845E1}"/>
    <cellStyle name="Normal 21 4 4 4 2 2" xfId="28698" xr:uid="{36B16E39-C48E-4DC4-9CC8-999AC8AEFBD9}"/>
    <cellStyle name="Normal 21 4 4 4 2 3" xfId="45457" xr:uid="{9F7494C2-1E79-45C8-AD72-F690369FDA8B}"/>
    <cellStyle name="Normal 21 4 4 4 3" xfId="20318" xr:uid="{12D40A84-39D4-4A10-8D22-C88A245D482B}"/>
    <cellStyle name="Normal 21 4 4 4 4" xfId="37077" xr:uid="{C9F7B612-1775-4353-9428-EB4A522D443C}"/>
    <cellStyle name="Normal 21 4 4 5" xfId="10247" xr:uid="{F819E65B-CB3E-44FF-A6F6-DE357341B7AD}"/>
    <cellStyle name="Normal 21 4 4 5 2" xfId="27007" xr:uid="{A8722A57-00B0-4301-A101-958C369BA70B}"/>
    <cellStyle name="Normal 21 4 4 5 3" xfId="43766" xr:uid="{E6606897-1C03-4AF6-B469-F1D625D844AF}"/>
    <cellStyle name="Normal 21 4 4 6" xfId="18627" xr:uid="{8368B808-ACE2-4CA0-A7D2-28454DFFCBC5}"/>
    <cellStyle name="Normal 21 4 4 7" xfId="35386" xr:uid="{F27452A2-3C5F-4518-AE3C-09F0F1FD0670}"/>
    <cellStyle name="Normal 21 4 5" xfId="3977" xr:uid="{B1DE6090-4C9D-47B2-8E8E-39E7508B952C}"/>
    <cellStyle name="Normal 21 4 5 2" xfId="12357" xr:uid="{014A901E-1960-4469-89BD-3C6440346101}"/>
    <cellStyle name="Normal 21 4 5 2 2" xfId="29117" xr:uid="{0FC940C3-9FC1-4D59-8928-2C31BE1AB505}"/>
    <cellStyle name="Normal 21 4 5 2 3" xfId="45876" xr:uid="{8428B360-E80E-46A3-8E52-AF9DCCDB4C31}"/>
    <cellStyle name="Normal 21 4 5 3" xfId="20737" xr:uid="{A1762F7F-2E3D-4EF9-8A2C-3A396A369F2B}"/>
    <cellStyle name="Normal 21 4 5 4" xfId="37496" xr:uid="{8226024B-374C-42F0-A0F6-DB06F606571D}"/>
    <cellStyle name="Normal 21 4 6" xfId="5771" xr:uid="{CFDD28F1-9CFB-4C02-A0A4-E8366F5B2B33}"/>
    <cellStyle name="Normal 21 4 6 2" xfId="14151" xr:uid="{94687CCE-AEA8-4DF9-898D-637A58B3F62F}"/>
    <cellStyle name="Normal 21 4 6 2 2" xfId="30911" xr:uid="{02FD7DD1-5F2C-42DC-A4E4-751C86F69047}"/>
    <cellStyle name="Normal 21 4 6 2 3" xfId="47670" xr:uid="{6F94CF5A-8DD5-4B29-A934-535610386310}"/>
    <cellStyle name="Normal 21 4 6 3" xfId="22531" xr:uid="{F22C0C20-93BC-44E2-82F7-D66A486C65BB}"/>
    <cellStyle name="Normal 21 4 6 4" xfId="39290" xr:uid="{7400CB93-D761-47F1-A44F-E1C98DA9F409}"/>
    <cellStyle name="Normal 21 4 7" xfId="7340" xr:uid="{93BB309A-8AB4-418D-8023-6CB34BA49EA9}"/>
    <cellStyle name="Normal 21 4 7 2" xfId="15720" xr:uid="{20699EB9-671F-41B2-91A4-614BD940A51E}"/>
    <cellStyle name="Normal 21 4 7 2 2" xfId="32480" xr:uid="{02A27AAA-1C7E-472B-9994-445FE581F0B5}"/>
    <cellStyle name="Normal 21 4 7 2 3" xfId="49239" xr:uid="{15226BBB-1795-414A-9090-B91D168498B9}"/>
    <cellStyle name="Normal 21 4 7 3" xfId="24100" xr:uid="{9C216C08-F9FD-48F2-84EB-6F514C64EC31}"/>
    <cellStyle name="Normal 21 4 7 4" xfId="40859" xr:uid="{ADFB8EA5-7F96-4371-A9B0-73D973B62B77}"/>
    <cellStyle name="Normal 21 4 8" xfId="7746" xr:uid="{70F50281-27D3-4D70-9B75-D319690C79E1}"/>
    <cellStyle name="Normal 21 4 8 2" xfId="16126" xr:uid="{A32FE2A7-F4D2-4162-9C55-B2C1C4514583}"/>
    <cellStyle name="Normal 21 4 8 2 2" xfId="32886" xr:uid="{18177052-8151-4AD3-8E75-767E692285BC}"/>
    <cellStyle name="Normal 21 4 8 2 3" xfId="49645" xr:uid="{88031E34-AA65-4EC4-AFA7-53A74CB25BF1}"/>
    <cellStyle name="Normal 21 4 8 3" xfId="24506" xr:uid="{4DE67384-C3CC-4018-9D63-A612C4ECCE58}"/>
    <cellStyle name="Normal 21 4 8 4" xfId="41265" xr:uid="{106456F6-EEF7-4E5D-BB40-42088EBBDA6D}"/>
    <cellStyle name="Normal 21 4 9" xfId="8152" xr:uid="{F3C8BAB6-8AD7-4D2C-B5C2-9610098A1AD6}"/>
    <cellStyle name="Normal 21 4 9 2" xfId="16532" xr:uid="{B9D69DAE-4572-4B00-A8C3-57B1039E6ECF}"/>
    <cellStyle name="Normal 21 4 9 2 2" xfId="33292" xr:uid="{3784DFD7-6B34-4C60-9784-F4EC26FA2D4C}"/>
    <cellStyle name="Normal 21 4 9 2 3" xfId="50051" xr:uid="{78617CA1-CB55-4B8F-947F-C3E57AB505B1}"/>
    <cellStyle name="Normal 21 4 9 3" xfId="24912" xr:uid="{9B966265-41E6-4D1D-8DE8-CEF8072E14A8}"/>
    <cellStyle name="Normal 21 4 9 4" xfId="41671" xr:uid="{2BA96977-D338-438C-BB6E-A50F0B7BFA54}"/>
    <cellStyle name="Normal 21 5" xfId="676" xr:uid="{ACFBB4C9-49ED-4869-A0C4-4C3C05C0AB54}"/>
    <cellStyle name="Normal 21 5 10" xfId="8596" xr:uid="{566D680E-F00C-4D2D-A8C1-4BDAC05270C8}"/>
    <cellStyle name="Normal 21 5 10 2" xfId="16976" xr:uid="{D03235BF-70F1-49D1-92EA-5CC9135C914F}"/>
    <cellStyle name="Normal 21 5 10 2 2" xfId="33736" xr:uid="{86B11191-6DCB-4916-AEE1-5D50916A09AA}"/>
    <cellStyle name="Normal 21 5 10 2 3" xfId="50495" xr:uid="{CB8231F7-535F-4ABD-A98D-EA3A94CF27AD}"/>
    <cellStyle name="Normal 21 5 10 3" xfId="25356" xr:uid="{8C7B959B-5149-40F7-A628-A6FE2623356B}"/>
    <cellStyle name="Normal 21 5 10 4" xfId="42115" xr:uid="{7B36D96F-A290-4209-A4F2-F1DE5A552B11}"/>
    <cellStyle name="Normal 21 5 11" xfId="2506" xr:uid="{591A3A6C-2223-405C-86F0-7ABA57FC50FB}"/>
    <cellStyle name="Normal 21 5 11 2" xfId="10888" xr:uid="{D41CD2AC-CDA6-42D9-A4AA-BCF6BBE5B1ED}"/>
    <cellStyle name="Normal 21 5 11 2 2" xfId="27648" xr:uid="{C42BD288-455D-4F7E-B013-9859F1224A98}"/>
    <cellStyle name="Normal 21 5 11 2 3" xfId="44407" xr:uid="{9881D0E4-1B45-4410-9832-CD45F31C53DE}"/>
    <cellStyle name="Normal 21 5 11 3" xfId="19268" xr:uid="{2FC201E5-3F79-4652-B916-D1D214B01F93}"/>
    <cellStyle name="Normal 21 5 11 4" xfId="36027" xr:uid="{4CB3FB47-6564-433E-8D8F-3A95B448427F}"/>
    <cellStyle name="Normal 21 5 12" xfId="9085" xr:uid="{1522A995-3C43-42A6-B4AD-8F41A1E34000}"/>
    <cellStyle name="Normal 21 5 12 2" xfId="25845" xr:uid="{A74A6A7B-AAB5-4A1D-B1D9-74E5A2F3B413}"/>
    <cellStyle name="Normal 21 5 12 3" xfId="42604" xr:uid="{EFA7DB7F-7586-4730-850B-6B62562DB198}"/>
    <cellStyle name="Normal 21 5 13" xfId="17465" xr:uid="{21BB9813-950F-4AE1-AD25-D875C34E8E48}"/>
    <cellStyle name="Normal 21 5 14" xfId="34224" xr:uid="{9D4EBC5A-FFBB-40BB-BD6B-65CBB52B10C3}"/>
    <cellStyle name="Normal 21 5 2" xfId="1116" xr:uid="{69BCE1EB-333A-493C-A6AC-B17C192651FB}"/>
    <cellStyle name="Normal 21 5 2 2" xfId="4511" xr:uid="{279F57E4-6E4D-4093-94F1-0CCCFDE279F4}"/>
    <cellStyle name="Normal 21 5 2 2 2" xfId="12891" xr:uid="{C3DF8BDE-0C72-4958-B64A-ACDC43752AE2}"/>
    <cellStyle name="Normal 21 5 2 2 2 2" xfId="29651" xr:uid="{7CDE4040-6811-44EA-B74C-7E902EF3257F}"/>
    <cellStyle name="Normal 21 5 2 2 2 3" xfId="46410" xr:uid="{6A86A977-30E4-40DF-A478-98EFDDDC59E4}"/>
    <cellStyle name="Normal 21 5 2 2 3" xfId="21271" xr:uid="{DA238484-FFEB-4B2D-BEFC-2064A13FD6A9}"/>
    <cellStyle name="Normal 21 5 2 2 4" xfId="38030" xr:uid="{EAAFDC21-523D-4259-AB6A-39C1942F1DCA}"/>
    <cellStyle name="Normal 21 5 2 3" xfId="6198" xr:uid="{2365AAF5-81B4-49B7-BB51-42EAFD4A33A6}"/>
    <cellStyle name="Normal 21 5 2 3 2" xfId="14578" xr:uid="{28E82D7C-8DCF-48C2-A030-214A1CA7E4FD}"/>
    <cellStyle name="Normal 21 5 2 3 2 2" xfId="31338" xr:uid="{87398C16-55F5-4EE0-A827-47AE386A9C71}"/>
    <cellStyle name="Normal 21 5 2 3 2 3" xfId="48097" xr:uid="{FCAB2686-B4F1-4296-8579-17FB4A289435}"/>
    <cellStyle name="Normal 21 5 2 3 3" xfId="22958" xr:uid="{CEDD7510-48A5-489A-8150-76BBBACAB67A}"/>
    <cellStyle name="Normal 21 5 2 3 4" xfId="39717" xr:uid="{84392CBA-7E87-4804-B691-AB3BD61A786D}"/>
    <cellStyle name="Normal 21 5 2 4" xfId="2934" xr:uid="{EB45F1E5-EC60-44AD-805C-B6A322E39057}"/>
    <cellStyle name="Normal 21 5 2 4 2" xfId="11314" xr:uid="{068C0ACB-1203-42A6-AE53-277A8E265C86}"/>
    <cellStyle name="Normal 21 5 2 4 2 2" xfId="28074" xr:uid="{A7673262-0B02-4247-900D-00811ED94A4D}"/>
    <cellStyle name="Normal 21 5 2 4 2 3" xfId="44833" xr:uid="{1F51C164-7B30-46E6-8A0D-DF28E36B5B0C}"/>
    <cellStyle name="Normal 21 5 2 4 3" xfId="19694" xr:uid="{1D88A2FA-9E52-4DE3-82AC-B486821260AA}"/>
    <cellStyle name="Normal 21 5 2 4 4" xfId="36453" xr:uid="{D9E8C512-B5BE-42A6-AD49-E408B697B2C9}"/>
    <cellStyle name="Normal 21 5 2 5" xfId="9511" xr:uid="{9C8B5BC0-699A-4BA1-A412-4625B846E821}"/>
    <cellStyle name="Normal 21 5 2 5 2" xfId="26271" xr:uid="{0045FD48-CB2F-4A94-91EB-78523DB59E0E}"/>
    <cellStyle name="Normal 21 5 2 5 3" xfId="43030" xr:uid="{39A81532-89C2-448B-81E9-BB009A6DB920}"/>
    <cellStyle name="Normal 21 5 2 6" xfId="17891" xr:uid="{FCA24831-F496-4F90-90E1-7F77A4E5BEE4}"/>
    <cellStyle name="Normal 21 5 2 7" xfId="34650" xr:uid="{BC907F5D-CDC7-4472-8214-8AE6C894A5C7}"/>
    <cellStyle name="Normal 21 5 3" xfId="1550" xr:uid="{7DAF16FC-50DF-4FCE-A221-6100779D714B}"/>
    <cellStyle name="Normal 21 5 3 2" xfId="4939" xr:uid="{058864FF-0799-471C-AD4B-F5D47F85CF76}"/>
    <cellStyle name="Normal 21 5 3 2 2" xfId="13319" xr:uid="{4D14CE99-EBC0-4931-82C5-B9534E6F720B}"/>
    <cellStyle name="Normal 21 5 3 2 2 2" xfId="30079" xr:uid="{51FE1C33-24EF-40D8-BE2A-E4E963035ADF}"/>
    <cellStyle name="Normal 21 5 3 2 2 3" xfId="46838" xr:uid="{7EF6E964-012B-47D6-BB88-3435AD6548CE}"/>
    <cellStyle name="Normal 21 5 3 2 3" xfId="21699" xr:uid="{F4C8C478-FA7B-4055-87BE-CC3620CC8180}"/>
    <cellStyle name="Normal 21 5 3 2 4" xfId="38458" xr:uid="{708793E5-88C9-4A18-9208-31DCF787598A}"/>
    <cellStyle name="Normal 21 5 3 3" xfId="6626" xr:uid="{670F72BB-954A-4B84-B55A-B9B06D24D84F}"/>
    <cellStyle name="Normal 21 5 3 3 2" xfId="15006" xr:uid="{890BBD06-5F3B-4FC7-8C0F-1651B5656B9C}"/>
    <cellStyle name="Normal 21 5 3 3 2 2" xfId="31766" xr:uid="{31B59B3A-E64D-498A-8F6F-0CAA968BC17F}"/>
    <cellStyle name="Normal 21 5 3 3 2 3" xfId="48525" xr:uid="{0A7EC18F-A56D-4AC6-832B-2295AE9AD816}"/>
    <cellStyle name="Normal 21 5 3 3 3" xfId="23386" xr:uid="{C8F74EA2-562E-4E74-8BE0-E8F6083E4ED7}"/>
    <cellStyle name="Normal 21 5 3 3 4" xfId="40145" xr:uid="{A6B95C63-8E4B-4469-B786-6D8D149B4606}"/>
    <cellStyle name="Normal 21 5 3 4" xfId="3362" xr:uid="{EE61A9B7-D26E-4123-989D-0EE8184A87D4}"/>
    <cellStyle name="Normal 21 5 3 4 2" xfId="11742" xr:uid="{6A0FC69A-0AC0-4E99-A36D-1F3941136771}"/>
    <cellStyle name="Normal 21 5 3 4 2 2" xfId="28502" xr:uid="{058428B8-FD9E-46AF-A351-78667D2EC100}"/>
    <cellStyle name="Normal 21 5 3 4 2 3" xfId="45261" xr:uid="{261D5142-8CBD-49B4-8CBC-CFD55E1DE43E}"/>
    <cellStyle name="Normal 21 5 3 4 3" xfId="20122" xr:uid="{47F25B59-38A2-43B1-9457-00773FCCD52E}"/>
    <cellStyle name="Normal 21 5 3 4 4" xfId="36881" xr:uid="{50E288BE-6C19-4D6A-9094-2651B6DB8A4B}"/>
    <cellStyle name="Normal 21 5 3 5" xfId="9939" xr:uid="{4930C695-EC59-474D-9335-BBF5AE098C3B}"/>
    <cellStyle name="Normal 21 5 3 5 2" xfId="26699" xr:uid="{2199D7C1-EDDE-44CF-A93A-4353E6F1815F}"/>
    <cellStyle name="Normal 21 5 3 5 3" xfId="43458" xr:uid="{39F3CCFE-E0F6-4EB4-AEDD-6ED257043EAA}"/>
    <cellStyle name="Normal 21 5 3 6" xfId="18319" xr:uid="{DAED4D19-BE18-43B5-99C0-F5F3C5F55E36}"/>
    <cellStyle name="Normal 21 5 3 7" xfId="35078" xr:uid="{FB93D24B-6C38-434C-BB9E-067F773CBF61}"/>
    <cellStyle name="Normal 21 5 4" xfId="1896" xr:uid="{0C50AB54-048A-422F-B5D0-87CCC20EA96D}"/>
    <cellStyle name="Normal 21 5 4 2" xfId="5285" xr:uid="{40EF4129-F117-46CE-A04C-7A24F42E2A5C}"/>
    <cellStyle name="Normal 21 5 4 2 2" xfId="13665" xr:uid="{57E0A97D-B467-424A-A705-DE03F8B8A382}"/>
    <cellStyle name="Normal 21 5 4 2 2 2" xfId="30425" xr:uid="{ED4B71BA-B325-4253-83AA-92FD987EAA27}"/>
    <cellStyle name="Normal 21 5 4 2 2 3" xfId="47184" xr:uid="{249737DF-7A65-4B2B-95FC-CB4EC7782935}"/>
    <cellStyle name="Normal 21 5 4 2 3" xfId="22045" xr:uid="{65F15111-3569-4DE9-89F3-548BB361DD16}"/>
    <cellStyle name="Normal 21 5 4 2 4" xfId="38804" xr:uid="{B8F04AB9-E2DE-4716-93B4-62B246BC122A}"/>
    <cellStyle name="Normal 21 5 4 3" xfId="6972" xr:uid="{25AB0ABE-155E-46C0-AD87-BE138C77855E}"/>
    <cellStyle name="Normal 21 5 4 3 2" xfId="15352" xr:uid="{220AE4B8-5979-439F-93D0-5C59810B7327}"/>
    <cellStyle name="Normal 21 5 4 3 2 2" xfId="32112" xr:uid="{C548D219-3785-4C85-8087-43963DCB9645}"/>
    <cellStyle name="Normal 21 5 4 3 2 3" xfId="48871" xr:uid="{C1820264-5D6F-4F0C-AC21-CFD94EC9FE0E}"/>
    <cellStyle name="Normal 21 5 4 3 3" xfId="23732" xr:uid="{0095F517-0469-4529-B530-4A8F212EF650}"/>
    <cellStyle name="Normal 21 5 4 3 4" xfId="40491" xr:uid="{620F6C23-70ED-431A-B3A7-6C5DEBBD6D57}"/>
    <cellStyle name="Normal 21 5 4 4" xfId="3595" xr:uid="{29F59471-B64E-4AE1-BFD4-BD0326F5E22A}"/>
    <cellStyle name="Normal 21 5 4 4 2" xfId="11975" xr:uid="{73DAB26A-EEF9-401F-BEFE-7A0628ACF043}"/>
    <cellStyle name="Normal 21 5 4 4 2 2" xfId="28735" xr:uid="{63655457-078A-4113-B8B2-4F90EA62C78F}"/>
    <cellStyle name="Normal 21 5 4 4 2 3" xfId="45494" xr:uid="{48584D94-339D-451B-A84D-AD3FB00EF579}"/>
    <cellStyle name="Normal 21 5 4 4 3" xfId="20355" xr:uid="{A1CC9444-521E-411D-B980-A2394E89FC18}"/>
    <cellStyle name="Normal 21 5 4 4 4" xfId="37114" xr:uid="{EE2523A9-8DD8-4DB2-B797-C2626E083BF9}"/>
    <cellStyle name="Normal 21 5 4 5" xfId="10285" xr:uid="{364E77F8-C958-4A44-A9BE-5779B3D3C1D7}"/>
    <cellStyle name="Normal 21 5 4 5 2" xfId="27045" xr:uid="{9807C5C1-4FF8-4F98-B59F-09C1184BDEAC}"/>
    <cellStyle name="Normal 21 5 4 5 3" xfId="43804" xr:uid="{726689EF-1450-43A8-9A26-CE09BA43EE56}"/>
    <cellStyle name="Normal 21 5 4 6" xfId="18665" xr:uid="{CC878378-C59A-4EC1-A33E-0D64FFBDA24B}"/>
    <cellStyle name="Normal 21 5 4 7" xfId="35424" xr:uid="{630F6BAC-9712-46C7-AD86-00D19640F06C}"/>
    <cellStyle name="Normal 21 5 5" xfId="4015" xr:uid="{5F90098C-3DE2-488C-9C3F-B7943413B213}"/>
    <cellStyle name="Normal 21 5 5 2" xfId="12395" xr:uid="{313A51C8-D15D-41CB-819F-08ABB2C1FE73}"/>
    <cellStyle name="Normal 21 5 5 2 2" xfId="29155" xr:uid="{35903EC0-4B46-427C-9C6C-FC67DB9F0510}"/>
    <cellStyle name="Normal 21 5 5 2 3" xfId="45914" xr:uid="{4656B150-2E31-41B3-9DDB-C802F26EE860}"/>
    <cellStyle name="Normal 21 5 5 3" xfId="20775" xr:uid="{D457A3DF-D3E9-4C4F-9617-C47D0C46683F}"/>
    <cellStyle name="Normal 21 5 5 4" xfId="37534" xr:uid="{F5A987D2-75E0-49F6-A5D9-8FE1A62E0AB6}"/>
    <cellStyle name="Normal 21 5 6" xfId="5772" xr:uid="{C26B480F-830A-43D7-B231-AB5891B7DDF1}"/>
    <cellStyle name="Normal 21 5 6 2" xfId="14152" xr:uid="{CCD1B2AB-2B6E-48AD-897D-8B89722DD847}"/>
    <cellStyle name="Normal 21 5 6 2 2" xfId="30912" xr:uid="{6F07D3F3-3334-45C8-B9DF-91EB148CF2B8}"/>
    <cellStyle name="Normal 21 5 6 2 3" xfId="47671" xr:uid="{5C0747BB-3D09-46C4-A172-6FF4E95B60C7}"/>
    <cellStyle name="Normal 21 5 6 3" xfId="22532" xr:uid="{BC49A814-305C-4F55-8FF7-D022675D5391}"/>
    <cellStyle name="Normal 21 5 6 4" xfId="39291" xr:uid="{718BC500-9193-4BF9-849C-4860ADF91F35}"/>
    <cellStyle name="Normal 21 5 7" xfId="7378" xr:uid="{791F3B07-8506-4F07-9E43-3AE7982C0033}"/>
    <cellStyle name="Normal 21 5 7 2" xfId="15758" xr:uid="{A13C9B7F-99EB-45CA-B5E7-8176DEC2AD00}"/>
    <cellStyle name="Normal 21 5 7 2 2" xfId="32518" xr:uid="{8F1A94AA-3F1A-448C-B86F-0B316028EB85}"/>
    <cellStyle name="Normal 21 5 7 2 3" xfId="49277" xr:uid="{0236DEF3-DB28-4DA6-8D20-EA64C95EA43E}"/>
    <cellStyle name="Normal 21 5 7 3" xfId="24138" xr:uid="{99913268-3C0C-4B75-8F21-7E76457DA4E4}"/>
    <cellStyle name="Normal 21 5 7 4" xfId="40897" xr:uid="{F183DAE5-9A4F-4AF9-BF72-B95D8C6259C7}"/>
    <cellStyle name="Normal 21 5 8" xfId="7784" xr:uid="{51FB572F-668F-4938-9C4F-5A25B5C096DA}"/>
    <cellStyle name="Normal 21 5 8 2" xfId="16164" xr:uid="{1A8F52DF-3470-4CDA-AE3C-0F2B93B0C180}"/>
    <cellStyle name="Normal 21 5 8 2 2" xfId="32924" xr:uid="{D7D09335-95E9-4039-98DA-CD744AB56DE9}"/>
    <cellStyle name="Normal 21 5 8 2 3" xfId="49683" xr:uid="{26B4E699-D1A8-4A23-942A-82D94021FBC8}"/>
    <cellStyle name="Normal 21 5 8 3" xfId="24544" xr:uid="{BDB133F5-306C-4A87-9549-F3143B6D4092}"/>
    <cellStyle name="Normal 21 5 8 4" xfId="41303" xr:uid="{09B203C6-CF0B-4E50-AC06-3EB6D0C56B1E}"/>
    <cellStyle name="Normal 21 5 9" xfId="8190" xr:uid="{EDF1AE3E-7A66-437B-B18C-F776985150AB}"/>
    <cellStyle name="Normal 21 5 9 2" xfId="16570" xr:uid="{92CC5A2A-34CC-4510-AD10-BC1C48107DAE}"/>
    <cellStyle name="Normal 21 5 9 2 2" xfId="33330" xr:uid="{8A313480-04D1-49E2-AC70-7B35C1FD20D1}"/>
    <cellStyle name="Normal 21 5 9 2 3" xfId="50089" xr:uid="{64D05017-D41D-4794-8B6D-91E6C4487703}"/>
    <cellStyle name="Normal 21 5 9 3" xfId="24950" xr:uid="{C37920AA-43E1-4B86-B799-764DDA4750EC}"/>
    <cellStyle name="Normal 21 5 9 4" xfId="41709" xr:uid="{FE3F7D38-07D7-4C3A-BAD8-1AD4C7CC6C34}"/>
    <cellStyle name="Normal 21 6" xfId="785" xr:uid="{B94588C9-5447-4EB9-B8CD-53ED5CBC92DA}"/>
    <cellStyle name="Normal 21 6 2" xfId="4180" xr:uid="{A7D9B999-4668-4347-B225-0642DA0C4F64}"/>
    <cellStyle name="Normal 21 6 2 2" xfId="12560" xr:uid="{3878E673-70A4-4BD1-8684-7B9404AEA2BF}"/>
    <cellStyle name="Normal 21 6 2 2 2" xfId="29320" xr:uid="{C21AEAB4-18DF-4BCB-918B-9C0AA003C5EF}"/>
    <cellStyle name="Normal 21 6 2 2 3" xfId="46079" xr:uid="{AC862D7A-081A-4FF1-A74D-B4CFD18FFFDD}"/>
    <cellStyle name="Normal 21 6 2 3" xfId="20940" xr:uid="{EDE28DCE-6A72-48D8-BB1C-F959C384A65A}"/>
    <cellStyle name="Normal 21 6 2 4" xfId="37699" xr:uid="{5574721D-3BA4-4FF5-889B-638AF889CC02}"/>
    <cellStyle name="Normal 21 6 3" xfId="5867" xr:uid="{BCE4D106-3990-4408-8D5F-092C701A7E80}"/>
    <cellStyle name="Normal 21 6 3 2" xfId="14247" xr:uid="{CBDACCE6-948C-4D5F-9A7B-B5C28FE1DA69}"/>
    <cellStyle name="Normal 21 6 3 2 2" xfId="31007" xr:uid="{889DEB23-D6A3-462C-8BE7-E2BF51BA787A}"/>
    <cellStyle name="Normal 21 6 3 2 3" xfId="47766" xr:uid="{8C7B41D3-8A04-492C-8265-3AF0ECE1008E}"/>
    <cellStyle name="Normal 21 6 3 3" xfId="22627" xr:uid="{D0D871B9-04DA-4759-B297-CD8D8C34AF13}"/>
    <cellStyle name="Normal 21 6 3 4" xfId="39386" xr:uid="{43FD051E-17D9-4C5C-980E-3BA68D35B504}"/>
    <cellStyle name="Normal 21 6 4" xfId="2603" xr:uid="{7BAF9D64-F7DA-4137-8957-5B40E43B3933}"/>
    <cellStyle name="Normal 21 6 4 2" xfId="10983" xr:uid="{8D8D3B1F-EDBE-4352-BF92-87723258026A}"/>
    <cellStyle name="Normal 21 6 4 2 2" xfId="27743" xr:uid="{CEBE7C96-E618-423F-AF64-D3399C5733A0}"/>
    <cellStyle name="Normal 21 6 4 2 3" xfId="44502" xr:uid="{2199170D-7070-417B-AFC4-5B4B8C3FFE2A}"/>
    <cellStyle name="Normal 21 6 4 3" xfId="19363" xr:uid="{EB8F3910-3207-48E5-AA9D-1884A39CD108}"/>
    <cellStyle name="Normal 21 6 4 4" xfId="36122" xr:uid="{8F8369C2-0004-42C2-840B-4FA1B51ED70F}"/>
    <cellStyle name="Normal 21 6 5" xfId="9180" xr:uid="{1FB98023-2C38-49CA-9AB2-26D5ABDBE759}"/>
    <cellStyle name="Normal 21 6 5 2" xfId="25940" xr:uid="{0A1B1EA5-6103-4EAC-AD84-D0FCCC54FA8C}"/>
    <cellStyle name="Normal 21 6 5 3" xfId="42699" xr:uid="{AD2CC493-FD30-41A5-A299-70837F3D85B9}"/>
    <cellStyle name="Normal 21 6 6" xfId="17560" xr:uid="{B6F96D85-7335-4D47-AB85-261135E19EA0}"/>
    <cellStyle name="Normal 21 6 7" xfId="34319" xr:uid="{591B16FC-52B9-430B-AA9D-5EA19211CA47}"/>
    <cellStyle name="Normal 21 7" xfId="1219" xr:uid="{B007B850-47DD-40EA-BE10-ABFC9179D6A6}"/>
    <cellStyle name="Normal 21 7 2" xfId="4608" xr:uid="{33AAD25F-F746-42A7-8DFC-C40325259ABF}"/>
    <cellStyle name="Normal 21 7 2 2" xfId="12988" xr:uid="{90F0533E-2F9C-46E2-A4A0-780C2A88179B}"/>
    <cellStyle name="Normal 21 7 2 2 2" xfId="29748" xr:uid="{E573EB6F-DEC4-43A6-90A5-E8A871C99DE0}"/>
    <cellStyle name="Normal 21 7 2 2 3" xfId="46507" xr:uid="{291666A0-B961-4683-8A06-DCD5E8F60846}"/>
    <cellStyle name="Normal 21 7 2 3" xfId="21368" xr:uid="{23AD46B4-121C-41C8-ABDE-1835A0FDF2B5}"/>
    <cellStyle name="Normal 21 7 2 4" xfId="38127" xr:uid="{C84BB50E-94B0-41D7-A95C-0C14DF2971AC}"/>
    <cellStyle name="Normal 21 7 3" xfId="6295" xr:uid="{3D17C84F-0E55-4A21-BDDE-EF8CAD7A572B}"/>
    <cellStyle name="Normal 21 7 3 2" xfId="14675" xr:uid="{8E1E64FE-A0D7-4CDF-A457-FCAA66119D97}"/>
    <cellStyle name="Normal 21 7 3 2 2" xfId="31435" xr:uid="{F400AC48-297D-4572-8196-13D27A550082}"/>
    <cellStyle name="Normal 21 7 3 2 3" xfId="48194" xr:uid="{B65DF8E2-69C1-4EAC-9BF3-56573A47E1F0}"/>
    <cellStyle name="Normal 21 7 3 3" xfId="23055" xr:uid="{F104E921-379D-4622-AC36-B37F4A43E263}"/>
    <cellStyle name="Normal 21 7 3 4" xfId="39814" xr:uid="{3076C697-51C7-4031-8C99-C0194525E0E6}"/>
    <cellStyle name="Normal 21 7 4" xfId="3031" xr:uid="{63EB5A19-A1E1-4652-95EA-897F3A7818E7}"/>
    <cellStyle name="Normal 21 7 4 2" xfId="11411" xr:uid="{26525E58-7977-42EC-8F8B-CC6C019FECBA}"/>
    <cellStyle name="Normal 21 7 4 2 2" xfId="28171" xr:uid="{B2A0AF35-813E-4C27-A1E8-F5F515948940}"/>
    <cellStyle name="Normal 21 7 4 2 3" xfId="44930" xr:uid="{F03E7D19-643E-4608-860B-6B1006320B21}"/>
    <cellStyle name="Normal 21 7 4 3" xfId="19791" xr:uid="{9A850BE0-D30C-4310-ACEF-85639B9FA0C6}"/>
    <cellStyle name="Normal 21 7 4 4" xfId="36550" xr:uid="{7F16ADED-657D-455A-A7E0-8AB85EE7017E}"/>
    <cellStyle name="Normal 21 7 5" xfId="9608" xr:uid="{EE0F5389-661D-4445-B4F7-FA20CBB0FFE3}"/>
    <cellStyle name="Normal 21 7 5 2" xfId="26368" xr:uid="{99599E41-27A1-4193-8E7F-68F680B1BB91}"/>
    <cellStyle name="Normal 21 7 5 3" xfId="43127" xr:uid="{54332343-D24F-4F9E-BD04-A752CF040C6D}"/>
    <cellStyle name="Normal 21 7 6" xfId="17988" xr:uid="{0697B7DD-8E6D-4D3B-85CD-F8E87B124E4A}"/>
    <cellStyle name="Normal 21 7 7" xfId="34747" xr:uid="{8F0C7C17-746E-4D7F-AF84-76321DF64FB3}"/>
    <cellStyle name="Normal 21 8" xfId="1625" xr:uid="{98A12760-C573-4643-8462-E00297D40CE6}"/>
    <cellStyle name="Normal 21 8 2" xfId="5014" xr:uid="{233570A0-FE91-4C36-B6EB-6ABBEDE6FB3C}"/>
    <cellStyle name="Normal 21 8 2 2" xfId="13394" xr:uid="{54611322-3102-4594-AE01-B5AC232C6E02}"/>
    <cellStyle name="Normal 21 8 2 2 2" xfId="30154" xr:uid="{8DF415AA-460F-41C6-8309-FBD1DA15813A}"/>
    <cellStyle name="Normal 21 8 2 2 3" xfId="46913" xr:uid="{3B05B7BB-A14E-4EA1-82EA-4A6306E93DA6}"/>
    <cellStyle name="Normal 21 8 2 3" xfId="21774" xr:uid="{B82D9817-1F67-47F6-85FF-A1D13F73CE1B}"/>
    <cellStyle name="Normal 21 8 2 4" xfId="38533" xr:uid="{F5CF5B6D-BEA7-46F0-B0A0-9FFF1FADBB9D}"/>
    <cellStyle name="Normal 21 8 3" xfId="6701" xr:uid="{4CFCBB3E-20A2-483F-83CF-91B345526F77}"/>
    <cellStyle name="Normal 21 8 3 2" xfId="15081" xr:uid="{19CA280D-6361-4075-BF04-003833F7F70C}"/>
    <cellStyle name="Normal 21 8 3 2 2" xfId="31841" xr:uid="{68E40928-B627-4DE7-8EE5-D09A5367FF71}"/>
    <cellStyle name="Normal 21 8 3 2 3" xfId="48600" xr:uid="{82812742-C048-4904-AF63-6BB7868BB767}"/>
    <cellStyle name="Normal 21 8 3 3" xfId="23461" xr:uid="{2985943D-5FEF-4A38-B2B9-91709F96DED0}"/>
    <cellStyle name="Normal 21 8 3 4" xfId="40220" xr:uid="{527E0B63-8043-49B7-85F1-CD11D80DCA00}"/>
    <cellStyle name="Normal 21 8 4" xfId="2169" xr:uid="{52430450-F059-40D1-BB12-E6B6754A85C6}"/>
    <cellStyle name="Normal 21 8 4 2" xfId="10557" xr:uid="{6AADA7FA-C899-4199-B270-C56D5CA2A37E}"/>
    <cellStyle name="Normal 21 8 4 2 2" xfId="27317" xr:uid="{8010DE28-499F-419C-9B3A-AA79B492056D}"/>
    <cellStyle name="Normal 21 8 4 2 3" xfId="44076" xr:uid="{CCD98495-0B99-4F8D-AC2B-8927C56D0CFB}"/>
    <cellStyle name="Normal 21 8 4 3" xfId="18937" xr:uid="{D63378DC-6429-4D2E-BC54-A3D03E146A9D}"/>
    <cellStyle name="Normal 21 8 4 4" xfId="35696" xr:uid="{4C06DC10-A737-4943-928A-1E8C699CED7F}"/>
    <cellStyle name="Normal 21 8 5" xfId="10014" xr:uid="{C24C5ACE-8214-4A49-A4DE-5A7630102669}"/>
    <cellStyle name="Normal 21 8 5 2" xfId="26774" xr:uid="{02254E0F-9414-454A-B24C-DCB3AD36E58F}"/>
    <cellStyle name="Normal 21 8 5 3" xfId="43533" xr:uid="{61D80DC1-858C-4DFE-9C90-F9268C630908}"/>
    <cellStyle name="Normal 21 8 6" xfId="18394" xr:uid="{DCDE76E6-693D-4275-97F4-0F99DB259579}"/>
    <cellStyle name="Normal 21 8 7" xfId="35153" xr:uid="{5C33BCAD-2877-4424-88FF-DA0B5E016D45}"/>
    <cellStyle name="Normal 21 9" xfId="3730" xr:uid="{8AB03FCD-0240-4C14-8411-497A704F2E68}"/>
    <cellStyle name="Normal 21 9 2" xfId="12110" xr:uid="{F427BE25-D1C2-48AC-9601-D54A2068B114}"/>
    <cellStyle name="Normal 21 9 2 2" xfId="28870" xr:uid="{35A25987-4867-48FE-B1EE-E938279EADDF}"/>
    <cellStyle name="Normal 21 9 2 3" xfId="45629" xr:uid="{0478BF06-65D3-4689-B549-40C558B628AB}"/>
    <cellStyle name="Normal 21 9 3" xfId="20490" xr:uid="{5D8F5B6D-0824-42AD-9965-A733CE2D1F07}"/>
    <cellStyle name="Normal 21 9 4" xfId="37249" xr:uid="{400E8FC8-E828-45BF-8AB0-FECC49324039}"/>
    <cellStyle name="Normal 22" xfId="233" xr:uid="{4A2BB6A3-820F-4CAE-BE4D-83DC35741E5C}"/>
    <cellStyle name="Normal 22 10" xfId="5442" xr:uid="{00427D9D-D249-4303-9FA0-F507F62BEF09}"/>
    <cellStyle name="Normal 22 10 2" xfId="13822" xr:uid="{679229BD-DBBE-4986-BC75-72720A67123E}"/>
    <cellStyle name="Normal 22 10 2 2" xfId="30582" xr:uid="{1B6702D2-315B-46D7-BA1E-CD5594390B91}"/>
    <cellStyle name="Normal 22 10 2 3" xfId="47341" xr:uid="{E2694DBE-2D05-49E9-BE99-FDB6794BF4C4}"/>
    <cellStyle name="Normal 22 10 3" xfId="22202" xr:uid="{56078208-9582-457C-9016-623ECEFB43D2}"/>
    <cellStyle name="Normal 22 10 4" xfId="38961" xr:uid="{800E135C-B458-4E14-8E61-1EAA930AAA10}"/>
    <cellStyle name="Normal 22 11" xfId="7125" xr:uid="{9697E58F-F7AF-4365-951F-1565998BEA22}"/>
    <cellStyle name="Normal 22 11 2" xfId="15505" xr:uid="{236CC5CA-CCF3-4071-9E3B-D50DACE000BD}"/>
    <cellStyle name="Normal 22 11 2 2" xfId="32265" xr:uid="{30F3DBE4-9C13-49D6-82A4-7FD4B70D4C05}"/>
    <cellStyle name="Normal 22 11 2 3" xfId="49024" xr:uid="{897B24D3-7599-46C4-B141-7638D34A50E0}"/>
    <cellStyle name="Normal 22 11 3" xfId="23885" xr:uid="{C4A263CD-9502-4AD1-A021-A5951F2765F5}"/>
    <cellStyle name="Normal 22 11 4" xfId="40644" xr:uid="{4478A3C7-4FA9-4E82-94E3-2DF4510B34ED}"/>
    <cellStyle name="Normal 22 12" xfId="7531" xr:uid="{FD4BEA23-A1CC-42DE-AECC-F366F6EC7A5B}"/>
    <cellStyle name="Normal 22 12 2" xfId="15911" xr:uid="{3A81B95A-14C8-4CEF-B8AC-4E56431D84D7}"/>
    <cellStyle name="Normal 22 12 2 2" xfId="32671" xr:uid="{D2AFDDF2-190C-4B9B-8075-09965E59A8F5}"/>
    <cellStyle name="Normal 22 12 2 3" xfId="49430" xr:uid="{60FFD443-3DDA-4688-BA62-D15CA36FCFE9}"/>
    <cellStyle name="Normal 22 12 3" xfId="24291" xr:uid="{72E78A60-E263-4AF9-B026-837DCA702736}"/>
    <cellStyle name="Normal 22 12 4" xfId="41050" xr:uid="{8C130134-ABDD-497B-B226-56B4F31040B5}"/>
    <cellStyle name="Normal 22 13" xfId="7937" xr:uid="{3B70A2A1-A7CB-49B4-8AE9-DC841971E5B0}"/>
    <cellStyle name="Normal 22 13 2" xfId="16317" xr:uid="{A81718F5-A5EC-4DAA-9B3A-7930A2FD55C5}"/>
    <cellStyle name="Normal 22 13 2 2" xfId="33077" xr:uid="{87A8C21C-A490-4BE0-88D7-BE2D8AD0A29C}"/>
    <cellStyle name="Normal 22 13 2 3" xfId="49836" xr:uid="{A08CE2F2-12F4-4E24-9975-9761DBA18D4B}"/>
    <cellStyle name="Normal 22 13 3" xfId="24697" xr:uid="{CB45A420-2924-46E7-B362-77CD4EB63987}"/>
    <cellStyle name="Normal 22 13 4" xfId="41456" xr:uid="{EEFF2C42-DA93-42CC-BBB1-1B700B61404E}"/>
    <cellStyle name="Normal 22 14" xfId="8343" xr:uid="{FDBAF9EF-65C9-48DF-ACBD-257420D500B0}"/>
    <cellStyle name="Normal 22 14 2" xfId="16723" xr:uid="{DE375D61-6452-4D1A-AAD7-7429D2092843}"/>
    <cellStyle name="Normal 22 14 2 2" xfId="33483" xr:uid="{0DCA830B-D1D5-4DDB-99C3-1C77E6453108}"/>
    <cellStyle name="Normal 22 14 2 3" xfId="50242" xr:uid="{DA9CA9DC-C480-4EBB-B44E-3D2E9B42D7E9}"/>
    <cellStyle name="Normal 22 14 3" xfId="25103" xr:uid="{4F66A7B9-F70C-4D19-9BF9-F83C5DCD2AD9}"/>
    <cellStyle name="Normal 22 14 4" xfId="41862" xr:uid="{ABDC732A-2CCC-431B-9853-14C536CD64E7}"/>
    <cellStyle name="Normal 22 15" xfId="2095" xr:uid="{A375DA00-F904-4004-9B8F-917919E98C05}"/>
    <cellStyle name="Normal 22 15 2" xfId="10483" xr:uid="{084B6784-67F3-48DC-A9D5-2BB766429004}"/>
    <cellStyle name="Normal 22 15 2 2" xfId="27243" xr:uid="{8E86FEDB-C65B-452D-8C21-DB79B892C1F5}"/>
    <cellStyle name="Normal 22 15 2 3" xfId="44002" xr:uid="{0D1D6F40-E17A-4D2E-9D3D-8CF843949F1C}"/>
    <cellStyle name="Normal 22 15 3" xfId="18863" xr:uid="{20DA1D63-2BD9-4E39-AD44-5A4D5020A5BD}"/>
    <cellStyle name="Normal 22 15 4" xfId="35622" xr:uid="{D482C282-1ACB-4194-91FF-87D4F8B616AC}"/>
    <cellStyle name="Normal 22 16" xfId="8755" xr:uid="{4D15EBCA-F8DE-4FDF-A272-989A070B9424}"/>
    <cellStyle name="Normal 22 16 2" xfId="25515" xr:uid="{1D97042B-D28F-4C29-BAAB-649CDEEC17C9}"/>
    <cellStyle name="Normal 22 16 3" xfId="42274" xr:uid="{0E1667C8-1D4F-4298-9A4D-60BE072A0768}"/>
    <cellStyle name="Normal 22 17" xfId="17135" xr:uid="{84116BA1-984E-48A8-84A6-8966AC92D0C2}"/>
    <cellStyle name="Normal 22 18" xfId="33894" xr:uid="{0F2C1381-8238-4794-9497-A57009217764}"/>
    <cellStyle name="Normal 22 19" xfId="50943" xr:uid="{42D62323-4CE0-44FA-9709-5FD62A003B6D}"/>
    <cellStyle name="Normal 22 2" xfId="310" xr:uid="{19411B1F-0137-42AB-8184-E3CA458319CD}"/>
    <cellStyle name="Normal 22 2 10" xfId="7588" xr:uid="{85C8CEAF-CB3D-4254-B586-41855BACC98A}"/>
    <cellStyle name="Normal 22 2 10 2" xfId="15968" xr:uid="{C01F07A7-6630-44ED-83CC-A2005754C460}"/>
    <cellStyle name="Normal 22 2 10 2 2" xfId="32728" xr:uid="{F737CD70-E580-43F2-A3F1-0910125DF4D2}"/>
    <cellStyle name="Normal 22 2 10 2 3" xfId="49487" xr:uid="{1F89FE06-15C1-4C41-8739-4949B3312CA8}"/>
    <cellStyle name="Normal 22 2 10 3" xfId="24348" xr:uid="{65E99AAD-5A00-4EF1-840F-A024452F5977}"/>
    <cellStyle name="Normal 22 2 10 4" xfId="41107" xr:uid="{DCCA2780-160E-4720-836F-8E44A449932B}"/>
    <cellStyle name="Normal 22 2 11" xfId="7994" xr:uid="{092D1DDE-09A7-4E9C-A266-0BCE89E0C314}"/>
    <cellStyle name="Normal 22 2 11 2" xfId="16374" xr:uid="{2B76C94D-4115-438E-B79C-CE483B7C518E}"/>
    <cellStyle name="Normal 22 2 11 2 2" xfId="33134" xr:uid="{DEBD6CF7-C364-4930-9FF0-8E12F21F424F}"/>
    <cellStyle name="Normal 22 2 11 2 3" xfId="49893" xr:uid="{1FEE393C-F76B-48A0-A31D-3F0EEC809D73}"/>
    <cellStyle name="Normal 22 2 11 3" xfId="24754" xr:uid="{48781561-5E7F-414A-AB37-173AD042080E}"/>
    <cellStyle name="Normal 22 2 11 4" xfId="41513" xr:uid="{77B2BFBA-DC1A-447C-ACE3-ED15D323CF01}"/>
    <cellStyle name="Normal 22 2 12" xfId="8400" xr:uid="{880FDAB4-1F8C-4093-82BD-50E6FC69BA66}"/>
    <cellStyle name="Normal 22 2 12 2" xfId="16780" xr:uid="{B936BB5D-6DDD-43C4-A38B-B4D756706E7A}"/>
    <cellStyle name="Normal 22 2 12 2 2" xfId="33540" xr:uid="{527C28EF-F7D9-4B17-82C0-904228EEAB3C}"/>
    <cellStyle name="Normal 22 2 12 2 3" xfId="50299" xr:uid="{DF1FFD50-E33A-442D-895B-AB2EFA5A6FE3}"/>
    <cellStyle name="Normal 22 2 12 3" xfId="25160" xr:uid="{D79B8F13-B11B-4FB8-86B2-ABD0940F12D6}"/>
    <cellStyle name="Normal 22 2 12 4" xfId="41919" xr:uid="{02700996-D8A5-4091-9C66-CBFDF4EB9672}"/>
    <cellStyle name="Normal 22 2 13" xfId="2098" xr:uid="{27687CB0-798B-4C26-87C4-F07BD2AFED25}"/>
    <cellStyle name="Normal 22 2 13 2" xfId="10486" xr:uid="{7F94EEB4-F004-454E-999A-788DF2527200}"/>
    <cellStyle name="Normal 22 2 13 2 2" xfId="27246" xr:uid="{E9EC3D8F-3B18-472A-8903-2D7D994167AC}"/>
    <cellStyle name="Normal 22 2 13 2 3" xfId="44005" xr:uid="{F8DAB69B-793E-4A29-9353-FC0DA46C55F1}"/>
    <cellStyle name="Normal 22 2 13 3" xfId="18866" xr:uid="{434414CB-E09C-44D5-953B-6E638491C60D}"/>
    <cellStyle name="Normal 22 2 13 4" xfId="35625" xr:uid="{B32B8193-CE91-4B69-87F2-F2AE5A46248A}"/>
    <cellStyle name="Normal 22 2 14" xfId="8783" xr:uid="{82F9B44F-A38E-4342-924A-9F147E5D68DB}"/>
    <cellStyle name="Normal 22 2 14 2" xfId="25543" xr:uid="{3E262B9D-A6B3-4042-A0BE-C381B10EBAF1}"/>
    <cellStyle name="Normal 22 2 14 3" xfId="42302" xr:uid="{5A62B40C-ABAC-469F-A5F6-D6B9919D67F9}"/>
    <cellStyle name="Normal 22 2 15" xfId="17163" xr:uid="{98BA0567-8085-439C-96C1-22B5E8A16861}"/>
    <cellStyle name="Normal 22 2 16" xfId="33922" xr:uid="{0496BB60-F743-46FA-864D-E38FD252EE91}"/>
    <cellStyle name="Normal 22 2 2" xfId="393" xr:uid="{A1E0E83F-37EB-46E3-8FB7-CB0911F27A5A}"/>
    <cellStyle name="Normal 22 2 2 10" xfId="8562" xr:uid="{F941C666-B9FF-4070-BFFD-D5FE51D8E698}"/>
    <cellStyle name="Normal 22 2 2 10 2" xfId="16942" xr:uid="{87A931DF-E99C-4F20-8AC9-CC6C1420747F}"/>
    <cellStyle name="Normal 22 2 2 10 2 2" xfId="33702" xr:uid="{3B441E4A-D0B2-40AA-A876-C8DC46A8813D}"/>
    <cellStyle name="Normal 22 2 2 10 2 3" xfId="50461" xr:uid="{53702F90-93AF-4593-BAAD-95A3A21BB815}"/>
    <cellStyle name="Normal 22 2 2 10 3" xfId="25322" xr:uid="{16A960A3-09DD-4C6D-A8B4-34C708DA5ADF}"/>
    <cellStyle name="Normal 22 2 2 10 4" xfId="42081" xr:uid="{3A1F27DB-136B-479A-87AC-4519C1B7EA3E}"/>
    <cellStyle name="Normal 22 2 2 11" xfId="2276" xr:uid="{BFF96B22-B3C3-456D-909A-08B1D96B421E}"/>
    <cellStyle name="Normal 22 2 2 11 2" xfId="10660" xr:uid="{192E25B9-613B-4C51-A846-28766C6AE88F}"/>
    <cellStyle name="Normal 22 2 2 11 2 2" xfId="27420" xr:uid="{BFBC068D-E7DE-4042-94D9-2E89B84C50C9}"/>
    <cellStyle name="Normal 22 2 2 11 2 3" xfId="44179" xr:uid="{E051EE18-AFD4-425B-8803-BC997CE6D81E}"/>
    <cellStyle name="Normal 22 2 2 11 3" xfId="19040" xr:uid="{EA534C37-8208-44D5-8DD3-1EC833608FCE}"/>
    <cellStyle name="Normal 22 2 2 11 4" xfId="35799" xr:uid="{28F7B528-FDB3-46A1-9DEB-B6E0E44D9D86}"/>
    <cellStyle name="Normal 22 2 2 12" xfId="8857" xr:uid="{AA4654B9-2BA3-44FB-8F2B-B2C51B529078}"/>
    <cellStyle name="Normal 22 2 2 12 2" xfId="25617" xr:uid="{40CC03D4-934A-433E-A1AA-D8FB0F98CEE2}"/>
    <cellStyle name="Normal 22 2 2 12 3" xfId="42376" xr:uid="{E6F02798-C394-4FEA-8D31-E44AF10183F6}"/>
    <cellStyle name="Normal 22 2 2 13" xfId="17237" xr:uid="{6BE204CF-BE74-4121-9056-F144191D4E96}"/>
    <cellStyle name="Normal 22 2 2 14" xfId="33996" xr:uid="{7D685350-200D-4A7B-A079-41ED04129323}"/>
    <cellStyle name="Normal 22 2 2 2" xfId="888" xr:uid="{1B1659E5-4549-4850-AAAE-A245EAE4DA25}"/>
    <cellStyle name="Normal 22 2 2 2 2" xfId="4283" xr:uid="{E61122DE-E9CE-4AF1-A054-23223EE1B90D}"/>
    <cellStyle name="Normal 22 2 2 2 2 2" xfId="12663" xr:uid="{FF168183-62A5-4A12-B266-765250980A3E}"/>
    <cellStyle name="Normal 22 2 2 2 2 2 2" xfId="29423" xr:uid="{B85D60EC-5F19-4B1A-8252-ED96AECF8B5A}"/>
    <cellStyle name="Normal 22 2 2 2 2 2 3" xfId="46182" xr:uid="{5C7C3745-5E2D-450D-BB52-95F7270F2819}"/>
    <cellStyle name="Normal 22 2 2 2 2 3" xfId="21043" xr:uid="{F881EC7C-214F-4EAA-B8A6-B22C0351BC9D}"/>
    <cellStyle name="Normal 22 2 2 2 2 4" xfId="37802" xr:uid="{B56B0EB9-1594-4038-9D31-A3FC98D6BF54}"/>
    <cellStyle name="Normal 22 2 2 2 3" xfId="5970" xr:uid="{1D6D0C9C-5CF4-4764-A354-AF602DFC4F20}"/>
    <cellStyle name="Normal 22 2 2 2 3 2" xfId="14350" xr:uid="{204200A2-0201-4413-A314-9FC31EEECD3D}"/>
    <cellStyle name="Normal 22 2 2 2 3 2 2" xfId="31110" xr:uid="{6A9BF242-6BE6-46DE-AF11-A13E23256359}"/>
    <cellStyle name="Normal 22 2 2 2 3 2 3" xfId="47869" xr:uid="{145B95A2-1F97-49A0-A920-023D03FBAB1A}"/>
    <cellStyle name="Normal 22 2 2 2 3 3" xfId="22730" xr:uid="{BBCCF852-1471-4BBD-8BEE-E76407723207}"/>
    <cellStyle name="Normal 22 2 2 2 3 4" xfId="39489" xr:uid="{F4F43E0A-4CCE-4E9D-BC46-C2B3F23B3E12}"/>
    <cellStyle name="Normal 22 2 2 2 4" xfId="2706" xr:uid="{B0DB8DAB-A6B6-4F30-9AA2-F50754B6B7D0}"/>
    <cellStyle name="Normal 22 2 2 2 4 2" xfId="11086" xr:uid="{7D24989D-4C4D-4E7B-9F18-31D2FBAE2C83}"/>
    <cellStyle name="Normal 22 2 2 2 4 2 2" xfId="27846" xr:uid="{096D02DD-DCE5-41DA-BDE4-4EB55D29C674}"/>
    <cellStyle name="Normal 22 2 2 2 4 2 3" xfId="44605" xr:uid="{2E246F5E-9106-4929-A4E1-60880F581C65}"/>
    <cellStyle name="Normal 22 2 2 2 4 3" xfId="19466" xr:uid="{A4E6C7D5-EE0A-43C0-A5E1-C9B2FEC6B7D6}"/>
    <cellStyle name="Normal 22 2 2 2 4 4" xfId="36225" xr:uid="{9FF40AAA-AE15-43D8-8454-A95E8F77FA0B}"/>
    <cellStyle name="Normal 22 2 2 2 5" xfId="9283" xr:uid="{C9414FBE-7CB3-4E15-9893-5DFFCA436B55}"/>
    <cellStyle name="Normal 22 2 2 2 5 2" xfId="26043" xr:uid="{B7007F00-A478-400D-8367-D57AAE790141}"/>
    <cellStyle name="Normal 22 2 2 2 5 3" xfId="42802" xr:uid="{5B871647-E834-4E33-BC1E-7E97FB35F948}"/>
    <cellStyle name="Normal 22 2 2 2 6" xfId="17663" xr:uid="{2E3CD984-BB43-402F-A112-A8E19F51B7EB}"/>
    <cellStyle name="Normal 22 2 2 2 7" xfId="34422" xr:uid="{193CEF1C-49CC-4726-9486-2DA3A3AEF29B}"/>
    <cellStyle name="Normal 22 2 2 3" xfId="1322" xr:uid="{B8CAC425-D222-4E26-B7A1-BB1C791A92DE}"/>
    <cellStyle name="Normal 22 2 2 3 2" xfId="4711" xr:uid="{7C8C7DC6-5744-483B-B30F-35E297CFE587}"/>
    <cellStyle name="Normal 22 2 2 3 2 2" xfId="13091" xr:uid="{BCD7D340-E851-480C-903C-F5241C3B2E0B}"/>
    <cellStyle name="Normal 22 2 2 3 2 2 2" xfId="29851" xr:uid="{536CA58C-8FF6-49C5-A75B-E52D40AD2C84}"/>
    <cellStyle name="Normal 22 2 2 3 2 2 3" xfId="46610" xr:uid="{7736125D-8DD6-4365-BAAB-C19E745EDD22}"/>
    <cellStyle name="Normal 22 2 2 3 2 3" xfId="21471" xr:uid="{00054BB1-9AB3-49DC-B5E7-9A09ABAD7B61}"/>
    <cellStyle name="Normal 22 2 2 3 2 4" xfId="38230" xr:uid="{0F74C534-73CC-4C1A-AC01-26108B8D1561}"/>
    <cellStyle name="Normal 22 2 2 3 3" xfId="6398" xr:uid="{68A47605-4FCF-4340-B662-6D90091ACDA5}"/>
    <cellStyle name="Normal 22 2 2 3 3 2" xfId="14778" xr:uid="{0F28AADB-45A5-415E-8477-C4302C27AA52}"/>
    <cellStyle name="Normal 22 2 2 3 3 2 2" xfId="31538" xr:uid="{A0CD2453-C734-4B71-8446-128F4B5FE2AF}"/>
    <cellStyle name="Normal 22 2 2 3 3 2 3" xfId="48297" xr:uid="{CB89EB3A-924B-493E-97BE-CD68D28A495F}"/>
    <cellStyle name="Normal 22 2 2 3 3 3" xfId="23158" xr:uid="{829DAC26-199E-4558-B0B8-A99C7FA4C1B3}"/>
    <cellStyle name="Normal 22 2 2 3 3 4" xfId="39917" xr:uid="{DEDDC5B1-5268-4A91-9677-5CE2CAEE5E4B}"/>
    <cellStyle name="Normal 22 2 2 3 4" xfId="3134" xr:uid="{E6FA884C-655B-45D2-89B6-17E858018703}"/>
    <cellStyle name="Normal 22 2 2 3 4 2" xfId="11514" xr:uid="{8B23F09F-3DC3-46E4-A2B3-ABAC7116EBF1}"/>
    <cellStyle name="Normal 22 2 2 3 4 2 2" xfId="28274" xr:uid="{E2175C8A-A445-45AA-9C25-06A61E637D7B}"/>
    <cellStyle name="Normal 22 2 2 3 4 2 3" xfId="45033" xr:uid="{D894B139-0C46-4BEC-B488-C3F34B9CAE34}"/>
    <cellStyle name="Normal 22 2 2 3 4 3" xfId="19894" xr:uid="{DA78CFBA-E716-4A27-AB33-FDF8FEEEAF11}"/>
    <cellStyle name="Normal 22 2 2 3 4 4" xfId="36653" xr:uid="{A54EACC0-0DDC-40EA-9C7B-B5398532E445}"/>
    <cellStyle name="Normal 22 2 2 3 5" xfId="9711" xr:uid="{ED15BBE8-2CA7-4FDE-833A-BB5A736483AF}"/>
    <cellStyle name="Normal 22 2 2 3 5 2" xfId="26471" xr:uid="{11E90833-CD02-4028-A5B1-8CDE77FAB6E1}"/>
    <cellStyle name="Normal 22 2 2 3 5 3" xfId="43230" xr:uid="{ACEE8369-08A9-43D6-844E-E8E3C9655870}"/>
    <cellStyle name="Normal 22 2 2 3 6" xfId="18091" xr:uid="{EF6092EA-F5BA-4637-AD0A-056BE05632ED}"/>
    <cellStyle name="Normal 22 2 2 3 7" xfId="34850" xr:uid="{BEBC79FE-FE5C-4D52-9457-EAE2114B6851}"/>
    <cellStyle name="Normal 22 2 2 4" xfId="1862" xr:uid="{1C1DB684-9ECE-4AA1-B3FB-0B5E56A80068}"/>
    <cellStyle name="Normal 22 2 2 4 2" xfId="5251" xr:uid="{57BAF37D-C00F-4C1F-AD7B-D8EAE1C415BA}"/>
    <cellStyle name="Normal 22 2 2 4 2 2" xfId="13631" xr:uid="{A408542F-5443-4714-8F05-A4F3AFCEA463}"/>
    <cellStyle name="Normal 22 2 2 4 2 2 2" xfId="30391" xr:uid="{7C88DD77-41F0-411C-82EC-3603F897356D}"/>
    <cellStyle name="Normal 22 2 2 4 2 2 3" xfId="47150" xr:uid="{0F8602D4-4251-43FB-B4A8-1B120774E60D}"/>
    <cellStyle name="Normal 22 2 2 4 2 3" xfId="22011" xr:uid="{81B07A1D-E3FD-4E8B-B70F-C1D99C1F2CD1}"/>
    <cellStyle name="Normal 22 2 2 4 2 4" xfId="38770" xr:uid="{4D85D93D-6BE0-4F0E-B4C3-CBEE2A676504}"/>
    <cellStyle name="Normal 22 2 2 4 3" xfId="6938" xr:uid="{3AC7DE88-3183-4526-A5DA-BA73C4D2ED2E}"/>
    <cellStyle name="Normal 22 2 2 4 3 2" xfId="15318" xr:uid="{E321D495-C09F-434F-925A-1E2252090B49}"/>
    <cellStyle name="Normal 22 2 2 4 3 2 2" xfId="32078" xr:uid="{335BC94B-4276-4A3D-A1ED-FB23503BBFA2}"/>
    <cellStyle name="Normal 22 2 2 4 3 2 3" xfId="48837" xr:uid="{E4A8D1CD-E48D-418C-9301-0DA8E3D26CC8}"/>
    <cellStyle name="Normal 22 2 2 4 3 3" xfId="23698" xr:uid="{6B3182BF-5D79-4C5C-9B61-1F3D83B6EE8B}"/>
    <cellStyle name="Normal 22 2 2 4 3 4" xfId="40457" xr:uid="{4126ED91-6977-49D7-B5F6-F7D093DF4FF3}"/>
    <cellStyle name="Normal 22 2 2 4 4" xfId="3562" xr:uid="{B05F80FB-2328-4812-BD98-684FC33EEEBE}"/>
    <cellStyle name="Normal 22 2 2 4 4 2" xfId="11942" xr:uid="{B2A93472-4C4E-48F8-B9A7-BBFFEFB6E177}"/>
    <cellStyle name="Normal 22 2 2 4 4 2 2" xfId="28702" xr:uid="{AB87FDE9-1319-477B-90B2-F865223B78A3}"/>
    <cellStyle name="Normal 22 2 2 4 4 2 3" xfId="45461" xr:uid="{5914F223-5420-4D3A-92DF-64B73C0666C0}"/>
    <cellStyle name="Normal 22 2 2 4 4 3" xfId="20322" xr:uid="{23B686B3-7167-4EF2-8430-F7896E21102E}"/>
    <cellStyle name="Normal 22 2 2 4 4 4" xfId="37081" xr:uid="{2E9155FC-245B-443F-814F-8A5AED58DE1D}"/>
    <cellStyle name="Normal 22 2 2 4 5" xfId="10251" xr:uid="{B8BC270C-9452-43CF-A94B-1989EAAC46E9}"/>
    <cellStyle name="Normal 22 2 2 4 5 2" xfId="27011" xr:uid="{F14F5DCD-41DF-4433-8830-EF7538A69B45}"/>
    <cellStyle name="Normal 22 2 2 4 5 3" xfId="43770" xr:uid="{5F57C074-E013-4DE6-9FF1-C163967F9F2B}"/>
    <cellStyle name="Normal 22 2 2 4 6" xfId="18631" xr:uid="{212B4B8B-5A99-43FB-9BCC-B7CAA2FCCA4F}"/>
    <cellStyle name="Normal 22 2 2 4 7" xfId="35390" xr:uid="{6190AED3-734C-48D7-A1DC-6F3C1ADD6620}"/>
    <cellStyle name="Normal 22 2 2 5" xfId="3981" xr:uid="{97A51D41-B945-4D18-89AB-2AA18FAFA7F9}"/>
    <cellStyle name="Normal 22 2 2 5 2" xfId="12361" xr:uid="{D8CD4301-2ACD-414A-BEBF-A02C28F8DBED}"/>
    <cellStyle name="Normal 22 2 2 5 2 2" xfId="29121" xr:uid="{ECE6AC76-103B-4DC3-88FF-B474A287CA9D}"/>
    <cellStyle name="Normal 22 2 2 5 2 3" xfId="45880" xr:uid="{8C65CAE5-65F9-431E-A0E6-F2AD25ED9A65}"/>
    <cellStyle name="Normal 22 2 2 5 3" xfId="20741" xr:uid="{249813DE-67C8-4371-A345-44467BAE0854}"/>
    <cellStyle name="Normal 22 2 2 5 4" xfId="37500" xr:uid="{968DD3E9-7C85-4F02-AE65-B7ED730196AA}"/>
    <cellStyle name="Normal 22 2 2 6" xfId="5544" xr:uid="{167DBCE9-ABDB-462F-98E6-5064D5D16434}"/>
    <cellStyle name="Normal 22 2 2 6 2" xfId="13924" xr:uid="{D613FC58-1687-48B3-8FAE-73C719919745}"/>
    <cellStyle name="Normal 22 2 2 6 2 2" xfId="30684" xr:uid="{67E4A86A-7DEA-4992-89BB-4D4520AE21CD}"/>
    <cellStyle name="Normal 22 2 2 6 2 3" xfId="47443" xr:uid="{ECFEFFC8-E6A8-43CD-B760-03D5E82BDBFE}"/>
    <cellStyle name="Normal 22 2 2 6 3" xfId="22304" xr:uid="{384B4ECE-8094-4AE6-BD87-919785C5FFAA}"/>
    <cellStyle name="Normal 22 2 2 6 4" xfId="39063" xr:uid="{9593FCCB-7CAE-41F1-9DC2-5CDF17002C19}"/>
    <cellStyle name="Normal 22 2 2 7" xfId="7344" xr:uid="{A0EAE342-6072-4151-B076-C1A3915B058B}"/>
    <cellStyle name="Normal 22 2 2 7 2" xfId="15724" xr:uid="{7B4BEBCC-B9C8-4257-A77B-28C7D6AB1229}"/>
    <cellStyle name="Normal 22 2 2 7 2 2" xfId="32484" xr:uid="{7D3219C6-45DF-4BBA-B387-9ABDE8B956A9}"/>
    <cellStyle name="Normal 22 2 2 7 2 3" xfId="49243" xr:uid="{46A4C0DF-F54B-4737-AAD0-2506821E56D9}"/>
    <cellStyle name="Normal 22 2 2 7 3" xfId="24104" xr:uid="{8B48A781-EC88-4AC7-B119-F11C70D35E5E}"/>
    <cellStyle name="Normal 22 2 2 7 4" xfId="40863" xr:uid="{2DC8C7AA-8F30-4234-BA30-A0173413FF9D}"/>
    <cellStyle name="Normal 22 2 2 8" xfId="7750" xr:uid="{72B85286-08ED-4102-B4BB-FB50B9A1309C}"/>
    <cellStyle name="Normal 22 2 2 8 2" xfId="16130" xr:uid="{7763F304-87EA-42B8-912B-7E1C63E61F43}"/>
    <cellStyle name="Normal 22 2 2 8 2 2" xfId="32890" xr:uid="{DD81E843-0720-472C-9D1F-1AA00DA184E7}"/>
    <cellStyle name="Normal 22 2 2 8 2 3" xfId="49649" xr:uid="{7E4E17FF-3826-44EC-98AF-6B3F1CC965B2}"/>
    <cellStyle name="Normal 22 2 2 8 3" xfId="24510" xr:uid="{B40342B4-62CE-482A-A222-5058B9F97EFA}"/>
    <cellStyle name="Normal 22 2 2 8 4" xfId="41269" xr:uid="{D80545DE-B1FE-4630-826F-E4DD6063D81A}"/>
    <cellStyle name="Normal 22 2 2 9" xfId="8156" xr:uid="{EE4F61B1-E40C-4A21-B705-6CFBA2F52102}"/>
    <cellStyle name="Normal 22 2 2 9 2" xfId="16536" xr:uid="{56675EB3-4E6D-4D57-BE7D-2AF778DAD101}"/>
    <cellStyle name="Normal 22 2 2 9 2 2" xfId="33296" xr:uid="{1E051199-9AE6-4BF8-B32E-3166A313E6F7}"/>
    <cellStyle name="Normal 22 2 2 9 2 3" xfId="50055" xr:uid="{D5C4ABD4-137C-4EE4-A4D5-CFEE42AE9F2A}"/>
    <cellStyle name="Normal 22 2 2 9 3" xfId="24916" xr:uid="{708A20EC-036C-42A4-BAB5-B4ACAE67CF65}"/>
    <cellStyle name="Normal 22 2 2 9 4" xfId="41675" xr:uid="{CB75B0AA-228F-48FF-B0E2-C248ADF75CF8}"/>
    <cellStyle name="Normal 22 2 3" xfId="677" xr:uid="{4C200513-A080-45C1-A08C-3EA2C33A5EA3}"/>
    <cellStyle name="Normal 22 2 3 10" xfId="8671" xr:uid="{F5758A3B-0F0E-415E-A8A7-1737E03D8811}"/>
    <cellStyle name="Normal 22 2 3 10 2" xfId="17051" xr:uid="{97CA74F2-4A2A-4EEC-83D1-07680411C6DA}"/>
    <cellStyle name="Normal 22 2 3 10 2 2" xfId="33811" xr:uid="{5ADE6885-2560-488F-B44D-5BC37F5B09A9}"/>
    <cellStyle name="Normal 22 2 3 10 2 3" xfId="50570" xr:uid="{C3F358B8-6822-4C29-934B-3508C002EA28}"/>
    <cellStyle name="Normal 22 2 3 10 3" xfId="25431" xr:uid="{F2D8C441-3453-4AAA-9E02-D1F8F28A24F9}"/>
    <cellStyle name="Normal 22 2 3 10 4" xfId="42190" xr:uid="{7A74F0A3-6955-4049-9BF4-87D54609A824}"/>
    <cellStyle name="Normal 22 2 3 11" xfId="2507" xr:uid="{632D93D8-9836-4A12-A04D-F885231ABE22}"/>
    <cellStyle name="Normal 22 2 3 11 2" xfId="10889" xr:uid="{61EF87CB-129E-40EB-8655-CDADB25A6AE5}"/>
    <cellStyle name="Normal 22 2 3 11 2 2" xfId="27649" xr:uid="{5B83DA6D-D7F1-455A-B7BE-927838ADA5F6}"/>
    <cellStyle name="Normal 22 2 3 11 2 3" xfId="44408" xr:uid="{8D044D7C-C9B5-40F5-9E20-695629F52DC9}"/>
    <cellStyle name="Normal 22 2 3 11 3" xfId="19269" xr:uid="{60281036-49AA-4FD8-A503-FB60861485D1}"/>
    <cellStyle name="Normal 22 2 3 11 4" xfId="36028" xr:uid="{A5376322-E902-43F1-8993-BB99B1F90D74}"/>
    <cellStyle name="Normal 22 2 3 12" xfId="9086" xr:uid="{15199D97-570F-4F53-80F2-2F20DEF8DD81}"/>
    <cellStyle name="Normal 22 2 3 12 2" xfId="25846" xr:uid="{D43D2638-AB0D-48F1-A7E0-22F3E7300178}"/>
    <cellStyle name="Normal 22 2 3 12 3" xfId="42605" xr:uid="{820C2993-93D0-4908-9AD9-71979C464F61}"/>
    <cellStyle name="Normal 22 2 3 13" xfId="17466" xr:uid="{6782FEDA-C04C-497A-AEB4-F94500EF1607}"/>
    <cellStyle name="Normal 22 2 3 14" xfId="34225" xr:uid="{57857992-C239-49EA-A00D-268A25A4575F}"/>
    <cellStyle name="Normal 22 2 3 2" xfId="1117" xr:uid="{B5354DD2-C663-4E2C-8FF7-7AFE6E4989F3}"/>
    <cellStyle name="Normal 22 2 3 2 2" xfId="4512" xr:uid="{01C9BD61-08E1-4BB4-8281-F40B74A80996}"/>
    <cellStyle name="Normal 22 2 3 2 2 2" xfId="12892" xr:uid="{F475739E-F563-450A-A1E6-D32055F18699}"/>
    <cellStyle name="Normal 22 2 3 2 2 2 2" xfId="29652" xr:uid="{A6C3E252-448B-48F1-BE01-B3D122076B6E}"/>
    <cellStyle name="Normal 22 2 3 2 2 2 3" xfId="46411" xr:uid="{423BE0CE-851B-490A-A3D8-26715D5E85AB}"/>
    <cellStyle name="Normal 22 2 3 2 2 3" xfId="21272" xr:uid="{5A57B32F-7459-478B-B651-E82C26520EAD}"/>
    <cellStyle name="Normal 22 2 3 2 2 4" xfId="38031" xr:uid="{30C72C6E-5C33-43B0-9274-CF4A1579BCF8}"/>
    <cellStyle name="Normal 22 2 3 2 3" xfId="6199" xr:uid="{147109ED-DAA2-40FA-BDAC-B322D8B6FCD8}"/>
    <cellStyle name="Normal 22 2 3 2 3 2" xfId="14579" xr:uid="{44DC9520-A16D-42DC-B214-54CA2794095D}"/>
    <cellStyle name="Normal 22 2 3 2 3 2 2" xfId="31339" xr:uid="{88704193-9210-4FA0-AD3D-443E0BA8C77E}"/>
    <cellStyle name="Normal 22 2 3 2 3 2 3" xfId="48098" xr:uid="{022F8BEB-3D16-4901-8671-50CFAB0271FE}"/>
    <cellStyle name="Normal 22 2 3 2 3 3" xfId="22959" xr:uid="{6CD5C967-39C8-4AA5-BC59-010A84E7DAD7}"/>
    <cellStyle name="Normal 22 2 3 2 3 4" xfId="39718" xr:uid="{B88D9BB3-13FB-473C-B55D-D3522ADE4653}"/>
    <cellStyle name="Normal 22 2 3 2 4" xfId="2935" xr:uid="{01D1AE50-1C2E-41C6-8A04-944F1A90F89F}"/>
    <cellStyle name="Normal 22 2 3 2 4 2" xfId="11315" xr:uid="{ADEEEA37-11E2-45F3-9C99-4F3682BB68FA}"/>
    <cellStyle name="Normal 22 2 3 2 4 2 2" xfId="28075" xr:uid="{25C1C29D-8EE1-4FA0-8956-39854207DE5C}"/>
    <cellStyle name="Normal 22 2 3 2 4 2 3" xfId="44834" xr:uid="{BDF03105-A49E-46C6-8321-9A0495A028D7}"/>
    <cellStyle name="Normal 22 2 3 2 4 3" xfId="19695" xr:uid="{8A935DB7-3DAF-43FE-9537-057171E87E01}"/>
    <cellStyle name="Normal 22 2 3 2 4 4" xfId="36454" xr:uid="{07FAD657-2AC7-4D7B-9FBF-995D70DA58BE}"/>
    <cellStyle name="Normal 22 2 3 2 5" xfId="9512" xr:uid="{620D3AA8-DC09-4311-8A92-D1C546B6098D}"/>
    <cellStyle name="Normal 22 2 3 2 5 2" xfId="26272" xr:uid="{45D6DDB1-1CA3-44E1-A1F6-97900B29AC77}"/>
    <cellStyle name="Normal 22 2 3 2 5 3" xfId="43031" xr:uid="{D1E4E91F-907C-4F40-8E77-DDF9798A0FB2}"/>
    <cellStyle name="Normal 22 2 3 2 6" xfId="17892" xr:uid="{DBF1C81B-81F2-45E5-A738-65F55EB6776F}"/>
    <cellStyle name="Normal 22 2 3 2 7" xfId="34651" xr:uid="{DA58E9AB-D8AA-4B76-848E-845EB86288DB}"/>
    <cellStyle name="Normal 22 2 3 3" xfId="1551" xr:uid="{B7D5F460-FA24-476B-BD42-BF364F7577DD}"/>
    <cellStyle name="Normal 22 2 3 3 2" xfId="4940" xr:uid="{A5053F75-F157-4AEA-A3A5-635E4D1869E6}"/>
    <cellStyle name="Normal 22 2 3 3 2 2" xfId="13320" xr:uid="{76D7B759-D86B-4CF0-8C1F-3897350341DE}"/>
    <cellStyle name="Normal 22 2 3 3 2 2 2" xfId="30080" xr:uid="{361BD89B-3A09-405E-8D65-E0C3E9A50D71}"/>
    <cellStyle name="Normal 22 2 3 3 2 2 3" xfId="46839" xr:uid="{A1C75832-7A21-43E7-99C8-A64D9F8F35C8}"/>
    <cellStyle name="Normal 22 2 3 3 2 3" xfId="21700" xr:uid="{26A398CA-0C46-46C8-AB15-0771FA55D059}"/>
    <cellStyle name="Normal 22 2 3 3 2 4" xfId="38459" xr:uid="{EF53C24E-9DE1-4DC1-9CCA-9085363FF15F}"/>
    <cellStyle name="Normal 22 2 3 3 3" xfId="6627" xr:uid="{B50F9481-C158-47DB-B30A-6DBEA372EEB4}"/>
    <cellStyle name="Normal 22 2 3 3 3 2" xfId="15007" xr:uid="{19E50CDB-6220-4419-AB41-4F623E33EB9F}"/>
    <cellStyle name="Normal 22 2 3 3 3 2 2" xfId="31767" xr:uid="{A0E334B9-8FD0-473D-AADB-8879CA907415}"/>
    <cellStyle name="Normal 22 2 3 3 3 2 3" xfId="48526" xr:uid="{444A39D8-2612-43A3-A85D-C3E64F62AC6B}"/>
    <cellStyle name="Normal 22 2 3 3 3 3" xfId="23387" xr:uid="{E72D3D53-A766-41FA-957C-E989133BC294}"/>
    <cellStyle name="Normal 22 2 3 3 3 4" xfId="40146" xr:uid="{372B1D25-5FD9-4AE2-9775-3659C1F46F74}"/>
    <cellStyle name="Normal 22 2 3 3 4" xfId="3363" xr:uid="{E87ED564-A3F4-46C3-B9E7-1985A8D1ECEB}"/>
    <cellStyle name="Normal 22 2 3 3 4 2" xfId="11743" xr:uid="{31C5BF4E-7510-4EDA-8290-A7D7F4F28B4E}"/>
    <cellStyle name="Normal 22 2 3 3 4 2 2" xfId="28503" xr:uid="{41A92E52-39FA-42F7-8462-23E3E95F3FFC}"/>
    <cellStyle name="Normal 22 2 3 3 4 2 3" xfId="45262" xr:uid="{689B99A1-FFE9-48D6-8B9E-4884FC66571A}"/>
    <cellStyle name="Normal 22 2 3 3 4 3" xfId="20123" xr:uid="{615EFCB8-D6BB-4DF4-9EDC-C814EB241AF7}"/>
    <cellStyle name="Normal 22 2 3 3 4 4" xfId="36882" xr:uid="{A03EE645-C0AB-48B5-A320-4C28C5ED3B38}"/>
    <cellStyle name="Normal 22 2 3 3 5" xfId="9940" xr:uid="{AB7FDB95-C367-45F1-B9A7-7F6D7EDAC93D}"/>
    <cellStyle name="Normal 22 2 3 3 5 2" xfId="26700" xr:uid="{EF36DE4F-7EB2-4A41-A052-B2D17FFA75EC}"/>
    <cellStyle name="Normal 22 2 3 3 5 3" xfId="43459" xr:uid="{28DD53C2-A1B8-407A-8D75-E9A9996871BA}"/>
    <cellStyle name="Normal 22 2 3 3 6" xfId="18320" xr:uid="{6472BBF6-37D0-4F08-89AE-062CD7BC9527}"/>
    <cellStyle name="Normal 22 2 3 3 7" xfId="35079" xr:uid="{5CE4CC61-5B54-4F16-9D18-07B2E59A4F9B}"/>
    <cellStyle name="Normal 22 2 3 4" xfId="1971" xr:uid="{518ED8A7-5460-4EF1-8295-0C6DDCC9090A}"/>
    <cellStyle name="Normal 22 2 3 4 2" xfId="5360" xr:uid="{8AB5F0E2-F1E7-444A-B7FA-1D891E55C0F9}"/>
    <cellStyle name="Normal 22 2 3 4 2 2" xfId="13740" xr:uid="{AAEE8EFD-8CAD-4F32-B5D1-23EB898C0619}"/>
    <cellStyle name="Normal 22 2 3 4 2 2 2" xfId="30500" xr:uid="{B5D08939-F997-4BD1-B677-80404A2A657A}"/>
    <cellStyle name="Normal 22 2 3 4 2 2 3" xfId="47259" xr:uid="{E3E26A5C-4551-439D-91AD-19D6815D04BA}"/>
    <cellStyle name="Normal 22 2 3 4 2 3" xfId="22120" xr:uid="{F566B493-8FD3-4A37-96F6-B70301796710}"/>
    <cellStyle name="Normal 22 2 3 4 2 4" xfId="38879" xr:uid="{6F97101D-913B-4E3B-B700-3B9EFB673E58}"/>
    <cellStyle name="Normal 22 2 3 4 3" xfId="7047" xr:uid="{26FE077F-224A-4F12-9FE8-7478DFD40467}"/>
    <cellStyle name="Normal 22 2 3 4 3 2" xfId="15427" xr:uid="{86EADD2F-E93F-4A0D-8728-486B9C266E3C}"/>
    <cellStyle name="Normal 22 2 3 4 3 2 2" xfId="32187" xr:uid="{2BD9A0BE-1FCD-413C-91D7-9D8EAC9F0910}"/>
    <cellStyle name="Normal 22 2 3 4 3 2 3" xfId="48946" xr:uid="{730B2C87-BA92-42AF-87B4-F0609D2F1602}"/>
    <cellStyle name="Normal 22 2 3 4 3 3" xfId="23807" xr:uid="{A6C08E40-D508-45E9-BFD1-273C0592D270}"/>
    <cellStyle name="Normal 22 2 3 4 3 4" xfId="40566" xr:uid="{2573B2DC-C897-4F9B-93A2-B9CB0F8C0F47}"/>
    <cellStyle name="Normal 22 2 3 4 4" xfId="3670" xr:uid="{8E86939B-3A3B-4849-9940-C108FDD7BEFC}"/>
    <cellStyle name="Normal 22 2 3 4 4 2" xfId="12050" xr:uid="{F8080F6F-A5FF-4AF5-8071-C17F9BB592D2}"/>
    <cellStyle name="Normal 22 2 3 4 4 2 2" xfId="28810" xr:uid="{AA112EF4-1F63-452A-AE2D-37F9A098C098}"/>
    <cellStyle name="Normal 22 2 3 4 4 2 3" xfId="45569" xr:uid="{55268956-16F8-465E-846C-C5CC0C7DDFB3}"/>
    <cellStyle name="Normal 22 2 3 4 4 3" xfId="20430" xr:uid="{6808FD30-228A-4CD9-8A99-6BA8BBBCC904}"/>
    <cellStyle name="Normal 22 2 3 4 4 4" xfId="37189" xr:uid="{F9D469B6-0E0C-456E-8870-010E9BD81087}"/>
    <cellStyle name="Normal 22 2 3 4 5" xfId="10360" xr:uid="{52628EBC-BC87-4AB8-A5BE-0B8FBB6255C7}"/>
    <cellStyle name="Normal 22 2 3 4 5 2" xfId="27120" xr:uid="{D75E8FD2-9CCC-44A0-848C-9D1C7967095D}"/>
    <cellStyle name="Normal 22 2 3 4 5 3" xfId="43879" xr:uid="{947C35E8-8DE8-413A-A964-532559773185}"/>
    <cellStyle name="Normal 22 2 3 4 6" xfId="18740" xr:uid="{4DC1DA6C-5CD7-4BF6-B89F-C05D08AF14E1}"/>
    <cellStyle name="Normal 22 2 3 4 7" xfId="35499" xr:uid="{7210E79A-AAED-476F-9CB0-AA072E54C11B}"/>
    <cellStyle name="Normal 22 2 3 5" xfId="4090" xr:uid="{646EC65D-3082-409D-855B-FF8363B9EDF1}"/>
    <cellStyle name="Normal 22 2 3 5 2" xfId="12470" xr:uid="{EDC86F24-2412-4395-8E68-C3475CCAEC40}"/>
    <cellStyle name="Normal 22 2 3 5 2 2" xfId="29230" xr:uid="{47A33059-A117-43EE-8CB9-0C8189431558}"/>
    <cellStyle name="Normal 22 2 3 5 2 3" xfId="45989" xr:uid="{E7DB9390-C0B9-4A81-BECC-216524A26BC6}"/>
    <cellStyle name="Normal 22 2 3 5 3" xfId="20850" xr:uid="{7B46AC96-DE80-4867-8E90-AB9527583382}"/>
    <cellStyle name="Normal 22 2 3 5 4" xfId="37609" xr:uid="{A3CE2D55-5EAE-43D2-B087-E25D552E8B32}"/>
    <cellStyle name="Normal 22 2 3 6" xfId="5773" xr:uid="{F28393B7-F650-4BFD-88E0-7FCF720950CA}"/>
    <cellStyle name="Normal 22 2 3 6 2" xfId="14153" xr:uid="{75F3FEA7-E388-4E18-8E98-EBB540BABDCB}"/>
    <cellStyle name="Normal 22 2 3 6 2 2" xfId="30913" xr:uid="{F3E23D16-3625-4A01-B578-19D1BE33DEE6}"/>
    <cellStyle name="Normal 22 2 3 6 2 3" xfId="47672" xr:uid="{23A8A17C-9ECF-4327-AB82-E208CF9AA87E}"/>
    <cellStyle name="Normal 22 2 3 6 3" xfId="22533" xr:uid="{E1F64AA1-ACA6-4AB8-9544-1C41B577D769}"/>
    <cellStyle name="Normal 22 2 3 6 4" xfId="39292" xr:uid="{8181A3CE-7DCC-4397-82E0-4123C41B64F0}"/>
    <cellStyle name="Normal 22 2 3 7" xfId="7453" xr:uid="{38D10DAF-AF7B-4545-AB89-5E09A90D3414}"/>
    <cellStyle name="Normal 22 2 3 7 2" xfId="15833" xr:uid="{5FCD4014-4FC8-4318-8EAC-4157F27E7D3E}"/>
    <cellStyle name="Normal 22 2 3 7 2 2" xfId="32593" xr:uid="{2256E479-A8B6-4AFE-AA20-BBCDBCD93635}"/>
    <cellStyle name="Normal 22 2 3 7 2 3" xfId="49352" xr:uid="{0396AE2C-A135-4627-9BEB-D3769837DF38}"/>
    <cellStyle name="Normal 22 2 3 7 3" xfId="24213" xr:uid="{3635D98C-B243-423B-BCE9-3264AE653E4B}"/>
    <cellStyle name="Normal 22 2 3 7 4" xfId="40972" xr:uid="{58817B2C-31F9-49DE-811B-E9602371B906}"/>
    <cellStyle name="Normal 22 2 3 8" xfId="7859" xr:uid="{880D5E7B-9AFB-4B3D-877A-0732021471E0}"/>
    <cellStyle name="Normal 22 2 3 8 2" xfId="16239" xr:uid="{D659D1D6-31BA-4447-8FD6-2447F66DDD70}"/>
    <cellStyle name="Normal 22 2 3 8 2 2" xfId="32999" xr:uid="{5D12904C-BEF0-4E10-B2AA-213CAE77B2E4}"/>
    <cellStyle name="Normal 22 2 3 8 2 3" xfId="49758" xr:uid="{092085F9-2BEE-4BF7-B34F-0E367A0CB1BE}"/>
    <cellStyle name="Normal 22 2 3 8 3" xfId="24619" xr:uid="{C2FF3D65-4D24-4A7A-9D1A-377582B1B214}"/>
    <cellStyle name="Normal 22 2 3 8 4" xfId="41378" xr:uid="{9841B531-A976-4CA1-836E-41173A7546E7}"/>
    <cellStyle name="Normal 22 2 3 9" xfId="8265" xr:uid="{98105A01-F2E2-47D7-8FA0-ADD348903C73}"/>
    <cellStyle name="Normal 22 2 3 9 2" xfId="16645" xr:uid="{F1DE344E-28AD-4492-93C7-087892A1D839}"/>
    <cellStyle name="Normal 22 2 3 9 2 2" xfId="33405" xr:uid="{8F58DCA3-174B-487D-9DF4-47C701F2ED0D}"/>
    <cellStyle name="Normal 22 2 3 9 2 3" xfId="50164" xr:uid="{DC6A066E-5347-41A4-85E8-2CFEBE15E5DE}"/>
    <cellStyle name="Normal 22 2 3 9 3" xfId="25025" xr:uid="{3BA3CA69-F144-465A-8ED8-1E56B708F7F6}"/>
    <cellStyle name="Normal 22 2 3 9 4" xfId="41784" xr:uid="{2FAB495E-EE85-4D2F-954D-287727704D3F}"/>
    <cellStyle name="Normal 22 2 4" xfId="814" xr:uid="{33DC5DF7-88AF-40A4-9FD0-0DDC48DBC077}"/>
    <cellStyle name="Normal 22 2 4 2" xfId="4209" xr:uid="{EF0B54E6-3BCC-4960-A499-EF37F0F48516}"/>
    <cellStyle name="Normal 22 2 4 2 2" xfId="12589" xr:uid="{978F9C54-3430-4263-B33D-5A4CB2C0D2F2}"/>
    <cellStyle name="Normal 22 2 4 2 2 2" xfId="29349" xr:uid="{1644849A-10B4-42E5-83C1-E47269CA4A27}"/>
    <cellStyle name="Normal 22 2 4 2 2 3" xfId="46108" xr:uid="{B26BF24B-721F-40C8-B385-89CBB84E1151}"/>
    <cellStyle name="Normal 22 2 4 2 3" xfId="20969" xr:uid="{D28FF8F5-0F94-4FA0-BB4C-318C7C275148}"/>
    <cellStyle name="Normal 22 2 4 2 4" xfId="37728" xr:uid="{94AA2FD5-88D8-4A9B-8BCA-2276D5A4FAF7}"/>
    <cellStyle name="Normal 22 2 4 3" xfId="5896" xr:uid="{A5C08A90-31C5-4ADB-86F5-4F35827275BF}"/>
    <cellStyle name="Normal 22 2 4 3 2" xfId="14276" xr:uid="{3D0F84A2-3318-4A83-8058-8E5D9115DB76}"/>
    <cellStyle name="Normal 22 2 4 3 2 2" xfId="31036" xr:uid="{E227933E-D0E0-4F24-95DF-7C05407C3D3E}"/>
    <cellStyle name="Normal 22 2 4 3 2 3" xfId="47795" xr:uid="{8028B3BD-6494-4663-A7FC-0476702C88A6}"/>
    <cellStyle name="Normal 22 2 4 3 3" xfId="22656" xr:uid="{7EDEC439-5C83-43FE-ACC1-3ABD0CA2F72D}"/>
    <cellStyle name="Normal 22 2 4 3 4" xfId="39415" xr:uid="{0DF0978D-00E2-457B-BA06-D2A87C8A7C1D}"/>
    <cellStyle name="Normal 22 2 4 4" xfId="2632" xr:uid="{3CFF3F2E-928E-4686-B2E4-32BC744CF719}"/>
    <cellStyle name="Normal 22 2 4 4 2" xfId="11012" xr:uid="{978FD46B-A36D-445C-8A7E-56C0B221546B}"/>
    <cellStyle name="Normal 22 2 4 4 2 2" xfId="27772" xr:uid="{F9C890DB-7C2F-4227-AFE6-9C4DEA4B7050}"/>
    <cellStyle name="Normal 22 2 4 4 2 3" xfId="44531" xr:uid="{0F60E4C5-7F9B-4CD6-8944-1C02188F367E}"/>
    <cellStyle name="Normal 22 2 4 4 3" xfId="19392" xr:uid="{7DE0721E-8A82-42CF-B793-1F3D9A159905}"/>
    <cellStyle name="Normal 22 2 4 4 4" xfId="36151" xr:uid="{0340D222-C07B-4287-A5DB-F18EB12345D8}"/>
    <cellStyle name="Normal 22 2 4 5" xfId="9209" xr:uid="{19ACAA22-3180-4F3B-BA20-8546D937F464}"/>
    <cellStyle name="Normal 22 2 4 5 2" xfId="25969" xr:uid="{3D737F27-FE16-429C-A090-EE0410DF3FFC}"/>
    <cellStyle name="Normal 22 2 4 5 3" xfId="42728" xr:uid="{53F33971-9EDE-40B4-827F-E3842D76C20A}"/>
    <cellStyle name="Normal 22 2 4 6" xfId="17589" xr:uid="{4C85A7E4-4302-45B8-A4C3-E0A7B197C0C8}"/>
    <cellStyle name="Normal 22 2 4 7" xfId="34348" xr:uid="{28B43DD4-0DF0-4B8C-BB1B-CA1F56A00F77}"/>
    <cellStyle name="Normal 22 2 5" xfId="1248" xr:uid="{7B0DD4B8-5AC4-4E01-8281-611403F33DA6}"/>
    <cellStyle name="Normal 22 2 5 2" xfId="4637" xr:uid="{AA5BA395-CBB5-4EF8-8273-4AC5479C98D2}"/>
    <cellStyle name="Normal 22 2 5 2 2" xfId="13017" xr:uid="{040EC2A2-B6D8-4BF2-84B5-E52F2E104730}"/>
    <cellStyle name="Normal 22 2 5 2 2 2" xfId="29777" xr:uid="{92D193E0-7155-49D8-83C8-7967E120499B}"/>
    <cellStyle name="Normal 22 2 5 2 2 3" xfId="46536" xr:uid="{E42D2C8B-54CE-418F-9B00-1BFF6B7C627B}"/>
    <cellStyle name="Normal 22 2 5 2 3" xfId="21397" xr:uid="{AFE7CC43-C28A-4A44-82D7-F6F893324181}"/>
    <cellStyle name="Normal 22 2 5 2 4" xfId="38156" xr:uid="{E78ACA16-7F52-4845-8B25-EEE5D2CCDCFA}"/>
    <cellStyle name="Normal 22 2 5 3" xfId="6324" xr:uid="{257DFA3C-2B54-42EB-A0F0-2C992ACC91AA}"/>
    <cellStyle name="Normal 22 2 5 3 2" xfId="14704" xr:uid="{8C8FA394-098E-4AEE-8E1D-C86B89D60006}"/>
    <cellStyle name="Normal 22 2 5 3 2 2" xfId="31464" xr:uid="{358E76FE-345D-48CB-9C78-931E93BF5246}"/>
    <cellStyle name="Normal 22 2 5 3 2 3" xfId="48223" xr:uid="{E2B20B57-2BD9-4805-B84D-B300E5811AD8}"/>
    <cellStyle name="Normal 22 2 5 3 3" xfId="23084" xr:uid="{68B5D2E8-47EA-4AD4-ABD2-054BFC8B8465}"/>
    <cellStyle name="Normal 22 2 5 3 4" xfId="39843" xr:uid="{97D43379-11A2-428C-B1CE-D25ECBBB4313}"/>
    <cellStyle name="Normal 22 2 5 4" xfId="3060" xr:uid="{7C0C0FC6-9F8F-4FEC-B860-64759447BC9B}"/>
    <cellStyle name="Normal 22 2 5 4 2" xfId="11440" xr:uid="{346C6B3E-0E26-4A6E-9D10-0AFCCA87C63F}"/>
    <cellStyle name="Normal 22 2 5 4 2 2" xfId="28200" xr:uid="{DD993FA9-F87C-4DD1-9F1A-32C34305272E}"/>
    <cellStyle name="Normal 22 2 5 4 2 3" xfId="44959" xr:uid="{6AF54138-3F70-4B1A-B75D-3185D5A6A289}"/>
    <cellStyle name="Normal 22 2 5 4 3" xfId="19820" xr:uid="{2248E7E0-023D-4394-9D4A-F160D52647F7}"/>
    <cellStyle name="Normal 22 2 5 4 4" xfId="36579" xr:uid="{F623BF53-F0A4-4F30-BB2C-9F889B524090}"/>
    <cellStyle name="Normal 22 2 5 5" xfId="9637" xr:uid="{A6DFF6CD-B385-4834-AA92-C2F07E68B0E9}"/>
    <cellStyle name="Normal 22 2 5 5 2" xfId="26397" xr:uid="{CA0230D5-FE6E-4CAF-A72F-1740259FB1D9}"/>
    <cellStyle name="Normal 22 2 5 5 3" xfId="43156" xr:uid="{1AF472E7-5F4B-45A0-8996-6DCE516205E9}"/>
    <cellStyle name="Normal 22 2 5 6" xfId="18017" xr:uid="{AAF706A4-0DAF-4877-A350-BBEC74EA8143}"/>
    <cellStyle name="Normal 22 2 5 7" xfId="34776" xr:uid="{FB4B5ED3-2E30-4220-9AEB-288E0A5032BA}"/>
    <cellStyle name="Normal 22 2 6" xfId="1700" xr:uid="{D1866C5D-0D9D-4BBA-8BA0-EBFCA84DB2E4}"/>
    <cellStyle name="Normal 22 2 6 2" xfId="5089" xr:uid="{48B2F3FD-47CA-4557-8F77-D0DC2ACD8C93}"/>
    <cellStyle name="Normal 22 2 6 2 2" xfId="13469" xr:uid="{2F9A342E-B6BB-413A-8527-A314DD4C3EB7}"/>
    <cellStyle name="Normal 22 2 6 2 2 2" xfId="30229" xr:uid="{D50594AD-7993-4F13-BA8A-B04C2C21DD5F}"/>
    <cellStyle name="Normal 22 2 6 2 2 3" xfId="46988" xr:uid="{8877A88B-4FD8-4682-8822-DBDFC57BC227}"/>
    <cellStyle name="Normal 22 2 6 2 3" xfId="21849" xr:uid="{77A01941-AAE1-4B83-A751-006616248B31}"/>
    <cellStyle name="Normal 22 2 6 2 4" xfId="38608" xr:uid="{E13AE78F-781E-402D-934D-91565D63C9A4}"/>
    <cellStyle name="Normal 22 2 6 3" xfId="6776" xr:uid="{CDE37CB8-5FDF-4CCF-B21D-C2CD6722F30D}"/>
    <cellStyle name="Normal 22 2 6 3 2" xfId="15156" xr:uid="{ACBFEB68-74EF-4F76-B318-6F077468F2D7}"/>
    <cellStyle name="Normal 22 2 6 3 2 2" xfId="31916" xr:uid="{87C65BD6-8F4B-465E-BD72-61D6CEB08618}"/>
    <cellStyle name="Normal 22 2 6 3 2 3" xfId="48675" xr:uid="{3DE3EE6C-6E6E-4F00-AB61-245FE6C631F4}"/>
    <cellStyle name="Normal 22 2 6 3 3" xfId="23536" xr:uid="{3952E560-313D-4A2A-9F05-BB476E947B8D}"/>
    <cellStyle name="Normal 22 2 6 3 4" xfId="40295" xr:uid="{11F0C81E-BC71-4157-93E2-9618DF445A71}"/>
    <cellStyle name="Normal 22 2 6 4" xfId="2199" xr:uid="{3D30ABAB-0D12-41E2-9718-8F362AA091E3}"/>
    <cellStyle name="Normal 22 2 6 4 2" xfId="10586" xr:uid="{38323F71-2512-47EC-9CB2-0EE520612315}"/>
    <cellStyle name="Normal 22 2 6 4 2 2" xfId="27346" xr:uid="{E2368701-4276-4BED-9DCC-158AB0A65BF5}"/>
    <cellStyle name="Normal 22 2 6 4 2 3" xfId="44105" xr:uid="{57E9F3DB-C0BE-4198-9094-B09933421FB6}"/>
    <cellStyle name="Normal 22 2 6 4 3" xfId="18966" xr:uid="{29B14BE7-4436-46EA-9157-89444A8820D6}"/>
    <cellStyle name="Normal 22 2 6 4 4" xfId="35725" xr:uid="{4F32AD22-5EDD-4BB6-B4A4-2790D412015A}"/>
    <cellStyle name="Normal 22 2 6 5" xfId="10089" xr:uid="{0DF11CC7-9957-4BF2-A277-92A207FD7FA0}"/>
    <cellStyle name="Normal 22 2 6 5 2" xfId="26849" xr:uid="{0972CC3A-81C8-4280-9CB3-19331A1E44E9}"/>
    <cellStyle name="Normal 22 2 6 5 3" xfId="43608" xr:uid="{FB204CC9-025A-41C4-B094-6A591D9911B8}"/>
    <cellStyle name="Normal 22 2 6 6" xfId="18469" xr:uid="{55F28DB5-82A9-45BF-9516-DE88C2ACAC99}"/>
    <cellStyle name="Normal 22 2 6 7" xfId="35228" xr:uid="{E1FDBE2C-4518-4DD9-9464-28ABBDC0419E}"/>
    <cellStyle name="Normal 22 2 7" xfId="3818" xr:uid="{EAC80AC0-EBC6-451A-8E8F-B90FA179F546}"/>
    <cellStyle name="Normal 22 2 7 2" xfId="12198" xr:uid="{E8D0CE86-EFC4-400D-BC60-4157B0283679}"/>
    <cellStyle name="Normal 22 2 7 2 2" xfId="28958" xr:uid="{DF06D0E1-6CBC-411C-92F9-9FB84F225CAB}"/>
    <cellStyle name="Normal 22 2 7 2 3" xfId="45717" xr:uid="{6F86F0B0-B27A-4B17-ABD6-47DF0B485B92}"/>
    <cellStyle name="Normal 22 2 7 3" xfId="20578" xr:uid="{8ABDE450-D568-459B-B2D6-1A40E0C7B1F2}"/>
    <cellStyle name="Normal 22 2 7 4" xfId="37337" xr:uid="{67185282-BBC6-4743-B0ED-5318E7D758C1}"/>
    <cellStyle name="Normal 22 2 8" xfId="5470" xr:uid="{54F988F9-AC58-47D8-BFE9-3516DBEB19F0}"/>
    <cellStyle name="Normal 22 2 8 2" xfId="13850" xr:uid="{739BFA43-E983-4B38-86C5-E9072B96A2D7}"/>
    <cellStyle name="Normal 22 2 8 2 2" xfId="30610" xr:uid="{93AF2921-C926-4FBA-92EE-0470B1F38CE3}"/>
    <cellStyle name="Normal 22 2 8 2 3" xfId="47369" xr:uid="{5CE61963-FA87-4E3E-BF57-DB2C274F7AD4}"/>
    <cellStyle name="Normal 22 2 8 3" xfId="22230" xr:uid="{59B5403F-E941-4D2E-8E7A-EC7F1FCB43E1}"/>
    <cellStyle name="Normal 22 2 8 4" xfId="38989" xr:uid="{9D39A755-400F-46EA-A16E-BF449D31ADF2}"/>
    <cellStyle name="Normal 22 2 9" xfId="7182" xr:uid="{BF3C5A3B-4661-4971-B5DB-14BECB997B66}"/>
    <cellStyle name="Normal 22 2 9 2" xfId="15562" xr:uid="{B626CFB6-DBA7-4237-ABA9-6E2DCCA942CC}"/>
    <cellStyle name="Normal 22 2 9 2 2" xfId="32322" xr:uid="{6193F245-E8ED-45EE-906D-85BE4F9FD651}"/>
    <cellStyle name="Normal 22 2 9 2 3" xfId="49081" xr:uid="{40A65CD1-C0C9-46CF-B672-F696D98E6046}"/>
    <cellStyle name="Normal 22 2 9 3" xfId="23942" xr:uid="{146EB143-8AEE-4C31-936A-1F0EC9E40C9E}"/>
    <cellStyle name="Normal 22 2 9 4" xfId="40701" xr:uid="{AFE4C05E-1783-4F5C-AFAA-DA3B41E772E7}"/>
    <cellStyle name="Normal 22 20" xfId="281" xr:uid="{1919267F-F538-4438-A532-1637BDAD8E4E}"/>
    <cellStyle name="Normal 22 3" xfId="365" xr:uid="{D2DAAF4B-FF32-413A-8B26-C9D3004AA5B4}"/>
    <cellStyle name="Normal 22 3 10" xfId="7646" xr:uid="{3EB748A1-7424-4F2B-925A-C97359C288CB}"/>
    <cellStyle name="Normal 22 3 10 2" xfId="16026" xr:uid="{BFB6277C-15C1-45BA-8F01-46FB96F74A14}"/>
    <cellStyle name="Normal 22 3 10 2 2" xfId="32786" xr:uid="{7C0A7D9C-0D2A-4B87-9508-94A535DE496C}"/>
    <cellStyle name="Normal 22 3 10 2 3" xfId="49545" xr:uid="{B7D716C6-0511-41A5-B0BB-9245650535B2}"/>
    <cellStyle name="Normal 22 3 10 3" xfId="24406" xr:uid="{86E01A9A-3410-4E4D-A962-A6B1529C83A0}"/>
    <cellStyle name="Normal 22 3 10 4" xfId="41165" xr:uid="{0EADB6FC-9CFC-434F-B4DF-E7B614199C39}"/>
    <cellStyle name="Normal 22 3 11" xfId="8052" xr:uid="{2EAD4DC5-FE69-4CFF-988D-48AC965F2DF1}"/>
    <cellStyle name="Normal 22 3 11 2" xfId="16432" xr:uid="{6A3FA945-CBB9-4F06-8571-7600247FFF05}"/>
    <cellStyle name="Normal 22 3 11 2 2" xfId="33192" xr:uid="{8A6DAEEC-104B-46A9-983B-C4D36F20D156}"/>
    <cellStyle name="Normal 22 3 11 2 3" xfId="49951" xr:uid="{05F443A1-2A37-44CF-A464-27466AE12EBD}"/>
    <cellStyle name="Normal 22 3 11 3" xfId="24812" xr:uid="{51BA5F73-402A-41AA-AA8B-1DBE2FA4737F}"/>
    <cellStyle name="Normal 22 3 11 4" xfId="41571" xr:uid="{46FF6031-9E0C-4FE7-8937-CB6819D4796B}"/>
    <cellStyle name="Normal 22 3 12" xfId="8458" xr:uid="{71E83797-362F-4726-BB4A-13CEAE814225}"/>
    <cellStyle name="Normal 22 3 12 2" xfId="16838" xr:uid="{C4B95678-565E-427F-A884-398D1C6CB3AB}"/>
    <cellStyle name="Normal 22 3 12 2 2" xfId="33598" xr:uid="{52E8E04A-2EAE-4228-A718-602752E4B35B}"/>
    <cellStyle name="Normal 22 3 12 2 3" xfId="50357" xr:uid="{EF439011-CCFB-4252-81EC-097E557AC46C}"/>
    <cellStyle name="Normal 22 3 12 3" xfId="25218" xr:uid="{DB5C69D5-2C03-48F2-B806-32427E0B8555}"/>
    <cellStyle name="Normal 22 3 12 4" xfId="41977" xr:uid="{35AA533F-6DC0-4A1A-8843-05C289DE4332}"/>
    <cellStyle name="Normal 22 3 13" xfId="2145" xr:uid="{EB6DA709-D955-4270-BCD3-E1748EC81696}"/>
    <cellStyle name="Normal 22 3 13 2" xfId="10533" xr:uid="{6BB69279-98B9-4A4F-9C14-AD8DE69AD97E}"/>
    <cellStyle name="Normal 22 3 13 2 2" xfId="27293" xr:uid="{572B50E5-1E78-431B-B1F9-3F7AFAB9B5B6}"/>
    <cellStyle name="Normal 22 3 13 2 3" xfId="44052" xr:uid="{103AEAF7-950B-425F-BE83-4C9285067E12}"/>
    <cellStyle name="Normal 22 3 13 3" xfId="18913" xr:uid="{A80BA43B-F7CA-44CF-86A9-FAA8F3BC0BA7}"/>
    <cellStyle name="Normal 22 3 13 4" xfId="35672" xr:uid="{841C37BE-B6FD-431D-978F-5CED66D6EC0F}"/>
    <cellStyle name="Normal 22 3 14" xfId="8829" xr:uid="{C45DFC87-9F4D-4DEF-B4B9-88E0E5DDDBA7}"/>
    <cellStyle name="Normal 22 3 14 2" xfId="25589" xr:uid="{90DEE802-5C25-4F62-8BD8-8439D673D095}"/>
    <cellStyle name="Normal 22 3 14 3" xfId="42348" xr:uid="{43A8BC7B-DFA0-4A99-9330-C34C16A8B24F}"/>
    <cellStyle name="Normal 22 3 15" xfId="17209" xr:uid="{B53CA731-4E19-49EB-BB48-A5E26D94C14A}"/>
    <cellStyle name="Normal 22 3 16" xfId="33968" xr:uid="{14DCDD59-08E8-45E5-A79C-4BF928B8A381}"/>
    <cellStyle name="Normal 22 3 2" xfId="678" xr:uid="{58F9A963-D8F4-4F1B-BBA5-EF273A1C11D9}"/>
    <cellStyle name="Normal 22 3 2 10" xfId="8563" xr:uid="{8332844C-8889-463F-998F-79B9AFCEBB88}"/>
    <cellStyle name="Normal 22 3 2 10 2" xfId="16943" xr:uid="{1DB92BA2-368D-4519-96DF-4FE87D6CDA2E}"/>
    <cellStyle name="Normal 22 3 2 10 2 2" xfId="33703" xr:uid="{134289DE-CA53-4C44-AEC7-792F2C1064F4}"/>
    <cellStyle name="Normal 22 3 2 10 2 3" xfId="50462" xr:uid="{CF680F0B-BC84-4346-934E-8C37C1663A6C}"/>
    <cellStyle name="Normal 22 3 2 10 3" xfId="25323" xr:uid="{8CF238DD-F90E-4710-B4DB-9AB3F78C47DB}"/>
    <cellStyle name="Normal 22 3 2 10 4" xfId="42082" xr:uid="{A84126AF-6470-4A67-A495-3F33247243B2}"/>
    <cellStyle name="Normal 22 3 2 11" xfId="2508" xr:uid="{95DF0F01-66D2-4645-B761-A053A6D700DF}"/>
    <cellStyle name="Normal 22 3 2 11 2" xfId="10890" xr:uid="{108FB23C-7321-428D-AC5F-299BE79A1022}"/>
    <cellStyle name="Normal 22 3 2 11 2 2" xfId="27650" xr:uid="{0B61A94C-3C5F-4A8A-B996-016E4ACAD8E1}"/>
    <cellStyle name="Normal 22 3 2 11 2 3" xfId="44409" xr:uid="{17690AE6-767A-470F-A306-E8B2228143EC}"/>
    <cellStyle name="Normal 22 3 2 11 3" xfId="19270" xr:uid="{B0216C39-9CC1-47CA-9DD4-9A0670EDFEB1}"/>
    <cellStyle name="Normal 22 3 2 11 4" xfId="36029" xr:uid="{C9EA76BF-4148-4E73-9818-7C581A805D04}"/>
    <cellStyle name="Normal 22 3 2 12" xfId="9087" xr:uid="{8CBAC062-1778-4DF8-9BE5-57C03BB5759D}"/>
    <cellStyle name="Normal 22 3 2 12 2" xfId="25847" xr:uid="{A7D51053-59FD-4EE1-B6A9-E8642ADF04E5}"/>
    <cellStyle name="Normal 22 3 2 12 3" xfId="42606" xr:uid="{6C6EE004-9A6D-4044-AD8B-110CD0FF3D16}"/>
    <cellStyle name="Normal 22 3 2 13" xfId="17467" xr:uid="{A47DB178-D5FD-4D40-84E1-95B23154F81F}"/>
    <cellStyle name="Normal 22 3 2 14" xfId="34226" xr:uid="{8CC3847E-A46D-421D-B5BC-608C0B5F5893}"/>
    <cellStyle name="Normal 22 3 2 2" xfId="1118" xr:uid="{398A7E92-0C18-4836-B093-769738248DD0}"/>
    <cellStyle name="Normal 22 3 2 2 2" xfId="4513" xr:uid="{28C836CE-42F3-411C-A1D3-79F37CCB441F}"/>
    <cellStyle name="Normal 22 3 2 2 2 2" xfId="12893" xr:uid="{E2ED7C34-70E2-449E-A1FA-D032FCF872A2}"/>
    <cellStyle name="Normal 22 3 2 2 2 2 2" xfId="29653" xr:uid="{BB358C91-2C54-4F15-B8FA-3DCB18B6DAEE}"/>
    <cellStyle name="Normal 22 3 2 2 2 2 3" xfId="46412" xr:uid="{7938C37D-4C24-4F0E-A2ED-72627316A23C}"/>
    <cellStyle name="Normal 22 3 2 2 2 3" xfId="21273" xr:uid="{A4335E9E-6E10-466B-85BD-DAF762EE9469}"/>
    <cellStyle name="Normal 22 3 2 2 2 4" xfId="38032" xr:uid="{8145D476-115E-43B1-9EE5-B3A9D3C9CC59}"/>
    <cellStyle name="Normal 22 3 2 2 3" xfId="6200" xr:uid="{7E29DD38-B7CD-441F-9214-E7F6F276E545}"/>
    <cellStyle name="Normal 22 3 2 2 3 2" xfId="14580" xr:uid="{5F22D8F2-53BD-473F-8087-F0F72452133C}"/>
    <cellStyle name="Normal 22 3 2 2 3 2 2" xfId="31340" xr:uid="{F4B68E29-4246-429C-AF87-DD1E41777E1F}"/>
    <cellStyle name="Normal 22 3 2 2 3 2 3" xfId="48099" xr:uid="{FB3723C2-B3AE-45AB-8BE2-333AC0B3B0A3}"/>
    <cellStyle name="Normal 22 3 2 2 3 3" xfId="22960" xr:uid="{348CBA94-A244-4957-9069-7925ED4603D9}"/>
    <cellStyle name="Normal 22 3 2 2 3 4" xfId="39719" xr:uid="{D2370DFB-0CF6-4454-9CB7-7467335EB996}"/>
    <cellStyle name="Normal 22 3 2 2 4" xfId="2936" xr:uid="{0DFBB013-3134-4C50-8BB5-62F75114BF5A}"/>
    <cellStyle name="Normal 22 3 2 2 4 2" xfId="11316" xr:uid="{16C7249C-B3FB-435A-A7E1-75FCE0099ACE}"/>
    <cellStyle name="Normal 22 3 2 2 4 2 2" xfId="28076" xr:uid="{7770420A-CE0C-498C-BC40-A16349AE785E}"/>
    <cellStyle name="Normal 22 3 2 2 4 2 3" xfId="44835" xr:uid="{91829871-FBA7-48B7-833B-9C75E8AD25BE}"/>
    <cellStyle name="Normal 22 3 2 2 4 3" xfId="19696" xr:uid="{6E6BD148-6455-499B-932F-595864588972}"/>
    <cellStyle name="Normal 22 3 2 2 4 4" xfId="36455" xr:uid="{A7E4A4AF-C9D2-4D4E-A594-F5DD3E239B22}"/>
    <cellStyle name="Normal 22 3 2 2 5" xfId="9513" xr:uid="{F2590EB1-ED56-4DC1-9337-8159F1CF35BC}"/>
    <cellStyle name="Normal 22 3 2 2 5 2" xfId="26273" xr:uid="{4E975B6E-11FB-4926-BC1A-6CA8B36FDF7B}"/>
    <cellStyle name="Normal 22 3 2 2 5 3" xfId="43032" xr:uid="{7E1AEFAD-94C6-4CC1-B5B4-DC7EC125226C}"/>
    <cellStyle name="Normal 22 3 2 2 6" xfId="17893" xr:uid="{719662FF-327E-46B7-BAEE-E6CF90D63DB5}"/>
    <cellStyle name="Normal 22 3 2 2 7" xfId="34652" xr:uid="{59556E51-02D4-4268-B252-05B79AE73BAD}"/>
    <cellStyle name="Normal 22 3 2 3" xfId="1552" xr:uid="{EECA2F2B-0435-486C-9418-D768BF459673}"/>
    <cellStyle name="Normal 22 3 2 3 2" xfId="4941" xr:uid="{6CD6DB78-C40F-43D7-BA5F-F245A765502B}"/>
    <cellStyle name="Normal 22 3 2 3 2 2" xfId="13321" xr:uid="{B5459BD5-E468-44C4-BA37-0EF7DCB5921D}"/>
    <cellStyle name="Normal 22 3 2 3 2 2 2" xfId="30081" xr:uid="{7619293A-6EED-453F-BC56-B31F43D5514D}"/>
    <cellStyle name="Normal 22 3 2 3 2 2 3" xfId="46840" xr:uid="{D9B51645-AC68-445B-A183-A3D36AC7BE2F}"/>
    <cellStyle name="Normal 22 3 2 3 2 3" xfId="21701" xr:uid="{92590725-2171-4C14-9CF7-05CDA27FE02A}"/>
    <cellStyle name="Normal 22 3 2 3 2 4" xfId="38460" xr:uid="{46287967-EAC0-4DD2-BBCA-64D2C65DB037}"/>
    <cellStyle name="Normal 22 3 2 3 3" xfId="6628" xr:uid="{33C55D89-8331-4C12-845A-30E507D24F2B}"/>
    <cellStyle name="Normal 22 3 2 3 3 2" xfId="15008" xr:uid="{C55396B5-5341-4BA3-8864-67193553DEF4}"/>
    <cellStyle name="Normal 22 3 2 3 3 2 2" xfId="31768" xr:uid="{C874998B-A311-44CB-ADEF-3FD6234EF7D8}"/>
    <cellStyle name="Normal 22 3 2 3 3 2 3" xfId="48527" xr:uid="{B5C19C06-53A4-47CB-8443-608E6700935F}"/>
    <cellStyle name="Normal 22 3 2 3 3 3" xfId="23388" xr:uid="{92B995AE-AEAE-44A0-97B1-A14369F05525}"/>
    <cellStyle name="Normal 22 3 2 3 3 4" xfId="40147" xr:uid="{A8583AB2-782D-4861-955C-6EA83F24D182}"/>
    <cellStyle name="Normal 22 3 2 3 4" xfId="3364" xr:uid="{D1DB302B-6851-4BC3-AA05-F7E645963D25}"/>
    <cellStyle name="Normal 22 3 2 3 4 2" xfId="11744" xr:uid="{6EC140C8-9B14-4141-8DBB-6EFF3A6865D6}"/>
    <cellStyle name="Normal 22 3 2 3 4 2 2" xfId="28504" xr:uid="{F776087E-E7DE-4480-A43D-1151791112C5}"/>
    <cellStyle name="Normal 22 3 2 3 4 2 3" xfId="45263" xr:uid="{49DABD22-8AB4-47F3-8DE6-2CC1E860CF49}"/>
    <cellStyle name="Normal 22 3 2 3 4 3" xfId="20124" xr:uid="{51C98DED-9AAA-4EF2-94DD-2ABE5D59F6E2}"/>
    <cellStyle name="Normal 22 3 2 3 4 4" xfId="36883" xr:uid="{ACDFABE1-288F-4A00-AD27-22F374BC1807}"/>
    <cellStyle name="Normal 22 3 2 3 5" xfId="9941" xr:uid="{C68C3D30-1477-4652-9029-328D9CBB7D9F}"/>
    <cellStyle name="Normal 22 3 2 3 5 2" xfId="26701" xr:uid="{6FCE936C-78D2-4216-B548-5864B196E7DB}"/>
    <cellStyle name="Normal 22 3 2 3 5 3" xfId="43460" xr:uid="{90217602-1603-44FE-8AF5-8176049B6DFD}"/>
    <cellStyle name="Normal 22 3 2 3 6" xfId="18321" xr:uid="{7D987E9D-3699-4D03-B52C-A613D603ADCB}"/>
    <cellStyle name="Normal 22 3 2 3 7" xfId="35080" xr:uid="{909CDBEF-49C4-4BA8-AE79-0C87C122F3D6}"/>
    <cellStyle name="Normal 22 3 2 4" xfId="1863" xr:uid="{53216CA3-A2AD-477C-8141-6C41B256B845}"/>
    <cellStyle name="Normal 22 3 2 4 2" xfId="5252" xr:uid="{BD4E5631-93B7-493B-B2A9-C8C1632116D6}"/>
    <cellStyle name="Normal 22 3 2 4 2 2" xfId="13632" xr:uid="{6AA3A75A-83C8-4854-B17E-7B4C902CE461}"/>
    <cellStyle name="Normal 22 3 2 4 2 2 2" xfId="30392" xr:uid="{D2943A96-0A17-48BB-BCE8-FF1D830BDC8F}"/>
    <cellStyle name="Normal 22 3 2 4 2 2 3" xfId="47151" xr:uid="{0D2906D3-355D-4FA6-8006-5DB8B150A699}"/>
    <cellStyle name="Normal 22 3 2 4 2 3" xfId="22012" xr:uid="{B6D69F14-FF78-4ACA-8A7C-51F8DBE4A8E3}"/>
    <cellStyle name="Normal 22 3 2 4 2 4" xfId="38771" xr:uid="{765C8DF8-D0F6-42BD-A38F-947C4F07D68E}"/>
    <cellStyle name="Normal 22 3 2 4 3" xfId="6939" xr:uid="{7E0F3513-FDF8-416F-98DA-09C0B091101E}"/>
    <cellStyle name="Normal 22 3 2 4 3 2" xfId="15319" xr:uid="{70B1A04D-D052-4005-851E-B270B046E462}"/>
    <cellStyle name="Normal 22 3 2 4 3 2 2" xfId="32079" xr:uid="{2C821A54-2589-4465-A590-F8DFA96DA064}"/>
    <cellStyle name="Normal 22 3 2 4 3 2 3" xfId="48838" xr:uid="{B37C9502-A50D-4D4A-8D6A-5F47AF6F0B10}"/>
    <cellStyle name="Normal 22 3 2 4 3 3" xfId="23699" xr:uid="{790262F7-6BD3-44C2-A737-691404F39A27}"/>
    <cellStyle name="Normal 22 3 2 4 3 4" xfId="40458" xr:uid="{946A68DB-AF40-4836-9D68-3248BD2642B1}"/>
    <cellStyle name="Normal 22 3 2 4 4" xfId="3563" xr:uid="{074C75C7-D3D1-4A7B-A46A-3EFE1E956087}"/>
    <cellStyle name="Normal 22 3 2 4 4 2" xfId="11943" xr:uid="{B028F0E7-BF21-4D8B-8A55-1F36DE43986C}"/>
    <cellStyle name="Normal 22 3 2 4 4 2 2" xfId="28703" xr:uid="{F3BDD3B6-7F89-4B2A-A0B4-1BC1D0A07780}"/>
    <cellStyle name="Normal 22 3 2 4 4 2 3" xfId="45462" xr:uid="{1E59E367-EB4E-4AD8-AB77-B2C3D32D844E}"/>
    <cellStyle name="Normal 22 3 2 4 4 3" xfId="20323" xr:uid="{2EB5ED99-3A4A-4583-BF2E-D6D72B6EDC8B}"/>
    <cellStyle name="Normal 22 3 2 4 4 4" xfId="37082" xr:uid="{C2BDC0AE-0051-4977-BF59-B942917B6D9C}"/>
    <cellStyle name="Normal 22 3 2 4 5" xfId="10252" xr:uid="{08C73F61-38B0-4315-82DF-51580B50CF76}"/>
    <cellStyle name="Normal 22 3 2 4 5 2" xfId="27012" xr:uid="{1D20E2C4-C4D9-4F14-B8EF-BC5F41FF9E9B}"/>
    <cellStyle name="Normal 22 3 2 4 5 3" xfId="43771" xr:uid="{60556E23-6165-4656-A246-B921DE03AE63}"/>
    <cellStyle name="Normal 22 3 2 4 6" xfId="18632" xr:uid="{ED167B0E-96B5-488E-A5DB-473F073B983B}"/>
    <cellStyle name="Normal 22 3 2 4 7" xfId="35391" xr:uid="{DC90AAFA-CF97-4A74-9005-03BBC537F04B}"/>
    <cellStyle name="Normal 22 3 2 5" xfId="3982" xr:uid="{88A53A58-A0BC-4A6E-985E-07F2B4D4AB54}"/>
    <cellStyle name="Normal 22 3 2 5 2" xfId="12362" xr:uid="{27175AD8-C569-4E1F-9A9D-22C29EFA6939}"/>
    <cellStyle name="Normal 22 3 2 5 2 2" xfId="29122" xr:uid="{A574729D-715A-4B07-A19B-545A19117421}"/>
    <cellStyle name="Normal 22 3 2 5 2 3" xfId="45881" xr:uid="{2AF3D85F-8F1B-4FF7-A70D-3FFFD1EF8688}"/>
    <cellStyle name="Normal 22 3 2 5 3" xfId="20742" xr:uid="{D742CF40-E593-48C0-B793-326EE5D59364}"/>
    <cellStyle name="Normal 22 3 2 5 4" xfId="37501" xr:uid="{DFA5821B-E929-4526-A6C6-CC2785F5E863}"/>
    <cellStyle name="Normal 22 3 2 6" xfId="5774" xr:uid="{F2496E41-62E8-4B42-A6F7-7C608F71BEB8}"/>
    <cellStyle name="Normal 22 3 2 6 2" xfId="14154" xr:uid="{AB80CF53-A7FA-4133-B9A6-AD71FA70540B}"/>
    <cellStyle name="Normal 22 3 2 6 2 2" xfId="30914" xr:uid="{B9B5B480-CD54-4181-B401-35670AB6C90E}"/>
    <cellStyle name="Normal 22 3 2 6 2 3" xfId="47673" xr:uid="{45959F74-6CCF-4B1A-A7B7-20515422B79E}"/>
    <cellStyle name="Normal 22 3 2 6 3" xfId="22534" xr:uid="{B65D2186-70A3-4518-82AC-EC46CCBDA40A}"/>
    <cellStyle name="Normal 22 3 2 6 4" xfId="39293" xr:uid="{5994CDCA-F748-4197-9926-7BBEB643A065}"/>
    <cellStyle name="Normal 22 3 2 7" xfId="7345" xr:uid="{25A9082A-B143-4A5E-B13A-0FA59C28DE82}"/>
    <cellStyle name="Normal 22 3 2 7 2" xfId="15725" xr:uid="{6105ACDA-E248-4244-8272-7FC61BC194B2}"/>
    <cellStyle name="Normal 22 3 2 7 2 2" xfId="32485" xr:uid="{DC689105-A2C4-4AB6-9641-9BDC04B17263}"/>
    <cellStyle name="Normal 22 3 2 7 2 3" xfId="49244" xr:uid="{C32551BC-08C4-4C52-AFE7-0BD4C7EB93A0}"/>
    <cellStyle name="Normal 22 3 2 7 3" xfId="24105" xr:uid="{74A75601-5556-4BB3-902B-EF7EF64B4F5A}"/>
    <cellStyle name="Normal 22 3 2 7 4" xfId="40864" xr:uid="{89B452C7-D8A8-4DE4-A29B-AF53895BD6A1}"/>
    <cellStyle name="Normal 22 3 2 8" xfId="7751" xr:uid="{BB1B30A7-4E44-4951-9031-E664903AB3EB}"/>
    <cellStyle name="Normal 22 3 2 8 2" xfId="16131" xr:uid="{6FD559CE-AB17-4F16-BCEE-93A05E8AA1A4}"/>
    <cellStyle name="Normal 22 3 2 8 2 2" xfId="32891" xr:uid="{0F19CE5C-5381-434C-91A6-54A366B6B216}"/>
    <cellStyle name="Normal 22 3 2 8 2 3" xfId="49650" xr:uid="{ECEED78E-4519-4128-9EB7-8A347A8D41D4}"/>
    <cellStyle name="Normal 22 3 2 8 3" xfId="24511" xr:uid="{9AA20BC7-3457-4FE7-8A4E-FA71A7AFDC5E}"/>
    <cellStyle name="Normal 22 3 2 8 4" xfId="41270" xr:uid="{8A1B3107-BB5B-4AB9-B277-598DE6BCFAE2}"/>
    <cellStyle name="Normal 22 3 2 9" xfId="8157" xr:uid="{936BFC4E-2214-4042-89DA-DBB8876CEAD4}"/>
    <cellStyle name="Normal 22 3 2 9 2" xfId="16537" xr:uid="{513AC0D4-7EBF-405F-94BC-B57D7C6358BA}"/>
    <cellStyle name="Normal 22 3 2 9 2 2" xfId="33297" xr:uid="{78B034A3-AC21-4EE7-8440-005FAA833237}"/>
    <cellStyle name="Normal 22 3 2 9 2 3" xfId="50056" xr:uid="{ED07F8BE-4FB3-417C-9289-9156A38C2D5E}"/>
    <cellStyle name="Normal 22 3 2 9 3" xfId="24917" xr:uid="{C80F12BB-887F-4856-8D98-AA96926F89C4}"/>
    <cellStyle name="Normal 22 3 2 9 4" xfId="41676" xr:uid="{F4AB676D-50B3-484B-BC8C-DC09BA7F1C7F}"/>
    <cellStyle name="Normal 22 3 3" xfId="679" xr:uid="{C09A17B9-5E1E-4FFC-975F-2D69473505F6}"/>
    <cellStyle name="Normal 22 3 3 10" xfId="8729" xr:uid="{DA253399-C8B3-4617-8F54-7A508308588F}"/>
    <cellStyle name="Normal 22 3 3 10 2" xfId="17109" xr:uid="{3DC40D7A-F249-4E00-93D2-E68378CB9205}"/>
    <cellStyle name="Normal 22 3 3 10 2 2" xfId="33869" xr:uid="{C52E65E7-B468-498C-AC88-6EDC73CE112B}"/>
    <cellStyle name="Normal 22 3 3 10 2 3" xfId="50628" xr:uid="{5657F862-E005-4825-B570-B8E027380BED}"/>
    <cellStyle name="Normal 22 3 3 10 3" xfId="25489" xr:uid="{9FBE0AC5-005D-48A9-9535-665966A681D7}"/>
    <cellStyle name="Normal 22 3 3 10 4" xfId="42248" xr:uid="{100BA0D0-36D7-4B87-BB34-C5F7282B42B0}"/>
    <cellStyle name="Normal 22 3 3 11" xfId="2509" xr:uid="{EF0FA5BB-2065-4AE7-B795-140F979A2A5F}"/>
    <cellStyle name="Normal 22 3 3 11 2" xfId="10891" xr:uid="{B9FC26C5-5C56-4560-8CB0-AD00B51A9A6D}"/>
    <cellStyle name="Normal 22 3 3 11 2 2" xfId="27651" xr:uid="{46EA3BDC-19D8-4BC4-86F5-BCEDD8DF8376}"/>
    <cellStyle name="Normal 22 3 3 11 2 3" xfId="44410" xr:uid="{79B05240-DD78-4DEF-95EE-8D73FE6923E4}"/>
    <cellStyle name="Normal 22 3 3 11 3" xfId="19271" xr:uid="{CDD82754-4FFF-4A16-B065-409B8AE129F2}"/>
    <cellStyle name="Normal 22 3 3 11 4" xfId="36030" xr:uid="{93C4CF33-9E9B-482B-9C98-362693A2CDAF}"/>
    <cellStyle name="Normal 22 3 3 12" xfId="9088" xr:uid="{54A33BA0-A08F-45EE-89E1-BD92F17E3790}"/>
    <cellStyle name="Normal 22 3 3 12 2" xfId="25848" xr:uid="{56B6D906-A6FC-4374-9779-C6C02B2FE02D}"/>
    <cellStyle name="Normal 22 3 3 12 3" xfId="42607" xr:uid="{C917A08A-84CE-44F8-A6D7-01116596DDD2}"/>
    <cellStyle name="Normal 22 3 3 13" xfId="17468" xr:uid="{5F08D300-A673-4743-BCC8-638CFB08F426}"/>
    <cellStyle name="Normal 22 3 3 14" xfId="34227" xr:uid="{ED59E175-768E-4B41-A020-FCAD8D2684B5}"/>
    <cellStyle name="Normal 22 3 3 2" xfId="1119" xr:uid="{2FDD4C6E-B32F-4832-9B3D-C50DBA97048A}"/>
    <cellStyle name="Normal 22 3 3 2 2" xfId="4514" xr:uid="{A6473FC9-6F3E-4ADE-AF5C-A1B112775C2C}"/>
    <cellStyle name="Normal 22 3 3 2 2 2" xfId="12894" xr:uid="{042D7D50-A149-4D85-A6DF-0B86717BDAA6}"/>
    <cellStyle name="Normal 22 3 3 2 2 2 2" xfId="29654" xr:uid="{7957CEAC-B546-4D26-BD6F-3C803F915872}"/>
    <cellStyle name="Normal 22 3 3 2 2 2 3" xfId="46413" xr:uid="{66DF6EDD-8AB9-48CA-ABE9-551205145CC1}"/>
    <cellStyle name="Normal 22 3 3 2 2 3" xfId="21274" xr:uid="{50D27449-F60E-4F27-B09A-7E0D00A2E3D1}"/>
    <cellStyle name="Normal 22 3 3 2 2 4" xfId="38033" xr:uid="{093285FC-0CDE-44FB-BBF3-0C806499CA5B}"/>
    <cellStyle name="Normal 22 3 3 2 3" xfId="6201" xr:uid="{7A2CC1EE-A6BE-47F0-A440-318CD404E8E7}"/>
    <cellStyle name="Normal 22 3 3 2 3 2" xfId="14581" xr:uid="{D37BD9F2-D639-41A5-A8BC-D72DA2ECFBF6}"/>
    <cellStyle name="Normal 22 3 3 2 3 2 2" xfId="31341" xr:uid="{7BC97452-7EB3-4472-8BCF-AFC5AE9C5BB7}"/>
    <cellStyle name="Normal 22 3 3 2 3 2 3" xfId="48100" xr:uid="{05997E0A-E229-4BE2-88D2-851F6A16400B}"/>
    <cellStyle name="Normal 22 3 3 2 3 3" xfId="22961" xr:uid="{D46FD0D0-C676-417B-A574-D072D85B13C6}"/>
    <cellStyle name="Normal 22 3 3 2 3 4" xfId="39720" xr:uid="{A830837A-FA28-412F-B2AC-06F06C137947}"/>
    <cellStyle name="Normal 22 3 3 2 4" xfId="2937" xr:uid="{8EAF55A1-9F46-42A7-98EF-1F6C1FF2F26C}"/>
    <cellStyle name="Normal 22 3 3 2 4 2" xfId="11317" xr:uid="{AB3FCAF3-7270-4F9D-8438-81C5D20E7BA3}"/>
    <cellStyle name="Normal 22 3 3 2 4 2 2" xfId="28077" xr:uid="{34BEC34F-5C81-40C8-B35E-D8610D59D6E8}"/>
    <cellStyle name="Normal 22 3 3 2 4 2 3" xfId="44836" xr:uid="{488A1484-E156-405F-BDE3-13EA62969957}"/>
    <cellStyle name="Normal 22 3 3 2 4 3" xfId="19697" xr:uid="{E9FF83CA-1974-4DB5-BBEA-40DE0407A0CC}"/>
    <cellStyle name="Normal 22 3 3 2 4 4" xfId="36456" xr:uid="{EE97CDAF-3A8B-4157-B2CD-5BDA7522E1C7}"/>
    <cellStyle name="Normal 22 3 3 2 5" xfId="9514" xr:uid="{2F0B1064-4681-4DF5-AA4D-B80FBD76B110}"/>
    <cellStyle name="Normal 22 3 3 2 5 2" xfId="26274" xr:uid="{C980D9DC-9FC1-4F1D-ADEB-B0568392EF3C}"/>
    <cellStyle name="Normal 22 3 3 2 5 3" xfId="43033" xr:uid="{B977A193-2D3B-404F-B1D9-2DD86EBB4F23}"/>
    <cellStyle name="Normal 22 3 3 2 6" xfId="17894" xr:uid="{F75F6FFE-2D35-43C8-BC9F-4DF678BD5D36}"/>
    <cellStyle name="Normal 22 3 3 2 7" xfId="34653" xr:uid="{28DD9EB8-0E55-4138-9BF3-B9177E143664}"/>
    <cellStyle name="Normal 22 3 3 3" xfId="1553" xr:uid="{9CB04302-6D4E-4538-AAFD-BF0D3E15A982}"/>
    <cellStyle name="Normal 22 3 3 3 2" xfId="4942" xr:uid="{F893BBB5-DD1C-4B68-942D-934C63C8FFEE}"/>
    <cellStyle name="Normal 22 3 3 3 2 2" xfId="13322" xr:uid="{2F9A9300-BCE1-43E4-8C54-A64EFECB0FBE}"/>
    <cellStyle name="Normal 22 3 3 3 2 2 2" xfId="30082" xr:uid="{0B67B033-98DE-4BFB-8C52-C7980627425A}"/>
    <cellStyle name="Normal 22 3 3 3 2 2 3" xfId="46841" xr:uid="{9488A7FE-AAF1-448E-9697-6FAF1407CB45}"/>
    <cellStyle name="Normal 22 3 3 3 2 3" xfId="21702" xr:uid="{70879E35-45AF-466D-8C5F-45F2F278E838}"/>
    <cellStyle name="Normal 22 3 3 3 2 4" xfId="38461" xr:uid="{74B42EC3-9071-48C5-99F8-3292C4D140ED}"/>
    <cellStyle name="Normal 22 3 3 3 3" xfId="6629" xr:uid="{5FA2AAEC-7A89-4FD3-9E89-7BE0AB9C26A9}"/>
    <cellStyle name="Normal 22 3 3 3 3 2" xfId="15009" xr:uid="{BAEA952D-55B4-4DC4-811B-251E7DC60A63}"/>
    <cellStyle name="Normal 22 3 3 3 3 2 2" xfId="31769" xr:uid="{CC9724A3-819B-41D9-9A19-BA7FE77A56C1}"/>
    <cellStyle name="Normal 22 3 3 3 3 2 3" xfId="48528" xr:uid="{F8B28289-7681-41E0-AEE0-92970D844D20}"/>
    <cellStyle name="Normal 22 3 3 3 3 3" xfId="23389" xr:uid="{4D7ED0B3-783E-4272-A176-72D8908D3F67}"/>
    <cellStyle name="Normal 22 3 3 3 3 4" xfId="40148" xr:uid="{5A6741F4-4427-4391-BDAA-D1817FD9198C}"/>
    <cellStyle name="Normal 22 3 3 3 4" xfId="3365" xr:uid="{68B5D376-3951-4912-BFC8-7D2D6753B1F5}"/>
    <cellStyle name="Normal 22 3 3 3 4 2" xfId="11745" xr:uid="{DF8E0590-D893-4340-B1F8-D872676C94AA}"/>
    <cellStyle name="Normal 22 3 3 3 4 2 2" xfId="28505" xr:uid="{D67E86CC-3A13-4E7D-BDED-DC59D719EE23}"/>
    <cellStyle name="Normal 22 3 3 3 4 2 3" xfId="45264" xr:uid="{ABB7EE78-8474-4486-B5FF-34C420452A62}"/>
    <cellStyle name="Normal 22 3 3 3 4 3" xfId="20125" xr:uid="{24EEB5A2-BADD-4366-8339-0EE65E699392}"/>
    <cellStyle name="Normal 22 3 3 3 4 4" xfId="36884" xr:uid="{402E86E4-618A-43A8-A570-D44BCE8304AB}"/>
    <cellStyle name="Normal 22 3 3 3 5" xfId="9942" xr:uid="{EE5B03B4-09DA-40D4-9594-CFFF13C0CDAA}"/>
    <cellStyle name="Normal 22 3 3 3 5 2" xfId="26702" xr:uid="{16B5728E-05DF-419B-B7C9-26E645919A5D}"/>
    <cellStyle name="Normal 22 3 3 3 5 3" xfId="43461" xr:uid="{A27993F4-A2C8-47F0-9469-AFE8B3C58C4E}"/>
    <cellStyle name="Normal 22 3 3 3 6" xfId="18322" xr:uid="{3463A692-A21B-48EA-B3A3-240C73F6072D}"/>
    <cellStyle name="Normal 22 3 3 3 7" xfId="35081" xr:uid="{FE9434EF-8585-454C-B1A5-357FB29C7021}"/>
    <cellStyle name="Normal 22 3 3 4" xfId="2029" xr:uid="{B6E791C8-062E-4270-B095-F6481F83436D}"/>
    <cellStyle name="Normal 22 3 3 4 2" xfId="5418" xr:uid="{5006A9A0-2036-4486-8C3C-870973A14E0B}"/>
    <cellStyle name="Normal 22 3 3 4 2 2" xfId="13798" xr:uid="{444476EE-8AD2-4CCD-B91D-F0B9261D6DE5}"/>
    <cellStyle name="Normal 22 3 3 4 2 2 2" xfId="30558" xr:uid="{3B9AF7EA-18CB-4167-ACA8-430EE94502F2}"/>
    <cellStyle name="Normal 22 3 3 4 2 2 3" xfId="47317" xr:uid="{82A0E13F-0CFB-466A-868A-9E43B081BE8F}"/>
    <cellStyle name="Normal 22 3 3 4 2 3" xfId="22178" xr:uid="{6F7435D0-B855-4158-B809-AB61D9490927}"/>
    <cellStyle name="Normal 22 3 3 4 2 4" xfId="38937" xr:uid="{65DBE5BE-4884-4F56-BA12-C161FE6F5C74}"/>
    <cellStyle name="Normal 22 3 3 4 3" xfId="7105" xr:uid="{2A150EF3-F799-4B94-8D46-69F8472FD72C}"/>
    <cellStyle name="Normal 22 3 3 4 3 2" xfId="15485" xr:uid="{50FAE4ED-A99B-4B94-B07E-4CA8FA02478A}"/>
    <cellStyle name="Normal 22 3 3 4 3 2 2" xfId="32245" xr:uid="{1F3DBC82-FE98-4CE2-99B3-8B9D25E97E54}"/>
    <cellStyle name="Normal 22 3 3 4 3 2 3" xfId="49004" xr:uid="{CBE0AA9B-BFAE-4365-8750-B95BE42C58B1}"/>
    <cellStyle name="Normal 22 3 3 4 3 3" xfId="23865" xr:uid="{DB627674-EF2F-4BEA-9E94-F22FB95F37F1}"/>
    <cellStyle name="Normal 22 3 3 4 3 4" xfId="40624" xr:uid="{115F00B8-BAFE-4BD2-A8F1-D93DA7B463DB}"/>
    <cellStyle name="Normal 22 3 3 4 4" xfId="3728" xr:uid="{8D4724A5-A92E-4AC9-B5DA-F10D3F2D1A79}"/>
    <cellStyle name="Normal 22 3 3 4 4 2" xfId="12108" xr:uid="{2A3DEFC1-77CD-4AE1-9DFF-23F8A39C3117}"/>
    <cellStyle name="Normal 22 3 3 4 4 2 2" xfId="28868" xr:uid="{F06B727F-344A-451F-8883-54D51BBC1AEE}"/>
    <cellStyle name="Normal 22 3 3 4 4 2 3" xfId="45627" xr:uid="{738AC361-1D82-478F-A587-6A79D3713B67}"/>
    <cellStyle name="Normal 22 3 3 4 4 3" xfId="20488" xr:uid="{73EB765C-95C9-4ED2-8EF5-67B6EF4789B3}"/>
    <cellStyle name="Normal 22 3 3 4 4 4" xfId="37247" xr:uid="{84D943B5-1539-4E75-8A37-AF3D0341DA74}"/>
    <cellStyle name="Normal 22 3 3 4 5" xfId="10418" xr:uid="{4CBB3AE1-957D-4060-82EF-4788AB2E1250}"/>
    <cellStyle name="Normal 22 3 3 4 5 2" xfId="27178" xr:uid="{8B801485-2B75-4F6B-B262-7AD282B60467}"/>
    <cellStyle name="Normal 22 3 3 4 5 3" xfId="43937" xr:uid="{EA308DFF-6CD0-4B16-B908-6BE1EA62ED0D}"/>
    <cellStyle name="Normal 22 3 3 4 6" xfId="18798" xr:uid="{BAB9C380-1A7D-42D1-9667-6C7E7387650C}"/>
    <cellStyle name="Normal 22 3 3 4 7" xfId="35557" xr:uid="{F6BAE2D0-53C0-4A5B-8AA4-67C2A20F320B}"/>
    <cellStyle name="Normal 22 3 3 5" xfId="4148" xr:uid="{61886CF1-0F34-4E38-ADD7-738FE125376E}"/>
    <cellStyle name="Normal 22 3 3 5 2" xfId="12528" xr:uid="{A74A3E6A-3F37-4D4F-AE6D-7222A13E89F5}"/>
    <cellStyle name="Normal 22 3 3 5 2 2" xfId="29288" xr:uid="{808D7E84-7E1A-4902-AB3D-E9EF6107ABD4}"/>
    <cellStyle name="Normal 22 3 3 5 2 3" xfId="46047" xr:uid="{7DD330CB-EA2F-4D83-89B4-D83512F192AE}"/>
    <cellStyle name="Normal 22 3 3 5 3" xfId="20908" xr:uid="{D8ADE93B-148D-451F-9C02-A8309BB701F2}"/>
    <cellStyle name="Normal 22 3 3 5 4" xfId="37667" xr:uid="{73E4242B-02B6-4817-A014-3FE8DE9CBBA9}"/>
    <cellStyle name="Normal 22 3 3 6" xfId="5775" xr:uid="{A0529133-D042-4365-82A0-C709E418B673}"/>
    <cellStyle name="Normal 22 3 3 6 2" xfId="14155" xr:uid="{E7D7CC10-6846-4E4E-B618-B37E03C57A77}"/>
    <cellStyle name="Normal 22 3 3 6 2 2" xfId="30915" xr:uid="{8852172B-AD8C-41D6-9BE6-391227267F3C}"/>
    <cellStyle name="Normal 22 3 3 6 2 3" xfId="47674" xr:uid="{3349C518-58B5-4D0F-B691-F42BD9EE1B7D}"/>
    <cellStyle name="Normal 22 3 3 6 3" xfId="22535" xr:uid="{C2FBE85F-06EA-4CD5-ABE2-CCC932D1909A}"/>
    <cellStyle name="Normal 22 3 3 6 4" xfId="39294" xr:uid="{E1D58243-D6A3-4579-BF76-0B24C09A3529}"/>
    <cellStyle name="Normal 22 3 3 7" xfId="7511" xr:uid="{77AA49DD-7C79-4672-B95F-B8D7521804C8}"/>
    <cellStyle name="Normal 22 3 3 7 2" xfId="15891" xr:uid="{655BAD8C-8B49-4A32-A9FC-D5CE6E4A18A3}"/>
    <cellStyle name="Normal 22 3 3 7 2 2" xfId="32651" xr:uid="{48245DCC-10EA-4E04-83DE-A4DD1A1F7AA6}"/>
    <cellStyle name="Normal 22 3 3 7 2 3" xfId="49410" xr:uid="{590BAFA4-F5F6-49E2-BA17-6697A542BE1D}"/>
    <cellStyle name="Normal 22 3 3 7 3" xfId="24271" xr:uid="{3513E43B-01FE-42CF-8300-8AB74D6EC168}"/>
    <cellStyle name="Normal 22 3 3 7 4" xfId="41030" xr:uid="{8409C824-47AB-4D64-AA35-DD79729D914C}"/>
    <cellStyle name="Normal 22 3 3 8" xfId="7917" xr:uid="{51911523-6D02-4D28-8C4C-FD50E2A752E7}"/>
    <cellStyle name="Normal 22 3 3 8 2" xfId="16297" xr:uid="{AA6F0CCD-FC48-4809-8EBC-799529245736}"/>
    <cellStyle name="Normal 22 3 3 8 2 2" xfId="33057" xr:uid="{43C47268-B869-4D8E-A734-1A4C0A08044B}"/>
    <cellStyle name="Normal 22 3 3 8 2 3" xfId="49816" xr:uid="{B7B36588-B672-4967-96E4-50AE494C4D54}"/>
    <cellStyle name="Normal 22 3 3 8 3" xfId="24677" xr:uid="{2F66409F-4BBA-4843-806D-11A131B504C5}"/>
    <cellStyle name="Normal 22 3 3 8 4" xfId="41436" xr:uid="{AD391351-8136-4ED9-BD4A-51F6A60ACFAE}"/>
    <cellStyle name="Normal 22 3 3 9" xfId="8323" xr:uid="{9A23E660-E502-4EC5-BD06-C9A8B72A998A}"/>
    <cellStyle name="Normal 22 3 3 9 2" xfId="16703" xr:uid="{7CE8C3A8-ECF0-441A-A656-6B0B27642AF6}"/>
    <cellStyle name="Normal 22 3 3 9 2 2" xfId="33463" xr:uid="{345EE041-CE50-4940-8BEA-DA387659877B}"/>
    <cellStyle name="Normal 22 3 3 9 2 3" xfId="50222" xr:uid="{B74EA180-57AD-4AEA-9D31-0901F500E53B}"/>
    <cellStyle name="Normal 22 3 3 9 3" xfId="25083" xr:uid="{64369F5E-FBCF-4638-98C5-AD63AF02A747}"/>
    <cellStyle name="Normal 22 3 3 9 4" xfId="41842" xr:uid="{6EDEE461-C8CE-4D2D-9614-F6A487FF6503}"/>
    <cellStyle name="Normal 22 3 4" xfId="860" xr:uid="{4C1F9C02-0FD6-4060-80FA-D06355ED63EF}"/>
    <cellStyle name="Normal 22 3 4 2" xfId="4255" xr:uid="{D42E2C0C-3594-498D-B489-8898A1ABC848}"/>
    <cellStyle name="Normal 22 3 4 2 2" xfId="12635" xr:uid="{0C14F81E-07CE-44FF-99C2-9373B36FC8DC}"/>
    <cellStyle name="Normal 22 3 4 2 2 2" xfId="29395" xr:uid="{1614F18B-9672-4E72-A66C-B52DC74491BC}"/>
    <cellStyle name="Normal 22 3 4 2 2 3" xfId="46154" xr:uid="{D2D1E71E-020E-4CFB-9BBD-6F24A8D4B510}"/>
    <cellStyle name="Normal 22 3 4 2 3" xfId="21015" xr:uid="{486E5B24-9A55-41B8-A620-573FE5347C3C}"/>
    <cellStyle name="Normal 22 3 4 2 4" xfId="37774" xr:uid="{2315BFFA-A751-436D-80F9-ABCC59141FFF}"/>
    <cellStyle name="Normal 22 3 4 3" xfId="5942" xr:uid="{EEBA7BE8-DBA3-4F5B-9326-48052A949688}"/>
    <cellStyle name="Normal 22 3 4 3 2" xfId="14322" xr:uid="{0CA74FE4-EA82-4D70-A0F2-BE099DEBF604}"/>
    <cellStyle name="Normal 22 3 4 3 2 2" xfId="31082" xr:uid="{B42DC425-B570-42AD-B1F1-D62CE2B5B7AE}"/>
    <cellStyle name="Normal 22 3 4 3 2 3" xfId="47841" xr:uid="{D3DC765A-E5BA-41B7-B3F5-287D014A2ECB}"/>
    <cellStyle name="Normal 22 3 4 3 3" xfId="22702" xr:uid="{388D7F3B-F78B-4D7A-8750-C42555BF8EFC}"/>
    <cellStyle name="Normal 22 3 4 3 4" xfId="39461" xr:uid="{6E79188A-DD2B-4B73-8B63-E9839C276DD9}"/>
    <cellStyle name="Normal 22 3 4 4" xfId="2678" xr:uid="{5F94D263-9362-4AEB-8EE8-3E16C099045C}"/>
    <cellStyle name="Normal 22 3 4 4 2" xfId="11058" xr:uid="{C10B6F6D-18AB-442D-A50C-32951FCC000E}"/>
    <cellStyle name="Normal 22 3 4 4 2 2" xfId="27818" xr:uid="{3166EECE-86E0-43DA-A54A-141246F41CC7}"/>
    <cellStyle name="Normal 22 3 4 4 2 3" xfId="44577" xr:uid="{D064FB17-72FB-4648-8B77-0C42E5D93C6F}"/>
    <cellStyle name="Normal 22 3 4 4 3" xfId="19438" xr:uid="{6683A57C-F14E-4F9A-8343-09C43A1531C9}"/>
    <cellStyle name="Normal 22 3 4 4 4" xfId="36197" xr:uid="{8090F89E-5ADC-4865-9C40-E7C241A1926D}"/>
    <cellStyle name="Normal 22 3 4 5" xfId="9255" xr:uid="{D33ED4C6-AB90-4F63-8055-08FEE5AD2A2D}"/>
    <cellStyle name="Normal 22 3 4 5 2" xfId="26015" xr:uid="{7ABC3575-44BE-4D05-AB06-69D2D3FF36EB}"/>
    <cellStyle name="Normal 22 3 4 5 3" xfId="42774" xr:uid="{94FFB0BB-AAE9-4D8F-8732-6D6688857348}"/>
    <cellStyle name="Normal 22 3 4 6" xfId="17635" xr:uid="{149B2A9A-86AB-47BA-9755-BF3DE9AD17D6}"/>
    <cellStyle name="Normal 22 3 4 7" xfId="34394" xr:uid="{C4C2B917-0960-4E6C-ADF5-E1673E5F4723}"/>
    <cellStyle name="Normal 22 3 5" xfId="1294" xr:uid="{353082F7-F2A6-41AB-BF65-644C00A8B165}"/>
    <cellStyle name="Normal 22 3 5 2" xfId="4683" xr:uid="{D5F19C5A-F116-4F58-A273-78B956F45BF9}"/>
    <cellStyle name="Normal 22 3 5 2 2" xfId="13063" xr:uid="{956571C8-BFA2-468E-B048-C431BF43FACA}"/>
    <cellStyle name="Normal 22 3 5 2 2 2" xfId="29823" xr:uid="{F3CF13B7-C5BB-45EA-8B0C-464582FFDE5D}"/>
    <cellStyle name="Normal 22 3 5 2 2 3" xfId="46582" xr:uid="{55604D3D-3C37-4923-9ACA-38D8280C20A3}"/>
    <cellStyle name="Normal 22 3 5 2 3" xfId="21443" xr:uid="{74090090-C0DA-480B-AD38-7441C3C1D137}"/>
    <cellStyle name="Normal 22 3 5 2 4" xfId="38202" xr:uid="{11728755-8B63-4F96-BD93-401E5B7E8F53}"/>
    <cellStyle name="Normal 22 3 5 3" xfId="6370" xr:uid="{D65449D1-6561-4458-9818-F81B3C1D6524}"/>
    <cellStyle name="Normal 22 3 5 3 2" xfId="14750" xr:uid="{2C881433-428F-46ED-9061-61843BAAE08D}"/>
    <cellStyle name="Normal 22 3 5 3 2 2" xfId="31510" xr:uid="{30829905-D19E-4AB0-A371-866BDD6746D7}"/>
    <cellStyle name="Normal 22 3 5 3 2 3" xfId="48269" xr:uid="{75779FB8-B8A4-4426-AE3E-0B6208CC26CE}"/>
    <cellStyle name="Normal 22 3 5 3 3" xfId="23130" xr:uid="{13B6560A-8538-4010-A2A1-6169AFCE6057}"/>
    <cellStyle name="Normal 22 3 5 3 4" xfId="39889" xr:uid="{0E121281-7FD3-41DC-BED9-60B7DD48B2A6}"/>
    <cellStyle name="Normal 22 3 5 4" xfId="3106" xr:uid="{622B711B-5180-4255-9597-C529A0803BAB}"/>
    <cellStyle name="Normal 22 3 5 4 2" xfId="11486" xr:uid="{188F2FD6-1FDB-42E3-B1CA-3299D6F0D0A9}"/>
    <cellStyle name="Normal 22 3 5 4 2 2" xfId="28246" xr:uid="{F8ECD667-A173-417A-B134-21230BBD8FF9}"/>
    <cellStyle name="Normal 22 3 5 4 2 3" xfId="45005" xr:uid="{6725F407-AE91-4B1B-B5F6-772C2E721EB9}"/>
    <cellStyle name="Normal 22 3 5 4 3" xfId="19866" xr:uid="{D6B25B5E-3A30-4CEF-9C95-9F1BF0176309}"/>
    <cellStyle name="Normal 22 3 5 4 4" xfId="36625" xr:uid="{05FFB30B-84A4-4003-9491-2EA3F7C6F4F6}"/>
    <cellStyle name="Normal 22 3 5 5" xfId="9683" xr:uid="{C99D8E26-5D9B-4EE1-BC75-09AA2C97710F}"/>
    <cellStyle name="Normal 22 3 5 5 2" xfId="26443" xr:uid="{3DBC2959-A4D7-4969-8550-3D25FC7F4E2A}"/>
    <cellStyle name="Normal 22 3 5 5 3" xfId="43202" xr:uid="{C31F3850-03BF-4EF5-9AB4-1171EF4E5D16}"/>
    <cellStyle name="Normal 22 3 5 6" xfId="18063" xr:uid="{2BF102E5-7357-4DA2-AF61-14F79164A8D0}"/>
    <cellStyle name="Normal 22 3 5 7" xfId="34822" xr:uid="{8C9639C7-1558-48C7-9944-582876E1D2B5}"/>
    <cellStyle name="Normal 22 3 6" xfId="1758" xr:uid="{E2F790AC-6366-4FDA-BC27-2A35BEF0D9CA}"/>
    <cellStyle name="Normal 22 3 6 2" xfId="5147" xr:uid="{FEBC932F-BA65-45C7-9F9C-BAEE733CF89D}"/>
    <cellStyle name="Normal 22 3 6 2 2" xfId="13527" xr:uid="{B9ECC010-BBE2-48B6-BF56-DC7EFF99B403}"/>
    <cellStyle name="Normal 22 3 6 2 2 2" xfId="30287" xr:uid="{C01BB25D-7E97-4BA4-9C7B-F0B95FC24243}"/>
    <cellStyle name="Normal 22 3 6 2 2 3" xfId="47046" xr:uid="{B45874B1-BE46-4F8A-A960-5451DB227235}"/>
    <cellStyle name="Normal 22 3 6 2 3" xfId="21907" xr:uid="{934B473C-02A4-4527-BC36-A7426DF3F356}"/>
    <cellStyle name="Normal 22 3 6 2 4" xfId="38666" xr:uid="{F6C67330-9B6B-4B61-AEA5-36769956AC6C}"/>
    <cellStyle name="Normal 22 3 6 3" xfId="6834" xr:uid="{66C6B52A-D7B9-4773-A684-293F9F24F6A6}"/>
    <cellStyle name="Normal 22 3 6 3 2" xfId="15214" xr:uid="{A9B4724E-C090-4054-BE1B-E1FC65B6213D}"/>
    <cellStyle name="Normal 22 3 6 3 2 2" xfId="31974" xr:uid="{BD01B947-8AB8-45BD-976D-7F32F1916B75}"/>
    <cellStyle name="Normal 22 3 6 3 2 3" xfId="48733" xr:uid="{64E17F5D-1009-4A5A-A3A5-4BEECBD97B56}"/>
    <cellStyle name="Normal 22 3 6 3 3" xfId="23594" xr:uid="{817E09BB-12AF-47B3-9EB4-AC76E5035C2B}"/>
    <cellStyle name="Normal 22 3 6 3 4" xfId="40353" xr:uid="{98B05E69-C8C9-453F-914E-EDADFE3EB456}"/>
    <cellStyle name="Normal 22 3 6 4" xfId="2248" xr:uid="{27228F06-9475-4A33-BA7F-61F85F4EBE11}"/>
    <cellStyle name="Normal 22 3 6 4 2" xfId="10632" xr:uid="{6DB88D2E-5C46-45F3-AE77-46BACB772618}"/>
    <cellStyle name="Normal 22 3 6 4 2 2" xfId="27392" xr:uid="{CA70E0F0-1E66-40C6-9452-A5F5B7F297D8}"/>
    <cellStyle name="Normal 22 3 6 4 2 3" xfId="44151" xr:uid="{669CF78A-CE2A-4C75-A1D0-FD62A708005A}"/>
    <cellStyle name="Normal 22 3 6 4 3" xfId="19012" xr:uid="{1694DC6E-549C-4CB8-AF93-6015472D562C}"/>
    <cellStyle name="Normal 22 3 6 4 4" xfId="35771" xr:uid="{CE65A94F-4F26-408B-9A3A-71DAC1A4B526}"/>
    <cellStyle name="Normal 22 3 6 5" xfId="10147" xr:uid="{9D733E26-5236-476C-B278-5D7A2DCFAACD}"/>
    <cellStyle name="Normal 22 3 6 5 2" xfId="26907" xr:uid="{6CEB0A91-D9E8-4234-BF84-3262A9BE7945}"/>
    <cellStyle name="Normal 22 3 6 5 3" xfId="43666" xr:uid="{CC3CCB87-DBE8-4EB9-9A5A-4A481E3A665F}"/>
    <cellStyle name="Normal 22 3 6 6" xfId="18527" xr:uid="{A44BC28E-64D4-458B-92B6-B70A1A59BEEA}"/>
    <cellStyle name="Normal 22 3 6 7" xfId="35286" xr:uid="{7AAD8F42-7275-4120-8CAE-3930EFC95A7B}"/>
    <cellStyle name="Normal 22 3 7" xfId="3877" xr:uid="{EB663123-E3EB-4C5C-B661-5F4D894A7B8E}"/>
    <cellStyle name="Normal 22 3 7 2" xfId="12257" xr:uid="{497CC1A8-4CB1-4478-A132-D68D5963EF34}"/>
    <cellStyle name="Normal 22 3 7 2 2" xfId="29017" xr:uid="{F820CCCF-FE15-4927-810D-BA16BE0F8AEA}"/>
    <cellStyle name="Normal 22 3 7 2 3" xfId="45776" xr:uid="{51977251-A41D-445D-BD73-7EC12916BEA9}"/>
    <cellStyle name="Normal 22 3 7 3" xfId="20637" xr:uid="{12AF8B87-CB56-4776-91CB-D8E5C92F2341}"/>
    <cellStyle name="Normal 22 3 7 4" xfId="37396" xr:uid="{0C7FE622-46E4-4AE1-A809-4ECAB738ABF5}"/>
    <cellStyle name="Normal 22 3 8" xfId="5516" xr:uid="{20D0EAAB-6E4E-46C1-97DF-7FE01A25E9F5}"/>
    <cellStyle name="Normal 22 3 8 2" xfId="13896" xr:uid="{4FBDC70C-42B3-4FC5-823C-55E5D9BE0C02}"/>
    <cellStyle name="Normal 22 3 8 2 2" xfId="30656" xr:uid="{8BE7335E-8EA0-4488-953B-D7DE4AFBEF82}"/>
    <cellStyle name="Normal 22 3 8 2 3" xfId="47415" xr:uid="{E2EAE19C-1BC1-4EF2-9B78-CFADBAEDC2C0}"/>
    <cellStyle name="Normal 22 3 8 3" xfId="22276" xr:uid="{F18E8094-70E0-4304-B3F4-8FAD7D406E4B}"/>
    <cellStyle name="Normal 22 3 8 4" xfId="39035" xr:uid="{C9B87982-2B93-4ABA-BE2D-EDDCD1822326}"/>
    <cellStyle name="Normal 22 3 9" xfId="7240" xr:uid="{5E8E4E9E-F21A-441C-A092-859EC38E7C61}"/>
    <cellStyle name="Normal 22 3 9 2" xfId="15620" xr:uid="{FC32B8E9-BDFB-4D7D-92C2-C7C5A88C2D31}"/>
    <cellStyle name="Normal 22 3 9 2 2" xfId="32380" xr:uid="{930C5EBB-ABBE-40DC-B687-7F9670C43CCF}"/>
    <cellStyle name="Normal 22 3 9 2 3" xfId="49139" xr:uid="{263E05C8-F599-4D60-A11D-EE5BAA8C9121}"/>
    <cellStyle name="Normal 22 3 9 3" xfId="24000" xr:uid="{3F4D77D1-A2E7-4BA6-9E83-CA5845196E91}"/>
    <cellStyle name="Normal 22 3 9 4" xfId="40759" xr:uid="{4A538A66-F5BA-45C8-BE84-02DE13494CE3}"/>
    <cellStyle name="Normal 22 4" xfId="680" xr:uid="{8CD2B5F4-D0DF-46F8-8597-D583F4E8ECDD}"/>
    <cellStyle name="Normal 22 4 10" xfId="8561" xr:uid="{3AF3E95F-CE23-4C00-B382-A5CF001DBF62}"/>
    <cellStyle name="Normal 22 4 10 2" xfId="16941" xr:uid="{3440C159-E9BE-4634-BCF8-775FDB77A8B3}"/>
    <cellStyle name="Normal 22 4 10 2 2" xfId="33701" xr:uid="{2E30ECE7-3BC6-4091-B644-F5316A4A8DB0}"/>
    <cellStyle name="Normal 22 4 10 2 3" xfId="50460" xr:uid="{2EA3EB5C-5CF5-4E1A-A217-3956D890133A}"/>
    <cellStyle name="Normal 22 4 10 3" xfId="25321" xr:uid="{B58834AC-B6F0-4220-8367-F74D8337FBD2}"/>
    <cellStyle name="Normal 22 4 10 4" xfId="42080" xr:uid="{491E564C-D255-4BD0-ACF6-8A8586902436}"/>
    <cellStyle name="Normal 22 4 11" xfId="2510" xr:uid="{679D0138-4D6A-49EB-975A-97DA62CDCFCC}"/>
    <cellStyle name="Normal 22 4 11 2" xfId="10892" xr:uid="{AB6340FA-F0FC-4641-B78A-EDE5F3A023A7}"/>
    <cellStyle name="Normal 22 4 11 2 2" xfId="27652" xr:uid="{061DC899-38A4-4A39-89F4-023E24C0996B}"/>
    <cellStyle name="Normal 22 4 11 2 3" xfId="44411" xr:uid="{890796C2-45AF-4F65-B19C-6EBB945063F4}"/>
    <cellStyle name="Normal 22 4 11 3" xfId="19272" xr:uid="{511623AF-FE50-468A-8C0D-FB1C9B7D301F}"/>
    <cellStyle name="Normal 22 4 11 4" xfId="36031" xr:uid="{BA43D105-8381-4993-B0B5-A7F6BA161E9B}"/>
    <cellStyle name="Normal 22 4 12" xfId="9089" xr:uid="{171E1A38-4B0C-450D-A598-0B6C1B4F75EB}"/>
    <cellStyle name="Normal 22 4 12 2" xfId="25849" xr:uid="{1305FEE2-F10B-41D0-9440-CA17324766B2}"/>
    <cellStyle name="Normal 22 4 12 3" xfId="42608" xr:uid="{2E2322E6-FF1F-4E26-93E8-C14CF54C7FB3}"/>
    <cellStyle name="Normal 22 4 13" xfId="17469" xr:uid="{B337A949-22E9-49EE-8F7A-1BEA9E99DFA5}"/>
    <cellStyle name="Normal 22 4 14" xfId="34228" xr:uid="{B48BC07D-4F75-48F6-AF11-15DA91A550AC}"/>
    <cellStyle name="Normal 22 4 2" xfId="1120" xr:uid="{80039FD8-07FC-4FA1-8FE6-D07011398EC6}"/>
    <cellStyle name="Normal 22 4 2 2" xfId="4515" xr:uid="{50537D02-C680-45EA-A51C-099221946E74}"/>
    <cellStyle name="Normal 22 4 2 2 2" xfId="12895" xr:uid="{84781B39-9459-4844-82FB-7521DCE9BC1E}"/>
    <cellStyle name="Normal 22 4 2 2 2 2" xfId="29655" xr:uid="{097EA32E-21DF-49F1-9EA6-B7BC4BFAA038}"/>
    <cellStyle name="Normal 22 4 2 2 2 3" xfId="46414" xr:uid="{68D99D77-3DD2-412D-8031-1358A5B65867}"/>
    <cellStyle name="Normal 22 4 2 2 3" xfId="21275" xr:uid="{ECAE959F-0DDE-4E60-B3D6-932F242FD195}"/>
    <cellStyle name="Normal 22 4 2 2 4" xfId="38034" xr:uid="{A27F3B55-D513-4DD6-AA3F-9F8C38ACFCA1}"/>
    <cellStyle name="Normal 22 4 2 3" xfId="6202" xr:uid="{F7CC6C02-A0CC-4915-B70D-04C7B94456F4}"/>
    <cellStyle name="Normal 22 4 2 3 2" xfId="14582" xr:uid="{5666C85E-DD58-4A0B-90C3-7B0669E7C44F}"/>
    <cellStyle name="Normal 22 4 2 3 2 2" xfId="31342" xr:uid="{82AA1011-2921-40C9-9B06-184F9AF964DA}"/>
    <cellStyle name="Normal 22 4 2 3 2 3" xfId="48101" xr:uid="{D6703309-C28F-45F7-BFFE-5683E1EF5195}"/>
    <cellStyle name="Normal 22 4 2 3 3" xfId="22962" xr:uid="{A4C8A45E-0231-407E-B55D-05D6580C78C0}"/>
    <cellStyle name="Normal 22 4 2 3 4" xfId="39721" xr:uid="{C05EE61C-2264-4B40-B0CD-839741AA58AE}"/>
    <cellStyle name="Normal 22 4 2 4" xfId="2938" xr:uid="{51A62FDE-60C3-4756-AFC8-E68ECF08060F}"/>
    <cellStyle name="Normal 22 4 2 4 2" xfId="11318" xr:uid="{1F5B2DB4-FD10-4E1A-9124-5057247060C6}"/>
    <cellStyle name="Normal 22 4 2 4 2 2" xfId="28078" xr:uid="{A10008B6-4CBF-453B-8A33-0E6A1A183AD0}"/>
    <cellStyle name="Normal 22 4 2 4 2 3" xfId="44837" xr:uid="{0F35DC02-4292-4486-AE00-56115056EB1E}"/>
    <cellStyle name="Normal 22 4 2 4 3" xfId="19698" xr:uid="{23A38230-AC81-4D80-A1DB-C004C8BDC7A8}"/>
    <cellStyle name="Normal 22 4 2 4 4" xfId="36457" xr:uid="{05C90682-6774-426E-8D90-A7BEEB34A857}"/>
    <cellStyle name="Normal 22 4 2 5" xfId="9515" xr:uid="{480EFB06-8FE6-4AA1-87C9-E981CF34F081}"/>
    <cellStyle name="Normal 22 4 2 5 2" xfId="26275" xr:uid="{5E697B18-759C-4707-B86C-F9151FFC8E82}"/>
    <cellStyle name="Normal 22 4 2 5 3" xfId="43034" xr:uid="{44A4392C-7354-4F95-BFA0-5DDC842253F8}"/>
    <cellStyle name="Normal 22 4 2 6" xfId="17895" xr:uid="{8796EDFE-A3CB-4164-B6F6-3B3AAB2D46C1}"/>
    <cellStyle name="Normal 22 4 2 7" xfId="34654" xr:uid="{3627BB7A-A453-4ADE-98C4-824337D75EF7}"/>
    <cellStyle name="Normal 22 4 3" xfId="1554" xr:uid="{84BD63B1-0C00-4DDB-AAF2-B907DB11375F}"/>
    <cellStyle name="Normal 22 4 3 2" xfId="4943" xr:uid="{6CE24F8F-4451-4409-B044-0F464CB8D7C4}"/>
    <cellStyle name="Normal 22 4 3 2 2" xfId="13323" xr:uid="{B32E6963-1865-4CC5-9ED1-B575343BC4A1}"/>
    <cellStyle name="Normal 22 4 3 2 2 2" xfId="30083" xr:uid="{3D56084A-830E-4BE5-91FD-AC5E58DA43F9}"/>
    <cellStyle name="Normal 22 4 3 2 2 3" xfId="46842" xr:uid="{88FC2811-6632-4DD6-8445-A06AD9E88F75}"/>
    <cellStyle name="Normal 22 4 3 2 3" xfId="21703" xr:uid="{5A3A7BAA-2C30-4EBD-92D4-D998A1D79D05}"/>
    <cellStyle name="Normal 22 4 3 2 4" xfId="38462" xr:uid="{A6D8BEBF-B670-4415-B154-CD1D2E668AAF}"/>
    <cellStyle name="Normal 22 4 3 3" xfId="6630" xr:uid="{6874F6AA-49DB-4DA9-A35D-FCAFE6417F21}"/>
    <cellStyle name="Normal 22 4 3 3 2" xfId="15010" xr:uid="{7472D750-5289-40E7-8B88-FCD8BA6A6C9E}"/>
    <cellStyle name="Normal 22 4 3 3 2 2" xfId="31770" xr:uid="{666072D3-A955-41D0-8FC4-E77F9297260F}"/>
    <cellStyle name="Normal 22 4 3 3 2 3" xfId="48529" xr:uid="{800E96A8-40B6-464D-8815-C92863162459}"/>
    <cellStyle name="Normal 22 4 3 3 3" xfId="23390" xr:uid="{1531F8E9-098F-4FBB-9AC6-E73D948C9546}"/>
    <cellStyle name="Normal 22 4 3 3 4" xfId="40149" xr:uid="{AFB2D4A8-B014-48D8-820C-3052CDD3DBEF}"/>
    <cellStyle name="Normal 22 4 3 4" xfId="3366" xr:uid="{615E724B-AC61-4469-B848-291E75A4E823}"/>
    <cellStyle name="Normal 22 4 3 4 2" xfId="11746" xr:uid="{9AA9553E-1B54-4DC4-91D0-75508023F4E9}"/>
    <cellStyle name="Normal 22 4 3 4 2 2" xfId="28506" xr:uid="{C40081A4-1E2B-4796-BF51-02FB44E67C98}"/>
    <cellStyle name="Normal 22 4 3 4 2 3" xfId="45265" xr:uid="{3ED887E2-C9F3-444E-B97D-2450F17AD917}"/>
    <cellStyle name="Normal 22 4 3 4 3" xfId="20126" xr:uid="{DF171118-E579-4231-9472-A006B9A1604A}"/>
    <cellStyle name="Normal 22 4 3 4 4" xfId="36885" xr:uid="{686F299E-16A9-4135-8742-CB903BE35807}"/>
    <cellStyle name="Normal 22 4 3 5" xfId="9943" xr:uid="{01029F10-577A-4AAF-92D8-9CB663F1ADED}"/>
    <cellStyle name="Normal 22 4 3 5 2" xfId="26703" xr:uid="{9AB3DE78-2C90-4FC6-8F72-5DB3006C363A}"/>
    <cellStyle name="Normal 22 4 3 5 3" xfId="43462" xr:uid="{5052419C-44BF-4E65-88FF-D4BB72328683}"/>
    <cellStyle name="Normal 22 4 3 6" xfId="18323" xr:uid="{32C7B7A9-6786-47C0-BA72-A2E9FF187919}"/>
    <cellStyle name="Normal 22 4 3 7" xfId="35082" xr:uid="{BEE89BF4-3548-4AE7-ACED-D4A8F686D68D}"/>
    <cellStyle name="Normal 22 4 4" xfId="1861" xr:uid="{97B64D9A-B73B-4823-8D16-C62EF51EC249}"/>
    <cellStyle name="Normal 22 4 4 2" xfId="5250" xr:uid="{253CE519-4B7F-407F-AB73-FCC8DA209040}"/>
    <cellStyle name="Normal 22 4 4 2 2" xfId="13630" xr:uid="{F47CCDFE-1181-4DFA-8585-79B5423FF7A3}"/>
    <cellStyle name="Normal 22 4 4 2 2 2" xfId="30390" xr:uid="{E673395D-17C9-4641-AE8E-233E88E76E9C}"/>
    <cellStyle name="Normal 22 4 4 2 2 3" xfId="47149" xr:uid="{52923518-4C30-49CD-B637-2FAA5E0D3A6E}"/>
    <cellStyle name="Normal 22 4 4 2 3" xfId="22010" xr:uid="{6DE3A3E5-DD2D-42C0-BA6B-2F5937F64792}"/>
    <cellStyle name="Normal 22 4 4 2 4" xfId="38769" xr:uid="{9DBFB39F-539F-499F-9BCC-127F0725D9A0}"/>
    <cellStyle name="Normal 22 4 4 3" xfId="6937" xr:uid="{CF731929-B037-4115-9A3C-1AB4C661B3DB}"/>
    <cellStyle name="Normal 22 4 4 3 2" xfId="15317" xr:uid="{8AF578E5-B947-43EC-A25C-92DAABC49ACA}"/>
    <cellStyle name="Normal 22 4 4 3 2 2" xfId="32077" xr:uid="{36CE1D65-60CD-4992-A867-DF1704715EF3}"/>
    <cellStyle name="Normal 22 4 4 3 2 3" xfId="48836" xr:uid="{1F075B4A-CBE9-41A3-9A49-797994A436D3}"/>
    <cellStyle name="Normal 22 4 4 3 3" xfId="23697" xr:uid="{9430BF5C-739F-4623-ABB4-C04418B51B1E}"/>
    <cellStyle name="Normal 22 4 4 3 4" xfId="40456" xr:uid="{76AF01C1-A849-471B-B0C7-3D8364CD96BC}"/>
    <cellStyle name="Normal 22 4 4 4" xfId="3561" xr:uid="{023D4493-DE09-47A2-B6EC-98A69E85F688}"/>
    <cellStyle name="Normal 22 4 4 4 2" xfId="11941" xr:uid="{E26F8FF5-CB19-4014-B509-B26F7CA4AB17}"/>
    <cellStyle name="Normal 22 4 4 4 2 2" xfId="28701" xr:uid="{C1091776-EF52-46E0-86D8-5F942AF44511}"/>
    <cellStyle name="Normal 22 4 4 4 2 3" xfId="45460" xr:uid="{ED0895FE-3BD3-4D93-A11C-9B34957F79AA}"/>
    <cellStyle name="Normal 22 4 4 4 3" xfId="20321" xr:uid="{38DEC010-6320-44D3-ACD6-AEACD7748BBC}"/>
    <cellStyle name="Normal 22 4 4 4 4" xfId="37080" xr:uid="{AC024B82-C18F-45C0-BA17-49FCB8CC6275}"/>
    <cellStyle name="Normal 22 4 4 5" xfId="10250" xr:uid="{5F79D1D9-71EA-4AA3-984E-F8FDBA6A4E9D}"/>
    <cellStyle name="Normal 22 4 4 5 2" xfId="27010" xr:uid="{438AA269-D8F8-4C96-BDB5-B171E73956D6}"/>
    <cellStyle name="Normal 22 4 4 5 3" xfId="43769" xr:uid="{7A1A36D6-4A64-47BE-AAE7-A683C6F032D0}"/>
    <cellStyle name="Normal 22 4 4 6" xfId="18630" xr:uid="{97493539-F915-43D4-BA4F-AFAE7C0D56C4}"/>
    <cellStyle name="Normal 22 4 4 7" xfId="35389" xr:uid="{2A9D7E31-87DB-4128-B4F9-5F6E2F90BB69}"/>
    <cellStyle name="Normal 22 4 5" xfId="3980" xr:uid="{24066AFB-7C9B-4519-9CDE-70CDE18D1F9A}"/>
    <cellStyle name="Normal 22 4 5 2" xfId="12360" xr:uid="{0CC6FCE7-6E6E-4A54-BD4D-8257E335DD84}"/>
    <cellStyle name="Normal 22 4 5 2 2" xfId="29120" xr:uid="{B4CC7A56-9615-4167-8870-0FE23F1485E7}"/>
    <cellStyle name="Normal 22 4 5 2 3" xfId="45879" xr:uid="{C3BA103C-EA21-4C93-9D23-B0A2E5C063EF}"/>
    <cellStyle name="Normal 22 4 5 3" xfId="20740" xr:uid="{2E2C9DE0-C16D-4D9C-9E37-5F07FE5DEED1}"/>
    <cellStyle name="Normal 22 4 5 4" xfId="37499" xr:uid="{7647CE65-02C7-4EE9-95A0-C6A03F35D22B}"/>
    <cellStyle name="Normal 22 4 6" xfId="5776" xr:uid="{F17E8D5E-F89C-49CA-AEF4-30286A7FD624}"/>
    <cellStyle name="Normal 22 4 6 2" xfId="14156" xr:uid="{BF328770-AD4E-49A5-8C5D-2766A15384F6}"/>
    <cellStyle name="Normal 22 4 6 2 2" xfId="30916" xr:uid="{197557C7-FC3A-4698-AC0D-E7E340E7EAFD}"/>
    <cellStyle name="Normal 22 4 6 2 3" xfId="47675" xr:uid="{4A775C9E-C94F-48B3-BF5A-212D05547258}"/>
    <cellStyle name="Normal 22 4 6 3" xfId="22536" xr:uid="{43CE62B1-370C-409F-BEC3-95045180691A}"/>
    <cellStyle name="Normal 22 4 6 4" xfId="39295" xr:uid="{6124A6A4-1A70-4AAB-9739-3861DF99931A}"/>
    <cellStyle name="Normal 22 4 7" xfId="7343" xr:uid="{607CDBBF-D708-4047-B55D-DC7686602CC6}"/>
    <cellStyle name="Normal 22 4 7 2" xfId="15723" xr:uid="{4F76ABA2-3B51-4500-9BB6-02B3E5093C86}"/>
    <cellStyle name="Normal 22 4 7 2 2" xfId="32483" xr:uid="{32B7D759-7024-4313-A4F0-3DCE4E10CF79}"/>
    <cellStyle name="Normal 22 4 7 2 3" xfId="49242" xr:uid="{E2C7F802-281D-4167-8F94-C6298BD2162C}"/>
    <cellStyle name="Normal 22 4 7 3" xfId="24103" xr:uid="{9E9588B9-FCB9-43EE-B78E-6F45366C58D7}"/>
    <cellStyle name="Normal 22 4 7 4" xfId="40862" xr:uid="{BA52383A-C090-41B9-8EBE-C7829DD86664}"/>
    <cellStyle name="Normal 22 4 8" xfId="7749" xr:uid="{60A30CA7-0DC0-4951-AA00-4571EDBD1EE9}"/>
    <cellStyle name="Normal 22 4 8 2" xfId="16129" xr:uid="{B3827058-E4DF-4E0F-85EB-F4264F0179B9}"/>
    <cellStyle name="Normal 22 4 8 2 2" xfId="32889" xr:uid="{5520CEE6-BD60-4888-9A9E-719E9B2DA796}"/>
    <cellStyle name="Normal 22 4 8 2 3" xfId="49648" xr:uid="{8D0BDA46-743A-4F78-942A-5722948AFCC2}"/>
    <cellStyle name="Normal 22 4 8 3" xfId="24509" xr:uid="{8E3CCADE-1343-4B5B-882E-DCCBC58A1AC5}"/>
    <cellStyle name="Normal 22 4 8 4" xfId="41268" xr:uid="{50E5D6BE-6F5C-4A7E-96AF-3E91F4189F5B}"/>
    <cellStyle name="Normal 22 4 9" xfId="8155" xr:uid="{E65260CB-D49C-4A75-ADA5-73435FEAD5AA}"/>
    <cellStyle name="Normal 22 4 9 2" xfId="16535" xr:uid="{BA5A9822-3BFB-4AC5-8F4C-DCF0FFCF0F28}"/>
    <cellStyle name="Normal 22 4 9 2 2" xfId="33295" xr:uid="{C94FE4D6-86A9-4C49-8E98-C87B5BEFA53F}"/>
    <cellStyle name="Normal 22 4 9 2 3" xfId="50054" xr:uid="{5BBA0895-20A8-4EF6-BD76-8D6386EC92DA}"/>
    <cellStyle name="Normal 22 4 9 3" xfId="24915" xr:uid="{1CAB2F36-0675-4902-B289-26C8E4E5D88D}"/>
    <cellStyle name="Normal 22 4 9 4" xfId="41674" xr:uid="{8E5910F6-2DFB-43C7-AF78-2A8990AB388F}"/>
    <cellStyle name="Normal 22 5" xfId="681" xr:uid="{B170719C-9354-4CAD-87B1-F4781A03D409}"/>
    <cellStyle name="Normal 22 5 10" xfId="8614" xr:uid="{BE3E7E53-EF5A-4567-A6F2-8F78212F46B8}"/>
    <cellStyle name="Normal 22 5 10 2" xfId="16994" xr:uid="{72FA3D0E-C9AF-4207-8C77-BE20DC165DF7}"/>
    <cellStyle name="Normal 22 5 10 2 2" xfId="33754" xr:uid="{5D1830AD-00BB-44C7-A51E-EA528759EE01}"/>
    <cellStyle name="Normal 22 5 10 2 3" xfId="50513" xr:uid="{9FCB67D3-BB82-41CB-9647-BB0F916EAD46}"/>
    <cellStyle name="Normal 22 5 10 3" xfId="25374" xr:uid="{06E6E264-B0CA-43ED-8232-81072F34DA76}"/>
    <cellStyle name="Normal 22 5 10 4" xfId="42133" xr:uid="{9E93F8EE-4F4B-45C0-A43D-DE6F6F48EF0F}"/>
    <cellStyle name="Normal 22 5 11" xfId="2511" xr:uid="{1F69C907-F604-41A7-A791-6159C636D882}"/>
    <cellStyle name="Normal 22 5 11 2" xfId="10893" xr:uid="{DE9A885F-BE8A-470E-9030-659C79CA3E1F}"/>
    <cellStyle name="Normal 22 5 11 2 2" xfId="27653" xr:uid="{54A172EF-ABF8-44FE-88A0-7116B8D7894A}"/>
    <cellStyle name="Normal 22 5 11 2 3" xfId="44412" xr:uid="{D9E148C2-B109-4E3A-BFEA-D5EC1B9E3EAE}"/>
    <cellStyle name="Normal 22 5 11 3" xfId="19273" xr:uid="{3EB19109-2AFB-4038-810F-A82CFED33980}"/>
    <cellStyle name="Normal 22 5 11 4" xfId="36032" xr:uid="{BBB5FFFF-1EC0-4126-A0F7-9081B760F0C7}"/>
    <cellStyle name="Normal 22 5 12" xfId="9090" xr:uid="{91373079-7C62-4D3D-9422-79A47CFF7216}"/>
    <cellStyle name="Normal 22 5 12 2" xfId="25850" xr:uid="{2C8C6074-87BE-4309-9EF8-1780C8107D36}"/>
    <cellStyle name="Normal 22 5 12 3" xfId="42609" xr:uid="{1644F926-8C3A-4755-ACF3-66C95EF4A14F}"/>
    <cellStyle name="Normal 22 5 13" xfId="17470" xr:uid="{E81C93B7-9AE5-4A15-A487-849C4139C0E8}"/>
    <cellStyle name="Normal 22 5 14" xfId="34229" xr:uid="{B0A18006-1A3C-4AB9-8C65-A236EFB46468}"/>
    <cellStyle name="Normal 22 5 2" xfId="1121" xr:uid="{3CEEF016-0152-46C7-85FE-CAA71337E2FC}"/>
    <cellStyle name="Normal 22 5 2 2" xfId="4516" xr:uid="{22ADA6C3-326E-41E2-BF51-1F3E71ECA823}"/>
    <cellStyle name="Normal 22 5 2 2 2" xfId="12896" xr:uid="{F90C7CA5-61A9-4DF5-BBA8-9CA62D156619}"/>
    <cellStyle name="Normal 22 5 2 2 2 2" xfId="29656" xr:uid="{32556EFC-31FB-4DB1-976D-7C0F02BBABE0}"/>
    <cellStyle name="Normal 22 5 2 2 2 3" xfId="46415" xr:uid="{92D4D445-EED1-4C91-BA93-8E5579962D37}"/>
    <cellStyle name="Normal 22 5 2 2 3" xfId="21276" xr:uid="{22BE07F8-4C8B-4B61-A4DC-B9166DE9FEC7}"/>
    <cellStyle name="Normal 22 5 2 2 4" xfId="38035" xr:uid="{79EE3F15-4D31-41A6-8506-FD238A57B1B4}"/>
    <cellStyle name="Normal 22 5 2 3" xfId="6203" xr:uid="{A1A8BF49-6FB9-40DE-9BDC-6B219F4D437B}"/>
    <cellStyle name="Normal 22 5 2 3 2" xfId="14583" xr:uid="{160A411E-4B77-4492-B20A-D7B3086D04E8}"/>
    <cellStyle name="Normal 22 5 2 3 2 2" xfId="31343" xr:uid="{2DD8927C-E915-4FDC-A793-3228383D1FCA}"/>
    <cellStyle name="Normal 22 5 2 3 2 3" xfId="48102" xr:uid="{768B19A7-DA7B-40E7-A114-D4ED1A0A8062}"/>
    <cellStyle name="Normal 22 5 2 3 3" xfId="22963" xr:uid="{4A94E124-21CE-4678-A316-5E963FB6BE81}"/>
    <cellStyle name="Normal 22 5 2 3 4" xfId="39722" xr:uid="{064A9282-92A1-4AFF-817E-709A47507BA1}"/>
    <cellStyle name="Normal 22 5 2 4" xfId="2939" xr:uid="{6A8CE079-A817-47D9-B6C4-74F512CA09B9}"/>
    <cellStyle name="Normal 22 5 2 4 2" xfId="11319" xr:uid="{C218FE0A-9654-4647-B034-6E1F86556532}"/>
    <cellStyle name="Normal 22 5 2 4 2 2" xfId="28079" xr:uid="{FC487950-E3E1-45A4-B2D3-D59AC6EBEFE8}"/>
    <cellStyle name="Normal 22 5 2 4 2 3" xfId="44838" xr:uid="{A8451FF3-9863-4804-AB38-A975D29E718D}"/>
    <cellStyle name="Normal 22 5 2 4 3" xfId="19699" xr:uid="{66CD81B5-3164-4D3B-97C9-DC6A13F5E34C}"/>
    <cellStyle name="Normal 22 5 2 4 4" xfId="36458" xr:uid="{B0C9199E-0F61-4421-9985-68DDB014612F}"/>
    <cellStyle name="Normal 22 5 2 5" xfId="9516" xr:uid="{99B601F1-C21C-4B09-9A07-2F2015FC1C07}"/>
    <cellStyle name="Normal 22 5 2 5 2" xfId="26276" xr:uid="{F3F28DCF-36B8-436A-A268-267B3280DB88}"/>
    <cellStyle name="Normal 22 5 2 5 3" xfId="43035" xr:uid="{43D673CC-F84F-47B9-AB90-7965B9AA7015}"/>
    <cellStyle name="Normal 22 5 2 6" xfId="17896" xr:uid="{36161C2F-B594-4CCA-ACCB-8741DD299147}"/>
    <cellStyle name="Normal 22 5 2 7" xfId="34655" xr:uid="{12FC55FC-9753-4623-B9E5-94EEF9159A4F}"/>
    <cellStyle name="Normal 22 5 3" xfId="1555" xr:uid="{B876311D-A3B3-4D1F-8F55-0D568B45B89C}"/>
    <cellStyle name="Normal 22 5 3 2" xfId="4944" xr:uid="{A9C73955-1D84-4E11-A9F8-7F1CE4AF65BE}"/>
    <cellStyle name="Normal 22 5 3 2 2" xfId="13324" xr:uid="{1F1EAD86-4830-419E-97DF-1B7E8EB5004C}"/>
    <cellStyle name="Normal 22 5 3 2 2 2" xfId="30084" xr:uid="{A8B44BF9-0EC1-425E-A9AC-6A8392E9A23E}"/>
    <cellStyle name="Normal 22 5 3 2 2 3" xfId="46843" xr:uid="{0F6809F6-3FC1-489D-B3AE-E2BB18EE3E06}"/>
    <cellStyle name="Normal 22 5 3 2 3" xfId="21704" xr:uid="{27744AA2-E328-41E1-857E-C1D2D3C2810A}"/>
    <cellStyle name="Normal 22 5 3 2 4" xfId="38463" xr:uid="{9AABE726-CAE4-40D5-930B-CE75CBE4B147}"/>
    <cellStyle name="Normal 22 5 3 3" xfId="6631" xr:uid="{39A41392-7AD6-42F2-842E-816FBD48BDC6}"/>
    <cellStyle name="Normal 22 5 3 3 2" xfId="15011" xr:uid="{3C47698A-BBB2-437E-8479-A7EC43943C8C}"/>
    <cellStyle name="Normal 22 5 3 3 2 2" xfId="31771" xr:uid="{5A2ED3D6-5510-49C9-B28F-E8EA5B9B73D9}"/>
    <cellStyle name="Normal 22 5 3 3 2 3" xfId="48530" xr:uid="{026A1AEA-99FA-4511-8947-E0A8E9A42998}"/>
    <cellStyle name="Normal 22 5 3 3 3" xfId="23391" xr:uid="{C464B96C-101C-4850-948D-B32AB2E29729}"/>
    <cellStyle name="Normal 22 5 3 3 4" xfId="40150" xr:uid="{B5EF2373-A839-4AF7-A58C-3086170C6E97}"/>
    <cellStyle name="Normal 22 5 3 4" xfId="3367" xr:uid="{A518A3E0-3BCC-4CE3-BA52-C1247BCC9B08}"/>
    <cellStyle name="Normal 22 5 3 4 2" xfId="11747" xr:uid="{2A6F84D2-F9D3-40D9-9D73-42899A5281C3}"/>
    <cellStyle name="Normal 22 5 3 4 2 2" xfId="28507" xr:uid="{5940190D-53AF-4D0D-8CF5-00E70E09E548}"/>
    <cellStyle name="Normal 22 5 3 4 2 3" xfId="45266" xr:uid="{36306994-62A9-42D0-BA65-92C558E8E2C7}"/>
    <cellStyle name="Normal 22 5 3 4 3" xfId="20127" xr:uid="{D292C9CF-6931-41B6-9626-14C01EBDDD8A}"/>
    <cellStyle name="Normal 22 5 3 4 4" xfId="36886" xr:uid="{4D2D1DB4-8373-49EC-B0AF-88E085EEE946}"/>
    <cellStyle name="Normal 22 5 3 5" xfId="9944" xr:uid="{C10589C8-5493-4CAD-9469-FBCEF4B4B62D}"/>
    <cellStyle name="Normal 22 5 3 5 2" xfId="26704" xr:uid="{52ADA9F8-1F42-4E75-8A37-2167BD2A6B67}"/>
    <cellStyle name="Normal 22 5 3 5 3" xfId="43463" xr:uid="{771C4E66-6C85-4C53-939C-3A2968E82671}"/>
    <cellStyle name="Normal 22 5 3 6" xfId="18324" xr:uid="{E3C3E40F-9BFB-4764-A14D-709164035BD5}"/>
    <cellStyle name="Normal 22 5 3 7" xfId="35083" xr:uid="{7DA67443-DB48-48DF-9994-5130DB12AAA3}"/>
    <cellStyle name="Normal 22 5 4" xfId="1914" xr:uid="{D3153CC3-1537-41ED-9538-BB20F40EAED6}"/>
    <cellStyle name="Normal 22 5 4 2" xfId="5303" xr:uid="{16BCE791-060F-4B77-B247-0037E0C0D20E}"/>
    <cellStyle name="Normal 22 5 4 2 2" xfId="13683" xr:uid="{D24EC2F4-F8FB-4769-B96C-352963B0466D}"/>
    <cellStyle name="Normal 22 5 4 2 2 2" xfId="30443" xr:uid="{5345CEB5-D56B-4261-8CCF-1B9957F2ABDC}"/>
    <cellStyle name="Normal 22 5 4 2 2 3" xfId="47202" xr:uid="{94270F1D-C4EC-434A-B85D-45616BF134E8}"/>
    <cellStyle name="Normal 22 5 4 2 3" xfId="22063" xr:uid="{E264EA1F-FEBA-49A9-B26D-89A977823D74}"/>
    <cellStyle name="Normal 22 5 4 2 4" xfId="38822" xr:uid="{CD3EF299-AE94-4F42-9164-74B3149A07E0}"/>
    <cellStyle name="Normal 22 5 4 3" xfId="6990" xr:uid="{3336C5B4-A02C-4417-9A34-14F0C565BC6B}"/>
    <cellStyle name="Normal 22 5 4 3 2" xfId="15370" xr:uid="{DBFDF09A-472D-44AE-A8DD-900152093A09}"/>
    <cellStyle name="Normal 22 5 4 3 2 2" xfId="32130" xr:uid="{B71FD2BF-DFB1-4C7D-9606-CA6D5FA291EB}"/>
    <cellStyle name="Normal 22 5 4 3 2 3" xfId="48889" xr:uid="{3197F155-CD15-42FD-81DA-AE3DE797B37A}"/>
    <cellStyle name="Normal 22 5 4 3 3" xfId="23750" xr:uid="{EB64113D-BA62-4106-BC8A-8F51EDCA1A18}"/>
    <cellStyle name="Normal 22 5 4 3 4" xfId="40509" xr:uid="{17A622E3-0821-476E-BBAE-690595AF63FF}"/>
    <cellStyle name="Normal 22 5 4 4" xfId="3613" xr:uid="{67D40CAA-85F9-4A64-8064-758D8EC69DC4}"/>
    <cellStyle name="Normal 22 5 4 4 2" xfId="11993" xr:uid="{DAC1DEA3-E6EF-410C-B0FC-5F436F2645F7}"/>
    <cellStyle name="Normal 22 5 4 4 2 2" xfId="28753" xr:uid="{BDC2946C-30DF-4BBD-8DC2-21262FC9FB06}"/>
    <cellStyle name="Normal 22 5 4 4 2 3" xfId="45512" xr:uid="{14C42315-7F36-499C-B652-7FB71F8EA85D}"/>
    <cellStyle name="Normal 22 5 4 4 3" xfId="20373" xr:uid="{E9D3F3B4-FF02-42DC-A87C-93B490D5E3A4}"/>
    <cellStyle name="Normal 22 5 4 4 4" xfId="37132" xr:uid="{384D5694-5569-4702-8BC2-9B24B6F73C9B}"/>
    <cellStyle name="Normal 22 5 4 5" xfId="10303" xr:uid="{A8447461-8445-4A33-95EA-BBCB92BFA19F}"/>
    <cellStyle name="Normal 22 5 4 5 2" xfId="27063" xr:uid="{D885C418-1848-469B-913D-14F107D02551}"/>
    <cellStyle name="Normal 22 5 4 5 3" xfId="43822" xr:uid="{52F5C8C1-418D-44EE-83BA-7137D0752B8B}"/>
    <cellStyle name="Normal 22 5 4 6" xfId="18683" xr:uid="{A064C611-B30C-4155-8718-E57FD70B0B7F}"/>
    <cellStyle name="Normal 22 5 4 7" xfId="35442" xr:uid="{4E6A3BDB-B653-4ED7-B9CC-33F668642584}"/>
    <cellStyle name="Normal 22 5 5" xfId="4033" xr:uid="{256A38E7-420B-482A-A4E0-A62B9CEF61B8}"/>
    <cellStyle name="Normal 22 5 5 2" xfId="12413" xr:uid="{9B162E82-D9E9-4AA9-83AA-5591710A2134}"/>
    <cellStyle name="Normal 22 5 5 2 2" xfId="29173" xr:uid="{608CC808-6898-463A-90AF-0C6203A93ADB}"/>
    <cellStyle name="Normal 22 5 5 2 3" xfId="45932" xr:uid="{0378946A-2296-41DB-8FB1-6C8CA752FEAD}"/>
    <cellStyle name="Normal 22 5 5 3" xfId="20793" xr:uid="{6836BF2E-38C7-4803-B719-ACD8003CE94C}"/>
    <cellStyle name="Normal 22 5 5 4" xfId="37552" xr:uid="{F8706B5E-09F6-43CB-B589-26BC09DD60B0}"/>
    <cellStyle name="Normal 22 5 6" xfId="5777" xr:uid="{5553C665-EF23-476E-8AE8-0880ADCF0639}"/>
    <cellStyle name="Normal 22 5 6 2" xfId="14157" xr:uid="{389F0F39-E13E-4553-9A86-03CF253A1B67}"/>
    <cellStyle name="Normal 22 5 6 2 2" xfId="30917" xr:uid="{0DE8712E-4B17-4FFD-B8EE-E9392E8D4A8C}"/>
    <cellStyle name="Normal 22 5 6 2 3" xfId="47676" xr:uid="{986C0F02-6AA9-48FC-9978-6874389A3DCA}"/>
    <cellStyle name="Normal 22 5 6 3" xfId="22537" xr:uid="{83D64A01-6EFF-44EF-9F47-7ECECDB1E58C}"/>
    <cellStyle name="Normal 22 5 6 4" xfId="39296" xr:uid="{7E1E5CAE-67D0-48D8-A913-C90B222E475D}"/>
    <cellStyle name="Normal 22 5 7" xfId="7396" xr:uid="{0B7A7ECD-491C-44D9-BB02-A9EA6D97152C}"/>
    <cellStyle name="Normal 22 5 7 2" xfId="15776" xr:uid="{0B53C727-5DB0-4CD9-B128-360D96AF87D3}"/>
    <cellStyle name="Normal 22 5 7 2 2" xfId="32536" xr:uid="{32154087-7084-4ED2-8EB3-F2429A2C883C}"/>
    <cellStyle name="Normal 22 5 7 2 3" xfId="49295" xr:uid="{189D7C2D-B5B2-4614-AC50-E87FBA805C45}"/>
    <cellStyle name="Normal 22 5 7 3" xfId="24156" xr:uid="{CEADC0C6-A80E-4D96-9F4B-9C782AC8ADDA}"/>
    <cellStyle name="Normal 22 5 7 4" xfId="40915" xr:uid="{702248FB-98CB-4E5E-BFBB-E8B9884A0DBD}"/>
    <cellStyle name="Normal 22 5 8" xfId="7802" xr:uid="{DFB9F094-B4B8-42C7-9364-7806B3B99BFA}"/>
    <cellStyle name="Normal 22 5 8 2" xfId="16182" xr:uid="{4884D623-E9FF-4301-A345-AA1706D0A4DF}"/>
    <cellStyle name="Normal 22 5 8 2 2" xfId="32942" xr:uid="{534346AD-3E19-4AA1-97F8-BCD9EF2059CD}"/>
    <cellStyle name="Normal 22 5 8 2 3" xfId="49701" xr:uid="{779A48D3-BA90-4895-B5EB-8D3D3125B679}"/>
    <cellStyle name="Normal 22 5 8 3" xfId="24562" xr:uid="{CA613FB9-5B32-4D88-B7FC-F977C6E0DF00}"/>
    <cellStyle name="Normal 22 5 8 4" xfId="41321" xr:uid="{0CBF01CE-BDC7-41B2-9229-253A046F4851}"/>
    <cellStyle name="Normal 22 5 9" xfId="8208" xr:uid="{34190C16-1619-4DF7-87CE-BCE0FC93DEB7}"/>
    <cellStyle name="Normal 22 5 9 2" xfId="16588" xr:uid="{20D34275-372A-4DFF-83C9-A7882BE96A72}"/>
    <cellStyle name="Normal 22 5 9 2 2" xfId="33348" xr:uid="{ED643184-7CE0-42C3-AF78-BC0248BC6ABC}"/>
    <cellStyle name="Normal 22 5 9 2 3" xfId="50107" xr:uid="{6C03BF8C-302A-40E1-88A0-170FE5B3F6DF}"/>
    <cellStyle name="Normal 22 5 9 3" xfId="24968" xr:uid="{F31FA859-7A84-4B4B-88C6-A7986A13FAF6}"/>
    <cellStyle name="Normal 22 5 9 4" xfId="41727" xr:uid="{DFA72F20-7C01-4747-80A6-9A417D487E83}"/>
    <cellStyle name="Normal 22 6" xfId="786" xr:uid="{15DC1FB9-CDD9-4C47-8DB4-B5741969C5E5}"/>
    <cellStyle name="Normal 22 6 2" xfId="4181" xr:uid="{611D39DF-1458-42D4-B1D3-C271903BEFDA}"/>
    <cellStyle name="Normal 22 6 2 2" xfId="12561" xr:uid="{E7F579F0-3615-4BFD-96D6-DC701C00494D}"/>
    <cellStyle name="Normal 22 6 2 2 2" xfId="29321" xr:uid="{FEA265DE-1A17-4BDC-B4A4-B61E388D9B4C}"/>
    <cellStyle name="Normal 22 6 2 2 3" xfId="46080" xr:uid="{AC1B199C-967F-4368-ABE0-51D6A52B06E4}"/>
    <cellStyle name="Normal 22 6 2 3" xfId="20941" xr:uid="{90A2CA6C-7117-4B38-8A03-F0C6CAB8B4D1}"/>
    <cellStyle name="Normal 22 6 2 4" xfId="37700" xr:uid="{B666BC7F-3DFE-450D-B9EC-56699B6CE747}"/>
    <cellStyle name="Normal 22 6 3" xfId="5868" xr:uid="{00FAA102-5C16-47EE-B6A8-D35FA66B484E}"/>
    <cellStyle name="Normal 22 6 3 2" xfId="14248" xr:uid="{9CD44FAA-C33A-4EC8-ADCE-2A90D4D8499D}"/>
    <cellStyle name="Normal 22 6 3 2 2" xfId="31008" xr:uid="{1FF7445B-0737-447C-B147-5DCE289BC9EB}"/>
    <cellStyle name="Normal 22 6 3 2 3" xfId="47767" xr:uid="{43FA2057-D010-4FD2-AA16-0F5E04024EE9}"/>
    <cellStyle name="Normal 22 6 3 3" xfId="22628" xr:uid="{E21E4D23-5E68-4BAA-971A-E0C7883696ED}"/>
    <cellStyle name="Normal 22 6 3 4" xfId="39387" xr:uid="{417A2630-179B-4358-A01A-585F280F4625}"/>
    <cellStyle name="Normal 22 6 4" xfId="2604" xr:uid="{A8E4B5E6-8B85-4A76-A477-9443FA5B5023}"/>
    <cellStyle name="Normal 22 6 4 2" xfId="10984" xr:uid="{BD6058B8-793C-4CE8-8521-679FEC14B240}"/>
    <cellStyle name="Normal 22 6 4 2 2" xfId="27744" xr:uid="{4EDD9AEB-B45A-4AEF-823F-64195F92DA58}"/>
    <cellStyle name="Normal 22 6 4 2 3" xfId="44503" xr:uid="{FFCB8CD4-27C1-4875-BD61-029CE693352E}"/>
    <cellStyle name="Normal 22 6 4 3" xfId="19364" xr:uid="{17B4F84A-A1BF-4BDC-BE1E-E33FE3387756}"/>
    <cellStyle name="Normal 22 6 4 4" xfId="36123" xr:uid="{4E0C3908-8D8B-479A-A5BD-049D33DDC44A}"/>
    <cellStyle name="Normal 22 6 5" xfId="9181" xr:uid="{BAFDB154-9E10-406E-A02A-55F4942FC932}"/>
    <cellStyle name="Normal 22 6 5 2" xfId="25941" xr:uid="{9D9B2839-B06C-4738-8C63-5EF810791E2D}"/>
    <cellStyle name="Normal 22 6 5 3" xfId="42700" xr:uid="{41D6623E-4DF4-4D2E-9D09-BC710D63D9E8}"/>
    <cellStyle name="Normal 22 6 6" xfId="17561" xr:uid="{2CA0FCA1-1A87-4BF6-98E9-73252141D595}"/>
    <cellStyle name="Normal 22 6 7" xfId="34320" xr:uid="{85887FA7-4AFB-47A0-BF2C-C66F41D4C5B1}"/>
    <cellStyle name="Normal 22 7" xfId="1220" xr:uid="{D756E361-CACB-488E-BB11-C942A57CC6BF}"/>
    <cellStyle name="Normal 22 7 2" xfId="4609" xr:uid="{B3ED986D-7833-4535-A99E-09576128119D}"/>
    <cellStyle name="Normal 22 7 2 2" xfId="12989" xr:uid="{B012FD80-106F-4678-B867-3DFCCC86CA95}"/>
    <cellStyle name="Normal 22 7 2 2 2" xfId="29749" xr:uid="{D11007C1-929C-40FE-AE55-F23BF74D8561}"/>
    <cellStyle name="Normal 22 7 2 2 3" xfId="46508" xr:uid="{73C2C3AB-944A-419E-B404-1053D21AAC23}"/>
    <cellStyle name="Normal 22 7 2 3" xfId="21369" xr:uid="{8AF20315-BBCB-4424-A975-1B911810E7FF}"/>
    <cellStyle name="Normal 22 7 2 4" xfId="38128" xr:uid="{BA417C05-C684-4240-9FF6-DA446E8C5E78}"/>
    <cellStyle name="Normal 22 7 3" xfId="6296" xr:uid="{7580F1C1-9D9B-4C41-982B-455C12673DDA}"/>
    <cellStyle name="Normal 22 7 3 2" xfId="14676" xr:uid="{DA95C956-B0C2-4619-B40C-E8C3466C3394}"/>
    <cellStyle name="Normal 22 7 3 2 2" xfId="31436" xr:uid="{94E41757-8F21-4B69-9AD5-DA1CCEFC4614}"/>
    <cellStyle name="Normal 22 7 3 2 3" xfId="48195" xr:uid="{48C63344-C377-4CB3-8557-788A4A8505B7}"/>
    <cellStyle name="Normal 22 7 3 3" xfId="23056" xr:uid="{0FC5A0E2-5E24-4C17-9176-1991E5436A88}"/>
    <cellStyle name="Normal 22 7 3 4" xfId="39815" xr:uid="{7A078153-4041-4182-A845-2751AD021127}"/>
    <cellStyle name="Normal 22 7 4" xfId="3032" xr:uid="{055A0A9D-5B2E-40F7-B688-318B0C077695}"/>
    <cellStyle name="Normal 22 7 4 2" xfId="11412" xr:uid="{5900B29E-0B9F-4A3E-9474-FE7E62220E1D}"/>
    <cellStyle name="Normal 22 7 4 2 2" xfId="28172" xr:uid="{256AA7BD-049B-4D87-A442-7C5A7C8E93D1}"/>
    <cellStyle name="Normal 22 7 4 2 3" xfId="44931" xr:uid="{462B92B2-A09C-45EF-B974-703FF2D61AD7}"/>
    <cellStyle name="Normal 22 7 4 3" xfId="19792" xr:uid="{90BA83A5-C6ED-4933-9AEA-2E636B3B65D1}"/>
    <cellStyle name="Normal 22 7 4 4" xfId="36551" xr:uid="{2918624B-CCF1-4B83-82F6-AA989EF6FC2B}"/>
    <cellStyle name="Normal 22 7 5" xfId="9609" xr:uid="{279CDAA0-A644-451D-B105-0E793294928D}"/>
    <cellStyle name="Normal 22 7 5 2" xfId="26369" xr:uid="{EF2927B6-3FD1-42B8-B529-43134989550D}"/>
    <cellStyle name="Normal 22 7 5 3" xfId="43128" xr:uid="{38C56DFE-5D1D-44E9-B288-65BD4EC212D9}"/>
    <cellStyle name="Normal 22 7 6" xfId="17989" xr:uid="{027B96DB-07D3-4CA4-8874-40EB1D48C24F}"/>
    <cellStyle name="Normal 22 7 7" xfId="34748" xr:uid="{96B24EDA-27FF-49D9-BA9C-B434FF566A08}"/>
    <cellStyle name="Normal 22 8" xfId="1643" xr:uid="{160B2A7E-6193-43DE-9287-2A35AE8AFCF2}"/>
    <cellStyle name="Normal 22 8 2" xfId="5032" xr:uid="{779B8464-F352-428A-B984-BED82EFF55BD}"/>
    <cellStyle name="Normal 22 8 2 2" xfId="13412" xr:uid="{DE1B9FE2-44C4-4354-AB48-257DB8104D64}"/>
    <cellStyle name="Normal 22 8 2 2 2" xfId="30172" xr:uid="{32713FF4-BF48-4ACC-BC0A-EE0789D9D4D4}"/>
    <cellStyle name="Normal 22 8 2 2 3" xfId="46931" xr:uid="{35AE5A1A-371D-4493-B1F5-0F5D4E83436C}"/>
    <cellStyle name="Normal 22 8 2 3" xfId="21792" xr:uid="{454620F1-837B-4A27-9974-29C4B92D186C}"/>
    <cellStyle name="Normal 22 8 2 4" xfId="38551" xr:uid="{8555C675-A8BF-4F3A-B6F4-D936312A2E2C}"/>
    <cellStyle name="Normal 22 8 3" xfId="6719" xr:uid="{21B553DB-5121-4F59-BE0F-86D9DE3CDD13}"/>
    <cellStyle name="Normal 22 8 3 2" xfId="15099" xr:uid="{0F431A04-2861-4EE3-9C34-306933C13AE2}"/>
    <cellStyle name="Normal 22 8 3 2 2" xfId="31859" xr:uid="{479FF282-1D50-401A-BEF7-B3DA6612E026}"/>
    <cellStyle name="Normal 22 8 3 2 3" xfId="48618" xr:uid="{32B7F0A4-864A-44F3-8323-8DAC4469DE86}"/>
    <cellStyle name="Normal 22 8 3 3" xfId="23479" xr:uid="{B33915C0-5BCD-474E-8C52-2F85D17CF8D6}"/>
    <cellStyle name="Normal 22 8 3 4" xfId="40238" xr:uid="{3AD78C3A-DCC7-4EAD-817F-E0F19A68E65E}"/>
    <cellStyle name="Normal 22 8 4" xfId="2170" xr:uid="{016200AB-3C59-4ED3-8ABB-D5B62CDDC2B3}"/>
    <cellStyle name="Normal 22 8 4 2" xfId="10558" xr:uid="{5F4362F4-306E-42CB-8165-F0CF12B29B3D}"/>
    <cellStyle name="Normal 22 8 4 2 2" xfId="27318" xr:uid="{73F02404-328A-487B-A777-33A6D80D4370}"/>
    <cellStyle name="Normal 22 8 4 2 3" xfId="44077" xr:uid="{AF33A743-8F25-491E-9437-B7FBD3C3B057}"/>
    <cellStyle name="Normal 22 8 4 3" xfId="18938" xr:uid="{0BE7CBD3-5375-4E89-A737-01408BB80985}"/>
    <cellStyle name="Normal 22 8 4 4" xfId="35697" xr:uid="{0C2C1F27-64A9-42FD-B24F-1891B241E404}"/>
    <cellStyle name="Normal 22 8 5" xfId="10032" xr:uid="{10EDBE4A-22E4-46C1-8D36-809F1468DE70}"/>
    <cellStyle name="Normal 22 8 5 2" xfId="26792" xr:uid="{8E953F89-4162-4B04-A517-E2F6020F7A74}"/>
    <cellStyle name="Normal 22 8 5 3" xfId="43551" xr:uid="{35727A49-C77C-409A-9E00-AF019E6F3386}"/>
    <cellStyle name="Normal 22 8 6" xfId="18412" xr:uid="{E736ABEF-B378-448A-B106-59B798B805B1}"/>
    <cellStyle name="Normal 22 8 7" xfId="35171" xr:uid="{8054259A-6834-4F52-AF87-7B7628104D52}"/>
    <cellStyle name="Normal 22 9" xfId="3748" xr:uid="{0CAB3A76-235D-4FE3-940A-E1B074630571}"/>
    <cellStyle name="Normal 22 9 2" xfId="12128" xr:uid="{22762D88-0C23-4653-913C-27E97F65A5B1}"/>
    <cellStyle name="Normal 22 9 2 2" xfId="28888" xr:uid="{D446FF30-483D-4625-93B3-6F067A2B1C61}"/>
    <cellStyle name="Normal 22 9 2 3" xfId="45647" xr:uid="{1561E776-2836-4755-A70E-51E53EE6E256}"/>
    <cellStyle name="Normal 22 9 3" xfId="20508" xr:uid="{4A6C963E-0BFF-4B50-8B2B-1FE164849601}"/>
    <cellStyle name="Normal 22 9 4" xfId="37267" xr:uid="{12E7DF17-DEDA-472A-9F3D-00847771EA29}"/>
    <cellStyle name="Normal 23" xfId="239" xr:uid="{59D5C3BA-D5D4-46E0-B14A-4FC080FFD899}"/>
    <cellStyle name="Normal 23 10" xfId="7589" xr:uid="{CC01BA2A-AA08-46E3-A69F-EC6CE8B37A01}"/>
    <cellStyle name="Normal 23 10 2" xfId="15969" xr:uid="{FF180F2D-D1B4-44A1-92F3-554B44D4BBC9}"/>
    <cellStyle name="Normal 23 10 2 2" xfId="32729" xr:uid="{DF883670-B57E-4974-BE10-87DDB147283C}"/>
    <cellStyle name="Normal 23 10 2 3" xfId="49488" xr:uid="{EB44D63C-C933-4D66-9D89-2514DB16E20E}"/>
    <cellStyle name="Normal 23 10 3" xfId="24349" xr:uid="{F54B3D2E-FCB6-4721-98E4-53C931AED4ED}"/>
    <cellStyle name="Normal 23 10 4" xfId="41108" xr:uid="{24D4B0B7-0433-44BC-9E87-D14D3DD85FE1}"/>
    <cellStyle name="Normal 23 11" xfId="7995" xr:uid="{8E1E1073-9633-4C0D-A948-1DF57AE9C24F}"/>
    <cellStyle name="Normal 23 11 2" xfId="16375" xr:uid="{C1507D20-F6B7-48FF-95F9-57B2B30241BE}"/>
    <cellStyle name="Normal 23 11 2 2" xfId="33135" xr:uid="{E92FE5E0-EEB7-40E4-9E3A-4A8BAEC428C8}"/>
    <cellStyle name="Normal 23 11 2 3" xfId="49894" xr:uid="{72181AA2-C46C-40D8-A4C4-28A06F1A04F5}"/>
    <cellStyle name="Normal 23 11 3" xfId="24755" xr:uid="{741D80CC-65BD-4940-A9D8-908A780F2D95}"/>
    <cellStyle name="Normal 23 11 4" xfId="41514" xr:uid="{D442EE12-A50E-4684-BB99-4047975EC0F0}"/>
    <cellStyle name="Normal 23 12" xfId="8401" xr:uid="{011E6C7B-32C4-4C8B-83B0-DBE38BD1311D}"/>
    <cellStyle name="Normal 23 12 2" xfId="16781" xr:uid="{57C06E43-541B-4ACF-8CA8-AD9947917DE3}"/>
    <cellStyle name="Normal 23 12 2 2" xfId="33541" xr:uid="{39B3CF6F-3B05-496E-94C2-8978EB880726}"/>
    <cellStyle name="Normal 23 12 2 3" xfId="50300" xr:uid="{C1BA3E81-93C1-4D96-BEC1-E9E734719658}"/>
    <cellStyle name="Normal 23 12 3" xfId="25161" xr:uid="{C5A5A389-3FEE-4BC4-A590-3AAE11CADC6A}"/>
    <cellStyle name="Normal 23 12 4" xfId="41920" xr:uid="{B3F82FBA-1E6A-4D62-9EE2-CC7BDAE28A13}"/>
    <cellStyle name="Normal 23 13" xfId="2121" xr:uid="{11085E14-292C-4A2B-A2CE-FA64CF14642E}"/>
    <cellStyle name="Normal 23 13 2" xfId="10509" xr:uid="{A858295F-092D-4490-96CB-D2913598F6E4}"/>
    <cellStyle name="Normal 23 13 2 2" xfId="27269" xr:uid="{09D9689A-D68C-4549-829F-C14D00575C3A}"/>
    <cellStyle name="Normal 23 13 2 3" xfId="44028" xr:uid="{332A10F1-84EA-447E-8B0F-5E8D444F5DEF}"/>
    <cellStyle name="Normal 23 13 3" xfId="18889" xr:uid="{68B3D461-FC71-4BF8-925A-5660AFD0D6AE}"/>
    <cellStyle name="Normal 23 13 4" xfId="35648" xr:uid="{9431B859-944B-40E0-99A6-5DE3C8A4AF0E}"/>
    <cellStyle name="Normal 23 14" xfId="8756" xr:uid="{AC69A46F-3F65-4A86-890A-49C792154D32}"/>
    <cellStyle name="Normal 23 14 2" xfId="25516" xr:uid="{8D31E461-EC82-4185-BB24-CA0B2E951E0C}"/>
    <cellStyle name="Normal 23 14 3" xfId="42275" xr:uid="{883FC98A-03BE-4D17-8D82-99BD5736D07C}"/>
    <cellStyle name="Normal 23 15" xfId="17136" xr:uid="{81C238C0-8FBB-4D5E-8A0C-3DFC5277D61E}"/>
    <cellStyle name="Normal 23 16" xfId="33895" xr:uid="{3DCE10D4-5930-4BF7-BFDF-D1DA5855D79A}"/>
    <cellStyle name="Normal 23 17" xfId="50951" xr:uid="{BA843EE6-5F05-43FB-8193-DC48082A61D2}"/>
    <cellStyle name="Normal 23 18" xfId="282" xr:uid="{4B01CC32-4ECF-4536-AE8C-094906D7D6B2}"/>
    <cellStyle name="Normal 23 2" xfId="311" xr:uid="{90A4B8BD-69AB-4FC0-8A97-BB3AA732AF4B}"/>
    <cellStyle name="Normal 23 2 10" xfId="8158" xr:uid="{6D6CC737-80C8-4F97-A72C-56AC7CB8C431}"/>
    <cellStyle name="Normal 23 2 10 2" xfId="16538" xr:uid="{0CC2A048-DC0B-48C6-8D50-D4C71F1813CE}"/>
    <cellStyle name="Normal 23 2 10 2 2" xfId="33298" xr:uid="{0588DC03-4BFA-44CD-8DC9-1C3307E90422}"/>
    <cellStyle name="Normal 23 2 10 2 3" xfId="50057" xr:uid="{311BA40F-D7EB-4994-8CA1-FD8B3D72595F}"/>
    <cellStyle name="Normal 23 2 10 3" xfId="24918" xr:uid="{91977E18-5ED0-4B17-8EA6-A0BE5C635409}"/>
    <cellStyle name="Normal 23 2 10 4" xfId="41677" xr:uid="{DAA1F559-32DF-418E-B644-AAA91FC26716}"/>
    <cellStyle name="Normal 23 2 11" xfId="8564" xr:uid="{B70F3C1B-2906-4D66-82DC-C79740D45F11}"/>
    <cellStyle name="Normal 23 2 11 2" xfId="16944" xr:uid="{5B347186-A4B8-4CF7-8765-57E67D42305F}"/>
    <cellStyle name="Normal 23 2 11 2 2" xfId="33704" xr:uid="{4B07E4DC-B1D5-4B49-A10F-D5A5F7CBC487}"/>
    <cellStyle name="Normal 23 2 11 2 3" xfId="50463" xr:uid="{E215BCB2-D5E3-4A33-8DF6-225E6F818544}"/>
    <cellStyle name="Normal 23 2 11 3" xfId="25324" xr:uid="{FEBE5B01-AF3E-4A50-A567-6C29C7D61286}"/>
    <cellStyle name="Normal 23 2 11 4" xfId="42083" xr:uid="{CA91B745-20DC-4BFD-8CAD-CFCA3B64D758}"/>
    <cellStyle name="Normal 23 2 12" xfId="2146" xr:uid="{393DB531-BAE2-43DB-89B3-5F640FB90AFB}"/>
    <cellStyle name="Normal 23 2 12 2" xfId="10534" xr:uid="{09F9A100-F81C-431A-AB51-F8308CC635AB}"/>
    <cellStyle name="Normal 23 2 12 2 2" xfId="27294" xr:uid="{F886F0B0-10D0-4878-A161-46A518C14958}"/>
    <cellStyle name="Normal 23 2 12 2 3" xfId="44053" xr:uid="{F2A58DA6-2D97-4745-B792-0E5A24F8033C}"/>
    <cellStyle name="Normal 23 2 12 3" xfId="18914" xr:uid="{BFB8E26E-589F-4E18-9E7B-F020F886589C}"/>
    <cellStyle name="Normal 23 2 12 4" xfId="35673" xr:uid="{98E72430-50B8-420D-BC77-82D20A51BC87}"/>
    <cellStyle name="Normal 23 2 13" xfId="8784" xr:uid="{029CC4C0-ADD5-4BC8-8221-B3D033042B58}"/>
    <cellStyle name="Normal 23 2 13 2" xfId="25544" xr:uid="{B31B6D9C-630F-48C4-9863-6DC097B29816}"/>
    <cellStyle name="Normal 23 2 13 3" xfId="42303" xr:uid="{A087E30A-CCA8-4C25-AAE8-C303D38DFC15}"/>
    <cellStyle name="Normal 23 2 14" xfId="17164" xr:uid="{11FB935A-4722-497F-BD6F-219156D0A8E8}"/>
    <cellStyle name="Normal 23 2 15" xfId="33923" xr:uid="{4002CC4A-A8F0-4DE1-BBBB-FE2719FFFF1B}"/>
    <cellStyle name="Normal 23 2 16" xfId="51195" xr:uid="{CBE9FDE5-FDC6-413A-9090-203A23D9272D}"/>
    <cellStyle name="Normal 23 2 2" xfId="394" xr:uid="{34C6E59E-182B-4DA9-9F39-4A5215306FF1}"/>
    <cellStyle name="Normal 23 2 2 2" xfId="889" xr:uid="{1E234180-28B7-4DEB-B42D-7FCA317149B1}"/>
    <cellStyle name="Normal 23 2 2 2 2" xfId="4284" xr:uid="{3A3CF6E7-F671-484E-824C-AF1BDCA28813}"/>
    <cellStyle name="Normal 23 2 2 2 2 2" xfId="12664" xr:uid="{5B3DC80A-3BAC-4057-9588-7B4328C97923}"/>
    <cellStyle name="Normal 23 2 2 2 2 2 2" xfId="29424" xr:uid="{80C8759B-B97B-479B-A9B0-318A0402F4ED}"/>
    <cellStyle name="Normal 23 2 2 2 2 2 3" xfId="46183" xr:uid="{E3C4B9DC-7786-42EE-A617-46E02AB49050}"/>
    <cellStyle name="Normal 23 2 2 2 2 3" xfId="21044" xr:uid="{6A17579E-A48B-45A6-A093-CF97A470AA17}"/>
    <cellStyle name="Normal 23 2 2 2 2 4" xfId="37803" xr:uid="{EEDC0823-D6AA-46B5-BD41-681D14661C2C}"/>
    <cellStyle name="Normal 23 2 2 2 3" xfId="5971" xr:uid="{0DAB9AAA-62D8-4733-A990-FE3AC7F876BC}"/>
    <cellStyle name="Normal 23 2 2 2 3 2" xfId="14351" xr:uid="{908CD7D1-6D5E-447B-AB56-6E42854773E9}"/>
    <cellStyle name="Normal 23 2 2 2 3 2 2" xfId="31111" xr:uid="{B58BF3E9-F330-48A7-9A50-47D19B6DAACD}"/>
    <cellStyle name="Normal 23 2 2 2 3 2 3" xfId="47870" xr:uid="{B4208E59-27B8-4891-A21B-C0DCEB16DBA4}"/>
    <cellStyle name="Normal 23 2 2 2 3 3" xfId="22731" xr:uid="{68D602C7-7AEF-4A21-9EBC-A769906CED8C}"/>
    <cellStyle name="Normal 23 2 2 2 3 4" xfId="39490" xr:uid="{5F432A34-95C3-48F6-9FB0-5C9AF366AC21}"/>
    <cellStyle name="Normal 23 2 2 2 4" xfId="2707" xr:uid="{831010A9-8ACF-49CF-B738-3DA612D5DFAA}"/>
    <cellStyle name="Normal 23 2 2 2 4 2" xfId="11087" xr:uid="{0F6A6265-56D4-4657-92CB-8EE43CD794BE}"/>
    <cellStyle name="Normal 23 2 2 2 4 2 2" xfId="27847" xr:uid="{7AC29AC6-2FA3-477F-88FF-4ED34C384481}"/>
    <cellStyle name="Normal 23 2 2 2 4 2 3" xfId="44606" xr:uid="{7E9E0AA3-D915-40C0-9B1B-80A2A29DB7DE}"/>
    <cellStyle name="Normal 23 2 2 2 4 3" xfId="19467" xr:uid="{D333869A-FD24-494E-AEE2-BD5DFD0F8939}"/>
    <cellStyle name="Normal 23 2 2 2 4 4" xfId="36226" xr:uid="{8F691055-2093-4978-9226-75953BCA5F31}"/>
    <cellStyle name="Normal 23 2 2 2 5" xfId="9284" xr:uid="{7F39C23C-E324-4094-823B-158DB4ECBCCD}"/>
    <cellStyle name="Normal 23 2 2 2 5 2" xfId="26044" xr:uid="{5076BEDE-183B-4206-967A-17923DE23C51}"/>
    <cellStyle name="Normal 23 2 2 2 5 3" xfId="42803" xr:uid="{862EB96C-0C8B-402C-9B55-355521AB20BD}"/>
    <cellStyle name="Normal 23 2 2 2 6" xfId="17664" xr:uid="{27C45396-0FEE-4573-A92C-200F9F6AC5D2}"/>
    <cellStyle name="Normal 23 2 2 2 7" xfId="34423" xr:uid="{6D3CD7FB-4029-4901-9150-30A38E13EC39}"/>
    <cellStyle name="Normal 23 2 2 3" xfId="1323" xr:uid="{BFEA03D7-24A7-4D45-AEAF-48968357B0C3}"/>
    <cellStyle name="Normal 23 2 2 3 2" xfId="4712" xr:uid="{ED520AEE-4C1E-431A-AA2E-E80279400C83}"/>
    <cellStyle name="Normal 23 2 2 3 2 2" xfId="13092" xr:uid="{C6A94732-509A-4D14-AB03-933BEB72FFA9}"/>
    <cellStyle name="Normal 23 2 2 3 2 2 2" xfId="29852" xr:uid="{3FE022CD-AA86-4DFB-A74D-0D804B62A6C6}"/>
    <cellStyle name="Normal 23 2 2 3 2 2 3" xfId="46611" xr:uid="{85D11EAF-58FE-4800-9133-7F15C618F0B3}"/>
    <cellStyle name="Normal 23 2 2 3 2 3" xfId="21472" xr:uid="{B603DCEE-3C0D-4B00-81BE-E35F183B5767}"/>
    <cellStyle name="Normal 23 2 2 3 2 4" xfId="38231" xr:uid="{4A5843E9-D853-4FE8-B33C-4FAF0D2CFA17}"/>
    <cellStyle name="Normal 23 2 2 3 3" xfId="6399" xr:uid="{C64FA423-7160-4CD3-BCFD-BCC083FC3E6A}"/>
    <cellStyle name="Normal 23 2 2 3 3 2" xfId="14779" xr:uid="{332B9FA7-376C-4DAE-BCBD-2EBDBDAB45A6}"/>
    <cellStyle name="Normal 23 2 2 3 3 2 2" xfId="31539" xr:uid="{EA538E3C-7982-470D-8954-FB3407DBEE0B}"/>
    <cellStyle name="Normal 23 2 2 3 3 2 3" xfId="48298" xr:uid="{E7EE4EB5-3017-4D5E-B9E3-E767660535A1}"/>
    <cellStyle name="Normal 23 2 2 3 3 3" xfId="23159" xr:uid="{96B6A563-F72C-4123-A345-CD2569192551}"/>
    <cellStyle name="Normal 23 2 2 3 3 4" xfId="39918" xr:uid="{708550F9-45ED-480E-8BC8-8EA0BF1BDB1A}"/>
    <cellStyle name="Normal 23 2 2 3 4" xfId="3135" xr:uid="{FBF3579F-DF97-4D7A-8C12-09A50088C4B1}"/>
    <cellStyle name="Normal 23 2 2 3 4 2" xfId="11515" xr:uid="{134B63F9-4903-4193-BFC8-DAB742EF3B3D}"/>
    <cellStyle name="Normal 23 2 2 3 4 2 2" xfId="28275" xr:uid="{04B8C736-1715-4AB2-8CB4-4F418332CE35}"/>
    <cellStyle name="Normal 23 2 2 3 4 2 3" xfId="45034" xr:uid="{2B5F08D9-D966-49D0-9A2C-53D2AA596113}"/>
    <cellStyle name="Normal 23 2 2 3 4 3" xfId="19895" xr:uid="{950807D0-0291-4967-B16F-6292C12B3DFD}"/>
    <cellStyle name="Normal 23 2 2 3 4 4" xfId="36654" xr:uid="{ADA17DE5-68E6-4DF2-B502-6FB6745646B3}"/>
    <cellStyle name="Normal 23 2 2 3 5" xfId="9712" xr:uid="{52DC5D3E-4CE6-459F-9DBD-8EE8BCBE0C25}"/>
    <cellStyle name="Normal 23 2 2 3 5 2" xfId="26472" xr:uid="{F4B3769C-CB19-4BB0-8173-7947C61F9334}"/>
    <cellStyle name="Normal 23 2 2 3 5 3" xfId="43231" xr:uid="{85A00B67-4997-4DBF-9D38-BF74A8818F12}"/>
    <cellStyle name="Normal 23 2 2 3 6" xfId="18092" xr:uid="{40657A67-F37B-4EEE-A8C2-8B7E66C0B1E1}"/>
    <cellStyle name="Normal 23 2 2 3 7" xfId="34851" xr:uid="{604953BD-FB01-4D5B-A705-E153AA07712D}"/>
    <cellStyle name="Normal 23 2 2 4" xfId="4151" xr:uid="{CCF03C5F-9997-4B25-828E-321CBFF69B0C}"/>
    <cellStyle name="Normal 23 2 2 4 2" xfId="12531" xr:uid="{957A52F7-878D-4B62-BAB7-1755DD8C5ECC}"/>
    <cellStyle name="Normal 23 2 2 4 2 2" xfId="29291" xr:uid="{0AE9F013-A542-4116-9937-980A81B99BB6}"/>
    <cellStyle name="Normal 23 2 2 4 2 3" xfId="46050" xr:uid="{234EB2C3-7C92-4F10-803C-300289D034D3}"/>
    <cellStyle name="Normal 23 2 2 4 3" xfId="20911" xr:uid="{2C236067-E7B5-4C94-A50C-5205FAB2DF3A}"/>
    <cellStyle name="Normal 23 2 2 4 4" xfId="37670" xr:uid="{6BB70D44-9851-449A-A931-66230924A145}"/>
    <cellStyle name="Normal 23 2 2 5" xfId="5545" xr:uid="{9FC835B8-C751-400B-86F5-94E4F34538A4}"/>
    <cellStyle name="Normal 23 2 2 5 2" xfId="13925" xr:uid="{9FD2168F-D485-4054-A402-011CE2969CA0}"/>
    <cellStyle name="Normal 23 2 2 5 2 2" xfId="30685" xr:uid="{B018C0ED-0CC5-4133-B166-877711B44732}"/>
    <cellStyle name="Normal 23 2 2 5 2 3" xfId="47444" xr:uid="{9C01BBC2-6C38-4EAB-AE6B-321A4E01E651}"/>
    <cellStyle name="Normal 23 2 2 5 3" xfId="22305" xr:uid="{7B45FFED-2529-49C8-A656-9F4E3C59E255}"/>
    <cellStyle name="Normal 23 2 2 5 4" xfId="39064" xr:uid="{5ED991B0-F1F1-43CB-AC99-964864EFDFE3}"/>
    <cellStyle name="Normal 23 2 2 6" xfId="2277" xr:uid="{B3623802-ECBA-450F-BAA9-D9EF033C5307}"/>
    <cellStyle name="Normal 23 2 2 6 2" xfId="10661" xr:uid="{AF9F3001-B716-412F-A535-E62CACB62FD5}"/>
    <cellStyle name="Normal 23 2 2 6 2 2" xfId="27421" xr:uid="{0826C0F0-812F-4C78-96D2-C054667CB6B9}"/>
    <cellStyle name="Normal 23 2 2 6 2 3" xfId="44180" xr:uid="{C2CC5D8D-13F3-4D61-AF7E-BE11328DA1D6}"/>
    <cellStyle name="Normal 23 2 2 6 3" xfId="19041" xr:uid="{A939B99C-FB18-4822-8F7D-AEC99712E23B}"/>
    <cellStyle name="Normal 23 2 2 6 4" xfId="35800" xr:uid="{7455C2D4-7486-4C08-A74D-35CCE029A0D7}"/>
    <cellStyle name="Normal 23 2 2 7" xfId="8858" xr:uid="{E4AE213E-A50A-453A-B6AF-68D22D595A80}"/>
    <cellStyle name="Normal 23 2 2 7 2" xfId="25618" xr:uid="{8AA9B41C-B99C-4F37-9C25-94D61F3C2842}"/>
    <cellStyle name="Normal 23 2 2 7 3" xfId="42377" xr:uid="{0C629D81-9311-4549-968E-6E3FB7959790}"/>
    <cellStyle name="Normal 23 2 2 8" xfId="17238" xr:uid="{CFE1B5B0-451D-4B1D-B770-4611FBB94C86}"/>
    <cellStyle name="Normal 23 2 2 9" xfId="33997" xr:uid="{DAC5B359-FC6E-484E-ABE8-D3396D72F3C8}"/>
    <cellStyle name="Normal 23 2 3" xfId="815" xr:uid="{583BE738-6409-43F6-B1F1-B9AC4AA7EF1C}"/>
    <cellStyle name="Normal 23 2 3 2" xfId="4210" xr:uid="{F5333A20-D1B5-4F6C-8C09-7C4FCEA33A1F}"/>
    <cellStyle name="Normal 23 2 3 2 2" xfId="12590" xr:uid="{0C562BD5-744F-4D41-ABC1-E0D56194E1D0}"/>
    <cellStyle name="Normal 23 2 3 2 2 2" xfId="29350" xr:uid="{FEAA11CA-80E2-40B7-98A3-C171CD91D79B}"/>
    <cellStyle name="Normal 23 2 3 2 2 3" xfId="46109" xr:uid="{4F561CD6-7168-4291-9E9E-F5FDCCBC37F9}"/>
    <cellStyle name="Normal 23 2 3 2 3" xfId="20970" xr:uid="{65C281D1-E5F7-4229-9CBC-B80F0938F04C}"/>
    <cellStyle name="Normal 23 2 3 2 4" xfId="37729" xr:uid="{607A927B-150A-4F47-9738-FD3367B69A19}"/>
    <cellStyle name="Normal 23 2 3 3" xfId="5897" xr:uid="{C3FB22CA-0514-428A-8B32-5732345C62C2}"/>
    <cellStyle name="Normal 23 2 3 3 2" xfId="14277" xr:uid="{94BEE548-EC72-49C7-B704-7B6726091134}"/>
    <cellStyle name="Normal 23 2 3 3 2 2" xfId="31037" xr:uid="{E6AF0069-4F72-4A7B-AC8F-942FD769C7E1}"/>
    <cellStyle name="Normal 23 2 3 3 2 3" xfId="47796" xr:uid="{2BBC40F3-41D4-468A-8641-44FD4D78B4A3}"/>
    <cellStyle name="Normal 23 2 3 3 3" xfId="22657" xr:uid="{45A61DD5-44F3-4AEB-84BD-E956DBFB9B59}"/>
    <cellStyle name="Normal 23 2 3 3 4" xfId="39416" xr:uid="{9974F40C-362D-45FD-BC76-31589F5B97CA}"/>
    <cellStyle name="Normal 23 2 3 4" xfId="2633" xr:uid="{96E59C84-5319-4A04-AA16-10E10A4D9F87}"/>
    <cellStyle name="Normal 23 2 3 4 2" xfId="11013" xr:uid="{CB14F63C-CD93-42E2-A90A-D86C4E3F693D}"/>
    <cellStyle name="Normal 23 2 3 4 2 2" xfId="27773" xr:uid="{BA3BFAC6-DDBC-492F-A151-8B1A9BAEFDDE}"/>
    <cellStyle name="Normal 23 2 3 4 2 3" xfId="44532" xr:uid="{273B7FA5-AE3A-4893-BD02-383F53695ABD}"/>
    <cellStyle name="Normal 23 2 3 4 3" xfId="19393" xr:uid="{F6887937-3E82-48AB-9F3D-A41B24072A68}"/>
    <cellStyle name="Normal 23 2 3 4 4" xfId="36152" xr:uid="{20BC1DA7-EA25-47F8-91B7-1ED190FA1D48}"/>
    <cellStyle name="Normal 23 2 3 5" xfId="9210" xr:uid="{74947302-0C27-470C-8F81-F99438B47642}"/>
    <cellStyle name="Normal 23 2 3 5 2" xfId="25970" xr:uid="{0EEE28DD-CB78-45B9-A4B3-AFA4278B95AF}"/>
    <cellStyle name="Normal 23 2 3 5 3" xfId="42729" xr:uid="{1F077990-B1BF-4DF5-9FC8-72317FE718EB}"/>
    <cellStyle name="Normal 23 2 3 6" xfId="17590" xr:uid="{89B4A0BA-6129-4C14-B69F-1FA7E6DD0CB0}"/>
    <cellStyle name="Normal 23 2 3 7" xfId="34349" xr:uid="{35408DF7-B9E7-4F60-8A5F-4348159B2098}"/>
    <cellStyle name="Normal 23 2 4" xfId="1249" xr:uid="{31E624DA-0B7E-4FAE-8DCC-8404DD2CC862}"/>
    <cellStyle name="Normal 23 2 4 2" xfId="4638" xr:uid="{0E13F1CE-A6C6-4CE6-9CC2-1B4012A8CDDD}"/>
    <cellStyle name="Normal 23 2 4 2 2" xfId="13018" xr:uid="{104E0701-0F0B-492B-8DEC-2DB3B958B467}"/>
    <cellStyle name="Normal 23 2 4 2 2 2" xfId="29778" xr:uid="{F477B3B1-AE93-4869-BA74-1C1F72833442}"/>
    <cellStyle name="Normal 23 2 4 2 2 3" xfId="46537" xr:uid="{DA64D9A7-ED72-4969-93E0-3F6789ED588E}"/>
    <cellStyle name="Normal 23 2 4 2 3" xfId="21398" xr:uid="{0B10AB3F-E280-46FA-B6B3-63DDA59ED8C5}"/>
    <cellStyle name="Normal 23 2 4 2 4" xfId="38157" xr:uid="{D2D4E76A-9891-49B7-BD18-0A330347EED8}"/>
    <cellStyle name="Normal 23 2 4 3" xfId="6325" xr:uid="{36BFCFEA-1BFF-4263-838E-5421425B2A02}"/>
    <cellStyle name="Normal 23 2 4 3 2" xfId="14705" xr:uid="{2B0EF0D9-0A15-4A96-84A8-50258DAB6514}"/>
    <cellStyle name="Normal 23 2 4 3 2 2" xfId="31465" xr:uid="{371B0D72-3B5B-44FB-A36D-4A4107633CC3}"/>
    <cellStyle name="Normal 23 2 4 3 2 3" xfId="48224" xr:uid="{D524E1C5-7428-42A6-8612-FF6D189C7539}"/>
    <cellStyle name="Normal 23 2 4 3 3" xfId="23085" xr:uid="{14F93CBE-A821-4B89-B203-B8207E0FFFF9}"/>
    <cellStyle name="Normal 23 2 4 3 4" xfId="39844" xr:uid="{AD0F8311-1AB0-4B61-A14E-BE95B086E4BB}"/>
    <cellStyle name="Normal 23 2 4 4" xfId="3061" xr:uid="{913A7ACF-A9C1-44C3-BA4C-62E61B5C4606}"/>
    <cellStyle name="Normal 23 2 4 4 2" xfId="11441" xr:uid="{B044F036-E53D-4327-81EE-91085A2E6C95}"/>
    <cellStyle name="Normal 23 2 4 4 2 2" xfId="28201" xr:uid="{670D13AC-5EF9-4B7A-86C4-31D85AE9E016}"/>
    <cellStyle name="Normal 23 2 4 4 2 3" xfId="44960" xr:uid="{BBC2F15B-F182-41CD-814D-C6FD8E0822EB}"/>
    <cellStyle name="Normal 23 2 4 4 3" xfId="19821" xr:uid="{351993CD-4E9A-45B7-A7D8-D7473E04803C}"/>
    <cellStyle name="Normal 23 2 4 4 4" xfId="36580" xr:uid="{2F4C84BD-6DF8-4761-9A8F-9A4BED31E386}"/>
    <cellStyle name="Normal 23 2 4 5" xfId="9638" xr:uid="{E412FE14-291C-45D3-AC29-BF3C837BC836}"/>
    <cellStyle name="Normal 23 2 4 5 2" xfId="26398" xr:uid="{4CBFFED9-02CA-474A-844C-FA9503667769}"/>
    <cellStyle name="Normal 23 2 4 5 3" xfId="43157" xr:uid="{C33366C1-799A-4CAD-8B4F-88C26F666E62}"/>
    <cellStyle name="Normal 23 2 4 6" xfId="18018" xr:uid="{F54CA934-16AC-4E45-BACF-518F80F7FB70}"/>
    <cellStyle name="Normal 23 2 4 7" xfId="34777" xr:uid="{C2C66C82-64D9-42BE-909D-B9B90BCB23E9}"/>
    <cellStyle name="Normal 23 2 5" xfId="1864" xr:uid="{80030F7A-83FB-494E-B057-7973AF7D66A0}"/>
    <cellStyle name="Normal 23 2 5 2" xfId="5253" xr:uid="{1CCAD273-DC25-48AE-90CC-97F68499D7AF}"/>
    <cellStyle name="Normal 23 2 5 2 2" xfId="13633" xr:uid="{39546D05-D123-44F3-8561-6D91A41A9825}"/>
    <cellStyle name="Normal 23 2 5 2 2 2" xfId="30393" xr:uid="{771D5ECA-06D2-412D-9037-686D5FC8533D}"/>
    <cellStyle name="Normal 23 2 5 2 2 3" xfId="47152" xr:uid="{4AA537C5-2615-471E-92C1-7EACE06657E4}"/>
    <cellStyle name="Normal 23 2 5 2 3" xfId="22013" xr:uid="{4A875D92-5F65-458D-998D-1F59DC030053}"/>
    <cellStyle name="Normal 23 2 5 2 4" xfId="38772" xr:uid="{6E1A7601-F413-4ECE-B273-83B64CD53858}"/>
    <cellStyle name="Normal 23 2 5 3" xfId="6940" xr:uid="{70E93E3D-1013-4129-AEE4-8EEE1A79D929}"/>
    <cellStyle name="Normal 23 2 5 3 2" xfId="15320" xr:uid="{5AD02673-CD72-4244-92A2-6458BE5F96E4}"/>
    <cellStyle name="Normal 23 2 5 3 2 2" xfId="32080" xr:uid="{1B9924C8-2923-4891-912D-F0DF8927F302}"/>
    <cellStyle name="Normal 23 2 5 3 2 3" xfId="48839" xr:uid="{28A9F6A4-7147-4025-A964-3FE15FC06FA9}"/>
    <cellStyle name="Normal 23 2 5 3 3" xfId="23700" xr:uid="{C3FA1403-2CBC-469A-B414-C6250BACE9AC}"/>
    <cellStyle name="Normal 23 2 5 3 4" xfId="40459" xr:uid="{8FEB9896-0CF1-4B6F-9E66-E74A9DB4DC70}"/>
    <cellStyle name="Normal 23 2 5 4" xfId="2200" xr:uid="{FB3D3E80-86ED-4AAA-86FA-8FA273EC4472}"/>
    <cellStyle name="Normal 23 2 5 4 2" xfId="10587" xr:uid="{06C7D12E-7E7D-4D1F-A593-D0A71E99F8BE}"/>
    <cellStyle name="Normal 23 2 5 4 2 2" xfId="27347" xr:uid="{7217B0E3-990F-4B16-910E-C39AF93C92B7}"/>
    <cellStyle name="Normal 23 2 5 4 2 3" xfId="44106" xr:uid="{9B2AF5D1-D7CA-4E2A-843B-920753057221}"/>
    <cellStyle name="Normal 23 2 5 4 3" xfId="18967" xr:uid="{54609D01-2898-486C-94C4-8F13E7A89604}"/>
    <cellStyle name="Normal 23 2 5 4 4" xfId="35726" xr:uid="{04B7A526-70A5-49E0-B7A2-96C6A8FFE9C4}"/>
    <cellStyle name="Normal 23 2 5 5" xfId="10253" xr:uid="{D900E9F0-A9AF-4EA6-9F53-F754AE6E5C1D}"/>
    <cellStyle name="Normal 23 2 5 5 2" xfId="27013" xr:uid="{C7EBFCF9-E789-45E8-B22C-4BD84FFDD743}"/>
    <cellStyle name="Normal 23 2 5 5 3" xfId="43772" xr:uid="{D2F040F3-77CF-4A4D-A8AB-5BEC0745C321}"/>
    <cellStyle name="Normal 23 2 5 6" xfId="18633" xr:uid="{B47597BE-9E50-4E65-95F5-62A13DB46060}"/>
    <cellStyle name="Normal 23 2 5 7" xfId="35392" xr:uid="{5C403CB2-6424-41E4-9572-5BA64F0AA3E1}"/>
    <cellStyle name="Normal 23 2 6" xfId="3983" xr:uid="{C08CC15E-4A67-4848-853A-C235372BDE58}"/>
    <cellStyle name="Normal 23 2 6 2" xfId="12363" xr:uid="{8A3E3E8A-754E-43FA-8284-D6FC9C96DA20}"/>
    <cellStyle name="Normal 23 2 6 2 2" xfId="29123" xr:uid="{3E1081E0-EAD1-4C4D-BC2C-D5BA3DB11CD1}"/>
    <cellStyle name="Normal 23 2 6 2 3" xfId="45882" xr:uid="{94FD0598-07A5-4281-9911-2C0809648918}"/>
    <cellStyle name="Normal 23 2 6 3" xfId="20743" xr:uid="{F028F186-16E2-4759-9958-86FA942B3DEE}"/>
    <cellStyle name="Normal 23 2 6 4" xfId="37502" xr:uid="{73090289-7181-4C35-A95D-E7CD3D91AC68}"/>
    <cellStyle name="Normal 23 2 7" xfId="5471" xr:uid="{C0D35DCB-491C-4F14-A41B-FED594C636E4}"/>
    <cellStyle name="Normal 23 2 7 2" xfId="13851" xr:uid="{AA79C20F-7ADD-460A-9ED0-991F38AA5912}"/>
    <cellStyle name="Normal 23 2 7 2 2" xfId="30611" xr:uid="{39134E60-7C67-443A-B31F-EAFA215D0DF7}"/>
    <cellStyle name="Normal 23 2 7 2 3" xfId="47370" xr:uid="{24E38BAF-BA2A-4782-BFD8-7F5904113843}"/>
    <cellStyle name="Normal 23 2 7 3" xfId="22231" xr:uid="{BD4B8CDF-C493-40CE-9C79-C83918F993F5}"/>
    <cellStyle name="Normal 23 2 7 4" xfId="38990" xr:uid="{586583DD-4080-4B9F-893B-AD2ABE8CB2A5}"/>
    <cellStyle name="Normal 23 2 8" xfId="7346" xr:uid="{5CF34788-BDEE-454A-A933-93CFB0909064}"/>
    <cellStyle name="Normal 23 2 8 2" xfId="15726" xr:uid="{55426824-B7DF-4D53-9313-C2A9C58B4705}"/>
    <cellStyle name="Normal 23 2 8 2 2" xfId="32486" xr:uid="{A6850D1C-35CD-4165-8B2C-6D71EF4BAE5B}"/>
    <cellStyle name="Normal 23 2 8 2 3" xfId="49245" xr:uid="{81363902-D4A0-4E42-A69E-F8603CF0800F}"/>
    <cellStyle name="Normal 23 2 8 3" xfId="24106" xr:uid="{4AF8E799-76A6-4799-A7AC-C4D0A360E43D}"/>
    <cellStyle name="Normal 23 2 8 4" xfId="40865" xr:uid="{191E6F22-F236-48EB-BFC9-61A0C92FD9D0}"/>
    <cellStyle name="Normal 23 2 9" xfId="7752" xr:uid="{86910EE7-746B-4E6F-B69C-F8394300B16D}"/>
    <cellStyle name="Normal 23 2 9 2" xfId="16132" xr:uid="{606AE229-54BB-4DC1-8733-183852A85B1E}"/>
    <cellStyle name="Normal 23 2 9 2 2" xfId="32892" xr:uid="{0DFE0DFA-9009-49D3-9DD2-23E8028DC8F4}"/>
    <cellStyle name="Normal 23 2 9 2 3" xfId="49651" xr:uid="{B292F2FC-4819-4AB8-A8A9-3AEE0DEF6045}"/>
    <cellStyle name="Normal 23 2 9 3" xfId="24512" xr:uid="{E6CAA487-1D4E-405D-9214-A3A16C9A9AE1}"/>
    <cellStyle name="Normal 23 2 9 4" xfId="41271" xr:uid="{77BB187A-C852-4351-96F1-53738BC7C7BB}"/>
    <cellStyle name="Normal 23 3" xfId="366" xr:uid="{229E2839-6965-4CC0-BDD7-06E42EB16D78}"/>
    <cellStyle name="Normal 23 3 10" xfId="8672" xr:uid="{8EA00C60-028D-49F6-A61A-76237BECF269}"/>
    <cellStyle name="Normal 23 3 10 2" xfId="17052" xr:uid="{9DC280C3-A5FE-41EC-8628-7BDE0EAAB780}"/>
    <cellStyle name="Normal 23 3 10 2 2" xfId="33812" xr:uid="{DAC30880-D01D-4127-A8F5-F78866F340C4}"/>
    <cellStyle name="Normal 23 3 10 2 3" xfId="50571" xr:uid="{A135C446-65CE-40E8-813B-1A0AFEF39913}"/>
    <cellStyle name="Normal 23 3 10 3" xfId="25432" xr:uid="{83E202BD-BEE7-4554-AC66-3B5C2AB0EFFE}"/>
    <cellStyle name="Normal 23 3 10 4" xfId="42191" xr:uid="{76FFD1FE-A8C8-4001-969D-5C15DD8E128F}"/>
    <cellStyle name="Normal 23 3 11" xfId="2249" xr:uid="{1BA294D0-ED4C-4ED9-9902-4675BDBA204F}"/>
    <cellStyle name="Normal 23 3 11 2" xfId="10633" xr:uid="{2038FF9E-7E05-4852-AC32-5BEF4987D37A}"/>
    <cellStyle name="Normal 23 3 11 2 2" xfId="27393" xr:uid="{90D290CD-F903-4170-87B4-75788DF33D3F}"/>
    <cellStyle name="Normal 23 3 11 2 3" xfId="44152" xr:uid="{9A744A4E-4BEF-46BC-AA25-CFD6353D5B2A}"/>
    <cellStyle name="Normal 23 3 11 3" xfId="19013" xr:uid="{2F82693E-1F64-4353-A4BD-B8CFAD2B46BD}"/>
    <cellStyle name="Normal 23 3 11 4" xfId="35772" xr:uid="{387BD78F-B0A9-4058-BFE3-083620C9812D}"/>
    <cellStyle name="Normal 23 3 12" xfId="8830" xr:uid="{710EEF0B-6537-41BD-9CEC-EBB20AB1B9D8}"/>
    <cellStyle name="Normal 23 3 12 2" xfId="25590" xr:uid="{F778E606-4649-46E2-B54F-945A47484A5B}"/>
    <cellStyle name="Normal 23 3 12 3" xfId="42349" xr:uid="{D138C6B8-2A8B-4EE6-8527-D6E39112D232}"/>
    <cellStyle name="Normal 23 3 13" xfId="17210" xr:uid="{2FAAF59E-7E8D-4DC9-9EFB-45065E39F929}"/>
    <cellStyle name="Normal 23 3 14" xfId="33969" xr:uid="{687CB19F-32EF-4296-83BB-7323E3107E03}"/>
    <cellStyle name="Normal 23 3 2" xfId="861" xr:uid="{BBC428E8-9859-446F-AEC1-8F4DFAA3738B}"/>
    <cellStyle name="Normal 23 3 2 2" xfId="4256" xr:uid="{41330095-6B21-4ECE-A2BE-33FAD6D129A0}"/>
    <cellStyle name="Normal 23 3 2 2 2" xfId="12636" xr:uid="{E28D9C5E-8BBB-40EA-84D0-C43828204F6C}"/>
    <cellStyle name="Normal 23 3 2 2 2 2" xfId="29396" xr:uid="{084EDD03-5834-44B7-B02F-8CF84E3B7FB8}"/>
    <cellStyle name="Normal 23 3 2 2 2 3" xfId="46155" xr:uid="{A2E70A73-9D53-4B2C-8079-64DCAF26A8DE}"/>
    <cellStyle name="Normal 23 3 2 2 3" xfId="21016" xr:uid="{8E447BEA-61A2-4EA5-8FCB-56E50E3EB3D5}"/>
    <cellStyle name="Normal 23 3 2 2 4" xfId="37775" xr:uid="{3E57D585-9A24-4CB0-B82E-C3A67B5DC410}"/>
    <cellStyle name="Normal 23 3 2 3" xfId="5943" xr:uid="{377587C3-15A5-4124-A158-3D68AB2A631B}"/>
    <cellStyle name="Normal 23 3 2 3 2" xfId="14323" xr:uid="{F18B888A-CA6F-4C2F-857E-98208D0C61F2}"/>
    <cellStyle name="Normal 23 3 2 3 2 2" xfId="31083" xr:uid="{AE8AB4EB-98DF-4DF1-9482-8356D50E287E}"/>
    <cellStyle name="Normal 23 3 2 3 2 3" xfId="47842" xr:uid="{FF3AEC0C-5828-44FB-B534-93E73982F433}"/>
    <cellStyle name="Normal 23 3 2 3 3" xfId="22703" xr:uid="{66D4BBFC-037B-401E-8315-540C141F549D}"/>
    <cellStyle name="Normal 23 3 2 3 4" xfId="39462" xr:uid="{779290D0-EF95-4474-8315-D90DB676B728}"/>
    <cellStyle name="Normal 23 3 2 4" xfId="2679" xr:uid="{36D55780-D30F-4CAE-AF2C-77F7095C05B6}"/>
    <cellStyle name="Normal 23 3 2 4 2" xfId="11059" xr:uid="{33F6687D-831B-48F9-AE23-84B47EB5ECA3}"/>
    <cellStyle name="Normal 23 3 2 4 2 2" xfId="27819" xr:uid="{526D57F5-1004-488D-9FB4-AED72F3081F7}"/>
    <cellStyle name="Normal 23 3 2 4 2 3" xfId="44578" xr:uid="{E740BED0-B001-41DB-934E-F34182248BB9}"/>
    <cellStyle name="Normal 23 3 2 4 3" xfId="19439" xr:uid="{A08BE6E4-0C21-473B-B3A2-2A596D899B60}"/>
    <cellStyle name="Normal 23 3 2 4 4" xfId="36198" xr:uid="{B15E6CCE-C595-41CD-9406-4F4E99BB5104}"/>
    <cellStyle name="Normal 23 3 2 5" xfId="9256" xr:uid="{2BB8FC2E-4FD8-4E52-BE69-91DF1849A434}"/>
    <cellStyle name="Normal 23 3 2 5 2" xfId="26016" xr:uid="{8AAABDEC-22BE-4E5C-8844-779696C17241}"/>
    <cellStyle name="Normal 23 3 2 5 3" xfId="42775" xr:uid="{CB3BCB4C-E0F3-4E9B-B155-0FCA53F29048}"/>
    <cellStyle name="Normal 23 3 2 6" xfId="17636" xr:uid="{39407EC3-81F2-465E-AD29-0A35A739DDAD}"/>
    <cellStyle name="Normal 23 3 2 7" xfId="34395" xr:uid="{0EEA91D3-8BEF-46F0-A155-0FB0717FEDB3}"/>
    <cellStyle name="Normal 23 3 3" xfId="1295" xr:uid="{3382FB69-860B-45D4-8122-E7E778432E4D}"/>
    <cellStyle name="Normal 23 3 3 2" xfId="4684" xr:uid="{F9DEEA66-FE98-495D-9BEA-EC92FC91AD69}"/>
    <cellStyle name="Normal 23 3 3 2 2" xfId="13064" xr:uid="{A95CD39C-0024-4F78-BA72-56BB96A09DED}"/>
    <cellStyle name="Normal 23 3 3 2 2 2" xfId="29824" xr:uid="{71189AEB-6623-48A1-B35B-7AE6EA33B47A}"/>
    <cellStyle name="Normal 23 3 3 2 2 3" xfId="46583" xr:uid="{F4FFFA71-3540-46FD-BFC8-27FF153525D6}"/>
    <cellStyle name="Normal 23 3 3 2 3" xfId="21444" xr:uid="{A4C8677C-B631-4305-846A-8CB96585D2DD}"/>
    <cellStyle name="Normal 23 3 3 2 4" xfId="38203" xr:uid="{04766B66-8D82-4FB1-91F9-B627EA00F2EC}"/>
    <cellStyle name="Normal 23 3 3 3" xfId="6371" xr:uid="{F898A5D3-252B-4110-BEBF-B51BC4FEAC1C}"/>
    <cellStyle name="Normal 23 3 3 3 2" xfId="14751" xr:uid="{7FC5C4EE-CFF3-49CD-BF58-7D90DD99F657}"/>
    <cellStyle name="Normal 23 3 3 3 2 2" xfId="31511" xr:uid="{502BDCC2-6A99-483C-928C-2DFE3B21B98E}"/>
    <cellStyle name="Normal 23 3 3 3 2 3" xfId="48270" xr:uid="{B399D997-E416-4339-BAA7-2BC6A48957A6}"/>
    <cellStyle name="Normal 23 3 3 3 3" xfId="23131" xr:uid="{2DCAABFC-AC6F-4BC5-B070-BF37D976E895}"/>
    <cellStyle name="Normal 23 3 3 3 4" xfId="39890" xr:uid="{459228B4-C56A-41B0-92F2-428BC6BB6149}"/>
    <cellStyle name="Normal 23 3 3 4" xfId="3107" xr:uid="{06B6B564-5F25-4AD4-943A-9B0781D0DAB9}"/>
    <cellStyle name="Normal 23 3 3 4 2" xfId="11487" xr:uid="{79F0E253-87EE-4D85-8A87-B93C222DE117}"/>
    <cellStyle name="Normal 23 3 3 4 2 2" xfId="28247" xr:uid="{7777CD54-43D1-4B1F-AC76-15C64D0E997D}"/>
    <cellStyle name="Normal 23 3 3 4 2 3" xfId="45006" xr:uid="{E5C80690-3D43-4211-BA41-97A594EAAB0F}"/>
    <cellStyle name="Normal 23 3 3 4 3" xfId="19867" xr:uid="{25BBC91F-12B4-4BEC-A591-61D219596845}"/>
    <cellStyle name="Normal 23 3 3 4 4" xfId="36626" xr:uid="{E0392043-36E3-4F81-BE82-AC2270DEF8A3}"/>
    <cellStyle name="Normal 23 3 3 5" xfId="9684" xr:uid="{6873330B-B7C9-437A-8002-C1FBA9FFC3C8}"/>
    <cellStyle name="Normal 23 3 3 5 2" xfId="26444" xr:uid="{059F0F48-7E4E-4769-AB47-6E6B482BC66E}"/>
    <cellStyle name="Normal 23 3 3 5 3" xfId="43203" xr:uid="{8D6BB1B0-A5E5-487E-9EDD-4C7D67DA73EB}"/>
    <cellStyle name="Normal 23 3 3 6" xfId="18064" xr:uid="{68B15020-93AE-4E48-902D-4D291956C3F0}"/>
    <cellStyle name="Normal 23 3 3 7" xfId="34823" xr:uid="{E888C568-989B-4270-B646-95C80E3937D2}"/>
    <cellStyle name="Normal 23 3 4" xfId="1972" xr:uid="{6C6E047A-3E97-41CB-A26A-2ACF94D9B82A}"/>
    <cellStyle name="Normal 23 3 4 2" xfId="5361" xr:uid="{513C8003-81DD-4EB4-B4E5-49560479C214}"/>
    <cellStyle name="Normal 23 3 4 2 2" xfId="13741" xr:uid="{B8A83149-E5D5-4BBA-8B44-A4947C006422}"/>
    <cellStyle name="Normal 23 3 4 2 2 2" xfId="30501" xr:uid="{B0294585-A93B-4AA6-9371-7D4383C9DB50}"/>
    <cellStyle name="Normal 23 3 4 2 2 3" xfId="47260" xr:uid="{C7D0A23D-CCA1-4E6C-8964-B0709665A902}"/>
    <cellStyle name="Normal 23 3 4 2 3" xfId="22121" xr:uid="{F5F1D631-4ED7-499C-8B27-8F2641575816}"/>
    <cellStyle name="Normal 23 3 4 2 4" xfId="38880" xr:uid="{4A5672B5-9417-4B5F-869C-3160E5F73DBF}"/>
    <cellStyle name="Normal 23 3 4 3" xfId="7048" xr:uid="{4ED40C07-B855-4829-A0C5-64C7164550F3}"/>
    <cellStyle name="Normal 23 3 4 3 2" xfId="15428" xr:uid="{BBEC3C14-1501-4186-91F2-F4A60CCE7CA4}"/>
    <cellStyle name="Normal 23 3 4 3 2 2" xfId="32188" xr:uid="{1DB9DA94-1C44-43D3-AC83-800735D22C2E}"/>
    <cellStyle name="Normal 23 3 4 3 2 3" xfId="48947" xr:uid="{018F6AFD-E67B-4725-AA53-EEA79D94ABA1}"/>
    <cellStyle name="Normal 23 3 4 3 3" xfId="23808" xr:uid="{6ECBD997-AF45-4CF7-ADA2-748B2A484986}"/>
    <cellStyle name="Normal 23 3 4 3 4" xfId="40567" xr:uid="{E4CC68BE-DD2F-4637-963F-4C7B5E6C7194}"/>
    <cellStyle name="Normal 23 3 4 4" xfId="3671" xr:uid="{64AA8B17-2186-40BD-9F1E-6691E7CD0924}"/>
    <cellStyle name="Normal 23 3 4 4 2" xfId="12051" xr:uid="{90ECCDC3-47AC-487E-9CAD-2ECBC2E03509}"/>
    <cellStyle name="Normal 23 3 4 4 2 2" xfId="28811" xr:uid="{D8ECBDE5-62C6-4854-AD59-8D46FDF07268}"/>
    <cellStyle name="Normal 23 3 4 4 2 3" xfId="45570" xr:uid="{D3A04BC0-8C41-42E8-B9B7-3AE7039072C3}"/>
    <cellStyle name="Normal 23 3 4 4 3" xfId="20431" xr:uid="{DF6A7C99-5269-4EA1-8D41-231CD43A1A2A}"/>
    <cellStyle name="Normal 23 3 4 4 4" xfId="37190" xr:uid="{24496B51-FFA0-4786-B4EC-6D0003C29AD4}"/>
    <cellStyle name="Normal 23 3 4 5" xfId="10361" xr:uid="{0F601BD4-EAB8-4FA0-98DE-B58CEF5489BE}"/>
    <cellStyle name="Normal 23 3 4 5 2" xfId="27121" xr:uid="{3F3B6955-9DD1-4535-B147-9D4FD2E0343A}"/>
    <cellStyle name="Normal 23 3 4 5 3" xfId="43880" xr:uid="{42E923C9-2AC2-4BC1-86CA-62C514802522}"/>
    <cellStyle name="Normal 23 3 4 6" xfId="18741" xr:uid="{4698D2AF-8ADC-44E6-86DE-ED4EB07271E3}"/>
    <cellStyle name="Normal 23 3 4 7" xfId="35500" xr:uid="{2D737C93-65E5-4CDD-A126-5C70B986D904}"/>
    <cellStyle name="Normal 23 3 5" xfId="4091" xr:uid="{A2689CCA-1720-49E5-B741-07B7D23111DE}"/>
    <cellStyle name="Normal 23 3 5 2" xfId="12471" xr:uid="{373D74F3-ECBF-452B-BF14-C6A1BE02F7D7}"/>
    <cellStyle name="Normal 23 3 5 2 2" xfId="29231" xr:uid="{832C4747-69B8-4303-BB2A-B215F1EE78F2}"/>
    <cellStyle name="Normal 23 3 5 2 3" xfId="45990" xr:uid="{EF85C1F1-0CDC-4501-BA10-FBC22304C872}"/>
    <cellStyle name="Normal 23 3 5 3" xfId="20851" xr:uid="{F16026E2-347A-4CF7-8B7B-ADF1184FE181}"/>
    <cellStyle name="Normal 23 3 5 4" xfId="37610" xr:uid="{79B1EEDF-0851-4785-9F11-57155168679F}"/>
    <cellStyle name="Normal 23 3 6" xfId="5517" xr:uid="{6218E936-CF7E-4DFB-BB4C-C86AABBBA96E}"/>
    <cellStyle name="Normal 23 3 6 2" xfId="13897" xr:uid="{F8502BC1-E28E-4BBA-8BED-B680A1ADC755}"/>
    <cellStyle name="Normal 23 3 6 2 2" xfId="30657" xr:uid="{99F69CDD-53CD-4F4B-8605-F252FF71AB2E}"/>
    <cellStyle name="Normal 23 3 6 2 3" xfId="47416" xr:uid="{4144A00B-8B5F-4A23-A0AE-8D1C875B4758}"/>
    <cellStyle name="Normal 23 3 6 3" xfId="22277" xr:uid="{5811B266-0CFF-4751-9E29-9DA10FBC1A07}"/>
    <cellStyle name="Normal 23 3 6 4" xfId="39036" xr:uid="{E3E853B6-6372-4DDA-A572-63B822C53359}"/>
    <cellStyle name="Normal 23 3 7" xfId="7454" xr:uid="{2D290E3C-7E79-4A8C-831B-8819166E5EDD}"/>
    <cellStyle name="Normal 23 3 7 2" xfId="15834" xr:uid="{61576713-C353-46DF-B237-4D2E4E77A960}"/>
    <cellStyle name="Normal 23 3 7 2 2" xfId="32594" xr:uid="{32957681-3891-46B4-8A1A-B4293590DDA9}"/>
    <cellStyle name="Normal 23 3 7 2 3" xfId="49353" xr:uid="{8453B2A4-5342-4E06-A089-1CFAB00D4BF5}"/>
    <cellStyle name="Normal 23 3 7 3" xfId="24214" xr:uid="{D821910A-3D13-4B55-B698-BD59B627E9F5}"/>
    <cellStyle name="Normal 23 3 7 4" xfId="40973" xr:uid="{B211DED6-5C13-45B5-B32B-B9B474F6A3E8}"/>
    <cellStyle name="Normal 23 3 8" xfId="7860" xr:uid="{EB2A9D02-E49D-48D5-8060-B87BC0819C71}"/>
    <cellStyle name="Normal 23 3 8 2" xfId="16240" xr:uid="{328BD26C-F436-44A9-89EB-648A679C59A1}"/>
    <cellStyle name="Normal 23 3 8 2 2" xfId="33000" xr:uid="{7B7D2DED-E62D-4C97-8779-5DD22F704986}"/>
    <cellStyle name="Normal 23 3 8 2 3" xfId="49759" xr:uid="{71819B61-5B94-48B0-918A-A5554DA7E646}"/>
    <cellStyle name="Normal 23 3 8 3" xfId="24620" xr:uid="{42F4B0E2-29AE-4F7A-BE13-B710DA79F30F}"/>
    <cellStyle name="Normal 23 3 8 4" xfId="41379" xr:uid="{2E62BF21-21FE-4B14-A231-9277C8370A7C}"/>
    <cellStyle name="Normal 23 3 9" xfId="8266" xr:uid="{E2FA2325-8CD6-49ED-AF0F-D1B2DDEC0815}"/>
    <cellStyle name="Normal 23 3 9 2" xfId="16646" xr:uid="{8ECBBA2F-8E07-43A0-BE2F-E2B8D301A6B2}"/>
    <cellStyle name="Normal 23 3 9 2 2" xfId="33406" xr:uid="{5EB06467-BA22-4F40-B9FB-7C02AB3CAD84}"/>
    <cellStyle name="Normal 23 3 9 2 3" xfId="50165" xr:uid="{EDFDA772-88B9-4037-9520-179E992E7045}"/>
    <cellStyle name="Normal 23 3 9 3" xfId="25026" xr:uid="{D1B530B0-DC8B-4391-882A-621FD1D20674}"/>
    <cellStyle name="Normal 23 3 9 4" xfId="41785" xr:uid="{E70D1324-E5FB-4F90-865F-B4BAB746C38F}"/>
    <cellStyle name="Normal 23 4" xfId="787" xr:uid="{95BEBE00-C8F3-42EC-86A7-18A52B0AA8F2}"/>
    <cellStyle name="Normal 23 4 2" xfId="4182" xr:uid="{3DEDF924-AA90-4352-B56E-9A1A31805FA3}"/>
    <cellStyle name="Normal 23 4 2 2" xfId="12562" xr:uid="{39AB06A2-3FFE-44CB-9B77-915AE9935591}"/>
    <cellStyle name="Normal 23 4 2 2 2" xfId="29322" xr:uid="{A9665874-4435-4A91-B614-77773061CCF3}"/>
    <cellStyle name="Normal 23 4 2 2 3" xfId="46081" xr:uid="{F0ED1F76-3B7C-4964-AD25-C26A57C8C863}"/>
    <cellStyle name="Normal 23 4 2 3" xfId="20942" xr:uid="{3D140C7F-85EE-4141-91B6-4323CBB0C10D}"/>
    <cellStyle name="Normal 23 4 2 4" xfId="37701" xr:uid="{FD27A972-9363-459E-A54D-0167CCC94312}"/>
    <cellStyle name="Normal 23 4 3" xfId="5869" xr:uid="{146F813B-41C9-4DCA-9E67-70D89042A4A0}"/>
    <cellStyle name="Normal 23 4 3 2" xfId="14249" xr:uid="{3ACA04E9-82E1-4684-95D5-0B1A674C89F1}"/>
    <cellStyle name="Normal 23 4 3 2 2" xfId="31009" xr:uid="{5BC4894E-885E-4FDC-AC13-94726985859C}"/>
    <cellStyle name="Normal 23 4 3 2 3" xfId="47768" xr:uid="{2875CB6C-DDEF-4894-A83B-9952491BFF2D}"/>
    <cellStyle name="Normal 23 4 3 3" xfId="22629" xr:uid="{9D34E3F8-C5B6-4FAB-8271-5F3337DD67DD}"/>
    <cellStyle name="Normal 23 4 3 4" xfId="39388" xr:uid="{B4E7B623-5C74-4EB5-8D4C-9A5134E87176}"/>
    <cellStyle name="Normal 23 4 4" xfId="2605" xr:uid="{F0B3A18D-807A-4B92-AD1D-BA566EE8B67A}"/>
    <cellStyle name="Normal 23 4 4 2" xfId="10985" xr:uid="{CC2A0530-4154-4AA3-864B-A99B4AFF5460}"/>
    <cellStyle name="Normal 23 4 4 2 2" xfId="27745" xr:uid="{A8DAC490-E8D4-4A65-8441-7191F9438940}"/>
    <cellStyle name="Normal 23 4 4 2 3" xfId="44504" xr:uid="{972AA443-7CC1-4555-9F85-159D375E9851}"/>
    <cellStyle name="Normal 23 4 4 3" xfId="19365" xr:uid="{188508CE-84CE-478F-BCCC-F4B89A01CF5E}"/>
    <cellStyle name="Normal 23 4 4 4" xfId="36124" xr:uid="{AB13C007-D44E-441A-8F1B-346DAE1EE8E9}"/>
    <cellStyle name="Normal 23 4 5" xfId="9182" xr:uid="{6E701769-074E-48EC-9806-565ABFE4DD3D}"/>
    <cellStyle name="Normal 23 4 5 2" xfId="25942" xr:uid="{368CFED0-E6C0-4296-BAD4-FC6059528FB1}"/>
    <cellStyle name="Normal 23 4 5 3" xfId="42701" xr:uid="{7F5ABD0C-DBEC-41F3-9BFA-28C537CFA24D}"/>
    <cellStyle name="Normal 23 4 6" xfId="17562" xr:uid="{3A03F181-2DF3-44C2-B9A8-655EA6620D44}"/>
    <cellStyle name="Normal 23 4 7" xfId="34321" xr:uid="{19CADB0C-1DEA-4262-8FE5-0BA2B68EBF21}"/>
    <cellStyle name="Normal 23 5" xfId="1221" xr:uid="{1E2CBDB1-F96C-4798-B00A-BE914176A055}"/>
    <cellStyle name="Normal 23 5 2" xfId="4610" xr:uid="{C2012AAE-B1CD-46E5-AC56-92786B154317}"/>
    <cellStyle name="Normal 23 5 2 2" xfId="12990" xr:uid="{1BCF78FD-0D0A-4CCE-B35A-D6A1FBFF9383}"/>
    <cellStyle name="Normal 23 5 2 2 2" xfId="29750" xr:uid="{6D57D326-3A5E-40EF-9D3D-9C890FD6C595}"/>
    <cellStyle name="Normal 23 5 2 2 3" xfId="46509" xr:uid="{03223ECB-15E4-4F51-8BFF-8E352226D4D0}"/>
    <cellStyle name="Normal 23 5 2 3" xfId="21370" xr:uid="{BE23613B-105F-4E13-84FA-BB2A26710F74}"/>
    <cellStyle name="Normal 23 5 2 4" xfId="38129" xr:uid="{4823E85E-D558-4B0C-A0E5-73BB65DCB31A}"/>
    <cellStyle name="Normal 23 5 3" xfId="6297" xr:uid="{6C365176-9F11-4A71-B2D3-94FFAD0A9193}"/>
    <cellStyle name="Normal 23 5 3 2" xfId="14677" xr:uid="{2C3CF746-C444-4BAF-89C9-57A3B527F1E2}"/>
    <cellStyle name="Normal 23 5 3 2 2" xfId="31437" xr:uid="{F23CF977-DB43-4BE9-8186-F52BAC8507AF}"/>
    <cellStyle name="Normal 23 5 3 2 3" xfId="48196" xr:uid="{E8396C1D-ED7E-48E1-B77C-535A3E3766F3}"/>
    <cellStyle name="Normal 23 5 3 3" xfId="23057" xr:uid="{09D37DDA-D0AB-44FD-B68E-C706F5BB5038}"/>
    <cellStyle name="Normal 23 5 3 4" xfId="39816" xr:uid="{F1942D02-F8CD-4D24-884F-EF7CB114B143}"/>
    <cellStyle name="Normal 23 5 4" xfId="3033" xr:uid="{A56998ED-629B-4ACA-8520-A06D991F6061}"/>
    <cellStyle name="Normal 23 5 4 2" xfId="11413" xr:uid="{82937188-66D0-4FCF-A445-09E4891879B8}"/>
    <cellStyle name="Normal 23 5 4 2 2" xfId="28173" xr:uid="{196ED88C-EFE2-4472-955E-65A4DA00A670}"/>
    <cellStyle name="Normal 23 5 4 2 3" xfId="44932" xr:uid="{CAE6C5F5-1130-4C20-9816-4BF4E7C0E1E3}"/>
    <cellStyle name="Normal 23 5 4 3" xfId="19793" xr:uid="{0132F7F2-B2CF-4CAD-81A8-D400AA205041}"/>
    <cellStyle name="Normal 23 5 4 4" xfId="36552" xr:uid="{27176B75-F678-4378-996F-F9FE800870EA}"/>
    <cellStyle name="Normal 23 5 5" xfId="9610" xr:uid="{BAF964FD-ED3B-403E-98BD-DE03630A56E5}"/>
    <cellStyle name="Normal 23 5 5 2" xfId="26370" xr:uid="{AB84D373-8281-4DCC-9A00-23EADA637560}"/>
    <cellStyle name="Normal 23 5 5 3" xfId="43129" xr:uid="{7864105C-7A20-4C88-932C-4590D1065425}"/>
    <cellStyle name="Normal 23 5 6" xfId="17990" xr:uid="{CDD2C61F-27DC-4975-BFE4-6742A3E70A01}"/>
    <cellStyle name="Normal 23 5 7" xfId="34749" xr:uid="{87795B85-AFE7-40CD-9C09-CDDDA66B6855}"/>
    <cellStyle name="Normal 23 6" xfId="1701" xr:uid="{ABCD3C7B-8DE2-4602-A535-EDA381B8F196}"/>
    <cellStyle name="Normal 23 6 2" xfId="5090" xr:uid="{074F5E73-0EC3-4F58-930C-7A863A19B1A8}"/>
    <cellStyle name="Normal 23 6 2 2" xfId="13470" xr:uid="{3EB02313-0156-41C9-87D7-0F8471DA10F8}"/>
    <cellStyle name="Normal 23 6 2 2 2" xfId="30230" xr:uid="{9A33CBE3-8506-4329-9C01-FD547B1D65B9}"/>
    <cellStyle name="Normal 23 6 2 2 3" xfId="46989" xr:uid="{3BED6F99-5444-4C44-B11A-E8FE42F7C8CC}"/>
    <cellStyle name="Normal 23 6 2 3" xfId="21850" xr:uid="{8626ED72-47EB-4937-BC52-A51A08DE3D55}"/>
    <cellStyle name="Normal 23 6 2 4" xfId="38609" xr:uid="{E43FFFD8-17AE-4B6A-8197-BB61F7013538}"/>
    <cellStyle name="Normal 23 6 3" xfId="6777" xr:uid="{9BB3A434-898D-4C51-9443-724BBC74B6D8}"/>
    <cellStyle name="Normal 23 6 3 2" xfId="15157" xr:uid="{4FA733D8-460F-4863-8792-59EBB2AB1EAD}"/>
    <cellStyle name="Normal 23 6 3 2 2" xfId="31917" xr:uid="{9F6D305E-FA5E-4B06-937D-884EADC7DF27}"/>
    <cellStyle name="Normal 23 6 3 2 3" xfId="48676" xr:uid="{1B15F943-B53A-461E-8A26-C6CA195DEF8F}"/>
    <cellStyle name="Normal 23 6 3 3" xfId="23537" xr:uid="{BFAE4159-9E1A-4DA4-9D5B-D26D1DB5A60C}"/>
    <cellStyle name="Normal 23 6 3 4" xfId="40296" xr:uid="{1CA966FF-60FA-460F-9E9F-2959C85F4850}"/>
    <cellStyle name="Normal 23 6 4" xfId="2171" xr:uid="{E5C69EC9-3A43-4C4F-8770-E82AB5BBE648}"/>
    <cellStyle name="Normal 23 6 4 2" xfId="10559" xr:uid="{25033C8A-5B49-40DD-8BFB-1ADB83D3E7F5}"/>
    <cellStyle name="Normal 23 6 4 2 2" xfId="27319" xr:uid="{3B805F23-8252-4E1C-AAB4-CF813986BF20}"/>
    <cellStyle name="Normal 23 6 4 2 3" xfId="44078" xr:uid="{641E3000-04ED-4744-AA64-C13C52ACF1C3}"/>
    <cellStyle name="Normal 23 6 4 3" xfId="18939" xr:uid="{C3A1E8A1-CC1A-4426-A6FE-F2CF76292EEE}"/>
    <cellStyle name="Normal 23 6 4 4" xfId="35698" xr:uid="{81265664-2CCB-4C5A-8B53-A626D8630273}"/>
    <cellStyle name="Normal 23 6 5" xfId="10090" xr:uid="{E4039150-C032-4A73-94B6-78272E836822}"/>
    <cellStyle name="Normal 23 6 5 2" xfId="26850" xr:uid="{DAD610E6-4117-4AEE-BFDE-4CE68A87ED16}"/>
    <cellStyle name="Normal 23 6 5 3" xfId="43609" xr:uid="{6B7EA091-029E-4F4D-84E1-BF2BB8C568E5}"/>
    <cellStyle name="Normal 23 6 6" xfId="18470" xr:uid="{11F5966C-795B-4314-9816-777E8901C099}"/>
    <cellStyle name="Normal 23 6 7" xfId="35229" xr:uid="{97944183-D58B-4309-9C43-F4F837F591F2}"/>
    <cellStyle name="Normal 23 7" xfId="3819" xr:uid="{E5FA714C-F272-4D12-8F8F-10851EC44BF9}"/>
    <cellStyle name="Normal 23 7 2" xfId="12199" xr:uid="{A93F469F-1B95-4AF6-830C-1F41C662652C}"/>
    <cellStyle name="Normal 23 7 2 2" xfId="28959" xr:uid="{F389C00E-3BEB-4F5B-900E-D2338CF0BD2E}"/>
    <cellStyle name="Normal 23 7 2 3" xfId="45718" xr:uid="{4634655D-D790-4473-A678-64BB7E25B664}"/>
    <cellStyle name="Normal 23 7 3" xfId="20579" xr:uid="{AB2102BD-FE6C-4DA8-BF7D-0132AC50575F}"/>
    <cellStyle name="Normal 23 7 4" xfId="37338" xr:uid="{FA0E56C7-CDF4-40F7-988E-F027B50BEDB7}"/>
    <cellStyle name="Normal 23 8" xfId="5443" xr:uid="{7BCB19BB-0302-475E-A3E7-9102155C0411}"/>
    <cellStyle name="Normal 23 8 2" xfId="13823" xr:uid="{1F140A07-8F20-4C2E-859A-8413AE87F48C}"/>
    <cellStyle name="Normal 23 8 2 2" xfId="30583" xr:uid="{A7B30295-B59F-4550-AFA2-F2220CDF76C7}"/>
    <cellStyle name="Normal 23 8 2 3" xfId="47342" xr:uid="{DA35F373-F4C5-474C-B29A-70DF00191E30}"/>
    <cellStyle name="Normal 23 8 3" xfId="22203" xr:uid="{FFDBE860-9F2A-41EA-9F58-22839563FB47}"/>
    <cellStyle name="Normal 23 8 4" xfId="38962" xr:uid="{F80CDFF2-E0BE-4128-8AE7-7E0B49A03322}"/>
    <cellStyle name="Normal 23 9" xfId="7183" xr:uid="{E38EA853-DF34-4B62-8404-6EA4A6097C44}"/>
    <cellStyle name="Normal 23 9 2" xfId="15563" xr:uid="{6896D4F9-CCAF-4823-854B-64FEBAC57347}"/>
    <cellStyle name="Normal 23 9 2 2" xfId="32323" xr:uid="{9CE50BCE-34BC-4A16-A78A-8094D168B1EB}"/>
    <cellStyle name="Normal 23 9 2 3" xfId="49082" xr:uid="{50E8EB55-9E0F-4278-8AB3-F6B5C010AD70}"/>
    <cellStyle name="Normal 23 9 3" xfId="23943" xr:uid="{7A003659-DC91-4FF5-BD39-65A87072FC75}"/>
    <cellStyle name="Normal 23 9 4" xfId="40702" xr:uid="{A62DB86A-DD27-469F-9206-4892FB84AD43}"/>
    <cellStyle name="Normal 24" xfId="240" xr:uid="{3FC61A5C-6534-4072-85F2-D0D94B0F21EC}"/>
    <cellStyle name="Normal 24 10" xfId="7622" xr:uid="{5E87FDB7-C961-4F28-803B-4FB09A033712}"/>
    <cellStyle name="Normal 24 10 2" xfId="16002" xr:uid="{F1D6AA1E-2E29-4FA1-9614-B8C9E21FB8AD}"/>
    <cellStyle name="Normal 24 10 2 2" xfId="32762" xr:uid="{172984A7-D1AF-4D3B-B881-6D804CA5C072}"/>
    <cellStyle name="Normal 24 10 2 3" xfId="49521" xr:uid="{E1808A84-5911-4F8C-A119-0D84E783BEDC}"/>
    <cellStyle name="Normal 24 10 3" xfId="24382" xr:uid="{7164DF2C-5A79-4D7D-A7DD-CDA14CB97676}"/>
    <cellStyle name="Normal 24 10 4" xfId="41141" xr:uid="{6C3814D4-3106-4F4B-AA5F-79DEABBF6B27}"/>
    <cellStyle name="Normal 24 11" xfId="8028" xr:uid="{C14AA430-7AC1-4458-A937-7D1D0B0E79F7}"/>
    <cellStyle name="Normal 24 11 2" xfId="16408" xr:uid="{9DAFA60E-0B55-42FC-BB4D-6E169AAD1009}"/>
    <cellStyle name="Normal 24 11 2 2" xfId="33168" xr:uid="{AE73AB64-1405-40BB-8334-8DE927666674}"/>
    <cellStyle name="Normal 24 11 2 3" xfId="49927" xr:uid="{5CE54867-0B26-4E3D-9B5F-AD15C8158217}"/>
    <cellStyle name="Normal 24 11 3" xfId="24788" xr:uid="{D0029A87-C525-447B-B2FB-94091C8D526B}"/>
    <cellStyle name="Normal 24 11 4" xfId="41547" xr:uid="{BAD15326-B11E-4A92-A215-5941558AF239}"/>
    <cellStyle name="Normal 24 12" xfId="8434" xr:uid="{36459DC2-E64E-4C3E-811A-6C0E03D20E0C}"/>
    <cellStyle name="Normal 24 12 2" xfId="16814" xr:uid="{CEE62500-6ABF-4756-96A6-B3FF80007CDA}"/>
    <cellStyle name="Normal 24 12 2 2" xfId="33574" xr:uid="{A9796231-0E4F-4354-AFE3-EF4C4FD62992}"/>
    <cellStyle name="Normal 24 12 2 3" xfId="50333" xr:uid="{A4F2E0E0-352E-4F86-8587-56DB7E9E3139}"/>
    <cellStyle name="Normal 24 12 3" xfId="25194" xr:uid="{95114021-6A4D-4814-9FE4-1DC7028EA7DD}"/>
    <cellStyle name="Normal 24 12 4" xfId="41953" xr:uid="{03A839EC-87E7-4FBB-AB8A-C09293F5A6A7}"/>
    <cellStyle name="Normal 24 13" xfId="2172" xr:uid="{29DC4825-29B7-49A2-9DF0-1EE771059B26}"/>
    <cellStyle name="Normal 24 13 2" xfId="10560" xr:uid="{2B685946-9AE9-45AC-9F3D-4A754B228452}"/>
    <cellStyle name="Normal 24 13 2 2" xfId="27320" xr:uid="{C269DA8A-A9DE-40E1-92B2-6BA9645F1CAF}"/>
    <cellStyle name="Normal 24 13 2 3" xfId="44079" xr:uid="{71E3E6B8-BEB3-424B-9C8A-6DC80A5BACBA}"/>
    <cellStyle name="Normal 24 13 3" xfId="18940" xr:uid="{6CEBE601-3911-429A-B7D9-9197CA9BE0CD}"/>
    <cellStyle name="Normal 24 13 4" xfId="35699" xr:uid="{FFD9B1D4-43FF-4061-832C-7DEF448E001F}"/>
    <cellStyle name="Normal 24 14" xfId="8757" xr:uid="{0928320B-D3A6-4FC0-AC53-95BFDAC7FC3F}"/>
    <cellStyle name="Normal 24 14 2" xfId="25517" xr:uid="{9637B4CB-1213-4540-9CB3-57240ABD1002}"/>
    <cellStyle name="Normal 24 14 3" xfId="42276" xr:uid="{23226128-14B7-445E-AE2F-80403454A35A}"/>
    <cellStyle name="Normal 24 15" xfId="17137" xr:uid="{B113355B-07B3-4761-A81D-511F75F8F244}"/>
    <cellStyle name="Normal 24 16" xfId="33896" xr:uid="{C4EA9B6D-3702-467C-89A2-6D248761D02D}"/>
    <cellStyle name="Normal 24 17" xfId="283" xr:uid="{22253E68-5162-42D6-A99B-6BCEA92AD48C}"/>
    <cellStyle name="Normal 24 2" xfId="312" xr:uid="{A641407D-F9FD-4841-84A6-590104EB6612}"/>
    <cellStyle name="Normal 24 2 10" xfId="8159" xr:uid="{DD434DB9-2DCE-4A8B-B0C5-6BA652A88AE2}"/>
    <cellStyle name="Normal 24 2 10 2" xfId="16539" xr:uid="{90280420-9708-4AFB-B3B9-02132A59EE81}"/>
    <cellStyle name="Normal 24 2 10 2 2" xfId="33299" xr:uid="{4580CCB7-542B-4FC0-B663-0A94F14A3B25}"/>
    <cellStyle name="Normal 24 2 10 2 3" xfId="50058" xr:uid="{4F2D3755-D3CA-4A15-9D73-7BCE2E76606A}"/>
    <cellStyle name="Normal 24 2 10 3" xfId="24919" xr:uid="{112391AA-BB18-42A9-9E06-8C337712AB27}"/>
    <cellStyle name="Normal 24 2 10 4" xfId="41678" xr:uid="{9C72320A-BBF6-4DC4-8B0C-CCBD103CFCDE}"/>
    <cellStyle name="Normal 24 2 11" xfId="8565" xr:uid="{16C822EF-71BF-4A98-A3B9-09A28976043D}"/>
    <cellStyle name="Normal 24 2 11 2" xfId="16945" xr:uid="{2F7007F3-A620-41FF-B36E-C8CDBB92DB8F}"/>
    <cellStyle name="Normal 24 2 11 2 2" xfId="33705" xr:uid="{31C48D72-7CD2-48B5-9C73-D287744E8878}"/>
    <cellStyle name="Normal 24 2 11 2 3" xfId="50464" xr:uid="{E0FDBD42-871A-4A52-9D81-C63D5D4A023D}"/>
    <cellStyle name="Normal 24 2 11 3" xfId="25325" xr:uid="{150E2BCB-86AA-4999-80C2-A9FE59A6B7DA}"/>
    <cellStyle name="Normal 24 2 11 4" xfId="42084" xr:uid="{1A1E64D7-79C9-43B6-A579-D2D89E581C4E}"/>
    <cellStyle name="Normal 24 2 12" xfId="2201" xr:uid="{7147B71A-4963-4201-8A19-1695808EE735}"/>
    <cellStyle name="Normal 24 2 12 2" xfId="10588" xr:uid="{675F133F-EE20-4F67-80E5-E3A90C141548}"/>
    <cellStyle name="Normal 24 2 12 2 2" xfId="27348" xr:uid="{76455562-E9ED-4EEC-87A6-D4B7FD37A983}"/>
    <cellStyle name="Normal 24 2 12 2 3" xfId="44107" xr:uid="{CF0A2214-4A99-478E-BDBE-F77413DB7F7C}"/>
    <cellStyle name="Normal 24 2 12 3" xfId="18968" xr:uid="{3FF98FA3-CDB3-4ED6-90CC-BF604C6AA731}"/>
    <cellStyle name="Normal 24 2 12 4" xfId="35727" xr:uid="{A38B7AC7-E309-4921-AA51-5BB024947605}"/>
    <cellStyle name="Normal 24 2 13" xfId="8785" xr:uid="{869D1DB9-ACAE-4870-BB22-12F264C2A97C}"/>
    <cellStyle name="Normal 24 2 13 2" xfId="25545" xr:uid="{9AFC41A8-507D-42C6-B291-87494ACCD326}"/>
    <cellStyle name="Normal 24 2 13 3" xfId="42304" xr:uid="{6C81D3CF-3ED7-4375-A7A6-AFCE145E6BE6}"/>
    <cellStyle name="Normal 24 2 14" xfId="17165" xr:uid="{AFC1FDBA-5B79-4B8C-A9CB-4AD63A8DD7A3}"/>
    <cellStyle name="Normal 24 2 15" xfId="33924" xr:uid="{7C551577-590B-45C7-AD64-713E1C9234B4}"/>
    <cellStyle name="Normal 24 2 2" xfId="395" xr:uid="{DBF4C330-9EEE-4475-868E-F4EC238681D5}"/>
    <cellStyle name="Normal 24 2 2 2" xfId="890" xr:uid="{503A2EB6-563D-47C5-AD05-EA1D51C972FF}"/>
    <cellStyle name="Normal 24 2 2 2 2" xfId="4285" xr:uid="{698C345D-745C-4CFE-8DB3-A134749BC85C}"/>
    <cellStyle name="Normal 24 2 2 2 2 2" xfId="12665" xr:uid="{EDF3CA89-E307-4914-A6CA-A89B8C2FD466}"/>
    <cellStyle name="Normal 24 2 2 2 2 2 2" xfId="29425" xr:uid="{2047A462-582C-48CE-B628-8365E32385F3}"/>
    <cellStyle name="Normal 24 2 2 2 2 2 3" xfId="46184" xr:uid="{7EE9C42F-7BF4-43B4-BBED-C9257F4B816A}"/>
    <cellStyle name="Normal 24 2 2 2 2 3" xfId="21045" xr:uid="{787726AC-CB7A-44F7-96C6-61AD3A5EA788}"/>
    <cellStyle name="Normal 24 2 2 2 2 4" xfId="37804" xr:uid="{0341641E-8989-4ACF-9B6C-02745FAD8CFB}"/>
    <cellStyle name="Normal 24 2 2 2 3" xfId="5972" xr:uid="{A8651F72-96EA-4C30-817B-C2D6468EAEE0}"/>
    <cellStyle name="Normal 24 2 2 2 3 2" xfId="14352" xr:uid="{5FF227AE-E70F-4DE5-B65E-3A683991ACAC}"/>
    <cellStyle name="Normal 24 2 2 2 3 2 2" xfId="31112" xr:uid="{80B0E873-5E76-492D-8781-D73A65EFF908}"/>
    <cellStyle name="Normal 24 2 2 2 3 2 3" xfId="47871" xr:uid="{932CB671-9911-4251-A4A0-09BE109E2769}"/>
    <cellStyle name="Normal 24 2 2 2 3 3" xfId="22732" xr:uid="{D7670B61-A4DF-4969-8C42-C2C55B167868}"/>
    <cellStyle name="Normal 24 2 2 2 3 4" xfId="39491" xr:uid="{7F36926D-04B5-4791-8D4F-210E6AA8EE35}"/>
    <cellStyle name="Normal 24 2 2 2 4" xfId="2708" xr:uid="{17CB1B76-8DBD-462E-ADED-5057AA23D57B}"/>
    <cellStyle name="Normal 24 2 2 2 4 2" xfId="11088" xr:uid="{B5D28723-26E6-4BFC-AD34-71BD79A0A8CA}"/>
    <cellStyle name="Normal 24 2 2 2 4 2 2" xfId="27848" xr:uid="{6907CB8F-EB9C-4D4B-8014-823B909525F5}"/>
    <cellStyle name="Normal 24 2 2 2 4 2 3" xfId="44607" xr:uid="{B2DDA49D-125B-4B2F-9502-AEE9E9613789}"/>
    <cellStyle name="Normal 24 2 2 2 4 3" xfId="19468" xr:uid="{5F6A5341-2164-45DB-B8B4-A2FBC645D655}"/>
    <cellStyle name="Normal 24 2 2 2 4 4" xfId="36227" xr:uid="{F512A141-61AA-44C4-90E2-A6B29A341DFD}"/>
    <cellStyle name="Normal 24 2 2 2 5" xfId="9285" xr:uid="{B92C2733-4C0A-4DC8-9EF9-63231297A4A0}"/>
    <cellStyle name="Normal 24 2 2 2 5 2" xfId="26045" xr:uid="{C313CFF4-18F8-4EFB-B2EA-3C44E0822BF5}"/>
    <cellStyle name="Normal 24 2 2 2 5 3" xfId="42804" xr:uid="{51787E3E-D6B8-4F22-9FF4-D8840F629714}"/>
    <cellStyle name="Normal 24 2 2 2 6" xfId="17665" xr:uid="{AA222CD8-9CF3-45C7-A641-A0F85D780C37}"/>
    <cellStyle name="Normal 24 2 2 2 7" xfId="34424" xr:uid="{B925553E-B9D5-409F-9CA9-6ED72086D6ED}"/>
    <cellStyle name="Normal 24 2 2 3" xfId="1324" xr:uid="{905E18F5-1242-4679-923B-87EB7C0BB72B}"/>
    <cellStyle name="Normal 24 2 2 3 2" xfId="4713" xr:uid="{F6073DDF-1A84-437E-B839-2A88AF135140}"/>
    <cellStyle name="Normal 24 2 2 3 2 2" xfId="13093" xr:uid="{F170E920-6AE0-4D2B-8DC7-9C1D8A384992}"/>
    <cellStyle name="Normal 24 2 2 3 2 2 2" xfId="29853" xr:uid="{3610C276-3CAC-48BE-986D-386377B27E12}"/>
    <cellStyle name="Normal 24 2 2 3 2 2 3" xfId="46612" xr:uid="{2556CE4C-9308-465B-A8BD-B2DE8CB91CFB}"/>
    <cellStyle name="Normal 24 2 2 3 2 3" xfId="21473" xr:uid="{C39D0DD6-8043-46CD-9238-0A1301BD678C}"/>
    <cellStyle name="Normal 24 2 2 3 2 4" xfId="38232" xr:uid="{F360CE19-204E-44B6-A152-9E5288951158}"/>
    <cellStyle name="Normal 24 2 2 3 3" xfId="6400" xr:uid="{7A824F58-E9BA-400F-A507-A581F00E8B12}"/>
    <cellStyle name="Normal 24 2 2 3 3 2" xfId="14780" xr:uid="{FDD7B2A8-B8B2-4A05-B33F-33BD93F199F6}"/>
    <cellStyle name="Normal 24 2 2 3 3 2 2" xfId="31540" xr:uid="{1783AF1B-2E27-400B-AFA7-FC6EBAA28196}"/>
    <cellStyle name="Normal 24 2 2 3 3 2 3" xfId="48299" xr:uid="{53035642-6807-48FD-BDC9-7EA09AFFE65D}"/>
    <cellStyle name="Normal 24 2 2 3 3 3" xfId="23160" xr:uid="{2D0BADCF-4472-44CE-AAAC-20CD5A429431}"/>
    <cellStyle name="Normal 24 2 2 3 3 4" xfId="39919" xr:uid="{AB1DC137-5CC4-4C91-AC68-292D7C914AA7}"/>
    <cellStyle name="Normal 24 2 2 3 4" xfId="3136" xr:uid="{983452BE-606E-456F-84B9-92AE75F5F4DB}"/>
    <cellStyle name="Normal 24 2 2 3 4 2" xfId="11516" xr:uid="{BC4F2165-4DA6-4637-81B2-B4C3052CE9E8}"/>
    <cellStyle name="Normal 24 2 2 3 4 2 2" xfId="28276" xr:uid="{8B8F2FAA-A8FA-4F4B-89EF-25935DE01552}"/>
    <cellStyle name="Normal 24 2 2 3 4 2 3" xfId="45035" xr:uid="{3EC61A4C-0ED2-466E-ACDB-B6BE214B2C26}"/>
    <cellStyle name="Normal 24 2 2 3 4 3" xfId="19896" xr:uid="{AFEF6C2E-83D8-434F-9050-C3341C80C896}"/>
    <cellStyle name="Normal 24 2 2 3 4 4" xfId="36655" xr:uid="{54FBF238-4E07-45F8-8367-ED8C0A095024}"/>
    <cellStyle name="Normal 24 2 2 3 5" xfId="9713" xr:uid="{6DF3C9FF-2FA8-4FF5-B4C4-7A2A2C880AD9}"/>
    <cellStyle name="Normal 24 2 2 3 5 2" xfId="26473" xr:uid="{DFAD112A-B68C-457D-8ED8-702BDB9928E3}"/>
    <cellStyle name="Normal 24 2 2 3 5 3" xfId="43232" xr:uid="{8C861C51-AC6D-4B94-9883-DA66FFEC541C}"/>
    <cellStyle name="Normal 24 2 2 3 6" xfId="18093" xr:uid="{7AAE49A3-C920-4A0C-9BD3-2E5155CA815A}"/>
    <cellStyle name="Normal 24 2 2 3 7" xfId="34852" xr:uid="{92CACE8E-AD7D-41D4-99D1-848E10563648}"/>
    <cellStyle name="Normal 24 2 2 4" xfId="4152" xr:uid="{49226B02-8F35-47F4-BE1D-4AD301ADC3D3}"/>
    <cellStyle name="Normal 24 2 2 4 2" xfId="12532" xr:uid="{F477264A-34ED-4170-AAFA-CCA298378D8A}"/>
    <cellStyle name="Normal 24 2 2 4 2 2" xfId="29292" xr:uid="{6C410485-8C80-4B60-9EE3-A7E1BA934CA2}"/>
    <cellStyle name="Normal 24 2 2 4 2 3" xfId="46051" xr:uid="{BF48146E-55FF-4641-8F0D-04DFC3A3BEE6}"/>
    <cellStyle name="Normal 24 2 2 4 3" xfId="20912" xr:uid="{4C55DFE1-0A2A-4A18-B4AB-C3EAAF8A1D17}"/>
    <cellStyle name="Normal 24 2 2 4 4" xfId="37671" xr:uid="{B5AF636F-EEA4-4BBA-9879-1357B5E33EAA}"/>
    <cellStyle name="Normal 24 2 2 5" xfId="5546" xr:uid="{9893A766-C035-436F-A5DB-45685134AB5D}"/>
    <cellStyle name="Normal 24 2 2 5 2" xfId="13926" xr:uid="{BB513A45-0C25-4EF7-8098-DA9A83B7B6BC}"/>
    <cellStyle name="Normal 24 2 2 5 2 2" xfId="30686" xr:uid="{6E919A53-D9EF-4819-B91A-6BC384EC6B72}"/>
    <cellStyle name="Normal 24 2 2 5 2 3" xfId="47445" xr:uid="{2E79512B-94A1-4D35-A4F8-D9B97B0E03F7}"/>
    <cellStyle name="Normal 24 2 2 5 3" xfId="22306" xr:uid="{229BA1C1-A381-435C-BED9-EE758794B975}"/>
    <cellStyle name="Normal 24 2 2 5 4" xfId="39065" xr:uid="{173DC8CB-0054-450C-8253-83BB054CE5E3}"/>
    <cellStyle name="Normal 24 2 2 6" xfId="2278" xr:uid="{D03D1214-3478-4E83-85EB-F8B6FEA2ED40}"/>
    <cellStyle name="Normal 24 2 2 6 2" xfId="10662" xr:uid="{E24B211D-5EA1-4E76-93FF-3A2451CA3A54}"/>
    <cellStyle name="Normal 24 2 2 6 2 2" xfId="27422" xr:uid="{7C48271A-3104-4798-A3DF-0F5877B9C43C}"/>
    <cellStyle name="Normal 24 2 2 6 2 3" xfId="44181" xr:uid="{587A6D74-2FD4-49EE-8479-F09000AF0343}"/>
    <cellStyle name="Normal 24 2 2 6 3" xfId="19042" xr:uid="{3219FFD3-9406-4593-9A55-FD89BC1FA158}"/>
    <cellStyle name="Normal 24 2 2 6 4" xfId="35801" xr:uid="{92704DF5-4B59-43A8-BEE9-31F1905485E3}"/>
    <cellStyle name="Normal 24 2 2 7" xfId="8859" xr:uid="{6A6D8588-0192-4266-9814-1A667C123EAD}"/>
    <cellStyle name="Normal 24 2 2 7 2" xfId="25619" xr:uid="{94CD35AD-48B4-4D95-ACB5-633B52C33002}"/>
    <cellStyle name="Normal 24 2 2 7 3" xfId="42378" xr:uid="{7D737317-93ED-43E6-9DF1-4B4B7E2D22EC}"/>
    <cellStyle name="Normal 24 2 2 8" xfId="17239" xr:uid="{73B89323-2DBF-4FE8-8E8C-C313664A9D60}"/>
    <cellStyle name="Normal 24 2 2 9" xfId="33998" xr:uid="{E95AF172-8DC5-49D8-AC74-302D7C8CD2DC}"/>
    <cellStyle name="Normal 24 2 3" xfId="816" xr:uid="{3F36CFBA-4327-4598-B3DE-0EE45262BE3E}"/>
    <cellStyle name="Normal 24 2 3 2" xfId="4211" xr:uid="{9029532A-4794-4ED3-A0D5-F85A6D3CDC68}"/>
    <cellStyle name="Normal 24 2 3 2 2" xfId="12591" xr:uid="{441E365B-97CC-4E63-8552-5F1919FDB99D}"/>
    <cellStyle name="Normal 24 2 3 2 2 2" xfId="29351" xr:uid="{5BF3E5CA-8BC4-4D75-8A20-5242D136F769}"/>
    <cellStyle name="Normal 24 2 3 2 2 3" xfId="46110" xr:uid="{2D73B5CB-4AC0-406C-97B6-431C98C19A6B}"/>
    <cellStyle name="Normal 24 2 3 2 3" xfId="20971" xr:uid="{6D229224-2ECE-4516-A170-866D5ADF42F3}"/>
    <cellStyle name="Normal 24 2 3 2 4" xfId="37730" xr:uid="{DBABFD46-5C39-4C2F-BFDB-AF1359B4EBC0}"/>
    <cellStyle name="Normal 24 2 3 3" xfId="5898" xr:uid="{B86CBCD1-2E7A-48DC-95E5-42D3C59880A5}"/>
    <cellStyle name="Normal 24 2 3 3 2" xfId="14278" xr:uid="{B4726271-DDC1-4686-A580-0631B3A96B22}"/>
    <cellStyle name="Normal 24 2 3 3 2 2" xfId="31038" xr:uid="{D5364F87-4F7B-4601-9F86-9CD2F2BD5714}"/>
    <cellStyle name="Normal 24 2 3 3 2 3" xfId="47797" xr:uid="{22191022-3337-467F-A401-9C2495B114AC}"/>
    <cellStyle name="Normal 24 2 3 3 3" xfId="22658" xr:uid="{9F113749-8EB7-4FCB-8BCB-BF12D7E7B49F}"/>
    <cellStyle name="Normal 24 2 3 3 4" xfId="39417" xr:uid="{250F9392-E0B2-4384-A013-EB02B5A40755}"/>
    <cellStyle name="Normal 24 2 3 4" xfId="2634" xr:uid="{8F63A60E-1336-495A-A1FA-0CA64CCCA9AD}"/>
    <cellStyle name="Normal 24 2 3 4 2" xfId="11014" xr:uid="{CE2572AC-3BE1-4B92-865C-A602CAB5ABED}"/>
    <cellStyle name="Normal 24 2 3 4 2 2" xfId="27774" xr:uid="{1D1F3304-0ADD-47AA-AD42-725AD904EAF1}"/>
    <cellStyle name="Normal 24 2 3 4 2 3" xfId="44533" xr:uid="{FAB89D1B-F6D4-454E-AD37-D1B29E164DC7}"/>
    <cellStyle name="Normal 24 2 3 4 3" xfId="19394" xr:uid="{F27A1AC9-9A8F-48DC-A98E-C6864E0518CB}"/>
    <cellStyle name="Normal 24 2 3 4 4" xfId="36153" xr:uid="{1036E211-074F-45A5-B0C2-0C6380090443}"/>
    <cellStyle name="Normal 24 2 3 5" xfId="9211" xr:uid="{32039835-782D-413B-8CAD-3F58EDDF28CE}"/>
    <cellStyle name="Normal 24 2 3 5 2" xfId="25971" xr:uid="{E5407940-DEEC-4EC9-86AA-A9BFD635BB93}"/>
    <cellStyle name="Normal 24 2 3 5 3" xfId="42730" xr:uid="{A712F370-E2C7-496D-8277-86742D199F70}"/>
    <cellStyle name="Normal 24 2 3 6" xfId="17591" xr:uid="{6C93DBFF-046E-4B51-89CD-7B9B08B48591}"/>
    <cellStyle name="Normal 24 2 3 7" xfId="34350" xr:uid="{8C274455-4980-4528-9345-046E99514732}"/>
    <cellStyle name="Normal 24 2 4" xfId="1250" xr:uid="{DCA445CA-8DEE-43D6-A2FE-6DA0BC4EC01E}"/>
    <cellStyle name="Normal 24 2 4 2" xfId="4639" xr:uid="{B77A7469-8D59-4298-930D-F046404A1A7A}"/>
    <cellStyle name="Normal 24 2 4 2 2" xfId="13019" xr:uid="{9DB33BC1-C794-4993-AD6D-AE3311668AE7}"/>
    <cellStyle name="Normal 24 2 4 2 2 2" xfId="29779" xr:uid="{D5850342-E8E5-494F-B4F0-1DF0C95B4251}"/>
    <cellStyle name="Normal 24 2 4 2 2 3" xfId="46538" xr:uid="{818E0891-1784-4CE3-A1B2-7AB6A2CBF16C}"/>
    <cellStyle name="Normal 24 2 4 2 3" xfId="21399" xr:uid="{232CC9FE-6942-4094-8AB8-1DE70DE76B38}"/>
    <cellStyle name="Normal 24 2 4 2 4" xfId="38158" xr:uid="{9F7ABB87-7769-41A6-A70B-18599013CE5C}"/>
    <cellStyle name="Normal 24 2 4 3" xfId="6326" xr:uid="{E0D3D470-8EC5-4492-9832-B11EAB5D8055}"/>
    <cellStyle name="Normal 24 2 4 3 2" xfId="14706" xr:uid="{A1A8BC74-ECDC-4833-99B1-55D64758E967}"/>
    <cellStyle name="Normal 24 2 4 3 2 2" xfId="31466" xr:uid="{59DFBBC1-7D81-464A-96B1-705D3B672289}"/>
    <cellStyle name="Normal 24 2 4 3 2 3" xfId="48225" xr:uid="{15D1E5F3-6A3F-4315-97F4-B86A707C1E87}"/>
    <cellStyle name="Normal 24 2 4 3 3" xfId="23086" xr:uid="{91846D69-99D4-4AF5-9293-BAB2491D9F52}"/>
    <cellStyle name="Normal 24 2 4 3 4" xfId="39845" xr:uid="{20A635FB-46FB-4B6E-8AAC-D0EDDCF093F6}"/>
    <cellStyle name="Normal 24 2 4 4" xfId="3062" xr:uid="{3A60A92D-9991-42DC-A5EE-7FAED6BECEE3}"/>
    <cellStyle name="Normal 24 2 4 4 2" xfId="11442" xr:uid="{FD417F03-C203-49F8-A9BE-C0144F7F71D7}"/>
    <cellStyle name="Normal 24 2 4 4 2 2" xfId="28202" xr:uid="{D22126FD-00D0-42B9-A4B1-1CC47B452594}"/>
    <cellStyle name="Normal 24 2 4 4 2 3" xfId="44961" xr:uid="{1187CB8F-254E-484D-9C4C-5B27D071FEB6}"/>
    <cellStyle name="Normal 24 2 4 4 3" xfId="19822" xr:uid="{9211AEF6-FC0B-4A55-A809-0F561B0ADDC1}"/>
    <cellStyle name="Normal 24 2 4 4 4" xfId="36581" xr:uid="{42FC79BD-C0E9-4A02-9B53-3922DC1B52A0}"/>
    <cellStyle name="Normal 24 2 4 5" xfId="9639" xr:uid="{BA7D2E45-42D5-4CAD-A296-FF233E74E7A3}"/>
    <cellStyle name="Normal 24 2 4 5 2" xfId="26399" xr:uid="{AF68FE7E-9E3F-43C4-BBB4-2C473AE5380D}"/>
    <cellStyle name="Normal 24 2 4 5 3" xfId="43158" xr:uid="{C613AAE1-8CB5-4808-9A9D-A1C6F4D619E7}"/>
    <cellStyle name="Normal 24 2 4 6" xfId="18019" xr:uid="{5875D458-1665-4D49-BE97-032F9CE19312}"/>
    <cellStyle name="Normal 24 2 4 7" xfId="34778" xr:uid="{DE2A9D8D-0AA5-4B1A-879B-C22FA8D8F975}"/>
    <cellStyle name="Normal 24 2 5" xfId="1865" xr:uid="{3D2ED1C8-98B8-4376-B125-2F372588CCFA}"/>
    <cellStyle name="Normal 24 2 5 2" xfId="5254" xr:uid="{1DBA9761-6CC0-422F-84E0-8FB7E635B9A7}"/>
    <cellStyle name="Normal 24 2 5 2 2" xfId="13634" xr:uid="{34D85DB2-C09A-4057-89F0-34D0413937DD}"/>
    <cellStyle name="Normal 24 2 5 2 2 2" xfId="30394" xr:uid="{4C7CB467-619D-43F1-BB34-8551D91BD7FC}"/>
    <cellStyle name="Normal 24 2 5 2 2 3" xfId="47153" xr:uid="{13262062-7B6D-43ED-B9DA-80C37ED1C21C}"/>
    <cellStyle name="Normal 24 2 5 2 3" xfId="22014" xr:uid="{99D58C2D-09C8-47EC-BEEC-41EAE9C135AE}"/>
    <cellStyle name="Normal 24 2 5 2 4" xfId="38773" xr:uid="{653E9A04-76D0-4E5E-B9E9-2E24F640EF8A}"/>
    <cellStyle name="Normal 24 2 5 3" xfId="6941" xr:uid="{2651913A-89E6-4AB2-BC80-CCEE18FB7C21}"/>
    <cellStyle name="Normal 24 2 5 3 2" xfId="15321" xr:uid="{04761EF7-5470-4313-A0B7-D3B2F6688726}"/>
    <cellStyle name="Normal 24 2 5 3 2 2" xfId="32081" xr:uid="{DC09CD8C-11F4-4A8B-9F1B-2756E1193637}"/>
    <cellStyle name="Normal 24 2 5 3 2 3" xfId="48840" xr:uid="{C1FAE13F-E8CA-4CFF-8B3E-29AF04A143E9}"/>
    <cellStyle name="Normal 24 2 5 3 3" xfId="23701" xr:uid="{5995CE6D-82AB-497B-A002-910DBAAB9013}"/>
    <cellStyle name="Normal 24 2 5 3 4" xfId="40460" xr:uid="{C2B2B4A2-E5F4-4B9A-98B7-F82C37343C29}"/>
    <cellStyle name="Normal 24 2 5 4" xfId="3564" xr:uid="{2809017C-A783-4842-A2F4-53AADD4496F6}"/>
    <cellStyle name="Normal 24 2 5 4 2" xfId="11944" xr:uid="{CE9BEEE7-8BFA-4E91-9DA2-B2473F29C743}"/>
    <cellStyle name="Normal 24 2 5 4 2 2" xfId="28704" xr:uid="{D3F5B452-BB29-4431-810F-F3A060BC2F01}"/>
    <cellStyle name="Normal 24 2 5 4 2 3" xfId="45463" xr:uid="{E4A2C803-75C3-4DC0-882E-1178F7921200}"/>
    <cellStyle name="Normal 24 2 5 4 3" xfId="20324" xr:uid="{D7DA847E-B0ED-4B9D-9C29-2E0E5C5A233B}"/>
    <cellStyle name="Normal 24 2 5 4 4" xfId="37083" xr:uid="{F78ECD7F-8161-4BAF-87BB-68D4E1049CD4}"/>
    <cellStyle name="Normal 24 2 5 5" xfId="10254" xr:uid="{F6861FEF-3542-424E-88B1-5495EAB16FCE}"/>
    <cellStyle name="Normal 24 2 5 5 2" xfId="27014" xr:uid="{2258A639-4F69-47FB-AD92-E55E7B6CC340}"/>
    <cellStyle name="Normal 24 2 5 5 3" xfId="43773" xr:uid="{521FC26D-B4FD-48A3-B61F-3F384699B044}"/>
    <cellStyle name="Normal 24 2 5 6" xfId="18634" xr:uid="{B4B0F972-395F-4267-B574-3695A73184E8}"/>
    <cellStyle name="Normal 24 2 5 7" xfId="35393" xr:uid="{803D9CB4-0132-457E-A111-690D1008C7E4}"/>
    <cellStyle name="Normal 24 2 6" xfId="3984" xr:uid="{C4927AFC-0324-495E-8DDC-97CCE5ED6D36}"/>
    <cellStyle name="Normal 24 2 6 2" xfId="12364" xr:uid="{B57054B3-6B62-4EF3-B022-4FE035686CCC}"/>
    <cellStyle name="Normal 24 2 6 2 2" xfId="29124" xr:uid="{2C4872B5-5AF5-4EBB-9AE0-D0B7949FE003}"/>
    <cellStyle name="Normal 24 2 6 2 3" xfId="45883" xr:uid="{2B5E8678-F518-4B34-9400-14695B41BD8D}"/>
    <cellStyle name="Normal 24 2 6 3" xfId="20744" xr:uid="{212DE67B-9C94-4DDD-AC0E-E1805E9E2B31}"/>
    <cellStyle name="Normal 24 2 6 4" xfId="37503" xr:uid="{C6928045-B453-43AA-BED6-6E97E85E6ACB}"/>
    <cellStyle name="Normal 24 2 7" xfId="5472" xr:uid="{8D84EAE5-5B9A-4C3D-BEE7-FA27597A2A40}"/>
    <cellStyle name="Normal 24 2 7 2" xfId="13852" xr:uid="{E886A1E4-AB2B-40AE-A8BF-E70EC003673E}"/>
    <cellStyle name="Normal 24 2 7 2 2" xfId="30612" xr:uid="{EF118FA7-4631-470B-AAF7-6519FD66DC0B}"/>
    <cellStyle name="Normal 24 2 7 2 3" xfId="47371" xr:uid="{8E18C5A6-5F99-4BCB-BBAE-45EE8EB744A0}"/>
    <cellStyle name="Normal 24 2 7 3" xfId="22232" xr:uid="{A46211EC-1916-4C17-9BD3-6BADB43EFC25}"/>
    <cellStyle name="Normal 24 2 7 4" xfId="38991" xr:uid="{C77E85AD-0306-4A76-A6EF-ED1FBA54F944}"/>
    <cellStyle name="Normal 24 2 8" xfId="7347" xr:uid="{09F847AA-9968-4479-BABB-055BFEA3142A}"/>
    <cellStyle name="Normal 24 2 8 2" xfId="15727" xr:uid="{A34768C8-3C5E-4DE5-A28A-587635570D01}"/>
    <cellStyle name="Normal 24 2 8 2 2" xfId="32487" xr:uid="{2ADDBEC5-5DFE-414F-B549-12C9E0997845}"/>
    <cellStyle name="Normal 24 2 8 2 3" xfId="49246" xr:uid="{E8955DDF-6037-48E9-B0E7-036F7E45B161}"/>
    <cellStyle name="Normal 24 2 8 3" xfId="24107" xr:uid="{316ACD1B-4140-4559-8021-10C49AF4D39C}"/>
    <cellStyle name="Normal 24 2 8 4" xfId="40866" xr:uid="{7D2571D7-50FB-4A31-B95C-F1914BB5AD31}"/>
    <cellStyle name="Normal 24 2 9" xfId="7753" xr:uid="{4423572C-A786-40E1-9A8C-42EE7BCF3A43}"/>
    <cellStyle name="Normal 24 2 9 2" xfId="16133" xr:uid="{E7E0BD11-730D-4C71-B523-122D87B79BC2}"/>
    <cellStyle name="Normal 24 2 9 2 2" xfId="32893" xr:uid="{7F33D71A-EBD2-4851-9C93-657641E4CE88}"/>
    <cellStyle name="Normal 24 2 9 2 3" xfId="49652" xr:uid="{8A5AED77-8936-472A-8D17-A7D0AA2232AD}"/>
    <cellStyle name="Normal 24 2 9 3" xfId="24513" xr:uid="{3B45F021-E893-4AB0-AC09-0403B858FB99}"/>
    <cellStyle name="Normal 24 2 9 4" xfId="41272" xr:uid="{A7D98D77-F938-40EB-AD0A-68F6710241B8}"/>
    <cellStyle name="Normal 24 3" xfId="367" xr:uid="{543190EB-2F5E-4A35-849F-B09786F1E0D4}"/>
    <cellStyle name="Normal 24 3 10" xfId="8705" xr:uid="{B6C0038C-5375-41B7-9EC0-1E78361E2A87}"/>
    <cellStyle name="Normal 24 3 10 2" xfId="17085" xr:uid="{37EE4B20-D396-48F4-8FAF-14A2F0B47545}"/>
    <cellStyle name="Normal 24 3 10 2 2" xfId="33845" xr:uid="{86921B5B-28E2-4BEE-BBE3-019063D362C6}"/>
    <cellStyle name="Normal 24 3 10 2 3" xfId="50604" xr:uid="{427F5058-47BE-4FD0-8FD2-53217F99DCBF}"/>
    <cellStyle name="Normal 24 3 10 3" xfId="25465" xr:uid="{F8BB6538-FC04-493C-9747-91A13A16BBCC}"/>
    <cellStyle name="Normal 24 3 10 4" xfId="42224" xr:uid="{EFF40100-8D72-4CF4-9DA3-189A3614D86A}"/>
    <cellStyle name="Normal 24 3 11" xfId="2250" xr:uid="{BE810716-E54E-44D6-B83C-86A07AC04C16}"/>
    <cellStyle name="Normal 24 3 11 2" xfId="10634" xr:uid="{641E59A6-FC4F-424A-A0D2-BFA426E158A9}"/>
    <cellStyle name="Normal 24 3 11 2 2" xfId="27394" xr:uid="{BE268288-3818-45E7-B170-60D5C6AB037E}"/>
    <cellStyle name="Normal 24 3 11 2 3" xfId="44153" xr:uid="{E24DA04C-1A24-430B-8A99-45C298CA38E3}"/>
    <cellStyle name="Normal 24 3 11 3" xfId="19014" xr:uid="{CEE658C9-5DB7-4762-9B81-D8D105D19F6E}"/>
    <cellStyle name="Normal 24 3 11 4" xfId="35773" xr:uid="{37EAC056-8C8B-4508-B559-D10F9C13CA9E}"/>
    <cellStyle name="Normal 24 3 12" xfId="8831" xr:uid="{599C71A3-2AE6-4C06-AEB7-943643DAE60B}"/>
    <cellStyle name="Normal 24 3 12 2" xfId="25591" xr:uid="{F2B4DAC5-CFD0-40BF-8D94-E17C0AC9A671}"/>
    <cellStyle name="Normal 24 3 12 3" xfId="42350" xr:uid="{D0AF0696-7613-469E-B5A4-8944AC901080}"/>
    <cellStyle name="Normal 24 3 13" xfId="17211" xr:uid="{1E6D3B84-2D20-4641-8986-59C0A22E5ED6}"/>
    <cellStyle name="Normal 24 3 14" xfId="33970" xr:uid="{1E182A5A-8FB7-493D-ACFA-26395502E072}"/>
    <cellStyle name="Normal 24 3 2" xfId="862" xr:uid="{DC9AE514-813A-4AF4-BBFB-F620DD244624}"/>
    <cellStyle name="Normal 24 3 2 2" xfId="4257" xr:uid="{0ED1868F-EF5D-4752-A992-A3946EE4EA7F}"/>
    <cellStyle name="Normal 24 3 2 2 2" xfId="12637" xr:uid="{3B1FF3FD-7BF1-4D85-93DB-FEFA6A38761A}"/>
    <cellStyle name="Normal 24 3 2 2 2 2" xfId="29397" xr:uid="{9B99AEC8-717B-4396-B1FA-0D43F6F662E4}"/>
    <cellStyle name="Normal 24 3 2 2 2 3" xfId="46156" xr:uid="{63B1B7C9-E2C3-4D52-8682-B00E98A3DC06}"/>
    <cellStyle name="Normal 24 3 2 2 3" xfId="21017" xr:uid="{E93B028B-13B7-48A8-87F7-42B242B621DB}"/>
    <cellStyle name="Normal 24 3 2 2 4" xfId="37776" xr:uid="{5E79B343-4D91-4FD7-8DB0-FF9A2FF21FB3}"/>
    <cellStyle name="Normal 24 3 2 3" xfId="5944" xr:uid="{DA6B0833-6176-4AA4-84CA-89AB83EFB0CA}"/>
    <cellStyle name="Normal 24 3 2 3 2" xfId="14324" xr:uid="{2D271C3D-12FB-4AC6-816A-D3CA7C5DC37C}"/>
    <cellStyle name="Normal 24 3 2 3 2 2" xfId="31084" xr:uid="{D35A0045-669F-4016-A65F-528F90D4A2FB}"/>
    <cellStyle name="Normal 24 3 2 3 2 3" xfId="47843" xr:uid="{AF3C1872-2007-4544-B805-FFD219081CC9}"/>
    <cellStyle name="Normal 24 3 2 3 3" xfId="22704" xr:uid="{F537C32F-F96A-49B6-A32F-12E774E7F17C}"/>
    <cellStyle name="Normal 24 3 2 3 4" xfId="39463" xr:uid="{1157CD0A-B830-4251-822B-DA2ED71A4856}"/>
    <cellStyle name="Normal 24 3 2 4" xfId="2680" xr:uid="{5576CBC8-556C-4F8D-BD45-403F83D4D0E1}"/>
    <cellStyle name="Normal 24 3 2 4 2" xfId="11060" xr:uid="{219494AE-8076-4512-B4B9-4CB1C19DA4BA}"/>
    <cellStyle name="Normal 24 3 2 4 2 2" xfId="27820" xr:uid="{8F7D92AE-3F3F-4C9D-837E-A7DE654C56C3}"/>
    <cellStyle name="Normal 24 3 2 4 2 3" xfId="44579" xr:uid="{FEA51E8C-50C8-467E-8AD3-0E3C8B4C8640}"/>
    <cellStyle name="Normal 24 3 2 4 3" xfId="19440" xr:uid="{5B01BEE8-BE55-4764-96DE-CF4B4EAAA926}"/>
    <cellStyle name="Normal 24 3 2 4 4" xfId="36199" xr:uid="{C41B89C7-086A-4936-B92D-C67FD60A8C9F}"/>
    <cellStyle name="Normal 24 3 2 5" xfId="9257" xr:uid="{19E45DEB-7A99-4128-81CD-A415D952E5D3}"/>
    <cellStyle name="Normal 24 3 2 5 2" xfId="26017" xr:uid="{F0853E6E-682B-4FFA-BA46-41D535B89DBE}"/>
    <cellStyle name="Normal 24 3 2 5 3" xfId="42776" xr:uid="{C2E401B0-3A64-4F2B-A0B7-29DC587FD42B}"/>
    <cellStyle name="Normal 24 3 2 6" xfId="17637" xr:uid="{E0AE7CD6-FB76-44C9-BBFE-018534130436}"/>
    <cellStyle name="Normal 24 3 2 7" xfId="34396" xr:uid="{E694D446-3FC0-4FD7-9E8E-D68A78E7F99E}"/>
    <cellStyle name="Normal 24 3 3" xfId="1296" xr:uid="{20E64D07-D44A-4A3B-87E5-F726ACE5E01E}"/>
    <cellStyle name="Normal 24 3 3 2" xfId="4685" xr:uid="{33193D89-3077-4B93-9A25-E998C8B4A3FD}"/>
    <cellStyle name="Normal 24 3 3 2 2" xfId="13065" xr:uid="{6625BFC8-9E82-4987-9031-FA66B79C52DD}"/>
    <cellStyle name="Normal 24 3 3 2 2 2" xfId="29825" xr:uid="{D6862C66-B1D2-47A1-A77D-D02A20E7231D}"/>
    <cellStyle name="Normal 24 3 3 2 2 3" xfId="46584" xr:uid="{DFCEB9F0-AC23-4584-A5BB-97DC1E53ECA7}"/>
    <cellStyle name="Normal 24 3 3 2 3" xfId="21445" xr:uid="{D382BEAF-AE92-4535-918A-ABBE26A1FABE}"/>
    <cellStyle name="Normal 24 3 3 2 4" xfId="38204" xr:uid="{683A62D3-B598-4D0E-89A6-583BDE2943FE}"/>
    <cellStyle name="Normal 24 3 3 3" xfId="6372" xr:uid="{737E584B-557B-4B6B-AC59-6F5F23FD552B}"/>
    <cellStyle name="Normal 24 3 3 3 2" xfId="14752" xr:uid="{B7992F5E-1377-40C6-BB2C-9DC4D90607EC}"/>
    <cellStyle name="Normal 24 3 3 3 2 2" xfId="31512" xr:uid="{4B06F47A-0848-45D9-A954-67010EC3DC3B}"/>
    <cellStyle name="Normal 24 3 3 3 2 3" xfId="48271" xr:uid="{56B9576A-DC7A-4BA0-9B7C-539187C54EC6}"/>
    <cellStyle name="Normal 24 3 3 3 3" xfId="23132" xr:uid="{D6B2ABBB-281F-419A-BFF6-43A09A79740F}"/>
    <cellStyle name="Normal 24 3 3 3 4" xfId="39891" xr:uid="{59183E56-DC4E-4306-BA42-E9AE024F0438}"/>
    <cellStyle name="Normal 24 3 3 4" xfId="3108" xr:uid="{5EDDFEE0-4FC9-454A-B0F8-EC240E10221B}"/>
    <cellStyle name="Normal 24 3 3 4 2" xfId="11488" xr:uid="{F2A00354-6F07-40B8-B2E2-FB23869C534A}"/>
    <cellStyle name="Normal 24 3 3 4 2 2" xfId="28248" xr:uid="{4E30BDA5-EC19-4B81-9E73-8F23446DBAEC}"/>
    <cellStyle name="Normal 24 3 3 4 2 3" xfId="45007" xr:uid="{E301780E-9B7D-46F8-B022-CEA9E7D114AB}"/>
    <cellStyle name="Normal 24 3 3 4 3" xfId="19868" xr:uid="{5C11FE66-F8D3-4007-946E-2D7A42938882}"/>
    <cellStyle name="Normal 24 3 3 4 4" xfId="36627" xr:uid="{4CFD55BF-14E9-416B-9489-9CFEE887D50D}"/>
    <cellStyle name="Normal 24 3 3 5" xfId="9685" xr:uid="{62259173-372B-4440-B8F1-663BEC373005}"/>
    <cellStyle name="Normal 24 3 3 5 2" xfId="26445" xr:uid="{E09EB4A1-B6AF-4B18-8078-052D88979FE4}"/>
    <cellStyle name="Normal 24 3 3 5 3" xfId="43204" xr:uid="{2DC25A07-5497-46A3-90D0-5E38CFDCE0B2}"/>
    <cellStyle name="Normal 24 3 3 6" xfId="18065" xr:uid="{5EE06442-9D13-4175-B47B-00DA20303295}"/>
    <cellStyle name="Normal 24 3 3 7" xfId="34824" xr:uid="{24748A56-39F8-4530-A0C2-A3D477BCA890}"/>
    <cellStyle name="Normal 24 3 4" xfId="2005" xr:uid="{6E7B0CC2-B062-4C1D-BE3C-113A2FDA1C18}"/>
    <cellStyle name="Normal 24 3 4 2" xfId="5394" xr:uid="{9CFA362B-5292-40A2-8CC7-21C686C28FCA}"/>
    <cellStyle name="Normal 24 3 4 2 2" xfId="13774" xr:uid="{BD7530CC-4D46-42DE-949B-4048196C849C}"/>
    <cellStyle name="Normal 24 3 4 2 2 2" xfId="30534" xr:uid="{C89909E0-1960-4A08-9E95-3BA23B787270}"/>
    <cellStyle name="Normal 24 3 4 2 2 3" xfId="47293" xr:uid="{27C0EB3C-6B36-4BAC-A095-CFCE63F32637}"/>
    <cellStyle name="Normal 24 3 4 2 3" xfId="22154" xr:uid="{4466B85B-1443-476D-A073-9D8EBFE42475}"/>
    <cellStyle name="Normal 24 3 4 2 4" xfId="38913" xr:uid="{963B7FFA-681A-4DB9-A4EC-1DBBF344B591}"/>
    <cellStyle name="Normal 24 3 4 3" xfId="7081" xr:uid="{400862FB-915C-4278-B192-337A869D4AD9}"/>
    <cellStyle name="Normal 24 3 4 3 2" xfId="15461" xr:uid="{7C89ED56-2F8E-449C-A8DA-E3A206FB481B}"/>
    <cellStyle name="Normal 24 3 4 3 2 2" xfId="32221" xr:uid="{FA17C109-7776-4361-B000-50F8146432EC}"/>
    <cellStyle name="Normal 24 3 4 3 2 3" xfId="48980" xr:uid="{72DC0A61-7818-446D-8B22-21B7860F7CF6}"/>
    <cellStyle name="Normal 24 3 4 3 3" xfId="23841" xr:uid="{CAE26612-58E4-468A-BA80-51926FA87ED6}"/>
    <cellStyle name="Normal 24 3 4 3 4" xfId="40600" xr:uid="{F4F01F76-3E2F-4156-B818-961A3DED4A25}"/>
    <cellStyle name="Normal 24 3 4 4" xfId="3704" xr:uid="{76847466-D620-4371-823F-E8645E97907E}"/>
    <cellStyle name="Normal 24 3 4 4 2" xfId="12084" xr:uid="{90EE9139-2AD3-419A-BCE7-E1DFF7BB441F}"/>
    <cellStyle name="Normal 24 3 4 4 2 2" xfId="28844" xr:uid="{3E1D5919-64CC-47B2-9CF3-E82CF9197F05}"/>
    <cellStyle name="Normal 24 3 4 4 2 3" xfId="45603" xr:uid="{D0551CA6-BACF-444A-A4D0-394202BF0741}"/>
    <cellStyle name="Normal 24 3 4 4 3" xfId="20464" xr:uid="{661AFC62-5885-4E34-A9E7-777DDC95D8CB}"/>
    <cellStyle name="Normal 24 3 4 4 4" xfId="37223" xr:uid="{AB747BBE-CE7E-47B8-8297-9F69600D1E2B}"/>
    <cellStyle name="Normal 24 3 4 5" xfId="10394" xr:uid="{31A3997A-66E4-4586-9AB7-B66323DE2EB9}"/>
    <cellStyle name="Normal 24 3 4 5 2" xfId="27154" xr:uid="{4A2540CD-5E7D-4EFB-8315-B434AEEAD393}"/>
    <cellStyle name="Normal 24 3 4 5 3" xfId="43913" xr:uid="{4A6016D4-8DD7-4BE5-A8C5-7957EB6862F7}"/>
    <cellStyle name="Normal 24 3 4 6" xfId="18774" xr:uid="{A44E97D0-20B7-4130-9E3F-66DFD5C20DB1}"/>
    <cellStyle name="Normal 24 3 4 7" xfId="35533" xr:uid="{81AC5896-2EED-4714-BEE3-F2B91073F6A4}"/>
    <cellStyle name="Normal 24 3 5" xfId="4124" xr:uid="{C7158892-86AB-414F-B9C1-DC4A0D686F60}"/>
    <cellStyle name="Normal 24 3 5 2" xfId="12504" xr:uid="{3FB05DC3-51D3-451B-B28F-4DE6A10B5F8D}"/>
    <cellStyle name="Normal 24 3 5 2 2" xfId="29264" xr:uid="{926395E7-BD41-4F6D-A19F-00A9BA8DA833}"/>
    <cellStyle name="Normal 24 3 5 2 3" xfId="46023" xr:uid="{216C4B05-2BB1-488E-93B9-A597CB38E078}"/>
    <cellStyle name="Normal 24 3 5 3" xfId="20884" xr:uid="{8FF53FF1-E324-49ED-89AF-32E4EA558AA3}"/>
    <cellStyle name="Normal 24 3 5 4" xfId="37643" xr:uid="{D261D02C-3A68-4E32-B424-CCD79DC78033}"/>
    <cellStyle name="Normal 24 3 6" xfId="5518" xr:uid="{D42756FC-0908-45DC-86B8-20017A26EA20}"/>
    <cellStyle name="Normal 24 3 6 2" xfId="13898" xr:uid="{D40A2DB9-9C03-4806-8A15-37788E908B00}"/>
    <cellStyle name="Normal 24 3 6 2 2" xfId="30658" xr:uid="{A74BC0CF-74D9-48FC-86CD-23549B0B02B4}"/>
    <cellStyle name="Normal 24 3 6 2 3" xfId="47417" xr:uid="{081D0A0B-0EF9-48A0-8874-80FB92ECAD69}"/>
    <cellStyle name="Normal 24 3 6 3" xfId="22278" xr:uid="{023FB1DF-EBD0-47AB-B2F3-D2692A69A463}"/>
    <cellStyle name="Normal 24 3 6 4" xfId="39037" xr:uid="{F9BFC753-3D25-4A7F-84FC-2471E0538F92}"/>
    <cellStyle name="Normal 24 3 7" xfId="7487" xr:uid="{8FDED51A-F52C-4D57-944D-1AB987FD056A}"/>
    <cellStyle name="Normal 24 3 7 2" xfId="15867" xr:uid="{B15E0B59-7D25-4A47-81BA-6C12432B0FDE}"/>
    <cellStyle name="Normal 24 3 7 2 2" xfId="32627" xr:uid="{29C0D809-8953-4AAC-9BCC-C510B963F069}"/>
    <cellStyle name="Normal 24 3 7 2 3" xfId="49386" xr:uid="{453D94B4-F6EB-43D8-9DC4-E3C4173DA619}"/>
    <cellStyle name="Normal 24 3 7 3" xfId="24247" xr:uid="{56E21D82-25A5-4E55-93E2-FA1AE8E70B47}"/>
    <cellStyle name="Normal 24 3 7 4" xfId="41006" xr:uid="{0C552DBD-5A67-4510-B720-472C2562B3C8}"/>
    <cellStyle name="Normal 24 3 8" xfId="7893" xr:uid="{B29F156E-2D11-485F-AAE0-A82F632A7BF5}"/>
    <cellStyle name="Normal 24 3 8 2" xfId="16273" xr:uid="{8749DD26-AD8B-4CBF-BD41-EB4DA7049863}"/>
    <cellStyle name="Normal 24 3 8 2 2" xfId="33033" xr:uid="{87CF49E7-B774-4831-A53C-ED986D843BF7}"/>
    <cellStyle name="Normal 24 3 8 2 3" xfId="49792" xr:uid="{3415D8AF-3003-465A-BDC3-2BCCA2351264}"/>
    <cellStyle name="Normal 24 3 8 3" xfId="24653" xr:uid="{6513087B-8C93-4C4D-B833-73BEFF2A3770}"/>
    <cellStyle name="Normal 24 3 8 4" xfId="41412" xr:uid="{E771E494-D3D5-4171-B8DE-F27EA7C07315}"/>
    <cellStyle name="Normal 24 3 9" xfId="8299" xr:uid="{3DE2B9EE-34D3-43C7-8BAF-A10DF2BD1951}"/>
    <cellStyle name="Normal 24 3 9 2" xfId="16679" xr:uid="{14D74AEB-602F-4F78-82D3-C2CF44B06866}"/>
    <cellStyle name="Normal 24 3 9 2 2" xfId="33439" xr:uid="{FE421A3F-7034-4678-9BB8-DE3D90FCE301}"/>
    <cellStyle name="Normal 24 3 9 2 3" xfId="50198" xr:uid="{F56397B4-2B39-4BF4-A913-0E09C872B17D}"/>
    <cellStyle name="Normal 24 3 9 3" xfId="25059" xr:uid="{F0D43E90-6CD2-43C3-914E-F7F948C1DD4F}"/>
    <cellStyle name="Normal 24 3 9 4" xfId="41818" xr:uid="{0D06373A-6061-4DEB-B0FB-7C952FC4951B}"/>
    <cellStyle name="Normal 24 4" xfId="788" xr:uid="{C421EF91-021D-422C-966A-866716243D6D}"/>
    <cellStyle name="Normal 24 4 2" xfId="4183" xr:uid="{AE47E1BB-A43C-470D-8159-B4EA5BFC4854}"/>
    <cellStyle name="Normal 24 4 2 2" xfId="12563" xr:uid="{90481606-A5A6-47DF-B47E-93BABD0AEA16}"/>
    <cellStyle name="Normal 24 4 2 2 2" xfId="29323" xr:uid="{5F5A59EB-FA3F-40BC-AD26-C9D7A2099779}"/>
    <cellStyle name="Normal 24 4 2 2 3" xfId="46082" xr:uid="{EDC57647-BB05-4513-93EF-5B489E1BECFD}"/>
    <cellStyle name="Normal 24 4 2 3" xfId="20943" xr:uid="{0ACEF1FF-AA3E-4DDF-A329-1833FCA51B83}"/>
    <cellStyle name="Normal 24 4 2 4" xfId="37702" xr:uid="{F2815710-3AFE-47BA-AFEC-C2EAE63D99D3}"/>
    <cellStyle name="Normal 24 4 3" xfId="5870" xr:uid="{33A06409-7F85-4B8E-A3A5-63A812F0D1D1}"/>
    <cellStyle name="Normal 24 4 3 2" xfId="14250" xr:uid="{B93412DB-C58D-4D86-9A3C-771C1CECACDD}"/>
    <cellStyle name="Normal 24 4 3 2 2" xfId="31010" xr:uid="{6A799064-0458-4883-B8D1-4EB722B7EE86}"/>
    <cellStyle name="Normal 24 4 3 2 3" xfId="47769" xr:uid="{770B4992-8F20-4FF5-90F3-C20B1F866C8E}"/>
    <cellStyle name="Normal 24 4 3 3" xfId="22630" xr:uid="{F227677D-B9E5-478A-9FDE-B81A36A5942A}"/>
    <cellStyle name="Normal 24 4 3 4" xfId="39389" xr:uid="{02DD86DD-8D17-4137-A450-C2202DBFE2C1}"/>
    <cellStyle name="Normal 24 4 4" xfId="2606" xr:uid="{0B10B6D7-C267-4555-B1B3-DDCD26009B0A}"/>
    <cellStyle name="Normal 24 4 4 2" xfId="10986" xr:uid="{F2C7D51F-0E86-4D9A-98B2-6A6CB478339D}"/>
    <cellStyle name="Normal 24 4 4 2 2" xfId="27746" xr:uid="{915CF08C-B2D9-453D-B60B-7C63DEC798BA}"/>
    <cellStyle name="Normal 24 4 4 2 3" xfId="44505" xr:uid="{F691B6BF-32B8-44A6-B9A0-32DE6E9A604E}"/>
    <cellStyle name="Normal 24 4 4 3" xfId="19366" xr:uid="{0349B4C4-F360-48F1-95BC-34563CFAE569}"/>
    <cellStyle name="Normal 24 4 4 4" xfId="36125" xr:uid="{47B22403-5479-4017-BED4-8229F2E53FC6}"/>
    <cellStyle name="Normal 24 4 5" xfId="9183" xr:uid="{4BD443F7-0746-4039-8769-CFA7EDD0E4FD}"/>
    <cellStyle name="Normal 24 4 5 2" xfId="25943" xr:uid="{E25F34E3-31B1-4A7B-BB2C-0AA5C0B3ABE8}"/>
    <cellStyle name="Normal 24 4 5 3" xfId="42702" xr:uid="{E3DB72B7-66D1-4882-8285-34421B84899F}"/>
    <cellStyle name="Normal 24 4 6" xfId="17563" xr:uid="{3D1B4DD9-0E7F-426D-979F-AB1822B6BCD1}"/>
    <cellStyle name="Normal 24 4 7" xfId="34322" xr:uid="{4481CDC2-8374-4D5B-98CA-B4661AC9FFB5}"/>
    <cellStyle name="Normal 24 5" xfId="1222" xr:uid="{5B405968-D0DF-4A5E-868C-ABA2498FFCF3}"/>
    <cellStyle name="Normal 24 5 2" xfId="4611" xr:uid="{56207965-34D4-4E07-91F3-E04C2F103753}"/>
    <cellStyle name="Normal 24 5 2 2" xfId="12991" xr:uid="{AA2E095C-DCD9-4644-B385-95BFBE0E9DD7}"/>
    <cellStyle name="Normal 24 5 2 2 2" xfId="29751" xr:uid="{8DA059AB-DC02-48E1-BEE2-8E2431896320}"/>
    <cellStyle name="Normal 24 5 2 2 3" xfId="46510" xr:uid="{A0AEA12F-807B-4414-8073-BCF0D99350F3}"/>
    <cellStyle name="Normal 24 5 2 3" xfId="21371" xr:uid="{1657316F-C8A5-4C42-9FF9-524ABA1801E7}"/>
    <cellStyle name="Normal 24 5 2 4" xfId="38130" xr:uid="{8A8EB593-D117-4A4E-95B8-68A74F501FA6}"/>
    <cellStyle name="Normal 24 5 3" xfId="6298" xr:uid="{9A43E491-B281-4897-80C4-467C54D2AD42}"/>
    <cellStyle name="Normal 24 5 3 2" xfId="14678" xr:uid="{F9ED29D4-5409-4309-8325-568074101519}"/>
    <cellStyle name="Normal 24 5 3 2 2" xfId="31438" xr:uid="{2665F2AB-9180-4CB4-939D-72A962B6AAA4}"/>
    <cellStyle name="Normal 24 5 3 2 3" xfId="48197" xr:uid="{5AD7A4B7-2431-4399-963A-1FA977118988}"/>
    <cellStyle name="Normal 24 5 3 3" xfId="23058" xr:uid="{D2E35C6E-AA7E-4D6F-A81F-8DDCE96294A3}"/>
    <cellStyle name="Normal 24 5 3 4" xfId="39817" xr:uid="{D037D7EB-5F87-412D-9775-63AB93C0FAD9}"/>
    <cellStyle name="Normal 24 5 4" xfId="3034" xr:uid="{7705C40C-782E-4D6E-B011-1BCC825F4C8C}"/>
    <cellStyle name="Normal 24 5 4 2" xfId="11414" xr:uid="{C8D546C1-5437-4C53-9DD3-848590D7F8F5}"/>
    <cellStyle name="Normal 24 5 4 2 2" xfId="28174" xr:uid="{591F1AAC-6403-4094-AC19-BBAF2B251E33}"/>
    <cellStyle name="Normal 24 5 4 2 3" xfId="44933" xr:uid="{C8E8A03E-08CE-4B49-BEEA-5375A814C147}"/>
    <cellStyle name="Normal 24 5 4 3" xfId="19794" xr:uid="{296E15F9-0DF8-4818-86E1-FBF3DB6C2D79}"/>
    <cellStyle name="Normal 24 5 4 4" xfId="36553" xr:uid="{CD5676EA-07F1-47FE-A273-60DA762F0E7C}"/>
    <cellStyle name="Normal 24 5 5" xfId="9611" xr:uid="{BD3A79AF-3955-401A-B461-2B7F3FDDB7E9}"/>
    <cellStyle name="Normal 24 5 5 2" xfId="26371" xr:uid="{D219F9E4-F39E-45DD-B6B6-62A443813900}"/>
    <cellStyle name="Normal 24 5 5 3" xfId="43130" xr:uid="{DEB734D6-60A3-49A8-95C6-0F2288EF5FED}"/>
    <cellStyle name="Normal 24 5 6" xfId="17991" xr:uid="{68083F25-B961-464B-9218-A8656C4DD776}"/>
    <cellStyle name="Normal 24 5 7" xfId="34750" xr:uid="{8D25CC5F-2A01-41B5-813C-17283FB6BE44}"/>
    <cellStyle name="Normal 24 6" xfId="1734" xr:uid="{F1BBD132-6624-44D2-8D9C-113E303E6E71}"/>
    <cellStyle name="Normal 24 6 2" xfId="5123" xr:uid="{708A77C5-AA23-4CDD-87C5-0AAC9A326B42}"/>
    <cellStyle name="Normal 24 6 2 2" xfId="13503" xr:uid="{6C89EB43-0BFD-4756-9F3A-598BA9DA24F9}"/>
    <cellStyle name="Normal 24 6 2 2 2" xfId="30263" xr:uid="{766757D6-FD10-4E08-A006-8FB8E69F0DC5}"/>
    <cellStyle name="Normal 24 6 2 2 3" xfId="47022" xr:uid="{B2C098F8-C21D-4388-A1A6-137A0CA1369D}"/>
    <cellStyle name="Normal 24 6 2 3" xfId="21883" xr:uid="{00ABECE4-6039-4B40-B624-54D6BB717F4A}"/>
    <cellStyle name="Normal 24 6 2 4" xfId="38642" xr:uid="{E286EDF9-DDC4-4C5F-9F2F-7922A4541BFE}"/>
    <cellStyle name="Normal 24 6 3" xfId="6810" xr:uid="{C93113A7-35A2-4069-A65B-F8E65C64029C}"/>
    <cellStyle name="Normal 24 6 3 2" xfId="15190" xr:uid="{45F7944F-CEEA-40BB-9AB1-6FD81144222F}"/>
    <cellStyle name="Normal 24 6 3 2 2" xfId="31950" xr:uid="{0B68A250-6AD2-4954-808F-203670533229}"/>
    <cellStyle name="Normal 24 6 3 2 3" xfId="48709" xr:uid="{539EBBBF-C4AF-4AA1-AE36-99B11F24CD1C}"/>
    <cellStyle name="Normal 24 6 3 3" xfId="23570" xr:uid="{E37A55F3-0856-4595-AE99-8B2A69DE24A8}"/>
    <cellStyle name="Normal 24 6 3 4" xfId="40329" xr:uid="{2005039C-5DC0-4B61-AECF-B62BF59B5690}"/>
    <cellStyle name="Normal 24 6 4" xfId="3457" xr:uid="{F0898758-FB69-4837-8BFA-6CE3A67C27C0}"/>
    <cellStyle name="Normal 24 6 4 2" xfId="11837" xr:uid="{0A33AFD7-52C7-464A-9ABB-EB3E3A405999}"/>
    <cellStyle name="Normal 24 6 4 2 2" xfId="28597" xr:uid="{67E0125D-E2B4-4662-BE51-680A230F2BA0}"/>
    <cellStyle name="Normal 24 6 4 2 3" xfId="45356" xr:uid="{A4896614-B231-4B61-BD8F-CE60B5297F7D}"/>
    <cellStyle name="Normal 24 6 4 3" xfId="20217" xr:uid="{387EB78A-D984-43D2-8DCB-338239A95703}"/>
    <cellStyle name="Normal 24 6 4 4" xfId="36976" xr:uid="{5D5D4C69-D55A-4EFE-A78C-F4920569DA92}"/>
    <cellStyle name="Normal 24 6 5" xfId="10123" xr:uid="{CAE90808-AFAF-4CFE-8D7F-BF10D856244D}"/>
    <cellStyle name="Normal 24 6 5 2" xfId="26883" xr:uid="{CDFD12C5-857B-4E31-9103-5156DECBB76E}"/>
    <cellStyle name="Normal 24 6 5 3" xfId="43642" xr:uid="{357D25A6-B4EC-45B9-808B-68594A69752E}"/>
    <cellStyle name="Normal 24 6 6" xfId="18503" xr:uid="{C75B66DC-CE61-46C6-8E52-747C4A3FFFA6}"/>
    <cellStyle name="Normal 24 6 7" xfId="35262" xr:uid="{F26F4E4F-708A-49CF-AB4F-7579B66FBDAF}"/>
    <cellStyle name="Normal 24 7" xfId="3853" xr:uid="{0218EC94-27D0-4D3D-AE04-958AAC9315AC}"/>
    <cellStyle name="Normal 24 7 2" xfId="12233" xr:uid="{D27D30ED-568D-45DA-BA40-3E25B5DEE1AD}"/>
    <cellStyle name="Normal 24 7 2 2" xfId="28993" xr:uid="{39501F8D-51E4-41C3-91B0-A905B271C333}"/>
    <cellStyle name="Normal 24 7 2 3" xfId="45752" xr:uid="{FC44812D-CF69-4E23-A0D1-82E1DEC34E48}"/>
    <cellStyle name="Normal 24 7 3" xfId="20613" xr:uid="{2988C385-6924-49CA-9BE5-C6454127822E}"/>
    <cellStyle name="Normal 24 7 4" xfId="37372" xr:uid="{3FBEAA5A-AD17-4D1D-B3E2-EB3ABD60577C}"/>
    <cellStyle name="Normal 24 8" xfId="5444" xr:uid="{6A0AFD4C-DB34-40FE-A5B3-DAF653591E6D}"/>
    <cellStyle name="Normal 24 8 2" xfId="13824" xr:uid="{493747D1-A5A8-4FA2-8F46-2EB1AC388C7F}"/>
    <cellStyle name="Normal 24 8 2 2" xfId="30584" xr:uid="{7C88CD38-6D8A-4899-885F-AC41FF918702}"/>
    <cellStyle name="Normal 24 8 2 3" xfId="47343" xr:uid="{7B1E019E-D6C7-4057-98CC-8E47E53920FE}"/>
    <cellStyle name="Normal 24 8 3" xfId="22204" xr:uid="{9332A66B-9AC5-4E7A-BEE3-F295CD597F93}"/>
    <cellStyle name="Normal 24 8 4" xfId="38963" xr:uid="{0DAFFC39-96A6-42DB-A320-AD18ED1D6FA8}"/>
    <cellStyle name="Normal 24 9" xfId="7216" xr:uid="{0107DFF7-7506-41B7-BFD0-326094A046C4}"/>
    <cellStyle name="Normal 24 9 2" xfId="15596" xr:uid="{9E88563E-79E4-4816-8FE6-98314949BCC2}"/>
    <cellStyle name="Normal 24 9 2 2" xfId="32356" xr:uid="{2E23DD74-5A54-46F8-B472-29D7592B375F}"/>
    <cellStyle name="Normal 24 9 2 3" xfId="49115" xr:uid="{AB92B6F0-98DE-4C5C-AFBE-B7792597CE90}"/>
    <cellStyle name="Normal 24 9 3" xfId="23976" xr:uid="{3FD0FA2B-4AB4-4D9C-AB33-7016B458FB83}"/>
    <cellStyle name="Normal 24 9 4" xfId="40735" xr:uid="{06018CF4-AF71-40FB-AFA2-A438B9FCFEB8}"/>
    <cellStyle name="Normal 25" xfId="241" xr:uid="{144C708C-DF4D-4A68-BBF2-D3708429FA64}"/>
    <cellStyle name="Normal 25 10" xfId="7647" xr:uid="{14DDA401-81ED-455B-B9D1-6957941A59A6}"/>
    <cellStyle name="Normal 25 10 2" xfId="16027" xr:uid="{C8E8A7A6-86A3-4ED1-B85F-31EF49D28608}"/>
    <cellStyle name="Normal 25 10 2 2" xfId="32787" xr:uid="{29F242DB-943E-463C-BC8B-DB7F0F611E6A}"/>
    <cellStyle name="Normal 25 10 2 3" xfId="49546" xr:uid="{4F0774CE-5F99-4A60-B2EB-F1DF4135B127}"/>
    <cellStyle name="Normal 25 10 3" xfId="24407" xr:uid="{889354EF-456C-46CC-A123-4436AD0C459C}"/>
    <cellStyle name="Normal 25 10 4" xfId="41166" xr:uid="{C359100B-2F26-4D9A-8BC1-CAF90B79B9D7}"/>
    <cellStyle name="Normal 25 11" xfId="8053" xr:uid="{A4825EC7-9ED6-42DF-97CE-24DBC38C227B}"/>
    <cellStyle name="Normal 25 11 2" xfId="16433" xr:uid="{822772E7-6C04-453E-9590-D5FC244275A8}"/>
    <cellStyle name="Normal 25 11 2 2" xfId="33193" xr:uid="{72CF31A1-4DD3-4849-82FA-B541D9ABF65F}"/>
    <cellStyle name="Normal 25 11 2 3" xfId="49952" xr:uid="{AAF1C25A-0216-4ED1-B0CB-966542B84B90}"/>
    <cellStyle name="Normal 25 11 3" xfId="24813" xr:uid="{55AA2D28-1943-4062-AA7C-B0E964E55303}"/>
    <cellStyle name="Normal 25 11 4" xfId="41572" xr:uid="{E04A1F6F-4BF7-41DD-9273-62881828E3BD}"/>
    <cellStyle name="Normal 25 12" xfId="8459" xr:uid="{C7D96E76-EC2B-49B3-BFE6-59BBA38C1630}"/>
    <cellStyle name="Normal 25 12 2" xfId="16839" xr:uid="{F72384B3-33CC-4B9F-9E8F-E77E26CE341A}"/>
    <cellStyle name="Normal 25 12 2 2" xfId="33599" xr:uid="{2C90873F-CC0E-46B3-8689-6E906D3A9909}"/>
    <cellStyle name="Normal 25 12 2 3" xfId="50358" xr:uid="{518664D6-D77C-4DDA-A624-1AE028D8DF36}"/>
    <cellStyle name="Normal 25 12 3" xfId="25219" xr:uid="{12AE32E4-8ACA-4436-B70F-BFE75008EAC9}"/>
    <cellStyle name="Normal 25 12 4" xfId="41978" xr:uid="{D8B34828-404F-4C80-B820-40CF2E882E5D}"/>
    <cellStyle name="Normal 25 13" xfId="2173" xr:uid="{72DB39AE-A7A5-446F-9886-7EF396A35477}"/>
    <cellStyle name="Normal 25 13 2" xfId="10561" xr:uid="{DE480B8E-E46F-4BEB-92ED-9AAF6EC27186}"/>
    <cellStyle name="Normal 25 13 2 2" xfId="27321" xr:uid="{2AE79BEF-B390-4480-80B7-F9CE1493C5E4}"/>
    <cellStyle name="Normal 25 13 2 3" xfId="44080" xr:uid="{893268F5-134C-4FD4-ACE1-0BA5C182E796}"/>
    <cellStyle name="Normal 25 13 3" xfId="18941" xr:uid="{BEB4A3C0-E975-4D8D-AA36-D058D47E2F76}"/>
    <cellStyle name="Normal 25 13 4" xfId="35700" xr:uid="{2E749294-7141-40D9-B5E9-B298DE307D57}"/>
    <cellStyle name="Normal 25 14" xfId="8758" xr:uid="{57091BF9-F2AA-4C9F-8541-A52BB39E2803}"/>
    <cellStyle name="Normal 25 14 2" xfId="25518" xr:uid="{0D07180D-3B12-4081-A0B7-6B4791E28514}"/>
    <cellStyle name="Normal 25 14 3" xfId="42277" xr:uid="{12DAB728-4B35-4D82-B97A-D69DA5B7D2C6}"/>
    <cellStyle name="Normal 25 15" xfId="17138" xr:uid="{6C575376-1290-48A8-9E8F-83E6AAB0A76E}"/>
    <cellStyle name="Normal 25 16" xfId="33897" xr:uid="{E9C271B9-570C-4008-9388-58FB2F7E18B1}"/>
    <cellStyle name="Normal 25 17" xfId="284" xr:uid="{384F44F7-04C4-48A2-9DFD-5DB993DCE790}"/>
    <cellStyle name="Normal 25 2" xfId="313" xr:uid="{DD51CB9E-787A-4790-BDBB-07FC7DE548CE}"/>
    <cellStyle name="Normal 25 2 10" xfId="33925" xr:uid="{C0669C74-E2E0-45E2-8EA2-1CF7DB6639C0}"/>
    <cellStyle name="Normal 25 2 2" xfId="396" xr:uid="{6DE9A597-FA05-46DA-98C9-75BFC9B1A5FA}"/>
    <cellStyle name="Normal 25 2 2 2" xfId="891" xr:uid="{5401D217-D1E6-401D-A809-77A297DFF778}"/>
    <cellStyle name="Normal 25 2 2 2 2" xfId="4286" xr:uid="{A08618A2-7AA5-4A17-AABC-9C0620BF1F18}"/>
    <cellStyle name="Normal 25 2 2 2 2 2" xfId="12666" xr:uid="{524313EF-5789-4387-B007-4BAAE15E6DE7}"/>
    <cellStyle name="Normal 25 2 2 2 2 2 2" xfId="29426" xr:uid="{7E9BD15A-D06C-4817-82AD-195B84C0AC01}"/>
    <cellStyle name="Normal 25 2 2 2 2 2 3" xfId="46185" xr:uid="{46AD257C-A855-4113-979B-AED38E56C5F3}"/>
    <cellStyle name="Normal 25 2 2 2 2 3" xfId="21046" xr:uid="{84F283C5-4032-4733-9707-8F9AEB3AA3F5}"/>
    <cellStyle name="Normal 25 2 2 2 2 4" xfId="37805" xr:uid="{D5F38372-816F-4116-A7BD-15604886F322}"/>
    <cellStyle name="Normal 25 2 2 2 3" xfId="5973" xr:uid="{909E6002-CD54-462D-9138-BD833D293881}"/>
    <cellStyle name="Normal 25 2 2 2 3 2" xfId="14353" xr:uid="{7CF38C2C-805C-4106-92D3-FF5F8DC6AA1B}"/>
    <cellStyle name="Normal 25 2 2 2 3 2 2" xfId="31113" xr:uid="{34AA2F2E-1415-422F-88C7-09DE8423F108}"/>
    <cellStyle name="Normal 25 2 2 2 3 2 3" xfId="47872" xr:uid="{0C2F8234-2AD7-4CDE-BBF6-C93AE3F254E3}"/>
    <cellStyle name="Normal 25 2 2 2 3 3" xfId="22733" xr:uid="{D74ED542-5FC4-4F39-8250-68EAD47C5FE6}"/>
    <cellStyle name="Normal 25 2 2 2 3 4" xfId="39492" xr:uid="{F6DC4F51-7487-4B5D-A1E8-C53975E9443F}"/>
    <cellStyle name="Normal 25 2 2 2 4" xfId="2709" xr:uid="{66901B43-65F5-4FEE-9E63-20AEA218625E}"/>
    <cellStyle name="Normal 25 2 2 2 4 2" xfId="11089" xr:uid="{3CB49AD4-5636-4085-860A-5B823696A4B7}"/>
    <cellStyle name="Normal 25 2 2 2 4 2 2" xfId="27849" xr:uid="{71DBEB53-35D5-4107-AF91-1079941EA41B}"/>
    <cellStyle name="Normal 25 2 2 2 4 2 3" xfId="44608" xr:uid="{B193BEA7-C2DE-426E-838C-0222ABC79293}"/>
    <cellStyle name="Normal 25 2 2 2 4 3" xfId="19469" xr:uid="{956E7F3E-094F-4065-AC95-F3DC9CFE11E4}"/>
    <cellStyle name="Normal 25 2 2 2 4 4" xfId="36228" xr:uid="{ECEC1994-36F1-4406-B79F-62A6B6AD2B04}"/>
    <cellStyle name="Normal 25 2 2 2 5" xfId="9286" xr:uid="{3096A7A8-FCE2-441D-830C-69835E5C4C9B}"/>
    <cellStyle name="Normal 25 2 2 2 5 2" xfId="26046" xr:uid="{923557EE-1541-46B0-96FE-8F911D8E1123}"/>
    <cellStyle name="Normal 25 2 2 2 5 3" xfId="42805" xr:uid="{BB45253E-DE31-4BB8-A90C-F27CED2A66D4}"/>
    <cellStyle name="Normal 25 2 2 2 6" xfId="17666" xr:uid="{8A0F6984-C657-4356-AC11-40037AE659AE}"/>
    <cellStyle name="Normal 25 2 2 2 7" xfId="34425" xr:uid="{A9E61F41-7B6C-434F-AF17-905E858AAF3F}"/>
    <cellStyle name="Normal 25 2 2 3" xfId="1325" xr:uid="{17EAE485-F322-4898-B8A1-EE9AB32BD076}"/>
    <cellStyle name="Normal 25 2 2 3 2" xfId="4714" xr:uid="{5C83A181-AAAE-4B17-B7B4-F364F136B040}"/>
    <cellStyle name="Normal 25 2 2 3 2 2" xfId="13094" xr:uid="{6B7609F7-CBF3-4D88-9BC4-D00089880DC2}"/>
    <cellStyle name="Normal 25 2 2 3 2 2 2" xfId="29854" xr:uid="{7145BA2C-3175-4E46-AEC1-556FE05D9642}"/>
    <cellStyle name="Normal 25 2 2 3 2 2 3" xfId="46613" xr:uid="{4B3C9504-F248-42E5-BD1E-40597207C0BF}"/>
    <cellStyle name="Normal 25 2 2 3 2 3" xfId="21474" xr:uid="{6338D54A-CA06-4166-9320-3FFF0A59268B}"/>
    <cellStyle name="Normal 25 2 2 3 2 4" xfId="38233" xr:uid="{E432237F-D9D4-4611-8B8B-F81C002FED59}"/>
    <cellStyle name="Normal 25 2 2 3 3" xfId="6401" xr:uid="{74428EBC-54C8-4D23-BE01-7256F72FF4D9}"/>
    <cellStyle name="Normal 25 2 2 3 3 2" xfId="14781" xr:uid="{E46F02B0-B665-4D36-938A-3559DECD7D3E}"/>
    <cellStyle name="Normal 25 2 2 3 3 2 2" xfId="31541" xr:uid="{3046699E-E80C-48FD-BDAA-A68AEB0B6FB0}"/>
    <cellStyle name="Normal 25 2 2 3 3 2 3" xfId="48300" xr:uid="{33467738-8AB2-4951-8597-DC152FA3BB0A}"/>
    <cellStyle name="Normal 25 2 2 3 3 3" xfId="23161" xr:uid="{238A30D4-4E32-4023-8B1D-C9E5FD31BD9D}"/>
    <cellStyle name="Normal 25 2 2 3 3 4" xfId="39920" xr:uid="{CED3B478-F360-4F2B-81C0-822EA021A7DA}"/>
    <cellStyle name="Normal 25 2 2 3 4" xfId="3137" xr:uid="{FFB2489A-947D-412E-AB07-652E6B86BA7A}"/>
    <cellStyle name="Normal 25 2 2 3 4 2" xfId="11517" xr:uid="{69095342-29CA-4086-9F15-044B8B83A307}"/>
    <cellStyle name="Normal 25 2 2 3 4 2 2" xfId="28277" xr:uid="{C08E384A-1568-410B-9B5A-2F7F79BFBEA5}"/>
    <cellStyle name="Normal 25 2 2 3 4 2 3" xfId="45036" xr:uid="{B955C990-74FD-4DA5-BBD3-064328268D50}"/>
    <cellStyle name="Normal 25 2 2 3 4 3" xfId="19897" xr:uid="{35346741-E55E-4295-97FC-E4B9B32C48B4}"/>
    <cellStyle name="Normal 25 2 2 3 4 4" xfId="36656" xr:uid="{B6C20B59-BACD-43CD-9FEF-7B1620C674FC}"/>
    <cellStyle name="Normal 25 2 2 3 5" xfId="9714" xr:uid="{23EE1E28-2311-4E7B-ADDF-C64B2411383B}"/>
    <cellStyle name="Normal 25 2 2 3 5 2" xfId="26474" xr:uid="{34916B7F-9DDB-4484-AFF2-81F239191159}"/>
    <cellStyle name="Normal 25 2 2 3 5 3" xfId="43233" xr:uid="{2CBCB31C-4B21-45BD-9624-D673C371206C}"/>
    <cellStyle name="Normal 25 2 2 3 6" xfId="18094" xr:uid="{6A5D2B21-CC84-4FC0-B33C-06D9FED82FB6}"/>
    <cellStyle name="Normal 25 2 2 3 7" xfId="34853" xr:uid="{16F805F1-CF29-4528-B5C1-0E7C350DA161}"/>
    <cellStyle name="Normal 25 2 2 4" xfId="4153" xr:uid="{BEC4A509-F86E-4072-B6CF-3CE1F1E66998}"/>
    <cellStyle name="Normal 25 2 2 4 2" xfId="12533" xr:uid="{59633CCE-02C5-4A7F-876F-3260CF00697B}"/>
    <cellStyle name="Normal 25 2 2 4 2 2" xfId="29293" xr:uid="{8D5E5664-68BB-4BDD-8210-13C362925B21}"/>
    <cellStyle name="Normal 25 2 2 4 2 3" xfId="46052" xr:uid="{9CEBFEF6-AEEE-4CA9-8AD2-8A30DDC673B6}"/>
    <cellStyle name="Normal 25 2 2 4 3" xfId="20913" xr:uid="{6CB4A082-34B3-4777-B69D-1D7C305186F6}"/>
    <cellStyle name="Normal 25 2 2 4 4" xfId="37672" xr:uid="{33739EDB-D2FC-49DB-9AA1-C64C9A9747AD}"/>
    <cellStyle name="Normal 25 2 2 5" xfId="5547" xr:uid="{4378BDFA-F75F-4D26-9B98-B42AFE36D9DD}"/>
    <cellStyle name="Normal 25 2 2 5 2" xfId="13927" xr:uid="{AFA3B0E2-53FB-4A39-B586-84E80BC45C9D}"/>
    <cellStyle name="Normal 25 2 2 5 2 2" xfId="30687" xr:uid="{67421863-5991-44CD-B9AF-5E607F9B67FD}"/>
    <cellStyle name="Normal 25 2 2 5 2 3" xfId="47446" xr:uid="{EC105457-6921-4EBC-8272-501399AE38FC}"/>
    <cellStyle name="Normal 25 2 2 5 3" xfId="22307" xr:uid="{33489D64-E196-405F-B3F4-3EB95F8CA1AF}"/>
    <cellStyle name="Normal 25 2 2 5 4" xfId="39066" xr:uid="{D5ABACBF-DAD4-48F9-94E6-8766C9CE0BDD}"/>
    <cellStyle name="Normal 25 2 2 6" xfId="2279" xr:uid="{A009B0AB-A12A-445A-A275-8E1A77560826}"/>
    <cellStyle name="Normal 25 2 2 6 2" xfId="10663" xr:uid="{9D2DB445-0983-4948-8CAF-3EEFDCAE4AE1}"/>
    <cellStyle name="Normal 25 2 2 6 2 2" xfId="27423" xr:uid="{F6CFB9C2-7920-48B7-BBB1-1799787B23CF}"/>
    <cellStyle name="Normal 25 2 2 6 2 3" xfId="44182" xr:uid="{7EDD50D2-8A97-4792-8F04-404AFF3134D8}"/>
    <cellStyle name="Normal 25 2 2 6 3" xfId="19043" xr:uid="{A20420C6-900C-45FC-B7A6-771B7528D635}"/>
    <cellStyle name="Normal 25 2 2 6 4" xfId="35802" xr:uid="{A5D8EF41-8382-408B-97C0-E29018915B66}"/>
    <cellStyle name="Normal 25 2 2 7" xfId="8860" xr:uid="{5EA1E608-0ED3-445F-9B2B-E3B55981614B}"/>
    <cellStyle name="Normal 25 2 2 7 2" xfId="25620" xr:uid="{3C05853D-139B-4D78-A665-601A04C57CBC}"/>
    <cellStyle name="Normal 25 2 2 7 3" xfId="42379" xr:uid="{D6D1C439-AD75-4042-971E-66A0B332AA7C}"/>
    <cellStyle name="Normal 25 2 2 8" xfId="17240" xr:uid="{ADCE8AD2-9A21-4881-9B40-4CFD0CF24DD0}"/>
    <cellStyle name="Normal 25 2 2 9" xfId="33999" xr:uid="{B6816E79-DF28-4A0C-951C-9DC42D0563D5}"/>
    <cellStyle name="Normal 25 2 3" xfId="817" xr:uid="{80866B40-2AC0-4FDC-A98E-A9BE5DF9958B}"/>
    <cellStyle name="Normal 25 2 3 2" xfId="4212" xr:uid="{A4837BE7-2B50-4390-8F1E-771F820DAB2C}"/>
    <cellStyle name="Normal 25 2 3 2 2" xfId="12592" xr:uid="{86521D08-A0E6-48DF-8C85-CBA9F1FBEB52}"/>
    <cellStyle name="Normal 25 2 3 2 2 2" xfId="29352" xr:uid="{911BCCFA-A40F-4D48-B857-89B81A72457F}"/>
    <cellStyle name="Normal 25 2 3 2 2 3" xfId="46111" xr:uid="{3D7DA82D-F85F-4BEE-B3DD-42ABEFDF2714}"/>
    <cellStyle name="Normal 25 2 3 2 3" xfId="20972" xr:uid="{91CC1573-B408-4892-9D1A-F41833018098}"/>
    <cellStyle name="Normal 25 2 3 2 4" xfId="37731" xr:uid="{3484BDA6-93EE-4128-9F06-B39E18240800}"/>
    <cellStyle name="Normal 25 2 3 3" xfId="5899" xr:uid="{51A9AD02-4FB2-4243-8D8D-AAF91104926B}"/>
    <cellStyle name="Normal 25 2 3 3 2" xfId="14279" xr:uid="{1976CDC7-FD6F-4FB0-8C1C-25C46BC5E5AA}"/>
    <cellStyle name="Normal 25 2 3 3 2 2" xfId="31039" xr:uid="{92C23628-2FC7-49CA-9405-7B8A3AF7083F}"/>
    <cellStyle name="Normal 25 2 3 3 2 3" xfId="47798" xr:uid="{3DEFEE5E-5DFF-4946-9D6D-C8DB301B361C}"/>
    <cellStyle name="Normal 25 2 3 3 3" xfId="22659" xr:uid="{05147175-D2A5-4BE9-9809-246B2780A44E}"/>
    <cellStyle name="Normal 25 2 3 3 4" xfId="39418" xr:uid="{27829E29-5F50-42B0-AEC7-DB8532C7F2B3}"/>
    <cellStyle name="Normal 25 2 3 4" xfId="2635" xr:uid="{03BEE111-C80C-4860-8834-AD061AA86B0A}"/>
    <cellStyle name="Normal 25 2 3 4 2" xfId="11015" xr:uid="{1B406706-8E6F-4437-82CD-67B73DACEBAF}"/>
    <cellStyle name="Normal 25 2 3 4 2 2" xfId="27775" xr:uid="{72B10B5C-F2F3-467F-879D-EB6F612A2C19}"/>
    <cellStyle name="Normal 25 2 3 4 2 3" xfId="44534" xr:uid="{A66EB5CF-DD43-4ABD-9CDB-1649C36C54E7}"/>
    <cellStyle name="Normal 25 2 3 4 3" xfId="19395" xr:uid="{A23C631F-8A66-408D-B956-65668BD0A341}"/>
    <cellStyle name="Normal 25 2 3 4 4" xfId="36154" xr:uid="{FE5E62EA-9556-4DDD-AEAA-6D34ED054FFC}"/>
    <cellStyle name="Normal 25 2 3 5" xfId="9212" xr:uid="{AA387952-31E6-4B54-A889-1FCF26BB7214}"/>
    <cellStyle name="Normal 25 2 3 5 2" xfId="25972" xr:uid="{EC79BAA1-1CAB-418E-8F64-DC0DA0B33FD0}"/>
    <cellStyle name="Normal 25 2 3 5 3" xfId="42731" xr:uid="{FFD25528-BE9D-4631-A2EA-7D42DA6AEA27}"/>
    <cellStyle name="Normal 25 2 3 6" xfId="17592" xr:uid="{DF1089E0-2042-4D0F-81BE-2D91D3AB1D19}"/>
    <cellStyle name="Normal 25 2 3 7" xfId="34351" xr:uid="{B067E005-AB42-4992-8EED-B8CDD5AA29A0}"/>
    <cellStyle name="Normal 25 2 4" xfId="1251" xr:uid="{8AE35184-2601-44D6-B186-3F1D96119C29}"/>
    <cellStyle name="Normal 25 2 4 2" xfId="4640" xr:uid="{86A4D739-2CAA-43CF-B510-EF4F257A7AD3}"/>
    <cellStyle name="Normal 25 2 4 2 2" xfId="13020" xr:uid="{F7F0251C-4051-448E-A3B4-EF87105CEAA8}"/>
    <cellStyle name="Normal 25 2 4 2 2 2" xfId="29780" xr:uid="{8D3F6AD5-872A-45B9-8BB5-ED2A5DE38834}"/>
    <cellStyle name="Normal 25 2 4 2 2 3" xfId="46539" xr:uid="{827F7DDC-FD55-42AB-8666-1F4C38179D87}"/>
    <cellStyle name="Normal 25 2 4 2 3" xfId="21400" xr:uid="{98B3F612-3696-4264-8C3E-6FEE9354CD48}"/>
    <cellStyle name="Normal 25 2 4 2 4" xfId="38159" xr:uid="{75951794-35BA-4572-91A1-D247D74BB1A7}"/>
    <cellStyle name="Normal 25 2 4 3" xfId="6327" xr:uid="{BB7FB62D-3E04-48BE-BA20-9338B557DCC4}"/>
    <cellStyle name="Normal 25 2 4 3 2" xfId="14707" xr:uid="{5B3A1BE7-B7B9-460F-A444-CF884922E539}"/>
    <cellStyle name="Normal 25 2 4 3 2 2" xfId="31467" xr:uid="{3CCCD8C0-E5F9-4952-B75E-4857336C2F1D}"/>
    <cellStyle name="Normal 25 2 4 3 2 3" xfId="48226" xr:uid="{BB2D4317-73B6-4741-8FD9-F1C01BD421C0}"/>
    <cellStyle name="Normal 25 2 4 3 3" xfId="23087" xr:uid="{0F29851B-1BED-481D-AC61-51DB90176DA4}"/>
    <cellStyle name="Normal 25 2 4 3 4" xfId="39846" xr:uid="{2138926D-B3FB-44EE-996D-588E1A5D2C72}"/>
    <cellStyle name="Normal 25 2 4 4" xfId="3063" xr:uid="{FF55727D-CA12-49A7-94A8-4C4DEDB090EB}"/>
    <cellStyle name="Normal 25 2 4 4 2" xfId="11443" xr:uid="{48D330A4-8F23-406F-969E-F0CCC29A8B38}"/>
    <cellStyle name="Normal 25 2 4 4 2 2" xfId="28203" xr:uid="{50307B4E-466D-499E-98AA-904B7E246D51}"/>
    <cellStyle name="Normal 25 2 4 4 2 3" xfId="44962" xr:uid="{B9640AD0-4A27-4C03-A23F-F709D3705D8E}"/>
    <cellStyle name="Normal 25 2 4 4 3" xfId="19823" xr:uid="{1E19A8B0-2321-4DCF-AC07-69FDA26E1010}"/>
    <cellStyle name="Normal 25 2 4 4 4" xfId="36582" xr:uid="{F85252F8-6511-4A83-83DD-198D5D31C707}"/>
    <cellStyle name="Normal 25 2 4 5" xfId="9640" xr:uid="{ACA1E2DD-8856-46EE-8DA1-727DA08CDE14}"/>
    <cellStyle name="Normal 25 2 4 5 2" xfId="26400" xr:uid="{E6F3118F-A167-4E26-ACB3-D03D2015F56E}"/>
    <cellStyle name="Normal 25 2 4 5 3" xfId="43159" xr:uid="{B1773191-B745-4096-94B0-62885586D721}"/>
    <cellStyle name="Normal 25 2 4 6" xfId="18020" xr:uid="{7C65131D-3EDD-4960-AB97-541E0C29D6CE}"/>
    <cellStyle name="Normal 25 2 4 7" xfId="34779" xr:uid="{7EF51E63-38DF-413C-AC92-9DA6DEAC7951}"/>
    <cellStyle name="Normal 25 2 5" xfId="3765" xr:uid="{A1F1052E-8E09-4ED9-93C7-779660A05BBE}"/>
    <cellStyle name="Normal 25 2 5 2" xfId="12145" xr:uid="{98E7201B-0FB6-43A5-86AC-0C9BCEF04D69}"/>
    <cellStyle name="Normal 25 2 5 2 2" xfId="28905" xr:uid="{082C12DB-C14C-4D0A-9EC3-9D3C345BB2F7}"/>
    <cellStyle name="Normal 25 2 5 2 3" xfId="45664" xr:uid="{3BDD5146-B8CC-402B-908E-5515E0B20DBB}"/>
    <cellStyle name="Normal 25 2 5 3" xfId="20525" xr:uid="{2A1FF5C3-BE49-4B2A-9DEB-775B6614B1E3}"/>
    <cellStyle name="Normal 25 2 5 4" xfId="37284" xr:uid="{8CA9001D-1827-449E-B1BD-EA428019184D}"/>
    <cellStyle name="Normal 25 2 6" xfId="5473" xr:uid="{76E65EF9-A9CF-41BF-B0FE-9827F74AAA48}"/>
    <cellStyle name="Normal 25 2 6 2" xfId="13853" xr:uid="{E8A81C52-BA82-45F4-AFDA-035C8DCEFDFC}"/>
    <cellStyle name="Normal 25 2 6 2 2" xfId="30613" xr:uid="{C6AEC897-0FE4-4E19-BB8C-9CDE7381191E}"/>
    <cellStyle name="Normal 25 2 6 2 3" xfId="47372" xr:uid="{4F340593-1529-4BB7-BFE2-15AF8963308B}"/>
    <cellStyle name="Normal 25 2 6 3" xfId="22233" xr:uid="{860D99F6-69FB-4292-9A06-819C7993EE31}"/>
    <cellStyle name="Normal 25 2 6 4" xfId="38992" xr:uid="{058CFD89-2A73-4FE7-9D03-8B3042CD3921}"/>
    <cellStyle name="Normal 25 2 7" xfId="2202" xr:uid="{3D98022A-F1A1-4F1F-A956-E3175CA9D5B2}"/>
    <cellStyle name="Normal 25 2 7 2" xfId="10589" xr:uid="{B2FA0E78-9B6A-4C16-B6B4-AC528AC652E5}"/>
    <cellStyle name="Normal 25 2 7 2 2" xfId="27349" xr:uid="{95766547-3230-4765-BF88-1597E39C3919}"/>
    <cellStyle name="Normal 25 2 7 2 3" xfId="44108" xr:uid="{73D8C2C9-8B46-4D11-910C-1ED18847BCC1}"/>
    <cellStyle name="Normal 25 2 7 3" xfId="18969" xr:uid="{46529611-23C7-4823-8BAC-3C600988D5B9}"/>
    <cellStyle name="Normal 25 2 7 4" xfId="35728" xr:uid="{FAB914CC-ABA2-4831-B5A8-11E8AFD3F8E7}"/>
    <cellStyle name="Normal 25 2 8" xfId="8786" xr:uid="{8F120CF5-30DC-4F07-972A-3E9152050878}"/>
    <cellStyle name="Normal 25 2 8 2" xfId="25546" xr:uid="{1EA2AE66-6F63-452C-87E6-F3F5A587F70A}"/>
    <cellStyle name="Normal 25 2 8 3" xfId="42305" xr:uid="{E70DA689-55F4-4709-84E9-D0ECA41B728F}"/>
    <cellStyle name="Normal 25 2 9" xfId="17166" xr:uid="{D946B066-3E4A-4603-AF4A-6ED7FA49E255}"/>
    <cellStyle name="Normal 25 3" xfId="368" xr:uid="{859E99FA-46B2-4C0A-A276-084F5A7620AB}"/>
    <cellStyle name="Normal 25 3 2" xfId="863" xr:uid="{D3E0D7EF-72C3-4A4E-BEB4-9AC1EF2E1D95}"/>
    <cellStyle name="Normal 25 3 2 2" xfId="4258" xr:uid="{49C478D3-3C4F-4C14-B292-3DF97D30629C}"/>
    <cellStyle name="Normal 25 3 2 2 2" xfId="12638" xr:uid="{B3AB0C6A-C06E-4DEB-8A61-BF2D3B7AD7D8}"/>
    <cellStyle name="Normal 25 3 2 2 2 2" xfId="29398" xr:uid="{EAFE154C-8F64-4B42-B4E0-030AD4456DAA}"/>
    <cellStyle name="Normal 25 3 2 2 2 3" xfId="46157" xr:uid="{AA325BAC-575A-4458-961E-A0A887213F24}"/>
    <cellStyle name="Normal 25 3 2 2 3" xfId="21018" xr:uid="{30DB5568-EBF2-4439-9124-6B39AEAC4FB9}"/>
    <cellStyle name="Normal 25 3 2 2 4" xfId="37777" xr:uid="{A82121E4-FB05-49BF-AC64-1AF8F2C9D5E9}"/>
    <cellStyle name="Normal 25 3 2 3" xfId="5945" xr:uid="{F20A5DFC-0C6F-430F-8D45-DE88408AF442}"/>
    <cellStyle name="Normal 25 3 2 3 2" xfId="14325" xr:uid="{CDCCFD8D-262D-498C-B04D-6B81FBB1E360}"/>
    <cellStyle name="Normal 25 3 2 3 2 2" xfId="31085" xr:uid="{2DBAE861-7EFE-4EE6-9CA9-51D98350EA62}"/>
    <cellStyle name="Normal 25 3 2 3 2 3" xfId="47844" xr:uid="{94300886-B7D2-48D1-A6AA-B707EF1ACB36}"/>
    <cellStyle name="Normal 25 3 2 3 3" xfId="22705" xr:uid="{B1596309-DD47-4965-83F1-311FF25D632F}"/>
    <cellStyle name="Normal 25 3 2 3 4" xfId="39464" xr:uid="{56CE3EBD-9F27-4837-A221-F768AAE501B8}"/>
    <cellStyle name="Normal 25 3 2 4" xfId="2681" xr:uid="{2B0C8B32-A05D-42C4-82D1-BD90E217C18E}"/>
    <cellStyle name="Normal 25 3 2 4 2" xfId="11061" xr:uid="{99AE857F-E8C7-44BE-B51E-F2C9B33E715D}"/>
    <cellStyle name="Normal 25 3 2 4 2 2" xfId="27821" xr:uid="{6B3EB389-E4CA-4217-8FD4-8FB4A41BDDFB}"/>
    <cellStyle name="Normal 25 3 2 4 2 3" xfId="44580" xr:uid="{466CE439-0C0F-4FC6-BB76-F40CFCEA3C28}"/>
    <cellStyle name="Normal 25 3 2 4 3" xfId="19441" xr:uid="{207C2D0A-7311-4410-9D61-6BD7F351C271}"/>
    <cellStyle name="Normal 25 3 2 4 4" xfId="36200" xr:uid="{4826E0BA-516B-4CE7-B22A-983FA0F2CA06}"/>
    <cellStyle name="Normal 25 3 2 5" xfId="9258" xr:uid="{EBE52262-2F08-40B1-AAD6-5A200DACA48C}"/>
    <cellStyle name="Normal 25 3 2 5 2" xfId="26018" xr:uid="{86A21348-2FAE-4A72-9526-01CA41355DE0}"/>
    <cellStyle name="Normal 25 3 2 5 3" xfId="42777" xr:uid="{0D203002-19A8-484F-96DC-175298658908}"/>
    <cellStyle name="Normal 25 3 2 6" xfId="17638" xr:uid="{E6B271BD-8344-4EEE-B919-CB3088870542}"/>
    <cellStyle name="Normal 25 3 2 7" xfId="34397" xr:uid="{A3272593-DDBF-4B35-A375-5347AFCF714B}"/>
    <cellStyle name="Normal 25 3 3" xfId="1297" xr:uid="{EA4DCF8F-71E8-4781-A4F1-48A4A347BB9A}"/>
    <cellStyle name="Normal 25 3 3 2" xfId="4686" xr:uid="{FAF8B420-F591-49E1-AA3C-A8D95EBF9A21}"/>
    <cellStyle name="Normal 25 3 3 2 2" xfId="13066" xr:uid="{BF7EFEC5-AFAA-468B-9011-E8015C6E5D8D}"/>
    <cellStyle name="Normal 25 3 3 2 2 2" xfId="29826" xr:uid="{58BFAF17-7A9D-478B-B658-FC11BFAA55D0}"/>
    <cellStyle name="Normal 25 3 3 2 2 3" xfId="46585" xr:uid="{4FFDD2CA-6019-4760-B734-6263AD34BE32}"/>
    <cellStyle name="Normal 25 3 3 2 3" xfId="21446" xr:uid="{DE67A0FF-40A4-4481-9C3F-FE27E7F25A59}"/>
    <cellStyle name="Normal 25 3 3 2 4" xfId="38205" xr:uid="{6190CC50-3BA8-4013-9605-C5086FA2DCB6}"/>
    <cellStyle name="Normal 25 3 3 3" xfId="6373" xr:uid="{70CD08CB-E0E0-4C8B-A127-61B5ACABE1D2}"/>
    <cellStyle name="Normal 25 3 3 3 2" xfId="14753" xr:uid="{8C3E79FF-54C4-4526-8195-8382044EFBBC}"/>
    <cellStyle name="Normal 25 3 3 3 2 2" xfId="31513" xr:uid="{D6DF5C64-45A1-4F31-AC74-43DF1E01F2D1}"/>
    <cellStyle name="Normal 25 3 3 3 2 3" xfId="48272" xr:uid="{AF9B0B2E-B429-4D0B-9C98-FAB25E14DC18}"/>
    <cellStyle name="Normal 25 3 3 3 3" xfId="23133" xr:uid="{10CA9E78-3932-4501-98F6-F6B952292449}"/>
    <cellStyle name="Normal 25 3 3 3 4" xfId="39892" xr:uid="{448A1E60-2452-42B7-896B-8B45CEF303A4}"/>
    <cellStyle name="Normal 25 3 3 4" xfId="3109" xr:uid="{C4C72EAD-729A-4F6D-8473-2E9DD0991E57}"/>
    <cellStyle name="Normal 25 3 3 4 2" xfId="11489" xr:uid="{2B1880D2-E2F0-4FF8-BDB0-5372553A9D8F}"/>
    <cellStyle name="Normal 25 3 3 4 2 2" xfId="28249" xr:uid="{20270A6B-3030-4E1D-9A3F-DEB1CF96222B}"/>
    <cellStyle name="Normal 25 3 3 4 2 3" xfId="45008" xr:uid="{AEC359ED-CED3-4B0F-B54E-4A762BEF281D}"/>
    <cellStyle name="Normal 25 3 3 4 3" xfId="19869" xr:uid="{8AC1B4DE-5CBD-4584-A978-1A492390E5AF}"/>
    <cellStyle name="Normal 25 3 3 4 4" xfId="36628" xr:uid="{E1D8431A-7D23-46A5-A1B6-DD626D33790A}"/>
    <cellStyle name="Normal 25 3 3 5" xfId="9686" xr:uid="{001EC73F-636A-4C1C-B508-449F91800AD5}"/>
    <cellStyle name="Normal 25 3 3 5 2" xfId="26446" xr:uid="{C3E10DB9-1BF9-409F-A0C8-20667208B253}"/>
    <cellStyle name="Normal 25 3 3 5 3" xfId="43205" xr:uid="{50B59705-6E21-4D01-AE72-5F9B48820BD4}"/>
    <cellStyle name="Normal 25 3 3 6" xfId="18066" xr:uid="{5D56D8F5-D731-41FF-B2A6-FF33AF73B837}"/>
    <cellStyle name="Normal 25 3 3 7" xfId="34825" xr:uid="{ACC82E4E-0291-4340-A743-71B7DD3F96B5}"/>
    <cellStyle name="Normal 25 3 4" xfId="4149" xr:uid="{AAC0A705-BC26-4D5C-A668-1FD07002ED7A}"/>
    <cellStyle name="Normal 25 3 4 2" xfId="12529" xr:uid="{E9565498-05EC-4472-B83B-2A80392BCC2D}"/>
    <cellStyle name="Normal 25 3 4 2 2" xfId="29289" xr:uid="{0306B7DB-1CF3-4363-AD28-BDC7FC9EC200}"/>
    <cellStyle name="Normal 25 3 4 2 3" xfId="46048" xr:uid="{34C416D3-37D1-4FDB-BA30-46F7FA3479CE}"/>
    <cellStyle name="Normal 25 3 4 3" xfId="20909" xr:uid="{71B6606F-324C-49BC-BFCF-41ED12A4502B}"/>
    <cellStyle name="Normal 25 3 4 4" xfId="37668" xr:uid="{F2CD23A6-0E9D-4E97-9F39-B992DB1383BD}"/>
    <cellStyle name="Normal 25 3 5" xfId="5519" xr:uid="{C1270612-DA49-4FF5-9BBD-80764A5BEEFE}"/>
    <cellStyle name="Normal 25 3 5 2" xfId="13899" xr:uid="{C1D1AC98-156D-4BED-A014-2D699CC0AABC}"/>
    <cellStyle name="Normal 25 3 5 2 2" xfId="30659" xr:uid="{3AFA6A3A-C175-41A6-8D62-DA2300A5EB1B}"/>
    <cellStyle name="Normal 25 3 5 2 3" xfId="47418" xr:uid="{A0C8525E-6E96-4650-AEF0-F13BC764901E}"/>
    <cellStyle name="Normal 25 3 5 3" xfId="22279" xr:uid="{F9017BE2-351B-4289-ACDA-E354747698DC}"/>
    <cellStyle name="Normal 25 3 5 4" xfId="39038" xr:uid="{CABDE259-96E6-4372-AB41-5AAC18DC0D79}"/>
    <cellStyle name="Normal 25 3 6" xfId="2251" xr:uid="{FAFE6F84-A858-4965-A461-F380C6F7650F}"/>
    <cellStyle name="Normal 25 3 6 2" xfId="10635" xr:uid="{8091118E-667D-4E60-BF9D-EF003139FF2B}"/>
    <cellStyle name="Normal 25 3 6 2 2" xfId="27395" xr:uid="{FAA3F47F-8DD8-4C38-9F1C-C18B0CA9265A}"/>
    <cellStyle name="Normal 25 3 6 2 3" xfId="44154" xr:uid="{9A39F34D-DDD4-4957-9303-858317C1773F}"/>
    <cellStyle name="Normal 25 3 6 3" xfId="19015" xr:uid="{A0BC13D7-3E44-4EA7-83BC-EEF073CDBD0F}"/>
    <cellStyle name="Normal 25 3 6 4" xfId="35774" xr:uid="{B3BDD2DF-C680-4FBA-9D0F-6BD37356AE5E}"/>
    <cellStyle name="Normal 25 3 7" xfId="8832" xr:uid="{CC70DB1F-2DE2-4D0F-A41F-5831EEF4B707}"/>
    <cellStyle name="Normal 25 3 7 2" xfId="25592" xr:uid="{1930CF7F-CCF0-49C8-BCF5-5BC7D72F4AA1}"/>
    <cellStyle name="Normal 25 3 7 3" xfId="42351" xr:uid="{6A98C014-736E-40B0-8FA5-8AFA780C3A6F}"/>
    <cellStyle name="Normal 25 3 8" xfId="17212" xr:uid="{0E44A986-F235-4791-9FA1-D2019077A999}"/>
    <cellStyle name="Normal 25 3 9" xfId="33971" xr:uid="{C490DD2F-353C-4F5D-9E4C-B526553D0D36}"/>
    <cellStyle name="Normal 25 4" xfId="789" xr:uid="{64148543-6753-4273-8214-59FE941AC3EF}"/>
    <cellStyle name="Normal 25 4 2" xfId="4184" xr:uid="{CBC56F45-4A85-4D6F-8042-7E67CDE57804}"/>
    <cellStyle name="Normal 25 4 2 2" xfId="12564" xr:uid="{D5DD54F9-8AF7-4806-860F-C26F5EDE9FB1}"/>
    <cellStyle name="Normal 25 4 2 2 2" xfId="29324" xr:uid="{6D9CBA02-0344-4D2A-9E57-7E3C812D0D44}"/>
    <cellStyle name="Normal 25 4 2 2 3" xfId="46083" xr:uid="{EAACE93C-1BC3-43AD-A63B-13C9FEF4F5D4}"/>
    <cellStyle name="Normal 25 4 2 3" xfId="20944" xr:uid="{2ACEA1B2-FEA5-4939-9143-D2634BA78F3D}"/>
    <cellStyle name="Normal 25 4 2 4" xfId="37703" xr:uid="{E566177D-81A6-4242-B16B-7B9B74D96444}"/>
    <cellStyle name="Normal 25 4 3" xfId="5871" xr:uid="{5A123B23-BCB5-4CFD-B628-FC2D6644039F}"/>
    <cellStyle name="Normal 25 4 3 2" xfId="14251" xr:uid="{8B093978-49B0-469A-AD70-FFE6963C67A2}"/>
    <cellStyle name="Normal 25 4 3 2 2" xfId="31011" xr:uid="{EB5C3B47-ACBD-47EF-AFB6-54069B4798C3}"/>
    <cellStyle name="Normal 25 4 3 2 3" xfId="47770" xr:uid="{E3E7ACAC-F0FA-42A2-92FD-F36122D2FE3D}"/>
    <cellStyle name="Normal 25 4 3 3" xfId="22631" xr:uid="{4B00EDDD-6758-4157-B58D-763C7F2A528B}"/>
    <cellStyle name="Normal 25 4 3 4" xfId="39390" xr:uid="{9F39DEF3-0219-4BDA-940A-D1F0CEBB87DB}"/>
    <cellStyle name="Normal 25 4 4" xfId="2607" xr:uid="{D78E9B45-F2B6-473A-8407-2ED5D48E0A47}"/>
    <cellStyle name="Normal 25 4 4 2" xfId="10987" xr:uid="{B9713F9D-E091-4F32-B5FD-B5B0E6280765}"/>
    <cellStyle name="Normal 25 4 4 2 2" xfId="27747" xr:uid="{59F7032F-5CF9-4AA8-B4A8-CE7840CF3453}"/>
    <cellStyle name="Normal 25 4 4 2 3" xfId="44506" xr:uid="{17171538-CF62-42B0-83C0-4EC23955A5F7}"/>
    <cellStyle name="Normal 25 4 4 3" xfId="19367" xr:uid="{341C0F8C-08D5-48DD-88DA-AC7CE1E66A49}"/>
    <cellStyle name="Normal 25 4 4 4" xfId="36126" xr:uid="{9C292A88-7C3A-4514-9606-DC18A3AEE3C0}"/>
    <cellStyle name="Normal 25 4 5" xfId="9184" xr:uid="{6EFEC5F0-1406-4BD1-9A1A-5936318A88DD}"/>
    <cellStyle name="Normal 25 4 5 2" xfId="25944" xr:uid="{178AAA3F-2926-4AF0-B0C4-EC794C039F3C}"/>
    <cellStyle name="Normal 25 4 5 3" xfId="42703" xr:uid="{3FE5FFDE-2A76-4E54-8EF2-32557B0E30C0}"/>
    <cellStyle name="Normal 25 4 6" xfId="17564" xr:uid="{E0B3AD43-67FA-46AD-8E59-BB0C053D204D}"/>
    <cellStyle name="Normal 25 4 7" xfId="34323" xr:uid="{078A8B75-F87E-4073-83CE-E53030020DAE}"/>
    <cellStyle name="Normal 25 5" xfId="1223" xr:uid="{515E85F4-667F-4AF9-9939-1575EE29E39C}"/>
    <cellStyle name="Normal 25 5 2" xfId="4612" xr:uid="{0881AD6B-CB57-4A50-B9E6-93F3C01E9959}"/>
    <cellStyle name="Normal 25 5 2 2" xfId="12992" xr:uid="{61788678-B593-4BCA-834C-B16FE7388C00}"/>
    <cellStyle name="Normal 25 5 2 2 2" xfId="29752" xr:uid="{44B0E339-202F-43ED-82AB-1B9F82BD8E5E}"/>
    <cellStyle name="Normal 25 5 2 2 3" xfId="46511" xr:uid="{379F87C8-7185-4432-9B8C-AC7C82A11710}"/>
    <cellStyle name="Normal 25 5 2 3" xfId="21372" xr:uid="{B7CA776B-2A14-4151-871F-32384BCAA1E0}"/>
    <cellStyle name="Normal 25 5 2 4" xfId="38131" xr:uid="{AEBEAFDE-6EAF-444F-A13D-37AF392D34D4}"/>
    <cellStyle name="Normal 25 5 3" xfId="6299" xr:uid="{2D4569CB-E1C8-442C-A519-D3D2545D384B}"/>
    <cellStyle name="Normal 25 5 3 2" xfId="14679" xr:uid="{230807F1-2A05-4C3D-84D6-E3D4A735D895}"/>
    <cellStyle name="Normal 25 5 3 2 2" xfId="31439" xr:uid="{19F92CF6-3D91-48C8-8B36-CB1A2E3D0609}"/>
    <cellStyle name="Normal 25 5 3 2 3" xfId="48198" xr:uid="{FCF05424-EFE3-49B7-B620-BD1A3D73785D}"/>
    <cellStyle name="Normal 25 5 3 3" xfId="23059" xr:uid="{AEECC6D3-1C97-4D1C-80F7-5D22B80B8912}"/>
    <cellStyle name="Normal 25 5 3 4" xfId="39818" xr:uid="{00C2479D-DAD9-4060-926D-76FDEEDE8BAE}"/>
    <cellStyle name="Normal 25 5 4" xfId="3035" xr:uid="{4014CF0B-EB2E-4CB4-92F1-547E915819E4}"/>
    <cellStyle name="Normal 25 5 4 2" xfId="11415" xr:uid="{F05BFE88-E1C0-42B5-9A83-EEEA92D53AAC}"/>
    <cellStyle name="Normal 25 5 4 2 2" xfId="28175" xr:uid="{C461E6C2-1457-4CF3-BA87-ED3B537D99FC}"/>
    <cellStyle name="Normal 25 5 4 2 3" xfId="44934" xr:uid="{BF3358AC-F82D-46D2-8EDB-5D60EBCE2EED}"/>
    <cellStyle name="Normal 25 5 4 3" xfId="19795" xr:uid="{B15A653C-EC34-4F79-BFE4-832744ECBE66}"/>
    <cellStyle name="Normal 25 5 4 4" xfId="36554" xr:uid="{41E5A1B6-7022-47AF-911E-0916F4F3B677}"/>
    <cellStyle name="Normal 25 5 5" xfId="9612" xr:uid="{1A9B5502-1B95-4B93-92D8-8796B92E6EAD}"/>
    <cellStyle name="Normal 25 5 5 2" xfId="26372" xr:uid="{1B1AAEF7-B609-4316-A863-86F75EEDDE3F}"/>
    <cellStyle name="Normal 25 5 5 3" xfId="43131" xr:uid="{8D981968-276D-47F8-9A81-2405738BD7F7}"/>
    <cellStyle name="Normal 25 5 6" xfId="17992" xr:uid="{8960AD7B-5324-4EC6-8674-C13EBD4DE2C2}"/>
    <cellStyle name="Normal 25 5 7" xfId="34751" xr:uid="{1CA57308-C417-4CA8-8507-3B74637D4A9E}"/>
    <cellStyle name="Normal 25 6" xfId="1759" xr:uid="{D4DB9A3A-CE4D-48A7-8565-6A44DBB80850}"/>
    <cellStyle name="Normal 25 6 2" xfId="5148" xr:uid="{EF6C2480-644F-4032-ADE4-0D825470A5CA}"/>
    <cellStyle name="Normal 25 6 2 2" xfId="13528" xr:uid="{AACB782E-6345-4822-AE68-34B036905262}"/>
    <cellStyle name="Normal 25 6 2 2 2" xfId="30288" xr:uid="{CF7E62E5-DFF8-4B98-8521-96477686C9E1}"/>
    <cellStyle name="Normal 25 6 2 2 3" xfId="47047" xr:uid="{56703326-ED02-4135-A138-841AD3A52EF5}"/>
    <cellStyle name="Normal 25 6 2 3" xfId="21908" xr:uid="{AE758E67-CF52-4ECF-8BFA-D04A4C54B156}"/>
    <cellStyle name="Normal 25 6 2 4" xfId="38667" xr:uid="{EFCAB823-7C7C-4292-9908-B2414F4DA34D}"/>
    <cellStyle name="Normal 25 6 3" xfId="6835" xr:uid="{D286AB5B-C46F-409F-971D-1D9BED7733A1}"/>
    <cellStyle name="Normal 25 6 3 2" xfId="15215" xr:uid="{3758B411-1D43-4CCB-8504-8973B94F4B90}"/>
    <cellStyle name="Normal 25 6 3 2 2" xfId="31975" xr:uid="{B21D501D-F1F4-4A07-AB80-9FD591C4FA73}"/>
    <cellStyle name="Normal 25 6 3 2 3" xfId="48734" xr:uid="{1321554B-83C4-4A05-98D4-FB447BF5C791}"/>
    <cellStyle name="Normal 25 6 3 3" xfId="23595" xr:uid="{960F04DE-2172-4EED-B61F-4D30AA9A8F4C}"/>
    <cellStyle name="Normal 25 6 3 4" xfId="40354" xr:uid="{3CCE5CFC-8CB8-4FFC-97C9-E9E399707CD5}"/>
    <cellStyle name="Normal 25 6 4" xfId="3459" xr:uid="{EC43A818-80D8-4DC7-AACF-009DB4B1ED6C}"/>
    <cellStyle name="Normal 25 6 4 2" xfId="11839" xr:uid="{27CB0D65-D864-44E4-92A1-5CA1339747BD}"/>
    <cellStyle name="Normal 25 6 4 2 2" xfId="28599" xr:uid="{DB9F9A62-38C4-478F-AF8D-688FF35BD601}"/>
    <cellStyle name="Normal 25 6 4 2 3" xfId="45358" xr:uid="{A3D5A2B4-84B3-4D20-B757-603DEBA029F1}"/>
    <cellStyle name="Normal 25 6 4 3" xfId="20219" xr:uid="{FBDDAD06-FA32-4507-903F-9ADF20D334E5}"/>
    <cellStyle name="Normal 25 6 4 4" xfId="36978" xr:uid="{1AD8A8AE-7C60-4907-B387-3CC31FF92EB0}"/>
    <cellStyle name="Normal 25 6 5" xfId="10148" xr:uid="{4099BECA-FC1E-4666-8743-88BD5CFB6AE3}"/>
    <cellStyle name="Normal 25 6 5 2" xfId="26908" xr:uid="{75D0295B-B393-45FE-8CC9-9B81C26A816C}"/>
    <cellStyle name="Normal 25 6 5 3" xfId="43667" xr:uid="{DDC11863-B506-4A0B-93A1-071358C9BCEC}"/>
    <cellStyle name="Normal 25 6 6" xfId="18528" xr:uid="{DB7577A0-D6C0-467F-ABF0-6068E0FF2484}"/>
    <cellStyle name="Normal 25 6 7" xfId="35287" xr:uid="{0CE2A4A2-2EC7-4A33-B7DF-6EF87FDB9813}"/>
    <cellStyle name="Normal 25 7" xfId="3878" xr:uid="{B6DCC7FF-2186-4E05-B25B-AD196CB95DAD}"/>
    <cellStyle name="Normal 25 7 2" xfId="12258" xr:uid="{084548FB-963A-4589-8247-07291948E7FF}"/>
    <cellStyle name="Normal 25 7 2 2" xfId="29018" xr:uid="{8CB90A91-56A7-4139-AFDC-CE8141FEA9A4}"/>
    <cellStyle name="Normal 25 7 2 3" xfId="45777" xr:uid="{2F5029A2-9FB1-4590-BC7C-FD9B84A6800A}"/>
    <cellStyle name="Normal 25 7 3" xfId="20638" xr:uid="{BBB6C083-27B8-4EFF-BE6D-38C0DA5B0D4A}"/>
    <cellStyle name="Normal 25 7 4" xfId="37397" xr:uid="{961BCFA2-1979-4554-A61C-E981091FE255}"/>
    <cellStyle name="Normal 25 8" xfId="5445" xr:uid="{8AF2E94F-DE86-4340-8992-2C5DAF73A6B7}"/>
    <cellStyle name="Normal 25 8 2" xfId="13825" xr:uid="{CB76D49B-7E29-43C1-B379-EB9ABF6B42AD}"/>
    <cellStyle name="Normal 25 8 2 2" xfId="30585" xr:uid="{F4C0765C-7344-464A-86EE-C5A28F97951C}"/>
    <cellStyle name="Normal 25 8 2 3" xfId="47344" xr:uid="{A4EC0286-3025-40F6-AF72-10BCD291D3C4}"/>
    <cellStyle name="Normal 25 8 3" xfId="22205" xr:uid="{C6F04B30-8C9E-4E69-A659-B401D9677BF9}"/>
    <cellStyle name="Normal 25 8 4" xfId="38964" xr:uid="{DFE87213-0207-40C3-8E82-0D919527C5BC}"/>
    <cellStyle name="Normal 25 9" xfId="7241" xr:uid="{244AC2B4-2CFC-4084-B7C1-9242265471DC}"/>
    <cellStyle name="Normal 25 9 2" xfId="15621" xr:uid="{CD59B1DF-C496-486D-A592-13F4A7C75598}"/>
    <cellStyle name="Normal 25 9 2 2" xfId="32381" xr:uid="{F941788D-40C1-403F-89CB-7B4C97D35087}"/>
    <cellStyle name="Normal 25 9 2 3" xfId="49140" xr:uid="{21652FD3-55D4-4C1B-9E8E-BB4D9E459977}"/>
    <cellStyle name="Normal 25 9 3" xfId="24001" xr:uid="{01E8D5AA-03DC-46EE-9215-CBB5BD80EDB7}"/>
    <cellStyle name="Normal 25 9 4" xfId="40760" xr:uid="{51C575AA-2D3F-4632-B679-8CD54349BC31}"/>
    <cellStyle name="Normal 26" xfId="242" xr:uid="{B1373D95-454B-4710-A201-FE041832C8A6}"/>
    <cellStyle name="Normal 26 10" xfId="17139" xr:uid="{57B0ADD4-7B68-441F-BC03-4BEC0C0A2F96}"/>
    <cellStyle name="Normal 26 11" xfId="33898" xr:uid="{F5009977-C8DF-4942-8C2B-19EF77FB143D}"/>
    <cellStyle name="Normal 26 12" xfId="285" xr:uid="{F5BAC2CA-8401-4F9A-B6AC-A5FB025A8473}"/>
    <cellStyle name="Normal 26 2" xfId="314" xr:uid="{79BF0A87-9236-47CB-9711-8ABAC9CFA74A}"/>
    <cellStyle name="Normal 26 2 10" xfId="33926" xr:uid="{C6A5B87B-4C5D-4B7F-A1B5-F3D42FAD3886}"/>
    <cellStyle name="Normal 26 2 2" xfId="397" xr:uid="{A4A046D0-5BB1-41DF-BE9A-1F022F236DFF}"/>
    <cellStyle name="Normal 26 2 2 2" xfId="892" xr:uid="{2E348B6D-FF7F-416C-947D-6C56224E6E87}"/>
    <cellStyle name="Normal 26 2 2 2 2" xfId="4287" xr:uid="{6984202D-F282-44FE-8482-6AB5CAF6CCC7}"/>
    <cellStyle name="Normal 26 2 2 2 2 2" xfId="12667" xr:uid="{D308E715-1712-400E-9D57-78D2C1E53588}"/>
    <cellStyle name="Normal 26 2 2 2 2 2 2" xfId="29427" xr:uid="{B1E4F8BD-14D0-4880-B92D-CD52E4C82FDD}"/>
    <cellStyle name="Normal 26 2 2 2 2 2 3" xfId="46186" xr:uid="{EE585B55-7763-4F95-BF7B-DA4D2715AF0E}"/>
    <cellStyle name="Normal 26 2 2 2 2 3" xfId="21047" xr:uid="{E570D367-EFA5-4F2A-B3A9-DEA2D56DC1F1}"/>
    <cellStyle name="Normal 26 2 2 2 2 4" xfId="37806" xr:uid="{4DB3056F-ABA7-4AAC-8693-B05E99B38EB8}"/>
    <cellStyle name="Normal 26 2 2 2 3" xfId="5974" xr:uid="{C17F1936-7AD7-41A0-A98D-929770801B00}"/>
    <cellStyle name="Normal 26 2 2 2 3 2" xfId="14354" xr:uid="{30F7480A-70EA-4899-AC97-384AA143C8BD}"/>
    <cellStyle name="Normal 26 2 2 2 3 2 2" xfId="31114" xr:uid="{B6C2A655-F798-447F-9A14-CF26D1FEBB7C}"/>
    <cellStyle name="Normal 26 2 2 2 3 2 3" xfId="47873" xr:uid="{EC76B28D-CDE9-40E8-B846-3F64A129FD63}"/>
    <cellStyle name="Normal 26 2 2 2 3 3" xfId="22734" xr:uid="{755A876B-9C28-4754-9F3F-7C063EBEA978}"/>
    <cellStyle name="Normal 26 2 2 2 3 4" xfId="39493" xr:uid="{50C9D26E-40D0-45E7-B259-B7AF85AF20FB}"/>
    <cellStyle name="Normal 26 2 2 2 4" xfId="2710" xr:uid="{A0793BB9-14BE-405D-8D6F-765A32F3B217}"/>
    <cellStyle name="Normal 26 2 2 2 4 2" xfId="11090" xr:uid="{B796D77F-1752-4235-A492-351EB1D1D012}"/>
    <cellStyle name="Normal 26 2 2 2 4 2 2" xfId="27850" xr:uid="{A1982C77-0418-4A70-9F37-7E90FB829465}"/>
    <cellStyle name="Normal 26 2 2 2 4 2 3" xfId="44609" xr:uid="{F84EAED1-EB1A-4A44-A956-FADC3879CB49}"/>
    <cellStyle name="Normal 26 2 2 2 4 3" xfId="19470" xr:uid="{9D046A60-BB09-4E59-81DA-FA785FC3207A}"/>
    <cellStyle name="Normal 26 2 2 2 4 4" xfId="36229" xr:uid="{AF8F2530-7A8B-4568-95B5-510EB51F5087}"/>
    <cellStyle name="Normal 26 2 2 2 5" xfId="9287" xr:uid="{CA71F99B-F9FB-40FC-B912-FF1C591ACA0E}"/>
    <cellStyle name="Normal 26 2 2 2 5 2" xfId="26047" xr:uid="{3E8677A1-E1E4-4A8F-A031-D171C3FFBCA8}"/>
    <cellStyle name="Normal 26 2 2 2 5 3" xfId="42806" xr:uid="{BC364264-4CCC-46AD-812A-50BA51D03FA5}"/>
    <cellStyle name="Normal 26 2 2 2 6" xfId="17667" xr:uid="{F85074D5-3CD6-4F66-960F-C72D95186F6A}"/>
    <cellStyle name="Normal 26 2 2 2 7" xfId="34426" xr:uid="{E6FD7168-94D0-4332-96E1-A0B317114564}"/>
    <cellStyle name="Normal 26 2 2 3" xfId="1326" xr:uid="{D761ECBF-2BD8-4611-BC6C-78244C6C8861}"/>
    <cellStyle name="Normal 26 2 2 3 2" xfId="4715" xr:uid="{2EFAEEC8-F74B-482B-AA09-0541FEE498B9}"/>
    <cellStyle name="Normal 26 2 2 3 2 2" xfId="13095" xr:uid="{34475AB6-4770-4483-8C25-DDE7E6A6F218}"/>
    <cellStyle name="Normal 26 2 2 3 2 2 2" xfId="29855" xr:uid="{5293E26C-CEC1-4E0E-9A34-849D874F3CC4}"/>
    <cellStyle name="Normal 26 2 2 3 2 2 3" xfId="46614" xr:uid="{A7FF4E2D-3C41-4880-A4E8-A843F34F7B76}"/>
    <cellStyle name="Normal 26 2 2 3 2 3" xfId="21475" xr:uid="{7EFDD2CD-4EB0-4FF0-9C2E-0888A6191E29}"/>
    <cellStyle name="Normal 26 2 2 3 2 4" xfId="38234" xr:uid="{61BC5D30-3C26-4A76-A088-8D8B68C7CDB1}"/>
    <cellStyle name="Normal 26 2 2 3 3" xfId="6402" xr:uid="{D147E4FA-AC22-43CB-A730-B03BFDAD0B03}"/>
    <cellStyle name="Normal 26 2 2 3 3 2" xfId="14782" xr:uid="{CFB892AF-C94C-4B7B-A6EA-BD21A7E4AFDB}"/>
    <cellStyle name="Normal 26 2 2 3 3 2 2" xfId="31542" xr:uid="{E7D14561-F520-4F05-B1AC-2846F9022782}"/>
    <cellStyle name="Normal 26 2 2 3 3 2 3" xfId="48301" xr:uid="{1A71F816-DE30-40AF-A7C0-18837633CA3E}"/>
    <cellStyle name="Normal 26 2 2 3 3 3" xfId="23162" xr:uid="{146292D4-0552-47E3-9718-1F3F0C3D2A74}"/>
    <cellStyle name="Normal 26 2 2 3 3 4" xfId="39921" xr:uid="{9D00F3F3-F7E4-4DA4-AE0E-F267A03FE091}"/>
    <cellStyle name="Normal 26 2 2 3 4" xfId="3138" xr:uid="{5BAF38A7-01DF-4503-B6FC-71879D6F0A91}"/>
    <cellStyle name="Normal 26 2 2 3 4 2" xfId="11518" xr:uid="{06B625E7-E4D7-4E18-9877-E7954ED279E3}"/>
    <cellStyle name="Normal 26 2 2 3 4 2 2" xfId="28278" xr:uid="{BEF7262D-7D9A-4C67-9319-3E7B838019B4}"/>
    <cellStyle name="Normal 26 2 2 3 4 2 3" xfId="45037" xr:uid="{2171301B-F422-4D74-98AA-CB6D4FB2720C}"/>
    <cellStyle name="Normal 26 2 2 3 4 3" xfId="19898" xr:uid="{9E97FFE4-7F0E-4448-A3B2-0DB7F0648A8B}"/>
    <cellStyle name="Normal 26 2 2 3 4 4" xfId="36657" xr:uid="{047C069B-8E0C-4AEB-9256-20965AA89CF9}"/>
    <cellStyle name="Normal 26 2 2 3 5" xfId="9715" xr:uid="{37666123-24F8-4FAE-823A-D24064D534E0}"/>
    <cellStyle name="Normal 26 2 2 3 5 2" xfId="26475" xr:uid="{19F8E306-1944-413B-91E1-877C0B935536}"/>
    <cellStyle name="Normal 26 2 2 3 5 3" xfId="43234" xr:uid="{5704F56E-3557-4BBE-9F74-2D97FC96172F}"/>
    <cellStyle name="Normal 26 2 2 3 6" xfId="18095" xr:uid="{A88D1DA0-F1CC-4098-BFCC-708D4B9A033D}"/>
    <cellStyle name="Normal 26 2 2 3 7" xfId="34854" xr:uid="{A07F8571-EEC9-428B-A0D6-E8333CB1598D}"/>
    <cellStyle name="Normal 26 2 2 4" xfId="4154" xr:uid="{F9BF8DD7-B1EA-41C2-B0F9-0DA0030F0F58}"/>
    <cellStyle name="Normal 26 2 2 4 2" xfId="12534" xr:uid="{33DB1C64-433D-4867-BBEF-4A102EFB7A40}"/>
    <cellStyle name="Normal 26 2 2 4 2 2" xfId="29294" xr:uid="{746B23FE-8521-4E15-9A54-5FFCC2C48449}"/>
    <cellStyle name="Normal 26 2 2 4 2 3" xfId="46053" xr:uid="{132F8D2E-A747-4573-8B55-97A0285ADA49}"/>
    <cellStyle name="Normal 26 2 2 4 3" xfId="20914" xr:uid="{C481DC74-F548-4DE4-84D0-C881BCEB180C}"/>
    <cellStyle name="Normal 26 2 2 4 4" xfId="37673" xr:uid="{7E67E778-2107-4ED3-A875-065B950B4C60}"/>
    <cellStyle name="Normal 26 2 2 5" xfId="5548" xr:uid="{63606447-DFF1-439E-BF2B-E8CA39FE4143}"/>
    <cellStyle name="Normal 26 2 2 5 2" xfId="13928" xr:uid="{91A953F5-59A7-4D1E-BD9E-8AA51A44A87B}"/>
    <cellStyle name="Normal 26 2 2 5 2 2" xfId="30688" xr:uid="{F755A14D-4469-4A6F-B144-E170A26C22B1}"/>
    <cellStyle name="Normal 26 2 2 5 2 3" xfId="47447" xr:uid="{49053D29-0BAD-4DAB-9D05-A505B4BFAA8C}"/>
    <cellStyle name="Normal 26 2 2 5 3" xfId="22308" xr:uid="{C7BFE36A-4FD6-4693-B529-7E6D13BF678C}"/>
    <cellStyle name="Normal 26 2 2 5 4" xfId="39067" xr:uid="{28039A8A-433C-4E60-A2F0-17738528FAC0}"/>
    <cellStyle name="Normal 26 2 2 6" xfId="2280" xr:uid="{690D8D72-DEB8-4612-94B8-65DD4CD1B47B}"/>
    <cellStyle name="Normal 26 2 2 6 2" xfId="10664" xr:uid="{0B7D5148-1C2F-430B-A03B-ED4206D978BD}"/>
    <cellStyle name="Normal 26 2 2 6 2 2" xfId="27424" xr:uid="{91937F74-F782-4B17-84BB-E72AA8271BBA}"/>
    <cellStyle name="Normal 26 2 2 6 2 3" xfId="44183" xr:uid="{255359FC-397D-4FDF-A8EB-04DD7BFB0892}"/>
    <cellStyle name="Normal 26 2 2 6 3" xfId="19044" xr:uid="{868DA00C-8118-4D33-8988-7562F9BE7106}"/>
    <cellStyle name="Normal 26 2 2 6 4" xfId="35803" xr:uid="{5CA89EBE-C373-4714-AD3F-6B9FBD4F3F3E}"/>
    <cellStyle name="Normal 26 2 2 7" xfId="8861" xr:uid="{107C6414-EDA1-4293-BF01-0A4AEE31C95B}"/>
    <cellStyle name="Normal 26 2 2 7 2" xfId="25621" xr:uid="{87230E16-B43E-498F-95A7-CC31CA353746}"/>
    <cellStyle name="Normal 26 2 2 7 3" xfId="42380" xr:uid="{8922F559-F667-490C-9D97-B6F5E28933BA}"/>
    <cellStyle name="Normal 26 2 2 8" xfId="17241" xr:uid="{93E59BBE-968B-4A6B-A9AF-C963FFBF7506}"/>
    <cellStyle name="Normal 26 2 2 9" xfId="34000" xr:uid="{A0C530BB-DE9F-47A9-9088-5A71635D4CE5}"/>
    <cellStyle name="Normal 26 2 3" xfId="818" xr:uid="{3573DCB3-2277-4441-88A5-1AC0D20200F8}"/>
    <cellStyle name="Normal 26 2 3 2" xfId="4213" xr:uid="{32329D56-FAAA-46DF-9004-8E5E1197A3CB}"/>
    <cellStyle name="Normal 26 2 3 2 2" xfId="12593" xr:uid="{3BF9044C-EFA1-40D1-B3DA-FC263F3705BE}"/>
    <cellStyle name="Normal 26 2 3 2 2 2" xfId="29353" xr:uid="{14937144-0D77-4B65-AFD1-D031BED94393}"/>
    <cellStyle name="Normal 26 2 3 2 2 3" xfId="46112" xr:uid="{44AC4B01-5BEA-4487-B83C-89500906E179}"/>
    <cellStyle name="Normal 26 2 3 2 3" xfId="20973" xr:uid="{B47F80CE-05ED-45CB-AB9A-12936418ABA0}"/>
    <cellStyle name="Normal 26 2 3 2 4" xfId="37732" xr:uid="{1754245E-9445-45DE-A2CB-7A91E0D92993}"/>
    <cellStyle name="Normal 26 2 3 3" xfId="5900" xr:uid="{E624064F-E86D-488C-8E1A-308F6BE3D353}"/>
    <cellStyle name="Normal 26 2 3 3 2" xfId="14280" xr:uid="{0E5970BE-BAAB-4079-9AB4-432A301662A8}"/>
    <cellStyle name="Normal 26 2 3 3 2 2" xfId="31040" xr:uid="{F54B16CD-A061-4490-A6AF-5588D4A236BE}"/>
    <cellStyle name="Normal 26 2 3 3 2 3" xfId="47799" xr:uid="{FF99715D-D321-4B44-9A8C-0E51451D7D98}"/>
    <cellStyle name="Normal 26 2 3 3 3" xfId="22660" xr:uid="{014B47C4-1B50-4984-AF20-24E339D14E54}"/>
    <cellStyle name="Normal 26 2 3 3 4" xfId="39419" xr:uid="{1F2A361A-61E8-45BA-9C23-36F05C73D820}"/>
    <cellStyle name="Normal 26 2 3 4" xfId="2636" xr:uid="{C51F24B4-1505-4AD1-9340-A0BA2BB16321}"/>
    <cellStyle name="Normal 26 2 3 4 2" xfId="11016" xr:uid="{8144098F-CC8F-40CB-A67D-E3B46C471F50}"/>
    <cellStyle name="Normal 26 2 3 4 2 2" xfId="27776" xr:uid="{F401E1B1-7DA9-4693-9B21-A155658326F0}"/>
    <cellStyle name="Normal 26 2 3 4 2 3" xfId="44535" xr:uid="{581853F5-0FA6-456C-B426-B0DA7D1BFCAB}"/>
    <cellStyle name="Normal 26 2 3 4 3" xfId="19396" xr:uid="{5C79033C-9298-48D9-9175-222388E2B866}"/>
    <cellStyle name="Normal 26 2 3 4 4" xfId="36155" xr:uid="{9C1D3454-7A28-4A3E-BA1F-F0FAB55C05A1}"/>
    <cellStyle name="Normal 26 2 3 5" xfId="9213" xr:uid="{9C0F42FD-25B2-4355-9D21-925D08384955}"/>
    <cellStyle name="Normal 26 2 3 5 2" xfId="25973" xr:uid="{FD86CD40-50B7-4611-955E-99794675D8CF}"/>
    <cellStyle name="Normal 26 2 3 5 3" xfId="42732" xr:uid="{1C0B571E-7F5A-47E3-8971-6D8B18408263}"/>
    <cellStyle name="Normal 26 2 3 6" xfId="17593" xr:uid="{A8FA9E1E-6BCB-4414-ABEE-8E561C582FDC}"/>
    <cellStyle name="Normal 26 2 3 7" xfId="34352" xr:uid="{BB004CBB-6214-4BB6-B73F-666DE7B1208F}"/>
    <cellStyle name="Normal 26 2 4" xfId="1252" xr:uid="{EAA998D7-78A4-4456-9D3E-51BCE2A4D8D4}"/>
    <cellStyle name="Normal 26 2 4 2" xfId="4641" xr:uid="{FC141979-A005-49DA-882A-CEF23E72A3BD}"/>
    <cellStyle name="Normal 26 2 4 2 2" xfId="13021" xr:uid="{F50FC0E3-BF23-499C-BA2E-AB5E968D554D}"/>
    <cellStyle name="Normal 26 2 4 2 2 2" xfId="29781" xr:uid="{8076E210-0C41-4697-ACCD-4E591BD74B4B}"/>
    <cellStyle name="Normal 26 2 4 2 2 3" xfId="46540" xr:uid="{0B3724C3-5363-4785-A169-40A6C834B239}"/>
    <cellStyle name="Normal 26 2 4 2 3" xfId="21401" xr:uid="{F1B5E31F-EFE0-4931-8CF2-42A50F5A672B}"/>
    <cellStyle name="Normal 26 2 4 2 4" xfId="38160" xr:uid="{3A76B96B-743B-473B-AB38-41E540593C89}"/>
    <cellStyle name="Normal 26 2 4 3" xfId="6328" xr:uid="{D755E01D-4B65-4366-BC64-46C8E4515DFD}"/>
    <cellStyle name="Normal 26 2 4 3 2" xfId="14708" xr:uid="{C0CC652A-C1F2-4E17-9717-C2D5CA55051C}"/>
    <cellStyle name="Normal 26 2 4 3 2 2" xfId="31468" xr:uid="{2F64D7A0-9289-4E27-BB83-27EAB6A14590}"/>
    <cellStyle name="Normal 26 2 4 3 2 3" xfId="48227" xr:uid="{AF640B0D-B8B4-4E0E-A64A-414230E80091}"/>
    <cellStyle name="Normal 26 2 4 3 3" xfId="23088" xr:uid="{4BE1A361-8559-43E2-93E6-D1B971C989BE}"/>
    <cellStyle name="Normal 26 2 4 3 4" xfId="39847" xr:uid="{642D7CAC-D01D-40B7-A3AB-52007821CDC3}"/>
    <cellStyle name="Normal 26 2 4 4" xfId="3064" xr:uid="{8F477B9F-200B-4BF5-B5A8-3F70FB24F953}"/>
    <cellStyle name="Normal 26 2 4 4 2" xfId="11444" xr:uid="{062D5C76-7C3D-48FE-988D-97E567E8F38A}"/>
    <cellStyle name="Normal 26 2 4 4 2 2" xfId="28204" xr:uid="{27356F9F-E714-40FA-90B5-0876ADB54353}"/>
    <cellStyle name="Normal 26 2 4 4 2 3" xfId="44963" xr:uid="{F62CB023-F5EA-452F-B329-EF8F924BF12A}"/>
    <cellStyle name="Normal 26 2 4 4 3" xfId="19824" xr:uid="{358F38F8-26CF-4B75-B59A-07D3BE70EAFC}"/>
    <cellStyle name="Normal 26 2 4 4 4" xfId="36583" xr:uid="{B78544AA-3C37-4753-8B57-11AE12C1BBB8}"/>
    <cellStyle name="Normal 26 2 4 5" xfId="9641" xr:uid="{AEB4C41B-EF4B-494E-942D-C89266AD2123}"/>
    <cellStyle name="Normal 26 2 4 5 2" xfId="26401" xr:uid="{A618596C-EC68-4F9C-B74A-2BB655233365}"/>
    <cellStyle name="Normal 26 2 4 5 3" xfId="43160" xr:uid="{EF71432B-5637-42F1-AB67-60E8F4B55DEF}"/>
    <cellStyle name="Normal 26 2 4 6" xfId="18021" xr:uid="{2377505B-35D4-4420-9D81-138BA04F6B30}"/>
    <cellStyle name="Normal 26 2 4 7" xfId="34780" xr:uid="{890E318F-8069-4EEB-A5CF-4640250DDCAC}"/>
    <cellStyle name="Normal 26 2 5" xfId="3764" xr:uid="{4E35D86A-BF6F-48EA-AA82-682B2ADFDDFE}"/>
    <cellStyle name="Normal 26 2 5 2" xfId="12144" xr:uid="{6F3DDB23-2786-44E0-A1FD-6D135406527C}"/>
    <cellStyle name="Normal 26 2 5 2 2" xfId="28904" xr:uid="{531E5350-BE64-4DFD-869A-B92C569AEE61}"/>
    <cellStyle name="Normal 26 2 5 2 3" xfId="45663" xr:uid="{B9FAD4C0-5387-42B5-84AD-B117844A2D5A}"/>
    <cellStyle name="Normal 26 2 5 3" xfId="20524" xr:uid="{EFE3C486-8C89-472B-96D8-AA33E7923DBD}"/>
    <cellStyle name="Normal 26 2 5 4" xfId="37283" xr:uid="{43DC5F79-639E-491F-9574-C1F995ECF40F}"/>
    <cellStyle name="Normal 26 2 6" xfId="5474" xr:uid="{E5771CE9-BB9E-497E-8261-76E38F2B4660}"/>
    <cellStyle name="Normal 26 2 6 2" xfId="13854" xr:uid="{FBC0C95A-7383-469F-B801-F4938839A98A}"/>
    <cellStyle name="Normal 26 2 6 2 2" xfId="30614" xr:uid="{29517057-BE2D-4428-A2A3-D10DF0565E26}"/>
    <cellStyle name="Normal 26 2 6 2 3" xfId="47373" xr:uid="{B84FD0A2-77DF-448C-8E49-4C090B777CF9}"/>
    <cellStyle name="Normal 26 2 6 3" xfId="22234" xr:uid="{1AAC9B19-B6D0-487E-94C1-62DF6247352A}"/>
    <cellStyle name="Normal 26 2 6 4" xfId="38993" xr:uid="{67B40473-C26D-43FB-88F9-8A121E356EC4}"/>
    <cellStyle name="Normal 26 2 7" xfId="2203" xr:uid="{97133C8A-F954-4CB3-B601-B2F174E258AA}"/>
    <cellStyle name="Normal 26 2 7 2" xfId="10590" xr:uid="{56E4CF0E-3B66-4FFC-819B-094EC8D1DC88}"/>
    <cellStyle name="Normal 26 2 7 2 2" xfId="27350" xr:uid="{6E87BE24-D86E-4512-B0BF-21A4C22AD279}"/>
    <cellStyle name="Normal 26 2 7 2 3" xfId="44109" xr:uid="{56BCE555-4511-4A21-A85D-E9E5129BA59D}"/>
    <cellStyle name="Normal 26 2 7 3" xfId="18970" xr:uid="{A5555402-A5AF-4839-B13D-8042F0B12A57}"/>
    <cellStyle name="Normal 26 2 7 4" xfId="35729" xr:uid="{BD52310B-C1BC-4B2C-A889-E30E495003D7}"/>
    <cellStyle name="Normal 26 2 8" xfId="8787" xr:uid="{FB759A29-191A-4996-BFEC-61F236C24B5C}"/>
    <cellStyle name="Normal 26 2 8 2" xfId="25547" xr:uid="{02C233C1-89A3-495B-A2CE-86330A220F7A}"/>
    <cellStyle name="Normal 26 2 8 3" xfId="42306" xr:uid="{218D73F4-BA4D-4F00-9AF3-9F39E9F343F1}"/>
    <cellStyle name="Normal 26 2 9" xfId="17167" xr:uid="{E6117471-A317-4A2D-A2EC-708E2B05F005}"/>
    <cellStyle name="Normal 26 3" xfId="369" xr:uid="{DFCA3226-592A-4C74-B8D9-164EFBF155CD}"/>
    <cellStyle name="Normal 26 3 2" xfId="864" xr:uid="{23ED2411-23E5-43C7-AE7A-594CE804A70E}"/>
    <cellStyle name="Normal 26 3 2 2" xfId="4259" xr:uid="{C38C85A4-9074-4E2A-870E-418C50258529}"/>
    <cellStyle name="Normal 26 3 2 2 2" xfId="12639" xr:uid="{4605AF2E-B28B-4200-B22E-B4F310F7B00E}"/>
    <cellStyle name="Normal 26 3 2 2 2 2" xfId="29399" xr:uid="{03378C01-2B05-47AA-BB6C-F71C293CE495}"/>
    <cellStyle name="Normal 26 3 2 2 2 3" xfId="46158" xr:uid="{AD43E3DC-6613-4EEB-A0EF-B7961653F0E5}"/>
    <cellStyle name="Normal 26 3 2 2 3" xfId="21019" xr:uid="{3D93E540-2A30-45E5-BF73-0E0F1933BB97}"/>
    <cellStyle name="Normal 26 3 2 2 4" xfId="37778" xr:uid="{875187E8-22BA-4DC4-BABB-A60642C3E528}"/>
    <cellStyle name="Normal 26 3 2 3" xfId="5946" xr:uid="{793C40C1-377A-4351-9616-0458DDCE252C}"/>
    <cellStyle name="Normal 26 3 2 3 2" xfId="14326" xr:uid="{DFE09F3C-5E39-4350-92A3-9BE5BA7D2569}"/>
    <cellStyle name="Normal 26 3 2 3 2 2" xfId="31086" xr:uid="{B5A4C225-FC64-481C-84CA-E21D1E2748C2}"/>
    <cellStyle name="Normal 26 3 2 3 2 3" xfId="47845" xr:uid="{02C7962D-92CB-4581-BB55-286F303AA736}"/>
    <cellStyle name="Normal 26 3 2 3 3" xfId="22706" xr:uid="{64392E2B-64C2-4782-9CAD-59E8F8637E79}"/>
    <cellStyle name="Normal 26 3 2 3 4" xfId="39465" xr:uid="{73865673-E149-46D1-8D5E-30F6774D98BA}"/>
    <cellStyle name="Normal 26 3 2 4" xfId="2682" xr:uid="{B9332286-3D17-4627-B893-FBECEA0D8C51}"/>
    <cellStyle name="Normal 26 3 2 4 2" xfId="11062" xr:uid="{8ACC40B4-8E07-4343-BEDA-4094B8EE35D9}"/>
    <cellStyle name="Normal 26 3 2 4 2 2" xfId="27822" xr:uid="{FAC9B5C7-7D16-400E-B97D-4B7F685A5679}"/>
    <cellStyle name="Normal 26 3 2 4 2 3" xfId="44581" xr:uid="{CEE6EE65-7559-4FC8-B9AC-73A0AA51D3AB}"/>
    <cellStyle name="Normal 26 3 2 4 3" xfId="19442" xr:uid="{86435DA6-285A-4F57-9586-04C0AC27AB13}"/>
    <cellStyle name="Normal 26 3 2 4 4" xfId="36201" xr:uid="{AEB363E9-8D9D-476A-A58D-A4862F840B68}"/>
    <cellStyle name="Normal 26 3 2 5" xfId="9259" xr:uid="{A91FBC51-CCD3-4C87-A85E-6AE12FF1863C}"/>
    <cellStyle name="Normal 26 3 2 5 2" xfId="26019" xr:uid="{CB8AAAA0-8090-4FCC-8DF4-9AB5AE25353A}"/>
    <cellStyle name="Normal 26 3 2 5 3" xfId="42778" xr:uid="{C3778456-35CD-4456-B94C-25066F8E80A4}"/>
    <cellStyle name="Normal 26 3 2 6" xfId="17639" xr:uid="{CF86F60E-6ACA-40E4-B357-7D7B0036B87B}"/>
    <cellStyle name="Normal 26 3 2 7" xfId="34398" xr:uid="{44E2FA3F-F738-41DA-9898-B333D0600B75}"/>
    <cellStyle name="Normal 26 3 3" xfId="1298" xr:uid="{82AF66F0-5908-4C3B-B121-6108024DC94B}"/>
    <cellStyle name="Normal 26 3 3 2" xfId="4687" xr:uid="{983A62C6-78C5-401E-B46B-C57B1F3BAA26}"/>
    <cellStyle name="Normal 26 3 3 2 2" xfId="13067" xr:uid="{7BFA585C-5ED2-4515-BC50-B5EE615D940B}"/>
    <cellStyle name="Normal 26 3 3 2 2 2" xfId="29827" xr:uid="{651CEB66-73E3-42B7-9117-750811FFB5D2}"/>
    <cellStyle name="Normal 26 3 3 2 2 3" xfId="46586" xr:uid="{06CB9AB2-9709-414D-97B3-F59A2BE73509}"/>
    <cellStyle name="Normal 26 3 3 2 3" xfId="21447" xr:uid="{402C2C71-403B-4608-AF40-27CCE82B4336}"/>
    <cellStyle name="Normal 26 3 3 2 4" xfId="38206" xr:uid="{B082E097-D4CF-4301-97FC-817414A0DC37}"/>
    <cellStyle name="Normal 26 3 3 3" xfId="6374" xr:uid="{983F2DEF-A2DC-46F5-888B-51D549F215B9}"/>
    <cellStyle name="Normal 26 3 3 3 2" xfId="14754" xr:uid="{E0BA5D15-D089-4E12-B9BA-28CF0640667A}"/>
    <cellStyle name="Normal 26 3 3 3 2 2" xfId="31514" xr:uid="{24B43682-E803-4860-A775-71139FA3625C}"/>
    <cellStyle name="Normal 26 3 3 3 2 3" xfId="48273" xr:uid="{C89B1EE8-8330-4A42-8A7E-F2C7A200E40A}"/>
    <cellStyle name="Normal 26 3 3 3 3" xfId="23134" xr:uid="{388AF867-43CA-40BB-9EE6-55FE28093705}"/>
    <cellStyle name="Normal 26 3 3 3 4" xfId="39893" xr:uid="{D3C7971A-76C6-4ECD-954C-9C13BDA14B35}"/>
    <cellStyle name="Normal 26 3 3 4" xfId="3110" xr:uid="{931956CD-928B-49A6-B390-98C5366B91A8}"/>
    <cellStyle name="Normal 26 3 3 4 2" xfId="11490" xr:uid="{AC08502D-7C67-4CCA-9BC7-377854324B81}"/>
    <cellStyle name="Normal 26 3 3 4 2 2" xfId="28250" xr:uid="{8EA25BA8-A78D-4549-9CA8-B75C0FF97F55}"/>
    <cellStyle name="Normal 26 3 3 4 2 3" xfId="45009" xr:uid="{0FA38E6C-F1F1-46BF-90A0-39CF49535860}"/>
    <cellStyle name="Normal 26 3 3 4 3" xfId="19870" xr:uid="{5E7E58AB-17B2-4CAE-872B-DCE9A8333785}"/>
    <cellStyle name="Normal 26 3 3 4 4" xfId="36629" xr:uid="{C60520E6-489B-48EC-8305-DA5847E32872}"/>
    <cellStyle name="Normal 26 3 3 5" xfId="9687" xr:uid="{854F2932-A8A2-47DE-A52E-E2F91EA1090A}"/>
    <cellStyle name="Normal 26 3 3 5 2" xfId="26447" xr:uid="{CEB6B267-4ED5-49A8-88A7-6858E9CEF494}"/>
    <cellStyle name="Normal 26 3 3 5 3" xfId="43206" xr:uid="{4A47F3A1-9BCF-4B4C-BDC6-0B65E94340A7}"/>
    <cellStyle name="Normal 26 3 3 6" xfId="18067" xr:uid="{6FECD28B-98D3-4582-895B-4B647794FDEA}"/>
    <cellStyle name="Normal 26 3 3 7" xfId="34826" xr:uid="{41E05149-76AB-48E6-A6AE-494ADA485B4D}"/>
    <cellStyle name="Normal 26 3 4" xfId="4150" xr:uid="{28F54868-35F5-4F4B-9849-15165D457A6F}"/>
    <cellStyle name="Normal 26 3 4 2" xfId="12530" xr:uid="{82E1FD0D-6927-41A1-9547-6B74510F0011}"/>
    <cellStyle name="Normal 26 3 4 2 2" xfId="29290" xr:uid="{E53D7D9F-7EB0-432C-A5F5-6868B13DF0A0}"/>
    <cellStyle name="Normal 26 3 4 2 3" xfId="46049" xr:uid="{32E12F2F-00C1-45AE-82B9-05DF8518CB59}"/>
    <cellStyle name="Normal 26 3 4 3" xfId="20910" xr:uid="{6B155378-D68C-43DB-A738-2D60D5769064}"/>
    <cellStyle name="Normal 26 3 4 4" xfId="37669" xr:uid="{42B28C13-915D-4A92-8E0C-B7623E88401F}"/>
    <cellStyle name="Normal 26 3 5" xfId="5520" xr:uid="{46F12301-D2B3-4EAB-BC76-3CE063727CD5}"/>
    <cellStyle name="Normal 26 3 5 2" xfId="13900" xr:uid="{E24D4F43-3FD3-48C5-A378-1F818D5C5DED}"/>
    <cellStyle name="Normal 26 3 5 2 2" xfId="30660" xr:uid="{292A8149-49A6-453F-992F-DB27F3439C53}"/>
    <cellStyle name="Normal 26 3 5 2 3" xfId="47419" xr:uid="{32829069-0551-461E-8DE4-7A6DA5E720E3}"/>
    <cellStyle name="Normal 26 3 5 3" xfId="22280" xr:uid="{9ABC3979-07E3-4BC1-98EB-288F3DBFFFA3}"/>
    <cellStyle name="Normal 26 3 5 4" xfId="39039" xr:uid="{F5DC1626-35F1-4A3B-BA87-F6FD8F42138A}"/>
    <cellStyle name="Normal 26 3 6" xfId="2252" xr:uid="{743AF4AE-73D5-4F4A-A214-ABB9E077E408}"/>
    <cellStyle name="Normal 26 3 6 2" xfId="10636" xr:uid="{45562DF6-1A8D-47E4-B9DD-A4C7FC945E6F}"/>
    <cellStyle name="Normal 26 3 6 2 2" xfId="27396" xr:uid="{BE9E848D-4068-42E5-ABF6-3193A49370CB}"/>
    <cellStyle name="Normal 26 3 6 2 3" xfId="44155" xr:uid="{E8252535-8DC9-4235-9378-4EBC3340985C}"/>
    <cellStyle name="Normal 26 3 6 3" xfId="19016" xr:uid="{E7E04E08-AE71-4CE6-8077-2E909DD1E706}"/>
    <cellStyle name="Normal 26 3 6 4" xfId="35775" xr:uid="{31E9DFBC-F0E8-4BD9-8D0D-015652CACEF7}"/>
    <cellStyle name="Normal 26 3 7" xfId="8833" xr:uid="{E02CB908-45A9-438B-8B19-2AFD2562F6B2}"/>
    <cellStyle name="Normal 26 3 7 2" xfId="25593" xr:uid="{5B106DB3-69E6-4CF4-BFDB-BA62109D9D8C}"/>
    <cellStyle name="Normal 26 3 7 3" xfId="42352" xr:uid="{995D5447-90D1-41AA-932A-11805F562787}"/>
    <cellStyle name="Normal 26 3 8" xfId="17213" xr:uid="{30B45BBB-D91D-4CD0-9062-85B90766FBFE}"/>
    <cellStyle name="Normal 26 3 9" xfId="33972" xr:uid="{D3E16874-DA8A-4BDC-8436-D073815BFA2F}"/>
    <cellStyle name="Normal 26 4" xfId="790" xr:uid="{2E86368A-C980-427D-9353-18515D498AC4}"/>
    <cellStyle name="Normal 26 4 2" xfId="4185" xr:uid="{C3CD63FE-1164-4EC3-AF27-DFDB7EC1D297}"/>
    <cellStyle name="Normal 26 4 2 2" xfId="12565" xr:uid="{4E322E7F-4A37-4563-B642-AD7006C357D2}"/>
    <cellStyle name="Normal 26 4 2 2 2" xfId="29325" xr:uid="{6B80AE63-E890-4A41-9761-133C2D166E93}"/>
    <cellStyle name="Normal 26 4 2 2 3" xfId="46084" xr:uid="{34F7DF17-DF92-4BC9-9C79-68D1444A09FA}"/>
    <cellStyle name="Normal 26 4 2 3" xfId="20945" xr:uid="{60EC4605-64C9-4809-BE43-041C368D9F64}"/>
    <cellStyle name="Normal 26 4 2 4" xfId="37704" xr:uid="{819B07D7-2C5C-474E-950E-D90E921CDA40}"/>
    <cellStyle name="Normal 26 4 3" xfId="5872" xr:uid="{74CF0948-8076-4869-8094-B9B2DEF6E4DF}"/>
    <cellStyle name="Normal 26 4 3 2" xfId="14252" xr:uid="{96E297CD-81CB-4A8B-BF54-16DD4681AB90}"/>
    <cellStyle name="Normal 26 4 3 2 2" xfId="31012" xr:uid="{A1C97D51-BEE6-408F-96D6-1A888F582960}"/>
    <cellStyle name="Normal 26 4 3 2 3" xfId="47771" xr:uid="{70257AF5-5591-40F2-8B66-9CE276990E09}"/>
    <cellStyle name="Normal 26 4 3 3" xfId="22632" xr:uid="{81CFAEAB-12A5-4122-B05C-374454D22DDF}"/>
    <cellStyle name="Normal 26 4 3 4" xfId="39391" xr:uid="{02FE9198-A561-4379-93EE-72248CEB086E}"/>
    <cellStyle name="Normal 26 4 4" xfId="2608" xr:uid="{76E29B77-564E-44EE-AC0D-DD542F7DD0A9}"/>
    <cellStyle name="Normal 26 4 4 2" xfId="10988" xr:uid="{03B10534-C83B-4138-BD04-6D43F6298755}"/>
    <cellStyle name="Normal 26 4 4 2 2" xfId="27748" xr:uid="{7E0C8B0F-AB17-4C81-8FE3-63B367ABC77E}"/>
    <cellStyle name="Normal 26 4 4 2 3" xfId="44507" xr:uid="{F800BDF0-AAEB-4EE0-8DCE-1D22B71DC756}"/>
    <cellStyle name="Normal 26 4 4 3" xfId="19368" xr:uid="{1C9848DA-8B01-4636-ACA2-F112F8006990}"/>
    <cellStyle name="Normal 26 4 4 4" xfId="36127" xr:uid="{B513FA9F-B3FA-4DC6-91FE-815DDCD0B8E4}"/>
    <cellStyle name="Normal 26 4 5" xfId="9185" xr:uid="{CDBC4773-6830-42FA-BA42-2F839D4CE4D0}"/>
    <cellStyle name="Normal 26 4 5 2" xfId="25945" xr:uid="{7D6232F2-68D4-4131-B670-7BE225186A67}"/>
    <cellStyle name="Normal 26 4 5 3" xfId="42704" xr:uid="{1F40950C-CC9F-43C5-908C-90FC9E177CAF}"/>
    <cellStyle name="Normal 26 4 6" xfId="17565" xr:uid="{1425428A-F6ED-40DC-9F92-24C46878879E}"/>
    <cellStyle name="Normal 26 4 7" xfId="34324" xr:uid="{7CDE46AC-88A3-437F-8F54-7C1DB557F47C}"/>
    <cellStyle name="Normal 26 5" xfId="1224" xr:uid="{F5C66114-0D28-462F-875A-DA8B6A06830F}"/>
    <cellStyle name="Normal 26 5 2" xfId="4613" xr:uid="{E775436A-F172-47E5-90F5-19563DAFC34C}"/>
    <cellStyle name="Normal 26 5 2 2" xfId="12993" xr:uid="{68C281FE-AE64-4895-B3DE-38240E8E61C9}"/>
    <cellStyle name="Normal 26 5 2 2 2" xfId="29753" xr:uid="{5964D20C-8F87-46D6-B8C2-780584EEFEAB}"/>
    <cellStyle name="Normal 26 5 2 2 3" xfId="46512" xr:uid="{CB8FD3FF-3955-4AF5-830B-452F0B5C502F}"/>
    <cellStyle name="Normal 26 5 2 3" xfId="21373" xr:uid="{FFC362B8-BDFE-4C7C-AA7C-61E99356274C}"/>
    <cellStyle name="Normal 26 5 2 4" xfId="38132" xr:uid="{B4E3D9D5-D036-4738-86E9-5F20A6E2484E}"/>
    <cellStyle name="Normal 26 5 3" xfId="6300" xr:uid="{9532A8D2-0934-4B8D-8F3A-F72F98D102CB}"/>
    <cellStyle name="Normal 26 5 3 2" xfId="14680" xr:uid="{668D146B-2D96-42DD-89CF-A6B4F4348802}"/>
    <cellStyle name="Normal 26 5 3 2 2" xfId="31440" xr:uid="{28058432-35E5-4A82-8581-B9F4F89E877C}"/>
    <cellStyle name="Normal 26 5 3 2 3" xfId="48199" xr:uid="{45DA4347-5730-432C-B88D-D32FAFD2E725}"/>
    <cellStyle name="Normal 26 5 3 3" xfId="23060" xr:uid="{1F84BA90-B179-448C-AE74-AF0287924768}"/>
    <cellStyle name="Normal 26 5 3 4" xfId="39819" xr:uid="{3265487D-46F4-4357-A47A-108CA6574CDE}"/>
    <cellStyle name="Normal 26 5 4" xfId="3036" xr:uid="{C24F990A-BDEE-411C-9A1A-28B41F6D4EA9}"/>
    <cellStyle name="Normal 26 5 4 2" xfId="11416" xr:uid="{9DCF6018-06AF-411F-8133-DBCEA03E5822}"/>
    <cellStyle name="Normal 26 5 4 2 2" xfId="28176" xr:uid="{34210EF9-5A11-4F51-B21E-08D347C62E11}"/>
    <cellStyle name="Normal 26 5 4 2 3" xfId="44935" xr:uid="{9C1FC727-2569-46C1-B1CC-08661013D892}"/>
    <cellStyle name="Normal 26 5 4 3" xfId="19796" xr:uid="{5DDDA5CC-EF66-473E-B297-B40B24F6342F}"/>
    <cellStyle name="Normal 26 5 4 4" xfId="36555" xr:uid="{5EF2C429-E842-4AB5-9E9A-F2B8F9145F0B}"/>
    <cellStyle name="Normal 26 5 5" xfId="9613" xr:uid="{1F86B9A2-D355-4FEA-A328-F040ED3227B0}"/>
    <cellStyle name="Normal 26 5 5 2" xfId="26373" xr:uid="{C93F2047-BA0F-4BB3-A751-19F23D4A5A5A}"/>
    <cellStyle name="Normal 26 5 5 3" xfId="43132" xr:uid="{EF2B3373-4396-4886-9FC4-F2579A5D2CCC}"/>
    <cellStyle name="Normal 26 5 6" xfId="17993" xr:uid="{872B8800-6E5B-4E39-B1BE-67B2874FE3A1}"/>
    <cellStyle name="Normal 26 5 7" xfId="34752" xr:uid="{5223B804-A1C6-4879-B254-8CCBF1327258}"/>
    <cellStyle name="Normal 26 6" xfId="3834" xr:uid="{7DB0782D-3DC3-48D0-AFE1-F4617AC524D9}"/>
    <cellStyle name="Normal 26 6 2" xfId="12214" xr:uid="{562E4FC3-2508-4FAA-B746-65FFC51C24C1}"/>
    <cellStyle name="Normal 26 6 2 2" xfId="28974" xr:uid="{00561E6C-4903-432F-A557-F27FDEC9B39A}"/>
    <cellStyle name="Normal 26 6 2 3" xfId="45733" xr:uid="{95C1A41F-9EF9-48F4-AB6B-B3BD34FC93FA}"/>
    <cellStyle name="Normal 26 6 3" xfId="20594" xr:uid="{111F5997-FA86-4281-834C-E774D9746FAF}"/>
    <cellStyle name="Normal 26 6 4" xfId="37353" xr:uid="{B12B1F34-9827-4B72-96CB-D772524DFB07}"/>
    <cellStyle name="Normal 26 7" xfId="5446" xr:uid="{650998F6-EA64-413E-B1BA-A26F712031AC}"/>
    <cellStyle name="Normal 26 7 2" xfId="13826" xr:uid="{B48E845C-5230-4C7A-9CB1-E7CB094A42FA}"/>
    <cellStyle name="Normal 26 7 2 2" xfId="30586" xr:uid="{6100D5F9-5151-45BD-BB7E-E7AE20FEE575}"/>
    <cellStyle name="Normal 26 7 2 3" xfId="47345" xr:uid="{43483A3C-56D6-4B08-8A18-A8610087A775}"/>
    <cellStyle name="Normal 26 7 3" xfId="22206" xr:uid="{A673BF9D-A9E8-43FA-A90C-64C40A4FAB64}"/>
    <cellStyle name="Normal 26 7 4" xfId="38965" xr:uid="{C132FF8F-1D9B-49D4-B540-8FE5EF49B362}"/>
    <cellStyle name="Normal 26 8" xfId="2174" xr:uid="{7717B2B6-4F21-44E2-BD30-2BAD34518038}"/>
    <cellStyle name="Normal 26 8 2" xfId="10562" xr:uid="{177D986E-A969-4685-B517-19E846FF7CC0}"/>
    <cellStyle name="Normal 26 8 2 2" xfId="27322" xr:uid="{522DB707-F73E-415C-923B-6ADEC68E4B34}"/>
    <cellStyle name="Normal 26 8 2 3" xfId="44081" xr:uid="{48E8F651-20F4-4784-8D6C-CDC6EFC3E9A7}"/>
    <cellStyle name="Normal 26 8 3" xfId="18942" xr:uid="{FE7C216C-0919-4EEB-993B-D2113EBB0CE0}"/>
    <cellStyle name="Normal 26 8 4" xfId="35701" xr:uid="{C640A340-EC46-4DB5-9B10-A1D294365893}"/>
    <cellStyle name="Normal 26 9" xfId="8759" xr:uid="{1293B755-60CC-4B21-B5A5-094665671FCD}"/>
    <cellStyle name="Normal 26 9 2" xfId="25519" xr:uid="{B2ADB675-521D-40D8-A56D-ACE95C52D23C}"/>
    <cellStyle name="Normal 26 9 3" xfId="42278" xr:uid="{C44A8A79-89C9-4823-B694-4CE8B75A5AC8}"/>
    <cellStyle name="Normal 27" xfId="243" xr:uid="{54A7A8A9-5000-49AA-82C8-EFEEDDF4525E}"/>
    <cellStyle name="Normal 27 10" xfId="33927" xr:uid="{D772AAFF-ED8D-4ED3-BD05-81EE8EAA6B5C}"/>
    <cellStyle name="Normal 27 11" xfId="315" xr:uid="{955F26A7-1CE7-4872-B196-DDEA82026180}"/>
    <cellStyle name="Normal 27 2" xfId="398" xr:uid="{DA789248-A3CF-42E0-8330-7B139A98467B}"/>
    <cellStyle name="Normal 27 2 2" xfId="893" xr:uid="{2C71E585-F3F4-4762-B967-018F25A1B8F0}"/>
    <cellStyle name="Normal 27 2 2 2" xfId="4288" xr:uid="{FA2F40B1-E153-421C-946B-53F8899081D8}"/>
    <cellStyle name="Normal 27 2 2 2 2" xfId="12668" xr:uid="{4581593F-672C-41E3-86CB-0D770A4890A0}"/>
    <cellStyle name="Normal 27 2 2 2 2 2" xfId="29428" xr:uid="{F8ACE87F-AD42-49F1-8E19-A4CFDB70A322}"/>
    <cellStyle name="Normal 27 2 2 2 2 3" xfId="46187" xr:uid="{7979AB90-4A1F-4880-9B2F-1DDEBCFF8C29}"/>
    <cellStyle name="Normal 27 2 2 2 3" xfId="21048" xr:uid="{DECD15E2-13F5-424D-AF31-883D54FD50A9}"/>
    <cellStyle name="Normal 27 2 2 2 4" xfId="37807" xr:uid="{22645FAB-D68E-4FD7-BD70-28152CAB3AE9}"/>
    <cellStyle name="Normal 27 2 2 3" xfId="5975" xr:uid="{219B79BA-35AB-44BF-AA92-7B78632D9E66}"/>
    <cellStyle name="Normal 27 2 2 3 2" xfId="14355" xr:uid="{9DB546DD-95E1-47AF-A73F-A013D39924B1}"/>
    <cellStyle name="Normal 27 2 2 3 2 2" xfId="31115" xr:uid="{4D8C71C1-71F6-404F-A51B-8C6EA9DDEE84}"/>
    <cellStyle name="Normal 27 2 2 3 2 3" xfId="47874" xr:uid="{97A03066-9960-414C-8D05-A7AD957824B5}"/>
    <cellStyle name="Normal 27 2 2 3 3" xfId="22735" xr:uid="{E78EBBAD-7919-43FD-A773-C7157954885E}"/>
    <cellStyle name="Normal 27 2 2 3 4" xfId="39494" xr:uid="{4019D9BF-6926-444E-9782-4C77B150B325}"/>
    <cellStyle name="Normal 27 2 2 4" xfId="2711" xr:uid="{D65D1FAE-3263-4B24-B581-CF58A7DFC1B2}"/>
    <cellStyle name="Normal 27 2 2 4 2" xfId="11091" xr:uid="{904C432C-EBAB-4D0F-BFDD-A4E4A21AD595}"/>
    <cellStyle name="Normal 27 2 2 4 2 2" xfId="27851" xr:uid="{E9A59842-9220-47F3-B4D6-0F62D84A7557}"/>
    <cellStyle name="Normal 27 2 2 4 2 3" xfId="44610" xr:uid="{ECFC7BEC-E99F-4072-930C-F4149A3B96EA}"/>
    <cellStyle name="Normal 27 2 2 4 3" xfId="19471" xr:uid="{6231073B-65C0-444D-8DCE-E582EBD1F990}"/>
    <cellStyle name="Normal 27 2 2 4 4" xfId="36230" xr:uid="{ABBB6F21-0213-456C-9991-ACF33EF69E4E}"/>
    <cellStyle name="Normal 27 2 2 5" xfId="9288" xr:uid="{9D07BF05-A27F-445E-BE6D-63E1BE660B54}"/>
    <cellStyle name="Normal 27 2 2 5 2" xfId="26048" xr:uid="{7C69DEAC-5A90-4352-A33D-7F138F40693D}"/>
    <cellStyle name="Normal 27 2 2 5 3" xfId="42807" xr:uid="{483513F2-34C7-40C0-A525-0214DD81D257}"/>
    <cellStyle name="Normal 27 2 2 6" xfId="17668" xr:uid="{3DCF1EA0-55B8-482C-8800-8ACACFF13F16}"/>
    <cellStyle name="Normal 27 2 2 7" xfId="34427" xr:uid="{05DC8EA6-1158-4BEC-A255-8D2C0E10F2B7}"/>
    <cellStyle name="Normal 27 2 3" xfId="1327" xr:uid="{C956F91E-2A83-4FE5-94B2-00B7CDB8649B}"/>
    <cellStyle name="Normal 27 2 3 2" xfId="4716" xr:uid="{B7D3DDEC-6C2C-4399-9A1D-B0CA2BCAD9FE}"/>
    <cellStyle name="Normal 27 2 3 2 2" xfId="13096" xr:uid="{03B01F9A-A0C5-4CE9-B82C-E0C3E4CB80E9}"/>
    <cellStyle name="Normal 27 2 3 2 2 2" xfId="29856" xr:uid="{8D50C9DC-A22B-4C55-A4A3-6A6318931AC4}"/>
    <cellStyle name="Normal 27 2 3 2 2 3" xfId="46615" xr:uid="{902EDAB3-63FD-4000-8642-708BA0789B6A}"/>
    <cellStyle name="Normal 27 2 3 2 3" xfId="21476" xr:uid="{292EEC4E-4142-4FA2-AFE6-6D044BED20F8}"/>
    <cellStyle name="Normal 27 2 3 2 4" xfId="38235" xr:uid="{2BB2006A-883A-4BF2-BB69-497FFB6C80E2}"/>
    <cellStyle name="Normal 27 2 3 3" xfId="6403" xr:uid="{11EB98A0-3867-4121-BFFB-E51FBD7EB6CC}"/>
    <cellStyle name="Normal 27 2 3 3 2" xfId="14783" xr:uid="{D01504EB-5F09-4E80-B967-6C41D162F128}"/>
    <cellStyle name="Normal 27 2 3 3 2 2" xfId="31543" xr:uid="{C73ACCDE-6D2E-4B95-BB1C-824C413C91C4}"/>
    <cellStyle name="Normal 27 2 3 3 2 3" xfId="48302" xr:uid="{40C3E5C2-F8A6-4744-BEB2-1D965031E541}"/>
    <cellStyle name="Normal 27 2 3 3 3" xfId="23163" xr:uid="{310E82AE-3363-4773-AC15-FAD834E8D45A}"/>
    <cellStyle name="Normal 27 2 3 3 4" xfId="39922" xr:uid="{E3926EE0-3776-4503-AC2F-BC793521E41C}"/>
    <cellStyle name="Normal 27 2 3 4" xfId="3139" xr:uid="{390A4255-C320-4A05-AC81-ABFC58318FC0}"/>
    <cellStyle name="Normal 27 2 3 4 2" xfId="11519" xr:uid="{D0ED5017-0D54-49E5-81D3-95A7BA6FA786}"/>
    <cellStyle name="Normal 27 2 3 4 2 2" xfId="28279" xr:uid="{6844F70B-5D0F-4221-9AEB-CFD3BCAE9138}"/>
    <cellStyle name="Normal 27 2 3 4 2 3" xfId="45038" xr:uid="{90D28F95-6FE6-4B95-BD1E-14E22DDACA44}"/>
    <cellStyle name="Normal 27 2 3 4 3" xfId="19899" xr:uid="{6B5147A5-89E7-41B1-9A15-C61152B13190}"/>
    <cellStyle name="Normal 27 2 3 4 4" xfId="36658" xr:uid="{5CB0A526-37A0-40F6-8C5F-376408AD9A0E}"/>
    <cellStyle name="Normal 27 2 3 5" xfId="9716" xr:uid="{0C176F13-C646-4B97-A9AD-DA242E290988}"/>
    <cellStyle name="Normal 27 2 3 5 2" xfId="26476" xr:uid="{3315613F-0E07-4CA1-A8BA-90D89C1BDC87}"/>
    <cellStyle name="Normal 27 2 3 5 3" xfId="43235" xr:uid="{1E8AA26B-1FD4-4C6D-9A32-D3E2E59D8D7E}"/>
    <cellStyle name="Normal 27 2 3 6" xfId="18096" xr:uid="{71065270-FBBE-4A0D-9B25-1B5AF69614EC}"/>
    <cellStyle name="Normal 27 2 3 7" xfId="34855" xr:uid="{719AF67F-4F37-4E16-A494-DA85D67A9F5F}"/>
    <cellStyle name="Normal 27 2 4" xfId="4155" xr:uid="{5B95E59C-63BC-4C75-921C-822341DF75DB}"/>
    <cellStyle name="Normal 27 2 4 2" xfId="12535" xr:uid="{C3C3BC0F-6B71-4012-B3B4-90A2AF0B01E3}"/>
    <cellStyle name="Normal 27 2 4 2 2" xfId="29295" xr:uid="{E07C1BF1-C27D-4D67-9FB9-14F4E119665A}"/>
    <cellStyle name="Normal 27 2 4 2 3" xfId="46054" xr:uid="{47A5D7F4-F348-49B6-AB13-A5D971C00DB1}"/>
    <cellStyle name="Normal 27 2 4 3" xfId="20915" xr:uid="{0EDA2036-0008-44C3-BE57-9BA723B3E1C2}"/>
    <cellStyle name="Normal 27 2 4 4" xfId="37674" xr:uid="{7A00D7F9-7A57-4B95-8926-B1A6AEADFAEA}"/>
    <cellStyle name="Normal 27 2 5" xfId="5549" xr:uid="{AB3C5B2B-56AD-4F7C-A1D8-1FC1723A102E}"/>
    <cellStyle name="Normal 27 2 5 2" xfId="13929" xr:uid="{7C431C1D-8A84-4833-9D09-0041D1E2392B}"/>
    <cellStyle name="Normal 27 2 5 2 2" xfId="30689" xr:uid="{067C2570-001F-48CA-A3D0-52580F9AAACF}"/>
    <cellStyle name="Normal 27 2 5 2 3" xfId="47448" xr:uid="{15C10383-C334-4949-BFE3-2D2AAD8B2B49}"/>
    <cellStyle name="Normal 27 2 5 3" xfId="22309" xr:uid="{8FD75B39-5FE3-4CE7-8A5C-78BC25638B09}"/>
    <cellStyle name="Normal 27 2 5 4" xfId="39068" xr:uid="{38292AA2-2F89-44AF-8B0F-1EE3FEB3934F}"/>
    <cellStyle name="Normal 27 2 6" xfId="2281" xr:uid="{67472C70-73AD-41C6-ABA0-33E411027E44}"/>
    <cellStyle name="Normal 27 2 6 2" xfId="10665" xr:uid="{88B31E2A-33C1-4BA1-B2F8-D211670599BC}"/>
    <cellStyle name="Normal 27 2 6 2 2" xfId="27425" xr:uid="{DE2F62F9-B570-43AD-9B74-89BE02BCD15D}"/>
    <cellStyle name="Normal 27 2 6 2 3" xfId="44184" xr:uid="{6050437D-A8BB-4FB2-80C6-B3E68ADDE2B8}"/>
    <cellStyle name="Normal 27 2 6 3" xfId="19045" xr:uid="{8A28B5C3-726D-4002-9AD3-DCB6FD0976CC}"/>
    <cellStyle name="Normal 27 2 6 4" xfId="35804" xr:uid="{05764163-4172-47C8-A008-966FA4ADCCF0}"/>
    <cellStyle name="Normal 27 2 7" xfId="8862" xr:uid="{6AD6CF76-C206-40B2-AB47-7C4EFC8A8C6B}"/>
    <cellStyle name="Normal 27 2 7 2" xfId="25622" xr:uid="{32EAB4F0-D140-4F3B-B315-54841C2FBA28}"/>
    <cellStyle name="Normal 27 2 7 3" xfId="42381" xr:uid="{B74E0C6E-9AAE-4B0F-A1C3-4659EC411DA0}"/>
    <cellStyle name="Normal 27 2 8" xfId="17242" xr:uid="{32026FFB-30EE-4660-8C61-B2DF974989A3}"/>
    <cellStyle name="Normal 27 2 9" xfId="34001" xr:uid="{9575E060-5B3E-40DD-90C5-71E0861E83F6}"/>
    <cellStyle name="Normal 27 3" xfId="819" xr:uid="{D552AFC5-5E88-453F-8F8B-6A6A614F3D65}"/>
    <cellStyle name="Normal 27 3 2" xfId="4214" xr:uid="{5E44AB8F-0B03-408A-9057-9001DFBF55B0}"/>
    <cellStyle name="Normal 27 3 2 2" xfId="12594" xr:uid="{A3C54255-C01F-4713-BABA-E808F974690C}"/>
    <cellStyle name="Normal 27 3 2 2 2" xfId="29354" xr:uid="{BB6F5B5A-FA3E-434D-8CCA-AED6065B9DEF}"/>
    <cellStyle name="Normal 27 3 2 2 3" xfId="46113" xr:uid="{8DEA0146-A6F7-4282-BAB7-C69FC2A147BD}"/>
    <cellStyle name="Normal 27 3 2 3" xfId="20974" xr:uid="{AEE35680-2A6E-4F31-ADCF-315C0EB637A4}"/>
    <cellStyle name="Normal 27 3 2 4" xfId="37733" xr:uid="{9A8F13FE-9BB5-4680-AFB3-2FFDABD80B1A}"/>
    <cellStyle name="Normal 27 3 3" xfId="5901" xr:uid="{02C3C787-BB9A-49DD-AB42-1461884A5DCF}"/>
    <cellStyle name="Normal 27 3 3 2" xfId="14281" xr:uid="{CC8D23FF-2F9B-406D-A175-82EB2956E374}"/>
    <cellStyle name="Normal 27 3 3 2 2" xfId="31041" xr:uid="{1FC0B995-C507-4B5B-BBEB-E2CACBBF7310}"/>
    <cellStyle name="Normal 27 3 3 2 3" xfId="47800" xr:uid="{0E8A5F38-D695-4615-8AFB-EAD6E48F8736}"/>
    <cellStyle name="Normal 27 3 3 3" xfId="22661" xr:uid="{675FA7C1-38FD-42E3-BE09-0E863F004E54}"/>
    <cellStyle name="Normal 27 3 3 4" xfId="39420" xr:uid="{BA8E65F9-806A-4162-8C40-D19DB8112ACD}"/>
    <cellStyle name="Normal 27 3 4" xfId="2637" xr:uid="{4920086D-D95B-4D03-87A5-52712BC79BDD}"/>
    <cellStyle name="Normal 27 3 4 2" xfId="11017" xr:uid="{00C53D02-B4ED-444B-B857-5FDA8146706E}"/>
    <cellStyle name="Normal 27 3 4 2 2" xfId="27777" xr:uid="{C7A7264E-CA70-4605-9D62-12C84840F444}"/>
    <cellStyle name="Normal 27 3 4 2 3" xfId="44536" xr:uid="{FED96333-14A9-49B8-A990-2A81C2E309B5}"/>
    <cellStyle name="Normal 27 3 4 3" xfId="19397" xr:uid="{84C235DC-FA7C-4B89-A55F-4F8A84F983F3}"/>
    <cellStyle name="Normal 27 3 4 4" xfId="36156" xr:uid="{B1233AD6-1205-4FF7-8812-0E5BEE315498}"/>
    <cellStyle name="Normal 27 3 5" xfId="9214" xr:uid="{866E953D-141E-4B04-9A71-FB62B9623569}"/>
    <cellStyle name="Normal 27 3 5 2" xfId="25974" xr:uid="{651366D3-3471-4760-912C-BE0BB0D47795}"/>
    <cellStyle name="Normal 27 3 5 3" xfId="42733" xr:uid="{3E4B1980-4009-4EBC-90ED-94FBE1E11616}"/>
    <cellStyle name="Normal 27 3 6" xfId="17594" xr:uid="{B139F123-2C34-4222-8F62-6A76E04046A5}"/>
    <cellStyle name="Normal 27 3 7" xfId="34353" xr:uid="{07701B49-9CA8-4F8C-84F5-D1E00145D33C}"/>
    <cellStyle name="Normal 27 4" xfId="1253" xr:uid="{CD3299D7-4626-4262-95BD-E158E713A8C1}"/>
    <cellStyle name="Normal 27 4 2" xfId="4642" xr:uid="{3E69B2EB-3FE3-4BAC-9827-DCBE569479F0}"/>
    <cellStyle name="Normal 27 4 2 2" xfId="13022" xr:uid="{FCC3A631-013B-43AA-9D71-8AFD7D5E771C}"/>
    <cellStyle name="Normal 27 4 2 2 2" xfId="29782" xr:uid="{E650D20C-C72F-4C22-88CA-63A67F3A5753}"/>
    <cellStyle name="Normal 27 4 2 2 3" xfId="46541" xr:uid="{A661F2F0-4130-4F70-9185-1A99F2006316}"/>
    <cellStyle name="Normal 27 4 2 3" xfId="21402" xr:uid="{A47815E8-F863-4AD0-8D0D-A32A74723D2D}"/>
    <cellStyle name="Normal 27 4 2 4" xfId="38161" xr:uid="{A38EB3AD-D38F-4BC2-9017-155D56639EFF}"/>
    <cellStyle name="Normal 27 4 3" xfId="6329" xr:uid="{7BAD05D5-EE8D-43E4-AF76-99CD13E33BA7}"/>
    <cellStyle name="Normal 27 4 3 2" xfId="14709" xr:uid="{2DF58E3B-8DD6-4EF4-985C-A986E0D5897B}"/>
    <cellStyle name="Normal 27 4 3 2 2" xfId="31469" xr:uid="{1E59EB57-0C47-48BE-9106-BA87F3BD6BD4}"/>
    <cellStyle name="Normal 27 4 3 2 3" xfId="48228" xr:uid="{A303B5A5-C55C-4836-A1B8-1216B28E9E55}"/>
    <cellStyle name="Normal 27 4 3 3" xfId="23089" xr:uid="{3A2BACAF-7C9D-4FBD-870B-E60B9F82BE8D}"/>
    <cellStyle name="Normal 27 4 3 4" xfId="39848" xr:uid="{1E3807C7-8C56-41B9-956D-94C7D9D7F132}"/>
    <cellStyle name="Normal 27 4 4" xfId="3065" xr:uid="{5D6760F0-82E5-4412-BB06-4B500E34873B}"/>
    <cellStyle name="Normal 27 4 4 2" xfId="11445" xr:uid="{8963306C-4A5A-4722-A772-128A735CAFF5}"/>
    <cellStyle name="Normal 27 4 4 2 2" xfId="28205" xr:uid="{C902C56B-141A-4B19-9BA0-C50DB2DDC0F8}"/>
    <cellStyle name="Normal 27 4 4 2 3" xfId="44964" xr:uid="{55AAE075-AFE6-4657-A4DD-6575E5B73F1C}"/>
    <cellStyle name="Normal 27 4 4 3" xfId="19825" xr:uid="{B73A06E9-E4FA-4AE0-A7B7-DD18ABE6001E}"/>
    <cellStyle name="Normal 27 4 4 4" xfId="36584" xr:uid="{C2FB0E32-642F-4D94-94B0-4E7B36CC475F}"/>
    <cellStyle name="Normal 27 4 5" xfId="9642" xr:uid="{9241B9BF-B75E-4344-AB94-158B1F135FFE}"/>
    <cellStyle name="Normal 27 4 5 2" xfId="26402" xr:uid="{62B65F51-9FDF-4191-B199-B22A647642D3}"/>
    <cellStyle name="Normal 27 4 5 3" xfId="43161" xr:uid="{34760B23-E942-445D-ADB7-C9505FDCD156}"/>
    <cellStyle name="Normal 27 4 6" xfId="18022" xr:uid="{E88C79BA-16C4-48D5-95F0-2D3A1FC1F2DA}"/>
    <cellStyle name="Normal 27 4 7" xfId="34781" xr:uid="{9F477AF9-5FBF-4BBE-8FDC-BDD547D04B7C}"/>
    <cellStyle name="Normal 27 5" xfId="3763" xr:uid="{520691E5-AA0F-403A-AE57-0A5C291C6DC0}"/>
    <cellStyle name="Normal 27 5 2" xfId="12143" xr:uid="{83AB2162-A4DD-4D05-AB02-23682729CDC6}"/>
    <cellStyle name="Normal 27 5 2 2" xfId="28903" xr:uid="{F649F11B-D7C0-41FA-8A07-B94A80FA6F15}"/>
    <cellStyle name="Normal 27 5 2 3" xfId="45662" xr:uid="{BBB2CCB1-13A7-4E59-8DBE-B263EF3AD176}"/>
    <cellStyle name="Normal 27 5 3" xfId="20523" xr:uid="{2C9132E4-6A77-4EB3-A461-D83BF227D2FB}"/>
    <cellStyle name="Normal 27 5 4" xfId="37282" xr:uid="{E52CF086-E4CD-4D18-ADF5-DCEFFB6C9B86}"/>
    <cellStyle name="Normal 27 6" xfId="5475" xr:uid="{40287F10-7003-4DF6-984B-2B5E41F75D71}"/>
    <cellStyle name="Normal 27 6 2" xfId="13855" xr:uid="{9A5FC742-1DCD-4D94-9CAD-CB2EC6FFC619}"/>
    <cellStyle name="Normal 27 6 2 2" xfId="30615" xr:uid="{1B1470FE-7908-4998-9ADE-6C3930C20901}"/>
    <cellStyle name="Normal 27 6 2 3" xfId="47374" xr:uid="{B079E962-69F0-4A94-979D-0F1BB8829B2B}"/>
    <cellStyle name="Normal 27 6 3" xfId="22235" xr:uid="{A89735A9-945A-4227-9B59-1C3933E4E0FC}"/>
    <cellStyle name="Normal 27 6 4" xfId="38994" xr:uid="{494CBEC3-DB5E-47E3-ACA8-40F6D71848C2}"/>
    <cellStyle name="Normal 27 7" xfId="2204" xr:uid="{7124200D-C513-4346-A769-44A8E7D53DF6}"/>
    <cellStyle name="Normal 27 7 2" xfId="10591" xr:uid="{B01F8753-D3B0-44B8-B05B-31F7C96805FD}"/>
    <cellStyle name="Normal 27 7 2 2" xfId="27351" xr:uid="{08985418-C696-433B-8D79-D1D7A5C64202}"/>
    <cellStyle name="Normal 27 7 2 3" xfId="44110" xr:uid="{DF304461-4096-410A-BD8E-BC4418A559FB}"/>
    <cellStyle name="Normal 27 7 3" xfId="18971" xr:uid="{BCD50758-8EBB-4B8A-BBAD-AFFA9CE2C489}"/>
    <cellStyle name="Normal 27 7 4" xfId="35730" xr:uid="{FC8FC66D-0582-4A4F-A633-2B6EE702608F}"/>
    <cellStyle name="Normal 27 8" xfId="8788" xr:uid="{B0A90646-C5E6-4CB6-B466-11D92C16C1AE}"/>
    <cellStyle name="Normal 27 8 2" xfId="25548" xr:uid="{82943360-401B-48FC-B8F8-E737D1CDCA8D}"/>
    <cellStyle name="Normal 27 8 3" xfId="42307" xr:uid="{FEA003F1-C65F-41AE-8098-9698924F63B1}"/>
    <cellStyle name="Normal 27 9" xfId="17168" xr:uid="{3855CB7D-E29D-4B25-A4AD-F5FA1DEF6430}"/>
    <cellStyle name="Normal 28" xfId="244" xr:uid="{1BC425A0-66B3-4A3C-8350-8EE125F87FF5}"/>
    <cellStyle name="Normal 28 10" xfId="33928" xr:uid="{F90A747A-3290-4089-8605-DFF4AB61462A}"/>
    <cellStyle name="Normal 28 11" xfId="316" xr:uid="{98B6D020-B446-4C25-8ED1-D9374EDAE19A}"/>
    <cellStyle name="Normal 28 2" xfId="399" xr:uid="{2FA060C6-5AF7-4548-8828-590738A564CD}"/>
    <cellStyle name="Normal 28 2 2" xfId="894" xr:uid="{D43E8828-916E-4AE4-9E61-41189CAFFA17}"/>
    <cellStyle name="Normal 28 2 2 2" xfId="4289" xr:uid="{954A6DC3-9570-4537-A616-EE26623DD98D}"/>
    <cellStyle name="Normal 28 2 2 2 2" xfId="12669" xr:uid="{E3D3BCA8-504F-4478-A6DD-837D927FCA4F}"/>
    <cellStyle name="Normal 28 2 2 2 2 2" xfId="29429" xr:uid="{E0DBF354-D1DA-476A-9013-7BEE9A63AAA6}"/>
    <cellStyle name="Normal 28 2 2 2 2 3" xfId="46188" xr:uid="{F5C4D987-6AB8-4EEB-AA8C-1C3D6503AC08}"/>
    <cellStyle name="Normal 28 2 2 2 3" xfId="21049" xr:uid="{9E6EDEAE-6836-420D-9FD7-C63508967898}"/>
    <cellStyle name="Normal 28 2 2 2 4" xfId="37808" xr:uid="{EDB3EA81-8996-457A-9DB8-88035773862A}"/>
    <cellStyle name="Normal 28 2 2 3" xfId="5976" xr:uid="{C3D50450-0DF6-46D2-A7FD-97A4D929CD52}"/>
    <cellStyle name="Normal 28 2 2 3 2" xfId="14356" xr:uid="{E6C0F691-3093-45D6-AF3B-A5FFB6BFC311}"/>
    <cellStyle name="Normal 28 2 2 3 2 2" xfId="31116" xr:uid="{B36E5F0C-561A-498A-B671-325CA8E8B0EC}"/>
    <cellStyle name="Normal 28 2 2 3 2 3" xfId="47875" xr:uid="{993B2E27-8CF6-4191-B186-A8E75BC36B53}"/>
    <cellStyle name="Normal 28 2 2 3 3" xfId="22736" xr:uid="{D36A00E7-AD17-41FF-8DD2-5F686E85B1FF}"/>
    <cellStyle name="Normal 28 2 2 3 4" xfId="39495" xr:uid="{6D9ADDE4-9A0D-43D8-8D86-5E6BA19671A4}"/>
    <cellStyle name="Normal 28 2 2 4" xfId="2712" xr:uid="{B1EB403B-EA0E-444C-8397-9B26751105D9}"/>
    <cellStyle name="Normal 28 2 2 4 2" xfId="11092" xr:uid="{6AF37A22-0091-45CD-B691-563C2738209E}"/>
    <cellStyle name="Normal 28 2 2 4 2 2" xfId="27852" xr:uid="{8490341E-D343-42B5-BE74-3DC7F16262CB}"/>
    <cellStyle name="Normal 28 2 2 4 2 3" xfId="44611" xr:uid="{54614CA8-2A0C-4D85-8A52-A13E8482FB13}"/>
    <cellStyle name="Normal 28 2 2 4 3" xfId="19472" xr:uid="{383B8337-AE78-475A-A406-9B63ADD64EBF}"/>
    <cellStyle name="Normal 28 2 2 4 4" xfId="36231" xr:uid="{C30F5D60-8A03-489E-AE31-623D722BBD08}"/>
    <cellStyle name="Normal 28 2 2 5" xfId="9289" xr:uid="{9BEA0040-9F95-4E9C-92E1-E8B908E583CA}"/>
    <cellStyle name="Normal 28 2 2 5 2" xfId="26049" xr:uid="{D7DB232D-E0C6-47CC-8C97-59283392AF94}"/>
    <cellStyle name="Normal 28 2 2 5 3" xfId="42808" xr:uid="{81D0182C-8B7C-48DA-A79E-4B7EC7FF13BA}"/>
    <cellStyle name="Normal 28 2 2 6" xfId="17669" xr:uid="{6258D9DE-867A-46EE-AC98-111B89DB7FF8}"/>
    <cellStyle name="Normal 28 2 2 7" xfId="34428" xr:uid="{50470147-3084-4507-8A0F-4AE112A22C7C}"/>
    <cellStyle name="Normal 28 2 3" xfId="1328" xr:uid="{2A59AB47-105C-4EAE-94FC-B2CCDA0CDA1A}"/>
    <cellStyle name="Normal 28 2 3 2" xfId="4717" xr:uid="{AE00C24E-D8BB-45E4-AF16-9614793064D5}"/>
    <cellStyle name="Normal 28 2 3 2 2" xfId="13097" xr:uid="{0152B53F-A7CC-4DFC-BFBB-4C154E88634F}"/>
    <cellStyle name="Normal 28 2 3 2 2 2" xfId="29857" xr:uid="{AB484068-2756-4097-8870-6DE3D4004969}"/>
    <cellStyle name="Normal 28 2 3 2 2 3" xfId="46616" xr:uid="{13A55C10-2D37-4590-9C9B-EB7C5B5025B4}"/>
    <cellStyle name="Normal 28 2 3 2 3" xfId="21477" xr:uid="{E92CC64A-6563-46E1-AD5C-87B99E1E6E30}"/>
    <cellStyle name="Normal 28 2 3 2 4" xfId="38236" xr:uid="{C845D1C7-0AE7-40D1-912C-4436DE7F10A4}"/>
    <cellStyle name="Normal 28 2 3 3" xfId="6404" xr:uid="{F906D9C7-8D29-4D58-8C71-57EC2B917E56}"/>
    <cellStyle name="Normal 28 2 3 3 2" xfId="14784" xr:uid="{3AB7F5F3-4F0C-41E6-BA6C-C0E4CFE4B7C7}"/>
    <cellStyle name="Normal 28 2 3 3 2 2" xfId="31544" xr:uid="{D30FD5AA-EF74-4BF8-9337-045E37EB519F}"/>
    <cellStyle name="Normal 28 2 3 3 2 3" xfId="48303" xr:uid="{C1ACDEB9-042B-4A90-B42C-F76474C444E3}"/>
    <cellStyle name="Normal 28 2 3 3 3" xfId="23164" xr:uid="{4A892434-9662-4BBD-969B-01364D4F11CE}"/>
    <cellStyle name="Normal 28 2 3 3 4" xfId="39923" xr:uid="{C741147D-401D-4447-8E4D-CE6894CA0DBE}"/>
    <cellStyle name="Normal 28 2 3 4" xfId="3140" xr:uid="{DFEA8BF2-67AC-4FE0-AB6F-58D3A45DFB07}"/>
    <cellStyle name="Normal 28 2 3 4 2" xfId="11520" xr:uid="{F8F14A67-113D-4DD5-88E8-450C54A7CF03}"/>
    <cellStyle name="Normal 28 2 3 4 2 2" xfId="28280" xr:uid="{44C96289-6424-4827-872E-F4F1CB7667CA}"/>
    <cellStyle name="Normal 28 2 3 4 2 3" xfId="45039" xr:uid="{4249F0EB-F547-4CB0-AAB6-B20574B6F5CB}"/>
    <cellStyle name="Normal 28 2 3 4 3" xfId="19900" xr:uid="{A29B46A0-90A9-4B83-AF8E-6D8F7F43BBD1}"/>
    <cellStyle name="Normal 28 2 3 4 4" xfId="36659" xr:uid="{8F0AB5FE-ECAD-4926-9A9C-A59877C33DF4}"/>
    <cellStyle name="Normal 28 2 3 5" xfId="9717" xr:uid="{FC7D1F2D-7DA6-4268-BC91-9208F7CBB384}"/>
    <cellStyle name="Normal 28 2 3 5 2" xfId="26477" xr:uid="{AF21AA54-DA75-4739-8D98-8E8E73F838C1}"/>
    <cellStyle name="Normal 28 2 3 5 3" xfId="43236" xr:uid="{84EE19EE-AFFA-49CF-904A-2936D2D6A03D}"/>
    <cellStyle name="Normal 28 2 3 6" xfId="18097" xr:uid="{9E8D87EB-9B33-4AA7-8E58-1D7DAE38E31D}"/>
    <cellStyle name="Normal 28 2 3 7" xfId="34856" xr:uid="{B7A6529F-3A8A-4470-B236-22204F2174F5}"/>
    <cellStyle name="Normal 28 2 4" xfId="4156" xr:uid="{0CAD3865-834E-45BB-8345-B7B6A665497C}"/>
    <cellStyle name="Normal 28 2 4 2" xfId="12536" xr:uid="{1986E47C-2B81-4202-934B-D4A9254096A8}"/>
    <cellStyle name="Normal 28 2 4 2 2" xfId="29296" xr:uid="{CA5F4C58-06C7-4234-8907-3D2878F141C1}"/>
    <cellStyle name="Normal 28 2 4 2 3" xfId="46055" xr:uid="{4C4788B9-E870-4FBC-894A-FE604A44AF75}"/>
    <cellStyle name="Normal 28 2 4 3" xfId="20916" xr:uid="{DD5154FF-5F6C-46CC-8A90-2D6D3296F1FE}"/>
    <cellStyle name="Normal 28 2 4 4" xfId="37675" xr:uid="{F55CE383-6883-46CA-BDF5-3F70211B0CD1}"/>
    <cellStyle name="Normal 28 2 5" xfId="5550" xr:uid="{8B126B3A-B384-49F4-8F80-A9E8F632583F}"/>
    <cellStyle name="Normal 28 2 5 2" xfId="13930" xr:uid="{85D4E165-44D0-4619-9164-8EA2133F2C22}"/>
    <cellStyle name="Normal 28 2 5 2 2" xfId="30690" xr:uid="{F43C52A3-ED2B-40C3-B605-02E53CC5B5F2}"/>
    <cellStyle name="Normal 28 2 5 2 3" xfId="47449" xr:uid="{59513C25-9D9D-4613-B7E3-697083F92D3C}"/>
    <cellStyle name="Normal 28 2 5 3" xfId="22310" xr:uid="{35F233C3-D568-435B-A8E2-F67D4361FBE9}"/>
    <cellStyle name="Normal 28 2 5 4" xfId="39069" xr:uid="{64A3DA94-EBA8-452A-AAA2-9089B9060ED5}"/>
    <cellStyle name="Normal 28 2 6" xfId="2282" xr:uid="{8A7D4C5B-DC20-449D-A594-8C819A85A7C5}"/>
    <cellStyle name="Normal 28 2 6 2" xfId="10666" xr:uid="{6A90ECA0-5BD8-4C35-AC14-E2FD8BDCAC2D}"/>
    <cellStyle name="Normal 28 2 6 2 2" xfId="27426" xr:uid="{4C8CA628-1DF7-4C19-97AE-FF2BC21DBC4B}"/>
    <cellStyle name="Normal 28 2 6 2 3" xfId="44185" xr:uid="{294795E1-CB2E-4F7E-8F7A-04DB6F7462C6}"/>
    <cellStyle name="Normal 28 2 6 3" xfId="19046" xr:uid="{435D7691-5C26-419D-8757-AA655D8E9645}"/>
    <cellStyle name="Normal 28 2 6 4" xfId="35805" xr:uid="{087EC61F-558F-4F8C-830F-78ABA2EAC955}"/>
    <cellStyle name="Normal 28 2 7" xfId="8863" xr:uid="{D2F2168B-8971-4F21-AD6E-E5D60935D6B0}"/>
    <cellStyle name="Normal 28 2 7 2" xfId="25623" xr:uid="{58215CCE-D7D3-4F3F-8E00-20D6C93D6098}"/>
    <cellStyle name="Normal 28 2 7 3" xfId="42382" xr:uid="{C18D7395-7B9D-43A5-A6CC-D3E1598BE714}"/>
    <cellStyle name="Normal 28 2 8" xfId="17243" xr:uid="{6ADE098B-6BE2-4173-9DA8-A56EA8938F6F}"/>
    <cellStyle name="Normal 28 2 9" xfId="34002" xr:uid="{A66074F0-1E58-45DB-8252-7F562BDF7F2C}"/>
    <cellStyle name="Normal 28 3" xfId="820" xr:uid="{99D9867B-E7D3-40E5-AB60-703EF1215332}"/>
    <cellStyle name="Normal 28 3 2" xfId="4215" xr:uid="{2D34B8E9-EF2B-45AE-81A7-218B28BF3A5F}"/>
    <cellStyle name="Normal 28 3 2 2" xfId="12595" xr:uid="{303BBD22-8C52-4036-9986-9D55AA27ED77}"/>
    <cellStyle name="Normal 28 3 2 2 2" xfId="29355" xr:uid="{A1E29568-51DD-453D-87BD-1344318AA7CF}"/>
    <cellStyle name="Normal 28 3 2 2 3" xfId="46114" xr:uid="{B15B0257-7360-4745-9439-180405F7FD2E}"/>
    <cellStyle name="Normal 28 3 2 3" xfId="20975" xr:uid="{DB7DFB87-0D59-4D54-8494-B9A84D751C8A}"/>
    <cellStyle name="Normal 28 3 2 4" xfId="37734" xr:uid="{53685472-C888-4A88-A744-8EEAE8806DB6}"/>
    <cellStyle name="Normal 28 3 3" xfId="5902" xr:uid="{83BE4556-0950-4252-A254-9426FCDC7AC9}"/>
    <cellStyle name="Normal 28 3 3 2" xfId="14282" xr:uid="{2F8FA75C-B79D-4A69-92EC-CD0CC33C14E4}"/>
    <cellStyle name="Normal 28 3 3 2 2" xfId="31042" xr:uid="{03AD52FA-A174-468F-A3F1-15FFF1E20F50}"/>
    <cellStyle name="Normal 28 3 3 2 3" xfId="47801" xr:uid="{CB2C6918-E185-4B19-B643-EF2725AD9F8A}"/>
    <cellStyle name="Normal 28 3 3 3" xfId="22662" xr:uid="{8A6A122B-A1B2-499F-AE41-5F2C85D3BE42}"/>
    <cellStyle name="Normal 28 3 3 4" xfId="39421" xr:uid="{1C1EA1EF-B86A-453A-96EC-1B5C150D1325}"/>
    <cellStyle name="Normal 28 3 4" xfId="2638" xr:uid="{7791CC92-5CBB-44E3-A667-68C648E5846A}"/>
    <cellStyle name="Normal 28 3 4 2" xfId="11018" xr:uid="{F6097680-675A-45B6-A628-83C6419F9682}"/>
    <cellStyle name="Normal 28 3 4 2 2" xfId="27778" xr:uid="{71B009D7-AF79-4C60-8DBC-2348066FAE6A}"/>
    <cellStyle name="Normal 28 3 4 2 3" xfId="44537" xr:uid="{85A7B13D-A089-4DCA-8A20-283A32674A30}"/>
    <cellStyle name="Normal 28 3 4 3" xfId="19398" xr:uid="{8CE2F7A7-5116-44B1-9E85-177FEAEA3B03}"/>
    <cellStyle name="Normal 28 3 4 4" xfId="36157" xr:uid="{5074A34A-A9D4-4DB4-B989-0D2FF5ECA032}"/>
    <cellStyle name="Normal 28 3 5" xfId="9215" xr:uid="{120C8D85-3BEB-4001-8D3A-C66BEBF78209}"/>
    <cellStyle name="Normal 28 3 5 2" xfId="25975" xr:uid="{F2FDE286-C8CB-4740-8D3E-746016CAE4B9}"/>
    <cellStyle name="Normal 28 3 5 3" xfId="42734" xr:uid="{4E032814-F0C3-4D4F-A22D-67566AF7C90A}"/>
    <cellStyle name="Normal 28 3 6" xfId="17595" xr:uid="{9F9BCC77-DA83-49E9-AF65-AF15BB628EA3}"/>
    <cellStyle name="Normal 28 3 7" xfId="34354" xr:uid="{8739F9CC-82C1-4EEA-B708-90569E52EC10}"/>
    <cellStyle name="Normal 28 4" xfId="1254" xr:uid="{780B4E48-BB88-4D28-B9E8-8420F47BBE4D}"/>
    <cellStyle name="Normal 28 4 2" xfId="4643" xr:uid="{247C219B-56D8-41F9-9637-583231848034}"/>
    <cellStyle name="Normal 28 4 2 2" xfId="13023" xr:uid="{85C43EA1-009A-46DC-9BD8-6978CCEF092D}"/>
    <cellStyle name="Normal 28 4 2 2 2" xfId="29783" xr:uid="{53E8C916-B220-4A99-A56E-D0E3E5DDED69}"/>
    <cellStyle name="Normal 28 4 2 2 3" xfId="46542" xr:uid="{755A5449-4A02-4D5A-A058-E8E2FD736010}"/>
    <cellStyle name="Normal 28 4 2 3" xfId="21403" xr:uid="{07FECEE6-C120-4F10-9AED-8B421ACB2321}"/>
    <cellStyle name="Normal 28 4 2 4" xfId="38162" xr:uid="{78E22DCF-9630-4015-BFFA-7F94A95ED219}"/>
    <cellStyle name="Normal 28 4 3" xfId="6330" xr:uid="{3D7A29C8-4C9C-491E-840A-84D608670468}"/>
    <cellStyle name="Normal 28 4 3 2" xfId="14710" xr:uid="{D8EB4FDE-09A4-4AEE-94FB-FDEA0831E6EF}"/>
    <cellStyle name="Normal 28 4 3 2 2" xfId="31470" xr:uid="{6B9B0B2D-B590-47B7-AD80-6FAC46D2263B}"/>
    <cellStyle name="Normal 28 4 3 2 3" xfId="48229" xr:uid="{9EB81A6F-6C8D-4656-B9C8-FCE3F69857AC}"/>
    <cellStyle name="Normal 28 4 3 3" xfId="23090" xr:uid="{12820700-B3C5-411F-88F9-885EB2AA82D6}"/>
    <cellStyle name="Normal 28 4 3 4" xfId="39849" xr:uid="{6304896E-1D28-422A-A3A8-B2EBA79DD235}"/>
    <cellStyle name="Normal 28 4 4" xfId="3066" xr:uid="{CA6F8B4F-0592-4A6E-BD1E-4AA905EE7663}"/>
    <cellStyle name="Normal 28 4 4 2" xfId="11446" xr:uid="{1FDFCDF5-3282-45BE-B656-FB0E9B955BBC}"/>
    <cellStyle name="Normal 28 4 4 2 2" xfId="28206" xr:uid="{9263E776-D370-40E9-8B2B-4FB2D189CFF8}"/>
    <cellStyle name="Normal 28 4 4 2 3" xfId="44965" xr:uid="{8BCB7A23-17B4-4185-AC6A-DB384F510CA2}"/>
    <cellStyle name="Normal 28 4 4 3" xfId="19826" xr:uid="{0D73B080-B94E-4366-917C-46241BC9AB2E}"/>
    <cellStyle name="Normal 28 4 4 4" xfId="36585" xr:uid="{E0109DF1-1E65-46DB-97EE-D855B4FFB606}"/>
    <cellStyle name="Normal 28 4 5" xfId="9643" xr:uid="{F915C047-3EFD-47F6-90BD-F1FED3984384}"/>
    <cellStyle name="Normal 28 4 5 2" xfId="26403" xr:uid="{DFEBFAFA-A80A-41BF-946E-B3F104DE2EB7}"/>
    <cellStyle name="Normal 28 4 5 3" xfId="43162" xr:uid="{5BE85253-2204-4EB0-9D96-46D0641812E6}"/>
    <cellStyle name="Normal 28 4 6" xfId="18023" xr:uid="{9CAA2E01-863A-408B-9473-B25539724C57}"/>
    <cellStyle name="Normal 28 4 7" xfId="34782" xr:uid="{57BBBF6E-EB89-41DE-966F-7B95756B60E2}"/>
    <cellStyle name="Normal 28 5" xfId="3762" xr:uid="{F42052B8-040D-4C60-855B-D29357B889B7}"/>
    <cellStyle name="Normal 28 5 2" xfId="12142" xr:uid="{EE49D5E1-A4FD-4B7C-9B4C-5126CAE8999C}"/>
    <cellStyle name="Normal 28 5 2 2" xfId="28902" xr:uid="{DFEC8D15-0780-4962-84E0-D9EF2F67FBE9}"/>
    <cellStyle name="Normal 28 5 2 3" xfId="45661" xr:uid="{40E464F6-7D7B-4C4E-A2E5-005145BC2D35}"/>
    <cellStyle name="Normal 28 5 3" xfId="20522" xr:uid="{2A9C9547-7344-4C3F-A009-5AB6499FD6B8}"/>
    <cellStyle name="Normal 28 5 4" xfId="37281" xr:uid="{B8786741-CB98-43E2-AC51-0E63BD2DF1BC}"/>
    <cellStyle name="Normal 28 6" xfId="5476" xr:uid="{E37620C4-D78B-420E-82C1-32355FE915ED}"/>
    <cellStyle name="Normal 28 6 2" xfId="13856" xr:uid="{4A5D3B68-7CC1-429E-8CFF-05CCBD73C383}"/>
    <cellStyle name="Normal 28 6 2 2" xfId="30616" xr:uid="{8CDE24F5-4A5C-4B74-A036-B5804CA2B9E8}"/>
    <cellStyle name="Normal 28 6 2 3" xfId="47375" xr:uid="{23B6F577-E028-4745-904E-EB8DA993345A}"/>
    <cellStyle name="Normal 28 6 3" xfId="22236" xr:uid="{D5EE9F9F-0CAE-465F-AE64-AE48CBCC5BAB}"/>
    <cellStyle name="Normal 28 6 4" xfId="38995" xr:uid="{4317AF1A-F03D-44D9-B3A5-81CBAFFFB1B0}"/>
    <cellStyle name="Normal 28 7" xfId="2205" xr:uid="{6DD047CC-5C0E-4E6E-9E99-44D92B6B2939}"/>
    <cellStyle name="Normal 28 7 2" xfId="10592" xr:uid="{3E28A090-FFCC-4757-96B5-5853841597F6}"/>
    <cellStyle name="Normal 28 7 2 2" xfId="27352" xr:uid="{FCA1F8B4-10A0-4E2D-802C-830EC30736CE}"/>
    <cellStyle name="Normal 28 7 2 3" xfId="44111" xr:uid="{7EBD8DF1-48E5-43BD-B045-8E74C8F1E869}"/>
    <cellStyle name="Normal 28 7 3" xfId="18972" xr:uid="{66B26DF7-90DA-4A7B-B3F1-33D149A934EC}"/>
    <cellStyle name="Normal 28 7 4" xfId="35731" xr:uid="{7DFD1CA6-B2C4-45FC-8EA3-D45B59A4754F}"/>
    <cellStyle name="Normal 28 8" xfId="8789" xr:uid="{CA57E900-E4E4-4A6D-9478-D15B22AE6042}"/>
    <cellStyle name="Normal 28 8 2" xfId="25549" xr:uid="{FB4A41C0-3ED6-4F70-8C8D-A6BDE1B49005}"/>
    <cellStyle name="Normal 28 8 3" xfId="42308" xr:uid="{0FFC007B-AC6A-43C5-A198-47A3C57D9C11}"/>
    <cellStyle name="Normal 28 9" xfId="17169" xr:uid="{40EB6D34-5AD6-4BD0-B952-DFD8C4203E92}"/>
    <cellStyle name="Normal 29" xfId="245" xr:uid="{0E8C815C-CCA9-4C3C-A667-510AA113D684}"/>
    <cellStyle name="Normal 29 10" xfId="400" xr:uid="{4CC0793F-C095-4632-8391-F597E260A03A}"/>
    <cellStyle name="Normal 29 2" xfId="895" xr:uid="{42FB8DA2-E473-4074-B3DF-87F97E750BA3}"/>
    <cellStyle name="Normal 29 2 2" xfId="4290" xr:uid="{ACAD943D-2919-4E9F-BDBF-7F2FCD1D812C}"/>
    <cellStyle name="Normal 29 2 2 2" xfId="12670" xr:uid="{30260460-0CCF-4C8C-BEF0-C21B23EDD490}"/>
    <cellStyle name="Normal 29 2 2 2 2" xfId="29430" xr:uid="{CBF9FFE8-8278-4608-B7C0-A70122054BD5}"/>
    <cellStyle name="Normal 29 2 2 2 3" xfId="46189" xr:uid="{4A9D34E7-4053-4C57-BFC1-77D9D6FB4EE7}"/>
    <cellStyle name="Normal 29 2 2 3" xfId="21050" xr:uid="{B05C20DF-932C-430F-931E-D1A939B65539}"/>
    <cellStyle name="Normal 29 2 2 4" xfId="37809" xr:uid="{86F8CA1C-E79E-4E6B-8713-3B507D7966B0}"/>
    <cellStyle name="Normal 29 2 3" xfId="5977" xr:uid="{2A9801AA-88FC-46A1-8B15-774228A07EFE}"/>
    <cellStyle name="Normal 29 2 3 2" xfId="14357" xr:uid="{9B108C83-DE0D-4C2E-996B-972DA8BA5AD7}"/>
    <cellStyle name="Normal 29 2 3 2 2" xfId="31117" xr:uid="{4457957E-2367-460E-BF55-4AF33A0469BB}"/>
    <cellStyle name="Normal 29 2 3 2 3" xfId="47876" xr:uid="{B9C477C5-E7DC-4107-9435-D28AB03E60BC}"/>
    <cellStyle name="Normal 29 2 3 3" xfId="22737" xr:uid="{7F94F62B-1B52-4310-8A66-704C00FB75E6}"/>
    <cellStyle name="Normal 29 2 3 4" xfId="39496" xr:uid="{0B93FF1B-5E3B-4110-B3AB-35A62EFEEEE2}"/>
    <cellStyle name="Normal 29 2 4" xfId="2713" xr:uid="{951028C8-269E-43B3-96AA-064ECFD079BB}"/>
    <cellStyle name="Normal 29 2 4 2" xfId="11093" xr:uid="{B1D3AD71-26F2-4DC1-8AFF-72F78B6CB168}"/>
    <cellStyle name="Normal 29 2 4 2 2" xfId="27853" xr:uid="{3C7ABB3D-B6CC-4652-8F82-73B732AA6509}"/>
    <cellStyle name="Normal 29 2 4 2 3" xfId="44612" xr:uid="{66DBF0EA-A402-40C8-ABE4-AC315557D745}"/>
    <cellStyle name="Normal 29 2 4 3" xfId="19473" xr:uid="{F71FD0C9-1293-48D8-A5A7-00CD771A7BF9}"/>
    <cellStyle name="Normal 29 2 4 4" xfId="36232" xr:uid="{DDA1FA9D-B370-46C0-AA16-C35AA2AFC9D0}"/>
    <cellStyle name="Normal 29 2 5" xfId="9290" xr:uid="{12962D45-FE20-45CB-B6C0-7078D60B9ADA}"/>
    <cellStyle name="Normal 29 2 5 2" xfId="26050" xr:uid="{CB99B05E-0C18-4B5C-A1BE-CFC78AF9569C}"/>
    <cellStyle name="Normal 29 2 5 3" xfId="42809" xr:uid="{0EACF771-7EA1-4EA8-80C0-3060C77C86B7}"/>
    <cellStyle name="Normal 29 2 6" xfId="17670" xr:uid="{E6C9BC75-7E31-492C-B8A9-DBCB3DA188B4}"/>
    <cellStyle name="Normal 29 2 7" xfId="34429" xr:uid="{99B6F4C5-703D-4D9C-B36C-AE2DFB94C3B6}"/>
    <cellStyle name="Normal 29 3" xfId="1329" xr:uid="{67E79F55-9CB9-4BA3-9945-D08009D0F8B1}"/>
    <cellStyle name="Normal 29 3 2" xfId="4718" xr:uid="{18FF9DCC-01B1-418F-B3D5-35BB1D428AC7}"/>
    <cellStyle name="Normal 29 3 2 2" xfId="13098" xr:uid="{A3DF6B71-3602-49B3-A6E2-F2FDC221AE11}"/>
    <cellStyle name="Normal 29 3 2 2 2" xfId="29858" xr:uid="{4B0C592A-D1FB-48E1-9581-781116475B11}"/>
    <cellStyle name="Normal 29 3 2 2 3" xfId="46617" xr:uid="{2AE0612B-A018-482C-A399-19348C5970AE}"/>
    <cellStyle name="Normal 29 3 2 3" xfId="21478" xr:uid="{EA57F712-4E38-4FB3-9211-8B53EFABCD15}"/>
    <cellStyle name="Normal 29 3 2 4" xfId="38237" xr:uid="{26CBE69E-3BC0-459F-BD26-A9259FE7A38B}"/>
    <cellStyle name="Normal 29 3 3" xfId="6405" xr:uid="{D0C72173-8B56-4842-A02A-9ED4115FE7BE}"/>
    <cellStyle name="Normal 29 3 3 2" xfId="14785" xr:uid="{BBF398D2-AD99-49C9-8BE5-491322772CB5}"/>
    <cellStyle name="Normal 29 3 3 2 2" xfId="31545" xr:uid="{C1F976AC-378C-4208-9369-B374C49B828A}"/>
    <cellStyle name="Normal 29 3 3 2 3" xfId="48304" xr:uid="{A60D1AB7-F6B8-4767-8660-3DEA7A24B134}"/>
    <cellStyle name="Normal 29 3 3 3" xfId="23165" xr:uid="{5CF3F560-3B33-49E0-995B-BA505747704C}"/>
    <cellStyle name="Normal 29 3 3 4" xfId="39924" xr:uid="{B9A78497-8B95-4CBA-AAFB-7E093D32C953}"/>
    <cellStyle name="Normal 29 3 4" xfId="3141" xr:uid="{703CAC1D-C7EF-4650-974E-196AEA53577F}"/>
    <cellStyle name="Normal 29 3 4 2" xfId="11521" xr:uid="{8CF7D25B-BCCC-4810-A344-3ABB2C1BCD50}"/>
    <cellStyle name="Normal 29 3 4 2 2" xfId="28281" xr:uid="{E16C616D-4947-48AE-BF83-DDBC1110F5B6}"/>
    <cellStyle name="Normal 29 3 4 2 3" xfId="45040" xr:uid="{8F3CE7DD-7E31-4C89-8223-B1874CFA2082}"/>
    <cellStyle name="Normal 29 3 4 3" xfId="19901" xr:uid="{2BF4D03B-E5FE-49DE-BC43-9DB5288815A4}"/>
    <cellStyle name="Normal 29 3 4 4" xfId="36660" xr:uid="{04E41FDE-DD3B-4BD4-AF2E-97BB1E379977}"/>
    <cellStyle name="Normal 29 3 5" xfId="9718" xr:uid="{ACB5371F-45D0-4709-A45F-ABE7508636DC}"/>
    <cellStyle name="Normal 29 3 5 2" xfId="26478" xr:uid="{BD7E0833-5DDC-4B42-BEAB-A3E24F50F245}"/>
    <cellStyle name="Normal 29 3 5 3" xfId="43237" xr:uid="{C6151361-3CEF-4F1D-93F9-DA519106EE8D}"/>
    <cellStyle name="Normal 29 3 6" xfId="18098" xr:uid="{102399F4-9A8D-46A7-ADDD-7A4CC1249B1C}"/>
    <cellStyle name="Normal 29 3 7" xfId="34857" xr:uid="{2FB3FCB0-BD43-4553-8261-8515A9EB854E}"/>
    <cellStyle name="Normal 29 4" xfId="4157" xr:uid="{78FA2081-BA7E-4453-9403-29BB29756A67}"/>
    <cellStyle name="Normal 29 4 2" xfId="12537" xr:uid="{0D7FE4AF-5614-4BB5-A274-71193A3B5C8B}"/>
    <cellStyle name="Normal 29 4 2 2" xfId="29297" xr:uid="{2D928206-1C2C-4BDD-A206-DF19B9A6019C}"/>
    <cellStyle name="Normal 29 4 2 3" xfId="46056" xr:uid="{71CECE30-36A7-476F-B085-3F6641327E0A}"/>
    <cellStyle name="Normal 29 4 3" xfId="20917" xr:uid="{D630DD4A-7DFE-4829-BC4C-A3733F8A6466}"/>
    <cellStyle name="Normal 29 4 4" xfId="37676" xr:uid="{8069A0DB-C219-4155-B12D-91C5E1A62DE6}"/>
    <cellStyle name="Normal 29 5" xfId="5551" xr:uid="{DDC8900E-5393-4166-AC89-BEE93B05BB6B}"/>
    <cellStyle name="Normal 29 5 2" xfId="13931" xr:uid="{536D86EF-9B84-4541-A16E-28EA6E37EFEC}"/>
    <cellStyle name="Normal 29 5 2 2" xfId="30691" xr:uid="{A3D45513-EECC-4DD8-ABE5-7ED4E6A53492}"/>
    <cellStyle name="Normal 29 5 2 3" xfId="47450" xr:uid="{D02AE6EC-A77A-4F25-96AF-18E8FB13DF6F}"/>
    <cellStyle name="Normal 29 5 3" xfId="22311" xr:uid="{71F4E88D-0068-40F2-B0B0-2E660E193673}"/>
    <cellStyle name="Normal 29 5 4" xfId="39070" xr:uid="{94DF54E6-9BAF-4735-B625-8419EDE41C49}"/>
    <cellStyle name="Normal 29 6" xfId="2283" xr:uid="{5EA87477-72C4-4F7A-B29E-E9026A396B8E}"/>
    <cellStyle name="Normal 29 6 2" xfId="10667" xr:uid="{94B81C88-BF36-4AE5-9038-4E5D2C4C7CF2}"/>
    <cellStyle name="Normal 29 6 2 2" xfId="27427" xr:uid="{7B3F6A12-36FE-4490-899E-7CE0B8F3A8AD}"/>
    <cellStyle name="Normal 29 6 2 3" xfId="44186" xr:uid="{7D02071E-0396-49CF-8B00-BB98ED84229F}"/>
    <cellStyle name="Normal 29 6 3" xfId="19047" xr:uid="{A800B33E-2A66-4DCB-92AD-14385819A9DA}"/>
    <cellStyle name="Normal 29 6 4" xfId="35806" xr:uid="{F82B33B3-90F8-48B6-9E43-32BFCEF1FDD1}"/>
    <cellStyle name="Normal 29 7" xfId="8864" xr:uid="{AF3928CE-836D-4F65-93E8-A7B56CC7F469}"/>
    <cellStyle name="Normal 29 7 2" xfId="25624" xr:uid="{2F8B915C-A29E-4861-A824-83FC80402EA2}"/>
    <cellStyle name="Normal 29 7 3" xfId="42383" xr:uid="{248354D9-C535-4E6F-A0BE-9CBA1ABCE955}"/>
    <cellStyle name="Normal 29 8" xfId="17244" xr:uid="{5633AF26-70C4-4B38-AEB2-798CE4991002}"/>
    <cellStyle name="Normal 29 9" xfId="34003" xr:uid="{B89A457D-BD03-401B-AE97-F3A9DB6BE501}"/>
    <cellStyle name="Normal 3" xfId="62" xr:uid="{8722FC25-7108-425D-8B20-E523F5E73E95}"/>
    <cellStyle name="Normal 3 10" xfId="50916" xr:uid="{2F0FED86-AB74-4C77-875D-D75351D2ECAE}"/>
    <cellStyle name="Normal 3 10 2" xfId="51180" xr:uid="{C842BA45-D829-46D9-945A-0621617088E6}"/>
    <cellStyle name="Normal 3 10 2 2" xfId="51654" xr:uid="{1FC7CB03-900F-470F-AB96-016517EDAD82}"/>
    <cellStyle name="Normal 3 10 2 3" xfId="52132" xr:uid="{F67F4FDD-66B3-4E10-9732-6C778AEB1C02}"/>
    <cellStyle name="Normal 3 10 3" xfId="51419" xr:uid="{AF7D0813-8990-49F5-8633-A59CCB9F40B8}"/>
    <cellStyle name="Normal 3 10 4" xfId="51933" xr:uid="{47C8EF7A-5948-484E-9A55-B66EFA7C6077}"/>
    <cellStyle name="Normal 3 11" xfId="51033" xr:uid="{6159E366-2B3F-4098-B110-5A5E0F11B014}"/>
    <cellStyle name="Normal 3 11 2" xfId="51507" xr:uid="{82B73B48-7C5C-436B-BB41-EB6F4C51944D}"/>
    <cellStyle name="Normal 3 11 3" xfId="51795" xr:uid="{67E67F99-F135-43E3-94B4-3FD6FB465BBB}"/>
    <cellStyle name="Normal 3 12" xfId="50777" xr:uid="{E34741C0-894B-4FFA-B7D1-788F4840D77A}"/>
    <cellStyle name="Normal 3 13" xfId="51272" xr:uid="{52DCD101-6DC2-4B71-96CF-18DAD2F3848B}"/>
    <cellStyle name="Normal 3 14" xfId="71" xr:uid="{EF22C2B2-0EC8-48A8-B932-608E65FC6A6D}"/>
    <cellStyle name="Normal 3 2" xfId="64" xr:uid="{E16C419F-471A-48E3-9F91-9F30EB826F74}"/>
    <cellStyle name="Normal 3 2 10" xfId="51763" xr:uid="{45BD38C9-95EB-4221-8D10-4A103AE427EF}"/>
    <cellStyle name="Normal 3 2 11" xfId="252" xr:uid="{8DDC4D03-2863-460F-953F-F53C72C8E0F9}"/>
    <cellStyle name="Normal 3 2 12" xfId="86" xr:uid="{8175D9DD-6FE4-4866-BA43-4457D9C47C63}"/>
    <cellStyle name="Normal 3 2 2" xfId="156" xr:uid="{A3F2EA98-3AC6-4E1D-A29D-403A4DC74FE8}"/>
    <cellStyle name="Normal 3 2 2 2" xfId="50660" xr:uid="{28BBCB1D-369D-4562-B16E-EE69D2D870E2}"/>
    <cellStyle name="Normal 3 2 2 2 2" xfId="50702" xr:uid="{78A41B99-A7F1-4710-9F65-EE8C1DBB4E5E}"/>
    <cellStyle name="Normal 3 2 2 2 2 2" xfId="51055" xr:uid="{853C70FE-5501-4363-93EA-D0278C4704C7}"/>
    <cellStyle name="Normal 3 2 2 2 2 3" xfId="51529" xr:uid="{52A50099-58AB-4E8C-B6D9-3D5F957738CD}"/>
    <cellStyle name="Normal 3 2 2 2 2 4" xfId="51817" xr:uid="{1F3C117D-8CDE-4111-B20C-52831DF55A70}"/>
    <cellStyle name="Normal 3 2 2 2 3" xfId="50747" xr:uid="{2F7474C5-20D5-42E2-8147-03D2AEAB20E0}"/>
    <cellStyle name="Normal 3 2 2 2 4" xfId="50799" xr:uid="{3575A75B-76D1-4F47-B5A2-2E7B4A3A8D63}"/>
    <cellStyle name="Normal 3 2 2 2 5" xfId="51294" xr:uid="{A7BB1559-A489-4378-9F55-ECADB652820D}"/>
    <cellStyle name="Normal 3 2 2 2 6" xfId="51765" xr:uid="{1636A1DD-4856-4704-B048-2B5C27F72B50}"/>
    <cellStyle name="Normal 3 2 2 3" xfId="50659" xr:uid="{C2F38C41-A62A-4404-8B24-430996B892C6}"/>
    <cellStyle name="Normal 3 2 2 3 2" xfId="51041" xr:uid="{0102AA28-0EFB-4FDE-8AA5-B04AC6854E6A}"/>
    <cellStyle name="Normal 3 2 2 3 3" xfId="51515" xr:uid="{25CFC693-30A4-4F56-9CD3-54F491497BEF}"/>
    <cellStyle name="Normal 3 2 2 3 4" xfId="51803" xr:uid="{B8BBE8C8-08A0-4E93-8DB3-B74647FD4FFD}"/>
    <cellStyle name="Normal 3 2 2 4" xfId="50701" xr:uid="{7887B9DA-DC6B-4624-99B3-38EA2C3754FD}"/>
    <cellStyle name="Normal 3 2 2 5" xfId="50746" xr:uid="{BD064E9C-63C2-4E36-B4E3-4DD7E28D6DBC}"/>
    <cellStyle name="Normal 3 2 2 6" xfId="50785" xr:uid="{C4735BE2-9436-4B08-B0A7-E08F1A7489F4}"/>
    <cellStyle name="Normal 3 2 2 7" xfId="51280" xr:uid="{4D284439-1C09-495E-B36B-EB47B829863C}"/>
    <cellStyle name="Normal 3 2 2 8" xfId="51764" xr:uid="{D60BD426-D2FC-4DC4-8769-6C216B6CDEEA}"/>
    <cellStyle name="Normal 3 2 2 9" xfId="682" xr:uid="{A36B3E72-6BC0-4CD0-80DE-13BC0296D9D5}"/>
    <cellStyle name="Normal 3 2 3" xfId="762" xr:uid="{CD007696-33BB-475E-97F3-066295D4C289}"/>
    <cellStyle name="Normal 3 2 3 2" xfId="50661" xr:uid="{9556205A-DA2D-4E65-B0D1-118533659CEE}"/>
    <cellStyle name="Normal 3 2 3 2 2" xfId="51049" xr:uid="{813B9D3E-3DA9-4CE5-B8C0-F168E70DE61E}"/>
    <cellStyle name="Normal 3 2 3 2 3" xfId="51523" xr:uid="{5B93D013-6985-42A3-9999-374534849CC3}"/>
    <cellStyle name="Normal 3 2 3 2 4" xfId="51811" xr:uid="{7198E932-62AE-4CC2-95D0-98A8CC6C5D94}"/>
    <cellStyle name="Normal 3 2 3 3" xfId="50703" xr:uid="{C77E3569-6C96-44B5-8C95-E9BDCDC2C7C0}"/>
    <cellStyle name="Normal 3 2 3 4" xfId="50748" xr:uid="{80A457BB-C704-40A8-80CC-072CF41916F7}"/>
    <cellStyle name="Normal 3 2 3 5" xfId="50793" xr:uid="{C44D2C4B-DFEF-48D5-AB55-5EBDB0C3C536}"/>
    <cellStyle name="Normal 3 2 3 6" xfId="51288" xr:uid="{04297455-57BD-42AA-8669-9CD49881365C}"/>
    <cellStyle name="Normal 3 2 3 7" xfId="51766" xr:uid="{27A223D7-2F48-40FF-9FAC-F3D38D2DC984}"/>
    <cellStyle name="Normal 3 2 4" xfId="2032" xr:uid="{A372A28F-002D-48A2-AD89-941B021117FB}"/>
    <cellStyle name="Normal 3 2 4 2" xfId="50704" xr:uid="{188AD057-D1FB-471F-87A5-9FB197EEA9B2}"/>
    <cellStyle name="Normal 3 2 4 2 2" xfId="51061" xr:uid="{04518027-475A-487F-90E6-488CE5470CE7}"/>
    <cellStyle name="Normal 3 2 4 2 3" xfId="51535" xr:uid="{C4C19FCE-16F1-4286-8C7E-8D4CBB011493}"/>
    <cellStyle name="Normal 3 2 4 2 4" xfId="51823" xr:uid="{2DAEEFCA-1E73-4F5B-ADE2-A6C4C06482A0}"/>
    <cellStyle name="Normal 3 2 4 3" xfId="50749" xr:uid="{BC5DE5C3-951B-4400-A81B-FAA0126ED4A4}"/>
    <cellStyle name="Normal 3 2 4 4" xfId="50805" xr:uid="{CCB10EFC-51A2-43B3-8468-88EA463D6820}"/>
    <cellStyle name="Normal 3 2 4 5" xfId="51300" xr:uid="{73A75814-07E3-49A0-B9D9-070D1C840A98}"/>
    <cellStyle name="Normal 3 2 4 6" xfId="51767" xr:uid="{B6B14539-9B70-4C36-B10C-F8D9085C8929}"/>
    <cellStyle name="Normal 3 2 5" xfId="50658" xr:uid="{6EBDA738-0586-4FF7-BD7A-93A7B2E4524C}"/>
    <cellStyle name="Normal 3 2 5 2" xfId="50705" xr:uid="{B20BA133-1291-44C2-9F81-0ECA389E7660}"/>
    <cellStyle name="Normal 3 2 5 2 2" xfId="51184" xr:uid="{2CFCAAF8-855B-40E1-83A9-CA3636504BBB}"/>
    <cellStyle name="Normal 3 2 5 2 3" xfId="51658" xr:uid="{0F541DCC-DFA6-4741-88B8-07FF6390A831}"/>
    <cellStyle name="Normal 3 2 5 2 4" xfId="51937" xr:uid="{7A691D25-337B-4D72-982F-E0485EBD5D3E}"/>
    <cellStyle name="Normal 3 2 5 3" xfId="50750" xr:uid="{CB757B60-7CFD-4B9A-AB4D-F6E33AECD815}"/>
    <cellStyle name="Normal 3 2 5 4" xfId="50920" xr:uid="{BF986E0F-8648-4FB3-A84A-7B580C475D16}"/>
    <cellStyle name="Normal 3 2 5 5" xfId="51423" xr:uid="{6A5E7374-1214-4FB6-83D5-DBF7502A97E3}"/>
    <cellStyle name="Normal 3 2 5 6" xfId="51768" xr:uid="{4CA6439E-E279-448F-9127-AE8ECB495517}"/>
    <cellStyle name="Normal 3 2 6" xfId="50700" xr:uid="{F5BB9D97-85A4-4F5E-8F2E-6A331F3CABED}"/>
    <cellStyle name="Normal 3 2 6 2" xfId="51193" xr:uid="{E96EA5E1-8829-4AC8-BCB0-EA303882E6DE}"/>
    <cellStyle name="Normal 3 2 6 2 2" xfId="51667" xr:uid="{E624C39B-6FAD-4CA0-9C31-42ECB7D5F3E0}"/>
    <cellStyle name="Normal 3 2 6 2 3" xfId="52143" xr:uid="{F7386C3A-3B88-4DAB-961A-A9B9B0A0E651}"/>
    <cellStyle name="Normal 3 2 6 3" xfId="50944" xr:uid="{4367DC60-B14A-4F76-AFFA-CE7518678F15}"/>
    <cellStyle name="Normal 3 2 6 4" xfId="51432" xr:uid="{4F96B2AC-C2B3-460C-BE80-6F9ABD08B44E}"/>
    <cellStyle name="Normal 3 2 6 5" xfId="51946" xr:uid="{19C54098-B56C-4319-94AC-AE50423F2008}"/>
    <cellStyle name="Normal 3 2 7" xfId="50745" xr:uid="{3ABE89D7-D67E-41C8-959A-6CD6F0D98AC6}"/>
    <cellStyle name="Normal 3 2 7 2" xfId="51035" xr:uid="{75B05444-4813-4116-A706-053C2DCEF97F}"/>
    <cellStyle name="Normal 3 2 7 3" xfId="51509" xr:uid="{9267C947-3EEC-4B3D-9FD4-EF20EFAC9C61}"/>
    <cellStyle name="Normal 3 2 7 4" xfId="51797" xr:uid="{5EAA5298-584D-412E-A24E-DD2E15E98A1E}"/>
    <cellStyle name="Normal 3 2 8" xfId="50779" xr:uid="{83657CD6-5D70-4473-A01F-3F267EC59947}"/>
    <cellStyle name="Normal 3 2 9" xfId="51274" xr:uid="{831D8551-92C5-4778-B678-FE28C6C0B6B2}"/>
    <cellStyle name="Normal 3 3" xfId="214" xr:uid="{62F6F6CA-2904-4D4B-965B-219ED950AA14}"/>
    <cellStyle name="Normal 3 3 10" xfId="7590" xr:uid="{4E481754-03A1-48B6-8085-9A00FA3CA697}"/>
    <cellStyle name="Normal 3 3 10 2" xfId="15970" xr:uid="{4F76338F-B30A-4095-AB15-8DE1B35E30D0}"/>
    <cellStyle name="Normal 3 3 10 2 2" xfId="32730" xr:uid="{A97BF02D-4655-4BAD-8C51-71201D652BB1}"/>
    <cellStyle name="Normal 3 3 10 2 3" xfId="49489" xr:uid="{0FCF6B0F-2DED-4734-8813-E1C97D5E9DA4}"/>
    <cellStyle name="Normal 3 3 10 3" xfId="24350" xr:uid="{FE48264E-E6E0-4B7A-96B9-27640EBF8315}"/>
    <cellStyle name="Normal 3 3 10 4" xfId="41109" xr:uid="{8F93E52A-B12A-4DD7-83C6-A6D3AE4F2332}"/>
    <cellStyle name="Normal 3 3 11" xfId="7996" xr:uid="{DAB73FE5-35B9-4C05-9B50-070A28AC95A9}"/>
    <cellStyle name="Normal 3 3 11 2" xfId="16376" xr:uid="{6AE36729-63DF-4FF6-AEA5-DD2C41758604}"/>
    <cellStyle name="Normal 3 3 11 2 2" xfId="33136" xr:uid="{660A8A3D-E539-494E-90BA-DB1DE1CA7D26}"/>
    <cellStyle name="Normal 3 3 11 2 3" xfId="49895" xr:uid="{C89E0F84-079F-4ED5-A284-78651A573D60}"/>
    <cellStyle name="Normal 3 3 11 3" xfId="24756" xr:uid="{740E65EC-36D6-4FE4-BD16-BA83C29229B5}"/>
    <cellStyle name="Normal 3 3 11 4" xfId="41515" xr:uid="{FEED85B5-42A0-4DE4-9C67-0BE179933920}"/>
    <cellStyle name="Normal 3 3 12" xfId="8402" xr:uid="{62E49503-DF44-4F65-AB65-499081EC51D8}"/>
    <cellStyle name="Normal 3 3 12 2" xfId="16782" xr:uid="{23072131-6891-4AE7-B5F7-31C1B92751EA}"/>
    <cellStyle name="Normal 3 3 12 2 2" xfId="33542" xr:uid="{14E4AB4F-D1BF-4E86-9423-9E850B998FD8}"/>
    <cellStyle name="Normal 3 3 12 2 3" xfId="50301" xr:uid="{0223FB43-1E87-4D65-A5E6-DB98EDA0A3BA}"/>
    <cellStyle name="Normal 3 3 12 3" xfId="25162" xr:uid="{DF6C13E6-CE4D-4036-BB8D-9FB488BF33DB}"/>
    <cellStyle name="Normal 3 3 12 4" xfId="41921" xr:uid="{7471BF5B-E630-4F4C-B978-253B8F604080}"/>
    <cellStyle name="Normal 3 3 13" xfId="2099" xr:uid="{E71AE6D4-7116-414D-9E8C-0ED33F6E9247}"/>
    <cellStyle name="Normal 3 3 13 2" xfId="10487" xr:uid="{A76F6AB2-01D7-47E5-943A-2A865AFDD9CF}"/>
    <cellStyle name="Normal 3 3 13 2 2" xfId="27247" xr:uid="{E5C27BE9-19BB-4209-BB15-FDDB39176831}"/>
    <cellStyle name="Normal 3 3 13 2 3" xfId="44006" xr:uid="{BF96A8F8-B116-49BE-B33F-DCD473255AFF}"/>
    <cellStyle name="Normal 3 3 13 3" xfId="18867" xr:uid="{9FF32725-31A9-48E9-898D-8631A6845BC1}"/>
    <cellStyle name="Normal 3 3 13 4" xfId="35626" xr:uid="{D7DEB0A3-9F70-4806-B55F-84352F44B844}"/>
    <cellStyle name="Normal 3 3 14" xfId="9091" xr:uid="{95B30437-F384-47EA-A3ED-9E3AF512DA17}"/>
    <cellStyle name="Normal 3 3 14 2" xfId="25851" xr:uid="{1C29882F-A8A8-42DE-8572-AD5B04CE3574}"/>
    <cellStyle name="Normal 3 3 14 3" xfId="42610" xr:uid="{9BC475AA-905D-401D-982F-D01C02A443A1}"/>
    <cellStyle name="Normal 3 3 15" xfId="17471" xr:uid="{28229EA9-4D23-474C-94B8-82931AD82B5F}"/>
    <cellStyle name="Normal 3 3 16" xfId="34230" xr:uid="{73E7C312-D021-4714-8245-6C9A270D764A}"/>
    <cellStyle name="Normal 3 3 17" xfId="50662" xr:uid="{AF931972-4E61-4D05-9D00-76919B0637FF}"/>
    <cellStyle name="Normal 3 3 18" xfId="50706" xr:uid="{D4014959-399E-43C9-98DC-90BD20E47682}"/>
    <cellStyle name="Normal 3 3 19" xfId="50751" xr:uid="{22395367-19DB-4C80-BC6C-CBBA5A40D79B}"/>
    <cellStyle name="Normal 3 3 2" xfId="684" xr:uid="{F0317757-F96D-4707-9BE4-E9B6DD2B4092}"/>
    <cellStyle name="Normal 3 3 2 10" xfId="8566" xr:uid="{464CE294-28FB-43D4-8987-7B2B24A68C27}"/>
    <cellStyle name="Normal 3 3 2 10 2" xfId="16946" xr:uid="{AFB157D0-6B71-442F-A954-C2672B2D284F}"/>
    <cellStyle name="Normal 3 3 2 10 2 2" xfId="33706" xr:uid="{728E018F-D5CB-4162-B29E-E38B345FCF78}"/>
    <cellStyle name="Normal 3 3 2 10 2 3" xfId="50465" xr:uid="{1B769385-638D-4377-B958-C02BA3FC1EE0}"/>
    <cellStyle name="Normal 3 3 2 10 3" xfId="25326" xr:uid="{BC2366AD-1C6F-4966-ACA9-B3B7DE58BB8D}"/>
    <cellStyle name="Normal 3 3 2 10 4" xfId="42085" xr:uid="{614C3FC5-D48D-40AB-8238-CD2B611EA51B}"/>
    <cellStyle name="Normal 3 3 2 11" xfId="2513" xr:uid="{908F69C2-132E-49B6-80D1-7A22702787F6}"/>
    <cellStyle name="Normal 3 3 2 11 2" xfId="10895" xr:uid="{D568F2FC-443F-4FA6-A0DC-48FAC776476A}"/>
    <cellStyle name="Normal 3 3 2 11 2 2" xfId="27655" xr:uid="{8A24B7EB-ECF3-4A08-84A7-A47F9050D7F1}"/>
    <cellStyle name="Normal 3 3 2 11 2 3" xfId="44414" xr:uid="{C9C42AA9-4189-4C1D-87AF-CBC650A45425}"/>
    <cellStyle name="Normal 3 3 2 11 3" xfId="19275" xr:uid="{B974E03E-7ED7-46E4-8E41-DECC9C308A44}"/>
    <cellStyle name="Normal 3 3 2 11 4" xfId="36034" xr:uid="{132F657D-B706-4CAF-8AA9-FA1B7AA1F0B9}"/>
    <cellStyle name="Normal 3 3 2 12" xfId="9092" xr:uid="{F898E3FF-7200-42FE-8B5B-B9EAA02692E1}"/>
    <cellStyle name="Normal 3 3 2 12 2" xfId="25852" xr:uid="{3B400BE4-6C0F-428D-B58A-981D049296AB}"/>
    <cellStyle name="Normal 3 3 2 12 3" xfId="42611" xr:uid="{78938BAA-223F-4B6C-BCD1-9E5C707F1C19}"/>
    <cellStyle name="Normal 3 3 2 13" xfId="17472" xr:uid="{60943E3C-B74E-4B3E-BC05-F765E9BE2B47}"/>
    <cellStyle name="Normal 3 3 2 14" xfId="34231" xr:uid="{3931A1C2-7096-4AAE-B319-A15E771C8B0D}"/>
    <cellStyle name="Normal 3 3 2 15" xfId="50663" xr:uid="{BC50AA86-352A-4BE6-BC8F-962AB146A340}"/>
    <cellStyle name="Normal 3 3 2 16" xfId="50707" xr:uid="{91FB8F64-4FFF-4BF0-A50C-509A5B109139}"/>
    <cellStyle name="Normal 3 3 2 17" xfId="50752" xr:uid="{57CD4AFC-E228-4EBB-9099-841D13673AD3}"/>
    <cellStyle name="Normal 3 3 2 18" xfId="50787" xr:uid="{56CDDCB5-2FEC-4D26-8D40-DEC507E054EF}"/>
    <cellStyle name="Normal 3 3 2 19" xfId="51282" xr:uid="{72EEC12B-629E-472E-A14E-0416C517AF20}"/>
    <cellStyle name="Normal 3 3 2 2" xfId="1123" xr:uid="{6AEE5481-A1EB-4065-AD4E-E86FF6042F23}"/>
    <cellStyle name="Normal 3 3 2 2 10" xfId="50801" xr:uid="{78CC2FE9-9DF5-4CE6-A7D2-57DB594BF4D6}"/>
    <cellStyle name="Normal 3 3 2 2 11" xfId="51296" xr:uid="{497C5458-2C6D-470A-B4BE-2B12E9BF9015}"/>
    <cellStyle name="Normal 3 3 2 2 12" xfId="51771" xr:uid="{93CC97C6-18EE-4B30-A948-4281F87E7E37}"/>
    <cellStyle name="Normal 3 3 2 2 2" xfId="4518" xr:uid="{4A4BE8CA-0172-4021-BF80-1C5F5B1E7D86}"/>
    <cellStyle name="Normal 3 3 2 2 2 2" xfId="12898" xr:uid="{CAD6EC8D-C94B-4968-B750-E7CBF803BF97}"/>
    <cellStyle name="Normal 3 3 2 2 2 2 2" xfId="29658" xr:uid="{671A089A-D305-446F-96E1-C4C1FFAD5306}"/>
    <cellStyle name="Normal 3 3 2 2 2 2 3" xfId="46417" xr:uid="{F4D79702-7362-419E-8FEA-E8EECB225D63}"/>
    <cellStyle name="Normal 3 3 2 2 2 3" xfId="21278" xr:uid="{7873814F-3596-4BD7-8DBB-14AC877AE75B}"/>
    <cellStyle name="Normal 3 3 2 2 2 4" xfId="38037" xr:uid="{0FD3B2F5-CAFF-4583-A562-5CC11BD5096F}"/>
    <cellStyle name="Normal 3 3 2 2 2 5" xfId="51057" xr:uid="{285FBE7C-F52A-4D95-877A-2862E20E89BA}"/>
    <cellStyle name="Normal 3 3 2 2 2 6" xfId="51531" xr:uid="{FE27A26B-FEBE-4D5F-9109-2A7325795C51}"/>
    <cellStyle name="Normal 3 3 2 2 2 7" xfId="51819" xr:uid="{2CDC1298-093C-4E70-AB45-62E9B4BC3DC9}"/>
    <cellStyle name="Normal 3 3 2 2 3" xfId="6205" xr:uid="{BD577811-F2FC-4564-9D29-FE8F2406B80F}"/>
    <cellStyle name="Normal 3 3 2 2 3 2" xfId="14585" xr:uid="{E6BDEBE8-4FEA-4A29-B58C-E4D162C374A4}"/>
    <cellStyle name="Normal 3 3 2 2 3 2 2" xfId="31345" xr:uid="{DDB86A01-2104-42DB-91B4-2137E5EBCD46}"/>
    <cellStyle name="Normal 3 3 2 2 3 2 3" xfId="48104" xr:uid="{42584EFA-49D7-47E2-845F-A81951FD116D}"/>
    <cellStyle name="Normal 3 3 2 2 3 3" xfId="22965" xr:uid="{599F1070-580D-4AC5-AD7E-0E0DFD365413}"/>
    <cellStyle name="Normal 3 3 2 2 3 4" xfId="39724" xr:uid="{EC8482A8-1223-444D-8634-144B1ECE9DDE}"/>
    <cellStyle name="Normal 3 3 2 2 4" xfId="2941" xr:uid="{2025D82E-C055-41B6-8AC9-8E9B66C24C66}"/>
    <cellStyle name="Normal 3 3 2 2 4 2" xfId="11321" xr:uid="{43AC307B-A578-4B2F-AEE7-F4EFF4CC40FC}"/>
    <cellStyle name="Normal 3 3 2 2 4 2 2" xfId="28081" xr:uid="{7C29BC6D-C5B1-455F-AB54-9536E95EE311}"/>
    <cellStyle name="Normal 3 3 2 2 4 2 3" xfId="44840" xr:uid="{EF4D2652-A24D-4A6C-9827-EFACDB302714}"/>
    <cellStyle name="Normal 3 3 2 2 4 3" xfId="19701" xr:uid="{D9BF08AF-40AA-4E1E-A222-3D019263A061}"/>
    <cellStyle name="Normal 3 3 2 2 4 4" xfId="36460" xr:uid="{C81A9D21-102B-4ED4-9C3E-74F7B77D96DE}"/>
    <cellStyle name="Normal 3 3 2 2 5" xfId="9518" xr:uid="{AFDC7B95-8DE2-47AF-B03B-EBCD2EF4F82D}"/>
    <cellStyle name="Normal 3 3 2 2 5 2" xfId="26278" xr:uid="{7886D38F-A948-4978-B5F6-F218BC1E0A73}"/>
    <cellStyle name="Normal 3 3 2 2 5 3" xfId="43037" xr:uid="{530DBDB0-6DB6-4367-A2ED-190A9956EF30}"/>
    <cellStyle name="Normal 3 3 2 2 6" xfId="17898" xr:uid="{24027E49-2F05-4EA6-9211-1531E4E3A863}"/>
    <cellStyle name="Normal 3 3 2 2 7" xfId="34657" xr:uid="{5AC8D7F7-0A61-40E8-AEC7-4D3481A73428}"/>
    <cellStyle name="Normal 3 3 2 2 8" xfId="50708" xr:uid="{3B02D261-E6D4-427E-BAAC-7BCE5180C272}"/>
    <cellStyle name="Normal 3 3 2 2 9" xfId="50753" xr:uid="{686A1D36-1A35-4CCE-AD2D-CAEED967302B}"/>
    <cellStyle name="Normal 3 3 2 20" xfId="51770" xr:uid="{9DB2624D-470A-4725-8E82-F2AAD77F1BDE}"/>
    <cellStyle name="Normal 3 3 2 3" xfId="1557" xr:uid="{AFE50E4C-89BC-4A76-8165-5522FF833D0D}"/>
    <cellStyle name="Normal 3 3 2 3 10" xfId="51805" xr:uid="{EEBA3279-464F-4564-9E59-12EEC7440240}"/>
    <cellStyle name="Normal 3 3 2 3 2" xfId="4946" xr:uid="{CD372206-9A81-4AE1-85A4-1A8AC7565ED5}"/>
    <cellStyle name="Normal 3 3 2 3 2 2" xfId="13326" xr:uid="{939BE7F0-307D-4B1E-8749-0D84257738EA}"/>
    <cellStyle name="Normal 3 3 2 3 2 2 2" xfId="30086" xr:uid="{442DD1E6-4B0E-47DA-BCCB-2684664C60BF}"/>
    <cellStyle name="Normal 3 3 2 3 2 2 3" xfId="46845" xr:uid="{D3FF88E9-89B3-42BF-BB6F-99A0F114781B}"/>
    <cellStyle name="Normal 3 3 2 3 2 3" xfId="21706" xr:uid="{18DA0101-C75D-40B1-800A-2E04F11D751C}"/>
    <cellStyle name="Normal 3 3 2 3 2 4" xfId="38465" xr:uid="{C0D6B7A6-922C-4F90-A774-7F7D746AAF84}"/>
    <cellStyle name="Normal 3 3 2 3 3" xfId="6633" xr:uid="{188EE685-43B4-4458-9B7F-2576DB7F99E9}"/>
    <cellStyle name="Normal 3 3 2 3 3 2" xfId="15013" xr:uid="{4769BE49-D53C-4EAB-BA57-A19EA8D791AE}"/>
    <cellStyle name="Normal 3 3 2 3 3 2 2" xfId="31773" xr:uid="{7B568769-C2C8-4DD6-AC20-99BF2B7E40D7}"/>
    <cellStyle name="Normal 3 3 2 3 3 2 3" xfId="48532" xr:uid="{E66E2040-1223-4E63-BBF4-E75A81B2BF0B}"/>
    <cellStyle name="Normal 3 3 2 3 3 3" xfId="23393" xr:uid="{A0466081-5058-44B3-8950-703836D1999F}"/>
    <cellStyle name="Normal 3 3 2 3 3 4" xfId="40152" xr:uid="{7CA2B3BE-4315-4DBD-93A9-5BACC0FFE9D3}"/>
    <cellStyle name="Normal 3 3 2 3 4" xfId="3369" xr:uid="{8235DEE8-B8FB-4403-B29B-F3365951D344}"/>
    <cellStyle name="Normal 3 3 2 3 4 2" xfId="11749" xr:uid="{49EABF69-81C1-456A-8E88-25AD98F28D88}"/>
    <cellStyle name="Normal 3 3 2 3 4 2 2" xfId="28509" xr:uid="{B84D305A-4450-4D82-AD40-E3FDCC729C70}"/>
    <cellStyle name="Normal 3 3 2 3 4 2 3" xfId="45268" xr:uid="{A297AB57-B619-438F-92DE-DB18965ED580}"/>
    <cellStyle name="Normal 3 3 2 3 4 3" xfId="20129" xr:uid="{A8CD601A-132E-4A57-BFB4-52077F75EC75}"/>
    <cellStyle name="Normal 3 3 2 3 4 4" xfId="36888" xr:uid="{E008605E-81B4-45CB-8CF7-37BB854F6AD5}"/>
    <cellStyle name="Normal 3 3 2 3 5" xfId="9946" xr:uid="{19EF8249-B0BF-43F6-90EC-C95B1E70B4AC}"/>
    <cellStyle name="Normal 3 3 2 3 5 2" xfId="26706" xr:uid="{20822015-79CA-4C7C-9DB6-F7B57F914864}"/>
    <cellStyle name="Normal 3 3 2 3 5 3" xfId="43465" xr:uid="{C0162387-A57B-441E-B73B-0CD5EF1D78B0}"/>
    <cellStyle name="Normal 3 3 2 3 6" xfId="18326" xr:uid="{312900FD-88EA-411A-A16D-E0223E327037}"/>
    <cellStyle name="Normal 3 3 2 3 7" xfId="35085" xr:uid="{89936518-D4D5-4A40-93C2-E9EFE678F64F}"/>
    <cellStyle name="Normal 3 3 2 3 8" xfId="51043" xr:uid="{3CF74575-4C2C-4742-810F-8361B87F40CF}"/>
    <cellStyle name="Normal 3 3 2 3 9" xfId="51517" xr:uid="{B9E3FD67-19CC-498C-A22B-348DAD23BDDF}"/>
    <cellStyle name="Normal 3 3 2 4" xfId="1866" xr:uid="{3D8FD9AC-7637-44CD-A102-1AE98C7D059A}"/>
    <cellStyle name="Normal 3 3 2 4 2" xfId="5255" xr:uid="{05C04D40-AD56-484A-9A49-82D194C778A3}"/>
    <cellStyle name="Normal 3 3 2 4 2 2" xfId="13635" xr:uid="{FBA21A35-0FC3-4B45-BEB0-A1D43252C381}"/>
    <cellStyle name="Normal 3 3 2 4 2 2 2" xfId="30395" xr:uid="{6F797B9D-E50F-45E5-945F-1D223665A21C}"/>
    <cellStyle name="Normal 3 3 2 4 2 2 3" xfId="47154" xr:uid="{7593550F-2ED0-4C66-8914-E237778C4FE8}"/>
    <cellStyle name="Normal 3 3 2 4 2 3" xfId="22015" xr:uid="{A69E37AB-FDDC-4806-96A9-6B57A2B96F2F}"/>
    <cellStyle name="Normal 3 3 2 4 2 4" xfId="38774" xr:uid="{BA1AA748-1A7E-4F37-94DD-ABFACD83877F}"/>
    <cellStyle name="Normal 3 3 2 4 3" xfId="6942" xr:uid="{B41EF7E6-3B1C-417F-884E-0B9059F4C024}"/>
    <cellStyle name="Normal 3 3 2 4 3 2" xfId="15322" xr:uid="{B8942A77-2F29-42A4-AE29-55E24DF84A58}"/>
    <cellStyle name="Normal 3 3 2 4 3 2 2" xfId="32082" xr:uid="{7E545990-DEDE-412E-8AFC-031042E3595D}"/>
    <cellStyle name="Normal 3 3 2 4 3 2 3" xfId="48841" xr:uid="{F57F4D0C-5AA1-4EEC-A9BF-43247F8BB192}"/>
    <cellStyle name="Normal 3 3 2 4 3 3" xfId="23702" xr:uid="{77AC07A4-AFC1-4CFF-B8C1-F4AF271C79D9}"/>
    <cellStyle name="Normal 3 3 2 4 3 4" xfId="40461" xr:uid="{9B146472-90C1-4729-9213-1CEB1D0020FA}"/>
    <cellStyle name="Normal 3 3 2 4 4" xfId="3565" xr:uid="{DD61137A-0233-449E-8A78-9D24E6B43819}"/>
    <cellStyle name="Normal 3 3 2 4 4 2" xfId="11945" xr:uid="{557B4A96-37EB-48E1-9452-5E78C03F1A42}"/>
    <cellStyle name="Normal 3 3 2 4 4 2 2" xfId="28705" xr:uid="{4B1167EF-9B96-4710-8594-5AA52379EC30}"/>
    <cellStyle name="Normal 3 3 2 4 4 2 3" xfId="45464" xr:uid="{9CBFE794-6499-4E46-9B87-82E1E5A1E23A}"/>
    <cellStyle name="Normal 3 3 2 4 4 3" xfId="20325" xr:uid="{A2D52ACF-5543-416A-A5B8-5E3D3AB22A78}"/>
    <cellStyle name="Normal 3 3 2 4 4 4" xfId="37084" xr:uid="{72A65587-0CC6-441B-BECC-0A6A8FB47965}"/>
    <cellStyle name="Normal 3 3 2 4 5" xfId="10255" xr:uid="{5D06A387-2E01-4ED7-BC7C-B5FC0E166A70}"/>
    <cellStyle name="Normal 3 3 2 4 5 2" xfId="27015" xr:uid="{E6863A19-3723-4503-8C9B-243B1BAFB0F1}"/>
    <cellStyle name="Normal 3 3 2 4 5 3" xfId="43774" xr:uid="{AD73A500-43AE-4484-9F02-9375DB5122E1}"/>
    <cellStyle name="Normal 3 3 2 4 6" xfId="18635" xr:uid="{7CD5BAD0-8CFC-4EE4-BABA-0CAAADAF24C7}"/>
    <cellStyle name="Normal 3 3 2 4 7" xfId="35394" xr:uid="{2A5E8A4B-FC98-46F2-AA9A-F955CEA48957}"/>
    <cellStyle name="Normal 3 3 2 5" xfId="3985" xr:uid="{CD49CDF0-1898-4A9A-8A09-06B4E90E0B2D}"/>
    <cellStyle name="Normal 3 3 2 5 2" xfId="12365" xr:uid="{230B8CF6-2E02-4E71-BF42-A52B86E2FC79}"/>
    <cellStyle name="Normal 3 3 2 5 2 2" xfId="29125" xr:uid="{178AE78D-3E3A-4B31-9FE6-33AE39FD6B07}"/>
    <cellStyle name="Normal 3 3 2 5 2 3" xfId="45884" xr:uid="{ACA0FFC4-A4AD-425E-8696-C17F23FA0440}"/>
    <cellStyle name="Normal 3 3 2 5 3" xfId="20745" xr:uid="{46AE68B8-1332-42A1-98B0-90660E97312A}"/>
    <cellStyle name="Normal 3 3 2 5 4" xfId="37504" xr:uid="{AEE6D0AD-F716-4CDE-8E44-7E93DD18D30D}"/>
    <cellStyle name="Normal 3 3 2 6" xfId="5779" xr:uid="{A42C76F5-F450-42F5-931F-7557F2E83DDF}"/>
    <cellStyle name="Normal 3 3 2 6 2" xfId="14159" xr:uid="{19404452-5AB8-4BE5-9F23-B99EAED4D53A}"/>
    <cellStyle name="Normal 3 3 2 6 2 2" xfId="30919" xr:uid="{D9C8ACA8-2971-4C71-A9DC-BC53495F0569}"/>
    <cellStyle name="Normal 3 3 2 6 2 3" xfId="47678" xr:uid="{7A6508D1-9513-401C-A84E-AEE7EC9BEEE1}"/>
    <cellStyle name="Normal 3 3 2 6 3" xfId="22539" xr:uid="{4FD1607B-41E1-451D-9800-EA21D775620A}"/>
    <cellStyle name="Normal 3 3 2 6 4" xfId="39298" xr:uid="{82D6B878-DC52-4190-9DD1-F2DEFCC09F7F}"/>
    <cellStyle name="Normal 3 3 2 7" xfId="7348" xr:uid="{11547A3F-65C1-4C1F-BAE9-9B8B29337170}"/>
    <cellStyle name="Normal 3 3 2 7 2" xfId="15728" xr:uid="{E21FAC05-31E4-422A-B482-72475B045222}"/>
    <cellStyle name="Normal 3 3 2 7 2 2" xfId="32488" xr:uid="{1595337E-4F44-41F9-8215-441FFE502092}"/>
    <cellStyle name="Normal 3 3 2 7 2 3" xfId="49247" xr:uid="{CFDE5E39-3FEB-4E7E-B323-232AC7D98BB0}"/>
    <cellStyle name="Normal 3 3 2 7 3" xfId="24108" xr:uid="{405AD09E-6D72-4B99-BA61-B4207B8ACE1C}"/>
    <cellStyle name="Normal 3 3 2 7 4" xfId="40867" xr:uid="{B4266601-6716-444A-9958-A313C23406A9}"/>
    <cellStyle name="Normal 3 3 2 8" xfId="7754" xr:uid="{1EEC86BC-34E0-413F-8820-D7B295E0CB2C}"/>
    <cellStyle name="Normal 3 3 2 8 2" xfId="16134" xr:uid="{1DA72F86-10C7-4A39-8C54-4500D8A41ED8}"/>
    <cellStyle name="Normal 3 3 2 8 2 2" xfId="32894" xr:uid="{BA19A076-4F0C-472B-9656-011BA3BA462D}"/>
    <cellStyle name="Normal 3 3 2 8 2 3" xfId="49653" xr:uid="{6F9310B0-F028-4267-AB73-D35213E80D53}"/>
    <cellStyle name="Normal 3 3 2 8 3" xfId="24514" xr:uid="{D250B91E-D142-4A8B-9C87-21F6710E9385}"/>
    <cellStyle name="Normal 3 3 2 8 4" xfId="41273" xr:uid="{80253E2A-46C8-4019-B46C-E155C06AA95A}"/>
    <cellStyle name="Normal 3 3 2 9" xfId="8160" xr:uid="{EEFAC75D-FEAA-4785-ADF4-375C3F75AA6B}"/>
    <cellStyle name="Normal 3 3 2 9 2" xfId="16540" xr:uid="{57AD3D8F-E44F-4BB7-901F-C7FC3C22A6F6}"/>
    <cellStyle name="Normal 3 3 2 9 2 2" xfId="33300" xr:uid="{0A172EB0-0C73-4B47-AD39-268B4CDF7B94}"/>
    <cellStyle name="Normal 3 3 2 9 2 3" xfId="50059" xr:uid="{4C6EA01F-403E-4185-B0C7-2CECCC762997}"/>
    <cellStyle name="Normal 3 3 2 9 3" xfId="24920" xr:uid="{44CBAE21-243D-4EEA-A371-2497574F54CD}"/>
    <cellStyle name="Normal 3 3 2 9 4" xfId="41679" xr:uid="{1BE8B2E6-C604-405B-B927-748C1B8C7825}"/>
    <cellStyle name="Normal 3 3 20" xfId="50781" xr:uid="{5103F2E7-324E-4659-A0FC-147307371B07}"/>
    <cellStyle name="Normal 3 3 21" xfId="51276" xr:uid="{15B24656-9253-447C-8937-5769AFF7356A}"/>
    <cellStyle name="Normal 3 3 22" xfId="51769" xr:uid="{A78B65DD-5676-47F0-9404-222315D38D1B}"/>
    <cellStyle name="Normal 3 3 23" xfId="683" xr:uid="{54EF3B0C-3003-4DFD-BB18-B18A616FD424}"/>
    <cellStyle name="Normal 3 3 3" xfId="685" xr:uid="{F789DEBF-68F4-4597-8612-B460CFDC7D37}"/>
    <cellStyle name="Normal 3 3 3 10" xfId="8673" xr:uid="{EB57F8E4-7909-4DB7-8140-2D3CF8601295}"/>
    <cellStyle name="Normal 3 3 3 10 2" xfId="17053" xr:uid="{0393FD5D-31D3-4CCE-AF04-7D5CEC8126F2}"/>
    <cellStyle name="Normal 3 3 3 10 2 2" xfId="33813" xr:uid="{B0E619E9-0A5E-4A77-B52C-2E0F6B9D9E1B}"/>
    <cellStyle name="Normal 3 3 3 10 2 3" xfId="50572" xr:uid="{BDBA0A96-DD9A-442A-B9F4-7E5BB83517BD}"/>
    <cellStyle name="Normal 3 3 3 10 3" xfId="25433" xr:uid="{9D1A5FD9-29A9-43AC-B6EC-048E08B108C5}"/>
    <cellStyle name="Normal 3 3 3 10 4" xfId="42192" xr:uid="{C517A6F9-99AB-4A22-89F1-B390324D10A7}"/>
    <cellStyle name="Normal 3 3 3 11" xfId="2514" xr:uid="{6C2C83CB-6D48-4C74-AF2A-7617E51CA1F7}"/>
    <cellStyle name="Normal 3 3 3 11 2" xfId="10896" xr:uid="{68389ADD-E23C-40FD-8331-919B50227E45}"/>
    <cellStyle name="Normal 3 3 3 11 2 2" xfId="27656" xr:uid="{C5BBF196-0296-4374-967D-72CF0B7FEBD0}"/>
    <cellStyle name="Normal 3 3 3 11 2 3" xfId="44415" xr:uid="{AA20C687-3693-4F04-8764-7B3B70109610}"/>
    <cellStyle name="Normal 3 3 3 11 3" xfId="19276" xr:uid="{EDB3D5D4-0039-426B-A0D3-CB26CB4C8A9E}"/>
    <cellStyle name="Normal 3 3 3 11 4" xfId="36035" xr:uid="{F4F3BC9A-5025-48CA-A919-C15C7A12C33C}"/>
    <cellStyle name="Normal 3 3 3 12" xfId="9093" xr:uid="{87978EF1-C5E7-4A30-940C-39EB38B093EE}"/>
    <cellStyle name="Normal 3 3 3 12 2" xfId="25853" xr:uid="{57B3D900-3321-4C26-8D2F-FF7BAA0E2879}"/>
    <cellStyle name="Normal 3 3 3 12 3" xfId="42612" xr:uid="{B3125F5F-197B-47FB-9BC0-D7ACEF0D939B}"/>
    <cellStyle name="Normal 3 3 3 13" xfId="17473" xr:uid="{0DAA7237-0602-479D-94BD-661B21C8D7A6}"/>
    <cellStyle name="Normal 3 3 3 14" xfId="34232" xr:uid="{B3CD2D7D-848A-418A-9402-91C4F42B6070}"/>
    <cellStyle name="Normal 3 3 3 15" xfId="50709" xr:uid="{7C91A975-7DC0-494A-B3ED-9C014DD7E043}"/>
    <cellStyle name="Normal 3 3 3 16" xfId="50754" xr:uid="{3E9FB49A-DF6B-43AA-80F7-7DC60BA1B151}"/>
    <cellStyle name="Normal 3 3 3 17" xfId="50795" xr:uid="{6B387E58-A6BE-4855-B332-1F138ECE3EE6}"/>
    <cellStyle name="Normal 3 3 3 18" xfId="51290" xr:uid="{3B40A6F6-A72C-446F-A79A-3D0D7EBDA5C2}"/>
    <cellStyle name="Normal 3 3 3 19" xfId="51772" xr:uid="{15BC4EDF-AE14-4A5E-8DBB-9C59E76B586D}"/>
    <cellStyle name="Normal 3 3 3 2" xfId="1124" xr:uid="{38839FA4-AE8B-44D8-A4FC-F8A75F730971}"/>
    <cellStyle name="Normal 3 3 3 2 10" xfId="51813" xr:uid="{278E28AF-E6AC-4F54-B56D-4A7C978126CA}"/>
    <cellStyle name="Normal 3 3 3 2 2" xfId="4519" xr:uid="{1002AB04-E8C5-4E7E-9C33-9BAC4ADEAA92}"/>
    <cellStyle name="Normal 3 3 3 2 2 2" xfId="12899" xr:uid="{5046B4DC-45D0-4DF1-BE86-05FA0D9E2066}"/>
    <cellStyle name="Normal 3 3 3 2 2 2 2" xfId="29659" xr:uid="{B450E4C4-D0CC-43DD-BF2D-3DBEA867A8AC}"/>
    <cellStyle name="Normal 3 3 3 2 2 2 3" xfId="46418" xr:uid="{7EB6A37E-DCE0-4D17-9E50-D711C302FE73}"/>
    <cellStyle name="Normal 3 3 3 2 2 3" xfId="21279" xr:uid="{4C3D25C8-7CC3-47A5-B19F-E7E67FE113CE}"/>
    <cellStyle name="Normal 3 3 3 2 2 4" xfId="38038" xr:uid="{AA21209A-2CC4-4AA3-837E-4E542BFE606B}"/>
    <cellStyle name="Normal 3 3 3 2 3" xfId="6206" xr:uid="{E732BABD-D789-4562-82AD-2EEF71B5AE45}"/>
    <cellStyle name="Normal 3 3 3 2 3 2" xfId="14586" xr:uid="{FDA5F0AC-1460-4990-AD9E-519D299F5CE2}"/>
    <cellStyle name="Normal 3 3 3 2 3 2 2" xfId="31346" xr:uid="{A3FC37FA-24FF-402A-9063-F6F30D51B475}"/>
    <cellStyle name="Normal 3 3 3 2 3 2 3" xfId="48105" xr:uid="{5FC995EE-B25E-497B-85F5-931BB4EC6788}"/>
    <cellStyle name="Normal 3 3 3 2 3 3" xfId="22966" xr:uid="{8DA97A63-69B1-45C3-BC03-A331703A4A11}"/>
    <cellStyle name="Normal 3 3 3 2 3 4" xfId="39725" xr:uid="{D6F558C2-1771-480C-BC29-03E617228F1A}"/>
    <cellStyle name="Normal 3 3 3 2 4" xfId="2942" xr:uid="{E92AA2A4-EEE5-4143-B513-2F05B18F382A}"/>
    <cellStyle name="Normal 3 3 3 2 4 2" xfId="11322" xr:uid="{AC9034F5-7919-4473-9677-6BE96219D870}"/>
    <cellStyle name="Normal 3 3 3 2 4 2 2" xfId="28082" xr:uid="{CCFE34D1-F428-4F16-B6E0-01E33F3E79DC}"/>
    <cellStyle name="Normal 3 3 3 2 4 2 3" xfId="44841" xr:uid="{32B454A3-2BB8-4D35-9E68-A2D18EE0104A}"/>
    <cellStyle name="Normal 3 3 3 2 4 3" xfId="19702" xr:uid="{A5886DD2-A2B9-4099-B175-BEEB47EED8D6}"/>
    <cellStyle name="Normal 3 3 3 2 4 4" xfId="36461" xr:uid="{7B42B6AB-0384-4A4B-AC53-9A2786F87261}"/>
    <cellStyle name="Normal 3 3 3 2 5" xfId="9519" xr:uid="{BA3087FC-B129-4CF1-86A4-E0EDFAC69517}"/>
    <cellStyle name="Normal 3 3 3 2 5 2" xfId="26279" xr:uid="{9B2BED3B-4767-4FB5-A4AA-66B651ED8A31}"/>
    <cellStyle name="Normal 3 3 3 2 5 3" xfId="43038" xr:uid="{8E662992-C7E3-414F-9A0E-24EE0C653458}"/>
    <cellStyle name="Normal 3 3 3 2 6" xfId="17899" xr:uid="{E50C3D34-F752-4396-A0A1-7541BDE309CB}"/>
    <cellStyle name="Normal 3 3 3 2 7" xfId="34658" xr:uid="{82BDBC0C-73A7-4043-A047-DD0DE0A96E2E}"/>
    <cellStyle name="Normal 3 3 3 2 8" xfId="51051" xr:uid="{D4C7F6A2-27BA-4846-AE66-B2930DDB4A10}"/>
    <cellStyle name="Normal 3 3 3 2 9" xfId="51525" xr:uid="{84F3ECEA-9FC5-4535-9440-20A9CB5E8193}"/>
    <cellStyle name="Normal 3 3 3 3" xfId="1558" xr:uid="{EBBC28F0-EDFF-4109-A358-507C419A16D2}"/>
    <cellStyle name="Normal 3 3 3 3 2" xfId="4947" xr:uid="{2A41EDB1-3F80-42B3-ABE6-8AB0AAECE63E}"/>
    <cellStyle name="Normal 3 3 3 3 2 2" xfId="13327" xr:uid="{0E47908D-20CF-40EC-8AC7-B6B91727829A}"/>
    <cellStyle name="Normal 3 3 3 3 2 2 2" xfId="30087" xr:uid="{9029EA6E-1894-4A7D-8ED8-338874893D61}"/>
    <cellStyle name="Normal 3 3 3 3 2 2 3" xfId="46846" xr:uid="{593B52E7-874F-493E-95A7-161401889BB4}"/>
    <cellStyle name="Normal 3 3 3 3 2 3" xfId="21707" xr:uid="{47E45D60-D0C4-403F-9B15-C151BCBE500D}"/>
    <cellStyle name="Normal 3 3 3 3 2 4" xfId="38466" xr:uid="{38EF6DCE-2625-4867-80F9-D9357675416F}"/>
    <cellStyle name="Normal 3 3 3 3 3" xfId="6634" xr:uid="{EC00F21C-F811-4AEC-80E2-316695AC4120}"/>
    <cellStyle name="Normal 3 3 3 3 3 2" xfId="15014" xr:uid="{562BB9FA-87B2-48D3-B180-15AE46FE52E7}"/>
    <cellStyle name="Normal 3 3 3 3 3 2 2" xfId="31774" xr:uid="{D442FB2D-0C7F-4AF1-B500-10228AF340ED}"/>
    <cellStyle name="Normal 3 3 3 3 3 2 3" xfId="48533" xr:uid="{C527B56F-CD15-49B9-AF89-B56DC1D7AC7E}"/>
    <cellStyle name="Normal 3 3 3 3 3 3" xfId="23394" xr:uid="{235F9737-45AB-461A-B326-535E6D4E5287}"/>
    <cellStyle name="Normal 3 3 3 3 3 4" xfId="40153" xr:uid="{785761B7-39E9-4E77-BAAC-FBAA6216F06B}"/>
    <cellStyle name="Normal 3 3 3 3 4" xfId="3370" xr:uid="{5D9F67CF-36CD-4390-822A-328EEF9B579F}"/>
    <cellStyle name="Normal 3 3 3 3 4 2" xfId="11750" xr:uid="{ED0622EF-9B2D-4A44-9EBD-F3ACE6844EE2}"/>
    <cellStyle name="Normal 3 3 3 3 4 2 2" xfId="28510" xr:uid="{31FE8D34-D202-4882-ABB0-34352A165F08}"/>
    <cellStyle name="Normal 3 3 3 3 4 2 3" xfId="45269" xr:uid="{C46174E4-BB88-4D1A-AC37-770B3DA6CCEC}"/>
    <cellStyle name="Normal 3 3 3 3 4 3" xfId="20130" xr:uid="{B7410D5A-0F93-4CEA-8112-CD6A4EE79EFB}"/>
    <cellStyle name="Normal 3 3 3 3 4 4" xfId="36889" xr:uid="{D7904E35-375B-47D0-999D-458CA8DED667}"/>
    <cellStyle name="Normal 3 3 3 3 5" xfId="9947" xr:uid="{B3FD06E0-2A42-4E6A-87B9-FD78E07D8766}"/>
    <cellStyle name="Normal 3 3 3 3 5 2" xfId="26707" xr:uid="{E38A64F5-6692-4683-9BB9-1E6FCC21749C}"/>
    <cellStyle name="Normal 3 3 3 3 5 3" xfId="43466" xr:uid="{028B1D20-4237-41B5-8285-D4C8844409A5}"/>
    <cellStyle name="Normal 3 3 3 3 6" xfId="18327" xr:uid="{76C993A5-6FEB-4FB1-AA80-CCE0D0E3BDC8}"/>
    <cellStyle name="Normal 3 3 3 3 7" xfId="35086" xr:uid="{FE7A5C48-D70F-4395-A882-1D1FE3E377CE}"/>
    <cellStyle name="Normal 3 3 3 4" xfId="1973" xr:uid="{7626A068-67CD-4CFD-983D-A3F914039013}"/>
    <cellStyle name="Normal 3 3 3 4 2" xfId="5362" xr:uid="{C297DB4E-1D49-4187-9260-7B2B4363FCD8}"/>
    <cellStyle name="Normal 3 3 3 4 2 2" xfId="13742" xr:uid="{9431618B-E2A7-4CB0-BB8C-69324E21B888}"/>
    <cellStyle name="Normal 3 3 3 4 2 2 2" xfId="30502" xr:uid="{E2908F65-FB78-450D-A621-8F3AE4CD09BB}"/>
    <cellStyle name="Normal 3 3 3 4 2 2 3" xfId="47261" xr:uid="{F3711AFE-773A-464B-89F9-E27D8B482730}"/>
    <cellStyle name="Normal 3 3 3 4 2 3" xfId="22122" xr:uid="{B43C613B-0673-4E1C-B677-30A7701F9E28}"/>
    <cellStyle name="Normal 3 3 3 4 2 4" xfId="38881" xr:uid="{4E6C7E3B-3695-4940-BCAF-15B2D6899340}"/>
    <cellStyle name="Normal 3 3 3 4 3" xfId="7049" xr:uid="{0F3EB608-D777-4413-9C43-28EF21A09F03}"/>
    <cellStyle name="Normal 3 3 3 4 3 2" xfId="15429" xr:uid="{C72F2F3C-D123-44B3-A474-DC6D5985E303}"/>
    <cellStyle name="Normal 3 3 3 4 3 2 2" xfId="32189" xr:uid="{44093F75-D907-467A-A399-C11DE43F5E69}"/>
    <cellStyle name="Normal 3 3 3 4 3 2 3" xfId="48948" xr:uid="{E45F5518-B23D-4C0C-B91C-D5B1CC437ECE}"/>
    <cellStyle name="Normal 3 3 3 4 3 3" xfId="23809" xr:uid="{FA39E126-5A9C-4C23-AC08-BBCB572949B2}"/>
    <cellStyle name="Normal 3 3 3 4 3 4" xfId="40568" xr:uid="{119D5F8F-AB5A-4C7A-8FE4-D1A31AD9CB32}"/>
    <cellStyle name="Normal 3 3 3 4 4" xfId="3672" xr:uid="{98DFD162-B41C-4FBE-B8CF-575894909196}"/>
    <cellStyle name="Normal 3 3 3 4 4 2" xfId="12052" xr:uid="{B98AE990-193E-4BAD-8ED9-32B7B9E714B3}"/>
    <cellStyle name="Normal 3 3 3 4 4 2 2" xfId="28812" xr:uid="{D53D54CD-89C1-424A-835E-06FB7CBF95BC}"/>
    <cellStyle name="Normal 3 3 3 4 4 2 3" xfId="45571" xr:uid="{9DD8E295-654F-4118-B289-F659E272FD34}"/>
    <cellStyle name="Normal 3 3 3 4 4 3" xfId="20432" xr:uid="{45B0D469-EC37-44C7-8B62-98A6616FE3FF}"/>
    <cellStyle name="Normal 3 3 3 4 4 4" xfId="37191" xr:uid="{7B76D6E6-5B74-469D-9684-3AC4D3A08B25}"/>
    <cellStyle name="Normal 3 3 3 4 5" xfId="10362" xr:uid="{09DCF54A-E1AE-42F2-84D1-22F4F5BBA772}"/>
    <cellStyle name="Normal 3 3 3 4 5 2" xfId="27122" xr:uid="{B9D0BC18-AD15-4648-8F1C-3CBF76B82BF5}"/>
    <cellStyle name="Normal 3 3 3 4 5 3" xfId="43881" xr:uid="{225CADA8-503D-48CF-862C-0734E8661C48}"/>
    <cellStyle name="Normal 3 3 3 4 6" xfId="18742" xr:uid="{1008CDC8-BC9E-4B83-BF5E-CC7919882BCD}"/>
    <cellStyle name="Normal 3 3 3 4 7" xfId="35501" xr:uid="{5590A813-BC9E-4090-84F9-EDF6A26A9078}"/>
    <cellStyle name="Normal 3 3 3 5" xfId="4092" xr:uid="{C0BB489D-B3C7-413B-929F-C04C1572857A}"/>
    <cellStyle name="Normal 3 3 3 5 2" xfId="12472" xr:uid="{FA25BDD9-9622-441C-8161-2D4A12E3433C}"/>
    <cellStyle name="Normal 3 3 3 5 2 2" xfId="29232" xr:uid="{9FA78F0E-2133-4D62-A9AB-2CB5FEFDEFDE}"/>
    <cellStyle name="Normal 3 3 3 5 2 3" xfId="45991" xr:uid="{65D68706-3AF3-483E-8792-C42888816978}"/>
    <cellStyle name="Normal 3 3 3 5 3" xfId="20852" xr:uid="{5C2551AB-17B5-43E4-916F-CA7BC7718250}"/>
    <cellStyle name="Normal 3 3 3 5 4" xfId="37611" xr:uid="{880FE096-928E-4151-87DD-B73191BD7C18}"/>
    <cellStyle name="Normal 3 3 3 6" xfId="5780" xr:uid="{CA1C5584-7137-44A6-BBCD-CB79AD7FC2A0}"/>
    <cellStyle name="Normal 3 3 3 6 2" xfId="14160" xr:uid="{688DD60B-2427-49A1-8A35-5083C60D273C}"/>
    <cellStyle name="Normal 3 3 3 6 2 2" xfId="30920" xr:uid="{B922769A-FC10-4DE5-90CE-5E16DF8F1724}"/>
    <cellStyle name="Normal 3 3 3 6 2 3" xfId="47679" xr:uid="{2DB31B15-D628-4AA3-866A-43AFFF5CCB3E}"/>
    <cellStyle name="Normal 3 3 3 6 3" xfId="22540" xr:uid="{BF3D2EA8-E912-44B6-8F7C-076756CD33B4}"/>
    <cellStyle name="Normal 3 3 3 6 4" xfId="39299" xr:uid="{9A660349-79AA-4841-9B04-0093FC87CE1A}"/>
    <cellStyle name="Normal 3 3 3 7" xfId="7455" xr:uid="{39D1D7DD-5D36-4D94-B8B5-F2608BA0386C}"/>
    <cellStyle name="Normal 3 3 3 7 2" xfId="15835" xr:uid="{2FCEB66F-A179-4ABD-8041-0F592120CB97}"/>
    <cellStyle name="Normal 3 3 3 7 2 2" xfId="32595" xr:uid="{5164E193-8AA7-4D71-A2FE-37FE98BCC83C}"/>
    <cellStyle name="Normal 3 3 3 7 2 3" xfId="49354" xr:uid="{BAEE2500-0318-4DDF-9C2D-09D5EFADF9EF}"/>
    <cellStyle name="Normal 3 3 3 7 3" xfId="24215" xr:uid="{890EF7CC-E10C-425F-BFE2-9259DC76AC1D}"/>
    <cellStyle name="Normal 3 3 3 7 4" xfId="40974" xr:uid="{E9664216-1B49-4544-B051-88C852333BE1}"/>
    <cellStyle name="Normal 3 3 3 8" xfId="7861" xr:uid="{6D558F78-56B2-4FC5-8434-FEBE8A5CF851}"/>
    <cellStyle name="Normal 3 3 3 8 2" xfId="16241" xr:uid="{F574E362-D775-4499-9116-EEC48828D8DD}"/>
    <cellStyle name="Normal 3 3 3 8 2 2" xfId="33001" xr:uid="{7D41B07C-FBE1-456F-9C6C-92D32E4BFBBE}"/>
    <cellStyle name="Normal 3 3 3 8 2 3" xfId="49760" xr:uid="{2E1C876F-9E9D-44D0-A71C-DD3FD1F45237}"/>
    <cellStyle name="Normal 3 3 3 8 3" xfId="24621" xr:uid="{CE91912D-D3FC-40C4-BBAA-7E84AD75095C}"/>
    <cellStyle name="Normal 3 3 3 8 4" xfId="41380" xr:uid="{FF116B01-EDEF-4C19-B716-C75651BFF7B5}"/>
    <cellStyle name="Normal 3 3 3 9" xfId="8267" xr:uid="{75783AE6-816D-4132-9FC9-B56A9CFFFBA6}"/>
    <cellStyle name="Normal 3 3 3 9 2" xfId="16647" xr:uid="{69808B6C-1451-493F-A61D-5E24FF01ABD9}"/>
    <cellStyle name="Normal 3 3 3 9 2 2" xfId="33407" xr:uid="{0694699F-98DE-44BE-AF77-413FB6A7FCC3}"/>
    <cellStyle name="Normal 3 3 3 9 2 3" xfId="50166" xr:uid="{A09F9A38-453A-49C2-88B0-70FABA74E811}"/>
    <cellStyle name="Normal 3 3 3 9 3" xfId="25027" xr:uid="{05F59C24-A735-419A-9A56-EBCA6CB6BA71}"/>
    <cellStyle name="Normal 3 3 3 9 4" xfId="41786" xr:uid="{BA083E4D-5D53-4471-ACEC-309BB025BFDA}"/>
    <cellStyle name="Normal 3 3 4" xfId="1122" xr:uid="{435F70CE-FCAC-4ABD-AE49-FFB7F7301F5C}"/>
    <cellStyle name="Normal 3 3 4 10" xfId="50807" xr:uid="{73CB0E32-CF55-4168-9896-BDF68347EBCF}"/>
    <cellStyle name="Normal 3 3 4 11" xfId="51302" xr:uid="{E7A4975E-8D9C-40B1-87AD-E59A439FC756}"/>
    <cellStyle name="Normal 3 3 4 12" xfId="51773" xr:uid="{B8FF2A04-398A-47A2-8800-8F53DA75B84E}"/>
    <cellStyle name="Normal 3 3 4 2" xfId="4517" xr:uid="{5E2EF3E5-5ACC-4FEC-AA83-8022C23347E3}"/>
    <cellStyle name="Normal 3 3 4 2 2" xfId="12897" xr:uid="{6589EB03-41FF-451B-94C0-E6B981CBD40B}"/>
    <cellStyle name="Normal 3 3 4 2 2 2" xfId="29657" xr:uid="{496BBFDB-87B5-4181-AC5A-1BB1F344EBFF}"/>
    <cellStyle name="Normal 3 3 4 2 2 3" xfId="46416" xr:uid="{A1D95BE7-39B7-4569-AD33-2CA69BC0E147}"/>
    <cellStyle name="Normal 3 3 4 2 3" xfId="21277" xr:uid="{9C02D4D9-14F5-4EB6-9E66-B9F88E94BC76}"/>
    <cellStyle name="Normal 3 3 4 2 4" xfId="38036" xr:uid="{1920BE11-7627-406E-A977-CDD1ED087A1A}"/>
    <cellStyle name="Normal 3 3 4 2 5" xfId="51063" xr:uid="{D24234FD-B46D-4321-A6E6-D5AB45993290}"/>
    <cellStyle name="Normal 3 3 4 2 6" xfId="51537" xr:uid="{FBFA963B-7029-4D6C-B33E-5B64D95888D5}"/>
    <cellStyle name="Normal 3 3 4 2 7" xfId="51825" xr:uid="{92CDAA9B-4FC1-4335-999C-2E5376C6228A}"/>
    <cellStyle name="Normal 3 3 4 3" xfId="6204" xr:uid="{1B1BDEF9-9076-4D86-9B75-E0F36C6662A6}"/>
    <cellStyle name="Normal 3 3 4 3 2" xfId="14584" xr:uid="{61CFC0B5-0DEB-4291-AE05-461627BFDC1E}"/>
    <cellStyle name="Normal 3 3 4 3 2 2" xfId="31344" xr:uid="{1A7CA2F8-BABF-4099-A2D4-BEE0E07324F2}"/>
    <cellStyle name="Normal 3 3 4 3 2 3" xfId="48103" xr:uid="{0DD3D6B1-ABBB-4695-97EB-DCE52D73C753}"/>
    <cellStyle name="Normal 3 3 4 3 3" xfId="22964" xr:uid="{9AFCC64B-4CB5-4603-9361-235B4B083ED4}"/>
    <cellStyle name="Normal 3 3 4 3 4" xfId="39723" xr:uid="{1A8E5752-2570-4196-977F-36604613C0AE}"/>
    <cellStyle name="Normal 3 3 4 4" xfId="2940" xr:uid="{3E74079B-FCB8-46E2-81BA-259BEEC53614}"/>
    <cellStyle name="Normal 3 3 4 4 2" xfId="11320" xr:uid="{0F6CC113-64C7-4CF4-97E5-B3B218B02FC1}"/>
    <cellStyle name="Normal 3 3 4 4 2 2" xfId="28080" xr:uid="{D325951B-755A-4480-87A4-E3B7DE2B6706}"/>
    <cellStyle name="Normal 3 3 4 4 2 3" xfId="44839" xr:uid="{3B3FDF09-733F-42B8-B579-CE367497234D}"/>
    <cellStyle name="Normal 3 3 4 4 3" xfId="19700" xr:uid="{10E031D2-ECA1-4689-A18A-FFA3ADF86C52}"/>
    <cellStyle name="Normal 3 3 4 4 4" xfId="36459" xr:uid="{F0F2D354-6141-4B2D-8F26-1A15301ED558}"/>
    <cellStyle name="Normal 3 3 4 5" xfId="9517" xr:uid="{7FF80673-CD1A-4715-9EF2-07391FCFAC72}"/>
    <cellStyle name="Normal 3 3 4 5 2" xfId="26277" xr:uid="{9B80DA5E-4BBE-4074-A6CB-F70F54C41DEC}"/>
    <cellStyle name="Normal 3 3 4 5 3" xfId="43036" xr:uid="{4C7B42AB-E64C-4C2A-B6B9-CA459F527065}"/>
    <cellStyle name="Normal 3 3 4 6" xfId="17897" xr:uid="{B5703A82-3B50-454C-ACFC-0556C0C6B780}"/>
    <cellStyle name="Normal 3 3 4 7" xfId="34656" xr:uid="{1DAA448D-E42B-4512-868B-74CE3910CD81}"/>
    <cellStyle name="Normal 3 3 4 8" xfId="50710" xr:uid="{FDB8F762-E4E0-407E-AE06-97291718E7AA}"/>
    <cellStyle name="Normal 3 3 4 9" xfId="50755" xr:uid="{576D6E9E-D8E6-4145-A27D-878262AF42CB}"/>
    <cellStyle name="Normal 3 3 5" xfId="1556" xr:uid="{748677FD-D398-4FBD-9F56-4B06EDF5FC13}"/>
    <cellStyle name="Normal 3 3 5 2" xfId="4945" xr:uid="{509C1F69-FA83-4188-9199-FA0B6EEE46A1}"/>
    <cellStyle name="Normal 3 3 5 2 2" xfId="13325" xr:uid="{3D6A550A-5707-40ED-8F9A-7F99EE0ABDD2}"/>
    <cellStyle name="Normal 3 3 5 2 2 2" xfId="30085" xr:uid="{1622CEE2-9C6E-4B8D-B3D4-BA0AB414C6E5}"/>
    <cellStyle name="Normal 3 3 5 2 2 3" xfId="46844" xr:uid="{A1446638-D56E-4037-948A-FD410E316D92}"/>
    <cellStyle name="Normal 3 3 5 2 3" xfId="21705" xr:uid="{FA584D91-6B7D-4F89-BED3-72F76E9B99D2}"/>
    <cellStyle name="Normal 3 3 5 2 4" xfId="38464" xr:uid="{9F44537E-3C56-4C19-BE5D-17D82E577654}"/>
    <cellStyle name="Normal 3 3 5 3" xfId="6632" xr:uid="{97DB61E8-4C84-44B4-B48A-1DC39B24F7C4}"/>
    <cellStyle name="Normal 3 3 5 3 2" xfId="15012" xr:uid="{B7872E0C-5E4D-4674-9503-994640CFA9A3}"/>
    <cellStyle name="Normal 3 3 5 3 2 2" xfId="31772" xr:uid="{EB8A75C6-A8F9-45AF-98AC-9EFB7EF4F75E}"/>
    <cellStyle name="Normal 3 3 5 3 2 3" xfId="48531" xr:uid="{1F4B2A56-528A-4488-8BE3-0A78977183A6}"/>
    <cellStyle name="Normal 3 3 5 3 3" xfId="23392" xr:uid="{122E1EB2-7E2F-4B0D-B3FA-258719F248D6}"/>
    <cellStyle name="Normal 3 3 5 3 4" xfId="40151" xr:uid="{52CE5B0F-9178-46DF-8981-1442864240F6}"/>
    <cellStyle name="Normal 3 3 5 4" xfId="3368" xr:uid="{9927464F-8F29-4F54-AA13-E59D8CF0BAFF}"/>
    <cellStyle name="Normal 3 3 5 4 2" xfId="11748" xr:uid="{053EA16A-020B-4CA0-8AAC-32BDF2D21CD5}"/>
    <cellStyle name="Normal 3 3 5 4 2 2" xfId="28508" xr:uid="{AE4ACA8F-F1C3-4AE5-BD4E-FC2B58159948}"/>
    <cellStyle name="Normal 3 3 5 4 2 3" xfId="45267" xr:uid="{697A8F63-30A5-4D06-84B3-F8C606B732F5}"/>
    <cellStyle name="Normal 3 3 5 4 3" xfId="20128" xr:uid="{1B695166-C0D5-4AEC-865E-A92B83734996}"/>
    <cellStyle name="Normal 3 3 5 4 4" xfId="36887" xr:uid="{6B2DF726-5EA6-4128-97A8-D874A2B9F182}"/>
    <cellStyle name="Normal 3 3 5 5" xfId="9945" xr:uid="{CB822D8A-8723-4DC2-B9C9-46F2A9E004EF}"/>
    <cellStyle name="Normal 3 3 5 5 2" xfId="26705" xr:uid="{2EE3820B-27E0-4228-BA63-21C7D5EAD517}"/>
    <cellStyle name="Normal 3 3 5 5 3" xfId="43464" xr:uid="{22B8B4F0-3F70-4900-BA9E-DE6447A9ED99}"/>
    <cellStyle name="Normal 3 3 5 6" xfId="18325" xr:uid="{DEC66F12-01A5-47F6-8844-D3B9B602AA75}"/>
    <cellStyle name="Normal 3 3 5 7" xfId="35084" xr:uid="{074C1A5F-CD74-425B-A922-1909D11B1FD8}"/>
    <cellStyle name="Normal 3 3 5 8" xfId="50924" xr:uid="{6E2322F4-C37F-4CDC-9100-03B849D9EA97}"/>
    <cellStyle name="Normal 3 3 6" xfId="1702" xr:uid="{4A0ED27B-5349-4C65-AAF1-C41512E9FC74}"/>
    <cellStyle name="Normal 3 3 6 10" xfId="51799" xr:uid="{44B13C9B-892F-4355-B493-F36A391B745E}"/>
    <cellStyle name="Normal 3 3 6 2" xfId="5091" xr:uid="{32166E96-2698-4F0E-ADB5-27DB79B5CDC6}"/>
    <cellStyle name="Normal 3 3 6 2 2" xfId="13471" xr:uid="{CAB08829-B713-4FFA-84DC-0F6083B82E23}"/>
    <cellStyle name="Normal 3 3 6 2 2 2" xfId="30231" xr:uid="{620AAC5C-82BE-4CDB-8DEC-F4749A6A089A}"/>
    <cellStyle name="Normal 3 3 6 2 2 3" xfId="46990" xr:uid="{1BE6292F-3150-4967-970E-5A703B9A7CE1}"/>
    <cellStyle name="Normal 3 3 6 2 3" xfId="21851" xr:uid="{4034F270-F72E-4133-933B-ED0D1ADF3CAB}"/>
    <cellStyle name="Normal 3 3 6 2 4" xfId="38610" xr:uid="{94F2AE53-FA2E-44B0-81F4-88B7865471BF}"/>
    <cellStyle name="Normal 3 3 6 3" xfId="6778" xr:uid="{B79DF30F-B80D-45AB-A787-53BCEC2D34C4}"/>
    <cellStyle name="Normal 3 3 6 3 2" xfId="15158" xr:uid="{C507EDC0-08DE-4AF8-BD73-9B5465A3A6FA}"/>
    <cellStyle name="Normal 3 3 6 3 2 2" xfId="31918" xr:uid="{8FF4285C-617A-47C5-B67A-D7924CD715CC}"/>
    <cellStyle name="Normal 3 3 6 3 2 3" xfId="48677" xr:uid="{01C5EC38-DF6C-4549-AB2D-8021C4BD7436}"/>
    <cellStyle name="Normal 3 3 6 3 3" xfId="23538" xr:uid="{A5446D6A-6421-40F4-A5A9-B5BEC125E6C4}"/>
    <cellStyle name="Normal 3 3 6 3 4" xfId="40297" xr:uid="{537BBA32-26CB-4E48-96BD-FAA9004B871F}"/>
    <cellStyle name="Normal 3 3 6 4" xfId="2512" xr:uid="{CCE0A2DE-04B8-4FEC-B000-F1DDBB50E936}"/>
    <cellStyle name="Normal 3 3 6 4 2" xfId="10894" xr:uid="{7C70D9F1-302D-4FAF-900C-DA596E48EAF6}"/>
    <cellStyle name="Normal 3 3 6 4 2 2" xfId="27654" xr:uid="{32A96502-DD9B-4336-B269-5692AE35BB1D}"/>
    <cellStyle name="Normal 3 3 6 4 2 3" xfId="44413" xr:uid="{E01422D9-91A1-41AB-9F44-BC1861E62156}"/>
    <cellStyle name="Normal 3 3 6 4 3" xfId="19274" xr:uid="{989AD8ED-38F9-43F8-9D22-02B68C942941}"/>
    <cellStyle name="Normal 3 3 6 4 4" xfId="36033" xr:uid="{F3FB461C-0022-4FAF-BE28-8F45F2A8FD5D}"/>
    <cellStyle name="Normal 3 3 6 5" xfId="10091" xr:uid="{87126A09-822C-497E-B8A1-A562904C3A88}"/>
    <cellStyle name="Normal 3 3 6 5 2" xfId="26851" xr:uid="{EBE43606-4848-4E95-B57B-18065CB51FED}"/>
    <cellStyle name="Normal 3 3 6 5 3" xfId="43610" xr:uid="{1210A0E3-11EA-45B0-8E25-BC61AEB1F1EE}"/>
    <cellStyle name="Normal 3 3 6 6" xfId="18471" xr:uid="{1DE5D27E-CD1E-4676-84A8-F55738589D63}"/>
    <cellStyle name="Normal 3 3 6 7" xfId="35230" xr:uid="{8749FD07-FE23-4199-B0CC-7CAEE958A92F}"/>
    <cellStyle name="Normal 3 3 6 8" xfId="51037" xr:uid="{74935C3A-EA85-4841-8D45-72BF4DA28291}"/>
    <cellStyle name="Normal 3 3 6 9" xfId="51511" xr:uid="{937601A0-2EE0-4181-A849-A474D9913C5B}"/>
    <cellStyle name="Normal 3 3 7" xfId="3820" xr:uid="{4DC9D5F1-7DEE-4E1E-B78C-4A53473AFF5D}"/>
    <cellStyle name="Normal 3 3 7 2" xfId="12200" xr:uid="{7B33FFAF-9A08-4993-8B0B-BBF762654425}"/>
    <cellStyle name="Normal 3 3 7 2 2" xfId="28960" xr:uid="{F9BDBD44-7889-4AEE-96BB-9DEE6ACECD26}"/>
    <cellStyle name="Normal 3 3 7 2 3" xfId="45719" xr:uid="{11AE088B-E94F-44F9-B1D5-CE1604B3B762}"/>
    <cellStyle name="Normal 3 3 7 3" xfId="20580" xr:uid="{20A33410-54C1-4D98-ABFA-50545CFBAB30}"/>
    <cellStyle name="Normal 3 3 7 4" xfId="37339" xr:uid="{E05A8C96-D15F-4D8D-97E4-4CF9F948EC49}"/>
    <cellStyle name="Normal 3 3 8" xfId="5778" xr:uid="{41E23E80-2AB1-4009-84E2-F65FC6C66A0C}"/>
    <cellStyle name="Normal 3 3 8 2" xfId="14158" xr:uid="{9CBFD08B-B1E7-42EF-B45A-061E34CF99D3}"/>
    <cellStyle name="Normal 3 3 8 2 2" xfId="30918" xr:uid="{DB24CA27-A6AA-4491-B49B-3C1E64B04EBE}"/>
    <cellStyle name="Normal 3 3 8 2 3" xfId="47677" xr:uid="{C207D6E1-3846-4543-9FA1-DD31C3417BAC}"/>
    <cellStyle name="Normal 3 3 8 3" xfId="22538" xr:uid="{7075B78E-830C-4287-BA1A-3F3D716ED4A2}"/>
    <cellStyle name="Normal 3 3 8 4" xfId="39297" xr:uid="{05C665C7-30D1-4F45-A2A4-0D1B2E1827C5}"/>
    <cellStyle name="Normal 3 3 9" xfId="7184" xr:uid="{4D2F786F-D652-499F-A642-CA703ACD393C}"/>
    <cellStyle name="Normal 3 3 9 2" xfId="15564" xr:uid="{BFFE32AD-D689-44DF-BBED-EC6A6A3FD078}"/>
    <cellStyle name="Normal 3 3 9 2 2" xfId="32324" xr:uid="{F0FB271A-4B1D-442C-9846-E310692E9CFB}"/>
    <cellStyle name="Normal 3 3 9 2 3" xfId="49083" xr:uid="{9E3F0E8D-65F7-4E17-9CAB-516DB972C329}"/>
    <cellStyle name="Normal 3 3 9 3" xfId="23944" xr:uid="{D51F201C-CC36-407F-A972-F68EB056D300}"/>
    <cellStyle name="Normal 3 3 9 4" xfId="40703" xr:uid="{197769CD-F4A8-4DED-BE35-2916B5230B5C}"/>
    <cellStyle name="Normal 3 4" xfId="90" xr:uid="{C6A8F735-0C62-4B47-8696-3BCA60B1DEFC}"/>
    <cellStyle name="Normal 3 4 10" xfId="7615" xr:uid="{75163938-DEF9-4484-8B37-4181E548AF4A}"/>
    <cellStyle name="Normal 3 4 10 2" xfId="15995" xr:uid="{B8BB4920-B3C1-499A-B2C7-6AC3C84A385D}"/>
    <cellStyle name="Normal 3 4 10 2 2" xfId="32755" xr:uid="{57B3CF3F-965E-450B-8656-DAE78944BDEF}"/>
    <cellStyle name="Normal 3 4 10 2 3" xfId="49514" xr:uid="{81EE1922-452F-49D8-B9A7-3143CB045387}"/>
    <cellStyle name="Normal 3 4 10 3" xfId="24375" xr:uid="{2F239766-322B-4119-BB61-2A96B486542C}"/>
    <cellStyle name="Normal 3 4 10 4" xfId="41134" xr:uid="{C6A35880-AF32-4402-AE73-9D67D235FCCF}"/>
    <cellStyle name="Normal 3 4 11" xfId="8021" xr:uid="{5963DCFF-5963-41E8-A9BF-FC49E524AF0C}"/>
    <cellStyle name="Normal 3 4 11 2" xfId="16401" xr:uid="{E76692B4-62BD-4401-B5E3-F9F29A1DB0AD}"/>
    <cellStyle name="Normal 3 4 11 2 2" xfId="33161" xr:uid="{FEC3DB08-6CE1-4729-BF28-CD7D753874D2}"/>
    <cellStyle name="Normal 3 4 11 2 3" xfId="49920" xr:uid="{BF11426F-9D04-4DC8-87EF-4FF2ED3F28D0}"/>
    <cellStyle name="Normal 3 4 11 3" xfId="24781" xr:uid="{C603A5C9-05E9-4DB8-8F78-426CFCC5BE8A}"/>
    <cellStyle name="Normal 3 4 11 4" xfId="41540" xr:uid="{FE78D3E2-8053-4267-AE7C-2F629B7B9BF8}"/>
    <cellStyle name="Normal 3 4 12" xfId="8427" xr:uid="{8C10D713-FCF2-47A9-93BE-5F7EE2D925BD}"/>
    <cellStyle name="Normal 3 4 12 2" xfId="16807" xr:uid="{E02E6E3A-D48E-4D60-8C14-46218362DB6F}"/>
    <cellStyle name="Normal 3 4 12 2 2" xfId="33567" xr:uid="{7220AAB7-08A5-428B-9BE5-8383B156C809}"/>
    <cellStyle name="Normal 3 4 12 2 3" xfId="50326" xr:uid="{D861F0AB-80BE-42DE-8806-573C4EC48F50}"/>
    <cellStyle name="Normal 3 4 12 3" xfId="25187" xr:uid="{D2618907-8533-4327-9D48-2B4E396C0EE7}"/>
    <cellStyle name="Normal 3 4 12 4" xfId="41946" xr:uid="{3DFA8885-F702-4CDB-95CE-080FA1C83A9C}"/>
    <cellStyle name="Normal 3 4 13" xfId="2515" xr:uid="{FA4DB898-335C-43A2-AEB1-798BFABBBDDD}"/>
    <cellStyle name="Normal 3 4 13 2" xfId="10897" xr:uid="{238DE5A4-6EF1-4C33-93BC-FE0687662BFC}"/>
    <cellStyle name="Normal 3 4 13 2 2" xfId="27657" xr:uid="{7FC456B1-CB2F-4E01-ABCB-314A93ED138D}"/>
    <cellStyle name="Normal 3 4 13 2 3" xfId="44416" xr:uid="{0640B838-1582-4A21-8DC9-195D87F0DD4C}"/>
    <cellStyle name="Normal 3 4 13 3" xfId="19277" xr:uid="{5E75DFE3-CF0D-4139-9242-C726FE470883}"/>
    <cellStyle name="Normal 3 4 13 4" xfId="36036" xr:uid="{88BECEF5-D768-4A69-91C9-A91DB2B96769}"/>
    <cellStyle name="Normal 3 4 14" xfId="9094" xr:uid="{0B9D6570-EE07-415E-9069-F9FFF71A32D7}"/>
    <cellStyle name="Normal 3 4 14 2" xfId="25854" xr:uid="{7BECB6D0-006E-47C0-B513-EAC70A867C36}"/>
    <cellStyle name="Normal 3 4 14 3" xfId="42613" xr:uid="{A1FD2600-9FD8-4800-8204-6AC4ED2D8BA9}"/>
    <cellStyle name="Normal 3 4 15" xfId="17474" xr:uid="{83820502-E057-438B-99EF-D4EAB3422F6A}"/>
    <cellStyle name="Normal 3 4 16" xfId="34233" xr:uid="{4BA98A99-D1B7-4984-AE55-2E3B6D243B01}"/>
    <cellStyle name="Normal 3 4 17" xfId="50664" xr:uid="{8AAF6CE5-8F26-44A7-B090-2F994FC96F12}"/>
    <cellStyle name="Normal 3 4 18" xfId="50711" xr:uid="{77F3CA40-0639-4EFA-8615-132375DC8C82}"/>
    <cellStyle name="Normal 3 4 19" xfId="50756" xr:uid="{544BE2E1-D45A-4439-8247-133A6CCB64BE}"/>
    <cellStyle name="Normal 3 4 2" xfId="687" xr:uid="{25B07262-6D15-41F6-8BA4-4246B7AAFE14}"/>
    <cellStyle name="Normal 3 4 2 10" xfId="8567" xr:uid="{208B3659-02E2-49ED-A647-1A0E1364D66D}"/>
    <cellStyle name="Normal 3 4 2 10 2" xfId="16947" xr:uid="{BA1BB91E-1699-4D05-8BA2-D1C32D318997}"/>
    <cellStyle name="Normal 3 4 2 10 2 2" xfId="33707" xr:uid="{AD62CACD-7B61-4C50-B2AF-F09E6F7D74F2}"/>
    <cellStyle name="Normal 3 4 2 10 2 3" xfId="50466" xr:uid="{BFBE225C-688F-4265-AD93-D14072985A7B}"/>
    <cellStyle name="Normal 3 4 2 10 3" xfId="25327" xr:uid="{7A6D5EAD-3E9B-4BC8-BA36-C93366A0C17C}"/>
    <cellStyle name="Normal 3 4 2 10 4" xfId="42086" xr:uid="{DAA0471C-4258-4CD5-A9B6-6E77DB02237D}"/>
    <cellStyle name="Normal 3 4 2 11" xfId="2516" xr:uid="{CDF93D05-421D-43D9-B731-CDC5E7E71CF9}"/>
    <cellStyle name="Normal 3 4 2 11 2" xfId="10898" xr:uid="{03476D4C-9F1E-413D-BEF3-85ACFCFCD5CB}"/>
    <cellStyle name="Normal 3 4 2 11 2 2" xfId="27658" xr:uid="{EDC9B8F8-E997-4A0E-92DD-566E93672543}"/>
    <cellStyle name="Normal 3 4 2 11 2 3" xfId="44417" xr:uid="{43DFDC0E-0953-4FBC-B2A4-C68088F40E54}"/>
    <cellStyle name="Normal 3 4 2 11 3" xfId="19278" xr:uid="{EBD59B8C-F3A4-4887-8EAE-EB19892F5B42}"/>
    <cellStyle name="Normal 3 4 2 11 4" xfId="36037" xr:uid="{B39F192D-0FB1-4756-B9E3-78A4B76DC4F7}"/>
    <cellStyle name="Normal 3 4 2 12" xfId="9095" xr:uid="{EF448FB9-A531-4E0F-B7BD-257C393E90E4}"/>
    <cellStyle name="Normal 3 4 2 12 2" xfId="25855" xr:uid="{D972A5FA-CA05-49EF-9586-4BB4720207B1}"/>
    <cellStyle name="Normal 3 4 2 12 3" xfId="42614" xr:uid="{03B642E1-7528-4219-AF9B-6B4EE435574A}"/>
    <cellStyle name="Normal 3 4 2 13" xfId="17475" xr:uid="{7FDF105C-C1A7-44A6-8058-94EE6F563398}"/>
    <cellStyle name="Normal 3 4 2 14" xfId="34234" xr:uid="{F191BB33-2BB0-4A6E-AA9B-0AA354072BFF}"/>
    <cellStyle name="Normal 3 4 2 15" xfId="50712" xr:uid="{0FC65217-D9EE-475A-8276-CB3BB735FEC2}"/>
    <cellStyle name="Normal 3 4 2 16" xfId="50757" xr:uid="{5875E7E8-36EF-413F-BE71-4AE4C8B6BE6D}"/>
    <cellStyle name="Normal 3 4 2 17" xfId="50797" xr:uid="{536C4B53-40FD-4D6F-ACE3-B36B2CCD5BB2}"/>
    <cellStyle name="Normal 3 4 2 18" xfId="51292" xr:uid="{35531682-3FDE-4FC5-B90F-FA2FFD31541D}"/>
    <cellStyle name="Normal 3 4 2 19" xfId="51775" xr:uid="{16B6ABCE-0AAF-4883-847C-7B1AAD5EC027}"/>
    <cellStyle name="Normal 3 4 2 2" xfId="1126" xr:uid="{9CE59137-6597-4111-9D0E-4050BA27B923}"/>
    <cellStyle name="Normal 3 4 2 2 10" xfId="51815" xr:uid="{4AEF539D-E9B4-479B-AD05-2396AE45FED4}"/>
    <cellStyle name="Normal 3 4 2 2 2" xfId="4521" xr:uid="{8E6A016D-C043-405C-8979-33B2348FA0E8}"/>
    <cellStyle name="Normal 3 4 2 2 2 2" xfId="12901" xr:uid="{39D714AE-530F-4D82-A95D-8EDC47805D5F}"/>
    <cellStyle name="Normal 3 4 2 2 2 2 2" xfId="29661" xr:uid="{873D269B-38E5-45B9-9783-21A440E1245D}"/>
    <cellStyle name="Normal 3 4 2 2 2 2 3" xfId="46420" xr:uid="{A83024FA-D3F9-4E68-B142-F44B467A93C6}"/>
    <cellStyle name="Normal 3 4 2 2 2 3" xfId="21281" xr:uid="{A7E7890F-FC0C-4D13-B8DD-4E19ECFF58A3}"/>
    <cellStyle name="Normal 3 4 2 2 2 4" xfId="38040" xr:uid="{59912559-AE76-4A5A-9F4C-63215A3A88D0}"/>
    <cellStyle name="Normal 3 4 2 2 3" xfId="6208" xr:uid="{719F8D22-588F-44BF-8876-F46EB4C9ED32}"/>
    <cellStyle name="Normal 3 4 2 2 3 2" xfId="14588" xr:uid="{6421A236-59CF-4951-99A6-3FB7CBD440A5}"/>
    <cellStyle name="Normal 3 4 2 2 3 2 2" xfId="31348" xr:uid="{4DED3ADD-DE88-4FCF-B8DF-931D36251FB1}"/>
    <cellStyle name="Normal 3 4 2 2 3 2 3" xfId="48107" xr:uid="{84982A79-13B6-474E-B5A4-ADCED0315B61}"/>
    <cellStyle name="Normal 3 4 2 2 3 3" xfId="22968" xr:uid="{70115807-AE05-4ECA-B7ED-2443DA8EE730}"/>
    <cellStyle name="Normal 3 4 2 2 3 4" xfId="39727" xr:uid="{EE869769-69C6-4A90-A1DE-133B3F1E8FF3}"/>
    <cellStyle name="Normal 3 4 2 2 4" xfId="2944" xr:uid="{35CD2D7F-EFAD-49E0-B2A3-B225E2A88F9A}"/>
    <cellStyle name="Normal 3 4 2 2 4 2" xfId="11324" xr:uid="{04CE2796-3A11-4CF3-A852-AC22919165A3}"/>
    <cellStyle name="Normal 3 4 2 2 4 2 2" xfId="28084" xr:uid="{FC8F5377-3F00-4EEC-9C94-ABF9E6405AE6}"/>
    <cellStyle name="Normal 3 4 2 2 4 2 3" xfId="44843" xr:uid="{43BDAACE-26C6-42BF-8458-E652CF91FAC7}"/>
    <cellStyle name="Normal 3 4 2 2 4 3" xfId="19704" xr:uid="{8B3C802D-9584-49E5-85D6-B2F83130CFA1}"/>
    <cellStyle name="Normal 3 4 2 2 4 4" xfId="36463" xr:uid="{0F681E59-6C7F-4952-B2D1-6D61F0F52895}"/>
    <cellStyle name="Normal 3 4 2 2 5" xfId="9521" xr:uid="{5482F015-0A68-43E8-956F-56795DE154AC}"/>
    <cellStyle name="Normal 3 4 2 2 5 2" xfId="26281" xr:uid="{1770C809-280F-4304-9877-22DD2EADF433}"/>
    <cellStyle name="Normal 3 4 2 2 5 3" xfId="43040" xr:uid="{38FEEE15-05BC-442F-8986-FC345CCEC79A}"/>
    <cellStyle name="Normal 3 4 2 2 6" xfId="17901" xr:uid="{4F2EFCAA-A27C-481F-A399-8A06950B3763}"/>
    <cellStyle name="Normal 3 4 2 2 7" xfId="34660" xr:uid="{2E2E7554-CEAA-4745-AE05-3AF681EE7CE9}"/>
    <cellStyle name="Normal 3 4 2 2 8" xfId="51053" xr:uid="{49B88FFB-BC34-426E-9714-C874CAC12581}"/>
    <cellStyle name="Normal 3 4 2 2 9" xfId="51527" xr:uid="{1D8EB74A-BD41-4431-8DE7-FD7B9391528E}"/>
    <cellStyle name="Normal 3 4 2 3" xfId="1560" xr:uid="{8A5E9D1B-35D1-4E3D-896D-93102FEE7FEA}"/>
    <cellStyle name="Normal 3 4 2 3 2" xfId="4949" xr:uid="{62AAA81D-D4A4-4656-8778-BC584671D9C2}"/>
    <cellStyle name="Normal 3 4 2 3 2 2" xfId="13329" xr:uid="{FD5A518D-9A65-45C6-BB72-5EAADBA7E1AD}"/>
    <cellStyle name="Normal 3 4 2 3 2 2 2" xfId="30089" xr:uid="{43B1CA41-210E-4D3C-A959-03009F6B3EEE}"/>
    <cellStyle name="Normal 3 4 2 3 2 2 3" xfId="46848" xr:uid="{CEDCB7A5-2611-473F-9E11-8AC7DFEED85E}"/>
    <cellStyle name="Normal 3 4 2 3 2 3" xfId="21709" xr:uid="{5C2713B3-CAD0-4E3E-8A69-DB52C4DCC2F3}"/>
    <cellStyle name="Normal 3 4 2 3 2 4" xfId="38468" xr:uid="{89CCB325-61AD-4C5D-9A8D-53421A119C8A}"/>
    <cellStyle name="Normal 3 4 2 3 3" xfId="6636" xr:uid="{9B44B042-BB2D-42A8-ABAA-A0B14AFEBDB8}"/>
    <cellStyle name="Normal 3 4 2 3 3 2" xfId="15016" xr:uid="{0EF10863-9D45-4D8F-A9BA-54837C9B772F}"/>
    <cellStyle name="Normal 3 4 2 3 3 2 2" xfId="31776" xr:uid="{61821BD4-83E8-4566-8006-E79FD3DA0D96}"/>
    <cellStyle name="Normal 3 4 2 3 3 2 3" xfId="48535" xr:uid="{62388A8D-A6FB-4D72-B690-6CA08575664F}"/>
    <cellStyle name="Normal 3 4 2 3 3 3" xfId="23396" xr:uid="{1F5D53D5-0D22-4F8F-88D1-72DC4E7CCA60}"/>
    <cellStyle name="Normal 3 4 2 3 3 4" xfId="40155" xr:uid="{1DCBFFB1-A119-4F55-A9EB-8F8A8034F0CA}"/>
    <cellStyle name="Normal 3 4 2 3 4" xfId="3372" xr:uid="{6E180AB0-E54B-4FA3-BF1F-9E5E33414BD7}"/>
    <cellStyle name="Normal 3 4 2 3 4 2" xfId="11752" xr:uid="{BA9D9D0B-C449-4F1D-81CA-F939F9A2FC94}"/>
    <cellStyle name="Normal 3 4 2 3 4 2 2" xfId="28512" xr:uid="{4F5ED7ED-95CB-4ACA-A7B2-E955CF5C0F85}"/>
    <cellStyle name="Normal 3 4 2 3 4 2 3" xfId="45271" xr:uid="{ACA1B5BF-74BC-4F2D-B6E9-5FF853D627D9}"/>
    <cellStyle name="Normal 3 4 2 3 4 3" xfId="20132" xr:uid="{4F06BC3A-0A8A-4A56-827C-C8713BEED387}"/>
    <cellStyle name="Normal 3 4 2 3 4 4" xfId="36891" xr:uid="{0508B160-B0B0-4B72-B530-961000D8568C}"/>
    <cellStyle name="Normal 3 4 2 3 5" xfId="9949" xr:uid="{7A9A45F7-15D3-4ECF-A2A3-DD811F2821AF}"/>
    <cellStyle name="Normal 3 4 2 3 5 2" xfId="26709" xr:uid="{5266CF03-5010-4F61-9FA4-9871A3B14975}"/>
    <cellStyle name="Normal 3 4 2 3 5 3" xfId="43468" xr:uid="{6AEEABE9-1971-42B9-B547-7B40D64B0CBF}"/>
    <cellStyle name="Normal 3 4 2 3 6" xfId="18329" xr:uid="{6ECAF912-58B9-4342-B1F8-607A671A08B4}"/>
    <cellStyle name="Normal 3 4 2 3 7" xfId="35088" xr:uid="{485678C6-DDCF-4B53-B6B4-D21A14FDEA48}"/>
    <cellStyle name="Normal 3 4 2 4" xfId="1867" xr:uid="{6AE92527-9964-4253-B232-3BF7C9140FA7}"/>
    <cellStyle name="Normal 3 4 2 4 2" xfId="5256" xr:uid="{FA61A1E2-812E-4CE3-9B9C-20336A4B88AE}"/>
    <cellStyle name="Normal 3 4 2 4 2 2" xfId="13636" xr:uid="{5357D3E7-8BE6-4EA4-B780-0424E9330438}"/>
    <cellStyle name="Normal 3 4 2 4 2 2 2" xfId="30396" xr:uid="{8E121399-78EB-43DF-8290-4F4CE7B0CDDD}"/>
    <cellStyle name="Normal 3 4 2 4 2 2 3" xfId="47155" xr:uid="{370430F0-5FCA-48E3-A57A-05975906F7D2}"/>
    <cellStyle name="Normal 3 4 2 4 2 3" xfId="22016" xr:uid="{A195BD00-237F-414E-8B7A-2428118856A6}"/>
    <cellStyle name="Normal 3 4 2 4 2 4" xfId="38775" xr:uid="{6FF17BE7-499A-4D65-A413-2728314EF51B}"/>
    <cellStyle name="Normal 3 4 2 4 3" xfId="6943" xr:uid="{FBA11B97-E9AA-4139-A87C-DD502FF330A5}"/>
    <cellStyle name="Normal 3 4 2 4 3 2" xfId="15323" xr:uid="{46CE95A2-0CB3-49CA-B9A6-2D2F5DF18BA6}"/>
    <cellStyle name="Normal 3 4 2 4 3 2 2" xfId="32083" xr:uid="{BA31C25D-2545-4CF7-BA08-16F01E1E7F13}"/>
    <cellStyle name="Normal 3 4 2 4 3 2 3" xfId="48842" xr:uid="{D13B1840-A7CA-4653-B369-97E5AA235F94}"/>
    <cellStyle name="Normal 3 4 2 4 3 3" xfId="23703" xr:uid="{F8D00CBD-DA47-4746-8CF1-03F37B739626}"/>
    <cellStyle name="Normal 3 4 2 4 3 4" xfId="40462" xr:uid="{6EF77A7A-1303-467B-9023-D9E3B705D19D}"/>
    <cellStyle name="Normal 3 4 2 4 4" xfId="3566" xr:uid="{344400EF-CADF-4E4E-8C13-354379DB94D3}"/>
    <cellStyle name="Normal 3 4 2 4 4 2" xfId="11946" xr:uid="{72C5530B-073C-40A3-8853-A4DB97DAF393}"/>
    <cellStyle name="Normal 3 4 2 4 4 2 2" xfId="28706" xr:uid="{DB60FD92-873F-4FBD-80F3-B82B5201D92F}"/>
    <cellStyle name="Normal 3 4 2 4 4 2 3" xfId="45465" xr:uid="{35CD013C-7EA5-476B-9DAF-EC727A9F6467}"/>
    <cellStyle name="Normal 3 4 2 4 4 3" xfId="20326" xr:uid="{6DD744FC-FCE2-4B61-B443-2DEBF17AC757}"/>
    <cellStyle name="Normal 3 4 2 4 4 4" xfId="37085" xr:uid="{3E653237-B7CA-40C9-BC4C-621A37C59478}"/>
    <cellStyle name="Normal 3 4 2 4 5" xfId="10256" xr:uid="{194A9B47-83C9-4D41-95AE-D4F1853A7B2B}"/>
    <cellStyle name="Normal 3 4 2 4 5 2" xfId="27016" xr:uid="{47167342-6598-4968-98DE-5C8A21DD2C23}"/>
    <cellStyle name="Normal 3 4 2 4 5 3" xfId="43775" xr:uid="{4D275312-2955-4357-B8B3-BC6D1BDDF651}"/>
    <cellStyle name="Normal 3 4 2 4 6" xfId="18636" xr:uid="{C8D81B8E-0007-4B24-8C0B-D9A15EBFE1B0}"/>
    <cellStyle name="Normal 3 4 2 4 7" xfId="35395" xr:uid="{65F87AAD-B05B-4914-9D60-7B50CA296C7F}"/>
    <cellStyle name="Normal 3 4 2 5" xfId="3986" xr:uid="{8C904329-5B35-40CD-9406-261DF2CD2279}"/>
    <cellStyle name="Normal 3 4 2 5 2" xfId="12366" xr:uid="{BAA5CE18-B313-41A0-955F-C963C7EFE3CD}"/>
    <cellStyle name="Normal 3 4 2 5 2 2" xfId="29126" xr:uid="{40C3B89E-5D72-4DEF-A57F-DD76CDA463E3}"/>
    <cellStyle name="Normal 3 4 2 5 2 3" xfId="45885" xr:uid="{CF94D39A-1F9D-4094-9EC6-2873CC1639EE}"/>
    <cellStyle name="Normal 3 4 2 5 3" xfId="20746" xr:uid="{77A6D6FE-3A06-49C0-BFC2-5BE27F2C58C2}"/>
    <cellStyle name="Normal 3 4 2 5 4" xfId="37505" xr:uid="{854DAFAF-FB54-436F-A36B-99C5AA2D8D2C}"/>
    <cellStyle name="Normal 3 4 2 6" xfId="5782" xr:uid="{4D596A0C-CE52-4CE0-88C5-6492960BDF0B}"/>
    <cellStyle name="Normal 3 4 2 6 2" xfId="14162" xr:uid="{D9B0DC7B-A76A-453F-AEB4-D4A90FDB7A40}"/>
    <cellStyle name="Normal 3 4 2 6 2 2" xfId="30922" xr:uid="{397BF4FB-43A7-48D0-A609-82B6E655FF61}"/>
    <cellStyle name="Normal 3 4 2 6 2 3" xfId="47681" xr:uid="{07CB6C93-F9A5-48B9-876A-78EE6CA4D103}"/>
    <cellStyle name="Normal 3 4 2 6 3" xfId="22542" xr:uid="{06152882-4C6E-44F8-82C1-BFCF8552108D}"/>
    <cellStyle name="Normal 3 4 2 6 4" xfId="39301" xr:uid="{754CC50C-4B2E-41EF-B777-CF22C648572F}"/>
    <cellStyle name="Normal 3 4 2 7" xfId="7349" xr:uid="{21B8B698-DE44-4682-856B-DC8FDD2DCEA2}"/>
    <cellStyle name="Normal 3 4 2 7 2" xfId="15729" xr:uid="{571A253B-4EBB-4744-BAF4-660E6A34B82F}"/>
    <cellStyle name="Normal 3 4 2 7 2 2" xfId="32489" xr:uid="{BC72EC8C-4E0F-4B8A-B049-119CEF732C80}"/>
    <cellStyle name="Normal 3 4 2 7 2 3" xfId="49248" xr:uid="{D9BE648A-51FF-4B96-AC07-27B9408B8909}"/>
    <cellStyle name="Normal 3 4 2 7 3" xfId="24109" xr:uid="{960C9C58-BB85-4D65-B4D2-7533412F7DFC}"/>
    <cellStyle name="Normal 3 4 2 7 4" xfId="40868" xr:uid="{EC74708D-C657-405D-B13E-D7B7B73A1B2F}"/>
    <cellStyle name="Normal 3 4 2 8" xfId="7755" xr:uid="{6669546F-86B1-4FBC-BC4A-B824BB001669}"/>
    <cellStyle name="Normal 3 4 2 8 2" xfId="16135" xr:uid="{A7E86B72-E1D6-44DC-9FDE-C52EB11BD6B3}"/>
    <cellStyle name="Normal 3 4 2 8 2 2" xfId="32895" xr:uid="{8053E89B-2C2D-48C5-B506-1B55C7B30BC0}"/>
    <cellStyle name="Normal 3 4 2 8 2 3" xfId="49654" xr:uid="{E1DE3E4C-4B67-4303-A1BA-F3C2621E1A2A}"/>
    <cellStyle name="Normal 3 4 2 8 3" xfId="24515" xr:uid="{DA427C16-238B-4E45-94D2-6090182C554C}"/>
    <cellStyle name="Normal 3 4 2 8 4" xfId="41274" xr:uid="{CC019717-66C6-4D3C-879E-1BEE6A79C368}"/>
    <cellStyle name="Normal 3 4 2 9" xfId="8161" xr:uid="{02251A43-201B-4E13-A117-894258ECD04F}"/>
    <cellStyle name="Normal 3 4 2 9 2" xfId="16541" xr:uid="{BF522CEF-00CC-49CD-A4C8-567EACE46CD0}"/>
    <cellStyle name="Normal 3 4 2 9 2 2" xfId="33301" xr:uid="{100AD45F-C645-4E89-B8E9-8F674D6398BE}"/>
    <cellStyle name="Normal 3 4 2 9 2 3" xfId="50060" xr:uid="{BBCD3978-6175-4BAE-8502-3C476CB3C569}"/>
    <cellStyle name="Normal 3 4 2 9 3" xfId="24921" xr:uid="{6CC6EC47-B708-43B4-8B6F-6E49B4B977AD}"/>
    <cellStyle name="Normal 3 4 2 9 4" xfId="41680" xr:uid="{89C6A9FC-E6C8-494A-B2E1-3A58F9C1F483}"/>
    <cellStyle name="Normal 3 4 20" xfId="50783" xr:uid="{CFF29638-3EC4-4004-9E83-AFF03423F895}"/>
    <cellStyle name="Normal 3 4 21" xfId="51278" xr:uid="{53AB518E-ACBB-4AB7-A330-550FE18C6A83}"/>
    <cellStyle name="Normal 3 4 22" xfId="51774" xr:uid="{9BCAA46C-6046-4AE3-B98A-D19E6944BDF7}"/>
    <cellStyle name="Normal 3 4 23" xfId="686" xr:uid="{09B612B7-92A2-4978-B63B-AC31AB511BE2}"/>
    <cellStyle name="Normal 3 4 3" xfId="688" xr:uid="{92EB065A-0544-4010-A5B9-5A1317A0849A}"/>
    <cellStyle name="Normal 3 4 3 10" xfId="8698" xr:uid="{B3B22C34-90D3-4A93-AC6D-A07C9F1B5A6A}"/>
    <cellStyle name="Normal 3 4 3 10 2" xfId="17078" xr:uid="{E4696C9A-E2D3-41BF-B15D-F3172024D44D}"/>
    <cellStyle name="Normal 3 4 3 10 2 2" xfId="33838" xr:uid="{9E548E8D-251C-4539-96A6-AFA1FA8A0849}"/>
    <cellStyle name="Normal 3 4 3 10 2 3" xfId="50597" xr:uid="{68B36E4D-AD4E-4B83-BEBB-B2D192AA834D}"/>
    <cellStyle name="Normal 3 4 3 10 3" xfId="25458" xr:uid="{206B260D-1A4E-413E-BCE9-02E56A1BB5B3}"/>
    <cellStyle name="Normal 3 4 3 10 4" xfId="42217" xr:uid="{1C6D9AB1-948A-415D-B7AD-8EAD48E4D631}"/>
    <cellStyle name="Normal 3 4 3 11" xfId="2517" xr:uid="{DFC0E3A9-6F0A-4DD7-A098-4C60D691443A}"/>
    <cellStyle name="Normal 3 4 3 11 2" xfId="10899" xr:uid="{8334066D-F5E5-490B-AB3B-BC3AAB7572D7}"/>
    <cellStyle name="Normal 3 4 3 11 2 2" xfId="27659" xr:uid="{D98109DE-67E5-496F-B60E-82CCA85799D6}"/>
    <cellStyle name="Normal 3 4 3 11 2 3" xfId="44418" xr:uid="{FC6D36D8-2ECF-429B-8710-AF596F0E82D8}"/>
    <cellStyle name="Normal 3 4 3 11 3" xfId="19279" xr:uid="{C0988D30-1843-4113-996A-402C667BE30B}"/>
    <cellStyle name="Normal 3 4 3 11 4" xfId="36038" xr:uid="{76B627A8-6FFE-497E-9352-F750666C97FA}"/>
    <cellStyle name="Normal 3 4 3 12" xfId="9096" xr:uid="{1DB6FAAF-E5AF-4473-8D94-DFB306DF7595}"/>
    <cellStyle name="Normal 3 4 3 12 2" xfId="25856" xr:uid="{188E5F4C-3A94-42BD-87E4-14B413AA04DC}"/>
    <cellStyle name="Normal 3 4 3 12 3" xfId="42615" xr:uid="{C769C709-455A-41FB-A1B0-E193AD25D556}"/>
    <cellStyle name="Normal 3 4 3 13" xfId="17476" xr:uid="{2C010866-4B38-4040-AC76-6939BC9FEEC0}"/>
    <cellStyle name="Normal 3 4 3 14" xfId="34235" xr:uid="{4F88E220-6122-4243-A7EB-9D6DD47185A3}"/>
    <cellStyle name="Normal 3 4 3 15" xfId="51039" xr:uid="{26C527DF-433A-40F2-9B64-466FAFD8D416}"/>
    <cellStyle name="Normal 3 4 3 16" xfId="51513" xr:uid="{398BB8E8-B73A-44BC-9231-F6A7414F74D2}"/>
    <cellStyle name="Normal 3 4 3 17" xfId="51801" xr:uid="{765D430E-F1AD-4F50-B2E3-18831EBCB227}"/>
    <cellStyle name="Normal 3 4 3 2" xfId="1127" xr:uid="{A3E15372-0999-443F-8301-4A49B572833E}"/>
    <cellStyle name="Normal 3 4 3 2 2" xfId="4522" xr:uid="{26DE5DC5-DBEF-4A1A-BA3C-9112AFD92285}"/>
    <cellStyle name="Normal 3 4 3 2 2 2" xfId="12902" xr:uid="{6AC4BA05-B822-4599-B49A-EF455636B5A4}"/>
    <cellStyle name="Normal 3 4 3 2 2 2 2" xfId="29662" xr:uid="{317EE71F-2E4D-4E81-A45F-297AB4B57BD9}"/>
    <cellStyle name="Normal 3 4 3 2 2 2 3" xfId="46421" xr:uid="{EE94D150-CF73-4B8C-9395-88084B6D0A9D}"/>
    <cellStyle name="Normal 3 4 3 2 2 3" xfId="21282" xr:uid="{E90373B0-9F1D-4199-8545-757DD653D0FE}"/>
    <cellStyle name="Normal 3 4 3 2 2 4" xfId="38041" xr:uid="{B6B11F9A-1A2A-4966-9209-B8B6428A7D10}"/>
    <cellStyle name="Normal 3 4 3 2 3" xfId="6209" xr:uid="{D0D02BCD-1AB3-4DA6-A66B-92D8CD8263FF}"/>
    <cellStyle name="Normal 3 4 3 2 3 2" xfId="14589" xr:uid="{0AAAA6D5-2287-4C5C-B9FC-6A299247201D}"/>
    <cellStyle name="Normal 3 4 3 2 3 2 2" xfId="31349" xr:uid="{B66897F3-140F-47D2-B0F8-9951A08ACB42}"/>
    <cellStyle name="Normal 3 4 3 2 3 2 3" xfId="48108" xr:uid="{237D8A64-8A36-4E6E-8B10-E80A49AABC15}"/>
    <cellStyle name="Normal 3 4 3 2 3 3" xfId="22969" xr:uid="{661CE345-E46B-457F-B220-C748F5C70007}"/>
    <cellStyle name="Normal 3 4 3 2 3 4" xfId="39728" xr:uid="{DBBDE988-444D-4AFC-ABEC-8CB596F8B874}"/>
    <cellStyle name="Normal 3 4 3 2 4" xfId="2945" xr:uid="{87ACA9EF-42F3-4FDD-8154-E409359BF52C}"/>
    <cellStyle name="Normal 3 4 3 2 4 2" xfId="11325" xr:uid="{6BEECC59-D65F-4848-A14D-B2AB8647B114}"/>
    <cellStyle name="Normal 3 4 3 2 4 2 2" xfId="28085" xr:uid="{DDE2B58B-96D0-4F47-A441-CF316882D7ED}"/>
    <cellStyle name="Normal 3 4 3 2 4 2 3" xfId="44844" xr:uid="{8815516B-254F-42CD-99BE-0C5EC290CC97}"/>
    <cellStyle name="Normal 3 4 3 2 4 3" xfId="19705" xr:uid="{ED532EC4-477A-4A2A-BFE1-2AB203455A9D}"/>
    <cellStyle name="Normal 3 4 3 2 4 4" xfId="36464" xr:uid="{2A15185B-D53D-45BC-95D4-F08A9701522A}"/>
    <cellStyle name="Normal 3 4 3 2 5" xfId="9522" xr:uid="{E956DD03-4496-4E2A-92F6-FC69A6433CEA}"/>
    <cellStyle name="Normal 3 4 3 2 5 2" xfId="26282" xr:uid="{A33716B9-1074-4B27-ABD3-AD33F505A90C}"/>
    <cellStyle name="Normal 3 4 3 2 5 3" xfId="43041" xr:uid="{0151EFB2-4EBD-4ACD-A4AA-75C096C9F5BD}"/>
    <cellStyle name="Normal 3 4 3 2 6" xfId="17902" xr:uid="{DC248959-6967-4CF9-A301-C278C6826001}"/>
    <cellStyle name="Normal 3 4 3 2 7" xfId="34661" xr:uid="{E18DA406-E6F9-4CEE-A5EA-1BF9AF53ABF7}"/>
    <cellStyle name="Normal 3 4 3 3" xfId="1561" xr:uid="{25012C37-998F-477A-8B6C-25C0052A4FDB}"/>
    <cellStyle name="Normal 3 4 3 3 2" xfId="4950" xr:uid="{217BF23C-773C-4BA7-8D60-D92A1B240FD2}"/>
    <cellStyle name="Normal 3 4 3 3 2 2" xfId="13330" xr:uid="{9B1143C0-A5CC-422E-A247-92F12A146267}"/>
    <cellStyle name="Normal 3 4 3 3 2 2 2" xfId="30090" xr:uid="{7723BDB9-3397-4807-96AA-BC7736862E73}"/>
    <cellStyle name="Normal 3 4 3 3 2 2 3" xfId="46849" xr:uid="{F70C3E40-5E20-4FAE-9A37-644A9700D490}"/>
    <cellStyle name="Normal 3 4 3 3 2 3" xfId="21710" xr:uid="{615DD55E-425D-4B3C-AD23-66AEBFA59908}"/>
    <cellStyle name="Normal 3 4 3 3 2 4" xfId="38469" xr:uid="{FE4ADCA5-31EE-497E-8B5F-44BD1B3A2BD5}"/>
    <cellStyle name="Normal 3 4 3 3 3" xfId="6637" xr:uid="{E8A32E92-292F-479B-9F50-2466C455F88B}"/>
    <cellStyle name="Normal 3 4 3 3 3 2" xfId="15017" xr:uid="{8F988808-5973-48BB-8F79-F57492031AB3}"/>
    <cellStyle name="Normal 3 4 3 3 3 2 2" xfId="31777" xr:uid="{F528A48A-90BC-4896-A7E0-D0EA2755FC3E}"/>
    <cellStyle name="Normal 3 4 3 3 3 2 3" xfId="48536" xr:uid="{B0DE7CB6-B1A5-4EAD-B940-6A4E1B463377}"/>
    <cellStyle name="Normal 3 4 3 3 3 3" xfId="23397" xr:uid="{F8B441DD-C36D-4D34-AA34-FFF2675465F4}"/>
    <cellStyle name="Normal 3 4 3 3 3 4" xfId="40156" xr:uid="{4F56783F-6076-4A3D-BBA3-CFE23C585907}"/>
    <cellStyle name="Normal 3 4 3 3 4" xfId="3373" xr:uid="{5A91E4F4-3F02-4256-9280-931EDB956667}"/>
    <cellStyle name="Normal 3 4 3 3 4 2" xfId="11753" xr:uid="{36C10D6B-65D6-4EC0-9BBD-5F6192000546}"/>
    <cellStyle name="Normal 3 4 3 3 4 2 2" xfId="28513" xr:uid="{4A2E9126-0189-48BD-AAA8-89BD2B89053C}"/>
    <cellStyle name="Normal 3 4 3 3 4 2 3" xfId="45272" xr:uid="{748FA203-22D4-40DC-993B-19DE7FA04859}"/>
    <cellStyle name="Normal 3 4 3 3 4 3" xfId="20133" xr:uid="{76A31F16-388F-4E92-8F54-B1EDABA0EA12}"/>
    <cellStyle name="Normal 3 4 3 3 4 4" xfId="36892" xr:uid="{688667AA-3DB9-463F-AD48-9683981754D5}"/>
    <cellStyle name="Normal 3 4 3 3 5" xfId="9950" xr:uid="{742A18C8-00FE-4815-8B25-19EEFF927B5A}"/>
    <cellStyle name="Normal 3 4 3 3 5 2" xfId="26710" xr:uid="{D2C4F797-0133-44D6-95F7-9A1D2627D262}"/>
    <cellStyle name="Normal 3 4 3 3 5 3" xfId="43469" xr:uid="{4D4C6252-A5DA-4AB0-BCDD-B7424CAC2621}"/>
    <cellStyle name="Normal 3 4 3 3 6" xfId="18330" xr:uid="{DCA585A9-0549-4720-82AB-CBE2F6739DED}"/>
    <cellStyle name="Normal 3 4 3 3 7" xfId="35089" xr:uid="{E242054C-2E17-447D-B7E7-92EC2CBD8BAB}"/>
    <cellStyle name="Normal 3 4 3 4" xfId="1998" xr:uid="{4D9CE25E-AB6E-413B-903C-7B90FC91CA5D}"/>
    <cellStyle name="Normal 3 4 3 4 2" xfId="5387" xr:uid="{59BB492A-17D5-47E8-95B8-A9D957379523}"/>
    <cellStyle name="Normal 3 4 3 4 2 2" xfId="13767" xr:uid="{929763CA-BC97-4B07-A7BF-A719689EF336}"/>
    <cellStyle name="Normal 3 4 3 4 2 2 2" xfId="30527" xr:uid="{B1FF7B05-7337-4DE7-BB23-37CF568B18F2}"/>
    <cellStyle name="Normal 3 4 3 4 2 2 3" xfId="47286" xr:uid="{784AC787-9410-4F17-9E56-B926A338B153}"/>
    <cellStyle name="Normal 3 4 3 4 2 3" xfId="22147" xr:uid="{BE6F6B9F-A576-48DB-92A8-70A7BC9CA629}"/>
    <cellStyle name="Normal 3 4 3 4 2 4" xfId="38906" xr:uid="{CBFD5BAB-A7C8-4F79-B198-8C0CB58B134B}"/>
    <cellStyle name="Normal 3 4 3 4 3" xfId="7074" xr:uid="{A002D0CB-DB84-4B9A-8FBA-BF6D0E309EA0}"/>
    <cellStyle name="Normal 3 4 3 4 3 2" xfId="15454" xr:uid="{D9038171-ED50-4EDC-8161-0C73C65B3F92}"/>
    <cellStyle name="Normal 3 4 3 4 3 2 2" xfId="32214" xr:uid="{B7861E92-4EA4-4EDB-BB23-E661C6835850}"/>
    <cellStyle name="Normal 3 4 3 4 3 2 3" xfId="48973" xr:uid="{DCA3D59C-741A-4A16-ACF2-122D826CB065}"/>
    <cellStyle name="Normal 3 4 3 4 3 3" xfId="23834" xr:uid="{786B11D1-38AA-436D-AFF9-9FA90F46D63F}"/>
    <cellStyle name="Normal 3 4 3 4 3 4" xfId="40593" xr:uid="{68D201DC-F480-46BD-AF91-EBB059CB9025}"/>
    <cellStyle name="Normal 3 4 3 4 4" xfId="3697" xr:uid="{7507AE9A-1E26-4725-A9D8-3712A3145C63}"/>
    <cellStyle name="Normal 3 4 3 4 4 2" xfId="12077" xr:uid="{B1FC4F66-FE8B-4730-BDA2-A9B4B65EC0D3}"/>
    <cellStyle name="Normal 3 4 3 4 4 2 2" xfId="28837" xr:uid="{8C245E85-4921-4A41-9814-C24C0D1B7C45}"/>
    <cellStyle name="Normal 3 4 3 4 4 2 3" xfId="45596" xr:uid="{6F32B0A0-F6A3-4575-8476-970CF96D130A}"/>
    <cellStyle name="Normal 3 4 3 4 4 3" xfId="20457" xr:uid="{A73F9AEC-A1D7-4382-B90B-C91C4802433B}"/>
    <cellStyle name="Normal 3 4 3 4 4 4" xfId="37216" xr:uid="{56BE153E-3993-49E7-9F60-0DFCFDE74EA6}"/>
    <cellStyle name="Normal 3 4 3 4 5" xfId="10387" xr:uid="{93F02A07-0C3F-42EF-8F2C-6893A5FAEBEA}"/>
    <cellStyle name="Normal 3 4 3 4 5 2" xfId="27147" xr:uid="{EEE589A0-E34F-4E14-B003-9D16ED123B03}"/>
    <cellStyle name="Normal 3 4 3 4 5 3" xfId="43906" xr:uid="{96084B69-C515-414D-8D5E-58949F5CEB6E}"/>
    <cellStyle name="Normal 3 4 3 4 6" xfId="18767" xr:uid="{5928F416-506D-42D1-ADB2-4E2749710124}"/>
    <cellStyle name="Normal 3 4 3 4 7" xfId="35526" xr:uid="{33E78DED-718F-42EF-8D86-149E03CF0162}"/>
    <cellStyle name="Normal 3 4 3 5" xfId="4117" xr:uid="{579EFD37-F47E-499F-9495-F42953B36694}"/>
    <cellStyle name="Normal 3 4 3 5 2" xfId="12497" xr:uid="{F894B27E-7936-4F64-96EE-0F13CCB3DB43}"/>
    <cellStyle name="Normal 3 4 3 5 2 2" xfId="29257" xr:uid="{F4DAD613-FDD8-40B1-A36E-EDD74A9E1A5B}"/>
    <cellStyle name="Normal 3 4 3 5 2 3" xfId="46016" xr:uid="{8CEA86B4-6B31-4A89-BBBB-3D20E05F0094}"/>
    <cellStyle name="Normal 3 4 3 5 3" xfId="20877" xr:uid="{D8287E4D-D3A8-4F51-839E-0F97515A9DB4}"/>
    <cellStyle name="Normal 3 4 3 5 4" xfId="37636" xr:uid="{08F91D0F-5B16-479F-ACBB-85794F85EF19}"/>
    <cellStyle name="Normal 3 4 3 6" xfId="5783" xr:uid="{964788E2-35E6-4BCA-A11C-0346F1691B22}"/>
    <cellStyle name="Normal 3 4 3 6 2" xfId="14163" xr:uid="{CAD7EF36-FAED-48F7-A011-DFC56A395010}"/>
    <cellStyle name="Normal 3 4 3 6 2 2" xfId="30923" xr:uid="{CC1C8A72-CD2D-443A-A974-95937DBBAE17}"/>
    <cellStyle name="Normal 3 4 3 6 2 3" xfId="47682" xr:uid="{E72F01E7-099B-4091-BB0D-DC3BFF1F6DEF}"/>
    <cellStyle name="Normal 3 4 3 6 3" xfId="22543" xr:uid="{8BDC6FDC-F9ED-4F5F-8F6A-ECC0BE2898EA}"/>
    <cellStyle name="Normal 3 4 3 6 4" xfId="39302" xr:uid="{088ADBF1-D509-48DE-8732-6B7713234A27}"/>
    <cellStyle name="Normal 3 4 3 7" xfId="7480" xr:uid="{536C6E91-700A-4640-8387-E4EA29B09CEE}"/>
    <cellStyle name="Normal 3 4 3 7 2" xfId="15860" xr:uid="{2726594C-1F64-40DF-8226-6962D0CA8E91}"/>
    <cellStyle name="Normal 3 4 3 7 2 2" xfId="32620" xr:uid="{CC2AA6BE-C52F-4DB8-AF00-1B3DEEDE55CA}"/>
    <cellStyle name="Normal 3 4 3 7 2 3" xfId="49379" xr:uid="{4D1CFF28-A39C-46DC-A7A6-31980779B887}"/>
    <cellStyle name="Normal 3 4 3 7 3" xfId="24240" xr:uid="{9BE1E234-B267-4BAB-911F-D8C73A2095FD}"/>
    <cellStyle name="Normal 3 4 3 7 4" xfId="40999" xr:uid="{060B75ED-F0A3-4508-AAB2-22731EA00BB9}"/>
    <cellStyle name="Normal 3 4 3 8" xfId="7886" xr:uid="{30D6918A-E064-47DF-B6DC-EDD38FFFB7A8}"/>
    <cellStyle name="Normal 3 4 3 8 2" xfId="16266" xr:uid="{7FEE1A27-D7A5-4905-8F50-D6DF814497C3}"/>
    <cellStyle name="Normal 3 4 3 8 2 2" xfId="33026" xr:uid="{E2A4DD78-0729-4112-A686-0D963C166E5C}"/>
    <cellStyle name="Normal 3 4 3 8 2 3" xfId="49785" xr:uid="{D55343A3-CAF8-466C-90F6-DF0C56C3339B}"/>
    <cellStyle name="Normal 3 4 3 8 3" xfId="24646" xr:uid="{AA49413C-A2D5-4753-B747-AA3533989711}"/>
    <cellStyle name="Normal 3 4 3 8 4" xfId="41405" xr:uid="{F961ADEC-07A2-40E0-ABC1-90B9816E1191}"/>
    <cellStyle name="Normal 3 4 3 9" xfId="8292" xr:uid="{A7D6351A-7026-4250-AE64-73B1A368B786}"/>
    <cellStyle name="Normal 3 4 3 9 2" xfId="16672" xr:uid="{A3E447D1-A29C-4D46-8615-CB668D457ED3}"/>
    <cellStyle name="Normal 3 4 3 9 2 2" xfId="33432" xr:uid="{3551709C-CCA2-40C6-BA42-3719A86493A5}"/>
    <cellStyle name="Normal 3 4 3 9 2 3" xfId="50191" xr:uid="{239C494D-5A9A-4218-8E63-E5F1DBF2393A}"/>
    <cellStyle name="Normal 3 4 3 9 3" xfId="25052" xr:uid="{23EE397F-4C66-40B7-A04C-AF089725F20C}"/>
    <cellStyle name="Normal 3 4 3 9 4" xfId="41811" xr:uid="{E2D2A37B-F349-4054-BDE4-DFD364C9D5F2}"/>
    <cellStyle name="Normal 3 4 4" xfId="1125" xr:uid="{2A8398BC-E892-4C58-8AF7-D51513E8352C}"/>
    <cellStyle name="Normal 3 4 4 2" xfId="4520" xr:uid="{1BB36AF9-FFA5-42C6-8370-130B94612F43}"/>
    <cellStyle name="Normal 3 4 4 2 2" xfId="12900" xr:uid="{7619B9D5-58CB-4419-8A09-2B9AB90189C7}"/>
    <cellStyle name="Normal 3 4 4 2 2 2" xfId="29660" xr:uid="{7586AFA4-3966-4E9D-A0FD-0D8B215A60E1}"/>
    <cellStyle name="Normal 3 4 4 2 2 3" xfId="46419" xr:uid="{B696F2C5-9E12-4A96-BC71-62B82163FBAC}"/>
    <cellStyle name="Normal 3 4 4 2 3" xfId="21280" xr:uid="{3F641801-6125-417E-8217-11102A06D00C}"/>
    <cellStyle name="Normal 3 4 4 2 4" xfId="38039" xr:uid="{FB75C107-C7DB-4BD8-A02F-1D9EAC30DD75}"/>
    <cellStyle name="Normal 3 4 4 3" xfId="6207" xr:uid="{F20CCE62-F646-476F-BA7A-92563AD36518}"/>
    <cellStyle name="Normal 3 4 4 3 2" xfId="14587" xr:uid="{FF4311C4-0B52-4066-80A6-56489B99E8C8}"/>
    <cellStyle name="Normal 3 4 4 3 2 2" xfId="31347" xr:uid="{7180FF82-6996-4F7F-8D1B-AA5B5F66D08B}"/>
    <cellStyle name="Normal 3 4 4 3 2 3" xfId="48106" xr:uid="{D4F22F77-6C03-43B7-BBF9-8B2CFF9B3588}"/>
    <cellStyle name="Normal 3 4 4 3 3" xfId="22967" xr:uid="{7B1258F1-9411-41BC-BFB9-03C01A6CCDFF}"/>
    <cellStyle name="Normal 3 4 4 3 4" xfId="39726" xr:uid="{7ADD4A67-C08E-4978-9074-327EF48B92B6}"/>
    <cellStyle name="Normal 3 4 4 4" xfId="2943" xr:uid="{DC59F40D-F152-419A-9E9C-5F85CCFF5550}"/>
    <cellStyle name="Normal 3 4 4 4 2" xfId="11323" xr:uid="{CD3394CC-5700-41AA-A8E2-67227301AB0F}"/>
    <cellStyle name="Normal 3 4 4 4 2 2" xfId="28083" xr:uid="{230F8432-8516-4E52-A3CB-4C1079F2D713}"/>
    <cellStyle name="Normal 3 4 4 4 2 3" xfId="44842" xr:uid="{76BF5EE2-4742-4D81-B12F-3F5B56C11CA0}"/>
    <cellStyle name="Normal 3 4 4 4 3" xfId="19703" xr:uid="{A713EF63-7C06-4FD6-8F74-4CD82F5B3793}"/>
    <cellStyle name="Normal 3 4 4 4 4" xfId="36462" xr:uid="{3A1AB6FB-2C0C-45DA-9EDF-B4204E91C262}"/>
    <cellStyle name="Normal 3 4 4 5" xfId="9520" xr:uid="{BBB95033-7FA3-4F8E-8AF3-4A7B904CDEC0}"/>
    <cellStyle name="Normal 3 4 4 5 2" xfId="26280" xr:uid="{454E1A74-1558-49DA-9328-E39A4587A98C}"/>
    <cellStyle name="Normal 3 4 4 5 3" xfId="43039" xr:uid="{6DA177A6-33D1-4890-8E4F-AC40C88326B8}"/>
    <cellStyle name="Normal 3 4 4 6" xfId="17900" xr:uid="{F620D6A2-8EED-4F2F-9DB5-0D2AE55DEEA6}"/>
    <cellStyle name="Normal 3 4 4 7" xfId="34659" xr:uid="{AD8B415F-F7F6-47D8-8568-388B9930D938}"/>
    <cellStyle name="Normal 3 4 5" xfId="1559" xr:uid="{F82F09F2-2251-461B-ADEC-2AF51E93D8D9}"/>
    <cellStyle name="Normal 3 4 5 2" xfId="4948" xr:uid="{2530C253-91BB-4D8C-9201-F1899769C14D}"/>
    <cellStyle name="Normal 3 4 5 2 2" xfId="13328" xr:uid="{90E836ED-D529-4FE2-983A-002745F748AD}"/>
    <cellStyle name="Normal 3 4 5 2 2 2" xfId="30088" xr:uid="{2D556041-A41B-4DDB-95D9-5FCDF6CEC70D}"/>
    <cellStyle name="Normal 3 4 5 2 2 3" xfId="46847" xr:uid="{D67C7428-5BAA-4CA8-87D5-BAD428A6F2F9}"/>
    <cellStyle name="Normal 3 4 5 2 3" xfId="21708" xr:uid="{E84EDD77-1F53-445D-A12E-FFE1D51A2204}"/>
    <cellStyle name="Normal 3 4 5 2 4" xfId="38467" xr:uid="{884FF562-DD45-4FC8-A3BD-A6B74C9E2D60}"/>
    <cellStyle name="Normal 3 4 5 3" xfId="6635" xr:uid="{8183506C-6FA4-4C5E-A750-71F8F2CB2DF4}"/>
    <cellStyle name="Normal 3 4 5 3 2" xfId="15015" xr:uid="{24E394EA-906D-4EA1-9C66-A077E7037A22}"/>
    <cellStyle name="Normal 3 4 5 3 2 2" xfId="31775" xr:uid="{15343F0A-8DEF-43CA-8094-ED5F8D9BF8D3}"/>
    <cellStyle name="Normal 3 4 5 3 2 3" xfId="48534" xr:uid="{F51AC64F-A526-44C4-98F7-3247FB2756A5}"/>
    <cellStyle name="Normal 3 4 5 3 3" xfId="23395" xr:uid="{4CF82021-F49C-435F-A8B2-881147BB1BC5}"/>
    <cellStyle name="Normal 3 4 5 3 4" xfId="40154" xr:uid="{D4BA1B89-72CA-49DD-89B8-48C09FD33AD6}"/>
    <cellStyle name="Normal 3 4 5 4" xfId="3371" xr:uid="{D75B3836-B1AB-498F-8E54-EA8352EAB810}"/>
    <cellStyle name="Normal 3 4 5 4 2" xfId="11751" xr:uid="{DC229EFA-7ECE-4949-9870-2C7DD8F7835D}"/>
    <cellStyle name="Normal 3 4 5 4 2 2" xfId="28511" xr:uid="{B2C1ACCC-399C-445C-A103-B76C718386A9}"/>
    <cellStyle name="Normal 3 4 5 4 2 3" xfId="45270" xr:uid="{AD7B16F2-3C50-4E35-BAF3-6E594D0586A1}"/>
    <cellStyle name="Normal 3 4 5 4 3" xfId="20131" xr:uid="{36CFA93E-85A4-4524-8933-0D4671D86F43}"/>
    <cellStyle name="Normal 3 4 5 4 4" xfId="36890" xr:uid="{8BA5CF06-9AA0-456E-B612-CCCFE43EF8FD}"/>
    <cellStyle name="Normal 3 4 5 5" xfId="9948" xr:uid="{83B02790-1695-494B-9532-111C1D30E065}"/>
    <cellStyle name="Normal 3 4 5 5 2" xfId="26708" xr:uid="{A8E95A4B-F0CF-438A-A343-033090DC0361}"/>
    <cellStyle name="Normal 3 4 5 5 3" xfId="43467" xr:uid="{5D324885-D8DA-4704-846D-BE5930573FF4}"/>
    <cellStyle name="Normal 3 4 5 6" xfId="18328" xr:uid="{388CB05B-4556-42BE-A2EA-D29E5E893D8A}"/>
    <cellStyle name="Normal 3 4 5 7" xfId="35087" xr:uid="{E4BE358B-4ADC-4DE6-985E-0771EBC86499}"/>
    <cellStyle name="Normal 3 4 6" xfId="1727" xr:uid="{A806D365-9182-43D7-9F62-65E99FAC8D2C}"/>
    <cellStyle name="Normal 3 4 6 2" xfId="5116" xr:uid="{755C4596-6E58-46BF-BB79-8F0447016810}"/>
    <cellStyle name="Normal 3 4 6 2 2" xfId="13496" xr:uid="{DB30DE7F-0A28-4E9D-9038-B430F8F32B17}"/>
    <cellStyle name="Normal 3 4 6 2 2 2" xfId="30256" xr:uid="{44A00DDC-6B9E-4FFA-A655-34DD3C0823C0}"/>
    <cellStyle name="Normal 3 4 6 2 2 3" xfId="47015" xr:uid="{00F9B5AB-2FE6-4B8A-9434-7ED66232F6ED}"/>
    <cellStyle name="Normal 3 4 6 2 3" xfId="21876" xr:uid="{51486EFA-9C5E-4A7B-A14A-4E2557778283}"/>
    <cellStyle name="Normal 3 4 6 2 4" xfId="38635" xr:uid="{3D17A4F2-58EB-4F03-B4A2-24C551F54D84}"/>
    <cellStyle name="Normal 3 4 6 3" xfId="6803" xr:uid="{ED66A8C7-CBFC-4A62-916E-89C2D48FE731}"/>
    <cellStyle name="Normal 3 4 6 3 2" xfId="15183" xr:uid="{B0D78C55-360D-4A4E-B08C-A5AEED4DAAB6}"/>
    <cellStyle name="Normal 3 4 6 3 2 2" xfId="31943" xr:uid="{98DBFADE-CA2A-493F-9FA6-A71CFDA79132}"/>
    <cellStyle name="Normal 3 4 6 3 2 3" xfId="48702" xr:uid="{0EE01FA7-7A4B-4F47-8423-283F3EEABF39}"/>
    <cellStyle name="Normal 3 4 6 3 3" xfId="23563" xr:uid="{F72EF80B-AC62-4D1E-9890-3FC21441EDEF}"/>
    <cellStyle name="Normal 3 4 6 3 4" xfId="40322" xr:uid="{6F18A34A-6EF0-4EAB-992E-439E9ECF2F11}"/>
    <cellStyle name="Normal 3 4 6 4" xfId="3450" xr:uid="{68B13C44-FCD4-4259-9E42-5C7D390CF1F5}"/>
    <cellStyle name="Normal 3 4 6 4 2" xfId="11830" xr:uid="{AED6420D-26D6-4C9F-B772-E06A9345B672}"/>
    <cellStyle name="Normal 3 4 6 4 2 2" xfId="28590" xr:uid="{2557859A-F283-43EC-966D-66F272C206EF}"/>
    <cellStyle name="Normal 3 4 6 4 2 3" xfId="45349" xr:uid="{5DE3979D-17CA-4785-AACE-C92F37225BC7}"/>
    <cellStyle name="Normal 3 4 6 4 3" xfId="20210" xr:uid="{04BE4564-6548-4BE3-A365-E3BE3B27D5B8}"/>
    <cellStyle name="Normal 3 4 6 4 4" xfId="36969" xr:uid="{91BF0844-606B-4AA3-9594-1E07AF478146}"/>
    <cellStyle name="Normal 3 4 6 5" xfId="10116" xr:uid="{0612656D-F499-45F6-A9D2-BD8619A44801}"/>
    <cellStyle name="Normal 3 4 6 5 2" xfId="26876" xr:uid="{ED8E7453-3928-4BA5-AE16-51A3B8CB18E6}"/>
    <cellStyle name="Normal 3 4 6 5 3" xfId="43635" xr:uid="{2B7E9B0F-1477-4A37-9973-40CFC35B3D9D}"/>
    <cellStyle name="Normal 3 4 6 6" xfId="18496" xr:uid="{FDDD54B7-33E3-4E5C-A15B-2D666D9B1CAF}"/>
    <cellStyle name="Normal 3 4 6 7" xfId="35255" xr:uid="{0BDA337A-7FD2-46C2-8190-3F0CC54B6465}"/>
    <cellStyle name="Normal 3 4 7" xfId="3846" xr:uid="{B5423AD5-83A0-4EDC-BBA0-69F3CCDA2B00}"/>
    <cellStyle name="Normal 3 4 7 2" xfId="12226" xr:uid="{37A73784-D24F-41BF-B2CB-1C060503C17C}"/>
    <cellStyle name="Normal 3 4 7 2 2" xfId="28986" xr:uid="{25DA3541-ABE3-447C-90E3-A209C8E3F47D}"/>
    <cellStyle name="Normal 3 4 7 2 3" xfId="45745" xr:uid="{436C10A4-3B17-4976-A470-31FDAD503CDD}"/>
    <cellStyle name="Normal 3 4 7 3" xfId="20606" xr:uid="{62977CED-7B1F-4284-876D-45693E6B2705}"/>
    <cellStyle name="Normal 3 4 7 4" xfId="37365" xr:uid="{124DD25C-04EC-473C-88E8-79E35D8B8017}"/>
    <cellStyle name="Normal 3 4 8" xfId="5781" xr:uid="{50473DA4-87B0-405C-9A29-F9625E6C7378}"/>
    <cellStyle name="Normal 3 4 8 2" xfId="14161" xr:uid="{4414F154-546F-4CEF-BB38-B87DCD4F2ADF}"/>
    <cellStyle name="Normal 3 4 8 2 2" xfId="30921" xr:uid="{6BD8483D-A39C-442F-9277-C733890F85D7}"/>
    <cellStyle name="Normal 3 4 8 2 3" xfId="47680" xr:uid="{D720BDE9-80C5-4E62-86A1-55F374C7C43F}"/>
    <cellStyle name="Normal 3 4 8 3" xfId="22541" xr:uid="{E8C5EFBF-00CA-4B8E-99A6-7D254E2ACCC2}"/>
    <cellStyle name="Normal 3 4 8 4" xfId="39300" xr:uid="{00470BD8-F87D-471C-82D6-BA1DB0B97CF7}"/>
    <cellStyle name="Normal 3 4 9" xfId="7209" xr:uid="{7638B906-03E5-434E-9262-B1070018E0C0}"/>
    <cellStyle name="Normal 3 4 9 2" xfId="15589" xr:uid="{76A613C0-3454-4058-A396-BF9DACFF914F}"/>
    <cellStyle name="Normal 3 4 9 2 2" xfId="32349" xr:uid="{594FEEE4-57BC-474B-A6B6-9A6F06B43DBC}"/>
    <cellStyle name="Normal 3 4 9 2 3" xfId="49108" xr:uid="{8D4E8821-C74B-44BE-BDF9-5D9C2EC3C9FD}"/>
    <cellStyle name="Normal 3 4 9 3" xfId="23969" xr:uid="{7F242255-FAC6-4815-AF38-B1E948F3C6A2}"/>
    <cellStyle name="Normal 3 4 9 4" xfId="40728" xr:uid="{AEF1DC30-878A-4A8F-BA2B-39331E7C85AD}"/>
    <cellStyle name="Normal 3 5" xfId="689" xr:uid="{3621C19A-EF25-4B9D-8838-155B47BD6AEE}"/>
    <cellStyle name="Normal 3 5 10" xfId="7616" xr:uid="{8B5F1F9E-4303-4D3D-87F7-26DA3E21FAC2}"/>
    <cellStyle name="Normal 3 5 10 2" xfId="15996" xr:uid="{126964C5-9070-4FB9-B51B-EB9B36B76A07}"/>
    <cellStyle name="Normal 3 5 10 2 2" xfId="32756" xr:uid="{4FD69828-9EAC-4CD7-A94A-F455E652F693}"/>
    <cellStyle name="Normal 3 5 10 2 3" xfId="49515" xr:uid="{AFBA5203-21F4-442C-AD63-9F6E4B1347B0}"/>
    <cellStyle name="Normal 3 5 10 3" xfId="24376" xr:uid="{DE844039-6EDE-4E6C-B65D-6554441C927D}"/>
    <cellStyle name="Normal 3 5 10 4" xfId="41135" xr:uid="{9D8ADF17-9B49-4C18-B381-3B248CDBCFEB}"/>
    <cellStyle name="Normal 3 5 11" xfId="8022" xr:uid="{E7AFEDB1-9A32-4450-82E4-5D65C04647AC}"/>
    <cellStyle name="Normal 3 5 11 2" xfId="16402" xr:uid="{CA534006-A357-4ED9-9198-416CD58ED0E5}"/>
    <cellStyle name="Normal 3 5 11 2 2" xfId="33162" xr:uid="{27AEEF53-E7C2-4B3E-B527-04464D441A5E}"/>
    <cellStyle name="Normal 3 5 11 2 3" xfId="49921" xr:uid="{7F405EDE-79F9-46D6-9EE1-1BD1AFA7FEDF}"/>
    <cellStyle name="Normal 3 5 11 3" xfId="24782" xr:uid="{0233AEB7-A1B2-41A8-86E7-31686200ADBE}"/>
    <cellStyle name="Normal 3 5 11 4" xfId="41541" xr:uid="{7A4612BF-BF97-44B2-B9E1-4E99615C46EB}"/>
    <cellStyle name="Normal 3 5 12" xfId="8428" xr:uid="{95F0A849-5714-4CEC-A7F2-CBEB527D5173}"/>
    <cellStyle name="Normal 3 5 12 2" xfId="16808" xr:uid="{54432FE3-3EE7-41A5-A1A4-0D84F503AE80}"/>
    <cellStyle name="Normal 3 5 12 2 2" xfId="33568" xr:uid="{812D0C77-59ED-4247-A707-EC061DCA32AC}"/>
    <cellStyle name="Normal 3 5 12 2 3" xfId="50327" xr:uid="{AA5CBA70-0970-49CA-91C3-B872462F1508}"/>
    <cellStyle name="Normal 3 5 12 3" xfId="25188" xr:uid="{8CA69D02-0262-429C-850D-7B83CDD393B3}"/>
    <cellStyle name="Normal 3 5 12 4" xfId="41947" xr:uid="{0A200BB0-6906-46F4-B4AD-21E4D45CE886}"/>
    <cellStyle name="Normal 3 5 13" xfId="2518" xr:uid="{4BD5082F-11D0-4CE5-A196-9FAA9C0B7C51}"/>
    <cellStyle name="Normal 3 5 13 2" xfId="10900" xr:uid="{209D4AC5-A354-4425-9DFB-4ACAA5D70BF4}"/>
    <cellStyle name="Normal 3 5 13 2 2" xfId="27660" xr:uid="{1E228AF2-C98A-45DE-A66A-D0DF2DDDE92A}"/>
    <cellStyle name="Normal 3 5 13 2 3" xfId="44419" xr:uid="{B31E0DEC-F9E9-489F-81E0-AB0F254C29FE}"/>
    <cellStyle name="Normal 3 5 13 3" xfId="19280" xr:uid="{A40AD53B-1CCF-421B-947F-F1E195E4E713}"/>
    <cellStyle name="Normal 3 5 13 4" xfId="36039" xr:uid="{9C820841-5EDF-4AD4-9A66-37130D9C9F72}"/>
    <cellStyle name="Normal 3 5 14" xfId="9097" xr:uid="{FC2B646B-9EB4-41AE-BEAF-DEDBA48A642C}"/>
    <cellStyle name="Normal 3 5 14 2" xfId="25857" xr:uid="{D95E489C-F165-4BE8-9B9A-86D20A970B7F}"/>
    <cellStyle name="Normal 3 5 14 3" xfId="42616" xr:uid="{675AC7B7-67FA-4958-8FA5-6D4EF0BB1D5C}"/>
    <cellStyle name="Normal 3 5 15" xfId="17477" xr:uid="{BCB4A009-19CD-4367-9BFF-6E87DA0963F2}"/>
    <cellStyle name="Normal 3 5 16" xfId="34236" xr:uid="{7BF34C02-8C60-4CF6-8E2E-2899EB37F45E}"/>
    <cellStyle name="Normal 3 5 17" xfId="50665" xr:uid="{60578C56-5454-4D3C-8D81-BE74FA8E82A9}"/>
    <cellStyle name="Normal 3 5 18" xfId="50713" xr:uid="{75754C55-5D75-4FD9-9CC9-E739A8FF5F14}"/>
    <cellStyle name="Normal 3 5 19" xfId="50758" xr:uid="{E84324CB-9F63-4839-BE51-A686710951AA}"/>
    <cellStyle name="Normal 3 5 2" xfId="690" xr:uid="{FDE2769F-3D7B-462B-B134-7565DB5A891B}"/>
    <cellStyle name="Normal 3 5 2 10" xfId="8568" xr:uid="{B8F0613E-4D23-4210-8611-D24CB01B8029}"/>
    <cellStyle name="Normal 3 5 2 10 2" xfId="16948" xr:uid="{EADCFDA0-AE7C-439B-9459-B48C98989664}"/>
    <cellStyle name="Normal 3 5 2 10 2 2" xfId="33708" xr:uid="{BFEAE37C-DB92-41D4-B0CB-44BA0FEF9DD8}"/>
    <cellStyle name="Normal 3 5 2 10 2 3" xfId="50467" xr:uid="{CD4CAB36-F5F4-404E-8900-98F64FAB0036}"/>
    <cellStyle name="Normal 3 5 2 10 3" xfId="25328" xr:uid="{4F562D48-95E9-4D94-9EC3-34F3285D9A65}"/>
    <cellStyle name="Normal 3 5 2 10 4" xfId="42087" xr:uid="{31D0C0F9-72E5-4D4E-8771-A082DD929547}"/>
    <cellStyle name="Normal 3 5 2 11" xfId="2519" xr:uid="{41F57DB0-219B-46F8-A0D5-E887B1E70450}"/>
    <cellStyle name="Normal 3 5 2 11 2" xfId="10901" xr:uid="{28A410AD-E04E-4598-B896-F34BFE3E6374}"/>
    <cellStyle name="Normal 3 5 2 11 2 2" xfId="27661" xr:uid="{5935CBDE-0254-4E9D-96FD-FD3FE146F1F4}"/>
    <cellStyle name="Normal 3 5 2 11 2 3" xfId="44420" xr:uid="{30770624-F5C6-4A63-A819-A4A123CAEF9E}"/>
    <cellStyle name="Normal 3 5 2 11 3" xfId="19281" xr:uid="{752CFB63-F948-4D24-AA60-02EB54FA1E2C}"/>
    <cellStyle name="Normal 3 5 2 11 4" xfId="36040" xr:uid="{ABDC3493-F13E-4CCF-BEBE-18265793ADA4}"/>
    <cellStyle name="Normal 3 5 2 12" xfId="9098" xr:uid="{05ECC3A7-E8A5-4BF6-8059-407BEE755B88}"/>
    <cellStyle name="Normal 3 5 2 12 2" xfId="25858" xr:uid="{8E9B2728-4733-425F-8DF5-E9E2F6197A91}"/>
    <cellStyle name="Normal 3 5 2 12 3" xfId="42617" xr:uid="{1E3704F0-3039-4F81-B731-C24CB559B9F0}"/>
    <cellStyle name="Normal 3 5 2 13" xfId="17478" xr:uid="{302AB5D0-F9D6-4D94-8FB8-17B0246D50B4}"/>
    <cellStyle name="Normal 3 5 2 14" xfId="34237" xr:uid="{CED656BD-876B-4E27-92C9-32C8D2F2F759}"/>
    <cellStyle name="Normal 3 5 2 15" xfId="51045" xr:uid="{1F8CA31B-47B6-4AEA-9487-D75BC133DCC7}"/>
    <cellStyle name="Normal 3 5 2 16" xfId="51519" xr:uid="{4581CF95-7958-4B20-9C99-83E07094D843}"/>
    <cellStyle name="Normal 3 5 2 17" xfId="51807" xr:uid="{7DB383E5-037E-457E-A2CB-9A7FAA1EFC8B}"/>
    <cellStyle name="Normal 3 5 2 2" xfId="1129" xr:uid="{7499A46D-DC33-4CDA-A0EE-3B25580BE44B}"/>
    <cellStyle name="Normal 3 5 2 2 2" xfId="4524" xr:uid="{4F7F0CFE-6290-439D-B2FE-FC4FA8A3D48E}"/>
    <cellStyle name="Normal 3 5 2 2 2 2" xfId="12904" xr:uid="{23B13245-629C-4716-8F58-EA28BB71504C}"/>
    <cellStyle name="Normal 3 5 2 2 2 2 2" xfId="29664" xr:uid="{8A523FEC-5D7F-44D2-B14A-0D5CA479BFE1}"/>
    <cellStyle name="Normal 3 5 2 2 2 2 3" xfId="46423" xr:uid="{2EB64C9C-2A0B-4A9E-9656-7B7EDC5F6A89}"/>
    <cellStyle name="Normal 3 5 2 2 2 3" xfId="21284" xr:uid="{68EE8BEC-C5BF-4366-ADAE-A121AAC5A9A2}"/>
    <cellStyle name="Normal 3 5 2 2 2 4" xfId="38043" xr:uid="{B9CBBF1C-7EF0-4403-B073-DC404BB0B72B}"/>
    <cellStyle name="Normal 3 5 2 2 3" xfId="6211" xr:uid="{977340FA-D9AF-4667-B0E6-B2CA637321BE}"/>
    <cellStyle name="Normal 3 5 2 2 3 2" xfId="14591" xr:uid="{4553D0EE-8999-41BC-AFD6-9D7E2E7A7199}"/>
    <cellStyle name="Normal 3 5 2 2 3 2 2" xfId="31351" xr:uid="{9A0B3F12-199C-4CC0-ACAA-D85CEA27F547}"/>
    <cellStyle name="Normal 3 5 2 2 3 2 3" xfId="48110" xr:uid="{931AE84F-1EEB-43D8-AAC3-EEA6E40DB29D}"/>
    <cellStyle name="Normal 3 5 2 2 3 3" xfId="22971" xr:uid="{1FD8AB29-5C19-41E2-8772-1A5DC8448A96}"/>
    <cellStyle name="Normal 3 5 2 2 3 4" xfId="39730" xr:uid="{6BBDECCD-A9E0-4742-B46C-C6291DE613BE}"/>
    <cellStyle name="Normal 3 5 2 2 4" xfId="2947" xr:uid="{8BEFF17F-C0B5-4790-92D5-B8E97BC763A1}"/>
    <cellStyle name="Normal 3 5 2 2 4 2" xfId="11327" xr:uid="{2B672410-CBF7-401F-A164-BDA5DEA4B1AA}"/>
    <cellStyle name="Normal 3 5 2 2 4 2 2" xfId="28087" xr:uid="{EC02718D-B29F-44A2-9CD9-B2A544BABAF9}"/>
    <cellStyle name="Normal 3 5 2 2 4 2 3" xfId="44846" xr:uid="{F8DAB6E6-C68A-4119-9286-F8898D83CC80}"/>
    <cellStyle name="Normal 3 5 2 2 4 3" xfId="19707" xr:uid="{251C8902-C524-406A-A63D-786C2D748D1A}"/>
    <cellStyle name="Normal 3 5 2 2 4 4" xfId="36466" xr:uid="{60A77864-E281-42A6-BB78-C437930E4079}"/>
    <cellStyle name="Normal 3 5 2 2 5" xfId="9524" xr:uid="{9F2E13E4-0823-4AD3-A98A-C60BA93A0E7A}"/>
    <cellStyle name="Normal 3 5 2 2 5 2" xfId="26284" xr:uid="{8876751E-178C-479A-AC86-7B82C036CA65}"/>
    <cellStyle name="Normal 3 5 2 2 5 3" xfId="43043" xr:uid="{633B9153-46CA-443D-9884-A7EB56878E58}"/>
    <cellStyle name="Normal 3 5 2 2 6" xfId="17904" xr:uid="{8EC306DE-C4F9-4F7A-8A1C-A306A5A6607A}"/>
    <cellStyle name="Normal 3 5 2 2 7" xfId="34663" xr:uid="{821DAD01-601E-4F97-81EF-9DE09D0F4447}"/>
    <cellStyle name="Normal 3 5 2 3" xfId="1563" xr:uid="{01A57204-6D38-46D1-AC86-7A78F7A7249D}"/>
    <cellStyle name="Normal 3 5 2 3 2" xfId="4952" xr:uid="{F104C69D-15E7-461D-92F8-50648637CBC0}"/>
    <cellStyle name="Normal 3 5 2 3 2 2" xfId="13332" xr:uid="{4D952612-10BC-42A9-B3A5-637CDA92EA51}"/>
    <cellStyle name="Normal 3 5 2 3 2 2 2" xfId="30092" xr:uid="{87B3DF57-07D7-42EF-8329-7EA7FEE9054A}"/>
    <cellStyle name="Normal 3 5 2 3 2 2 3" xfId="46851" xr:uid="{0959A730-F08D-41D4-8894-3D1A95360D5F}"/>
    <cellStyle name="Normal 3 5 2 3 2 3" xfId="21712" xr:uid="{19703A47-D09B-49BB-92FC-95D3AB24C7DE}"/>
    <cellStyle name="Normal 3 5 2 3 2 4" xfId="38471" xr:uid="{21384899-5932-4933-8226-FB1072FFB35A}"/>
    <cellStyle name="Normal 3 5 2 3 3" xfId="6639" xr:uid="{D421DAAC-7DB8-42D5-8A89-1F1E29BBEA01}"/>
    <cellStyle name="Normal 3 5 2 3 3 2" xfId="15019" xr:uid="{A1614CF8-6ED8-4808-8D7E-90DDD9811156}"/>
    <cellStyle name="Normal 3 5 2 3 3 2 2" xfId="31779" xr:uid="{288EBB3A-96C9-412B-B70C-D7F487E826B9}"/>
    <cellStyle name="Normal 3 5 2 3 3 2 3" xfId="48538" xr:uid="{A3AA3C7A-77DD-427F-AF65-4D12A7E22170}"/>
    <cellStyle name="Normal 3 5 2 3 3 3" xfId="23399" xr:uid="{3D0ED609-F7C5-4177-A378-0B969257BC3E}"/>
    <cellStyle name="Normal 3 5 2 3 3 4" xfId="40158" xr:uid="{734B50A2-0243-45F6-9D05-98FA2DF4CEFB}"/>
    <cellStyle name="Normal 3 5 2 3 4" xfId="3375" xr:uid="{06077711-23E0-478A-8AE3-F823B849AF5B}"/>
    <cellStyle name="Normal 3 5 2 3 4 2" xfId="11755" xr:uid="{32670E01-D10C-4505-880E-C3A78891B530}"/>
    <cellStyle name="Normal 3 5 2 3 4 2 2" xfId="28515" xr:uid="{E869F57A-9CC8-4754-A6E2-68C135ED1F1F}"/>
    <cellStyle name="Normal 3 5 2 3 4 2 3" xfId="45274" xr:uid="{5F60D8EC-5787-40ED-8143-326AC781ED37}"/>
    <cellStyle name="Normal 3 5 2 3 4 3" xfId="20135" xr:uid="{21C7AE64-3C87-485D-8FFF-2D7489E15BF7}"/>
    <cellStyle name="Normal 3 5 2 3 4 4" xfId="36894" xr:uid="{E95B8C5A-15AE-438E-9228-80DECF642F94}"/>
    <cellStyle name="Normal 3 5 2 3 5" xfId="9952" xr:uid="{10DBA635-D4C2-44E4-AD37-EC2B2E1249CD}"/>
    <cellStyle name="Normal 3 5 2 3 5 2" xfId="26712" xr:uid="{60A05920-80D9-4990-8E77-36DB80886533}"/>
    <cellStyle name="Normal 3 5 2 3 5 3" xfId="43471" xr:uid="{E1233338-7145-47A7-B5F7-9426BABCFF52}"/>
    <cellStyle name="Normal 3 5 2 3 6" xfId="18332" xr:uid="{E7D67AE2-F21F-4199-AA55-A3F7163FDE3E}"/>
    <cellStyle name="Normal 3 5 2 3 7" xfId="35091" xr:uid="{D27EDDD6-15FB-4D15-B590-C625F78A3E64}"/>
    <cellStyle name="Normal 3 5 2 4" xfId="1868" xr:uid="{EA9A38FD-7B52-4B51-985B-ED43F6FA7110}"/>
    <cellStyle name="Normal 3 5 2 4 2" xfId="5257" xr:uid="{6970096D-F28C-44FE-B814-557F08835FE3}"/>
    <cellStyle name="Normal 3 5 2 4 2 2" xfId="13637" xr:uid="{BE017071-6606-4151-B0AB-FD30D68AEF62}"/>
    <cellStyle name="Normal 3 5 2 4 2 2 2" xfId="30397" xr:uid="{F17255D5-550E-458E-8F08-EC3EC4C153B0}"/>
    <cellStyle name="Normal 3 5 2 4 2 2 3" xfId="47156" xr:uid="{7CFC5938-3696-4FD6-A6B2-4EAC9BE68784}"/>
    <cellStyle name="Normal 3 5 2 4 2 3" xfId="22017" xr:uid="{45212730-DA89-407D-B8A9-0EBE90277A26}"/>
    <cellStyle name="Normal 3 5 2 4 2 4" xfId="38776" xr:uid="{3A518B0B-289C-4FE9-903D-4438ACFD9B4F}"/>
    <cellStyle name="Normal 3 5 2 4 3" xfId="6944" xr:uid="{342F74E3-B5FC-4122-9D70-A04DA24270F0}"/>
    <cellStyle name="Normal 3 5 2 4 3 2" xfId="15324" xr:uid="{436F30B7-1296-4D82-B890-E7BF4A94E5BE}"/>
    <cellStyle name="Normal 3 5 2 4 3 2 2" xfId="32084" xr:uid="{B6B2721C-07AC-4648-9470-415FA3A1BDA9}"/>
    <cellStyle name="Normal 3 5 2 4 3 2 3" xfId="48843" xr:uid="{E9DFA416-493A-4154-B6FA-46F60BE2DE77}"/>
    <cellStyle name="Normal 3 5 2 4 3 3" xfId="23704" xr:uid="{8E0A0C72-E604-40F8-91BF-4A76C1158626}"/>
    <cellStyle name="Normal 3 5 2 4 3 4" xfId="40463" xr:uid="{E44BCF52-9FCE-434D-BE52-9E5AC9E4ECB7}"/>
    <cellStyle name="Normal 3 5 2 4 4" xfId="3567" xr:uid="{B495D58E-EA8F-449A-BE10-484EEB5089F0}"/>
    <cellStyle name="Normal 3 5 2 4 4 2" xfId="11947" xr:uid="{556A3360-F8D4-40BA-972A-CAA2DF7E7FAF}"/>
    <cellStyle name="Normal 3 5 2 4 4 2 2" xfId="28707" xr:uid="{26C91327-47EA-4AE8-9D0C-B48C0FD7DF26}"/>
    <cellStyle name="Normal 3 5 2 4 4 2 3" xfId="45466" xr:uid="{028BD90B-F127-42A6-A38B-93DF8ED134CA}"/>
    <cellStyle name="Normal 3 5 2 4 4 3" xfId="20327" xr:uid="{609A77D8-48B0-4BCF-AC9D-793EFA1BB54F}"/>
    <cellStyle name="Normal 3 5 2 4 4 4" xfId="37086" xr:uid="{D916890A-8AA1-45A2-B3AE-208602A2051C}"/>
    <cellStyle name="Normal 3 5 2 4 5" xfId="10257" xr:uid="{EDE15240-1618-435E-8019-904EF942C8EC}"/>
    <cellStyle name="Normal 3 5 2 4 5 2" xfId="27017" xr:uid="{6591C12E-18D8-4281-B024-076A7EE44A11}"/>
    <cellStyle name="Normal 3 5 2 4 5 3" xfId="43776" xr:uid="{448D716C-02AA-4371-B135-8C816AFF1AE9}"/>
    <cellStyle name="Normal 3 5 2 4 6" xfId="18637" xr:uid="{909C03B6-39D4-4C06-9462-B3B44C32CA79}"/>
    <cellStyle name="Normal 3 5 2 4 7" xfId="35396" xr:uid="{5C5CBA9E-1787-49BF-9533-D30687E1D468}"/>
    <cellStyle name="Normal 3 5 2 5" xfId="3987" xr:uid="{DE2C16D3-0DB9-4E02-A9CD-46E1C66D12F6}"/>
    <cellStyle name="Normal 3 5 2 5 2" xfId="12367" xr:uid="{B946628F-A815-4D13-AB0C-7E4F682B5A22}"/>
    <cellStyle name="Normal 3 5 2 5 2 2" xfId="29127" xr:uid="{577D817F-1C95-4027-98DA-55DE8370E7BA}"/>
    <cellStyle name="Normal 3 5 2 5 2 3" xfId="45886" xr:uid="{C4F47BE3-4FF8-468D-84FA-CA4C8003DACD}"/>
    <cellStyle name="Normal 3 5 2 5 3" xfId="20747" xr:uid="{4E93E2E2-CAEA-45BD-ACD0-97CDA860358F}"/>
    <cellStyle name="Normal 3 5 2 5 4" xfId="37506" xr:uid="{A0A94DD1-286F-4080-9BB6-1FBF060D649B}"/>
    <cellStyle name="Normal 3 5 2 6" xfId="5785" xr:uid="{2AE5EC93-7F2F-4794-9466-C0DC8069A02B}"/>
    <cellStyle name="Normal 3 5 2 6 2" xfId="14165" xr:uid="{09808084-8A88-460C-AB0A-98FE99903F8F}"/>
    <cellStyle name="Normal 3 5 2 6 2 2" xfId="30925" xr:uid="{93BFAF56-FB85-4716-B536-AF766609989E}"/>
    <cellStyle name="Normal 3 5 2 6 2 3" xfId="47684" xr:uid="{D6801584-73DF-4B3F-92D1-6355AF8B06AA}"/>
    <cellStyle name="Normal 3 5 2 6 3" xfId="22545" xr:uid="{F2EB2812-F24B-45D8-8D41-E5451E4E0382}"/>
    <cellStyle name="Normal 3 5 2 6 4" xfId="39304" xr:uid="{2597382B-844F-4BC1-A672-E3D02253B4A6}"/>
    <cellStyle name="Normal 3 5 2 7" xfId="7350" xr:uid="{7FA17A60-7633-47D6-A7B6-560E87322322}"/>
    <cellStyle name="Normal 3 5 2 7 2" xfId="15730" xr:uid="{44642579-8463-4B28-B940-92099757C221}"/>
    <cellStyle name="Normal 3 5 2 7 2 2" xfId="32490" xr:uid="{3F3C6A06-6CED-4897-916D-79A614AE588D}"/>
    <cellStyle name="Normal 3 5 2 7 2 3" xfId="49249" xr:uid="{381C1FC1-339C-4D3A-9A9F-41CE5ACEBBEE}"/>
    <cellStyle name="Normal 3 5 2 7 3" xfId="24110" xr:uid="{DE78195F-4AA4-49D9-BC16-046A6027A9CD}"/>
    <cellStyle name="Normal 3 5 2 7 4" xfId="40869" xr:uid="{6CE7A960-A26F-416A-8058-8827E7E3F435}"/>
    <cellStyle name="Normal 3 5 2 8" xfId="7756" xr:uid="{20718662-4341-4C94-8B1B-EC094DAF7E6A}"/>
    <cellStyle name="Normal 3 5 2 8 2" xfId="16136" xr:uid="{22D4EDBC-9CB9-4CA6-AD8D-1B3A6D3F2444}"/>
    <cellStyle name="Normal 3 5 2 8 2 2" xfId="32896" xr:uid="{FF0F3FCD-ACBD-48C1-A169-10129AF28BEB}"/>
    <cellStyle name="Normal 3 5 2 8 2 3" xfId="49655" xr:uid="{4AD77CB3-8593-45FD-BD48-74470ABF4707}"/>
    <cellStyle name="Normal 3 5 2 8 3" xfId="24516" xr:uid="{39891CAF-2FCC-493D-BE60-8BA6F0F94866}"/>
    <cellStyle name="Normal 3 5 2 8 4" xfId="41275" xr:uid="{AF30953B-C608-449E-A205-54C941F79590}"/>
    <cellStyle name="Normal 3 5 2 9" xfId="8162" xr:uid="{240B5557-1FF1-44AF-B85C-9838941CC8F9}"/>
    <cellStyle name="Normal 3 5 2 9 2" xfId="16542" xr:uid="{4BA544A1-6D35-4B89-AA98-F5F35D4A692F}"/>
    <cellStyle name="Normal 3 5 2 9 2 2" xfId="33302" xr:uid="{DA5A8580-2FC6-495D-B564-A97657D8AAF8}"/>
    <cellStyle name="Normal 3 5 2 9 2 3" xfId="50061" xr:uid="{97728841-D3E4-4BCB-B314-4ED2003E6D56}"/>
    <cellStyle name="Normal 3 5 2 9 3" xfId="24922" xr:uid="{4228FCB8-6D52-4460-8416-343F7FA282BF}"/>
    <cellStyle name="Normal 3 5 2 9 4" xfId="41681" xr:uid="{36826302-38AF-4A04-9D64-75A577E4C157}"/>
    <cellStyle name="Normal 3 5 20" xfId="50789" xr:uid="{D04C22C5-AE21-45BB-AF45-F5F6DC16B6DA}"/>
    <cellStyle name="Normal 3 5 21" xfId="51284" xr:uid="{F45A9047-88AA-49CC-ADEF-63BA8B2EE02A}"/>
    <cellStyle name="Normal 3 5 22" xfId="51776" xr:uid="{65D78E40-129E-4619-A29A-E36D1FE1F3AE}"/>
    <cellStyle name="Normal 3 5 3" xfId="691" xr:uid="{96796A95-33B3-40CD-B41A-41017DCB7BAB}"/>
    <cellStyle name="Normal 3 5 3 10" xfId="8699" xr:uid="{E9A83601-7BF1-427E-8B6E-9D8E62695630}"/>
    <cellStyle name="Normal 3 5 3 10 2" xfId="17079" xr:uid="{B99C28F0-0657-4CED-B801-0F4335442979}"/>
    <cellStyle name="Normal 3 5 3 10 2 2" xfId="33839" xr:uid="{37F7A983-127A-4435-B289-9148C8E1BC7C}"/>
    <cellStyle name="Normal 3 5 3 10 2 3" xfId="50598" xr:uid="{066E2A52-8DF8-455F-B758-0C62A88A4AF1}"/>
    <cellStyle name="Normal 3 5 3 10 3" xfId="25459" xr:uid="{975500A1-A24B-477A-90F2-7A563356C19A}"/>
    <cellStyle name="Normal 3 5 3 10 4" xfId="42218" xr:uid="{91BF8EE2-7E51-4E6A-A231-CCE2722A3452}"/>
    <cellStyle name="Normal 3 5 3 11" xfId="2520" xr:uid="{3CF7CD5C-4E99-41E3-8496-68A3C46A7ED8}"/>
    <cellStyle name="Normal 3 5 3 11 2" xfId="10902" xr:uid="{D891E0CD-55E8-4F12-A5E4-4811F2B99ADB}"/>
    <cellStyle name="Normal 3 5 3 11 2 2" xfId="27662" xr:uid="{F7CEB85F-C390-4EC9-A9C3-CC0B3A704F77}"/>
    <cellStyle name="Normal 3 5 3 11 2 3" xfId="44421" xr:uid="{0AA1AD45-FFB0-442F-A83F-768228EB0B12}"/>
    <cellStyle name="Normal 3 5 3 11 3" xfId="19282" xr:uid="{D321FBB9-E51D-4F84-9168-EF1C9C8FA256}"/>
    <cellStyle name="Normal 3 5 3 11 4" xfId="36041" xr:uid="{CA7E800E-54A9-4ED2-81FE-C9DCB3ACD2CB}"/>
    <cellStyle name="Normal 3 5 3 12" xfId="9099" xr:uid="{315685CF-A000-417E-B051-D0980AE85E35}"/>
    <cellStyle name="Normal 3 5 3 12 2" xfId="25859" xr:uid="{6F04FE0E-99CB-4C87-B0F3-C4DC94954F7A}"/>
    <cellStyle name="Normal 3 5 3 12 3" xfId="42618" xr:uid="{26E681FF-E698-4D2E-A307-19B7BBB49BF7}"/>
    <cellStyle name="Normal 3 5 3 13" xfId="17479" xr:uid="{59D8FD9F-441E-47DF-971F-EA15DFAEE599}"/>
    <cellStyle name="Normal 3 5 3 14" xfId="34238" xr:uid="{E5DD2B86-AE8D-404C-8C75-721C1D86AA59}"/>
    <cellStyle name="Normal 3 5 3 15" xfId="51269" xr:uid="{386DB40B-136E-4522-838C-767A09B62481}"/>
    <cellStyle name="Normal 3 5 3 2" xfId="1130" xr:uid="{B826ABEA-1352-4C82-AF5B-7133E8B50AA7}"/>
    <cellStyle name="Normal 3 5 3 2 2" xfId="4525" xr:uid="{6B809BE0-2525-4E4E-BD65-CB833C68C31E}"/>
    <cellStyle name="Normal 3 5 3 2 2 2" xfId="12905" xr:uid="{5A5682C4-A733-43F3-A9EF-26F1C222F460}"/>
    <cellStyle name="Normal 3 5 3 2 2 2 2" xfId="29665" xr:uid="{03059A53-14D9-4CE2-AA21-2425136DABE5}"/>
    <cellStyle name="Normal 3 5 3 2 2 2 3" xfId="46424" xr:uid="{3F643FD3-75FF-47CA-9622-7E2F085E630E}"/>
    <cellStyle name="Normal 3 5 3 2 2 3" xfId="21285" xr:uid="{F3FE08A0-11DD-42A6-9459-937C5271F016}"/>
    <cellStyle name="Normal 3 5 3 2 2 4" xfId="38044" xr:uid="{9BDF17C4-BBFD-4104-B72A-846A737EE75F}"/>
    <cellStyle name="Normal 3 5 3 2 3" xfId="6212" xr:uid="{63B8699A-7B22-4251-A7E5-7220C0FE2CB3}"/>
    <cellStyle name="Normal 3 5 3 2 3 2" xfId="14592" xr:uid="{89A0B6ED-31BC-4AF1-97B3-394FDEED2883}"/>
    <cellStyle name="Normal 3 5 3 2 3 2 2" xfId="31352" xr:uid="{EAA63EDD-15D8-457F-96DC-515533DB0B92}"/>
    <cellStyle name="Normal 3 5 3 2 3 2 3" xfId="48111" xr:uid="{4675BFF2-2D64-4A83-AD0F-749AEC1ACD88}"/>
    <cellStyle name="Normal 3 5 3 2 3 3" xfId="22972" xr:uid="{30CF20BD-A8EB-4818-A185-579A254C1A6F}"/>
    <cellStyle name="Normal 3 5 3 2 3 4" xfId="39731" xr:uid="{0857B763-8F84-4F41-8070-08554B562109}"/>
    <cellStyle name="Normal 3 5 3 2 4" xfId="2948" xr:uid="{609DE150-DD27-4D09-B23E-FD83308E82DB}"/>
    <cellStyle name="Normal 3 5 3 2 4 2" xfId="11328" xr:uid="{68F393DB-1517-41EE-ABF9-CBAFE206D8CA}"/>
    <cellStyle name="Normal 3 5 3 2 4 2 2" xfId="28088" xr:uid="{91EE1628-E792-4232-865C-EAA9105EDB41}"/>
    <cellStyle name="Normal 3 5 3 2 4 2 3" xfId="44847" xr:uid="{C3BA91FE-BE83-4E29-978F-E60A55ED065D}"/>
    <cellStyle name="Normal 3 5 3 2 4 3" xfId="19708" xr:uid="{500A6CD1-89E9-4FE2-B191-0601A0D186D6}"/>
    <cellStyle name="Normal 3 5 3 2 4 4" xfId="36467" xr:uid="{4C9367BC-BEDD-4BD8-A817-57C2E515BCCA}"/>
    <cellStyle name="Normal 3 5 3 2 5" xfId="9525" xr:uid="{E4BBB837-EB9E-4B0E-9D58-E0F2980EB70B}"/>
    <cellStyle name="Normal 3 5 3 2 5 2" xfId="26285" xr:uid="{3ACA895F-A1E1-44BF-941F-36E786316E00}"/>
    <cellStyle name="Normal 3 5 3 2 5 3" xfId="43044" xr:uid="{743D7D95-A54D-41D5-9038-822F101E6B70}"/>
    <cellStyle name="Normal 3 5 3 2 6" xfId="17905" xr:uid="{0A677D0A-42C2-4AF2-B803-53B7C2FDA648}"/>
    <cellStyle name="Normal 3 5 3 2 7" xfId="34664" xr:uid="{7FEA647D-B426-47C4-8837-81C160CCF17E}"/>
    <cellStyle name="Normal 3 5 3 3" xfId="1564" xr:uid="{23EFD687-B51F-45E0-81CC-985C71B2AB4F}"/>
    <cellStyle name="Normal 3 5 3 3 2" xfId="4953" xr:uid="{4FE883F7-A8E7-4E2B-938E-0313457544FF}"/>
    <cellStyle name="Normal 3 5 3 3 2 2" xfId="13333" xr:uid="{9B0D7F90-8324-428A-B4DC-1B7F64A6D93D}"/>
    <cellStyle name="Normal 3 5 3 3 2 2 2" xfId="30093" xr:uid="{69994DA3-EF9D-48A1-A4D4-76B90F00C10A}"/>
    <cellStyle name="Normal 3 5 3 3 2 2 3" xfId="46852" xr:uid="{F3E6303B-BF52-4341-9407-732B14574522}"/>
    <cellStyle name="Normal 3 5 3 3 2 3" xfId="21713" xr:uid="{3E238862-9233-4DEF-931F-250E2B73F360}"/>
    <cellStyle name="Normal 3 5 3 3 2 4" xfId="38472" xr:uid="{05A1CEBC-BA34-4844-9DD7-5A7D5391CECC}"/>
    <cellStyle name="Normal 3 5 3 3 3" xfId="6640" xr:uid="{5878920E-B59F-491D-A9FA-2DA29BCCE182}"/>
    <cellStyle name="Normal 3 5 3 3 3 2" xfId="15020" xr:uid="{0E2DF159-1196-4DA7-ADC0-240172C2C733}"/>
    <cellStyle name="Normal 3 5 3 3 3 2 2" xfId="31780" xr:uid="{4D2BC35C-5192-43D7-A916-F68C8DCACE29}"/>
    <cellStyle name="Normal 3 5 3 3 3 2 3" xfId="48539" xr:uid="{109E35A2-4F21-4B5A-99BC-9A76EC7F5595}"/>
    <cellStyle name="Normal 3 5 3 3 3 3" xfId="23400" xr:uid="{6D92BCAD-7029-4C2E-BDAE-10B13EE3F91D}"/>
    <cellStyle name="Normal 3 5 3 3 3 4" xfId="40159" xr:uid="{6DDD22BD-8D68-494F-9E38-7D54B1F1B69E}"/>
    <cellStyle name="Normal 3 5 3 3 4" xfId="3376" xr:uid="{BC7E5BA0-B4E2-4E9E-AEBA-597F581AD9C7}"/>
    <cellStyle name="Normal 3 5 3 3 4 2" xfId="11756" xr:uid="{72E0D831-1C0E-4DA9-A38E-9F1E969A12AA}"/>
    <cellStyle name="Normal 3 5 3 3 4 2 2" xfId="28516" xr:uid="{955682D4-FE1C-4911-84CC-FA668288E349}"/>
    <cellStyle name="Normal 3 5 3 3 4 2 3" xfId="45275" xr:uid="{635800B3-5168-4555-950D-0A78859E414F}"/>
    <cellStyle name="Normal 3 5 3 3 4 3" xfId="20136" xr:uid="{7B3C4DBC-F78B-4AE9-A28A-815BC88A02BF}"/>
    <cellStyle name="Normal 3 5 3 3 4 4" xfId="36895" xr:uid="{83AB20BE-0D1F-40CF-B968-F428A85CE084}"/>
    <cellStyle name="Normal 3 5 3 3 5" xfId="9953" xr:uid="{51CFA812-8399-436A-9D96-80C6105F1026}"/>
    <cellStyle name="Normal 3 5 3 3 5 2" xfId="26713" xr:uid="{60CF5052-DC1C-419D-B2E8-9349ED59EDC4}"/>
    <cellStyle name="Normal 3 5 3 3 5 3" xfId="43472" xr:uid="{96B7D6D4-9951-42A1-9635-C47C8BDD1698}"/>
    <cellStyle name="Normal 3 5 3 3 6" xfId="18333" xr:uid="{B2C714E6-DC4E-41AB-81FD-BD2D029DDC39}"/>
    <cellStyle name="Normal 3 5 3 3 7" xfId="35092" xr:uid="{E52B97D6-3550-4BBE-9F9D-0BDF84DB5A06}"/>
    <cellStyle name="Normal 3 5 3 4" xfId="1999" xr:uid="{4BA1FA05-96CB-44D3-8D5C-CCDA84130AD9}"/>
    <cellStyle name="Normal 3 5 3 4 2" xfId="5388" xr:uid="{30D8672B-8B11-490B-971E-EDF138CF53EF}"/>
    <cellStyle name="Normal 3 5 3 4 2 2" xfId="13768" xr:uid="{4D52A4EF-2E83-4A5F-9703-37043C3BC3AB}"/>
    <cellStyle name="Normal 3 5 3 4 2 2 2" xfId="30528" xr:uid="{ED1384FB-899E-45C2-8907-7105994C9BCF}"/>
    <cellStyle name="Normal 3 5 3 4 2 2 3" xfId="47287" xr:uid="{989ACAC6-D7AB-4861-B1A8-794B453CE2C1}"/>
    <cellStyle name="Normal 3 5 3 4 2 3" xfId="22148" xr:uid="{279265AF-6C46-4CD5-9063-24F7E916B970}"/>
    <cellStyle name="Normal 3 5 3 4 2 4" xfId="38907" xr:uid="{CDFDE9F3-58C5-4475-9F66-1D9ED5389EC8}"/>
    <cellStyle name="Normal 3 5 3 4 3" xfId="7075" xr:uid="{96F2015E-1BEC-4DD1-802D-E6FBFE79159F}"/>
    <cellStyle name="Normal 3 5 3 4 3 2" xfId="15455" xr:uid="{B2E4EE7A-FB69-4F35-ADDA-BD4F4679B4CD}"/>
    <cellStyle name="Normal 3 5 3 4 3 2 2" xfId="32215" xr:uid="{1A6266F5-C10C-45A8-824F-26EA55F7BF1D}"/>
    <cellStyle name="Normal 3 5 3 4 3 2 3" xfId="48974" xr:uid="{BFFAC5D6-BB33-4544-AA63-7F0E7AA8BC71}"/>
    <cellStyle name="Normal 3 5 3 4 3 3" xfId="23835" xr:uid="{D100CEFF-A738-477A-B931-2DA5E1B05324}"/>
    <cellStyle name="Normal 3 5 3 4 3 4" xfId="40594" xr:uid="{7C8F83B4-7FF1-48AE-915F-65E8CD775381}"/>
    <cellStyle name="Normal 3 5 3 4 4" xfId="3698" xr:uid="{3A85DAD3-6FD1-4210-9DB6-827CEDF3DACD}"/>
    <cellStyle name="Normal 3 5 3 4 4 2" xfId="12078" xr:uid="{5B43C2FE-3ABF-4F52-A2D5-7B905A45E4FA}"/>
    <cellStyle name="Normal 3 5 3 4 4 2 2" xfId="28838" xr:uid="{703D7EDE-187F-4C9E-9372-22D8F18BAE93}"/>
    <cellStyle name="Normal 3 5 3 4 4 2 3" xfId="45597" xr:uid="{1065F484-A1D6-453C-924A-2A059876D0F1}"/>
    <cellStyle name="Normal 3 5 3 4 4 3" xfId="20458" xr:uid="{86C86939-934B-44A8-8361-A041A225AF6B}"/>
    <cellStyle name="Normal 3 5 3 4 4 4" xfId="37217" xr:uid="{9CBEC20B-4FFF-4658-B44E-BA877AAB44D8}"/>
    <cellStyle name="Normal 3 5 3 4 5" xfId="10388" xr:uid="{584794E4-B659-417A-B95B-8C975B7F44CE}"/>
    <cellStyle name="Normal 3 5 3 4 5 2" xfId="27148" xr:uid="{BE223652-8A48-4435-BD86-DB5EFB44527F}"/>
    <cellStyle name="Normal 3 5 3 4 5 3" xfId="43907" xr:uid="{85BDE617-06DB-4E66-94E5-678C28B82866}"/>
    <cellStyle name="Normal 3 5 3 4 6" xfId="18768" xr:uid="{211AE09C-86A0-4C3C-9C8E-C6137FA3E531}"/>
    <cellStyle name="Normal 3 5 3 4 7" xfId="35527" xr:uid="{392E6B9E-AA53-432E-8F0F-0285ED78E1F0}"/>
    <cellStyle name="Normal 3 5 3 5" xfId="4118" xr:uid="{197F37EE-A2FE-4691-BB73-BFD13214B39C}"/>
    <cellStyle name="Normal 3 5 3 5 2" xfId="12498" xr:uid="{013F1911-5E6A-4D13-AE45-01788AEF3E7D}"/>
    <cellStyle name="Normal 3 5 3 5 2 2" xfId="29258" xr:uid="{F1EE0097-58A0-4C92-859C-A3D9478F6F1A}"/>
    <cellStyle name="Normal 3 5 3 5 2 3" xfId="46017" xr:uid="{0A857FA0-6328-4975-8BF5-1FFE899E3B6F}"/>
    <cellStyle name="Normal 3 5 3 5 3" xfId="20878" xr:uid="{B59A99B2-D5E2-46B8-B838-952CE251F320}"/>
    <cellStyle name="Normal 3 5 3 5 4" xfId="37637" xr:uid="{F78F5D87-0A04-4433-B169-4C938EF6E170}"/>
    <cellStyle name="Normal 3 5 3 6" xfId="5786" xr:uid="{BACDFEEA-AEDA-4F4C-9165-E683C8FBDCDC}"/>
    <cellStyle name="Normal 3 5 3 6 2" xfId="14166" xr:uid="{DE8E7C12-8931-40C1-9AB3-E9FCCF1E3E49}"/>
    <cellStyle name="Normal 3 5 3 6 2 2" xfId="30926" xr:uid="{FF019734-E65D-486D-A943-09C4A4B41504}"/>
    <cellStyle name="Normal 3 5 3 6 2 3" xfId="47685" xr:uid="{A22BF772-9F57-4934-B77B-470842BA6D3B}"/>
    <cellStyle name="Normal 3 5 3 6 3" xfId="22546" xr:uid="{B0F49959-BC08-475A-88F5-41D8AC57E8B4}"/>
    <cellStyle name="Normal 3 5 3 6 4" xfId="39305" xr:uid="{9E409C36-AE2C-4146-9239-69309E030A25}"/>
    <cellStyle name="Normal 3 5 3 7" xfId="7481" xr:uid="{5FC352EF-74A7-4AAE-9C55-DEB11D952895}"/>
    <cellStyle name="Normal 3 5 3 7 2" xfId="15861" xr:uid="{CF40E34E-3A9E-414F-9F2D-1E978A2BE087}"/>
    <cellStyle name="Normal 3 5 3 7 2 2" xfId="32621" xr:uid="{BEC92609-15FD-42CC-BDD7-22DAA81CDEA9}"/>
    <cellStyle name="Normal 3 5 3 7 2 3" xfId="49380" xr:uid="{D4D5D8DE-E504-4C92-9E80-1FCD35F402F5}"/>
    <cellStyle name="Normal 3 5 3 7 3" xfId="24241" xr:uid="{29721E8C-17A0-4030-B14B-5A1E1E3FDC5C}"/>
    <cellStyle name="Normal 3 5 3 7 4" xfId="41000" xr:uid="{A9D282BA-5779-4510-984D-966E37562A6F}"/>
    <cellStyle name="Normal 3 5 3 8" xfId="7887" xr:uid="{6A8404CB-82A3-4C5C-B7F2-3E599C6B53B6}"/>
    <cellStyle name="Normal 3 5 3 8 2" xfId="16267" xr:uid="{6EF2A16A-48DC-45E5-947B-D27773ADD0ED}"/>
    <cellStyle name="Normal 3 5 3 8 2 2" xfId="33027" xr:uid="{B849FB76-C95E-471E-A651-E064514F3AFB}"/>
    <cellStyle name="Normal 3 5 3 8 2 3" xfId="49786" xr:uid="{865AF493-B068-4E7D-A2FB-AC4BC9B434FC}"/>
    <cellStyle name="Normal 3 5 3 8 3" xfId="24647" xr:uid="{85D2A0B8-0038-42E5-B4BA-A37B16DE06E8}"/>
    <cellStyle name="Normal 3 5 3 8 4" xfId="41406" xr:uid="{6358A4D7-3F3B-4E80-AA03-93061B0DBA9A}"/>
    <cellStyle name="Normal 3 5 3 9" xfId="8293" xr:uid="{34F0ED48-5699-49F5-A47F-5ED61A3E8F93}"/>
    <cellStyle name="Normal 3 5 3 9 2" xfId="16673" xr:uid="{3546646F-B378-4D56-98F5-15B49B663E47}"/>
    <cellStyle name="Normal 3 5 3 9 2 2" xfId="33433" xr:uid="{9EAF1488-A767-47C1-A18C-4337227D8D5F}"/>
    <cellStyle name="Normal 3 5 3 9 2 3" xfId="50192" xr:uid="{B643EA8D-DA23-4B6B-BE31-C68D29DE1BB2}"/>
    <cellStyle name="Normal 3 5 3 9 3" xfId="25053" xr:uid="{9C181CD9-295C-4389-B37C-054B3BC03D9F}"/>
    <cellStyle name="Normal 3 5 3 9 4" xfId="41812" xr:uid="{8726B5C6-2BAC-45AD-AF16-66A168A77FA0}"/>
    <cellStyle name="Normal 3 5 4" xfId="1128" xr:uid="{C324D446-4E9E-4521-B58F-F07F51086158}"/>
    <cellStyle name="Normal 3 5 4 2" xfId="4523" xr:uid="{C9D03AE2-E84F-4DD0-8B47-9BCD406DAFCF}"/>
    <cellStyle name="Normal 3 5 4 2 2" xfId="12903" xr:uid="{5C4FCDC9-8333-4643-BBC9-0635233D71D9}"/>
    <cellStyle name="Normal 3 5 4 2 2 2" xfId="29663" xr:uid="{FE31A438-98B0-4ED0-8017-17BC39FBC4FD}"/>
    <cellStyle name="Normal 3 5 4 2 2 3" xfId="46422" xr:uid="{E924F655-7F21-414F-8C8E-9C656DEDDC0A}"/>
    <cellStyle name="Normal 3 5 4 2 3" xfId="21283" xr:uid="{0CBA9ADD-920E-4E14-A68C-D2CB651555F0}"/>
    <cellStyle name="Normal 3 5 4 2 4" xfId="38042" xr:uid="{8A96E691-3918-42FD-8807-F051DA21059F}"/>
    <cellStyle name="Normal 3 5 4 3" xfId="6210" xr:uid="{71793054-4FBF-4499-90B1-A7C8FDE87262}"/>
    <cellStyle name="Normal 3 5 4 3 2" xfId="14590" xr:uid="{88B0BDBC-BCD8-4343-8D20-5D8A4D177B55}"/>
    <cellStyle name="Normal 3 5 4 3 2 2" xfId="31350" xr:uid="{983BA14F-3C61-4AD7-84DF-ECCD99CCC6E2}"/>
    <cellStyle name="Normal 3 5 4 3 2 3" xfId="48109" xr:uid="{1A8FAE8E-CB40-4AC7-B536-87E54B970285}"/>
    <cellStyle name="Normal 3 5 4 3 3" xfId="22970" xr:uid="{D81E21DE-7668-43DE-A660-02FC138695C1}"/>
    <cellStyle name="Normal 3 5 4 3 4" xfId="39729" xr:uid="{66A95E68-532B-40F6-AD28-B226F8F461E9}"/>
    <cellStyle name="Normal 3 5 4 4" xfId="2946" xr:uid="{6978C647-BE6D-45C5-82E6-879FCE490574}"/>
    <cellStyle name="Normal 3 5 4 4 2" xfId="11326" xr:uid="{BA5B3860-FF5F-47FC-AD03-86FD2B53B84A}"/>
    <cellStyle name="Normal 3 5 4 4 2 2" xfId="28086" xr:uid="{4FE184B9-28EF-4725-9517-07BF2899226B}"/>
    <cellStyle name="Normal 3 5 4 4 2 3" xfId="44845" xr:uid="{902EDC00-28B4-440F-B213-9002F7D56C17}"/>
    <cellStyle name="Normal 3 5 4 4 3" xfId="19706" xr:uid="{FAF29B92-062B-43B0-AFE8-27393B91F5D8}"/>
    <cellStyle name="Normal 3 5 4 4 4" xfId="36465" xr:uid="{E94EA547-428C-4CDA-8DFC-A3ACCB2BEFA3}"/>
    <cellStyle name="Normal 3 5 4 5" xfId="9523" xr:uid="{B6D4684D-90CF-48FD-A12E-D98DC2501424}"/>
    <cellStyle name="Normal 3 5 4 5 2" xfId="26283" xr:uid="{832C55BD-C339-4B41-B40C-AE93492255F2}"/>
    <cellStyle name="Normal 3 5 4 5 3" xfId="43042" xr:uid="{DB8DA936-7EFF-40DE-BF4D-D41452916489}"/>
    <cellStyle name="Normal 3 5 4 6" xfId="17903" xr:uid="{E1683C6A-0662-4E30-86D0-F123D14F7A51}"/>
    <cellStyle name="Normal 3 5 4 7" xfId="34662" xr:uid="{41A7A4B8-7B33-41C0-8F82-B2E6001E00C9}"/>
    <cellStyle name="Normal 3 5 5" xfId="1562" xr:uid="{69001B5D-CEF0-4D0E-B1F2-4E3A20D0BA19}"/>
    <cellStyle name="Normal 3 5 5 2" xfId="4951" xr:uid="{4B4ED036-3E8C-498A-B2D6-2ACE188219CA}"/>
    <cellStyle name="Normal 3 5 5 2 2" xfId="13331" xr:uid="{39A8DED4-ABFE-4DFF-B73F-98143946819E}"/>
    <cellStyle name="Normal 3 5 5 2 2 2" xfId="30091" xr:uid="{17A8F620-B9C8-42D4-855F-00FF0017D03F}"/>
    <cellStyle name="Normal 3 5 5 2 2 3" xfId="46850" xr:uid="{CEB70C17-2368-48E0-B494-A659D7DFA354}"/>
    <cellStyle name="Normal 3 5 5 2 3" xfId="21711" xr:uid="{841F1CDE-F8D7-4346-BD54-720F4AD379AA}"/>
    <cellStyle name="Normal 3 5 5 2 4" xfId="38470" xr:uid="{E668A9CA-C6ED-4386-925B-F890756BE218}"/>
    <cellStyle name="Normal 3 5 5 3" xfId="6638" xr:uid="{C959F9FA-BD5E-4006-B42E-655C69298008}"/>
    <cellStyle name="Normal 3 5 5 3 2" xfId="15018" xr:uid="{BF627B7B-3428-47BB-A065-0C79EFEE8E02}"/>
    <cellStyle name="Normal 3 5 5 3 2 2" xfId="31778" xr:uid="{0447B59A-85D2-4EF5-9E56-F152BC6F5875}"/>
    <cellStyle name="Normal 3 5 5 3 2 3" xfId="48537" xr:uid="{F0252B02-A37A-4C98-805F-8337690281DF}"/>
    <cellStyle name="Normal 3 5 5 3 3" xfId="23398" xr:uid="{0610DF01-8027-42EF-A4F9-60E7AAEECE4E}"/>
    <cellStyle name="Normal 3 5 5 3 4" xfId="40157" xr:uid="{F35FD678-200A-4A96-B29D-F976A4AF2D8A}"/>
    <cellStyle name="Normal 3 5 5 4" xfId="3374" xr:uid="{5A3DACC8-0875-4D3F-929E-747DD7480821}"/>
    <cellStyle name="Normal 3 5 5 4 2" xfId="11754" xr:uid="{BA5377CF-2C14-45C2-AC04-E71B37257403}"/>
    <cellStyle name="Normal 3 5 5 4 2 2" xfId="28514" xr:uid="{F29F6072-9AD7-4778-A031-E54F0D841E25}"/>
    <cellStyle name="Normal 3 5 5 4 2 3" xfId="45273" xr:uid="{76B6B714-9E94-4D32-A129-A3418A49CFCE}"/>
    <cellStyle name="Normal 3 5 5 4 3" xfId="20134" xr:uid="{FCF0B420-18A6-40F9-AD09-8F0CCD52CA52}"/>
    <cellStyle name="Normal 3 5 5 4 4" xfId="36893" xr:uid="{22363FBA-C467-4F70-8D5A-F30D2024A640}"/>
    <cellStyle name="Normal 3 5 5 5" xfId="9951" xr:uid="{04B11FFA-2088-4664-BE2F-B5FB414C056A}"/>
    <cellStyle name="Normal 3 5 5 5 2" xfId="26711" xr:uid="{E8F8EEC6-E42C-4FFF-BA7E-46000D7EE86C}"/>
    <cellStyle name="Normal 3 5 5 5 3" xfId="43470" xr:uid="{910A5391-0C86-4087-846F-2F5DEFE61681}"/>
    <cellStyle name="Normal 3 5 5 6" xfId="18331" xr:uid="{04C3FF80-A5F8-4F08-A23A-82D43DF9F0C7}"/>
    <cellStyle name="Normal 3 5 5 7" xfId="35090" xr:uid="{4010B2A9-109E-45C4-B015-6BFBCDD47673}"/>
    <cellStyle name="Normal 3 5 6" xfId="1728" xr:uid="{A26F0DB6-1A4E-4DBD-9D2C-229D9693984E}"/>
    <cellStyle name="Normal 3 5 6 2" xfId="5117" xr:uid="{4798A8DE-C8F2-445E-AF4E-A81327110C9A}"/>
    <cellStyle name="Normal 3 5 6 2 2" xfId="13497" xr:uid="{B3CAEFEF-1500-4B02-89AA-3064CBDFD215}"/>
    <cellStyle name="Normal 3 5 6 2 2 2" xfId="30257" xr:uid="{363A0469-FAC5-4BED-839C-E5EDE1ABFF29}"/>
    <cellStyle name="Normal 3 5 6 2 2 3" xfId="47016" xr:uid="{575BF9EB-09D2-4BEA-9BB5-EFB038050F81}"/>
    <cellStyle name="Normal 3 5 6 2 3" xfId="21877" xr:uid="{754AB6C9-5E17-425E-885A-C0B691AA018B}"/>
    <cellStyle name="Normal 3 5 6 2 4" xfId="38636" xr:uid="{B4BB4039-322C-49A0-8ED2-06FEEB9AD52F}"/>
    <cellStyle name="Normal 3 5 6 3" xfId="6804" xr:uid="{6F4962C1-BF18-4442-B9A5-D122684E6810}"/>
    <cellStyle name="Normal 3 5 6 3 2" xfId="15184" xr:uid="{69E4D171-9E2D-40CF-8209-7AB4C0958939}"/>
    <cellStyle name="Normal 3 5 6 3 2 2" xfId="31944" xr:uid="{325A11C1-19FE-4AEF-AE6F-8DF5ADD0CD42}"/>
    <cellStyle name="Normal 3 5 6 3 2 3" xfId="48703" xr:uid="{1CCC1CCD-8166-4F08-856B-1E183E6357DD}"/>
    <cellStyle name="Normal 3 5 6 3 3" xfId="23564" xr:uid="{3F771939-85F2-45E6-A928-9199C49B40E0}"/>
    <cellStyle name="Normal 3 5 6 3 4" xfId="40323" xr:uid="{9702D333-05C7-4C35-8F4C-4DBE58FA74E3}"/>
    <cellStyle name="Normal 3 5 6 4" xfId="3451" xr:uid="{0DFC2143-43D3-4907-8EA3-FD89116D6DC9}"/>
    <cellStyle name="Normal 3 5 6 4 2" xfId="11831" xr:uid="{A06A8FBF-298B-48FF-9F3F-A68DF0D6B7C8}"/>
    <cellStyle name="Normal 3 5 6 4 2 2" xfId="28591" xr:uid="{4AB9E6E8-00E5-408D-BE69-19A2A8786E84}"/>
    <cellStyle name="Normal 3 5 6 4 2 3" xfId="45350" xr:uid="{9B021664-F6D9-42DC-8905-9F549E1C1110}"/>
    <cellStyle name="Normal 3 5 6 4 3" xfId="20211" xr:uid="{CC9633E9-DDED-4AC7-893E-6811061099F4}"/>
    <cellStyle name="Normal 3 5 6 4 4" xfId="36970" xr:uid="{F3DA482C-9B67-43DA-B28B-E0745D20017B}"/>
    <cellStyle name="Normal 3 5 6 5" xfId="10117" xr:uid="{CEBA7203-9815-4851-89F7-043F653E6F02}"/>
    <cellStyle name="Normal 3 5 6 5 2" xfId="26877" xr:uid="{8040A284-4635-4346-9818-A87CD62D4A9B}"/>
    <cellStyle name="Normal 3 5 6 5 3" xfId="43636" xr:uid="{8744C986-5D9A-4A04-95E1-B099643A7A53}"/>
    <cellStyle name="Normal 3 5 6 6" xfId="18497" xr:uid="{FF4080D2-31F4-4F0B-97E1-BE9C913491D3}"/>
    <cellStyle name="Normal 3 5 6 7" xfId="35256" xr:uid="{8A7C21CB-6360-461E-99FD-35B6C548BD14}"/>
    <cellStyle name="Normal 3 5 7" xfId="3847" xr:uid="{5189F6EE-EB9E-40D6-8B48-D9F3D08438D5}"/>
    <cellStyle name="Normal 3 5 7 2" xfId="12227" xr:uid="{07F57533-7A5D-48C4-834C-629E3E94FB19}"/>
    <cellStyle name="Normal 3 5 7 2 2" xfId="28987" xr:uid="{80FB15EB-1948-4BD2-80DF-56647A18C084}"/>
    <cellStyle name="Normal 3 5 7 2 3" xfId="45746" xr:uid="{3FDCC996-3790-4E7B-8685-CA025B6D828A}"/>
    <cellStyle name="Normal 3 5 7 3" xfId="20607" xr:uid="{56A1F272-9F07-40E7-A547-C9475E33F5BE}"/>
    <cellStyle name="Normal 3 5 7 4" xfId="37366" xr:uid="{AA191D0D-D386-4F40-87EF-09823FBE903D}"/>
    <cellStyle name="Normal 3 5 8" xfId="5784" xr:uid="{0985254A-1560-4C81-AF3C-40ACA9984D44}"/>
    <cellStyle name="Normal 3 5 8 2" xfId="14164" xr:uid="{A2C4EF94-4625-40B1-9788-998C6AC1E003}"/>
    <cellStyle name="Normal 3 5 8 2 2" xfId="30924" xr:uid="{70CAC5C8-BCE8-421F-8465-5333964BFF27}"/>
    <cellStyle name="Normal 3 5 8 2 3" xfId="47683" xr:uid="{8870BD21-3A35-4C14-AA87-65032805EA14}"/>
    <cellStyle name="Normal 3 5 8 3" xfId="22544" xr:uid="{38C93D96-5F5A-4E4A-8982-1CC6E1704C64}"/>
    <cellStyle name="Normal 3 5 8 4" xfId="39303" xr:uid="{E46ABB9D-C375-4348-9CD5-0665E32EFD7C}"/>
    <cellStyle name="Normal 3 5 9" xfId="7210" xr:uid="{29164F90-E47B-447D-9471-3AABB3E830A2}"/>
    <cellStyle name="Normal 3 5 9 2" xfId="15590" xr:uid="{48E2ABFB-0DFE-4D78-A5A3-E648E89C356D}"/>
    <cellStyle name="Normal 3 5 9 2 2" xfId="32350" xr:uid="{2172B59E-1A02-41F6-8AE3-25B0DCCDC647}"/>
    <cellStyle name="Normal 3 5 9 2 3" xfId="49109" xr:uid="{C93C862E-98D6-484E-BFD9-630C6F66348A}"/>
    <cellStyle name="Normal 3 5 9 3" xfId="23970" xr:uid="{0B174BB3-5D61-419D-9BF1-CE33F8D79840}"/>
    <cellStyle name="Normal 3 5 9 4" xfId="40729" xr:uid="{A1CFC6FB-C53D-43A0-874A-11BFCDAF0D91}"/>
    <cellStyle name="Normal 3 6" xfId="50714" xr:uid="{64CDE174-3AA6-41AF-942E-ED9DC2792628}"/>
    <cellStyle name="Normal 3 6 2" xfId="50759" xr:uid="{106BE3E2-7695-4F40-8286-37478E44265B}"/>
    <cellStyle name="Normal 3 6 2 2" xfId="51047" xr:uid="{9D394D52-BEDC-40F3-97F3-A70364D6CA30}"/>
    <cellStyle name="Normal 3 6 2 3" xfId="51521" xr:uid="{2DADFEBC-F2E8-46A3-A793-4EC7AC4E8FBC}"/>
    <cellStyle name="Normal 3 6 2 4" xfId="51809" xr:uid="{DEE328EC-45DE-46AE-8A12-FB02AC44512F}"/>
    <cellStyle name="Normal 3 6 3" xfId="50791" xr:uid="{CCA8C671-0494-4142-893F-8E926B2EAE5E}"/>
    <cellStyle name="Normal 3 6 4" xfId="51286" xr:uid="{C66E3122-F08B-44B4-98D4-32993C0BE02B}"/>
    <cellStyle name="Normal 3 6 5" xfId="51777" xr:uid="{05BDD380-C6EE-45B2-911D-DFB76332FA24}"/>
    <cellStyle name="Normal 3 7" xfId="50715" xr:uid="{B2578981-D81A-4D6B-8D52-5D580408F5EA}"/>
    <cellStyle name="Normal 3 7 2" xfId="50760" xr:uid="{2600AF75-F82C-421C-91C1-3099EC5F3A6C}"/>
    <cellStyle name="Normal 3 7 2 2" xfId="51059" xr:uid="{B18FEF74-353C-45F2-8400-47C538342BF0}"/>
    <cellStyle name="Normal 3 7 2 3" xfId="51533" xr:uid="{A31A85F3-33E3-4CB4-B1B9-E78310E0B29E}"/>
    <cellStyle name="Normal 3 7 2 4" xfId="51821" xr:uid="{33DF1291-8B64-47B3-8386-87FEE027703A}"/>
    <cellStyle name="Normal 3 7 3" xfId="50803" xr:uid="{A68335FB-5773-4AEB-95BE-77A0A1B65FA9}"/>
    <cellStyle name="Normal 3 7 4" xfId="51298" xr:uid="{4E3C690A-F68D-4FBF-A35E-55AAD93F4501}"/>
    <cellStyle name="Normal 3 7 5" xfId="51778" xr:uid="{34F76BB1-F53D-4834-BFF2-1C6B2482B0FB}"/>
    <cellStyle name="Normal 3 8" xfId="50716" xr:uid="{7B44BF7F-9217-4D69-8866-CA422B06A85D}"/>
    <cellStyle name="Normal 3 8 2" xfId="50761" xr:uid="{0A6500D6-1206-4E50-B3B9-5305E6BC2036}"/>
    <cellStyle name="Normal 3 8 2 2" xfId="51064" xr:uid="{6B21EE70-15B4-4DF2-B155-AB361338C3FD}"/>
    <cellStyle name="Normal 3 8 2 3" xfId="51538" xr:uid="{4C5C4439-54E7-4DF6-A647-238FB36D8713}"/>
    <cellStyle name="Normal 3 8 2 4" xfId="51826" xr:uid="{00D57B39-0E3A-40B4-B11B-B2E0EFB99223}"/>
    <cellStyle name="Normal 3 8 3" xfId="50808" xr:uid="{DD1DA6B9-5139-4210-89AD-CCA3A30F53CD}"/>
    <cellStyle name="Normal 3 8 4" xfId="51303" xr:uid="{9CF4EE6B-3EB0-49E4-AAC7-415EF217CCF6}"/>
    <cellStyle name="Normal 3 8 5" xfId="51779" xr:uid="{32B3A64A-906B-436A-AF84-BDF3EB02BCEA}"/>
    <cellStyle name="Normal 3 9" xfId="50819" xr:uid="{BA23B681-0F19-48BC-80D6-8A9300DE2E5A}"/>
    <cellStyle name="Normal 30" xfId="246" xr:uid="{FF7B08A2-3CDD-48C2-9759-B9C14844D7BC}"/>
    <cellStyle name="Normal 30 2" xfId="4585" xr:uid="{5F89D3B3-4BC0-42A6-870E-F93DB72C0D6C}"/>
    <cellStyle name="Normal 30 2 2" xfId="12965" xr:uid="{F366E5C6-E8E4-492A-8F7E-5E2BC22A414A}"/>
    <cellStyle name="Normal 30 2 2 2" xfId="29725" xr:uid="{2DE4C9A9-2994-4250-8182-0923EA61E8DC}"/>
    <cellStyle name="Normal 30 2 2 3" xfId="46484" xr:uid="{F3CBBD49-5FE2-4E8B-9A2C-F73BF7F64431}"/>
    <cellStyle name="Normal 30 2 3" xfId="21345" xr:uid="{EEAC649E-9CD4-41B1-930F-23E0C7095339}"/>
    <cellStyle name="Normal 30 2 4" xfId="38104" xr:uid="{75EA4A70-BF2A-42B5-A5EA-ED4871A0F700}"/>
    <cellStyle name="Normal 30 3" xfId="6272" xr:uid="{186CDFAE-714B-445F-8CD0-B715A020D56F}"/>
    <cellStyle name="Normal 30 3 2" xfId="14652" xr:uid="{7498439B-D7F5-49AB-B535-21B2FAB458EF}"/>
    <cellStyle name="Normal 30 3 2 2" xfId="31412" xr:uid="{BB475262-27DE-4846-BD87-12C43051CD6E}"/>
    <cellStyle name="Normal 30 3 2 3" xfId="48171" xr:uid="{3041B026-56CB-4278-8014-97A4DCDFB8F6}"/>
    <cellStyle name="Normal 30 3 3" xfId="23032" xr:uid="{77E193DF-00D0-45F1-BE6D-E4310B3B2977}"/>
    <cellStyle name="Normal 30 3 4" xfId="39791" xr:uid="{31793921-AA5E-429E-A50A-09EA8F89B889}"/>
    <cellStyle name="Normal 30 4" xfId="3008" xr:uid="{A3BEBD3D-F90C-4A37-A754-6344F273288E}"/>
    <cellStyle name="Normal 30 4 2" xfId="11388" xr:uid="{68E67AC7-B228-4080-A21C-F4DFCCD11C33}"/>
    <cellStyle name="Normal 30 4 2 2" xfId="28148" xr:uid="{98897C6C-980F-4BF3-AD6F-96F3A6DBF57A}"/>
    <cellStyle name="Normal 30 4 2 3" xfId="44907" xr:uid="{E1FC5217-F0FD-4B04-8836-7D943304BABD}"/>
    <cellStyle name="Normal 30 4 3" xfId="19768" xr:uid="{174B8E32-CFCD-4865-B3D2-63D1EF01C235}"/>
    <cellStyle name="Normal 30 4 4" xfId="36527" xr:uid="{ADE1C573-6732-434D-ADCA-36BE54746356}"/>
    <cellStyle name="Normal 30 5" xfId="9585" xr:uid="{80C3758D-26DB-47E4-B555-366F320FB72D}"/>
    <cellStyle name="Normal 30 5 2" xfId="26345" xr:uid="{9C5E9DA5-93FC-4FEE-808E-27B4A748F004}"/>
    <cellStyle name="Normal 30 5 3" xfId="43104" xr:uid="{D5176BF9-F9B2-4F3E-BA69-1E86274F95FD}"/>
    <cellStyle name="Normal 30 6" xfId="17965" xr:uid="{97EA10ED-2E9C-42F2-9B39-040CD8E14D2A}"/>
    <cellStyle name="Normal 30 7" xfId="34724" xr:uid="{0D24B00D-768D-4DA6-AC3E-6C1B956084F0}"/>
    <cellStyle name="Normal 30 8" xfId="1196" xr:uid="{2ADB490E-5F0E-46D7-A763-415BAF526556}"/>
    <cellStyle name="Normal 31" xfId="247" xr:uid="{B6E7986F-4F7B-4BF7-84B1-32BDACB3117D}"/>
    <cellStyle name="Normal 31 2" xfId="5012" xr:uid="{07B0A16D-8DFB-4B68-B1D8-728E216AE51B}"/>
    <cellStyle name="Normal 31 2 2" xfId="13392" xr:uid="{9177BB46-1BF7-4D45-BD8A-77F560A05A31}"/>
    <cellStyle name="Normal 31 2 2 2" xfId="30152" xr:uid="{AA73FE34-6FAE-4083-A5A3-FA32763A2AC4}"/>
    <cellStyle name="Normal 31 2 2 3" xfId="46911" xr:uid="{1A39D896-AC10-40E6-8F7F-D478AE4FFB02}"/>
    <cellStyle name="Normal 31 2 3" xfId="21772" xr:uid="{A27F7CFA-91BB-4DE5-9A83-AF1F31D0D6CB}"/>
    <cellStyle name="Normal 31 2 4" xfId="38531" xr:uid="{775C78C4-4C14-44DA-A7AC-2B932178CDFC}"/>
    <cellStyle name="Normal 31 3" xfId="6699" xr:uid="{40C8B450-F68A-4A1E-9D1C-E1B17AA100ED}"/>
    <cellStyle name="Normal 31 3 2" xfId="15079" xr:uid="{0DF50649-1F55-423C-9613-F6F4C63B5B89}"/>
    <cellStyle name="Normal 31 3 2 2" xfId="31839" xr:uid="{BBCB2FA6-B9B8-414E-B00C-7A7B9BB6A08F}"/>
    <cellStyle name="Normal 31 3 2 3" xfId="48598" xr:uid="{9411B459-631F-4889-A1F1-6B50A152C9AD}"/>
    <cellStyle name="Normal 31 3 3" xfId="23459" xr:uid="{11F9BBAE-DCFE-45A8-A2AC-A16B294EA8F2}"/>
    <cellStyle name="Normal 31 3 4" xfId="40218" xr:uid="{AD2DDD47-F75F-417D-BFE1-5CA8DD60B680}"/>
    <cellStyle name="Normal 31 4" xfId="3435" xr:uid="{E25F620B-1778-4D09-845A-4C36225B4EC6}"/>
    <cellStyle name="Normal 31 4 2" xfId="11815" xr:uid="{AFF9F93F-D9D7-4DF4-BE9C-981FC5B24D6A}"/>
    <cellStyle name="Normal 31 4 2 2" xfId="28575" xr:uid="{A441D91C-F639-4EF2-82BD-0C251B45360D}"/>
    <cellStyle name="Normal 31 4 2 3" xfId="45334" xr:uid="{B97536C7-AA95-4823-BBCE-7D25A304F06A}"/>
    <cellStyle name="Normal 31 4 3" xfId="20195" xr:uid="{A9D83A7E-8EBA-4277-8A56-52B1708C2387}"/>
    <cellStyle name="Normal 31 4 4" xfId="36954" xr:uid="{0FBDA1A1-17D7-462F-989A-07F4D806A111}"/>
    <cellStyle name="Normal 31 5" xfId="10012" xr:uid="{20D05856-93C4-466F-B87E-4874194EDDF8}"/>
    <cellStyle name="Normal 31 5 2" xfId="26772" xr:uid="{96123159-1F85-4BCC-8129-A71C568B6860}"/>
    <cellStyle name="Normal 31 5 3" xfId="43531" xr:uid="{6A5F8422-63F3-4F79-8CA1-1FBB81357FDF}"/>
    <cellStyle name="Normal 31 6" xfId="18392" xr:uid="{45E6D991-0C10-4D28-B3FD-F9FCF68E61DE}"/>
    <cellStyle name="Normal 31 7" xfId="35151" xr:uid="{EE01BFB3-0DF5-40DD-BE63-E3E9149E02B3}"/>
    <cellStyle name="Normal 31 8" xfId="1623" xr:uid="{752AC147-BB94-409C-96C1-F16172751642}"/>
    <cellStyle name="Normal 32" xfId="248" xr:uid="{30B4C302-406A-4189-9EF4-E7609943B938}"/>
    <cellStyle name="Normal 32 2" xfId="25491" xr:uid="{84E8420B-E4C6-4EDA-9043-7B8F52A40420}"/>
    <cellStyle name="Normal 32 3" xfId="42250" xr:uid="{9A14B254-06DD-4C51-8225-DC02B9536CC5}"/>
    <cellStyle name="Normal 32 4" xfId="8731" xr:uid="{3E705ECC-31DB-4F23-BBF5-CC922C1FE573}"/>
    <cellStyle name="Normal 33" xfId="249" xr:uid="{35F15CDD-B772-4E9E-9C59-C85B12FB6716}"/>
    <cellStyle name="Normal 33 2" xfId="17111" xr:uid="{59E9378F-DE46-4CC5-A081-A42293C6A661}"/>
    <cellStyle name="Normal 34" xfId="50630" xr:uid="{6F84B10C-15B1-4D98-8003-1599D181DB3D}"/>
    <cellStyle name="Normal 35" xfId="50631" xr:uid="{7B1678CC-D108-4F77-B34E-177F4C1A09F0}"/>
    <cellStyle name="Normal 35 2" xfId="52225" xr:uid="{C7E9299E-3E6A-4794-8B3A-08FA0DD022CB}"/>
    <cellStyle name="Normal 36" xfId="50632" xr:uid="{D8FBDA12-8B3B-4A02-8FC9-166465F1D3FB}"/>
    <cellStyle name="Normal 37" xfId="50633" xr:uid="{6426C185-1C75-4719-9B86-01B7EACC3FFF}"/>
    <cellStyle name="Normal 38" xfId="50634" xr:uid="{C0F341E8-DD00-4459-AFCA-84F6787F71EF}"/>
    <cellStyle name="Normal 39" xfId="50635" xr:uid="{A84E897A-9F38-45A5-9D54-1D2FF87D168D}"/>
    <cellStyle name="Normal 4" xfId="53" xr:uid="{87A8208A-3A6E-4564-B20A-8956168165DD}"/>
    <cellStyle name="Normal 4 2" xfId="82" xr:uid="{7F6EEC2B-0CB6-4087-B650-681A1D257B95}"/>
    <cellStyle name="Normal 4 2 10" xfId="33935" xr:uid="{44A6F475-F811-40F0-8DB6-D747F2CC062B}"/>
    <cellStyle name="Normal 4 2 11" xfId="50717" xr:uid="{CDCE1632-AB4D-447E-B397-C6E3D21F00AD}"/>
    <cellStyle name="Normal 4 2 12" xfId="50762" xr:uid="{D5E6F16B-4DDD-4CDD-8CD9-28805B340291}"/>
    <cellStyle name="Normal 4 2 13" xfId="50809" xr:uid="{14193AED-FFBD-4A33-A4EF-1AA31D6A58C8}"/>
    <cellStyle name="Normal 4 2 14" xfId="51304" xr:uid="{30770A13-1238-419B-9343-0D74BFE24C23}"/>
    <cellStyle name="Normal 4 2 15" xfId="51780" xr:uid="{C68D2FAD-A9E4-4948-B7D7-4A06DC390D78}"/>
    <cellStyle name="Normal 4 2 16" xfId="327" xr:uid="{CD779E64-2452-4F93-BF20-E0E47C082E8C}"/>
    <cellStyle name="Normal 4 2 2" xfId="215" xr:uid="{FB2DE470-84F4-4C89-A7BD-1EAD4FE70195}"/>
    <cellStyle name="Normal 4 2 2 10" xfId="51938" xr:uid="{E77A4BFF-B51C-4ECB-B6A7-4B9126FA7017}"/>
    <cellStyle name="Normal 4 2 2 11" xfId="827" xr:uid="{E20BF34D-60A4-40CA-BD20-61C90DD02B6F}"/>
    <cellStyle name="Normal 4 2 2 2" xfId="4222" xr:uid="{BD357075-EE4E-4D91-8395-FEB6E27BC9FC}"/>
    <cellStyle name="Normal 4 2 2 2 2" xfId="12602" xr:uid="{9AB83876-664C-4E20-B6D0-C723F95DFF9A}"/>
    <cellStyle name="Normal 4 2 2 2 2 2" xfId="29362" xr:uid="{51321D79-D0D6-44EA-B180-F922D04F8D8D}"/>
    <cellStyle name="Normal 4 2 2 2 2 3" xfId="46121" xr:uid="{74F649C5-AA6E-4923-978A-EBD794EC1B4B}"/>
    <cellStyle name="Normal 4 2 2 2 3" xfId="20982" xr:uid="{5A67EC35-1ACA-4219-9C6D-C0FBC80E20F4}"/>
    <cellStyle name="Normal 4 2 2 2 4" xfId="37741" xr:uid="{E4340760-D0BD-4D38-B5C0-88EF542E75B5}"/>
    <cellStyle name="Normal 4 2 2 2 5" xfId="51185" xr:uid="{E88F1D7A-B47A-4D4C-B5F8-1A843BA5D488}"/>
    <cellStyle name="Normal 4 2 2 2 6" xfId="51659" xr:uid="{302C015B-26EC-47A9-85D5-BB8E713E5D2B}"/>
    <cellStyle name="Normal 4 2 2 2 7" xfId="52135" xr:uid="{EDC5618B-FE90-4A15-8A9C-9C7BC8057CF1}"/>
    <cellStyle name="Normal 4 2 2 3" xfId="5909" xr:uid="{6B60F89C-A734-43E7-BA4C-437D71FC789B}"/>
    <cellStyle name="Normal 4 2 2 3 2" xfId="14289" xr:uid="{6D327D42-8D3D-456A-8E6C-07A8974B0BF6}"/>
    <cellStyle name="Normal 4 2 2 3 2 2" xfId="31049" xr:uid="{27883A95-6129-4B08-85B7-FFF55181ADDC}"/>
    <cellStyle name="Normal 4 2 2 3 2 3" xfId="47808" xr:uid="{82179C9F-AD3F-4890-B772-1A0B2B83A0BE}"/>
    <cellStyle name="Normal 4 2 2 3 3" xfId="22669" xr:uid="{4DA0B688-770A-4641-9FAC-F1EC6A13860B}"/>
    <cellStyle name="Normal 4 2 2 3 4" xfId="39428" xr:uid="{80FCD0F8-D3EC-4047-9BB3-D0EE991009E1}"/>
    <cellStyle name="Normal 4 2 2 4" xfId="2645" xr:uid="{DAF7E35C-0251-4326-86A5-4C78EBD8552A}"/>
    <cellStyle name="Normal 4 2 2 4 2" xfId="11025" xr:uid="{FB8CE7DC-2971-424D-ABFA-C65DD42B5CD1}"/>
    <cellStyle name="Normal 4 2 2 4 2 2" xfId="27785" xr:uid="{C4DD3E91-0EDB-4020-ADE7-540371895DBB}"/>
    <cellStyle name="Normal 4 2 2 4 2 3" xfId="44544" xr:uid="{DCC26E57-0913-439B-9433-59E2FA139379}"/>
    <cellStyle name="Normal 4 2 2 4 3" xfId="19405" xr:uid="{5EE74B41-6AE2-410D-BF06-55631D279AC1}"/>
    <cellStyle name="Normal 4 2 2 4 4" xfId="36164" xr:uid="{99BA7820-F159-4FC1-804C-3FA5799162F5}"/>
    <cellStyle name="Normal 4 2 2 5" xfId="9222" xr:uid="{6EC470CD-898A-4DA7-B42F-45D1431353C3}"/>
    <cellStyle name="Normal 4 2 2 5 2" xfId="25982" xr:uid="{AEF956B2-B0C9-4236-B1EE-2D11597C4F20}"/>
    <cellStyle name="Normal 4 2 2 5 3" xfId="42741" xr:uid="{8ED9F578-9074-41A8-BD00-01FB2426B425}"/>
    <cellStyle name="Normal 4 2 2 6" xfId="17602" xr:uid="{EE5B10E0-7B01-40DB-A0EB-B06005C030A1}"/>
    <cellStyle name="Normal 4 2 2 7" xfId="34361" xr:uid="{6F527AF6-6CF7-4099-AC08-6F5E4BDE1FB2}"/>
    <cellStyle name="Normal 4 2 2 8" xfId="50921" xr:uid="{D93994CD-5098-45AB-BD18-89C5FCD28263}"/>
    <cellStyle name="Normal 4 2 2 9" xfId="51424" xr:uid="{4BC13D60-9A7F-4515-9735-7C199B504009}"/>
    <cellStyle name="Normal 4 2 3" xfId="1191" xr:uid="{08A2D0E7-635B-4CA8-9CB6-056CD89E1162}"/>
    <cellStyle name="Normal 4 2 3 2" xfId="51013" xr:uid="{BFEA8121-F468-44EF-8710-81AE4AB71A19}"/>
    <cellStyle name="Normal 4 2 4" xfId="1261" xr:uid="{4054A36F-4CAD-4A41-B004-1D5BCA796C81}"/>
    <cellStyle name="Normal 4 2 4 10" xfId="51827" xr:uid="{C9DA779C-2687-4720-8EDB-999D40517B2C}"/>
    <cellStyle name="Normal 4 2 4 2" xfId="4650" xr:uid="{7B4AAF36-416A-44E3-8FFB-0BF770A51092}"/>
    <cellStyle name="Normal 4 2 4 2 2" xfId="13030" xr:uid="{3AB34E97-DD28-42B2-943D-A6006D86E24B}"/>
    <cellStyle name="Normal 4 2 4 2 2 2" xfId="29790" xr:uid="{8EDF9EE9-7474-4EBF-A1F8-83EB17494F87}"/>
    <cellStyle name="Normal 4 2 4 2 2 3" xfId="46549" xr:uid="{55379DCB-15B8-44CA-A3C1-4B1999F179CD}"/>
    <cellStyle name="Normal 4 2 4 2 3" xfId="21410" xr:uid="{E2DC79C9-F311-42CB-98F8-EA4EC5A927EF}"/>
    <cellStyle name="Normal 4 2 4 2 4" xfId="38169" xr:uid="{778AB04B-98BE-4194-BC7E-F54911C320E1}"/>
    <cellStyle name="Normal 4 2 4 3" xfId="6337" xr:uid="{E594ACA1-56BF-49BE-BB81-605D2341E7EE}"/>
    <cellStyle name="Normal 4 2 4 3 2" xfId="14717" xr:uid="{8501E85F-1415-46E2-828D-6EECDDD96DF3}"/>
    <cellStyle name="Normal 4 2 4 3 2 2" xfId="31477" xr:uid="{B6BB3311-8B08-4C3F-901C-F447A109DCEE}"/>
    <cellStyle name="Normal 4 2 4 3 2 3" xfId="48236" xr:uid="{10D5FCF1-66EC-4231-9BE4-617B61FF5939}"/>
    <cellStyle name="Normal 4 2 4 3 3" xfId="23097" xr:uid="{4D0AB0DF-63F1-4548-939E-3A78F40914A0}"/>
    <cellStyle name="Normal 4 2 4 3 4" xfId="39856" xr:uid="{C8B44087-B5FA-4359-A787-BC1D407C94E4}"/>
    <cellStyle name="Normal 4 2 4 4" xfId="3073" xr:uid="{3C75C99F-DF4E-4E4E-B2CF-86C9E71A15F3}"/>
    <cellStyle name="Normal 4 2 4 4 2" xfId="11453" xr:uid="{86A418BF-8905-4092-932C-1A68DEE8F202}"/>
    <cellStyle name="Normal 4 2 4 4 2 2" xfId="28213" xr:uid="{129F2126-1CC0-4014-9C1A-4F10488057BA}"/>
    <cellStyle name="Normal 4 2 4 4 2 3" xfId="44972" xr:uid="{63769030-1E10-4A67-BD1B-C7B7CBB4A476}"/>
    <cellStyle name="Normal 4 2 4 4 3" xfId="19833" xr:uid="{7C0C5556-F0E0-47E0-B968-DA1F03E2F845}"/>
    <cellStyle name="Normal 4 2 4 4 4" xfId="36592" xr:uid="{942CDC87-B234-430D-BB7D-24645C02F84D}"/>
    <cellStyle name="Normal 4 2 4 5" xfId="9650" xr:uid="{9E58096E-D591-4592-AAFB-D8352F250FDE}"/>
    <cellStyle name="Normal 4 2 4 5 2" xfId="26410" xr:uid="{D4B3125E-466B-4C7B-875F-A73EB340324C}"/>
    <cellStyle name="Normal 4 2 4 5 3" xfId="43169" xr:uid="{491CE722-3454-4FA5-B855-F3AE4767F35D}"/>
    <cellStyle name="Normal 4 2 4 6" xfId="18030" xr:uid="{7A1D8D2F-0D88-4282-BC31-F835803D03E0}"/>
    <cellStyle name="Normal 4 2 4 7" xfId="34789" xr:uid="{C86023A0-CB43-40D8-BDB4-0438A7F40F6D}"/>
    <cellStyle name="Normal 4 2 4 8" xfId="51065" xr:uid="{7E9487F3-9D32-41E5-96D7-B7EDEF2D3E1A}"/>
    <cellStyle name="Normal 4 2 4 9" xfId="51539" xr:uid="{32A46ABA-9079-44BC-93DA-FC4622925D9D}"/>
    <cellStyle name="Normal 4 2 5" xfId="2215" xr:uid="{0107E78F-0B4C-413B-9AD5-C0194D872B80}"/>
    <cellStyle name="Normal 4 2 5 2" xfId="10599" xr:uid="{79E4E6C1-7B5F-4010-B327-2C7C2D4CDF77}"/>
    <cellStyle name="Normal 4 2 5 2 2" xfId="27359" xr:uid="{15197320-DAF9-4549-B2F5-CF3A066D3CD8}"/>
    <cellStyle name="Normal 4 2 5 2 3" xfId="44118" xr:uid="{9A39C521-44DE-4D25-A9E0-C3356C5F5FA7}"/>
    <cellStyle name="Normal 4 2 5 3" xfId="18979" xr:uid="{D562DD2E-3C70-4827-B00E-7588E01232EF}"/>
    <cellStyle name="Normal 4 2 5 4" xfId="35738" xr:uid="{26CB671A-10D0-4521-BFC4-5424BE784498}"/>
    <cellStyle name="Normal 4 2 6" xfId="3757" xr:uid="{28AF09B3-9133-4012-8BB3-29DFA3E4C459}"/>
    <cellStyle name="Normal 4 2 6 2" xfId="12137" xr:uid="{917ED348-3D03-4EC6-950D-FB34E7F217B2}"/>
    <cellStyle name="Normal 4 2 6 2 2" xfId="28897" xr:uid="{CD1FEF92-6811-44C3-89DC-2570DF606C80}"/>
    <cellStyle name="Normal 4 2 6 2 3" xfId="45656" xr:uid="{C2CD2DDB-13D1-4266-A2C1-F21A51168B8E}"/>
    <cellStyle name="Normal 4 2 6 3" xfId="20517" xr:uid="{0C7A4835-9D94-47A1-8DD6-46449079621C}"/>
    <cellStyle name="Normal 4 2 6 4" xfId="37276" xr:uid="{7CF8F371-A466-4F2A-BEBA-5EBBE34ADA0F}"/>
    <cellStyle name="Normal 4 2 7" xfId="5483" xr:uid="{5AB91BCD-C9CD-40EB-BC49-EA4CD85AD7AE}"/>
    <cellStyle name="Normal 4 2 7 2" xfId="13863" xr:uid="{8A605646-B7E8-4257-9397-5ADB5746C76E}"/>
    <cellStyle name="Normal 4 2 7 2 2" xfId="30623" xr:uid="{C3A7262E-F440-478A-BA46-0D81FF64A07C}"/>
    <cellStyle name="Normal 4 2 7 2 3" xfId="47382" xr:uid="{08037747-E147-4211-92F0-7E770D7E9586}"/>
    <cellStyle name="Normal 4 2 7 3" xfId="22243" xr:uid="{669CAE8A-E654-47BF-9F44-05F8ACC80ADC}"/>
    <cellStyle name="Normal 4 2 7 4" xfId="39002" xr:uid="{F2D77B96-DFEE-4FAF-BD4A-F02E34DB49A9}"/>
    <cellStyle name="Normal 4 2 8" xfId="8796" xr:uid="{2E83B1FB-0904-4EB4-A20B-C620AE8C6D91}"/>
    <cellStyle name="Normal 4 2 8 2" xfId="25556" xr:uid="{99808968-564A-49AA-B163-46EBD7DE846C}"/>
    <cellStyle name="Normal 4 2 8 3" xfId="42315" xr:uid="{1D455151-5D92-44CD-AD0D-41C90B73360E}"/>
    <cellStyle name="Normal 4 2 9" xfId="17176" xr:uid="{5135C912-B782-45B7-8E11-94B0B4E698F5}"/>
    <cellStyle name="Normal 4 3" xfId="157" xr:uid="{5808A2D8-F50F-4B78-B374-C092EEB15237}"/>
    <cellStyle name="Normal 4 3 10" xfId="7617" xr:uid="{5C984FA1-A411-45F8-8314-52045940941C}"/>
    <cellStyle name="Normal 4 3 10 2" xfId="15997" xr:uid="{EA67026F-1388-4884-A219-C9409FC8EC55}"/>
    <cellStyle name="Normal 4 3 10 2 2" xfId="32757" xr:uid="{ACB6027F-EE89-42B5-BAFC-513E5691DD0D}"/>
    <cellStyle name="Normal 4 3 10 2 3" xfId="49516" xr:uid="{A6E29EDC-5632-4D40-9EBD-4B82B8468F5C}"/>
    <cellStyle name="Normal 4 3 10 3" xfId="24377" xr:uid="{A4EEF83D-D693-407F-A9A3-AFE5540B8C9D}"/>
    <cellStyle name="Normal 4 3 10 4" xfId="41136" xr:uid="{319A0C18-E149-4168-940A-CFF40EC9EE19}"/>
    <cellStyle name="Normal 4 3 11" xfId="8023" xr:uid="{92E2D9B1-F056-4110-907B-1A1BFBD4DCAB}"/>
    <cellStyle name="Normal 4 3 11 2" xfId="16403" xr:uid="{E43BE8E0-43A1-4A8E-9EC2-D0DB47D8D247}"/>
    <cellStyle name="Normal 4 3 11 2 2" xfId="33163" xr:uid="{2EF47898-B282-487A-BA10-E61BAEE6FC07}"/>
    <cellStyle name="Normal 4 3 11 2 3" xfId="49922" xr:uid="{852A2E65-FFE2-4239-9865-3AE9EB9B6FB1}"/>
    <cellStyle name="Normal 4 3 11 3" xfId="24783" xr:uid="{FE075E80-65DA-48C7-8987-43EEB86D02D3}"/>
    <cellStyle name="Normal 4 3 11 4" xfId="41542" xr:uid="{95DE4E0F-31E2-49CE-8FF5-8777DDFA3E26}"/>
    <cellStyle name="Normal 4 3 12" xfId="8429" xr:uid="{4344D252-7FCE-41A6-924D-573A1E12369D}"/>
    <cellStyle name="Normal 4 3 12 2" xfId="16809" xr:uid="{7D4BB718-5426-4C1A-B27E-AE8AC7C3E711}"/>
    <cellStyle name="Normal 4 3 12 2 2" xfId="33569" xr:uid="{B066D8F5-1B7C-4A94-A93F-ED9704718325}"/>
    <cellStyle name="Normal 4 3 12 2 3" xfId="50328" xr:uid="{646BD243-DD10-4C29-87B1-3CBE37FC83F3}"/>
    <cellStyle name="Normal 4 3 12 3" xfId="25189" xr:uid="{451CDF00-02B2-47C3-8B08-F53D7BB5E34A}"/>
    <cellStyle name="Normal 4 3 12 4" xfId="41948" xr:uid="{C166283F-0F30-4DE7-BB30-BDD1E66F9188}"/>
    <cellStyle name="Normal 4 3 13" xfId="2214" xr:uid="{F769548B-0C5B-4949-B1E3-DA657195043B}"/>
    <cellStyle name="Normal 4 3 13 2" xfId="10598" xr:uid="{772D2827-BDBA-4F61-9E75-016AD7DCA9A6}"/>
    <cellStyle name="Normal 4 3 13 2 2" xfId="27358" xr:uid="{AD65A77E-62B9-4B96-BBA5-9670CA00D700}"/>
    <cellStyle name="Normal 4 3 13 2 3" xfId="44117" xr:uid="{2CF1E208-23B0-417D-8E89-9FC46422C86B}"/>
    <cellStyle name="Normal 4 3 13 3" xfId="18978" xr:uid="{E52F6446-8476-4183-A9CD-7F213EA63DF8}"/>
    <cellStyle name="Normal 4 3 13 4" xfId="35737" xr:uid="{C1A2DF51-E604-4386-B6A1-45E714182DDD}"/>
    <cellStyle name="Normal 4 3 14" xfId="8795" xr:uid="{BB7B9333-758A-458C-9752-32474BE76828}"/>
    <cellStyle name="Normal 4 3 14 2" xfId="25555" xr:uid="{D091EDD0-74AF-487C-9EF4-C3DB6F30700C}"/>
    <cellStyle name="Normal 4 3 14 3" xfId="42314" xr:uid="{100AA0EB-4C3F-48F7-BDF9-FF0F5B6A8C92}"/>
    <cellStyle name="Normal 4 3 15" xfId="17175" xr:uid="{2A395717-7569-4F27-AB50-0DBFA0A0368F}"/>
    <cellStyle name="Normal 4 3 16" xfId="33934" xr:uid="{648566B2-D1EA-4C8F-840A-BC9251D0FDCC}"/>
    <cellStyle name="Normal 4 3 17" xfId="50718" xr:uid="{98BD63F5-D8CA-4219-948C-228DAE521B77}"/>
    <cellStyle name="Normal 4 3 18" xfId="50763" xr:uid="{FB6B7B16-61D9-487E-87F5-1FBE8702A4D0}"/>
    <cellStyle name="Normal 4 3 19" xfId="50917" xr:uid="{04070C7A-3B4B-416D-89E6-9258A6DB213B}"/>
    <cellStyle name="Normal 4 3 2" xfId="692" xr:uid="{28AF621E-179D-440E-8A9A-1322195E110B}"/>
    <cellStyle name="Normal 4 3 2 10" xfId="8569" xr:uid="{6E969216-4F5A-4FC3-BABF-8480729332CE}"/>
    <cellStyle name="Normal 4 3 2 10 2" xfId="16949" xr:uid="{2ABAF66A-A8BF-4A2E-A3ED-F7E6CD1875ED}"/>
    <cellStyle name="Normal 4 3 2 10 2 2" xfId="33709" xr:uid="{8D213194-5839-4ACD-BB0F-9E4C31AACC53}"/>
    <cellStyle name="Normal 4 3 2 10 2 3" xfId="50468" xr:uid="{F1001472-993E-400E-A94B-47513B0A6F04}"/>
    <cellStyle name="Normal 4 3 2 10 3" xfId="25329" xr:uid="{A4752921-13A8-4173-9288-B1A343CD2314}"/>
    <cellStyle name="Normal 4 3 2 10 4" xfId="42088" xr:uid="{9E504565-06E8-46B7-9C72-2A1F18AF3A52}"/>
    <cellStyle name="Normal 4 3 2 11" xfId="2521" xr:uid="{196660F9-D40E-4021-830F-FAD35927DEF7}"/>
    <cellStyle name="Normal 4 3 2 11 2" xfId="10903" xr:uid="{5A3C2EAB-A03C-4B7F-9A2E-2B6D1EC3A8A3}"/>
    <cellStyle name="Normal 4 3 2 11 2 2" xfId="27663" xr:uid="{8267C888-3E22-4EEB-8264-1D0A82B311A2}"/>
    <cellStyle name="Normal 4 3 2 11 2 3" xfId="44422" xr:uid="{F14B29D1-0A94-426B-97F5-C2EA9E1D56DD}"/>
    <cellStyle name="Normal 4 3 2 11 3" xfId="19283" xr:uid="{C99AED85-D382-4007-B53E-D4704FAF9568}"/>
    <cellStyle name="Normal 4 3 2 11 4" xfId="36042" xr:uid="{60FDBC8B-C5CF-4FE0-80ED-93BAFE022F7F}"/>
    <cellStyle name="Normal 4 3 2 12" xfId="9100" xr:uid="{28D11B6A-8430-4937-B7F8-D842B2187772}"/>
    <cellStyle name="Normal 4 3 2 12 2" xfId="25860" xr:uid="{6D47EFDF-23B8-474A-85EF-97243375843F}"/>
    <cellStyle name="Normal 4 3 2 12 3" xfId="42619" xr:uid="{F9C7F27F-810B-4802-88C4-69CF25A75B81}"/>
    <cellStyle name="Normal 4 3 2 13" xfId="17480" xr:uid="{CD401A37-2926-4C08-9CBB-287D8B34B895}"/>
    <cellStyle name="Normal 4 3 2 14" xfId="34239" xr:uid="{03B99051-24F0-428F-BD9C-8E308D6166C7}"/>
    <cellStyle name="Normal 4 3 2 15" xfId="51029" xr:uid="{5363DCA7-B1F9-44E9-ACC6-B7C3FE4FC69E}"/>
    <cellStyle name="Normal 4 3 2 16" xfId="51504" xr:uid="{31EF4E53-E046-4C10-97D6-4777C3F9C79B}"/>
    <cellStyle name="Normal 4 3 2 17" xfId="52019" xr:uid="{8057D5A6-7ACA-488C-9B29-DA742B6AF099}"/>
    <cellStyle name="Normal 4 3 2 2" xfId="1131" xr:uid="{F12A1044-D77E-44B7-AC31-C3C3E17D3D54}"/>
    <cellStyle name="Normal 4 3 2 2 10" xfId="52216" xr:uid="{8142127E-B8E5-4A43-9670-7AA555E2EB55}"/>
    <cellStyle name="Normal 4 3 2 2 2" xfId="4526" xr:uid="{C66442FF-44A2-4957-9B16-DD5AF6134510}"/>
    <cellStyle name="Normal 4 3 2 2 2 2" xfId="12906" xr:uid="{9B8713F5-50C2-41A3-9738-CA683A216B12}"/>
    <cellStyle name="Normal 4 3 2 2 2 2 2" xfId="29666" xr:uid="{32E95B53-8732-4848-A4D1-0FDDCFB6B6E9}"/>
    <cellStyle name="Normal 4 3 2 2 2 2 3" xfId="46425" xr:uid="{D5EFA9B5-2972-45C5-9E9D-7C6207F36C7B}"/>
    <cellStyle name="Normal 4 3 2 2 2 3" xfId="21286" xr:uid="{6F7C1831-389E-4627-8AFE-33E9748EE878}"/>
    <cellStyle name="Normal 4 3 2 2 2 4" xfId="38045" xr:uid="{AC1B3E5C-4451-4269-9F74-42917BA27B07}"/>
    <cellStyle name="Normal 4 3 2 2 3" xfId="6213" xr:uid="{37712901-D46A-4D82-B58C-66B6904829A5}"/>
    <cellStyle name="Normal 4 3 2 2 3 2" xfId="14593" xr:uid="{2D852A2C-8BC2-4D45-ACD5-0440EE7BC808}"/>
    <cellStyle name="Normal 4 3 2 2 3 2 2" xfId="31353" xr:uid="{3C6B72AD-20D9-45DE-8A96-33419674B719}"/>
    <cellStyle name="Normal 4 3 2 2 3 2 3" xfId="48112" xr:uid="{62DE6235-7DFD-4AFE-A8BB-E974A66432BF}"/>
    <cellStyle name="Normal 4 3 2 2 3 3" xfId="22973" xr:uid="{1FA65282-226A-4AB6-B458-6A80E2125A6D}"/>
    <cellStyle name="Normal 4 3 2 2 3 4" xfId="39732" xr:uid="{3A7F0FA5-5AEF-4E1B-82B2-81262D6D4D72}"/>
    <cellStyle name="Normal 4 3 2 2 4" xfId="2949" xr:uid="{46CDF6A8-9EB8-44CF-BEFD-44011246B6B3}"/>
    <cellStyle name="Normal 4 3 2 2 4 2" xfId="11329" xr:uid="{82D75AC2-73B3-4B4C-92AB-57F8E73B5F31}"/>
    <cellStyle name="Normal 4 3 2 2 4 2 2" xfId="28089" xr:uid="{478F1A7F-260E-4C01-8FB7-DC40F9F745DF}"/>
    <cellStyle name="Normal 4 3 2 2 4 2 3" xfId="44848" xr:uid="{9562F600-DA37-43D8-BF85-6594F1C2E027}"/>
    <cellStyle name="Normal 4 3 2 2 4 3" xfId="19709" xr:uid="{C4C61543-D42B-4D60-A5E0-A8539C2032F6}"/>
    <cellStyle name="Normal 4 3 2 2 4 4" xfId="36468" xr:uid="{00139438-789F-47BD-A02C-396120E0012F}"/>
    <cellStyle name="Normal 4 3 2 2 5" xfId="9526" xr:uid="{FAACC79C-981A-43F7-9221-B21BB1D34BB1}"/>
    <cellStyle name="Normal 4 3 2 2 5 2" xfId="26286" xr:uid="{79FD5CAE-8910-4605-BB7C-5F9F23CD9263}"/>
    <cellStyle name="Normal 4 3 2 2 5 3" xfId="43045" xr:uid="{75A26042-5F72-47EA-8847-3DAD2D5949B2}"/>
    <cellStyle name="Normal 4 3 2 2 6" xfId="17906" xr:uid="{8CC0244B-5EAA-4075-BAC0-09C758790EF0}"/>
    <cellStyle name="Normal 4 3 2 2 7" xfId="34665" xr:uid="{3A6A111B-78FE-479E-9268-EED4CB5343B1}"/>
    <cellStyle name="Normal 4 3 2 2 8" xfId="51267" xr:uid="{E1A0B1CA-69D4-4D83-A34E-F372B55845FF}"/>
    <cellStyle name="Normal 4 3 2 2 9" xfId="51740" xr:uid="{9B951A4D-0319-4855-9B83-DA83BD790341}"/>
    <cellStyle name="Normal 4 3 2 3" xfId="1565" xr:uid="{0851DF02-7F03-4551-B418-E03301E2B89C}"/>
    <cellStyle name="Normal 4 3 2 3 2" xfId="4954" xr:uid="{55F4E2AA-18C2-4B0D-8600-CE4B8A195CCD}"/>
    <cellStyle name="Normal 4 3 2 3 2 2" xfId="13334" xr:uid="{EB3254C8-9B98-4D22-9A4E-94E31143F985}"/>
    <cellStyle name="Normal 4 3 2 3 2 2 2" xfId="30094" xr:uid="{1666FD16-8892-4B03-8325-B49C8EA6A62F}"/>
    <cellStyle name="Normal 4 3 2 3 2 2 3" xfId="46853" xr:uid="{47FD6A91-BD16-489E-B46B-AE31E6A92CE8}"/>
    <cellStyle name="Normal 4 3 2 3 2 3" xfId="21714" xr:uid="{5C721174-AEFC-4A82-B885-5DF1942A965D}"/>
    <cellStyle name="Normal 4 3 2 3 2 4" xfId="38473" xr:uid="{35A14ABE-ECBB-4492-8CD2-36701932ED11}"/>
    <cellStyle name="Normal 4 3 2 3 3" xfId="6641" xr:uid="{86F399E8-1684-4229-9425-B894A8E52AD8}"/>
    <cellStyle name="Normal 4 3 2 3 3 2" xfId="15021" xr:uid="{D5C5E244-5362-46D1-95CB-8C876CA3A49A}"/>
    <cellStyle name="Normal 4 3 2 3 3 2 2" xfId="31781" xr:uid="{D9FF8131-C778-4D49-8F38-43DC742119C8}"/>
    <cellStyle name="Normal 4 3 2 3 3 2 3" xfId="48540" xr:uid="{0BF2DFF8-6A7A-4D59-BF1D-B166F2D41233}"/>
    <cellStyle name="Normal 4 3 2 3 3 3" xfId="23401" xr:uid="{DDD42735-846B-42FA-B1F8-F1D4D590DCB4}"/>
    <cellStyle name="Normal 4 3 2 3 3 4" xfId="40160" xr:uid="{F5457D83-8F72-4CDF-A15C-1A78665E4667}"/>
    <cellStyle name="Normal 4 3 2 3 4" xfId="3377" xr:uid="{23E2DA15-11F4-40B7-9997-447386F46846}"/>
    <cellStyle name="Normal 4 3 2 3 4 2" xfId="11757" xr:uid="{DEE8BB15-CE54-463A-B8C8-FAAF2F840B84}"/>
    <cellStyle name="Normal 4 3 2 3 4 2 2" xfId="28517" xr:uid="{CE37CB28-F9A7-4432-867F-7E3D6974F650}"/>
    <cellStyle name="Normal 4 3 2 3 4 2 3" xfId="45276" xr:uid="{0C1BD589-39EF-4E74-AB34-371A007A0DF1}"/>
    <cellStyle name="Normal 4 3 2 3 4 3" xfId="20137" xr:uid="{4158F02C-1226-4E76-AA80-626BFE6D5652}"/>
    <cellStyle name="Normal 4 3 2 3 4 4" xfId="36896" xr:uid="{74ED58A2-1501-45BC-A0D1-B376C56954F3}"/>
    <cellStyle name="Normal 4 3 2 3 5" xfId="9954" xr:uid="{B88FBEDC-8CE7-4D72-9504-19A35C44FF2C}"/>
    <cellStyle name="Normal 4 3 2 3 5 2" xfId="26714" xr:uid="{C6E9DA4D-1EE6-4C40-BEA4-13354CA7F7EF}"/>
    <cellStyle name="Normal 4 3 2 3 5 3" xfId="43473" xr:uid="{E7E70502-CFE3-4A1E-9269-F0741C8EEFF4}"/>
    <cellStyle name="Normal 4 3 2 3 6" xfId="18334" xr:uid="{0CC4FF0F-02AD-4DC8-9095-DD29FF4F0582}"/>
    <cellStyle name="Normal 4 3 2 3 7" xfId="35093" xr:uid="{FE943283-2CFE-4E8D-83E0-CA3167B1E1A9}"/>
    <cellStyle name="Normal 4 3 2 4" xfId="1869" xr:uid="{DADEE060-6CE3-4687-8C07-C4BE8C52FF1D}"/>
    <cellStyle name="Normal 4 3 2 4 2" xfId="5258" xr:uid="{C4CDCA54-E607-4F62-99F9-1B65A31E07A0}"/>
    <cellStyle name="Normal 4 3 2 4 2 2" xfId="13638" xr:uid="{DAFC55BE-4DDF-4861-B463-B7AA0FAF100A}"/>
    <cellStyle name="Normal 4 3 2 4 2 2 2" xfId="30398" xr:uid="{A3598390-4AD9-4201-9D98-7B4D8B0C6809}"/>
    <cellStyle name="Normal 4 3 2 4 2 2 3" xfId="47157" xr:uid="{E8325063-1049-4465-B392-490E9D7E7FE6}"/>
    <cellStyle name="Normal 4 3 2 4 2 3" xfId="22018" xr:uid="{CA565237-6A0C-4BCB-BF32-18E9BA5DDDB9}"/>
    <cellStyle name="Normal 4 3 2 4 2 4" xfId="38777" xr:uid="{2D5B1987-1C34-44F3-A8EE-BA8CFF2799E3}"/>
    <cellStyle name="Normal 4 3 2 4 3" xfId="6945" xr:uid="{5227AE83-50DE-42AE-8816-5181ECE3EDEF}"/>
    <cellStyle name="Normal 4 3 2 4 3 2" xfId="15325" xr:uid="{17B0CB2D-3CEE-4F3F-B58A-A3D23781BD3A}"/>
    <cellStyle name="Normal 4 3 2 4 3 2 2" xfId="32085" xr:uid="{2E184B0A-6DED-42D4-8FA8-6D268263E22C}"/>
    <cellStyle name="Normal 4 3 2 4 3 2 3" xfId="48844" xr:uid="{83FF364A-611A-47BC-81D6-68C604E644A9}"/>
    <cellStyle name="Normal 4 3 2 4 3 3" xfId="23705" xr:uid="{BD137FFA-9899-4EAA-9864-250645A36C12}"/>
    <cellStyle name="Normal 4 3 2 4 3 4" xfId="40464" xr:uid="{CD0331D3-A213-49D9-BA00-3C4453D1BA84}"/>
    <cellStyle name="Normal 4 3 2 4 4" xfId="3568" xr:uid="{0FA1F2C2-714D-44E7-8791-FAD11878B144}"/>
    <cellStyle name="Normal 4 3 2 4 4 2" xfId="11948" xr:uid="{683158A6-989B-43A1-904C-DB2FEB37D52D}"/>
    <cellStyle name="Normal 4 3 2 4 4 2 2" xfId="28708" xr:uid="{0B899A8B-411E-4B9C-8683-197B2F7F2586}"/>
    <cellStyle name="Normal 4 3 2 4 4 2 3" xfId="45467" xr:uid="{54376F84-0227-4593-85D9-DD55883FD53F}"/>
    <cellStyle name="Normal 4 3 2 4 4 3" xfId="20328" xr:uid="{8574B87D-1D32-4848-B2FE-AEA4DB55FD5C}"/>
    <cellStyle name="Normal 4 3 2 4 4 4" xfId="37087" xr:uid="{FB6897CA-3D27-40AC-949E-1F9FE51AC747}"/>
    <cellStyle name="Normal 4 3 2 4 5" xfId="10258" xr:uid="{9CBFC60F-2E77-4A88-AB1F-4331C8F27A8A}"/>
    <cellStyle name="Normal 4 3 2 4 5 2" xfId="27018" xr:uid="{43D5F0FA-D352-4B3B-AE64-B1EB99BD9195}"/>
    <cellStyle name="Normal 4 3 2 4 5 3" xfId="43777" xr:uid="{33A2BEF7-D692-4205-9872-7E0CDE53B0A9}"/>
    <cellStyle name="Normal 4 3 2 4 6" xfId="18638" xr:uid="{C8053EAB-E2FB-45E4-8869-673246467569}"/>
    <cellStyle name="Normal 4 3 2 4 7" xfId="35397" xr:uid="{4BC21BBA-8838-4493-9C8C-BB9B2DCDEE22}"/>
    <cellStyle name="Normal 4 3 2 5" xfId="3988" xr:uid="{8655E154-7C08-4480-B18A-226DECC721B3}"/>
    <cellStyle name="Normal 4 3 2 5 2" xfId="12368" xr:uid="{C96CF613-F297-4C24-8A06-4C3F689601F8}"/>
    <cellStyle name="Normal 4 3 2 5 2 2" xfId="29128" xr:uid="{E4425A0E-0FE1-4935-8230-549B2F720815}"/>
    <cellStyle name="Normal 4 3 2 5 2 3" xfId="45887" xr:uid="{0570B015-CD18-429F-BD1D-817E728B8096}"/>
    <cellStyle name="Normal 4 3 2 5 3" xfId="20748" xr:uid="{194F3BD6-17D7-44F3-B3E3-8B5041C2A453}"/>
    <cellStyle name="Normal 4 3 2 5 4" xfId="37507" xr:uid="{1938051C-8423-44FC-84A4-E325D54E871A}"/>
    <cellStyle name="Normal 4 3 2 6" xfId="5787" xr:uid="{9478A920-258E-4DC1-9859-AFA4F82EAF85}"/>
    <cellStyle name="Normal 4 3 2 6 2" xfId="14167" xr:uid="{3EC5C54A-E1EC-4F4A-BD97-A6006BDB3E42}"/>
    <cellStyle name="Normal 4 3 2 6 2 2" xfId="30927" xr:uid="{459F1B4A-2FA6-4325-A9C4-D46D89547C27}"/>
    <cellStyle name="Normal 4 3 2 6 2 3" xfId="47686" xr:uid="{B1BE2129-DC7B-4FE6-94C5-9874F8636303}"/>
    <cellStyle name="Normal 4 3 2 6 3" xfId="22547" xr:uid="{4D4713A0-1C3A-4540-8103-951CA952C63D}"/>
    <cellStyle name="Normal 4 3 2 6 4" xfId="39306" xr:uid="{8012D895-476D-4594-948C-AA764A465330}"/>
    <cellStyle name="Normal 4 3 2 7" xfId="7351" xr:uid="{320D7631-6C4E-4627-9AE7-713622AE97AE}"/>
    <cellStyle name="Normal 4 3 2 7 2" xfId="15731" xr:uid="{0522B3B9-EE8D-4E82-92F4-E7EC110E7F0E}"/>
    <cellStyle name="Normal 4 3 2 7 2 2" xfId="32491" xr:uid="{9F8D64D9-A92D-426B-AF11-AC880120D61F}"/>
    <cellStyle name="Normal 4 3 2 7 2 3" xfId="49250" xr:uid="{EA3D6C0F-0FDC-4444-91C0-789B3DBD0F97}"/>
    <cellStyle name="Normal 4 3 2 7 3" xfId="24111" xr:uid="{1D0CD6AB-0768-4454-9BDD-50D3A4D11738}"/>
    <cellStyle name="Normal 4 3 2 7 4" xfId="40870" xr:uid="{D7D2FD63-CEBC-43E6-9293-DC62C787F4DC}"/>
    <cellStyle name="Normal 4 3 2 8" xfId="7757" xr:uid="{787F316B-59B9-49F4-BDFD-4CC1813CE941}"/>
    <cellStyle name="Normal 4 3 2 8 2" xfId="16137" xr:uid="{2DDBEC57-8E59-430F-96DF-2BE765D7B712}"/>
    <cellStyle name="Normal 4 3 2 8 2 2" xfId="32897" xr:uid="{6E7FF483-9BAC-4BF6-A6A0-9A1588A1AE0B}"/>
    <cellStyle name="Normal 4 3 2 8 2 3" xfId="49656" xr:uid="{9A72CA29-14C0-4ADF-A718-6AD99EC4BD06}"/>
    <cellStyle name="Normal 4 3 2 8 3" xfId="24517" xr:uid="{1A9F4246-4E1A-478F-A3E9-6D10586E5E12}"/>
    <cellStyle name="Normal 4 3 2 8 4" xfId="41276" xr:uid="{9166136E-367D-4662-A84F-4B7B501C8C41}"/>
    <cellStyle name="Normal 4 3 2 9" xfId="8163" xr:uid="{24895C1D-7A1C-4B51-B743-A26826DFF5A7}"/>
    <cellStyle name="Normal 4 3 2 9 2" xfId="16543" xr:uid="{B2999361-9756-4E22-818E-901E3856BA7B}"/>
    <cellStyle name="Normal 4 3 2 9 2 2" xfId="33303" xr:uid="{7E626EDE-294B-4D2F-B794-25EB16C08918}"/>
    <cellStyle name="Normal 4 3 2 9 2 3" xfId="50062" xr:uid="{013ECFC1-9058-4891-BA65-27C0F0A5C5C4}"/>
    <cellStyle name="Normal 4 3 2 9 3" xfId="24923" xr:uid="{2BF0473E-05B5-401E-9268-1D1A1E0871BB}"/>
    <cellStyle name="Normal 4 3 2 9 4" xfId="41682" xr:uid="{001D5497-0F62-4926-855E-99B8C05182D9}"/>
    <cellStyle name="Normal 4 3 20" xfId="51420" xr:uid="{5395C1B5-3DBD-4878-AF70-8223B09BE7C4}"/>
    <cellStyle name="Normal 4 3 21" xfId="51781" xr:uid="{0D228CB7-2061-4D29-BF9F-8A2B13D51C2E}"/>
    <cellStyle name="Normal 4 3 22" xfId="324" xr:uid="{C392D337-3A41-4AEF-86A8-710ACC531CFC}"/>
    <cellStyle name="Normal 4 3 3" xfId="693" xr:uid="{ACC2FB7D-F87A-4CF3-B320-05FE8675E8DA}"/>
    <cellStyle name="Normal 4 3 3 10" xfId="8700" xr:uid="{4586AD84-FDB5-46F2-AEFC-F91ADDF7FA29}"/>
    <cellStyle name="Normal 4 3 3 10 2" xfId="17080" xr:uid="{FD51E127-C2C5-445E-BE86-BAC07A4F3C3C}"/>
    <cellStyle name="Normal 4 3 3 10 2 2" xfId="33840" xr:uid="{B42A034B-A1CF-4CB3-998A-18B2081DDBAB}"/>
    <cellStyle name="Normal 4 3 3 10 2 3" xfId="50599" xr:uid="{88866580-44B8-4CC9-BE27-8E9EFAC8F4E9}"/>
    <cellStyle name="Normal 4 3 3 10 3" xfId="25460" xr:uid="{D5A5DD67-7BC7-4F41-A328-ABADC803FC21}"/>
    <cellStyle name="Normal 4 3 3 10 4" xfId="42219" xr:uid="{C7F63CCE-5FEF-4B70-9713-7DE85B443DB6}"/>
    <cellStyle name="Normal 4 3 3 11" xfId="2522" xr:uid="{4A865CFF-05EB-456C-9D9A-3B2CBF654680}"/>
    <cellStyle name="Normal 4 3 3 11 2" xfId="10904" xr:uid="{B8CBCB1F-719F-4456-A6A4-24FC578589CD}"/>
    <cellStyle name="Normal 4 3 3 11 2 2" xfId="27664" xr:uid="{65BBDD2F-B672-4932-BF8A-F05C1E18813A}"/>
    <cellStyle name="Normal 4 3 3 11 2 3" xfId="44423" xr:uid="{1B37B597-583C-4005-AB5B-E61E41FFD55D}"/>
    <cellStyle name="Normal 4 3 3 11 3" xfId="19284" xr:uid="{16A129DF-7D01-4EA6-BB48-8B59D53F03DD}"/>
    <cellStyle name="Normal 4 3 3 11 4" xfId="36043" xr:uid="{03199E1B-DDBA-46AF-92BF-D5D8761C9D2B}"/>
    <cellStyle name="Normal 4 3 3 12" xfId="9101" xr:uid="{CC833B7B-85DA-42C4-9A4E-F71B7A1353E8}"/>
    <cellStyle name="Normal 4 3 3 12 2" xfId="25861" xr:uid="{6E5A9F72-E66B-4D42-B326-8DE6D9EDB0E0}"/>
    <cellStyle name="Normal 4 3 3 12 3" xfId="42620" xr:uid="{4767AB31-14CE-4B52-9A00-CEF18A61C9EC}"/>
    <cellStyle name="Normal 4 3 3 13" xfId="17481" xr:uid="{79AB758C-38A1-4F1F-9F43-7CE736D8628B}"/>
    <cellStyle name="Normal 4 3 3 14" xfId="34240" xr:uid="{54285D1D-C22F-402D-84D2-9D032322D8A4}"/>
    <cellStyle name="Normal 4 3 3 15" xfId="51181" xr:uid="{4C6923D5-1DED-4D44-A2F9-FDDDA7EBD1FF}"/>
    <cellStyle name="Normal 4 3 3 16" xfId="51655" xr:uid="{8DA2DF76-58AC-4760-AD1F-9846DC74F78B}"/>
    <cellStyle name="Normal 4 3 3 17" xfId="51934" xr:uid="{23AE0F15-E51C-4E03-8B23-BC905C8670F8}"/>
    <cellStyle name="Normal 4 3 3 2" xfId="1132" xr:uid="{4956AEE0-2DD8-4F94-814E-9F3D64F94A8D}"/>
    <cellStyle name="Normal 4 3 3 2 2" xfId="4527" xr:uid="{A1E6327F-FFFE-4442-9D04-8CAD49B77842}"/>
    <cellStyle name="Normal 4 3 3 2 2 2" xfId="12907" xr:uid="{6973315A-1126-4146-B639-6149F4418EF4}"/>
    <cellStyle name="Normal 4 3 3 2 2 2 2" xfId="29667" xr:uid="{152DE1AA-B1BC-49FA-9539-A9583A533AEB}"/>
    <cellStyle name="Normal 4 3 3 2 2 2 3" xfId="46426" xr:uid="{E71EA39A-E7D0-4419-B847-A5E0D76640AA}"/>
    <cellStyle name="Normal 4 3 3 2 2 3" xfId="21287" xr:uid="{BCF55075-0236-498E-A386-23E0596FD92E}"/>
    <cellStyle name="Normal 4 3 3 2 2 4" xfId="38046" xr:uid="{6767E37D-E6DD-418D-83F7-2AE67B3D97DA}"/>
    <cellStyle name="Normal 4 3 3 2 3" xfId="6214" xr:uid="{AC2DD684-1CE4-4BB7-B632-54206A7E5B79}"/>
    <cellStyle name="Normal 4 3 3 2 3 2" xfId="14594" xr:uid="{38DE8535-2F2B-46CA-B218-D34C2F24995E}"/>
    <cellStyle name="Normal 4 3 3 2 3 2 2" xfId="31354" xr:uid="{C11D1EBA-68B2-4FB8-B4CF-245BEEF78E2D}"/>
    <cellStyle name="Normal 4 3 3 2 3 2 3" xfId="48113" xr:uid="{C9B1B186-DFFF-4DCE-80A1-AF04270788AC}"/>
    <cellStyle name="Normal 4 3 3 2 3 3" xfId="22974" xr:uid="{8D84FB37-6BCF-420D-A569-9B11C45FA07C}"/>
    <cellStyle name="Normal 4 3 3 2 3 4" xfId="39733" xr:uid="{009D88B3-34A3-4EA5-8FE4-A62594BF72F8}"/>
    <cellStyle name="Normal 4 3 3 2 4" xfId="2950" xr:uid="{B0ED4E91-C51B-4DE6-98D9-3968FC467DE1}"/>
    <cellStyle name="Normal 4 3 3 2 4 2" xfId="11330" xr:uid="{D079BFBA-F76A-47C7-BBED-3CB55AEDC3AE}"/>
    <cellStyle name="Normal 4 3 3 2 4 2 2" xfId="28090" xr:uid="{48250E40-61F0-4118-9CF3-C1E3BBA86022}"/>
    <cellStyle name="Normal 4 3 3 2 4 2 3" xfId="44849" xr:uid="{B15FB555-A7E9-4B09-A400-3780EE793C74}"/>
    <cellStyle name="Normal 4 3 3 2 4 3" xfId="19710" xr:uid="{0B433C8D-E7A4-4D21-988F-7D51BB0AB461}"/>
    <cellStyle name="Normal 4 3 3 2 4 4" xfId="36469" xr:uid="{DB0EE167-01E2-4B1A-8370-AEDD10CB0A1C}"/>
    <cellStyle name="Normal 4 3 3 2 5" xfId="9527" xr:uid="{B9C103AA-FFE6-4F72-9AC6-917E716A6DD5}"/>
    <cellStyle name="Normal 4 3 3 2 5 2" xfId="26287" xr:uid="{F0D81B1E-E155-4667-9E89-E1BE8A8730FA}"/>
    <cellStyle name="Normal 4 3 3 2 5 3" xfId="43046" xr:uid="{4251BCA9-4D8E-4ACF-8499-F39E77A9A536}"/>
    <cellStyle name="Normal 4 3 3 2 6" xfId="17907" xr:uid="{D04194A1-6196-4E25-B22D-6F7F90FF900F}"/>
    <cellStyle name="Normal 4 3 3 2 7" xfId="34666" xr:uid="{193EDA5D-42CD-4AB8-9432-34E42434AD25}"/>
    <cellStyle name="Normal 4 3 3 3" xfId="1566" xr:uid="{C8BCFCFA-6C64-4D78-ACC7-FBA893A65C47}"/>
    <cellStyle name="Normal 4 3 3 3 2" xfId="4955" xr:uid="{01A9E93D-4EC9-44AC-8CE8-1973D4E7D7B2}"/>
    <cellStyle name="Normal 4 3 3 3 2 2" xfId="13335" xr:uid="{55E9924B-BC0C-4221-A7C8-83B6B3B727AC}"/>
    <cellStyle name="Normal 4 3 3 3 2 2 2" xfId="30095" xr:uid="{EE79987F-16DE-40D3-9520-271A17BDE656}"/>
    <cellStyle name="Normal 4 3 3 3 2 2 3" xfId="46854" xr:uid="{EF1BFA2A-EA5D-4A3E-B2C6-F980143AC8E9}"/>
    <cellStyle name="Normal 4 3 3 3 2 3" xfId="21715" xr:uid="{24C5A6BB-B013-42F6-8EAF-932C1257612E}"/>
    <cellStyle name="Normal 4 3 3 3 2 4" xfId="38474" xr:uid="{D03C0305-2178-4412-93DF-C9DDC6D92B96}"/>
    <cellStyle name="Normal 4 3 3 3 3" xfId="6642" xr:uid="{941B036E-9003-4BA0-BF1F-D3505B016133}"/>
    <cellStyle name="Normal 4 3 3 3 3 2" xfId="15022" xr:uid="{E3F484BB-C444-4C2A-98C0-B550167798C4}"/>
    <cellStyle name="Normal 4 3 3 3 3 2 2" xfId="31782" xr:uid="{E2E5B114-BF78-4DA3-BD26-60453B25C51E}"/>
    <cellStyle name="Normal 4 3 3 3 3 2 3" xfId="48541" xr:uid="{6CE3D63E-EDB7-4938-94DC-83E64CB165FE}"/>
    <cellStyle name="Normal 4 3 3 3 3 3" xfId="23402" xr:uid="{1B4788B5-430E-450D-BED7-719DA5BB18B4}"/>
    <cellStyle name="Normal 4 3 3 3 3 4" xfId="40161" xr:uid="{B1A079CE-A4F1-427B-8648-52E029225E4F}"/>
    <cellStyle name="Normal 4 3 3 3 4" xfId="3378" xr:uid="{C9051AE2-4B10-40A1-9D59-F0CC785A3D99}"/>
    <cellStyle name="Normal 4 3 3 3 4 2" xfId="11758" xr:uid="{47F5DF80-28C2-47C2-80F3-F7FCD67725DE}"/>
    <cellStyle name="Normal 4 3 3 3 4 2 2" xfId="28518" xr:uid="{3185DEDC-80F0-4AD2-A8E7-D1A41990A5DA}"/>
    <cellStyle name="Normal 4 3 3 3 4 2 3" xfId="45277" xr:uid="{6E30ACF2-87E6-4110-871A-6F4059DF76C6}"/>
    <cellStyle name="Normal 4 3 3 3 4 3" xfId="20138" xr:uid="{E250BE5E-25BB-4BF1-A521-7DB49BF0859D}"/>
    <cellStyle name="Normal 4 3 3 3 4 4" xfId="36897" xr:uid="{8776D1B9-796C-443F-BD64-D8EC84F4873D}"/>
    <cellStyle name="Normal 4 3 3 3 5" xfId="9955" xr:uid="{838BB81B-2781-4DF1-A7E0-384C090FE1EE}"/>
    <cellStyle name="Normal 4 3 3 3 5 2" xfId="26715" xr:uid="{0E15C815-E058-4D7F-A0D6-1A3604D6A993}"/>
    <cellStyle name="Normal 4 3 3 3 5 3" xfId="43474" xr:uid="{D7E24F00-3150-4968-B2CF-D8E36E2189F8}"/>
    <cellStyle name="Normal 4 3 3 3 6" xfId="18335" xr:uid="{6D922210-E718-4E95-BB8C-276D179E2570}"/>
    <cellStyle name="Normal 4 3 3 3 7" xfId="35094" xr:uid="{99D9530B-322E-4592-801C-BFB41C94B221}"/>
    <cellStyle name="Normal 4 3 3 4" xfId="2000" xr:uid="{62872ACA-6AA3-4B87-92EB-513E8EBD6299}"/>
    <cellStyle name="Normal 4 3 3 4 2" xfId="5389" xr:uid="{403A5F66-2D8C-430B-9837-CA2A0A34EDA8}"/>
    <cellStyle name="Normal 4 3 3 4 2 2" xfId="13769" xr:uid="{17F93696-EDFC-43FF-87A3-8C3A0072767E}"/>
    <cellStyle name="Normal 4 3 3 4 2 2 2" xfId="30529" xr:uid="{5F2BE6E5-CDBD-4DDF-875D-537D4413E2CC}"/>
    <cellStyle name="Normal 4 3 3 4 2 2 3" xfId="47288" xr:uid="{41A52B1C-E1EE-4353-B913-BB01C9363371}"/>
    <cellStyle name="Normal 4 3 3 4 2 3" xfId="22149" xr:uid="{59E3A6D0-37A5-4E6B-9D78-CE892560E3BC}"/>
    <cellStyle name="Normal 4 3 3 4 2 4" xfId="38908" xr:uid="{4C6D7E24-7D06-4A2C-A504-E73CF76603FA}"/>
    <cellStyle name="Normal 4 3 3 4 3" xfId="7076" xr:uid="{98CA77D6-76E6-49EC-8B1A-B245BBECE894}"/>
    <cellStyle name="Normal 4 3 3 4 3 2" xfId="15456" xr:uid="{1B3E1C32-B141-4462-B5B2-46B541503928}"/>
    <cellStyle name="Normal 4 3 3 4 3 2 2" xfId="32216" xr:uid="{27086257-C1EF-430F-A0B6-AF5642CD3A3B}"/>
    <cellStyle name="Normal 4 3 3 4 3 2 3" xfId="48975" xr:uid="{F0F93C6C-6E65-4372-AE42-7BBBD6A7B8B1}"/>
    <cellStyle name="Normal 4 3 3 4 3 3" xfId="23836" xr:uid="{6429411C-A1F7-4181-9FDE-FDEF9062B4F1}"/>
    <cellStyle name="Normal 4 3 3 4 3 4" xfId="40595" xr:uid="{374F8467-B633-4AFA-9F16-7A15BB31772F}"/>
    <cellStyle name="Normal 4 3 3 4 4" xfId="3699" xr:uid="{471DD1E7-52EC-437C-AE7E-BCBA7222924F}"/>
    <cellStyle name="Normal 4 3 3 4 4 2" xfId="12079" xr:uid="{079B6D1A-8F72-4174-96C1-F1F4D8AF51AA}"/>
    <cellStyle name="Normal 4 3 3 4 4 2 2" xfId="28839" xr:uid="{D56F8E46-60F7-4DC0-9702-06C5AA824C73}"/>
    <cellStyle name="Normal 4 3 3 4 4 2 3" xfId="45598" xr:uid="{50BB92D5-B1C9-47FE-A503-0958885EE895}"/>
    <cellStyle name="Normal 4 3 3 4 4 3" xfId="20459" xr:uid="{4847D57C-BCE4-45C5-A1A6-885F0D07C84A}"/>
    <cellStyle name="Normal 4 3 3 4 4 4" xfId="37218" xr:uid="{EE67933C-1B3A-4B6D-810C-5BC27AE613BA}"/>
    <cellStyle name="Normal 4 3 3 4 5" xfId="10389" xr:uid="{37435FB6-7A00-4C09-8D52-8C34C8E5E368}"/>
    <cellStyle name="Normal 4 3 3 4 5 2" xfId="27149" xr:uid="{CA6C485C-886E-4F71-81A6-2892D018DF58}"/>
    <cellStyle name="Normal 4 3 3 4 5 3" xfId="43908" xr:uid="{6080B0F1-6934-422C-B537-54A0750B988E}"/>
    <cellStyle name="Normal 4 3 3 4 6" xfId="18769" xr:uid="{318BBE00-57ED-4DBE-80AF-C12F0A660012}"/>
    <cellStyle name="Normal 4 3 3 4 7" xfId="35528" xr:uid="{37279A82-A247-42D9-AEEE-5DCA9E06F7E2}"/>
    <cellStyle name="Normal 4 3 3 5" xfId="4119" xr:uid="{482475FF-5F0A-4D37-8906-7D86BC9A8B2E}"/>
    <cellStyle name="Normal 4 3 3 5 2" xfId="12499" xr:uid="{C9479A17-5DF4-4F85-A437-08FB8C106DFF}"/>
    <cellStyle name="Normal 4 3 3 5 2 2" xfId="29259" xr:uid="{724D791C-5556-4760-AD45-DADEF527B67B}"/>
    <cellStyle name="Normal 4 3 3 5 2 3" xfId="46018" xr:uid="{4000847B-0BD8-45DE-8B98-1A4FCAF01BD6}"/>
    <cellStyle name="Normal 4 3 3 5 3" xfId="20879" xr:uid="{FAB198CB-9FD7-41FF-BE38-7C6B9D34CFEE}"/>
    <cellStyle name="Normal 4 3 3 5 4" xfId="37638" xr:uid="{9D006101-39E1-4128-BF04-DE18309BF4B5}"/>
    <cellStyle name="Normal 4 3 3 6" xfId="5788" xr:uid="{D4EF5997-BFE9-4419-AE5D-23792940E720}"/>
    <cellStyle name="Normal 4 3 3 6 2" xfId="14168" xr:uid="{BB403A85-DDA2-44DC-8728-05A3983ECC76}"/>
    <cellStyle name="Normal 4 3 3 6 2 2" xfId="30928" xr:uid="{772F7C14-4B30-414E-98FC-DCBA2EDEAB5C}"/>
    <cellStyle name="Normal 4 3 3 6 2 3" xfId="47687" xr:uid="{B9BDE397-2A95-45CD-A7ED-75EA650AF4E9}"/>
    <cellStyle name="Normal 4 3 3 6 3" xfId="22548" xr:uid="{46730F6A-8F78-4F7D-A958-CCFA339D3EDE}"/>
    <cellStyle name="Normal 4 3 3 6 4" xfId="39307" xr:uid="{BF70F12D-9182-49BA-8689-7E1A345B7015}"/>
    <cellStyle name="Normal 4 3 3 7" xfId="7482" xr:uid="{5479A342-C596-4414-87E0-5BC239B3231F}"/>
    <cellStyle name="Normal 4 3 3 7 2" xfId="15862" xr:uid="{B22F41AE-634D-4617-A81D-5DA7644428B4}"/>
    <cellStyle name="Normal 4 3 3 7 2 2" xfId="32622" xr:uid="{DEB594C2-6C7A-432E-ACA4-AABEA892D6EE}"/>
    <cellStyle name="Normal 4 3 3 7 2 3" xfId="49381" xr:uid="{44BA2DF9-A450-4AB7-A069-F21B886C621B}"/>
    <cellStyle name="Normal 4 3 3 7 3" xfId="24242" xr:uid="{55454B20-EC80-49F5-B3E9-C6D7244C59B2}"/>
    <cellStyle name="Normal 4 3 3 7 4" xfId="41001" xr:uid="{304BD301-C3BE-46CF-A319-115874027A54}"/>
    <cellStyle name="Normal 4 3 3 8" xfId="7888" xr:uid="{DC813F9F-2468-4EB6-8099-A457C7ACE814}"/>
    <cellStyle name="Normal 4 3 3 8 2" xfId="16268" xr:uid="{FBF0F371-46CA-48E5-8097-B2CDED222816}"/>
    <cellStyle name="Normal 4 3 3 8 2 2" xfId="33028" xr:uid="{3445A879-D3A1-41C3-A06A-AAE13256F62A}"/>
    <cellStyle name="Normal 4 3 3 8 2 3" xfId="49787" xr:uid="{54754CB0-7C47-4AFF-8674-7E38698C2F2C}"/>
    <cellStyle name="Normal 4 3 3 8 3" xfId="24648" xr:uid="{48365BDE-BA1F-4EEC-899B-DA9C4AE02905}"/>
    <cellStyle name="Normal 4 3 3 8 4" xfId="41407" xr:uid="{6478B0E1-471A-4406-B8CC-7D3F0C6AE2CB}"/>
    <cellStyle name="Normal 4 3 3 9" xfId="8294" xr:uid="{51A9E8C8-825B-4422-B815-57A0CCEB3BE9}"/>
    <cellStyle name="Normal 4 3 3 9 2" xfId="16674" xr:uid="{280944B9-2D8A-4A0E-9833-CF5250D7CBB1}"/>
    <cellStyle name="Normal 4 3 3 9 2 2" xfId="33434" xr:uid="{329228DB-77F7-4C98-BF45-10CE46B20247}"/>
    <cellStyle name="Normal 4 3 3 9 2 3" xfId="50193" xr:uid="{2A468C99-091A-4C6C-B657-719739A48F06}"/>
    <cellStyle name="Normal 4 3 3 9 3" xfId="25054" xr:uid="{9EAF012A-1F2F-42A2-A9E9-F3C036DD98A6}"/>
    <cellStyle name="Normal 4 3 3 9 4" xfId="41813" xr:uid="{738E79BA-1820-4C07-ADA8-87196397400B}"/>
    <cellStyle name="Normal 4 3 4" xfId="826" xr:uid="{F056038B-0CED-4839-B605-D66A357662D0}"/>
    <cellStyle name="Normal 4 3 4 2" xfId="4221" xr:uid="{4209F739-9565-46F1-9EE1-555B3F4B9402}"/>
    <cellStyle name="Normal 4 3 4 2 2" xfId="12601" xr:uid="{B57A8D47-3A6D-4269-B57A-67E004778300}"/>
    <cellStyle name="Normal 4 3 4 2 2 2" xfId="29361" xr:uid="{A9657F22-47D4-4AD0-80CB-2A8DE296159A}"/>
    <cellStyle name="Normal 4 3 4 2 2 3" xfId="46120" xr:uid="{4B13617B-457A-480D-A05F-B97C7CD771F7}"/>
    <cellStyle name="Normal 4 3 4 2 3" xfId="20981" xr:uid="{3D946D1E-7C7F-40D4-848C-A3CA0EABA716}"/>
    <cellStyle name="Normal 4 3 4 2 4" xfId="37740" xr:uid="{C76823B2-4AEF-4C8D-9B9D-BEA49C7DEAA5}"/>
    <cellStyle name="Normal 4 3 4 3" xfId="5908" xr:uid="{C8240FDB-525B-43E0-B123-B19A92027B41}"/>
    <cellStyle name="Normal 4 3 4 3 2" xfId="14288" xr:uid="{864A1984-3869-45B9-9A5C-2DB99594D830}"/>
    <cellStyle name="Normal 4 3 4 3 2 2" xfId="31048" xr:uid="{97205C6A-0080-4295-B2F3-EF3E3ACBB792}"/>
    <cellStyle name="Normal 4 3 4 3 2 3" xfId="47807" xr:uid="{3EB3932E-F6B7-4AE1-ADAF-E76F84805D1B}"/>
    <cellStyle name="Normal 4 3 4 3 3" xfId="22668" xr:uid="{DF72E345-C4AF-48AE-B2BC-0C53C8E25C51}"/>
    <cellStyle name="Normal 4 3 4 3 4" xfId="39427" xr:uid="{08216D18-76A4-41B5-9716-67369F10F203}"/>
    <cellStyle name="Normal 4 3 4 4" xfId="2644" xr:uid="{E28569E9-DC48-4B58-8921-750A79025EE0}"/>
    <cellStyle name="Normal 4 3 4 4 2" xfId="11024" xr:uid="{8CDFFD59-76BD-412C-9068-86B9634737DC}"/>
    <cellStyle name="Normal 4 3 4 4 2 2" xfId="27784" xr:uid="{C424621E-C763-4C6A-88B7-B3767D9F9BAF}"/>
    <cellStyle name="Normal 4 3 4 4 2 3" xfId="44543" xr:uid="{1DE109F0-E8B9-493A-AF0D-F0C210159795}"/>
    <cellStyle name="Normal 4 3 4 4 3" xfId="19404" xr:uid="{A0E6EAD4-56E1-4366-86AF-1FE970E7CE9B}"/>
    <cellStyle name="Normal 4 3 4 4 4" xfId="36163" xr:uid="{B8CECF8A-C3AA-4148-904C-3078CF375BBC}"/>
    <cellStyle name="Normal 4 3 4 5" xfId="9221" xr:uid="{072CC701-73DD-42F1-A5D3-3766296C3002}"/>
    <cellStyle name="Normal 4 3 4 5 2" xfId="25981" xr:uid="{9835BA61-C745-486D-960E-EA2E7103D3B1}"/>
    <cellStyle name="Normal 4 3 4 5 3" xfId="42740" xr:uid="{A1249119-5D51-4C89-AE17-7BECCBC30183}"/>
    <cellStyle name="Normal 4 3 4 6" xfId="17601" xr:uid="{C397BC9E-DCF1-4436-BE36-67D33D898D5A}"/>
    <cellStyle name="Normal 4 3 4 7" xfId="34360" xr:uid="{D6F3638E-374B-4461-A2F6-0323CF229B5F}"/>
    <cellStyle name="Normal 4 3 5" xfId="1260" xr:uid="{879FEBD6-078C-4BAC-90F6-EA11DD9E7B21}"/>
    <cellStyle name="Normal 4 3 5 2" xfId="4649" xr:uid="{AA11E509-51CD-4065-B1D6-8CF135320B8E}"/>
    <cellStyle name="Normal 4 3 5 2 2" xfId="13029" xr:uid="{1668B145-EC89-4CAF-BAD5-84DC57AB7432}"/>
    <cellStyle name="Normal 4 3 5 2 2 2" xfId="29789" xr:uid="{BCC2A884-FA26-43D1-B396-CFC656EAAB07}"/>
    <cellStyle name="Normal 4 3 5 2 2 3" xfId="46548" xr:uid="{2F5C2209-2FD2-4D8E-A0D3-95B11383BF43}"/>
    <cellStyle name="Normal 4 3 5 2 3" xfId="21409" xr:uid="{0EF35285-6CA1-4249-9ECE-6051473764AE}"/>
    <cellStyle name="Normal 4 3 5 2 4" xfId="38168" xr:uid="{2FE8F417-183B-4CBD-95AD-5FCA85F69CEC}"/>
    <cellStyle name="Normal 4 3 5 3" xfId="6336" xr:uid="{C5976017-0F10-4B4F-AF09-A393374BFAE6}"/>
    <cellStyle name="Normal 4 3 5 3 2" xfId="14716" xr:uid="{5A499AEA-93D1-4460-9EF5-878470F0D7F8}"/>
    <cellStyle name="Normal 4 3 5 3 2 2" xfId="31476" xr:uid="{ECA6AA76-8AE5-46FB-8629-88E9F802BFC0}"/>
    <cellStyle name="Normal 4 3 5 3 2 3" xfId="48235" xr:uid="{E27F2CAE-02DD-4A18-8D6C-84B70599DDEB}"/>
    <cellStyle name="Normal 4 3 5 3 3" xfId="23096" xr:uid="{389EB635-31AC-41FB-808B-A0C412758ED7}"/>
    <cellStyle name="Normal 4 3 5 3 4" xfId="39855" xr:uid="{BC9F7C4B-F00E-46D0-AF8F-E418D1176C87}"/>
    <cellStyle name="Normal 4 3 5 4" xfId="3072" xr:uid="{27B99F5E-F8BE-480A-BCBF-804EBC2D7184}"/>
    <cellStyle name="Normal 4 3 5 4 2" xfId="11452" xr:uid="{66FF6CB7-1EE5-4549-85CA-D3AF1B4559CD}"/>
    <cellStyle name="Normal 4 3 5 4 2 2" xfId="28212" xr:uid="{99EDCE80-A6BA-4D99-9FA2-A20DAEDFFCB6}"/>
    <cellStyle name="Normal 4 3 5 4 2 3" xfId="44971" xr:uid="{CE3593CF-AC2E-4521-9F00-BB4977AA9D0B}"/>
    <cellStyle name="Normal 4 3 5 4 3" xfId="19832" xr:uid="{36892F5B-91D0-4A7A-8A61-C65F058C55A8}"/>
    <cellStyle name="Normal 4 3 5 4 4" xfId="36591" xr:uid="{8C010091-489B-4A68-AE11-84F3D5BFA070}"/>
    <cellStyle name="Normal 4 3 5 5" xfId="9649" xr:uid="{7655DAAA-3775-45B5-93EE-8B54573C0D14}"/>
    <cellStyle name="Normal 4 3 5 5 2" xfId="26409" xr:uid="{031B931F-0E3E-4584-B817-91F6BC11B2D3}"/>
    <cellStyle name="Normal 4 3 5 5 3" xfId="43168" xr:uid="{5DEE3936-BC95-4FA9-BAE1-BFDA779BAF4C}"/>
    <cellStyle name="Normal 4 3 5 6" xfId="18029" xr:uid="{5119AF1B-E663-4183-9A9F-27D574C35A8E}"/>
    <cellStyle name="Normal 4 3 5 7" xfId="34788" xr:uid="{E658829E-4D5B-40E0-B503-4E0B243987F8}"/>
    <cellStyle name="Normal 4 3 6" xfId="1729" xr:uid="{6EA5084E-C831-4558-9A43-9840A8F69009}"/>
    <cellStyle name="Normal 4 3 6 2" xfId="5118" xr:uid="{BD8D6D00-000B-4EC3-9A1B-B893EDD0D4B0}"/>
    <cellStyle name="Normal 4 3 6 2 2" xfId="13498" xr:uid="{DA956961-2B43-43A1-A289-5535DD52963E}"/>
    <cellStyle name="Normal 4 3 6 2 2 2" xfId="30258" xr:uid="{C18545AA-CB23-4CF9-915C-1E23F937BBF9}"/>
    <cellStyle name="Normal 4 3 6 2 2 3" xfId="47017" xr:uid="{9EEC8881-3B65-4FAF-B9C0-91914189DF54}"/>
    <cellStyle name="Normal 4 3 6 2 3" xfId="21878" xr:uid="{C45687E7-2669-471F-9E86-E6C668BBD85E}"/>
    <cellStyle name="Normal 4 3 6 2 4" xfId="38637" xr:uid="{289B4F73-9995-4129-8EC3-6180CC91D273}"/>
    <cellStyle name="Normal 4 3 6 3" xfId="6805" xr:uid="{86AE11F8-96C5-44EF-AD37-186D7CE11F4A}"/>
    <cellStyle name="Normal 4 3 6 3 2" xfId="15185" xr:uid="{D59BD4B8-14D0-48EA-BBF3-6739CDC347D3}"/>
    <cellStyle name="Normal 4 3 6 3 2 2" xfId="31945" xr:uid="{BDB9F423-DFB6-43DB-9102-9419B5463A82}"/>
    <cellStyle name="Normal 4 3 6 3 2 3" xfId="48704" xr:uid="{9AE9CDEA-DD33-4D7E-BCD0-2E0E038A2127}"/>
    <cellStyle name="Normal 4 3 6 3 3" xfId="23565" xr:uid="{C840EB98-DCC6-47C5-8D41-F7DBA90E99CA}"/>
    <cellStyle name="Normal 4 3 6 3 4" xfId="40324" xr:uid="{2E5EAC09-F370-48A6-99A5-A9BFC2F59725}"/>
    <cellStyle name="Normal 4 3 6 4" xfId="3452" xr:uid="{A43C0785-1E75-4B5C-AC30-493EACF27523}"/>
    <cellStyle name="Normal 4 3 6 4 2" xfId="11832" xr:uid="{57AF2A80-756A-40E0-94CC-84B2DFD3B1C6}"/>
    <cellStyle name="Normal 4 3 6 4 2 2" xfId="28592" xr:uid="{13C538BB-3372-4FFD-AEC6-5B63F43E2D38}"/>
    <cellStyle name="Normal 4 3 6 4 2 3" xfId="45351" xr:uid="{F5DBD988-E8BC-49B8-AFF2-D8207F647F02}"/>
    <cellStyle name="Normal 4 3 6 4 3" xfId="20212" xr:uid="{F7E8BC6A-44AF-4FF4-B1CE-8D87DB753CE7}"/>
    <cellStyle name="Normal 4 3 6 4 4" xfId="36971" xr:uid="{2EEE13BB-55A7-434B-BC23-C4CDDA087285}"/>
    <cellStyle name="Normal 4 3 6 5" xfId="10118" xr:uid="{6DCE5C0B-4A70-4FBA-9773-5BC51685A919}"/>
    <cellStyle name="Normal 4 3 6 5 2" xfId="26878" xr:uid="{C122691A-E3BF-4A34-ABC6-CCA8DE1101D7}"/>
    <cellStyle name="Normal 4 3 6 5 3" xfId="43637" xr:uid="{15548869-48CB-4094-889A-3A573ECD4CAD}"/>
    <cellStyle name="Normal 4 3 6 6" xfId="18498" xr:uid="{A9050C3D-7B99-4AFC-9EBC-CA40FC35D3D2}"/>
    <cellStyle name="Normal 4 3 6 7" xfId="35257" xr:uid="{40C45258-5069-4A1D-9228-B8FAE5E9E6CC}"/>
    <cellStyle name="Normal 4 3 7" xfId="3848" xr:uid="{F24FB056-28C5-4D95-8F82-B5F353F329D1}"/>
    <cellStyle name="Normal 4 3 7 2" xfId="12228" xr:uid="{9FC2A0F1-5E51-4017-99B3-1B245861B5B0}"/>
    <cellStyle name="Normal 4 3 7 2 2" xfId="28988" xr:uid="{1393243A-7179-4BBB-8820-87ACA3524DB3}"/>
    <cellStyle name="Normal 4 3 7 2 3" xfId="45747" xr:uid="{1215BCFD-0276-4EE8-94C7-C6D7BD1B2367}"/>
    <cellStyle name="Normal 4 3 7 3" xfId="20608" xr:uid="{98985730-4283-4E44-B002-771940EEED86}"/>
    <cellStyle name="Normal 4 3 7 4" xfId="37367" xr:uid="{4FEDFDAD-7F49-484D-9DF3-29158B0E3C18}"/>
    <cellStyle name="Normal 4 3 8" xfId="5482" xr:uid="{9E57791C-4AE8-472F-ABF4-EAA448872D2F}"/>
    <cellStyle name="Normal 4 3 8 2" xfId="13862" xr:uid="{7F579F61-75FD-4269-9048-2622BEEFB331}"/>
    <cellStyle name="Normal 4 3 8 2 2" xfId="30622" xr:uid="{0C9318BC-40AE-4C8F-88D0-A725A7157220}"/>
    <cellStyle name="Normal 4 3 8 2 3" xfId="47381" xr:uid="{EABB4BA0-73E5-4479-BAE9-7821D8B898C4}"/>
    <cellStyle name="Normal 4 3 8 3" xfId="22242" xr:uid="{3C86D76D-6936-4BDC-94B8-008DD069990E}"/>
    <cellStyle name="Normal 4 3 8 4" xfId="39001" xr:uid="{32A617FA-968A-4D8D-A6E5-913E314A9527}"/>
    <cellStyle name="Normal 4 3 9" xfId="7211" xr:uid="{5A212D54-C8AC-4842-B181-A95BE39D1307}"/>
    <cellStyle name="Normal 4 3 9 2" xfId="15591" xr:uid="{80C4806F-A403-4F9F-BFB6-151BFCC32F52}"/>
    <cellStyle name="Normal 4 3 9 2 2" xfId="32351" xr:uid="{19D990D2-5300-4C55-807A-243A337FAF50}"/>
    <cellStyle name="Normal 4 3 9 2 3" xfId="49110" xr:uid="{86645F0A-658B-40E9-A705-A763733D8FC4}"/>
    <cellStyle name="Normal 4 3 9 3" xfId="23971" xr:uid="{CFB82117-EA6A-489D-ADA0-53D3634D4B57}"/>
    <cellStyle name="Normal 4 3 9 4" xfId="40730" xr:uid="{48357B12-3D4C-4A30-9659-BEF6C84091CA}"/>
    <cellStyle name="Normal 4 4" xfId="338" xr:uid="{4A90C50F-FC2E-479C-AE3C-D847DFC15D1A}"/>
    <cellStyle name="Normal 4 4 2" xfId="1195" xr:uid="{0DF49CD4-6633-4A49-AD89-A11496F89CE7}"/>
    <cellStyle name="Normal 4 4 3" xfId="50945" xr:uid="{3E84A859-D062-4E46-884F-54219FEBA1E6}"/>
    <cellStyle name="Normal 4 5" xfId="320" xr:uid="{C74131F6-D3A8-43EC-8506-03FBAE1E5E76}"/>
    <cellStyle name="Normal 4 5 10" xfId="50946" xr:uid="{3811788C-2B9E-415E-9606-30994F4E66CD}"/>
    <cellStyle name="Normal 4 5 11" xfId="51433" xr:uid="{F7C4BC34-4A27-422A-AF6A-AB6F6798FE89}"/>
    <cellStyle name="Normal 4 5 12" xfId="51947" xr:uid="{B41E9008-DB38-41B5-8B73-CAE6467F42FD}"/>
    <cellStyle name="Normal 4 5 2" xfId="821" xr:uid="{09A0A7D6-D96A-4FF6-A510-D97C36ECE15D}"/>
    <cellStyle name="Normal 4 5 2 10" xfId="52144" xr:uid="{C2F8F06B-DE73-432E-AFE3-6CD7FCCB9984}"/>
    <cellStyle name="Normal 4 5 2 2" xfId="4216" xr:uid="{4FB4F2EA-37B9-4960-90CA-90F09BAC35D3}"/>
    <cellStyle name="Normal 4 5 2 2 2" xfId="12596" xr:uid="{3883CAEE-04BB-4257-8F21-86EFF55DD2B4}"/>
    <cellStyle name="Normal 4 5 2 2 2 2" xfId="29356" xr:uid="{A08E7EB2-6D75-4B7E-96DD-492459543771}"/>
    <cellStyle name="Normal 4 5 2 2 2 3" xfId="46115" xr:uid="{FDFBEDFC-EE21-456B-B4BC-A18E85F770D3}"/>
    <cellStyle name="Normal 4 5 2 2 3" xfId="20976" xr:uid="{ABF2744B-DA6A-4CEE-86B6-2E4748E1C376}"/>
    <cellStyle name="Normal 4 5 2 2 4" xfId="37735" xr:uid="{2D969BAB-3A5D-4089-B4DC-350EE4B213FD}"/>
    <cellStyle name="Normal 4 5 2 3" xfId="5903" xr:uid="{7BEAD6E1-057D-4ACF-876E-440EFCADFF49}"/>
    <cellStyle name="Normal 4 5 2 3 2" xfId="14283" xr:uid="{FDB6A3B2-B39C-426D-9EB3-19628230D816}"/>
    <cellStyle name="Normal 4 5 2 3 2 2" xfId="31043" xr:uid="{13386852-0060-47A0-A6D4-E8C109F0B198}"/>
    <cellStyle name="Normal 4 5 2 3 2 3" xfId="47802" xr:uid="{ACE0C887-43DE-407E-A582-5C9366656EBF}"/>
    <cellStyle name="Normal 4 5 2 3 3" xfId="22663" xr:uid="{1C96179E-74EB-48AC-8E5F-C8BA46DC427B}"/>
    <cellStyle name="Normal 4 5 2 3 4" xfId="39422" xr:uid="{1A67E314-B06D-47BA-B025-7C835878FF3A}"/>
    <cellStyle name="Normal 4 5 2 4" xfId="2639" xr:uid="{F29AE6E5-94BD-4676-A4D5-7E66470C4E11}"/>
    <cellStyle name="Normal 4 5 2 4 2" xfId="11019" xr:uid="{F748FDCC-D654-4A24-A758-A510425AC3CA}"/>
    <cellStyle name="Normal 4 5 2 4 2 2" xfId="27779" xr:uid="{0F02C29E-414D-4530-8984-7E4820175B5D}"/>
    <cellStyle name="Normal 4 5 2 4 2 3" xfId="44538" xr:uid="{A54E3D72-5BDA-461D-A333-1D3161BAE58D}"/>
    <cellStyle name="Normal 4 5 2 4 3" xfId="19399" xr:uid="{2DC6AC86-802B-40BA-992F-2315C5D27F59}"/>
    <cellStyle name="Normal 4 5 2 4 4" xfId="36158" xr:uid="{F238C584-7B2D-4A6E-A9DD-2AD3AE9DBBF3}"/>
    <cellStyle name="Normal 4 5 2 5" xfId="9216" xr:uid="{C304729D-AB4A-423D-82F4-8F32B6549575}"/>
    <cellStyle name="Normal 4 5 2 5 2" xfId="25976" xr:uid="{81889412-2183-4412-A198-51D9A301AA0B}"/>
    <cellStyle name="Normal 4 5 2 5 3" xfId="42735" xr:uid="{76F0B431-58B5-4251-A9B6-FFBE010BB279}"/>
    <cellStyle name="Normal 4 5 2 6" xfId="17596" xr:uid="{BB3C51DE-00C5-4F16-828B-C332F54CAEC2}"/>
    <cellStyle name="Normal 4 5 2 7" xfId="34355" xr:uid="{25B97CF8-6457-4C8B-8CED-BE6D65FBBBDA}"/>
    <cellStyle name="Normal 4 5 2 8" xfId="51194" xr:uid="{10DF0067-E6C7-4DE7-8563-99D07891E7AF}"/>
    <cellStyle name="Normal 4 5 2 9" xfId="51668" xr:uid="{8FD39DDF-4147-4546-98EE-BCD08FFDA7BA}"/>
    <cellStyle name="Normal 4 5 3" xfId="1255" xr:uid="{DB9D7EBE-C5A7-4362-99EB-0C4B6A3D14D2}"/>
    <cellStyle name="Normal 4 5 3 2" xfId="4644" xr:uid="{2BD4159D-704A-4F19-9FB3-39FBAC3E62F1}"/>
    <cellStyle name="Normal 4 5 3 2 2" xfId="13024" xr:uid="{AAA1DEE4-5AAF-43B7-8E27-2370579BEB23}"/>
    <cellStyle name="Normal 4 5 3 2 2 2" xfId="29784" xr:uid="{B1FA2E5D-151D-4A2E-8DEB-46775ECE9E8E}"/>
    <cellStyle name="Normal 4 5 3 2 2 3" xfId="46543" xr:uid="{43AEA884-8BF6-4E67-B79E-358403413658}"/>
    <cellStyle name="Normal 4 5 3 2 3" xfId="21404" xr:uid="{DC5D0C18-92E2-4B1D-B731-BB525B717C33}"/>
    <cellStyle name="Normal 4 5 3 2 4" xfId="38163" xr:uid="{6CB865C3-09A9-4FE1-99A7-73FF4B6D2AD7}"/>
    <cellStyle name="Normal 4 5 3 3" xfId="6331" xr:uid="{AE07E212-3A1E-4513-9B4C-544B4D252F36}"/>
    <cellStyle name="Normal 4 5 3 3 2" xfId="14711" xr:uid="{8FA9607D-6C38-42C6-96EB-9AB6EF2EA6A4}"/>
    <cellStyle name="Normal 4 5 3 3 2 2" xfId="31471" xr:uid="{D15F757C-C8EB-46D0-BAAE-D8686099BEF5}"/>
    <cellStyle name="Normal 4 5 3 3 2 3" xfId="48230" xr:uid="{5FCEB706-58C7-454B-A3DE-6837D8EF0C5D}"/>
    <cellStyle name="Normal 4 5 3 3 3" xfId="23091" xr:uid="{897EEA72-BE8F-47EF-9141-4B1209C3D852}"/>
    <cellStyle name="Normal 4 5 3 3 4" xfId="39850" xr:uid="{5392290D-D58C-4F25-9205-0B971212DF42}"/>
    <cellStyle name="Normal 4 5 3 4" xfId="3067" xr:uid="{FDBA2397-B8E6-4C33-8B3C-50E5A8231DF7}"/>
    <cellStyle name="Normal 4 5 3 4 2" xfId="11447" xr:uid="{B2DB3B04-3F97-4B3D-87F6-56E63045EC85}"/>
    <cellStyle name="Normal 4 5 3 4 2 2" xfId="28207" xr:uid="{254480F5-837A-4319-AD74-39EAED7DE179}"/>
    <cellStyle name="Normal 4 5 3 4 2 3" xfId="44966" xr:uid="{FB908E21-2944-4162-8A00-9C0E23BB09E4}"/>
    <cellStyle name="Normal 4 5 3 4 3" xfId="19827" xr:uid="{4B58E172-B778-47F3-A5BC-9F19FACF4488}"/>
    <cellStyle name="Normal 4 5 3 4 4" xfId="36586" xr:uid="{03AC5A74-B706-4342-923F-8FA911A44F37}"/>
    <cellStyle name="Normal 4 5 3 5" xfId="9644" xr:uid="{61396B59-920F-44C6-9FBC-5E95BF337C85}"/>
    <cellStyle name="Normal 4 5 3 5 2" xfId="26404" xr:uid="{B562C6DE-FC99-4ADF-917A-8EC83F929E9C}"/>
    <cellStyle name="Normal 4 5 3 5 3" xfId="43163" xr:uid="{060F6378-1E8D-4F3C-9DC2-64946089EE01}"/>
    <cellStyle name="Normal 4 5 3 6" xfId="18024" xr:uid="{00EC296A-B383-4AD6-B481-F6682C412E85}"/>
    <cellStyle name="Normal 4 5 3 7" xfId="34783" xr:uid="{BC46CE7A-7AD8-4CA3-A2CA-A317191138C2}"/>
    <cellStyle name="Normal 4 5 4" xfId="3761" xr:uid="{EDE2DC26-3395-48DC-9D6E-864A68673F8B}"/>
    <cellStyle name="Normal 4 5 4 2" xfId="12141" xr:uid="{C09FC3B6-1CE1-478C-8387-C74FCBE71E0B}"/>
    <cellStyle name="Normal 4 5 4 2 2" xfId="28901" xr:uid="{1558E5AB-F6F7-4DBE-8B3C-EC8BC79AD485}"/>
    <cellStyle name="Normal 4 5 4 2 3" xfId="45660" xr:uid="{05B8BB02-3B83-46D4-9FB8-B41E459A1713}"/>
    <cellStyle name="Normal 4 5 4 3" xfId="20521" xr:uid="{A63175E2-0724-4F58-BE5A-DC6D6358621E}"/>
    <cellStyle name="Normal 4 5 4 4" xfId="37280" xr:uid="{2CD62F28-CB59-4BC8-8EB4-3DFFBB8B2209}"/>
    <cellStyle name="Normal 4 5 5" xfId="5477" xr:uid="{6DA002E7-3A69-4D3D-B8D3-651166AA96B8}"/>
    <cellStyle name="Normal 4 5 5 2" xfId="13857" xr:uid="{C4267FF2-EE5E-42D4-A7D3-E4AA1CC03AF2}"/>
    <cellStyle name="Normal 4 5 5 2 2" xfId="30617" xr:uid="{48DE7A28-E6FA-4E3C-846F-08DA938A07F3}"/>
    <cellStyle name="Normal 4 5 5 2 3" xfId="47376" xr:uid="{EA2EE22C-8D93-4511-BA9B-C363480A8A23}"/>
    <cellStyle name="Normal 4 5 5 3" xfId="22237" xr:uid="{6B5FB865-555D-45A1-B64A-5FDEB40FF4C1}"/>
    <cellStyle name="Normal 4 5 5 4" xfId="38996" xr:uid="{7D88A409-D67A-4CCB-8E2D-CF4463E04B1E}"/>
    <cellStyle name="Normal 4 5 6" xfId="2209" xr:uid="{9B1F59D8-6939-4F88-9682-AF669F98F1CC}"/>
    <cellStyle name="Normal 4 5 6 2" xfId="10593" xr:uid="{03051FAA-B9C9-49F8-9DD9-EA38AA40B7D4}"/>
    <cellStyle name="Normal 4 5 6 2 2" xfId="27353" xr:uid="{762FF41D-3889-4F03-9334-690A8B051B5D}"/>
    <cellStyle name="Normal 4 5 6 2 3" xfId="44112" xr:uid="{4A9FD2B2-DFCF-449E-AB9A-5707800FD8C3}"/>
    <cellStyle name="Normal 4 5 6 3" xfId="18973" xr:uid="{5D784167-9971-4401-829E-E986F224EA69}"/>
    <cellStyle name="Normal 4 5 6 4" xfId="35732" xr:uid="{89687ACC-E2BD-4405-892D-23887082922C}"/>
    <cellStyle name="Normal 4 5 7" xfId="8790" xr:uid="{C8EA2704-BAB8-4747-8F59-50D280F2F598}"/>
    <cellStyle name="Normal 4 5 7 2" xfId="25550" xr:uid="{739199EF-DE09-4F6B-B00D-5C2DD85086DC}"/>
    <cellStyle name="Normal 4 5 7 3" xfId="42309" xr:uid="{EB61CC74-6B5E-4AAE-AB97-E5C4378AA74A}"/>
    <cellStyle name="Normal 4 5 8" xfId="17170" xr:uid="{DB75BDF1-E140-4735-AB16-4DBEE84963B4}"/>
    <cellStyle name="Normal 4 5 9" xfId="33929" xr:uid="{42FE4989-41C2-45BC-85DC-BAE88B5EF8DB}"/>
    <cellStyle name="Normal 4 6" xfId="2030" xr:uid="{6DAAA192-B9A0-43DF-850E-22E88ED5FB69}"/>
    <cellStyle name="Normal 4 6 2" xfId="10419" xr:uid="{46636F7A-1B82-4A37-AF27-3F80A4A4B6F9}"/>
    <cellStyle name="Normal 4 6 2 2" xfId="27179" xr:uid="{EF680970-CFAD-4695-91DE-ABBD946039C5}"/>
    <cellStyle name="Normal 4 6 2 3" xfId="43938" xr:uid="{8D10B056-2821-4EFF-9361-35EAFB5B27C0}"/>
    <cellStyle name="Normal 4 6 2 4" xfId="51252" xr:uid="{4A499397-2792-4B95-BFBF-C176D75F989E}"/>
    <cellStyle name="Normal 4 6 2 5" xfId="51725" xr:uid="{320165D6-261D-4E3E-9903-3674D5DFEAFE}"/>
    <cellStyle name="Normal 4 6 2 6" xfId="52201" xr:uid="{81622EFB-6B22-43A8-A237-40AE7744BAA8}"/>
    <cellStyle name="Normal 4 6 3" xfId="18799" xr:uid="{78040333-99B6-4919-B3FF-E699008C88AF}"/>
    <cellStyle name="Normal 4 6 4" xfId="35558" xr:uid="{9F3296BA-DF2F-418E-9E0B-BE7F71394C38}"/>
    <cellStyle name="Normal 4 6 5" xfId="51011" xr:uid="{3E3EECA4-BB4B-4DB8-9BA7-4B58EF627BDE}"/>
    <cellStyle name="Normal 4 6 6" xfId="51490" xr:uid="{16E1C19D-3125-4B23-9EEA-5BA1C8FFB68B}"/>
    <cellStyle name="Normal 4 6 7" xfId="52004" xr:uid="{3F368431-F71E-44CD-B5AA-518428DECE52}"/>
    <cellStyle name="Normal 4 7" xfId="256" xr:uid="{0A6BB5FA-CBA4-4F38-92E5-BFBD05111D07}"/>
    <cellStyle name="Normal 4 8" xfId="72" xr:uid="{E05591E8-5A01-4C6B-88CE-D8CCF7CAB497}"/>
    <cellStyle name="Normal 40" xfId="50636" xr:uid="{4165E2C8-927F-449E-A8A4-7F7D56826BAF}"/>
    <cellStyle name="Normal 41" xfId="50637" xr:uid="{82CADE16-B36F-45D5-94F6-B09055738981}"/>
    <cellStyle name="Normal 42" xfId="50638" xr:uid="{92BC67F2-C5BA-4621-B320-456C0477B49A}"/>
    <cellStyle name="Normal 43" xfId="50639" xr:uid="{6971614B-7A48-400A-96BF-C5E5BFEFF600}"/>
    <cellStyle name="Normal 44" xfId="50640" xr:uid="{5BDC0B76-A8BB-4D1F-870C-994F864B169B}"/>
    <cellStyle name="Normal 45" xfId="50641" xr:uid="{BD18200B-C033-4289-914B-94CB40113A07}"/>
    <cellStyle name="Normal 46" xfId="50642" xr:uid="{FE188A28-CD78-48B3-9082-DC541F7A0537}"/>
    <cellStyle name="Normal 47" xfId="50643" xr:uid="{520EC627-8CA9-41E9-99A7-745BB9D0F660}"/>
    <cellStyle name="Normal 48" xfId="50644" xr:uid="{79E325A7-70B5-4010-B63B-D018C8F0DDAB}"/>
    <cellStyle name="Normal 49" xfId="50645" xr:uid="{3CEBA7E1-8E75-4ABC-BEB8-F5C427E7F5BA}"/>
    <cellStyle name="Normal 5" xfId="63" xr:uid="{1FACA111-28BF-4EC5-88A2-049B42E85F87}"/>
    <cellStyle name="Normal 5 2" xfId="87" xr:uid="{3DEC79ED-0748-406D-AD3D-E50E469C84D7}"/>
    <cellStyle name="Normal 5 2 10" xfId="33936" xr:uid="{2C686047-15EA-4EA8-9F5F-887B029B30DE}"/>
    <cellStyle name="Normal 5 2 11" xfId="50947" xr:uid="{1EE6C076-A7A9-4F29-9799-B63F729D241B}"/>
    <cellStyle name="Normal 5 2 12" xfId="328" xr:uid="{42517A01-E1AB-4D82-B7F4-4399B81BFC12}"/>
    <cellStyle name="Normal 5 2 2" xfId="159" xr:uid="{9342B1AB-9EEE-47DE-BAF5-AF7CA64C210E}"/>
    <cellStyle name="Normal 5 2 2 2" xfId="4223" xr:uid="{B1AC2B1C-1213-406B-840F-EBB23B3E4E79}"/>
    <cellStyle name="Normal 5 2 2 2 2" xfId="12603" xr:uid="{D47D9D06-0849-4474-BA90-A22E3C88D696}"/>
    <cellStyle name="Normal 5 2 2 2 2 2" xfId="29363" xr:uid="{CD633257-B28C-48E8-B392-AC37DBE942B7}"/>
    <cellStyle name="Normal 5 2 2 2 2 3" xfId="46122" xr:uid="{3C6155B6-C69E-4382-A56F-F8CF85D495A6}"/>
    <cellStyle name="Normal 5 2 2 2 3" xfId="20983" xr:uid="{95D1BBFF-AC4E-452A-8B5B-EF5E82605D3B}"/>
    <cellStyle name="Normal 5 2 2 2 4" xfId="37742" xr:uid="{74E9C535-CA78-4195-A906-BD7DEE67FB9E}"/>
    <cellStyle name="Normal 5 2 2 3" xfId="5910" xr:uid="{945A611B-228A-41A5-A65A-2B30C89AFE29}"/>
    <cellStyle name="Normal 5 2 2 3 2" xfId="14290" xr:uid="{3A3F09A7-74D0-4325-8A24-E07A6105D0BE}"/>
    <cellStyle name="Normal 5 2 2 3 2 2" xfId="31050" xr:uid="{E2CBC81B-A4AC-4443-AB3A-3BE79DE11ADF}"/>
    <cellStyle name="Normal 5 2 2 3 2 3" xfId="47809" xr:uid="{A2AE2C00-D3BB-4A3E-BDCE-4A53ACE871D1}"/>
    <cellStyle name="Normal 5 2 2 3 3" xfId="22670" xr:uid="{7A381BB8-9FA6-43EF-A979-F0104AD6F0E7}"/>
    <cellStyle name="Normal 5 2 2 3 4" xfId="39429" xr:uid="{3450E24B-C74D-4564-9138-86F47F29EB3B}"/>
    <cellStyle name="Normal 5 2 2 4" xfId="2646" xr:uid="{BD898F20-A3B2-4D15-BC06-55FFF0CF3A33}"/>
    <cellStyle name="Normal 5 2 2 4 2" xfId="11026" xr:uid="{9FD4ECA1-3EE2-49FC-9512-28735ECB0E2E}"/>
    <cellStyle name="Normal 5 2 2 4 2 2" xfId="27786" xr:uid="{296BF15B-BDCA-4CC9-A2B0-629AA16DA75C}"/>
    <cellStyle name="Normal 5 2 2 4 2 3" xfId="44545" xr:uid="{A1BE0188-3489-4546-97A4-06BDE5030624}"/>
    <cellStyle name="Normal 5 2 2 4 3" xfId="19406" xr:uid="{F554C432-39E6-4564-AF33-781C7B1E0192}"/>
    <cellStyle name="Normal 5 2 2 4 4" xfId="36165" xr:uid="{E3792EBE-4574-46DD-A59E-9B4D1D26ACEC}"/>
    <cellStyle name="Normal 5 2 2 5" xfId="9223" xr:uid="{525DDD37-2FC7-4600-8A2A-59067F47DEFA}"/>
    <cellStyle name="Normal 5 2 2 5 2" xfId="25983" xr:uid="{18432D1C-F244-4EAD-B4AC-3EAB98AD61E2}"/>
    <cellStyle name="Normal 5 2 2 5 3" xfId="42742" xr:uid="{210E8047-5F49-4A6D-837F-478C332A3449}"/>
    <cellStyle name="Normal 5 2 2 6" xfId="17603" xr:uid="{F0EEE564-80F4-4E9A-A446-6E2B94549E56}"/>
    <cellStyle name="Normal 5 2 2 7" xfId="34362" xr:uid="{35564874-0771-4C07-B5ED-243A1941C203}"/>
    <cellStyle name="Normal 5 2 2 8" xfId="828" xr:uid="{BD55BC40-F0F4-4895-A9FF-E617E69AC39C}"/>
    <cellStyle name="Normal 5 2 3" xfId="1192" xr:uid="{622BBB65-792A-42BF-9B84-FB60F617695F}"/>
    <cellStyle name="Normal 5 2 4" xfId="1262" xr:uid="{8F96CB98-41E7-420C-9009-5BA0D64D4738}"/>
    <cellStyle name="Normal 5 2 4 2" xfId="4651" xr:uid="{D9F8DFA5-6070-4719-BEB6-38F3A90EA148}"/>
    <cellStyle name="Normal 5 2 4 2 2" xfId="13031" xr:uid="{9CE26955-9429-464C-8699-234E882A29A5}"/>
    <cellStyle name="Normal 5 2 4 2 2 2" xfId="29791" xr:uid="{7B9CCE28-D6B4-4B5A-BE73-94C5361A8EC6}"/>
    <cellStyle name="Normal 5 2 4 2 2 3" xfId="46550" xr:uid="{6D2214EB-05C2-4326-8877-5D6E62BD4BDB}"/>
    <cellStyle name="Normal 5 2 4 2 3" xfId="21411" xr:uid="{18FC299A-1387-4418-88BB-FE0541A662BA}"/>
    <cellStyle name="Normal 5 2 4 2 4" xfId="38170" xr:uid="{38B3F9F6-E5DF-4537-B868-9AFB2C58FD4A}"/>
    <cellStyle name="Normal 5 2 4 3" xfId="6338" xr:uid="{5303A157-F8F8-4064-892D-E9932B789535}"/>
    <cellStyle name="Normal 5 2 4 3 2" xfId="14718" xr:uid="{5D534FB9-8B1F-49CC-8485-64091E3FDD5F}"/>
    <cellStyle name="Normal 5 2 4 3 2 2" xfId="31478" xr:uid="{253BE643-D480-444A-855E-D8275193F2D6}"/>
    <cellStyle name="Normal 5 2 4 3 2 3" xfId="48237" xr:uid="{7A3DF0E3-93CB-4B87-9F18-778120A7A5D6}"/>
    <cellStyle name="Normal 5 2 4 3 3" xfId="23098" xr:uid="{7D5B6889-C9E0-4EB8-98BE-9343732E239A}"/>
    <cellStyle name="Normal 5 2 4 3 4" xfId="39857" xr:uid="{CFC91498-5C16-40F1-AA4D-A65E0FB9760B}"/>
    <cellStyle name="Normal 5 2 4 4" xfId="3074" xr:uid="{B1749A3D-BC8D-420D-89E9-7CD8A22419D4}"/>
    <cellStyle name="Normal 5 2 4 4 2" xfId="11454" xr:uid="{B60C564B-7DB6-48A7-8297-95C66C4AC351}"/>
    <cellStyle name="Normal 5 2 4 4 2 2" xfId="28214" xr:uid="{22EA93D0-4B1C-46C2-AB89-F58D8ABFD312}"/>
    <cellStyle name="Normal 5 2 4 4 2 3" xfId="44973" xr:uid="{7E197A18-6A82-407C-BC06-23598DE4D570}"/>
    <cellStyle name="Normal 5 2 4 4 3" xfId="19834" xr:uid="{DC734716-991B-4FBB-8B88-0E6A9176168B}"/>
    <cellStyle name="Normal 5 2 4 4 4" xfId="36593" xr:uid="{13E21585-E579-41D4-9CF1-A77EDB87EFCB}"/>
    <cellStyle name="Normal 5 2 4 5" xfId="9651" xr:uid="{3C95050A-92AE-42B7-9322-93572775FC45}"/>
    <cellStyle name="Normal 5 2 4 5 2" xfId="26411" xr:uid="{E49FB80C-4504-4062-8ED4-49E3DD029022}"/>
    <cellStyle name="Normal 5 2 4 5 3" xfId="43170" xr:uid="{2AA4AE09-159C-46D1-9A4D-6D1BD1BB40E4}"/>
    <cellStyle name="Normal 5 2 4 6" xfId="18031" xr:uid="{E59535DE-59FF-48D6-B418-2E8EDFEDA815}"/>
    <cellStyle name="Normal 5 2 4 7" xfId="34790" xr:uid="{4424CA9C-08FF-44B3-AB3D-C7DE69E53617}"/>
    <cellStyle name="Normal 5 2 5" xfId="3756" xr:uid="{8991D708-6FDD-47B3-BC43-147BCBB504EF}"/>
    <cellStyle name="Normal 5 2 5 2" xfId="12136" xr:uid="{2475A582-30DF-46F1-82CE-EE175E8596D8}"/>
    <cellStyle name="Normal 5 2 5 2 2" xfId="28896" xr:uid="{2C293ABE-A49A-45E1-97FD-ED0CDDA489AD}"/>
    <cellStyle name="Normal 5 2 5 2 3" xfId="45655" xr:uid="{79C4FD52-7835-4FDB-8158-46C4E36E06CF}"/>
    <cellStyle name="Normal 5 2 5 3" xfId="20516" xr:uid="{6FBB7645-1263-4488-8BA8-7ECBFEC84793}"/>
    <cellStyle name="Normal 5 2 5 4" xfId="37275" xr:uid="{CBC9CE26-E6D4-458A-9474-6FB80425A586}"/>
    <cellStyle name="Normal 5 2 6" xfId="5484" xr:uid="{2798FC69-8D37-432B-8CD5-95105B701E0B}"/>
    <cellStyle name="Normal 5 2 6 2" xfId="13864" xr:uid="{1CED6642-4050-472F-A1A1-5C854002E84A}"/>
    <cellStyle name="Normal 5 2 6 2 2" xfId="30624" xr:uid="{6CCC5E5E-9E3D-4975-8294-19922A1A3F01}"/>
    <cellStyle name="Normal 5 2 6 2 3" xfId="47383" xr:uid="{B845483C-D38B-4458-882E-F13F60C12B76}"/>
    <cellStyle name="Normal 5 2 6 3" xfId="22244" xr:uid="{B5C9E708-D306-4066-BDE2-E2B3D0798F93}"/>
    <cellStyle name="Normal 5 2 6 4" xfId="39003" xr:uid="{59B2A5DF-CA03-4EE9-8DA0-B669BEABDE57}"/>
    <cellStyle name="Normal 5 2 7" xfId="2216" xr:uid="{24093B95-D5DB-46D5-8D1F-ED59BAF7CDD2}"/>
    <cellStyle name="Normal 5 2 7 2" xfId="10600" xr:uid="{8E1E81F4-E7D0-4FE6-A8B4-1D9F34A04E6F}"/>
    <cellStyle name="Normal 5 2 7 2 2" xfId="27360" xr:uid="{0310EFA1-67AD-4ED9-B5BF-72451D21203E}"/>
    <cellStyle name="Normal 5 2 7 2 3" xfId="44119" xr:uid="{DCE7AC09-EAE2-4810-B813-CD11AB747AAE}"/>
    <cellStyle name="Normal 5 2 7 3" xfId="18980" xr:uid="{EBA27234-02E7-416B-8E98-FAEB7CD7DDEF}"/>
    <cellStyle name="Normal 5 2 7 4" xfId="35739" xr:uid="{99864C73-4B72-46ED-9733-7997C2DC7A20}"/>
    <cellStyle name="Normal 5 2 8" xfId="8797" xr:uid="{96DD3DB6-176E-4008-BB5F-415975FDA9B4}"/>
    <cellStyle name="Normal 5 2 8 2" xfId="25557" xr:uid="{09D63A34-C5B1-4CC4-BCAF-A8EDBB0B0A3D}"/>
    <cellStyle name="Normal 5 2 8 3" xfId="42316" xr:uid="{F5B608A8-4AF9-44D6-A2E7-8F6B1987F025}"/>
    <cellStyle name="Normal 5 2 9" xfId="17177" xr:uid="{03CBA954-4DC2-4316-9DB1-FF0BA882969A}"/>
    <cellStyle name="Normal 5 3" xfId="216" xr:uid="{D8B12FE2-05B0-4AF7-8EB2-9654764B711A}"/>
    <cellStyle name="Normal 5 3 2" xfId="1193" xr:uid="{86716ABA-552F-49B0-AF7A-A677F9F2BBB2}"/>
    <cellStyle name="Normal 5 3 3" xfId="339" xr:uid="{81020EDD-34B4-4CD9-81F9-305EB4DA2FDD}"/>
    <cellStyle name="Normal 5 4" xfId="158" xr:uid="{8EEB2F0D-870C-4C95-9E13-D1F6BB8FA036}"/>
    <cellStyle name="Normal 5 4 10" xfId="321" xr:uid="{9717815D-7BA2-41FD-AE95-3A0468D3A3EB}"/>
    <cellStyle name="Normal 5 4 2" xfId="822" xr:uid="{E92A5784-A448-4359-8991-36071BE21904}"/>
    <cellStyle name="Normal 5 4 2 2" xfId="4217" xr:uid="{559E9026-46E4-4CAD-ADB2-7C53A3304784}"/>
    <cellStyle name="Normal 5 4 2 2 2" xfId="12597" xr:uid="{6F76B3FB-DA7D-438E-8057-2917851C1CD7}"/>
    <cellStyle name="Normal 5 4 2 2 2 2" xfId="29357" xr:uid="{EF152AEC-6132-401A-9396-EB59AFA378BC}"/>
    <cellStyle name="Normal 5 4 2 2 2 3" xfId="46116" xr:uid="{51C47A8A-FC0E-42C4-8F98-F82500F621D6}"/>
    <cellStyle name="Normal 5 4 2 2 3" xfId="20977" xr:uid="{CA61AC34-1FE7-40AB-A317-2FB1A5420C3E}"/>
    <cellStyle name="Normal 5 4 2 2 4" xfId="37736" xr:uid="{CD6ED36E-C627-4DBC-814A-E3778BCD05B8}"/>
    <cellStyle name="Normal 5 4 2 3" xfId="5904" xr:uid="{D788D6C3-9A95-4DEE-A9AD-4415EF21B276}"/>
    <cellStyle name="Normal 5 4 2 3 2" xfId="14284" xr:uid="{7A39AE22-A0F6-4CCB-A269-AEE4F35B0DA6}"/>
    <cellStyle name="Normal 5 4 2 3 2 2" xfId="31044" xr:uid="{54ADE27D-ADC0-4898-8E97-C7BBA41E2947}"/>
    <cellStyle name="Normal 5 4 2 3 2 3" xfId="47803" xr:uid="{9CCB47B1-97B5-4D62-8416-21B528C62F10}"/>
    <cellStyle name="Normal 5 4 2 3 3" xfId="22664" xr:uid="{C9025E01-AD10-46B3-BEC1-231235901C2E}"/>
    <cellStyle name="Normal 5 4 2 3 4" xfId="39423" xr:uid="{DC163A06-A823-42A6-B3CC-790120B2BC86}"/>
    <cellStyle name="Normal 5 4 2 4" xfId="2640" xr:uid="{B6B2AEAA-4579-4E97-9A80-A522D273A76C}"/>
    <cellStyle name="Normal 5 4 2 4 2" xfId="11020" xr:uid="{EBDBD5BF-4087-4F4A-82BF-1F53292B2E1A}"/>
    <cellStyle name="Normal 5 4 2 4 2 2" xfId="27780" xr:uid="{B90904E3-38B2-421F-8698-C50E522F825F}"/>
    <cellStyle name="Normal 5 4 2 4 2 3" xfId="44539" xr:uid="{0719B0E7-EC25-4043-92B1-003FA16D6DF9}"/>
    <cellStyle name="Normal 5 4 2 4 3" xfId="19400" xr:uid="{371B4B0C-5CB3-458E-A4B9-8192F113786E}"/>
    <cellStyle name="Normal 5 4 2 4 4" xfId="36159" xr:uid="{BC8A29DD-D970-4831-9844-EFB93D57DD24}"/>
    <cellStyle name="Normal 5 4 2 5" xfId="9217" xr:uid="{99D75CEA-7FF5-4DCA-923B-8BCC12D0B709}"/>
    <cellStyle name="Normal 5 4 2 5 2" xfId="25977" xr:uid="{149DC110-1878-4B85-90DA-67B15A9EE619}"/>
    <cellStyle name="Normal 5 4 2 5 3" xfId="42736" xr:uid="{6F411D54-C944-4A13-8AC4-C2E5BAFBD4A4}"/>
    <cellStyle name="Normal 5 4 2 6" xfId="17597" xr:uid="{5886E11D-91FA-4456-8056-749C5355A743}"/>
    <cellStyle name="Normal 5 4 2 7" xfId="34356" xr:uid="{49462662-6522-4625-9CFB-E7387D553454}"/>
    <cellStyle name="Normal 5 4 3" xfId="1256" xr:uid="{7BE54E7D-0125-4AB3-95DB-55CA594DEB57}"/>
    <cellStyle name="Normal 5 4 3 2" xfId="4645" xr:uid="{B2347B23-47BF-4AFB-99DA-731EF777C4AE}"/>
    <cellStyle name="Normal 5 4 3 2 2" xfId="13025" xr:uid="{E0F3C833-950F-4743-94D1-5DEA8F337F57}"/>
    <cellStyle name="Normal 5 4 3 2 2 2" xfId="29785" xr:uid="{C436BCA2-4737-449A-96EA-B4A14BB34BDC}"/>
    <cellStyle name="Normal 5 4 3 2 2 3" xfId="46544" xr:uid="{A6B01888-B3AC-4185-BC52-A46F8D12F62D}"/>
    <cellStyle name="Normal 5 4 3 2 3" xfId="21405" xr:uid="{B515D8A6-1A64-42CF-B4E2-2F89E7EA9780}"/>
    <cellStyle name="Normal 5 4 3 2 4" xfId="38164" xr:uid="{066352D5-3981-494A-9CD2-9B8BF1902F69}"/>
    <cellStyle name="Normal 5 4 3 3" xfId="6332" xr:uid="{04930514-334A-463B-B249-718C95D858C8}"/>
    <cellStyle name="Normal 5 4 3 3 2" xfId="14712" xr:uid="{408FA8DE-E633-41E4-8E23-8708E8B61B34}"/>
    <cellStyle name="Normal 5 4 3 3 2 2" xfId="31472" xr:uid="{197DB9EF-3014-431E-B77E-748CEAB258D6}"/>
    <cellStyle name="Normal 5 4 3 3 2 3" xfId="48231" xr:uid="{A1BAB230-FF29-4EC6-9001-4D6E315AA68A}"/>
    <cellStyle name="Normal 5 4 3 3 3" xfId="23092" xr:uid="{6444A879-4A50-4CED-BE42-A57D72041D50}"/>
    <cellStyle name="Normal 5 4 3 3 4" xfId="39851" xr:uid="{190A37E8-DAC8-49FA-B11E-60D98B22A027}"/>
    <cellStyle name="Normal 5 4 3 4" xfId="3068" xr:uid="{3AAA1870-201C-4F6F-8821-A6542F3DAF95}"/>
    <cellStyle name="Normal 5 4 3 4 2" xfId="11448" xr:uid="{8002A684-45E9-429E-A5DA-B4A9E3F50226}"/>
    <cellStyle name="Normal 5 4 3 4 2 2" xfId="28208" xr:uid="{DF5ED0CA-A0EF-4D95-97DF-C5961EFD0E03}"/>
    <cellStyle name="Normal 5 4 3 4 2 3" xfId="44967" xr:uid="{5D2BFF88-0E7E-4A08-8BF7-9E128DA7FDC5}"/>
    <cellStyle name="Normal 5 4 3 4 3" xfId="19828" xr:uid="{2EF4F1BB-01B1-479D-A6CB-DE14DCD30659}"/>
    <cellStyle name="Normal 5 4 3 4 4" xfId="36587" xr:uid="{10FADC90-84B5-4F93-80CD-9360047B3935}"/>
    <cellStyle name="Normal 5 4 3 5" xfId="9645" xr:uid="{299A59B1-B7AD-4647-93D0-7BEE68E0B0E3}"/>
    <cellStyle name="Normal 5 4 3 5 2" xfId="26405" xr:uid="{D98452F3-8428-4B55-B5F7-6DFBA521830D}"/>
    <cellStyle name="Normal 5 4 3 5 3" xfId="43164" xr:uid="{B71C740E-7C37-4042-AB85-E32923934D38}"/>
    <cellStyle name="Normal 5 4 3 6" xfId="18025" xr:uid="{76EFA8A8-DA30-4C9A-8156-BC2C1E773E57}"/>
    <cellStyle name="Normal 5 4 3 7" xfId="34784" xr:uid="{B3A8D754-A271-4567-9E1D-B530E451EE45}"/>
    <cellStyle name="Normal 5 4 4" xfId="3760" xr:uid="{9A661865-2114-4DF4-92FE-70F4635C76AC}"/>
    <cellStyle name="Normal 5 4 4 2" xfId="12140" xr:uid="{44076501-73C0-4B02-8723-9DE4014EF398}"/>
    <cellStyle name="Normal 5 4 4 2 2" xfId="28900" xr:uid="{E42CE8B7-E083-4E31-889B-586161120D14}"/>
    <cellStyle name="Normal 5 4 4 2 3" xfId="45659" xr:uid="{EEB531A7-550C-4B0C-B03E-463B275E4465}"/>
    <cellStyle name="Normal 5 4 4 3" xfId="20520" xr:uid="{E3B6B94B-B7A2-40BB-865F-5BD6CBD4876D}"/>
    <cellStyle name="Normal 5 4 4 4" xfId="37279" xr:uid="{11823348-2EA4-46F2-93F7-28AB9E0F7F28}"/>
    <cellStyle name="Normal 5 4 5" xfId="5478" xr:uid="{9A18F008-865A-44A5-BCBA-FD4FA7A855D9}"/>
    <cellStyle name="Normal 5 4 5 2" xfId="13858" xr:uid="{CCAE9529-3045-4382-933C-C0489A354A88}"/>
    <cellStyle name="Normal 5 4 5 2 2" xfId="30618" xr:uid="{20A19182-BF61-4EAA-99B1-AB80D2B3978E}"/>
    <cellStyle name="Normal 5 4 5 2 3" xfId="47377" xr:uid="{2B025609-8234-495D-8D0C-4C6E883EF31A}"/>
    <cellStyle name="Normal 5 4 5 3" xfId="22238" xr:uid="{DF000B33-27DD-4121-8ABC-C144F5DE75A0}"/>
    <cellStyle name="Normal 5 4 5 4" xfId="38997" xr:uid="{23491F75-2D8C-4942-9EDF-8447098E75B3}"/>
    <cellStyle name="Normal 5 4 6" xfId="2210" xr:uid="{340E13B0-8C3D-4F08-B146-3ED578801005}"/>
    <cellStyle name="Normal 5 4 6 2" xfId="10594" xr:uid="{7A973B27-4DB0-41AD-82AD-0CFDE34F9015}"/>
    <cellStyle name="Normal 5 4 6 2 2" xfId="27354" xr:uid="{5BFEC5DC-0DA9-4AE1-8A1B-B2A3BD9B7D6C}"/>
    <cellStyle name="Normal 5 4 6 2 3" xfId="44113" xr:uid="{BB6847A9-B8A7-4755-9EF5-78347AF9AEFB}"/>
    <cellStyle name="Normal 5 4 6 3" xfId="18974" xr:uid="{2EFE64CB-A818-4F7E-905D-23C7DF78148F}"/>
    <cellStyle name="Normal 5 4 6 4" xfId="35733" xr:uid="{651C1986-DCDD-47F6-9FFF-69F88027DFC6}"/>
    <cellStyle name="Normal 5 4 7" xfId="8791" xr:uid="{D7EE75E6-CC99-422C-90F7-CFD4963CF71A}"/>
    <cellStyle name="Normal 5 4 7 2" xfId="25551" xr:uid="{260C9592-9716-4EF9-8BC4-9CD5EEEB3486}"/>
    <cellStyle name="Normal 5 4 7 3" xfId="42310" xr:uid="{B3AE76AC-C8B5-4F9C-97FB-71BC32B47F36}"/>
    <cellStyle name="Normal 5 4 8" xfId="17171" xr:uid="{3197ECDF-FCD3-43DE-AB28-F01630B8C861}"/>
    <cellStyle name="Normal 5 4 9" xfId="33930" xr:uid="{9D7DD8E1-213F-4B58-989D-EF36D8D2D625}"/>
    <cellStyle name="Normal 5 5" xfId="260" xr:uid="{7BFFD0C2-AA89-45E4-9529-A7B198A8874E}"/>
    <cellStyle name="Normal 5 6" xfId="73" xr:uid="{7197BD08-4A24-401F-B273-E2BC64D1C488}"/>
    <cellStyle name="Normal 50" xfId="50667" xr:uid="{BBE3C1FC-763D-482C-B1F5-3BA05F4452DE}"/>
    <cellStyle name="Normal 51" xfId="50668" xr:uid="{3F410751-D00E-4B5A-993B-F7BDF1B9AEBD}"/>
    <cellStyle name="Normal 52" xfId="50669" xr:uid="{BA623E6E-525E-490E-B785-2602C40BC114}"/>
    <cellStyle name="Normal 53" xfId="50670" xr:uid="{F5C69DAE-34AC-4770-9CC8-E0C5C5D3DD9F}"/>
    <cellStyle name="Normal 54" xfId="50671" xr:uid="{700349FE-0413-4C82-B147-0D0E9129095B}"/>
    <cellStyle name="Normal 55" xfId="50672" xr:uid="{CFDE575D-33F7-4C3C-9932-EAD5464350DC}"/>
    <cellStyle name="Normal 56" xfId="50673" xr:uid="{A20BF1E9-A5CC-46E2-8337-85070DD8604C}"/>
    <cellStyle name="Normal 57" xfId="50674" xr:uid="{4854521E-9E9F-403C-9513-F6230105DB17}"/>
    <cellStyle name="Normal 58" xfId="50675" xr:uid="{9B55B71B-9031-436B-83BB-365D9EEC05D0}"/>
    <cellStyle name="Normal 59" xfId="50676" xr:uid="{41CCC9AC-7EAF-4E0F-9FAF-7B9328445C87}"/>
    <cellStyle name="Normal 6" xfId="66" xr:uid="{B32FA12D-A16E-4F9F-8487-86D2477083F6}"/>
    <cellStyle name="Normal 6 2" xfId="88" xr:uid="{FFBB3A1C-0A68-4C33-8D2B-1C7A4421229F}"/>
    <cellStyle name="Normal 6 2 2" xfId="160" xr:uid="{21A1D2EA-41DD-40B8-9903-D7C20EE9A2BC}"/>
    <cellStyle name="Normal 6 2 2 2" xfId="343" xr:uid="{F9BBEFE9-C544-4F6F-8D46-0CBC6AEF1D05}"/>
    <cellStyle name="Normal 6 2 3" xfId="330" xr:uid="{9772023A-C489-4053-BA51-31F1905B3946}"/>
    <cellStyle name="Normal 6 2 3 2" xfId="830" xr:uid="{64B31C3E-B1B7-4450-9CC3-1159CCE80AA1}"/>
    <cellStyle name="Normal 6 2 3 2 2" xfId="4225" xr:uid="{3A93835F-F136-435C-9561-E6CF891BE94F}"/>
    <cellStyle name="Normal 6 2 3 2 2 2" xfId="12605" xr:uid="{11C99742-6D26-4904-8A55-3215E97EC790}"/>
    <cellStyle name="Normal 6 2 3 2 2 2 2" xfId="29365" xr:uid="{974FD014-9D5E-436A-B2BE-38BECFBA6AF4}"/>
    <cellStyle name="Normal 6 2 3 2 2 2 3" xfId="46124" xr:uid="{4401BC0B-7671-448E-9A0D-5143C6E73EF3}"/>
    <cellStyle name="Normal 6 2 3 2 2 3" xfId="20985" xr:uid="{3F622283-8FA2-4089-8AE0-94D3D2CD6C28}"/>
    <cellStyle name="Normal 6 2 3 2 2 4" xfId="37744" xr:uid="{59CDCFFD-3B4C-4357-B34B-5A3D0945CFF5}"/>
    <cellStyle name="Normal 6 2 3 2 3" xfId="5912" xr:uid="{BF1BEEAF-139D-4057-9FF8-F1B9FC7D4942}"/>
    <cellStyle name="Normal 6 2 3 2 3 2" xfId="14292" xr:uid="{84F0F17A-F67C-46FF-9B62-A113D71F9875}"/>
    <cellStyle name="Normal 6 2 3 2 3 2 2" xfId="31052" xr:uid="{3EE70604-3517-4537-B24A-5BACA9F1548D}"/>
    <cellStyle name="Normal 6 2 3 2 3 2 3" xfId="47811" xr:uid="{40BD2992-7C9B-4D60-8608-FF07FE973140}"/>
    <cellStyle name="Normal 6 2 3 2 3 3" xfId="22672" xr:uid="{6231F56C-712E-48A8-A93E-9D0AADE74735}"/>
    <cellStyle name="Normal 6 2 3 2 3 4" xfId="39431" xr:uid="{C18B8595-D54D-440A-9873-0B456EE18EBC}"/>
    <cellStyle name="Normal 6 2 3 2 4" xfId="2648" xr:uid="{9A60B247-FD45-40D7-87BA-3D93010D9A92}"/>
    <cellStyle name="Normal 6 2 3 2 4 2" xfId="11028" xr:uid="{9FA18A86-57FE-442C-95A6-87088B2EB9B7}"/>
    <cellStyle name="Normal 6 2 3 2 4 2 2" xfId="27788" xr:uid="{C81BE54D-7B8E-4CA7-AEC8-D9BB33353D5D}"/>
    <cellStyle name="Normal 6 2 3 2 4 2 3" xfId="44547" xr:uid="{67AB8A20-7858-4C9A-8167-2F101C470B0B}"/>
    <cellStyle name="Normal 6 2 3 2 4 3" xfId="19408" xr:uid="{087BC14A-228D-44A3-B823-F3E2E7F5721B}"/>
    <cellStyle name="Normal 6 2 3 2 4 4" xfId="36167" xr:uid="{BA654078-D8A3-4F7D-87CE-BAD71645E8D1}"/>
    <cellStyle name="Normal 6 2 3 2 5" xfId="9225" xr:uid="{945EB8F1-49D6-4BEA-8A70-89FC5ADF7B33}"/>
    <cellStyle name="Normal 6 2 3 2 5 2" xfId="25985" xr:uid="{B2F66F83-2A85-4DAF-A891-A72B474C920C}"/>
    <cellStyle name="Normal 6 2 3 2 5 3" xfId="42744" xr:uid="{85174044-01A5-40FD-B161-BE8EA27E5A9F}"/>
    <cellStyle name="Normal 6 2 3 2 6" xfId="17605" xr:uid="{865AE34C-2D49-42FF-A138-A9BDFBB3AF35}"/>
    <cellStyle name="Normal 6 2 3 2 7" xfId="34364" xr:uid="{900DF281-1876-48E5-AB1D-A38225285078}"/>
    <cellStyle name="Normal 6 2 3 3" xfId="1264" xr:uid="{4C031132-D034-4BF9-B0B1-1F68DC14D22F}"/>
    <cellStyle name="Normal 6 2 3 3 2" xfId="4653" xr:uid="{6064940E-A72C-4C62-86CE-479BFE50BF5D}"/>
    <cellStyle name="Normal 6 2 3 3 2 2" xfId="13033" xr:uid="{ADF4BF41-4366-486F-BC45-D6278D63A062}"/>
    <cellStyle name="Normal 6 2 3 3 2 2 2" xfId="29793" xr:uid="{306660F3-ACD8-4D01-9BF0-02DCAF126236}"/>
    <cellStyle name="Normal 6 2 3 3 2 2 3" xfId="46552" xr:uid="{9E63836D-0EB8-46E6-8264-B04B802CC216}"/>
    <cellStyle name="Normal 6 2 3 3 2 3" xfId="21413" xr:uid="{F30D35E5-8835-4D60-8E4A-D055AE049438}"/>
    <cellStyle name="Normal 6 2 3 3 2 4" xfId="38172" xr:uid="{B21DFF6D-4269-4887-968A-876EA4D7DF42}"/>
    <cellStyle name="Normal 6 2 3 3 3" xfId="6340" xr:uid="{E32E5F3A-68C4-401A-A4D9-18758F0CC0BF}"/>
    <cellStyle name="Normal 6 2 3 3 3 2" xfId="14720" xr:uid="{6793724F-BDB8-4544-AFF9-6D769ED2F7F8}"/>
    <cellStyle name="Normal 6 2 3 3 3 2 2" xfId="31480" xr:uid="{29FF66F6-6073-4E17-8B27-FF826F267D5B}"/>
    <cellStyle name="Normal 6 2 3 3 3 2 3" xfId="48239" xr:uid="{59F06501-183B-4917-A225-CF4B4E52E283}"/>
    <cellStyle name="Normal 6 2 3 3 3 3" xfId="23100" xr:uid="{C8957E29-E54E-4BD9-91DD-AFC49A8B2DAB}"/>
    <cellStyle name="Normal 6 2 3 3 3 4" xfId="39859" xr:uid="{663776F8-E5CB-4E9F-9C63-4D7A4FD1FEEB}"/>
    <cellStyle name="Normal 6 2 3 3 4" xfId="3076" xr:uid="{69EC56B1-2051-4027-9DCD-0C24BD95A67A}"/>
    <cellStyle name="Normal 6 2 3 3 4 2" xfId="11456" xr:uid="{03F72221-5A2C-430C-AFD0-55CCEAF7B80D}"/>
    <cellStyle name="Normal 6 2 3 3 4 2 2" xfId="28216" xr:uid="{6C982AF6-BFD7-42D4-912A-43526790A13C}"/>
    <cellStyle name="Normal 6 2 3 3 4 2 3" xfId="44975" xr:uid="{4E72D313-7B47-43EE-B543-E48FA014D4E3}"/>
    <cellStyle name="Normal 6 2 3 3 4 3" xfId="19836" xr:uid="{BE814363-6BC4-400C-8792-6AB41E51CCC9}"/>
    <cellStyle name="Normal 6 2 3 3 4 4" xfId="36595" xr:uid="{09762661-A7A3-424C-81F4-B807A34D251E}"/>
    <cellStyle name="Normal 6 2 3 3 5" xfId="9653" xr:uid="{4D18A3D1-EF18-47ED-B117-373F40E5DB50}"/>
    <cellStyle name="Normal 6 2 3 3 5 2" xfId="26413" xr:uid="{F67BE812-D13E-4F1D-8398-41C9942EBCD7}"/>
    <cellStyle name="Normal 6 2 3 3 5 3" xfId="43172" xr:uid="{0E07FC4F-92E9-426A-A889-E493C09D2C90}"/>
    <cellStyle name="Normal 6 2 3 3 6" xfId="18033" xr:uid="{49515EF0-16BC-4744-9A73-0BC7EDFBCF9D}"/>
    <cellStyle name="Normal 6 2 3 3 7" xfId="34792" xr:uid="{D365C794-ADF5-4653-8B6A-0D89EABA5308}"/>
    <cellStyle name="Normal 6 2 3 4" xfId="3755" xr:uid="{8D26D7E0-BA73-4C91-8335-3EC5C0A9B1BE}"/>
    <cellStyle name="Normal 6 2 3 4 2" xfId="12135" xr:uid="{2276A8A6-3E37-42DC-89C6-A629C1F641AA}"/>
    <cellStyle name="Normal 6 2 3 4 2 2" xfId="28895" xr:uid="{EF4B1C6D-B6B1-4955-9510-850B4129B310}"/>
    <cellStyle name="Normal 6 2 3 4 2 3" xfId="45654" xr:uid="{A3E3EDFD-7BB8-4CE0-AC4D-B7131D11E2F3}"/>
    <cellStyle name="Normal 6 2 3 4 3" xfId="20515" xr:uid="{9F906276-F5AD-4A19-A27B-B97843136A6F}"/>
    <cellStyle name="Normal 6 2 3 4 4" xfId="37274" xr:uid="{D67BF3D6-CC74-4A66-9359-B66F7E6D48CA}"/>
    <cellStyle name="Normal 6 2 3 5" xfId="5486" xr:uid="{EB3422F6-2409-4A39-8A8C-1E517638ACF9}"/>
    <cellStyle name="Normal 6 2 3 5 2" xfId="13866" xr:uid="{DEBB316C-DB99-44AB-8CF9-6214223FA7F6}"/>
    <cellStyle name="Normal 6 2 3 5 2 2" xfId="30626" xr:uid="{577B7CC5-5F4C-4420-BFC5-88B96A772837}"/>
    <cellStyle name="Normal 6 2 3 5 2 3" xfId="47385" xr:uid="{6ABDB4FD-36DB-4599-9A45-89D46B7B8620}"/>
    <cellStyle name="Normal 6 2 3 5 3" xfId="22246" xr:uid="{C7D062FF-479D-4401-8FF5-0DF211CE13D0}"/>
    <cellStyle name="Normal 6 2 3 5 4" xfId="39005" xr:uid="{2ED98A6F-686C-4152-BBEE-1B2F99BE5013}"/>
    <cellStyle name="Normal 6 2 3 6" xfId="2218" xr:uid="{C8A53F53-D892-4A38-A660-36446DABF6D0}"/>
    <cellStyle name="Normal 6 2 3 6 2" xfId="10602" xr:uid="{9661A1DD-0D64-418E-97CC-006FE310E34F}"/>
    <cellStyle name="Normal 6 2 3 6 2 2" xfId="27362" xr:uid="{62BC32C6-7C3F-44DF-BB2D-BC5C7EE09372}"/>
    <cellStyle name="Normal 6 2 3 6 2 3" xfId="44121" xr:uid="{AB0639B3-B07C-47FB-BD97-0282420D1760}"/>
    <cellStyle name="Normal 6 2 3 6 3" xfId="18982" xr:uid="{7A03302E-1D00-41F1-A250-F13D8C60D70B}"/>
    <cellStyle name="Normal 6 2 3 6 4" xfId="35741" xr:uid="{FA2D387D-C2E3-4ACF-84EA-9CF343927519}"/>
    <cellStyle name="Normal 6 2 3 7" xfId="8799" xr:uid="{A20CB973-EE3E-4007-8099-0BBF1FD105FE}"/>
    <cellStyle name="Normal 6 2 3 7 2" xfId="25559" xr:uid="{3BE0FE3A-AD40-48D3-81DE-57F166D15EFB}"/>
    <cellStyle name="Normal 6 2 3 7 3" xfId="42318" xr:uid="{BBA16562-D43F-41DE-B174-0AD1C386D591}"/>
    <cellStyle name="Normal 6 2 3 8" xfId="17179" xr:uid="{610C8BB1-DC25-486A-9C7D-19F87CB54EA7}"/>
    <cellStyle name="Normal 6 2 3 9" xfId="33938" xr:uid="{1CA73477-C980-45F7-BBB6-A1031B033C4A}"/>
    <cellStyle name="Normal 6 2 4" xfId="262" xr:uid="{3362FA5C-AC72-480B-AC18-76B917D378A5}"/>
    <cellStyle name="Normal 6 3" xfId="217" xr:uid="{D54711D1-CF3B-4E33-B928-5E906332B3AF}"/>
    <cellStyle name="Normal 6 3 2" xfId="340" xr:uid="{F4DDB791-838D-485E-993A-5854A71EE1C8}"/>
    <cellStyle name="Normal 6 4" xfId="94" xr:uid="{31F68DDB-2CF3-47CF-8F5B-FCFC2DD842CA}"/>
    <cellStyle name="Normal 6 4 2" xfId="824" xr:uid="{9D80E236-EC4B-48A9-94A7-F9ACE55FFF7F}"/>
    <cellStyle name="Normal 6 4 2 2" xfId="4219" xr:uid="{B6B45D96-5A3F-4EAF-9C0F-FB13F4B971CB}"/>
    <cellStyle name="Normal 6 4 2 2 2" xfId="12599" xr:uid="{ACC8CEF5-8C1F-4ADC-8813-94FCBDA5EF6C}"/>
    <cellStyle name="Normal 6 4 2 2 2 2" xfId="29359" xr:uid="{1CFC3CFF-0FE6-469A-B856-1AECDD091866}"/>
    <cellStyle name="Normal 6 4 2 2 2 3" xfId="46118" xr:uid="{54930EDE-8D65-4C76-8E10-F91BC00304AB}"/>
    <cellStyle name="Normal 6 4 2 2 3" xfId="20979" xr:uid="{75D81E8D-E790-47AD-A5DF-B67684D319EA}"/>
    <cellStyle name="Normal 6 4 2 2 4" xfId="37738" xr:uid="{91595D36-F2C4-4295-A183-01860D27E93A}"/>
    <cellStyle name="Normal 6 4 2 3" xfId="5906" xr:uid="{C4CB6AF7-BD8F-4C55-B3BB-A9477EA3787D}"/>
    <cellStyle name="Normal 6 4 2 3 2" xfId="14286" xr:uid="{13E537EC-CD35-4E7B-807D-E0DE42C42A9E}"/>
    <cellStyle name="Normal 6 4 2 3 2 2" xfId="31046" xr:uid="{2E39EA12-66B6-4ADA-80A9-F2FDF258E0DB}"/>
    <cellStyle name="Normal 6 4 2 3 2 3" xfId="47805" xr:uid="{C8C4F60F-DDD5-4FF7-9B93-C3230C3F846A}"/>
    <cellStyle name="Normal 6 4 2 3 3" xfId="22666" xr:uid="{DE0106D0-9F85-4252-9CE3-AD09C0507812}"/>
    <cellStyle name="Normal 6 4 2 3 4" xfId="39425" xr:uid="{0A4AB2E7-02F2-4F8C-BE90-C7416A8C1371}"/>
    <cellStyle name="Normal 6 4 2 4" xfId="2642" xr:uid="{D5D3AF7B-8038-4297-A295-6EC3AABE54DC}"/>
    <cellStyle name="Normal 6 4 2 4 2" xfId="11022" xr:uid="{39E632A7-DD98-4967-BF22-1AED25CF1B00}"/>
    <cellStyle name="Normal 6 4 2 4 2 2" xfId="27782" xr:uid="{802AA8D6-0E11-439B-918C-9593316F135D}"/>
    <cellStyle name="Normal 6 4 2 4 2 3" xfId="44541" xr:uid="{08BB4DD1-2E2A-42F4-9BE2-6D6C6845034C}"/>
    <cellStyle name="Normal 6 4 2 4 3" xfId="19402" xr:uid="{BB5852AF-F4CA-4DC1-A642-49E9C6E4D610}"/>
    <cellStyle name="Normal 6 4 2 4 4" xfId="36161" xr:uid="{EE59F234-D1C1-49C4-AFB7-2001DF78D12B}"/>
    <cellStyle name="Normal 6 4 2 5" xfId="9219" xr:uid="{99797E9E-FC80-4E46-A030-DDF8D1FD6D82}"/>
    <cellStyle name="Normal 6 4 2 5 2" xfId="25979" xr:uid="{374B7FFC-0DE6-4FC4-A46E-4E12CDD70DE0}"/>
    <cellStyle name="Normal 6 4 2 5 3" xfId="42738" xr:uid="{83C46E87-A263-4B72-8F54-68A4D0AD2FF8}"/>
    <cellStyle name="Normal 6 4 2 6" xfId="17599" xr:uid="{E0DCF287-852A-4216-A44C-A2726ACD071A}"/>
    <cellStyle name="Normal 6 4 2 7" xfId="34358" xr:uid="{203E37A5-A95E-4F0B-94E7-AF32A7EBF86C}"/>
    <cellStyle name="Normal 6 4 3" xfId="1258" xr:uid="{EF979CEC-BBAA-46B2-A91E-4F741C2EC065}"/>
    <cellStyle name="Normal 6 4 3 2" xfId="4647" xr:uid="{A3F6959B-1A02-496F-894D-A69196CA632D}"/>
    <cellStyle name="Normal 6 4 3 2 2" xfId="13027" xr:uid="{2F2AFB8E-83B3-4564-ACA1-06BA650ABF7D}"/>
    <cellStyle name="Normal 6 4 3 2 2 2" xfId="29787" xr:uid="{B6E7B07D-F072-4640-9672-5B1D30C507D9}"/>
    <cellStyle name="Normal 6 4 3 2 2 3" xfId="46546" xr:uid="{A5EA866E-10AB-4CFB-B896-88A172C7197C}"/>
    <cellStyle name="Normal 6 4 3 2 3" xfId="21407" xr:uid="{439F63BC-6EEE-4800-8386-54615CB16FA1}"/>
    <cellStyle name="Normal 6 4 3 2 4" xfId="38166" xr:uid="{C09982D1-86E4-464F-B467-81C841F22EAB}"/>
    <cellStyle name="Normal 6 4 3 3" xfId="6334" xr:uid="{43879D77-E89F-4736-86EB-19D79CD2FA0D}"/>
    <cellStyle name="Normal 6 4 3 3 2" xfId="14714" xr:uid="{DA387DD6-8E09-4CCC-B97B-E4074B6D94EE}"/>
    <cellStyle name="Normal 6 4 3 3 2 2" xfId="31474" xr:uid="{B59C6B99-BB0B-469A-B549-63BFE7A302AD}"/>
    <cellStyle name="Normal 6 4 3 3 2 3" xfId="48233" xr:uid="{FB6B2C3B-F2B1-4864-A9CF-2F49F2AD4363}"/>
    <cellStyle name="Normal 6 4 3 3 3" xfId="23094" xr:uid="{17FB78EE-DADA-4AA4-A8D1-9D43078AE939}"/>
    <cellStyle name="Normal 6 4 3 3 4" xfId="39853" xr:uid="{D4391132-7A30-41EB-BDB6-3305FF281B46}"/>
    <cellStyle name="Normal 6 4 3 4" xfId="3070" xr:uid="{C78971D3-5911-4C15-9937-04AB353E1FF0}"/>
    <cellStyle name="Normal 6 4 3 4 2" xfId="11450" xr:uid="{49250CC4-429E-403F-A511-DB7BFF057DE1}"/>
    <cellStyle name="Normal 6 4 3 4 2 2" xfId="28210" xr:uid="{B04A7318-61BC-46C1-BD75-297FDCFB38DF}"/>
    <cellStyle name="Normal 6 4 3 4 2 3" xfId="44969" xr:uid="{797C246D-B414-45FE-8799-6070C55F6EE3}"/>
    <cellStyle name="Normal 6 4 3 4 3" xfId="19830" xr:uid="{6F2421C6-B694-437B-B3CD-2F71833282E6}"/>
    <cellStyle name="Normal 6 4 3 4 4" xfId="36589" xr:uid="{02BE1E6F-135B-47E0-80AA-C3968CDEB554}"/>
    <cellStyle name="Normal 6 4 3 5" xfId="9647" xr:uid="{90FB2A3E-1AD4-41DD-8F62-9A9E8C6B140E}"/>
    <cellStyle name="Normal 6 4 3 5 2" xfId="26407" xr:uid="{370CF88A-49E4-4897-8A16-6369705E1C96}"/>
    <cellStyle name="Normal 6 4 3 5 3" xfId="43166" xr:uid="{2D0A61FF-D3BD-4C95-B500-9B9EC4126327}"/>
    <cellStyle name="Normal 6 4 3 6" xfId="18027" xr:uid="{693A1E3C-0522-4C56-9FBA-035E9571AF95}"/>
    <cellStyle name="Normal 6 4 3 7" xfId="34786" xr:uid="{4A451D74-18B9-4A4B-A265-EC95DF11CD2B}"/>
    <cellStyle name="Normal 6 4 4" xfId="3759" xr:uid="{3F52C5C2-6F99-4BFB-A524-184EFDC5AADC}"/>
    <cellStyle name="Normal 6 4 4 2" xfId="12139" xr:uid="{C04B48AD-7E27-48A3-981F-6436110A2C12}"/>
    <cellStyle name="Normal 6 4 4 2 2" xfId="28899" xr:uid="{E525B74C-AE9A-4C69-AA1F-D4A021EF64DD}"/>
    <cellStyle name="Normal 6 4 4 2 3" xfId="45658" xr:uid="{7ADB6D19-03F1-45D2-B778-88F4C9C1D907}"/>
    <cellStyle name="Normal 6 4 4 3" xfId="20519" xr:uid="{C296D77C-9D26-45D8-8A59-B864ECB1A227}"/>
    <cellStyle name="Normal 6 4 4 4" xfId="37278" xr:uid="{778B3352-CA20-46C5-B028-5EB8970B841C}"/>
    <cellStyle name="Normal 6 4 5" xfId="5480" xr:uid="{9270DF19-C5A9-4A4F-8E0C-E8F023D1E04F}"/>
    <cellStyle name="Normal 6 4 5 2" xfId="13860" xr:uid="{06E49CFB-F29A-40BD-B055-E4E6CD1D432E}"/>
    <cellStyle name="Normal 6 4 5 2 2" xfId="30620" xr:uid="{6474C860-9DE4-4DE7-98DD-A70C4295622E}"/>
    <cellStyle name="Normal 6 4 5 2 3" xfId="47379" xr:uid="{41CBCA46-B368-411C-AB20-0474ADB53AAB}"/>
    <cellStyle name="Normal 6 4 5 3" xfId="22240" xr:uid="{C4E78C78-E712-4401-A0F7-7ABE8E23FD92}"/>
    <cellStyle name="Normal 6 4 5 4" xfId="38999" xr:uid="{36A4C7DE-0F80-41F9-B96D-5D680C01D4A9}"/>
    <cellStyle name="Normal 6 4 6" xfId="2212" xr:uid="{F0D30228-2C1B-4B5D-B661-AED3B94DB849}"/>
    <cellStyle name="Normal 6 4 6 2" xfId="10596" xr:uid="{DAFBD5AD-A758-4288-BBCA-72FF7ADFBD74}"/>
    <cellStyle name="Normal 6 4 6 2 2" xfId="27356" xr:uid="{5F80D9CC-1ABB-4F8B-B917-D2B558A68445}"/>
    <cellStyle name="Normal 6 4 6 2 3" xfId="44115" xr:uid="{92D4921D-E631-4490-81C1-9ABA26F6410E}"/>
    <cellStyle name="Normal 6 4 6 3" xfId="18976" xr:uid="{4976879A-9BC6-46C2-8F6A-DECCCE6AFF19}"/>
    <cellStyle name="Normal 6 4 6 4" xfId="35735" xr:uid="{2B3DD0BF-2203-4BB8-9304-D614CC113232}"/>
    <cellStyle name="Normal 6 4 7" xfId="8793" xr:uid="{F72793D6-B7CD-4343-BD51-B29C48102F2A}"/>
    <cellStyle name="Normal 6 4 7 2" xfId="25553" xr:uid="{0F67E830-1B10-4EA0-B87F-8412885FC099}"/>
    <cellStyle name="Normal 6 4 7 3" xfId="42312" xr:uid="{4E05171B-B987-42D2-880E-3C8B5532F3EF}"/>
    <cellStyle name="Normal 6 4 8" xfId="17173" xr:uid="{20FADBC6-B5C6-40BE-A4CC-E819848CAD3C}"/>
    <cellStyle name="Normal 6 4 9" xfId="33932" xr:uid="{86AF4F24-D00C-4DDF-9A0F-4E36CE3FD843}"/>
    <cellStyle name="Normal 6 5" xfId="50948" xr:uid="{2B2682F1-DBDD-46A3-9336-F61979867313}"/>
    <cellStyle name="Normal 6 6" xfId="258" xr:uid="{0E6BD0FB-DD8F-4DAD-9B62-D28ECBD064B0}"/>
    <cellStyle name="Normal 6 7" xfId="75" xr:uid="{7AA71D76-7CB6-42F8-9ECD-615C3D1BAAD8}"/>
    <cellStyle name="Normal 60" xfId="50677" xr:uid="{8BFAFCEA-1423-4524-846B-3DBFD510955D}"/>
    <cellStyle name="Normal 61" xfId="50678" xr:uid="{27343BF4-C68D-47BF-A714-3BA13578DD65}"/>
    <cellStyle name="Normal 62" xfId="50679" xr:uid="{E41EDDAC-0687-4655-82F9-417D041B1A20}"/>
    <cellStyle name="Normal 63" xfId="50719" xr:uid="{C3DECA27-3B6D-493B-9E49-423B459D8B7C}"/>
    <cellStyle name="Normal 64" xfId="50720" xr:uid="{1DE92B33-0B4C-4ACA-9FCD-0CA01A6265DC}"/>
    <cellStyle name="Normal 65" xfId="50721" xr:uid="{C853BEDF-2073-45B1-8394-A008DF99F375}"/>
    <cellStyle name="Normal 66" xfId="50722" xr:uid="{90F64CBF-CD0A-4732-BED5-771F6EAFBC04}"/>
    <cellStyle name="Normal 67" xfId="50723" xr:uid="{A3C1746E-70B3-4281-934F-14FAE9080715}"/>
    <cellStyle name="Normal 68" xfId="50764" xr:uid="{D3BB543B-97B0-4583-97B4-68EC5A9171A0}"/>
    <cellStyle name="Normal 69" xfId="93" xr:uid="{B4CFF5A8-7B5E-4592-AFF2-56AB7D423598}"/>
    <cellStyle name="Normal 7" xfId="79" xr:uid="{464D5D77-78B1-4C0A-AC20-AE77C98E6B5B}"/>
    <cellStyle name="Normal 7 2" xfId="218" xr:uid="{9DD9DC8B-6FE9-40D4-B02F-9F2D36A4BAA0}"/>
    <cellStyle name="Normal 7 2 2" xfId="342" xr:uid="{618754A1-391A-436D-BC32-7FBDA9624E2C}"/>
    <cellStyle name="Normal 7 2 3" xfId="331" xr:uid="{FE5D5135-93B7-4D39-943C-F3F0640C0860}"/>
    <cellStyle name="Normal 7 2 3 2" xfId="831" xr:uid="{74765412-6AA2-45F4-9614-2E04B3B52221}"/>
    <cellStyle name="Normal 7 2 3 2 2" xfId="4226" xr:uid="{6BB4FCD7-62CC-4C32-BE4E-A7379BA729E8}"/>
    <cellStyle name="Normal 7 2 3 2 2 2" xfId="12606" xr:uid="{31B9B3F1-E50C-48F2-BE46-F1165E9A8AA4}"/>
    <cellStyle name="Normal 7 2 3 2 2 2 2" xfId="29366" xr:uid="{49BE9757-6FA8-48ED-8358-EA2DBA8EAFBC}"/>
    <cellStyle name="Normal 7 2 3 2 2 2 3" xfId="46125" xr:uid="{0D47FC7A-E41B-441B-926A-0B0339E6B2FE}"/>
    <cellStyle name="Normal 7 2 3 2 2 3" xfId="20986" xr:uid="{7933F59C-2192-4A2A-B255-09932894859F}"/>
    <cellStyle name="Normal 7 2 3 2 2 4" xfId="37745" xr:uid="{49DB09E6-4847-413A-B4D3-1EDC0AAF3C5E}"/>
    <cellStyle name="Normal 7 2 3 2 3" xfId="5913" xr:uid="{4DB009D6-18C4-419B-94AC-D5F2D8B821C8}"/>
    <cellStyle name="Normal 7 2 3 2 3 2" xfId="14293" xr:uid="{326DF79C-9BB6-4830-A73C-D2A0A2EBB912}"/>
    <cellStyle name="Normal 7 2 3 2 3 2 2" xfId="31053" xr:uid="{F8BD21CE-86A2-41BA-B3DA-62AD301F3F1F}"/>
    <cellStyle name="Normal 7 2 3 2 3 2 3" xfId="47812" xr:uid="{4833D9BC-E6BA-49F4-97FB-AFA4137E6F3D}"/>
    <cellStyle name="Normal 7 2 3 2 3 3" xfId="22673" xr:uid="{CF27B74D-0A1D-462C-A699-E65D3D8CB4AA}"/>
    <cellStyle name="Normal 7 2 3 2 3 4" xfId="39432" xr:uid="{80F43070-ABCD-45DC-BC57-6DA6E8D0F546}"/>
    <cellStyle name="Normal 7 2 3 2 4" xfId="2649" xr:uid="{50B64825-2210-4C05-BD33-97498734E41B}"/>
    <cellStyle name="Normal 7 2 3 2 4 2" xfId="11029" xr:uid="{96E18939-5BE6-484D-BAF8-50A9CBC5878A}"/>
    <cellStyle name="Normal 7 2 3 2 4 2 2" xfId="27789" xr:uid="{15EB1AE7-3EBA-4EE8-9EFC-7E5C33ADB64F}"/>
    <cellStyle name="Normal 7 2 3 2 4 2 3" xfId="44548" xr:uid="{D77626D3-237D-44E4-8A60-52C61A418AC0}"/>
    <cellStyle name="Normal 7 2 3 2 4 3" xfId="19409" xr:uid="{B331B43D-CF11-4B92-B731-DCF1DE6F4011}"/>
    <cellStyle name="Normal 7 2 3 2 4 4" xfId="36168" xr:uid="{A661B015-E99A-494A-8515-C293F084D7B7}"/>
    <cellStyle name="Normal 7 2 3 2 5" xfId="9226" xr:uid="{79D57678-5EB8-44DC-8B18-7A276F9FD17B}"/>
    <cellStyle name="Normal 7 2 3 2 5 2" xfId="25986" xr:uid="{C9D61802-FE50-43EC-BEC5-86C1372383B8}"/>
    <cellStyle name="Normal 7 2 3 2 5 3" xfId="42745" xr:uid="{867FCCD5-6F98-4118-8421-E839E416E693}"/>
    <cellStyle name="Normal 7 2 3 2 6" xfId="17606" xr:uid="{18DA6037-6A02-4881-9D94-B87A43608216}"/>
    <cellStyle name="Normal 7 2 3 2 7" xfId="34365" xr:uid="{2DC29F49-A0C8-4C6D-BFD8-2E5BE2B0141D}"/>
    <cellStyle name="Normal 7 2 3 3" xfId="1265" xr:uid="{74F5B952-CB35-4549-A2CB-361C74C4048C}"/>
    <cellStyle name="Normal 7 2 3 3 2" xfId="4654" xr:uid="{FB51154E-EF71-415C-B5C7-CEBF2ACF77ED}"/>
    <cellStyle name="Normal 7 2 3 3 2 2" xfId="13034" xr:uid="{CF38A4FE-973C-46E8-BBEE-22AF8D1C7EFB}"/>
    <cellStyle name="Normal 7 2 3 3 2 2 2" xfId="29794" xr:uid="{373EF621-B47D-4208-8B66-A2C9841C7760}"/>
    <cellStyle name="Normal 7 2 3 3 2 2 3" xfId="46553" xr:uid="{4BAE6A27-BAE6-42D4-AC72-9A2F51224B8D}"/>
    <cellStyle name="Normal 7 2 3 3 2 3" xfId="21414" xr:uid="{8EB6DF45-6987-4905-99A7-05410FC0E03B}"/>
    <cellStyle name="Normal 7 2 3 3 2 4" xfId="38173" xr:uid="{B4726608-95F4-4D53-9AF0-2D51A626EE8B}"/>
    <cellStyle name="Normal 7 2 3 3 3" xfId="6341" xr:uid="{BEACFD71-A967-4713-A3EA-5AEF13B2F115}"/>
    <cellStyle name="Normal 7 2 3 3 3 2" xfId="14721" xr:uid="{B13ED9A8-4ABA-405C-884B-66E83D49DABB}"/>
    <cellStyle name="Normal 7 2 3 3 3 2 2" xfId="31481" xr:uid="{24F1B9BB-274A-44D9-A4CF-B147ED6DABAC}"/>
    <cellStyle name="Normal 7 2 3 3 3 2 3" xfId="48240" xr:uid="{B87D6E9D-FA53-4C0D-BF5B-240495A97D67}"/>
    <cellStyle name="Normal 7 2 3 3 3 3" xfId="23101" xr:uid="{4BC836AA-F634-4196-ACB5-0226F013EFFF}"/>
    <cellStyle name="Normal 7 2 3 3 3 4" xfId="39860" xr:uid="{5EC98079-FC9A-4801-9FC1-D90702F06F70}"/>
    <cellStyle name="Normal 7 2 3 3 4" xfId="3077" xr:uid="{DE71E7F3-BE2A-4207-BE9D-01867D0DBD65}"/>
    <cellStyle name="Normal 7 2 3 3 4 2" xfId="11457" xr:uid="{414B5FE6-1630-4655-996E-D67EF25933F8}"/>
    <cellStyle name="Normal 7 2 3 3 4 2 2" xfId="28217" xr:uid="{69D7A46F-6326-4F34-A9B2-07D4889DBEFF}"/>
    <cellStyle name="Normal 7 2 3 3 4 2 3" xfId="44976" xr:uid="{D530C433-4E5F-4454-B850-26DDB5DA83C5}"/>
    <cellStyle name="Normal 7 2 3 3 4 3" xfId="19837" xr:uid="{00725B99-5782-41DC-BD16-D2893A53F2E6}"/>
    <cellStyle name="Normal 7 2 3 3 4 4" xfId="36596" xr:uid="{5E8AB412-1E9A-44FA-A1C8-A2EA8D5C64C4}"/>
    <cellStyle name="Normal 7 2 3 3 5" xfId="9654" xr:uid="{F04635E3-BD22-450A-8037-A51AEF4EC282}"/>
    <cellStyle name="Normal 7 2 3 3 5 2" xfId="26414" xr:uid="{38129F23-7AE6-416A-BEF5-C1033A3FCC43}"/>
    <cellStyle name="Normal 7 2 3 3 5 3" xfId="43173" xr:uid="{E67EDB18-7804-422C-A73F-A39CC7743A0C}"/>
    <cellStyle name="Normal 7 2 3 3 6" xfId="18034" xr:uid="{3F33D3BF-70A7-4B80-9BB5-F3B89B45EC7C}"/>
    <cellStyle name="Normal 7 2 3 3 7" xfId="34793" xr:uid="{D8F45EFB-E663-42A9-A3EA-2325337B8F19}"/>
    <cellStyle name="Normal 7 2 3 4" xfId="3754" xr:uid="{A5A37C1E-73E7-443E-B8DD-5F8D8F314E73}"/>
    <cellStyle name="Normal 7 2 3 4 2" xfId="12134" xr:uid="{8D6B4AF1-748B-4C9D-8A37-D42E7CAE4FEE}"/>
    <cellStyle name="Normal 7 2 3 4 2 2" xfId="28894" xr:uid="{87E562E9-4E82-4AD1-88BB-FE65A79C7DC9}"/>
    <cellStyle name="Normal 7 2 3 4 2 3" xfId="45653" xr:uid="{F4B48FF6-CF36-487E-BB96-27824FC33D39}"/>
    <cellStyle name="Normal 7 2 3 4 3" xfId="20514" xr:uid="{630F0806-9908-47B9-A3BF-CFD9AA63F869}"/>
    <cellStyle name="Normal 7 2 3 4 4" xfId="37273" xr:uid="{03B970D7-8186-441E-967D-F9B5244CDCA5}"/>
    <cellStyle name="Normal 7 2 3 5" xfId="5487" xr:uid="{D93A4F54-8423-44CB-B8FE-80BFF43E22F8}"/>
    <cellStyle name="Normal 7 2 3 5 2" xfId="13867" xr:uid="{3E8716C9-5109-4140-9145-256AAA37C0DC}"/>
    <cellStyle name="Normal 7 2 3 5 2 2" xfId="30627" xr:uid="{4A38BA53-BEAC-4E93-80F1-2DB52AC23307}"/>
    <cellStyle name="Normal 7 2 3 5 2 3" xfId="47386" xr:uid="{B9F90EDE-2BCB-4508-BC1C-6499EE7C9F52}"/>
    <cellStyle name="Normal 7 2 3 5 3" xfId="22247" xr:uid="{E939A90C-1425-4AE0-9846-000288818952}"/>
    <cellStyle name="Normal 7 2 3 5 4" xfId="39006" xr:uid="{E1895155-25B1-4810-9E8D-7419756FEA91}"/>
    <cellStyle name="Normal 7 2 3 6" xfId="2219" xr:uid="{ADA335C6-1E4D-4F76-99FA-E6BB9AB30CF7}"/>
    <cellStyle name="Normal 7 2 3 6 2" xfId="10603" xr:uid="{E5F18F6C-4B4A-48C2-80FE-5E628D6F012C}"/>
    <cellStyle name="Normal 7 2 3 6 2 2" xfId="27363" xr:uid="{402CAE55-B967-45EB-941A-AFCF36F3D107}"/>
    <cellStyle name="Normal 7 2 3 6 2 3" xfId="44122" xr:uid="{69858301-6557-4E73-836C-92D7AAAA484C}"/>
    <cellStyle name="Normal 7 2 3 6 3" xfId="18983" xr:uid="{C004AFC5-7A9D-45AB-ACCC-92B6B06D2D40}"/>
    <cellStyle name="Normal 7 2 3 6 4" xfId="35742" xr:uid="{6C566D36-3A05-490E-96D7-8F02CB6C3CC6}"/>
    <cellStyle name="Normal 7 2 3 7" xfId="8800" xr:uid="{137F5D5E-D2A7-4D19-AE91-7EB09E40CB4C}"/>
    <cellStyle name="Normal 7 2 3 7 2" xfId="25560" xr:uid="{10ECF66B-482D-472D-A5F4-4654FE16FCAB}"/>
    <cellStyle name="Normal 7 2 3 7 3" xfId="42319" xr:uid="{598A47A0-AEBE-4502-BDFD-89D0DFD397FB}"/>
    <cellStyle name="Normal 7 2 3 8" xfId="17180" xr:uid="{13C7C5A4-B3C4-42E8-941F-E4A45CB4B36D}"/>
    <cellStyle name="Normal 7 2 3 9" xfId="33939" xr:uid="{77ABEF97-6EBF-4FD0-A54A-DAE931DEFA90}"/>
    <cellStyle name="Normal 7 2 4" xfId="51008" xr:uid="{6B879B87-5837-4B39-A600-F6524741586A}"/>
    <cellStyle name="Normal 7 2 5" xfId="259" xr:uid="{3AA30F63-D0EC-4563-A653-07635BB0CFF3}"/>
    <cellStyle name="Normal 7 3" xfId="161" xr:uid="{3B534704-B523-4047-A21F-501365E4C962}"/>
    <cellStyle name="Normal 7 3 2" xfId="341" xr:uid="{4668A2EC-384C-4D77-8A48-AC86DD643E90}"/>
    <cellStyle name="Normal 7 4" xfId="323" xr:uid="{417021D1-D7BB-4435-8BBB-D8CB6FBE0E78}"/>
    <cellStyle name="Normal 7 4 2" xfId="825" xr:uid="{DF883EBC-9D8D-4BC0-B91C-93CCF03CA510}"/>
    <cellStyle name="Normal 7 4 2 2" xfId="4220" xr:uid="{B0088A33-9FF1-420D-BCEE-2DE90A87C85C}"/>
    <cellStyle name="Normal 7 4 2 2 2" xfId="12600" xr:uid="{08866040-CE76-49DB-B9C3-5BC23BA82E5A}"/>
    <cellStyle name="Normal 7 4 2 2 2 2" xfId="29360" xr:uid="{9AA6913B-F8D7-40B5-8149-D443E84B5F41}"/>
    <cellStyle name="Normal 7 4 2 2 2 3" xfId="46119" xr:uid="{18050003-C60D-4869-B0A2-8D9B187CB632}"/>
    <cellStyle name="Normal 7 4 2 2 3" xfId="20980" xr:uid="{B8F76486-D2EE-46D0-896D-34F7E02AFCA5}"/>
    <cellStyle name="Normal 7 4 2 2 4" xfId="37739" xr:uid="{480E68B4-D980-4B42-BCF6-796F5833ECA4}"/>
    <cellStyle name="Normal 7 4 2 3" xfId="5907" xr:uid="{1FAAFB80-54F3-41F1-B204-F271112CFA6D}"/>
    <cellStyle name="Normal 7 4 2 3 2" xfId="14287" xr:uid="{2BDBF951-0859-4DA4-AAAF-B2723E440AEA}"/>
    <cellStyle name="Normal 7 4 2 3 2 2" xfId="31047" xr:uid="{D12E88CC-29BC-4D69-ABBB-25BBF2D747DC}"/>
    <cellStyle name="Normal 7 4 2 3 2 3" xfId="47806" xr:uid="{BEB91014-3927-436C-ACA6-90F933CE5EA6}"/>
    <cellStyle name="Normal 7 4 2 3 3" xfId="22667" xr:uid="{BACFBA39-5B7E-444C-BC89-0B149CE5DF01}"/>
    <cellStyle name="Normal 7 4 2 3 4" xfId="39426" xr:uid="{75CB9CAD-A1CB-4468-A7D2-37350AE27EC5}"/>
    <cellStyle name="Normal 7 4 2 4" xfId="2643" xr:uid="{9C7AA221-960A-4862-866B-C7FA1905A9B7}"/>
    <cellStyle name="Normal 7 4 2 4 2" xfId="11023" xr:uid="{9B140F69-35F5-4802-A8D8-2F03DBD0C904}"/>
    <cellStyle name="Normal 7 4 2 4 2 2" xfId="27783" xr:uid="{C16D8836-5348-4345-BE40-00420D396A13}"/>
    <cellStyle name="Normal 7 4 2 4 2 3" xfId="44542" xr:uid="{5614BE4C-BCD7-4D8D-893E-6D44346592FB}"/>
    <cellStyle name="Normal 7 4 2 4 3" xfId="19403" xr:uid="{2171E373-835E-4EC6-80D7-F1DB532E67D2}"/>
    <cellStyle name="Normal 7 4 2 4 4" xfId="36162" xr:uid="{FDA27842-D6A8-49E7-9FB6-2CAB0E6FDFB1}"/>
    <cellStyle name="Normal 7 4 2 5" xfId="9220" xr:uid="{D6E47324-B8A2-4AF9-AB8F-7E370D8F347C}"/>
    <cellStyle name="Normal 7 4 2 5 2" xfId="25980" xr:uid="{84E0C8EB-38F7-4203-A459-AD6763C947FB}"/>
    <cellStyle name="Normal 7 4 2 5 3" xfId="42739" xr:uid="{FBCB15E9-8F71-4B4F-8389-0A26A78C1727}"/>
    <cellStyle name="Normal 7 4 2 6" xfId="17600" xr:uid="{F3D63C3B-4D06-4182-AAE7-5E3B69A648BE}"/>
    <cellStyle name="Normal 7 4 2 7" xfId="34359" xr:uid="{E1647BA4-7566-4D63-878D-96A8C3D77968}"/>
    <cellStyle name="Normal 7 4 3" xfId="1259" xr:uid="{455A0A22-9E23-403E-9E4D-AFE59A86B83C}"/>
    <cellStyle name="Normal 7 4 3 2" xfId="4648" xr:uid="{9DEAEAE7-094A-458F-89BA-29F8E5ED8E5B}"/>
    <cellStyle name="Normal 7 4 3 2 2" xfId="13028" xr:uid="{86E360E4-4B96-40FE-A67B-DB88E5794489}"/>
    <cellStyle name="Normal 7 4 3 2 2 2" xfId="29788" xr:uid="{A3361C6F-B84E-46D1-A94F-74687FE5DE80}"/>
    <cellStyle name="Normal 7 4 3 2 2 3" xfId="46547" xr:uid="{3B1345A4-428F-44A2-90F3-DFEE15B407C5}"/>
    <cellStyle name="Normal 7 4 3 2 3" xfId="21408" xr:uid="{8F9EE196-74FF-4088-9B14-2D8F24BF6DF2}"/>
    <cellStyle name="Normal 7 4 3 2 4" xfId="38167" xr:uid="{7A040C03-3CB8-4ECD-8963-06F0A71BD29D}"/>
    <cellStyle name="Normal 7 4 3 3" xfId="6335" xr:uid="{C960C8C8-C740-461F-8E39-5FDE6E54E4D6}"/>
    <cellStyle name="Normal 7 4 3 3 2" xfId="14715" xr:uid="{AFD2F246-9997-4FE2-B0BE-B04160D81144}"/>
    <cellStyle name="Normal 7 4 3 3 2 2" xfId="31475" xr:uid="{4D0E8F1E-D2D4-42A8-BC7E-30172D18A01D}"/>
    <cellStyle name="Normal 7 4 3 3 2 3" xfId="48234" xr:uid="{455930F5-FE05-49EF-8FBC-808FAAEDC588}"/>
    <cellStyle name="Normal 7 4 3 3 3" xfId="23095" xr:uid="{4BD5F69C-8453-4E1C-88F0-150246A55539}"/>
    <cellStyle name="Normal 7 4 3 3 4" xfId="39854" xr:uid="{F83790D7-DC99-4ED0-80AC-A23197567CD5}"/>
    <cellStyle name="Normal 7 4 3 4" xfId="3071" xr:uid="{52375DFF-03DA-4533-B9FB-8C9DDC4B849E}"/>
    <cellStyle name="Normal 7 4 3 4 2" xfId="11451" xr:uid="{9FD68D01-71D8-49D8-9CDA-1B13CF232385}"/>
    <cellStyle name="Normal 7 4 3 4 2 2" xfId="28211" xr:uid="{AB2B3449-67F4-4330-87E9-578905D52244}"/>
    <cellStyle name="Normal 7 4 3 4 2 3" xfId="44970" xr:uid="{66E4B749-6549-4379-BAE6-9D4BE9B0883A}"/>
    <cellStyle name="Normal 7 4 3 4 3" xfId="19831" xr:uid="{91849553-371D-4865-B4EB-01DE6A2CFA98}"/>
    <cellStyle name="Normal 7 4 3 4 4" xfId="36590" xr:uid="{8AB2A1C1-C03F-46B5-9F86-DEDEC331D5EC}"/>
    <cellStyle name="Normal 7 4 3 5" xfId="9648" xr:uid="{98ABC092-1B8F-48A0-B42B-DDD19E50DBCD}"/>
    <cellStyle name="Normal 7 4 3 5 2" xfId="26408" xr:uid="{ED367FBD-F37D-47F5-BDBA-3BCDC3F71F52}"/>
    <cellStyle name="Normal 7 4 3 5 3" xfId="43167" xr:uid="{471579AB-16F3-4984-8202-CBDE392AA227}"/>
    <cellStyle name="Normal 7 4 3 6" xfId="18028" xr:uid="{92C5F30B-73BF-4B32-A435-C39708E56EE7}"/>
    <cellStyle name="Normal 7 4 3 7" xfId="34787" xr:uid="{ACE571DB-6BEE-4F83-9BC6-1234C4F3DA66}"/>
    <cellStyle name="Normal 7 4 4" xfId="3758" xr:uid="{25D8BEB8-3565-499C-9624-9121210C7BE8}"/>
    <cellStyle name="Normal 7 4 4 2" xfId="12138" xr:uid="{8449C13B-5EB0-46CD-8DB1-2A402CFD2566}"/>
    <cellStyle name="Normal 7 4 4 2 2" xfId="28898" xr:uid="{F0A5B9B9-D2B0-4136-A91C-CF891B9C5266}"/>
    <cellStyle name="Normal 7 4 4 2 3" xfId="45657" xr:uid="{5A7B490D-1F6C-4B07-99BB-85053521C285}"/>
    <cellStyle name="Normal 7 4 4 3" xfId="20518" xr:uid="{EF7A0954-7D60-4F47-BB67-ABEEFBE335C3}"/>
    <cellStyle name="Normal 7 4 4 4" xfId="37277" xr:uid="{F6610DD8-04F2-4E9F-8B39-B3B742C2DD4D}"/>
    <cellStyle name="Normal 7 4 5" xfId="5481" xr:uid="{2BCE4F08-91C9-4632-8D4E-879640800C58}"/>
    <cellStyle name="Normal 7 4 5 2" xfId="13861" xr:uid="{BFA4E046-7F04-46E5-9D8D-18B26869CA96}"/>
    <cellStyle name="Normal 7 4 5 2 2" xfId="30621" xr:uid="{C26CAD55-BBB0-40CC-B33B-175CE9B3A7F8}"/>
    <cellStyle name="Normal 7 4 5 2 3" xfId="47380" xr:uid="{96726CA4-E606-4E35-9B57-371F17DE91E5}"/>
    <cellStyle name="Normal 7 4 5 3" xfId="22241" xr:uid="{2188D446-AB14-4F7E-98D6-433470B4CF4E}"/>
    <cellStyle name="Normal 7 4 5 4" xfId="39000" xr:uid="{747264BB-CE6D-46BD-9262-DBBDAD31A348}"/>
    <cellStyle name="Normal 7 4 6" xfId="2213" xr:uid="{EECCF805-2455-417C-A530-A138965F7801}"/>
    <cellStyle name="Normal 7 4 6 2" xfId="10597" xr:uid="{4366B9DB-E1BC-4643-A762-4DEB52E410EB}"/>
    <cellStyle name="Normal 7 4 6 2 2" xfId="27357" xr:uid="{AC5BCD89-F862-45E9-A4BF-27CFA966A72B}"/>
    <cellStyle name="Normal 7 4 6 2 3" xfId="44116" xr:uid="{420A58E4-6481-4014-A6D4-8C75DA57F0B9}"/>
    <cellStyle name="Normal 7 4 6 3" xfId="18977" xr:uid="{EDB75E1D-6351-4FBE-913D-10EE25CCA4D3}"/>
    <cellStyle name="Normal 7 4 6 4" xfId="35736" xr:uid="{CEFFE4BB-7ADF-4F47-875E-540729FE3E37}"/>
    <cellStyle name="Normal 7 4 7" xfId="8794" xr:uid="{9F4775D7-1F2A-4D86-A9DA-F5C758D2EACF}"/>
    <cellStyle name="Normal 7 4 7 2" xfId="25554" xr:uid="{ACA1EAC3-7B0F-416E-8176-3801BE973E98}"/>
    <cellStyle name="Normal 7 4 7 3" xfId="42313" xr:uid="{900C2C5C-119F-4AC1-8C46-27A7DEAFAFAD}"/>
    <cellStyle name="Normal 7 4 8" xfId="17174" xr:uid="{6D72AA24-B2CA-4E56-98A9-E5D6CF224DA1}"/>
    <cellStyle name="Normal 7 4 9" xfId="33933" xr:uid="{DA6E0E4B-9C2F-4561-BAD5-19F4273DBA31}"/>
    <cellStyle name="Normal 7 5" xfId="250" xr:uid="{62FADDE0-3C18-4808-B591-EC32F99A0BD5}"/>
    <cellStyle name="Normal 70" xfId="50775" xr:uid="{3783283C-0E87-4B55-A5F6-90DDA34E0347}"/>
    <cellStyle name="Normal 71" xfId="51782" xr:uid="{D72132E8-5F32-4B02-93FC-374A75B6EC85}"/>
    <cellStyle name="Normal 72" xfId="52226" xr:uid="{CCAD95A1-487B-4198-A355-30C8B0290AA9}"/>
    <cellStyle name="Normal 73" xfId="52234" xr:uid="{09B0C0E4-1434-4B56-8D8A-062E6039022F}"/>
    <cellStyle name="Normal 76" xfId="56" xr:uid="{D4FA3A66-3425-47DD-81DF-6F5B4D89F16C}"/>
    <cellStyle name="Normal 8" xfId="162" xr:uid="{2F1CDE7B-BD0E-41EA-8E44-04DB508DAC0E}"/>
    <cellStyle name="Normal 8 10" xfId="1202" xr:uid="{D521FB3C-3B6C-442C-AB3D-72EC7361891E}"/>
    <cellStyle name="Normal 8 10 2" xfId="4591" xr:uid="{D6F1EC77-9E62-48DA-A2D9-4C656ADBD850}"/>
    <cellStyle name="Normal 8 10 2 2" xfId="12971" xr:uid="{C2A9DEDA-9B56-4F0E-BBED-3B525E3C872C}"/>
    <cellStyle name="Normal 8 10 2 2 2" xfId="29731" xr:uid="{8AF12C8B-DA29-40D7-93C3-EBF8E96845C6}"/>
    <cellStyle name="Normal 8 10 2 2 3" xfId="46490" xr:uid="{1E02052F-B1F9-421B-A7EA-0F5ADE1A6C26}"/>
    <cellStyle name="Normal 8 10 2 3" xfId="21351" xr:uid="{E22778FF-8DA8-4988-9970-272CC1EC60BC}"/>
    <cellStyle name="Normal 8 10 2 4" xfId="38110" xr:uid="{FA3E1BC5-DB71-40EC-BF20-C98E4A86690C}"/>
    <cellStyle name="Normal 8 10 3" xfId="6278" xr:uid="{1EF9B44A-E379-4A3A-802C-9B15AF3EBD56}"/>
    <cellStyle name="Normal 8 10 3 2" xfId="14658" xr:uid="{D381EEDE-5CB8-4EC4-92A8-1548FF1D4442}"/>
    <cellStyle name="Normal 8 10 3 2 2" xfId="31418" xr:uid="{EA13757A-66D0-4CE3-A76C-B8A89D0B6235}"/>
    <cellStyle name="Normal 8 10 3 2 3" xfId="48177" xr:uid="{4E49FB18-646D-4790-A697-9881E7D6C293}"/>
    <cellStyle name="Normal 8 10 3 3" xfId="23038" xr:uid="{AFE695CD-D918-4C91-891E-CFA9FA346158}"/>
    <cellStyle name="Normal 8 10 3 4" xfId="39797" xr:uid="{7C7B61A6-24E1-42FF-86FC-DD3FEDBF8E99}"/>
    <cellStyle name="Normal 8 10 4" xfId="3014" xr:uid="{E6BDCDEF-B0BB-403C-96D3-18FA9601BAA1}"/>
    <cellStyle name="Normal 8 10 4 2" xfId="11394" xr:uid="{6700ED5F-CD08-4E77-A85E-3EAD162ED6E4}"/>
    <cellStyle name="Normal 8 10 4 2 2" xfId="28154" xr:uid="{60CD0B84-456F-4891-934A-296BDFB0AA97}"/>
    <cellStyle name="Normal 8 10 4 2 3" xfId="44913" xr:uid="{3A0300C5-D887-4550-8FA1-9DE59FC5967B}"/>
    <cellStyle name="Normal 8 10 4 3" xfId="19774" xr:uid="{9FDC0B85-8FFD-4521-98FB-75CD2BDA3A1F}"/>
    <cellStyle name="Normal 8 10 4 4" xfId="36533" xr:uid="{E2A58CDF-CE0E-43FE-B5DF-87CC6B5EFCC2}"/>
    <cellStyle name="Normal 8 10 5" xfId="9591" xr:uid="{B84C8B20-ACAA-452C-869C-427DA198C2D3}"/>
    <cellStyle name="Normal 8 10 5 2" xfId="26351" xr:uid="{19DA00F5-0648-4232-A406-12E7AD14938D}"/>
    <cellStyle name="Normal 8 10 5 3" xfId="43110" xr:uid="{82518EEA-7D76-41DA-99EA-3C0CD138A548}"/>
    <cellStyle name="Normal 8 10 6" xfId="17971" xr:uid="{015FFB1B-BD3B-4D80-B357-269F21949F77}"/>
    <cellStyle name="Normal 8 10 7" xfId="34730" xr:uid="{CCE14212-0EB7-4CF8-8046-D8C669BE3A86}"/>
    <cellStyle name="Normal 8 11" xfId="1644" xr:uid="{00623FD1-FE44-46E1-949C-30A9A3412B78}"/>
    <cellStyle name="Normal 8 11 2" xfId="5033" xr:uid="{9B70879C-C072-494E-A03F-9EB69902CA02}"/>
    <cellStyle name="Normal 8 11 2 2" xfId="13413" xr:uid="{5BDD1A4A-F151-4A2B-A63B-CF4E1F3D17B7}"/>
    <cellStyle name="Normal 8 11 2 2 2" xfId="30173" xr:uid="{A805AD39-0311-4F9F-B834-E1C6A2379938}"/>
    <cellStyle name="Normal 8 11 2 2 3" xfId="46932" xr:uid="{90A8EA96-7C7B-47BB-9378-7609CE4BF5AE}"/>
    <cellStyle name="Normal 8 11 2 3" xfId="21793" xr:uid="{E86231F0-992D-446B-8C99-97E667218DDC}"/>
    <cellStyle name="Normal 8 11 2 4" xfId="38552" xr:uid="{FBAA2CD0-B6E3-4464-A66A-C08B9D4B5690}"/>
    <cellStyle name="Normal 8 11 3" xfId="6720" xr:uid="{06749561-B185-48D5-80DC-56ADFBB9A122}"/>
    <cellStyle name="Normal 8 11 3 2" xfId="15100" xr:uid="{E96C8EE6-C357-4498-ADC7-199F92420B49}"/>
    <cellStyle name="Normal 8 11 3 2 2" xfId="31860" xr:uid="{EA4DB5EF-73D1-4887-B058-3BEEB9D65AC5}"/>
    <cellStyle name="Normal 8 11 3 2 3" xfId="48619" xr:uid="{EE5D95A3-AFED-4BE5-84AD-C1FF4562B56D}"/>
    <cellStyle name="Normal 8 11 3 3" xfId="23480" xr:uid="{41860585-F493-40BE-9D77-EFEB21150651}"/>
    <cellStyle name="Normal 8 11 3 4" xfId="40239" xr:uid="{AEE58604-81BF-4762-BE70-425B55672537}"/>
    <cellStyle name="Normal 8 11 4" xfId="2152" xr:uid="{CEA66B74-0CBA-46B4-BA7D-9CFB87843418}"/>
    <cellStyle name="Normal 8 11 4 2" xfId="10540" xr:uid="{C07BA014-7E49-4975-AE77-0DB2270F452D}"/>
    <cellStyle name="Normal 8 11 4 2 2" xfId="27300" xr:uid="{FBE6426C-8021-4521-9A35-EC7A5DBC1830}"/>
    <cellStyle name="Normal 8 11 4 2 3" xfId="44059" xr:uid="{103D36FF-B0F3-431A-9386-605120BDC32E}"/>
    <cellStyle name="Normal 8 11 4 3" xfId="18920" xr:uid="{25303D61-76AD-4628-892C-B558754D271D}"/>
    <cellStyle name="Normal 8 11 4 4" xfId="35679" xr:uid="{56F53F7A-9AAB-4D11-8F49-102916088B81}"/>
    <cellStyle name="Normal 8 11 5" xfId="10033" xr:uid="{CD8C79DB-0C01-4685-8F7C-7E50273780C5}"/>
    <cellStyle name="Normal 8 11 5 2" xfId="26793" xr:uid="{542052E3-33A1-4B6C-83E1-5B0292FB3F7D}"/>
    <cellStyle name="Normal 8 11 5 3" xfId="43552" xr:uid="{9B84B2FE-E73B-4CE7-99FF-0EE8C7226566}"/>
    <cellStyle name="Normal 8 11 6" xfId="18413" xr:uid="{9040C8EC-1C83-40E9-85D8-2CAFB34D14BB}"/>
    <cellStyle name="Normal 8 11 7" xfId="35172" xr:uid="{BBC611FC-20D2-444E-956A-03A771F9A69A}"/>
    <cellStyle name="Normal 8 12" xfId="3749" xr:uid="{3BC7EC3E-C31F-4118-A6CC-5C5A922C7576}"/>
    <cellStyle name="Normal 8 12 2" xfId="12129" xr:uid="{62C1AF6A-B220-42AE-94A9-47552ADB4407}"/>
    <cellStyle name="Normal 8 12 2 2" xfId="28889" xr:uid="{0D2B5B8A-BA8C-403C-A435-2910E9D4CEDE}"/>
    <cellStyle name="Normal 8 12 2 3" xfId="45648" xr:uid="{D4F25E4C-9352-4102-9AA2-859DF89B62ED}"/>
    <cellStyle name="Normal 8 12 3" xfId="20509" xr:uid="{6D69680C-51C6-4B6F-84F2-6B5948476A98}"/>
    <cellStyle name="Normal 8 12 4" xfId="37268" xr:uid="{A6841A4D-8672-4F7A-BEB8-51A3E1052869}"/>
    <cellStyle name="Normal 8 13" xfId="5424" xr:uid="{B8BDE99A-D626-4EDD-98A7-D65129F084C5}"/>
    <cellStyle name="Normal 8 13 2" xfId="13804" xr:uid="{30C06C24-B5A9-4A42-A93F-3DEA8DE15E76}"/>
    <cellStyle name="Normal 8 13 2 2" xfId="30564" xr:uid="{B6A29013-8389-4C49-A3D2-03E84B4E3D58}"/>
    <cellStyle name="Normal 8 13 2 3" xfId="47323" xr:uid="{73287884-3737-4F43-A58E-9AADAAE1A5EB}"/>
    <cellStyle name="Normal 8 13 3" xfId="22184" xr:uid="{A6EA8734-A750-4FA0-9517-9E5305EB7FDE}"/>
    <cellStyle name="Normal 8 13 4" xfId="38943" xr:uid="{9D3B9B6F-49E3-422A-A193-31AD2C1F9EA2}"/>
    <cellStyle name="Normal 8 14" xfId="7126" xr:uid="{9DF28314-581D-4970-B6AD-B88F5E706070}"/>
    <cellStyle name="Normal 8 14 2" xfId="15506" xr:uid="{9683E734-981A-4913-A09B-65CCC3CCAFC5}"/>
    <cellStyle name="Normal 8 14 2 2" xfId="32266" xr:uid="{5EC39001-4D75-4611-95B7-534C1ECB1516}"/>
    <cellStyle name="Normal 8 14 2 3" xfId="49025" xr:uid="{92491835-351B-4013-AFB2-C797A0A68F45}"/>
    <cellStyle name="Normal 8 14 3" xfId="23886" xr:uid="{DD167C1E-C842-4E2A-A2C0-81C6EB56A623}"/>
    <cellStyle name="Normal 8 14 4" xfId="40645" xr:uid="{631E54CF-DB1F-444C-BC43-8A85C66BC865}"/>
    <cellStyle name="Normal 8 15" xfId="7532" xr:uid="{9750A140-4914-47AB-AB6E-F7A903D26925}"/>
    <cellStyle name="Normal 8 15 2" xfId="15912" xr:uid="{2A7E3A64-B57C-4369-BD9F-8A7CD85EE02E}"/>
    <cellStyle name="Normal 8 15 2 2" xfId="32672" xr:uid="{92CF4FDD-6720-451C-82E7-28B8A66558C8}"/>
    <cellStyle name="Normal 8 15 2 3" xfId="49431" xr:uid="{DA3C0895-9C2C-4DDF-9817-7310547FB35F}"/>
    <cellStyle name="Normal 8 15 3" xfId="24292" xr:uid="{C6A4C696-7C2E-4518-AAE2-5484DA808E16}"/>
    <cellStyle name="Normal 8 15 4" xfId="41051" xr:uid="{178EF728-14D1-4DE4-97C8-9AACDB07326B}"/>
    <cellStyle name="Normal 8 16" xfId="7938" xr:uid="{FA8820B7-4504-49C0-956F-586BF41998CB}"/>
    <cellStyle name="Normal 8 16 2" xfId="16318" xr:uid="{673D9F98-B439-4B6D-A429-E29A06F5C43D}"/>
    <cellStyle name="Normal 8 16 2 2" xfId="33078" xr:uid="{07DC6B32-CA6C-4A53-BADD-77EF317092AC}"/>
    <cellStyle name="Normal 8 16 2 3" xfId="49837" xr:uid="{C27AEEE8-5C06-4345-9276-80A0AF3774DB}"/>
    <cellStyle name="Normal 8 16 3" xfId="24698" xr:uid="{B9C2257A-D88E-4976-A9BA-34AA6B291B73}"/>
    <cellStyle name="Normal 8 16 4" xfId="41457" xr:uid="{74D0E28F-4076-4FC5-9688-CB738D1F5F65}"/>
    <cellStyle name="Normal 8 17" xfId="8344" xr:uid="{A4C1DA71-C3F9-4ECB-AFB3-12BA1AF7159E}"/>
    <cellStyle name="Normal 8 17 2" xfId="16724" xr:uid="{C9B4207C-EF0D-49BC-8D46-D8DD9A500A23}"/>
    <cellStyle name="Normal 8 17 2 2" xfId="33484" xr:uid="{0BCA5D7D-C03D-46B1-A53B-8E5FEED24E6B}"/>
    <cellStyle name="Normal 8 17 2 3" xfId="50243" xr:uid="{18310178-BA49-4F14-AF7B-9E468E63AE56}"/>
    <cellStyle name="Normal 8 17 3" xfId="25104" xr:uid="{5B5377C6-9E80-440D-BE3B-13768F7444E1}"/>
    <cellStyle name="Normal 8 17 4" xfId="41863" xr:uid="{433D5D38-27CE-4E0D-A2C8-E9288D0FFF2B}"/>
    <cellStyle name="Normal 8 18" xfId="2040" xr:uid="{D4FE8241-D634-4E15-B46E-4A37F0B52248}"/>
    <cellStyle name="Normal 8 18 2" xfId="10428" xr:uid="{171C6F8D-0DAF-4667-8AFF-BDE6DC2DD097}"/>
    <cellStyle name="Normal 8 18 2 2" xfId="27188" xr:uid="{174B97EA-D167-44C9-A304-8DAA03A2319B}"/>
    <cellStyle name="Normal 8 18 2 3" xfId="43947" xr:uid="{9621B810-14E0-4A5E-92D6-9A2993022DB8}"/>
    <cellStyle name="Normal 8 18 3" xfId="18808" xr:uid="{1B024CDD-EB53-411B-9B93-D1179CD0F32F}"/>
    <cellStyle name="Normal 8 18 4" xfId="35567" xr:uid="{15A04DB6-E2A0-469A-9085-B47F1FBE90EA}"/>
    <cellStyle name="Normal 8 19" xfId="8737" xr:uid="{EF7039CB-A458-44FD-B859-9594427A5131}"/>
    <cellStyle name="Normal 8 19 2" xfId="25497" xr:uid="{998800AE-AF03-45A7-BD41-61E7F5ECD5AA}"/>
    <cellStyle name="Normal 8 19 3" xfId="42256" xr:uid="{D83BFCB4-7182-4A05-A026-D17AEB29939A}"/>
    <cellStyle name="Normal 8 2" xfId="219" xr:uid="{FE500FE5-812F-4FE7-ADF9-D8319E5E12F6}"/>
    <cellStyle name="Normal 8 2 10" xfId="1645" xr:uid="{D8579AF9-EDF1-4ED4-95A7-F517E19FE75C}"/>
    <cellStyle name="Normal 8 2 10 2" xfId="5034" xr:uid="{C7308561-8914-4D1E-98A8-0B6315EB4DBA}"/>
    <cellStyle name="Normal 8 2 10 2 2" xfId="13414" xr:uid="{5D4E5144-42CF-47EE-A2C1-825EB942E391}"/>
    <cellStyle name="Normal 8 2 10 2 2 2" xfId="30174" xr:uid="{2898E9A6-56FC-474A-A75E-FF05E61521D2}"/>
    <cellStyle name="Normal 8 2 10 2 2 3" xfId="46933" xr:uid="{DF3726FC-B5B6-4EFC-9978-0B7E625CBA02}"/>
    <cellStyle name="Normal 8 2 10 2 3" xfId="21794" xr:uid="{A9782DFA-6D0E-4849-B8ED-313503364FA6}"/>
    <cellStyle name="Normal 8 2 10 2 4" xfId="38553" xr:uid="{36785F43-04AB-4446-9B74-4504B27D3B98}"/>
    <cellStyle name="Normal 8 2 10 3" xfId="6721" xr:uid="{82D19668-98EC-40FA-9105-366E7AEFE86F}"/>
    <cellStyle name="Normal 8 2 10 3 2" xfId="15101" xr:uid="{3A4DF519-AE90-46A0-A974-C49CF8487C10}"/>
    <cellStyle name="Normal 8 2 10 3 2 2" xfId="31861" xr:uid="{EDD58E02-49A4-47F9-8E5A-7C7E4CD7638E}"/>
    <cellStyle name="Normal 8 2 10 3 2 3" xfId="48620" xr:uid="{709E8432-93BD-4F8C-BE79-C38170F92A8F}"/>
    <cellStyle name="Normal 8 2 10 3 3" xfId="23481" xr:uid="{DF3AC68A-2E51-40E7-A9A0-FF78F36F67E0}"/>
    <cellStyle name="Normal 8 2 10 3 4" xfId="40240" xr:uid="{F09A9BAA-1BD0-430C-9BB6-6AD484DE0A42}"/>
    <cellStyle name="Normal 8 2 10 4" xfId="2159" xr:uid="{EFB565DC-C0AF-4918-A577-7A5C07A2F83A}"/>
    <cellStyle name="Normal 8 2 10 4 2" xfId="10547" xr:uid="{1624ED80-2CAE-4D91-832B-BCC6984ACC2E}"/>
    <cellStyle name="Normal 8 2 10 4 2 2" xfId="27307" xr:uid="{D48C3AEA-5F04-4E58-9F06-9B117B76F60C}"/>
    <cellStyle name="Normal 8 2 10 4 2 3" xfId="44066" xr:uid="{3BF211A7-5759-4588-9E22-671416CB1B7B}"/>
    <cellStyle name="Normal 8 2 10 4 3" xfId="18927" xr:uid="{C5B1CFD3-EC08-47F9-9D83-36A153EB17F4}"/>
    <cellStyle name="Normal 8 2 10 4 4" xfId="35686" xr:uid="{61018A21-2AFE-4A76-8FCB-B30D835FB0D5}"/>
    <cellStyle name="Normal 8 2 10 5" xfId="10034" xr:uid="{17DCDAF6-A37F-43A9-AC00-F0E8A0BEF197}"/>
    <cellStyle name="Normal 8 2 10 5 2" xfId="26794" xr:uid="{93A357B5-9B6D-4CF4-B8C7-3AA244149537}"/>
    <cellStyle name="Normal 8 2 10 5 3" xfId="43553" xr:uid="{F80A1AAB-AE1B-4814-821E-EB955BC336C4}"/>
    <cellStyle name="Normal 8 2 10 6" xfId="18414" xr:uid="{0730DBBF-1661-4023-94B5-871DF8D57638}"/>
    <cellStyle name="Normal 8 2 10 7" xfId="35173" xr:uid="{64FE8141-9154-496E-984E-59C078CAEADB}"/>
    <cellStyle name="Normal 8 2 11" xfId="3750" xr:uid="{32BC020A-3CF5-4C30-BF94-DBF38431EBCC}"/>
    <cellStyle name="Normal 8 2 11 2" xfId="12130" xr:uid="{896EDADB-2927-419A-BFB8-021FDE17A1B6}"/>
    <cellStyle name="Normal 8 2 11 2 2" xfId="28890" xr:uid="{7D35A4BD-4448-483B-A57B-47DA24E6F073}"/>
    <cellStyle name="Normal 8 2 11 2 3" xfId="45649" xr:uid="{E8F418DF-DF89-4F81-A03F-367BCC40F34B}"/>
    <cellStyle name="Normal 8 2 11 3" xfId="20510" xr:uid="{0EE5E3AD-41DB-482F-8C40-8DAB935D77E5}"/>
    <cellStyle name="Normal 8 2 11 4" xfId="37269" xr:uid="{46C66437-3F91-4C77-959A-3079CD89D724}"/>
    <cellStyle name="Normal 8 2 12" xfId="5431" xr:uid="{D1F895BF-17B3-4B93-97C9-6EFA5133B750}"/>
    <cellStyle name="Normal 8 2 12 2" xfId="13811" xr:uid="{F4BA1918-E5B9-4D3B-886A-8DB3382F395D}"/>
    <cellStyle name="Normal 8 2 12 2 2" xfId="30571" xr:uid="{A6EEDA55-BDBB-4396-8DDF-CCEA2BD11811}"/>
    <cellStyle name="Normal 8 2 12 2 3" xfId="47330" xr:uid="{EC27472A-C2F6-45FE-9975-5117D43AB36D}"/>
    <cellStyle name="Normal 8 2 12 3" xfId="22191" xr:uid="{16EE4E2B-4B13-4CAA-B773-DDDBCAE7426F}"/>
    <cellStyle name="Normal 8 2 12 4" xfId="38950" xr:uid="{74327ED9-F0A5-4539-AA3E-C9F4D92C3B07}"/>
    <cellStyle name="Normal 8 2 13" xfId="7127" xr:uid="{BCC253A1-53EB-4CFD-AA30-42F92CED48F4}"/>
    <cellStyle name="Normal 8 2 13 2" xfId="15507" xr:uid="{9C804E45-C725-424C-9CBE-C3D3B7841E07}"/>
    <cellStyle name="Normal 8 2 13 2 2" xfId="32267" xr:uid="{A8196AA1-3552-42AA-8436-9BB7B5313CE8}"/>
    <cellStyle name="Normal 8 2 13 2 3" xfId="49026" xr:uid="{B13AD8CF-E762-435F-8871-750F8EB8A233}"/>
    <cellStyle name="Normal 8 2 13 3" xfId="23887" xr:uid="{5B76E504-3631-4E77-9D79-4B79607390E1}"/>
    <cellStyle name="Normal 8 2 13 4" xfId="40646" xr:uid="{1B367151-86D0-4076-8880-6650DDFDF432}"/>
    <cellStyle name="Normal 8 2 14" xfId="7533" xr:uid="{C12783C1-EF81-4E62-9396-56ED2A82DC46}"/>
    <cellStyle name="Normal 8 2 14 2" xfId="15913" xr:uid="{CE9DE980-5443-4D8F-8B31-A01A706662AC}"/>
    <cellStyle name="Normal 8 2 14 2 2" xfId="32673" xr:uid="{2D5F0109-59D7-42AC-BA2D-579FCC5B6912}"/>
    <cellStyle name="Normal 8 2 14 2 3" xfId="49432" xr:uid="{70160F96-614D-4F37-B587-27B6668B1010}"/>
    <cellStyle name="Normal 8 2 14 3" xfId="24293" xr:uid="{0F5DB3FE-A1E8-4C24-8D44-19D892C87088}"/>
    <cellStyle name="Normal 8 2 14 4" xfId="41052" xr:uid="{54308A89-3F40-4022-A2B1-7F5DEDE3A427}"/>
    <cellStyle name="Normal 8 2 15" xfId="7939" xr:uid="{732E14BB-D35F-4C6E-9C70-6A85DAA3AE8C}"/>
    <cellStyle name="Normal 8 2 15 2" xfId="16319" xr:uid="{2160C3B9-B111-42F8-865F-8DF9E333B4E6}"/>
    <cellStyle name="Normal 8 2 15 2 2" xfId="33079" xr:uid="{C2E05963-1783-43BD-8106-BC3772D2B9AD}"/>
    <cellStyle name="Normal 8 2 15 2 3" xfId="49838" xr:uid="{26F592FD-E7F2-4048-A38B-D6DCB7BA8798}"/>
    <cellStyle name="Normal 8 2 15 3" xfId="24699" xr:uid="{0C3FB0CA-0BD6-4C76-902C-E4259E7523FF}"/>
    <cellStyle name="Normal 8 2 15 4" xfId="41458" xr:uid="{6E059658-4936-49C8-8A06-88F97B27DA1E}"/>
    <cellStyle name="Normal 8 2 16" xfId="8345" xr:uid="{4921587E-BC28-472F-8193-1BA4F089E0C2}"/>
    <cellStyle name="Normal 8 2 16 2" xfId="16725" xr:uid="{1BDFCE57-0DCE-4327-864A-9AEEC4F975C8}"/>
    <cellStyle name="Normal 8 2 16 2 2" xfId="33485" xr:uid="{B58465EC-DB8B-445D-80C3-53196CADB0D1}"/>
    <cellStyle name="Normal 8 2 16 2 3" xfId="50244" xr:uid="{E77C9A56-475C-40F6-AF90-9A839B5F6D06}"/>
    <cellStyle name="Normal 8 2 16 3" xfId="25105" xr:uid="{C4033F7D-ED23-4008-A5D3-0B32DD34860C}"/>
    <cellStyle name="Normal 8 2 16 4" xfId="41864" xr:uid="{116735E1-6F52-4997-9881-F4859F0C9377}"/>
    <cellStyle name="Normal 8 2 17" xfId="2047" xr:uid="{8611889F-C109-47F3-9A1F-410D9F9F7844}"/>
    <cellStyle name="Normal 8 2 17 2" xfId="10435" xr:uid="{34C3C7F1-9173-44A5-9757-008C247BBF55}"/>
    <cellStyle name="Normal 8 2 17 2 2" xfId="27195" xr:uid="{ADE106A4-172E-40FD-8411-85EB54481330}"/>
    <cellStyle name="Normal 8 2 17 2 3" xfId="43954" xr:uid="{548233A0-1247-44C4-9AB4-9A7EBD033F88}"/>
    <cellStyle name="Normal 8 2 17 3" xfId="18815" xr:uid="{6905DC71-AFFF-405C-AE78-4036B6A5F541}"/>
    <cellStyle name="Normal 8 2 17 4" xfId="35574" xr:uid="{4247998F-2C71-4FF6-91F0-9C053C449FD9}"/>
    <cellStyle name="Normal 8 2 18" xfId="8744" xr:uid="{CA12D68A-13FC-4CAB-BCB4-E575038E2ABF}"/>
    <cellStyle name="Normal 8 2 18 2" xfId="25504" xr:uid="{0218CF5A-FD10-47CB-AE2F-3C2954DD9B12}"/>
    <cellStyle name="Normal 8 2 18 3" xfId="42263" xr:uid="{EA6B613C-6C29-41F4-93EB-E85E7FC44EE6}"/>
    <cellStyle name="Normal 8 2 19" xfId="17124" xr:uid="{77228E20-B0E6-4B56-9E24-A976543FDC9A}"/>
    <cellStyle name="Normal 8 2 2" xfId="299" xr:uid="{2D4612CB-0997-4937-95C1-4BA38476408C}"/>
    <cellStyle name="Normal 8 2 2 10" xfId="7185" xr:uid="{0E77364E-50C1-47A0-B639-1BAC93BFBB35}"/>
    <cellStyle name="Normal 8 2 2 10 2" xfId="15565" xr:uid="{B60AA770-294D-4B5A-9A7D-EEE8BC9A5E2B}"/>
    <cellStyle name="Normal 8 2 2 10 2 2" xfId="32325" xr:uid="{ABC6DBB7-5E43-48FE-AAC6-0FF137200236}"/>
    <cellStyle name="Normal 8 2 2 10 2 3" xfId="49084" xr:uid="{E13ECC4E-2205-41C0-820E-682919E2A815}"/>
    <cellStyle name="Normal 8 2 2 10 3" xfId="23945" xr:uid="{C678A51A-9790-461F-A285-B56E16F43021}"/>
    <cellStyle name="Normal 8 2 2 10 4" xfId="40704" xr:uid="{B7070710-B5C8-4549-AE22-83848E967C57}"/>
    <cellStyle name="Normal 8 2 2 11" xfId="7591" xr:uid="{735657DC-3F22-437B-9461-F6F2EAF7D7C3}"/>
    <cellStyle name="Normal 8 2 2 11 2" xfId="15971" xr:uid="{54FC8638-183D-4613-B5A7-0F67D17729D5}"/>
    <cellStyle name="Normal 8 2 2 11 2 2" xfId="32731" xr:uid="{847C1373-3350-4857-A7E8-3CED717E6F33}"/>
    <cellStyle name="Normal 8 2 2 11 2 3" xfId="49490" xr:uid="{0F84CD6D-6CAB-4D7F-93ED-13FDE4E1C57A}"/>
    <cellStyle name="Normal 8 2 2 11 3" xfId="24351" xr:uid="{D490746E-2EBA-47E5-8C86-62D7A00985DF}"/>
    <cellStyle name="Normal 8 2 2 11 4" xfId="41110" xr:uid="{F9B439B6-C7CF-4D39-BEEA-F0AF31C1BFA6}"/>
    <cellStyle name="Normal 8 2 2 12" xfId="7997" xr:uid="{B2E51FB5-DD49-4ADF-A20E-774AA9F81201}"/>
    <cellStyle name="Normal 8 2 2 12 2" xfId="16377" xr:uid="{25C10EBF-661A-4EE7-A5B8-09FEF04790B2}"/>
    <cellStyle name="Normal 8 2 2 12 2 2" xfId="33137" xr:uid="{1706011C-A40E-4B95-B9F7-04338AF934B3}"/>
    <cellStyle name="Normal 8 2 2 12 2 3" xfId="49896" xr:uid="{7A077637-3574-4D4A-BF33-1A0B6A80E1DC}"/>
    <cellStyle name="Normal 8 2 2 12 3" xfId="24757" xr:uid="{5E5824AD-7DD5-43CE-B4F1-CFF52C20FD4C}"/>
    <cellStyle name="Normal 8 2 2 12 4" xfId="41516" xr:uid="{B3C252C7-B327-4568-89E3-618BA7408607}"/>
    <cellStyle name="Normal 8 2 2 13" xfId="8403" xr:uid="{7C57944B-69C0-4BBE-94C3-002E2144907E}"/>
    <cellStyle name="Normal 8 2 2 13 2" xfId="16783" xr:uid="{1E438B7C-E974-43AB-9560-D25972E60AFB}"/>
    <cellStyle name="Normal 8 2 2 13 2 2" xfId="33543" xr:uid="{BCE4E568-5B05-4EBD-9738-E582FCEA62C4}"/>
    <cellStyle name="Normal 8 2 2 13 2 3" xfId="50302" xr:uid="{9027E483-B47E-4D1B-9D14-EFDA9164F94F}"/>
    <cellStyle name="Normal 8 2 2 13 3" xfId="25163" xr:uid="{63BAD149-348E-41C0-8D7A-CC9CDA4F222E}"/>
    <cellStyle name="Normal 8 2 2 13 4" xfId="41922" xr:uid="{B7CC7129-ED5E-4822-A1B4-F2A94080AD71}"/>
    <cellStyle name="Normal 8 2 2 14" xfId="2065" xr:uid="{E32C3973-ADF5-4B55-BBDA-B66257F87BB7}"/>
    <cellStyle name="Normal 8 2 2 14 2" xfId="10453" xr:uid="{078DFCED-02E6-459F-BF4A-F0200929F88C}"/>
    <cellStyle name="Normal 8 2 2 14 2 2" xfId="27213" xr:uid="{AB15B754-AE73-40BF-8137-1492A69C4CEF}"/>
    <cellStyle name="Normal 8 2 2 14 2 3" xfId="43972" xr:uid="{63CE7179-DFA0-4794-A4F1-89804BF952C1}"/>
    <cellStyle name="Normal 8 2 2 14 3" xfId="18833" xr:uid="{93810AC6-B495-4479-8BDC-393104C70390}"/>
    <cellStyle name="Normal 8 2 2 14 4" xfId="35592" xr:uid="{E6EA0A2C-9D65-40E6-81C0-0175B5778DE9}"/>
    <cellStyle name="Normal 8 2 2 15" xfId="8772" xr:uid="{40BCBEF0-3EB0-4BD6-8ED1-27A2307DF9B3}"/>
    <cellStyle name="Normal 8 2 2 15 2" xfId="25532" xr:uid="{098935C3-4247-46F3-A978-099F86D0E705}"/>
    <cellStyle name="Normal 8 2 2 15 3" xfId="42291" xr:uid="{34B3941C-4F96-4801-AF50-A038FEB00C9F}"/>
    <cellStyle name="Normal 8 2 2 16" xfId="17152" xr:uid="{53C13AD6-2D06-4A10-98F9-0DEBAF0CE75A}"/>
    <cellStyle name="Normal 8 2 2 17" xfId="33911" xr:uid="{669C7153-8AA2-46A7-907F-330DF2E3D461}"/>
    <cellStyle name="Normal 8 2 2 2" xfId="382" xr:uid="{54210DA1-CB01-40A1-A0C1-BF51F94B4EC5}"/>
    <cellStyle name="Normal 8 2 2 2 10" xfId="7618" xr:uid="{967EFEE2-D726-4B3C-A7E6-DCD0E9F1B3CA}"/>
    <cellStyle name="Normal 8 2 2 2 10 2" xfId="15998" xr:uid="{521324D8-8CFA-4B88-BA96-564E0CF98CD4}"/>
    <cellStyle name="Normal 8 2 2 2 10 2 2" xfId="32758" xr:uid="{32D9AEE3-6932-4502-9285-31F1B5BCF9FA}"/>
    <cellStyle name="Normal 8 2 2 2 10 2 3" xfId="49517" xr:uid="{5234853F-54AE-4AD8-B55A-11D92E018D32}"/>
    <cellStyle name="Normal 8 2 2 2 10 3" xfId="24378" xr:uid="{8C094161-6AB9-4392-9AA7-627CFBC5A8B2}"/>
    <cellStyle name="Normal 8 2 2 2 10 4" xfId="41137" xr:uid="{A73E3DEC-AD47-4E20-9B49-DF1595965FE6}"/>
    <cellStyle name="Normal 8 2 2 2 11" xfId="8024" xr:uid="{10E96C8A-5E59-4C8E-92B7-EFACEF9CDC4E}"/>
    <cellStyle name="Normal 8 2 2 2 11 2" xfId="16404" xr:uid="{AB21B3EC-0C56-4E45-ABCF-939C8C0FD193}"/>
    <cellStyle name="Normal 8 2 2 2 11 2 2" xfId="33164" xr:uid="{73F667FB-5078-4DF6-B684-A1DBDE38FF2A}"/>
    <cellStyle name="Normal 8 2 2 2 11 2 3" xfId="49923" xr:uid="{8592CB28-4140-4292-AF3D-B82314BB5085}"/>
    <cellStyle name="Normal 8 2 2 2 11 3" xfId="24784" xr:uid="{C1D36F72-84A6-427E-923B-73FAD5E98DDE}"/>
    <cellStyle name="Normal 8 2 2 2 11 4" xfId="41543" xr:uid="{F8498135-193F-4670-9489-713374A292D6}"/>
    <cellStyle name="Normal 8 2 2 2 12" xfId="8430" xr:uid="{5349915C-FA91-4C0E-80AF-73527CA0E2F6}"/>
    <cellStyle name="Normal 8 2 2 2 12 2" xfId="16810" xr:uid="{DD7CE92B-FB3A-4DE5-80B7-727C40148E44}"/>
    <cellStyle name="Normal 8 2 2 2 12 2 2" xfId="33570" xr:uid="{5577B04E-BEF9-4D2C-B412-D6A17B900640}"/>
    <cellStyle name="Normal 8 2 2 2 12 2 3" xfId="50329" xr:uid="{1AC1569D-D417-4926-A0C2-94439FBE8BEC}"/>
    <cellStyle name="Normal 8 2 2 2 12 3" xfId="25190" xr:uid="{DDC621A6-2EED-4239-B2E0-279BBE69ED53}"/>
    <cellStyle name="Normal 8 2 2 2 12 4" xfId="41949" xr:uid="{A9432AD6-07D0-420D-9CD2-C08558708193}"/>
    <cellStyle name="Normal 8 2 2 2 13" xfId="2265" xr:uid="{6885F3CE-C227-4739-B66D-7185F4E02715}"/>
    <cellStyle name="Normal 8 2 2 2 13 2" xfId="10649" xr:uid="{931A4CB1-F952-45B1-8D58-BFE59E996252}"/>
    <cellStyle name="Normal 8 2 2 2 13 2 2" xfId="27409" xr:uid="{1F794DF4-CAAE-4A6D-85C0-EF90B09B97A0}"/>
    <cellStyle name="Normal 8 2 2 2 13 2 3" xfId="44168" xr:uid="{F88E4271-D486-4185-8EC4-EA62C6BE80AF}"/>
    <cellStyle name="Normal 8 2 2 2 13 3" xfId="19029" xr:uid="{7AA05EAE-157F-46A7-8062-91C8B91016EA}"/>
    <cellStyle name="Normal 8 2 2 2 13 4" xfId="35788" xr:uid="{7DA48849-5969-42FC-9430-E9F618BB95EB}"/>
    <cellStyle name="Normal 8 2 2 2 14" xfId="8846" xr:uid="{99E5E071-E0C5-44B9-8D95-6090EFB8B0ED}"/>
    <cellStyle name="Normal 8 2 2 2 14 2" xfId="25606" xr:uid="{860B788D-8B4F-4B09-8500-755FA0C72290}"/>
    <cellStyle name="Normal 8 2 2 2 14 3" xfId="42365" xr:uid="{AA535D58-14ED-4836-8D06-343391A7DED9}"/>
    <cellStyle name="Normal 8 2 2 2 15" xfId="17226" xr:uid="{14C37D0F-961A-47F8-8A8F-329CE4F07C12}"/>
    <cellStyle name="Normal 8 2 2 2 16" xfId="33985" xr:uid="{00693949-FC1E-4422-91D7-1F30DF86EADC}"/>
    <cellStyle name="Normal 8 2 2 2 2" xfId="694" xr:uid="{0715ED90-E3C2-4C20-9DA4-E4C622EC56F8}"/>
    <cellStyle name="Normal 8 2 2 2 2 10" xfId="8573" xr:uid="{48853A99-9655-44E1-9880-40379640757A}"/>
    <cellStyle name="Normal 8 2 2 2 2 10 2" xfId="16953" xr:uid="{5CB22B8F-29B2-419F-B0C6-A6F531C6A410}"/>
    <cellStyle name="Normal 8 2 2 2 2 10 2 2" xfId="33713" xr:uid="{569F91DD-C691-4000-BF39-F88ED6B225B9}"/>
    <cellStyle name="Normal 8 2 2 2 2 10 2 3" xfId="50472" xr:uid="{829BAD21-79F5-46C9-BE0B-69691FEC270B}"/>
    <cellStyle name="Normal 8 2 2 2 2 10 3" xfId="25333" xr:uid="{B03E96E1-839E-43C3-B8B9-17D89CB2EEAA}"/>
    <cellStyle name="Normal 8 2 2 2 2 10 4" xfId="42092" xr:uid="{18CE4F0E-9160-454E-9CAD-4497B5E1D53C}"/>
    <cellStyle name="Normal 8 2 2 2 2 11" xfId="2523" xr:uid="{98FF9403-2118-4C39-AF82-E11ECFD692C1}"/>
    <cellStyle name="Normal 8 2 2 2 2 11 2" xfId="10905" xr:uid="{22A2F54C-2621-4A28-BE2A-6EA48429D1A2}"/>
    <cellStyle name="Normal 8 2 2 2 2 11 2 2" xfId="27665" xr:uid="{46394AF9-6149-4D2C-AE90-8B7B2C0B130F}"/>
    <cellStyle name="Normal 8 2 2 2 2 11 2 3" xfId="44424" xr:uid="{05D1A13D-D24A-4EF4-836B-9EC57672892A}"/>
    <cellStyle name="Normal 8 2 2 2 2 11 3" xfId="19285" xr:uid="{8B8EE821-C582-4223-9271-A0050D04DB02}"/>
    <cellStyle name="Normal 8 2 2 2 2 11 4" xfId="36044" xr:uid="{95159418-B616-4CE6-8138-F8252C85D1F3}"/>
    <cellStyle name="Normal 8 2 2 2 2 12" xfId="9102" xr:uid="{0FFF1E20-971F-41CC-BA94-FC989562911F}"/>
    <cellStyle name="Normal 8 2 2 2 2 12 2" xfId="25862" xr:uid="{2834B21B-DE10-40FB-A9D9-69FD26D7D0D5}"/>
    <cellStyle name="Normal 8 2 2 2 2 12 3" xfId="42621" xr:uid="{CD4FECBC-2CDA-43D3-8CA7-20690FE96015}"/>
    <cellStyle name="Normal 8 2 2 2 2 13" xfId="17482" xr:uid="{669A40A2-59EC-46E2-9E22-4B458D03E956}"/>
    <cellStyle name="Normal 8 2 2 2 2 14" xfId="34241" xr:uid="{4CB96271-BBCC-46CA-8E3D-B0FDEBD8A2F8}"/>
    <cellStyle name="Normal 8 2 2 2 2 2" xfId="1133" xr:uid="{E2DF82D2-E0C3-4D90-A703-99585F09402D}"/>
    <cellStyle name="Normal 8 2 2 2 2 2 2" xfId="4528" xr:uid="{90D15B69-3E5D-43AD-8349-76630B1B381B}"/>
    <cellStyle name="Normal 8 2 2 2 2 2 2 2" xfId="12908" xr:uid="{CA1A3ED8-4F11-44AC-894C-C2F55938FE17}"/>
    <cellStyle name="Normal 8 2 2 2 2 2 2 2 2" xfId="29668" xr:uid="{28263E93-9396-4350-97C0-09DFC717C432}"/>
    <cellStyle name="Normal 8 2 2 2 2 2 2 2 3" xfId="46427" xr:uid="{D6FD02F0-AC86-443C-9184-6FD58EBC5BB2}"/>
    <cellStyle name="Normal 8 2 2 2 2 2 2 3" xfId="21288" xr:uid="{7A3CD6F0-7EFE-4398-B12E-9389F51D91B6}"/>
    <cellStyle name="Normal 8 2 2 2 2 2 2 4" xfId="38047" xr:uid="{DCD08EDB-B770-42EA-80BA-19C713AE2DBF}"/>
    <cellStyle name="Normal 8 2 2 2 2 2 3" xfId="6215" xr:uid="{6E402447-DBCC-4E08-9CC2-6BA89BF036DC}"/>
    <cellStyle name="Normal 8 2 2 2 2 2 3 2" xfId="14595" xr:uid="{9C483D44-8C9B-4DBF-AC78-10877387841D}"/>
    <cellStyle name="Normal 8 2 2 2 2 2 3 2 2" xfId="31355" xr:uid="{2552D08D-DA3F-446A-83B1-5D82A9E0E945}"/>
    <cellStyle name="Normal 8 2 2 2 2 2 3 2 3" xfId="48114" xr:uid="{84CB5E9A-D4FE-42BF-94EF-5C2F032BAB79}"/>
    <cellStyle name="Normal 8 2 2 2 2 2 3 3" xfId="22975" xr:uid="{2C8D4ED4-DF8D-42F2-B781-7C934CACC119}"/>
    <cellStyle name="Normal 8 2 2 2 2 2 3 4" xfId="39734" xr:uid="{7B5D5079-1DA0-4D3D-8CE1-10B9098379A0}"/>
    <cellStyle name="Normal 8 2 2 2 2 2 4" xfId="2951" xr:uid="{74AA517C-75D1-4336-8677-B3B54A116528}"/>
    <cellStyle name="Normal 8 2 2 2 2 2 4 2" xfId="11331" xr:uid="{C32CBFF3-4A8D-4A23-B25C-FDCC91A5BE55}"/>
    <cellStyle name="Normal 8 2 2 2 2 2 4 2 2" xfId="28091" xr:uid="{C94160FB-0567-4CAF-8FC3-C628170B30F7}"/>
    <cellStyle name="Normal 8 2 2 2 2 2 4 2 3" xfId="44850" xr:uid="{CC06E4DF-CBA5-432E-AA67-435085E139C6}"/>
    <cellStyle name="Normal 8 2 2 2 2 2 4 3" xfId="19711" xr:uid="{8737EA37-69F8-4BC3-9EDA-12D50FD2FD10}"/>
    <cellStyle name="Normal 8 2 2 2 2 2 4 4" xfId="36470" xr:uid="{FBC89CC1-C20C-44A2-A86F-672997A561CD}"/>
    <cellStyle name="Normal 8 2 2 2 2 2 5" xfId="9528" xr:uid="{625E911D-EE3C-4274-BD18-A6F72C0EDC37}"/>
    <cellStyle name="Normal 8 2 2 2 2 2 5 2" xfId="26288" xr:uid="{75323278-B480-4B50-B3ED-53318B895A98}"/>
    <cellStyle name="Normal 8 2 2 2 2 2 5 3" xfId="43047" xr:uid="{F72DD052-FE9F-4E0F-8303-D229F79269C1}"/>
    <cellStyle name="Normal 8 2 2 2 2 2 6" xfId="17908" xr:uid="{B61A442C-978E-4D49-B679-6073C2F79CBF}"/>
    <cellStyle name="Normal 8 2 2 2 2 2 7" xfId="34667" xr:uid="{44982EC0-766A-4D70-BC09-3EAE19F49DE2}"/>
    <cellStyle name="Normal 8 2 2 2 2 3" xfId="1567" xr:uid="{3C833DD4-3235-42A0-9398-2E8892D1314A}"/>
    <cellStyle name="Normal 8 2 2 2 2 3 2" xfId="4956" xr:uid="{2818A9AF-BE5E-44F6-9450-597E5E01371A}"/>
    <cellStyle name="Normal 8 2 2 2 2 3 2 2" xfId="13336" xr:uid="{61AF6573-C493-4B3D-BFB6-363AC8759583}"/>
    <cellStyle name="Normal 8 2 2 2 2 3 2 2 2" xfId="30096" xr:uid="{1E4C7227-11E3-42EE-A557-D42908EACC2A}"/>
    <cellStyle name="Normal 8 2 2 2 2 3 2 2 3" xfId="46855" xr:uid="{503EE12E-8959-45BC-B41F-4E514A2190E3}"/>
    <cellStyle name="Normal 8 2 2 2 2 3 2 3" xfId="21716" xr:uid="{B389DAD9-1F29-43E1-926B-EA5B5E787C55}"/>
    <cellStyle name="Normal 8 2 2 2 2 3 2 4" xfId="38475" xr:uid="{9BA6566A-176A-4324-A7AA-3CD0E7A3A983}"/>
    <cellStyle name="Normal 8 2 2 2 2 3 3" xfId="6643" xr:uid="{3D373B3E-16A5-426D-8BE5-E1437C839B1C}"/>
    <cellStyle name="Normal 8 2 2 2 2 3 3 2" xfId="15023" xr:uid="{0E26B432-0330-4B6F-BEA3-C64E92C6F272}"/>
    <cellStyle name="Normal 8 2 2 2 2 3 3 2 2" xfId="31783" xr:uid="{4C123B4E-19D7-4C5C-A9E2-8266B01BF896}"/>
    <cellStyle name="Normal 8 2 2 2 2 3 3 2 3" xfId="48542" xr:uid="{933C07E3-0A0D-4FA2-BB45-81FAF5227151}"/>
    <cellStyle name="Normal 8 2 2 2 2 3 3 3" xfId="23403" xr:uid="{30D761D3-9685-4136-BE00-03B981BC9034}"/>
    <cellStyle name="Normal 8 2 2 2 2 3 3 4" xfId="40162" xr:uid="{20CDD65C-AAD9-4DFC-AE5F-DFFF9AF0CFA8}"/>
    <cellStyle name="Normal 8 2 2 2 2 3 4" xfId="3379" xr:uid="{D9FBF88D-0986-44AC-97F3-A45A3F64A497}"/>
    <cellStyle name="Normal 8 2 2 2 2 3 4 2" xfId="11759" xr:uid="{03E8884D-A461-4A35-975B-BF6627AFA287}"/>
    <cellStyle name="Normal 8 2 2 2 2 3 4 2 2" xfId="28519" xr:uid="{E5F1D7B5-48ED-4022-88AF-E0E99F3B4D0D}"/>
    <cellStyle name="Normal 8 2 2 2 2 3 4 2 3" xfId="45278" xr:uid="{070C0B3A-89A9-497A-80BE-ABE4A1EF6B9C}"/>
    <cellStyle name="Normal 8 2 2 2 2 3 4 3" xfId="20139" xr:uid="{B4A269F8-7D6E-4D14-A6D3-1CAFA65E4C38}"/>
    <cellStyle name="Normal 8 2 2 2 2 3 4 4" xfId="36898" xr:uid="{F4E25758-D03E-49E7-88C2-D1438F857707}"/>
    <cellStyle name="Normal 8 2 2 2 2 3 5" xfId="9956" xr:uid="{BE69EEEF-A760-4AF6-AC31-EC72B827DEB5}"/>
    <cellStyle name="Normal 8 2 2 2 2 3 5 2" xfId="26716" xr:uid="{A433E193-F285-4533-B713-B3EB8EA88917}"/>
    <cellStyle name="Normal 8 2 2 2 2 3 5 3" xfId="43475" xr:uid="{47519F97-1535-47D8-978B-CC74C2EA914A}"/>
    <cellStyle name="Normal 8 2 2 2 2 3 6" xfId="18336" xr:uid="{A9CF9CD1-810B-4A2B-9467-5109125F0D18}"/>
    <cellStyle name="Normal 8 2 2 2 2 3 7" xfId="35095" xr:uid="{1E3047CA-0317-45C2-B72A-4773A2E4D8F0}"/>
    <cellStyle name="Normal 8 2 2 2 2 4" xfId="1873" xr:uid="{1281E916-D1F4-41B8-A679-8982AE66BFDF}"/>
    <cellStyle name="Normal 8 2 2 2 2 4 2" xfId="5262" xr:uid="{A34FCA61-2878-4D92-847F-87A8D43B5A34}"/>
    <cellStyle name="Normal 8 2 2 2 2 4 2 2" xfId="13642" xr:uid="{51C86F24-13C0-4265-81ED-D56A5D1006E3}"/>
    <cellStyle name="Normal 8 2 2 2 2 4 2 2 2" xfId="30402" xr:uid="{876F02C7-3157-474A-A733-ABEA24F6777E}"/>
    <cellStyle name="Normal 8 2 2 2 2 4 2 2 3" xfId="47161" xr:uid="{A88E6860-19CC-4DDE-AF23-2A9E2FDAD19B}"/>
    <cellStyle name="Normal 8 2 2 2 2 4 2 3" xfId="22022" xr:uid="{EC779391-29B9-4031-822E-6DC8243824A4}"/>
    <cellStyle name="Normal 8 2 2 2 2 4 2 4" xfId="38781" xr:uid="{211F989A-321A-430B-B411-DDE1EAECF160}"/>
    <cellStyle name="Normal 8 2 2 2 2 4 3" xfId="6949" xr:uid="{D07FDF77-94CE-49DD-B758-8973A76348C7}"/>
    <cellStyle name="Normal 8 2 2 2 2 4 3 2" xfId="15329" xr:uid="{41137820-D873-4424-8BC9-5C4D5C157B6E}"/>
    <cellStyle name="Normal 8 2 2 2 2 4 3 2 2" xfId="32089" xr:uid="{FA91BFAB-A5A2-46AC-9CC7-7CD70EE1CCB9}"/>
    <cellStyle name="Normal 8 2 2 2 2 4 3 2 3" xfId="48848" xr:uid="{8EB640FB-C0C9-42F7-B5A4-D7C695C12625}"/>
    <cellStyle name="Normal 8 2 2 2 2 4 3 3" xfId="23709" xr:uid="{365B296F-2A54-4C3D-B5F1-5333091B677E}"/>
    <cellStyle name="Normal 8 2 2 2 2 4 3 4" xfId="40468" xr:uid="{384AFB2A-1DF4-40E5-BA8E-4DC14B17E985}"/>
    <cellStyle name="Normal 8 2 2 2 2 4 4" xfId="3572" xr:uid="{49675836-6B12-4F29-8E58-BF2DD985B249}"/>
    <cellStyle name="Normal 8 2 2 2 2 4 4 2" xfId="11952" xr:uid="{E02BEB92-C040-4266-8451-CA419E3ED41F}"/>
    <cellStyle name="Normal 8 2 2 2 2 4 4 2 2" xfId="28712" xr:uid="{C84E2D26-9ABB-4D7D-A0C2-3A8D288D7C45}"/>
    <cellStyle name="Normal 8 2 2 2 2 4 4 2 3" xfId="45471" xr:uid="{AA67D071-E55C-4003-89BA-D8E12CD0753B}"/>
    <cellStyle name="Normal 8 2 2 2 2 4 4 3" xfId="20332" xr:uid="{D05FA660-4AA3-4653-A0C1-86D9870D6481}"/>
    <cellStyle name="Normal 8 2 2 2 2 4 4 4" xfId="37091" xr:uid="{B283EE74-88BE-47BB-B4DE-850B761EF782}"/>
    <cellStyle name="Normal 8 2 2 2 2 4 5" xfId="10262" xr:uid="{70780578-D6D6-4DD4-A3D9-D6665652D771}"/>
    <cellStyle name="Normal 8 2 2 2 2 4 5 2" xfId="27022" xr:uid="{3712E7C0-8E6F-4FFD-B5DF-08FF56292B70}"/>
    <cellStyle name="Normal 8 2 2 2 2 4 5 3" xfId="43781" xr:uid="{8D34CE11-EF1D-4B9F-B67E-B248FC1D52D6}"/>
    <cellStyle name="Normal 8 2 2 2 2 4 6" xfId="18642" xr:uid="{F3CEF589-040B-453D-918F-AE06844114DE}"/>
    <cellStyle name="Normal 8 2 2 2 2 4 7" xfId="35401" xr:uid="{A4B2DFF4-DCB0-46F5-A304-28503EBE705B}"/>
    <cellStyle name="Normal 8 2 2 2 2 5" xfId="3992" xr:uid="{70F7EF74-741D-4146-844B-0A7FAC116C16}"/>
    <cellStyle name="Normal 8 2 2 2 2 5 2" xfId="12372" xr:uid="{DE0FF90B-3BE9-47B3-925C-66C95B04AE0C}"/>
    <cellStyle name="Normal 8 2 2 2 2 5 2 2" xfId="29132" xr:uid="{87D1D417-F53B-4D1A-A7DF-40C2FC98FE09}"/>
    <cellStyle name="Normal 8 2 2 2 2 5 2 3" xfId="45891" xr:uid="{D27A924A-ACBF-4FF0-A900-119122D10FA6}"/>
    <cellStyle name="Normal 8 2 2 2 2 5 3" xfId="20752" xr:uid="{3071202D-1659-4364-BE5E-46A5B018055D}"/>
    <cellStyle name="Normal 8 2 2 2 2 5 4" xfId="37511" xr:uid="{E528654F-9816-459F-BF2C-337E6F08126D}"/>
    <cellStyle name="Normal 8 2 2 2 2 6" xfId="5789" xr:uid="{BBAD9397-2C55-4268-A9B7-B37A3D56D799}"/>
    <cellStyle name="Normal 8 2 2 2 2 6 2" xfId="14169" xr:uid="{A6117E72-B15E-4250-A055-FAEF5F7BF754}"/>
    <cellStyle name="Normal 8 2 2 2 2 6 2 2" xfId="30929" xr:uid="{EF54714F-0AF8-455D-A0EE-842D29DAEF92}"/>
    <cellStyle name="Normal 8 2 2 2 2 6 2 3" xfId="47688" xr:uid="{0AC28815-7107-4D9D-9E84-AA7B81C91071}"/>
    <cellStyle name="Normal 8 2 2 2 2 6 3" xfId="22549" xr:uid="{938AE721-1329-4C27-B559-B546EF036A16}"/>
    <cellStyle name="Normal 8 2 2 2 2 6 4" xfId="39308" xr:uid="{5B3E3223-3CE9-4357-A616-29D5AD7CB594}"/>
    <cellStyle name="Normal 8 2 2 2 2 7" xfId="7355" xr:uid="{0C67FEA0-435D-4477-92EF-6E78F763C7AE}"/>
    <cellStyle name="Normal 8 2 2 2 2 7 2" xfId="15735" xr:uid="{5F3256AA-4C4A-445D-A102-08836127E7E5}"/>
    <cellStyle name="Normal 8 2 2 2 2 7 2 2" xfId="32495" xr:uid="{4AC7E190-48FB-4212-A0B7-DC3B5E336EAA}"/>
    <cellStyle name="Normal 8 2 2 2 2 7 2 3" xfId="49254" xr:uid="{7B7FF20F-3F48-44C8-8C7D-326CE4904F18}"/>
    <cellStyle name="Normal 8 2 2 2 2 7 3" xfId="24115" xr:uid="{BCA907A8-62D1-49F0-8742-2A9E5E15A32E}"/>
    <cellStyle name="Normal 8 2 2 2 2 7 4" xfId="40874" xr:uid="{48C967CE-E47D-4C43-997A-902E3C17F95A}"/>
    <cellStyle name="Normal 8 2 2 2 2 8" xfId="7761" xr:uid="{7E552F7C-9A59-4D50-B8DC-2CC9DE70BED9}"/>
    <cellStyle name="Normal 8 2 2 2 2 8 2" xfId="16141" xr:uid="{5635F037-73BD-489F-A8C0-5B85D4FE5F37}"/>
    <cellStyle name="Normal 8 2 2 2 2 8 2 2" xfId="32901" xr:uid="{A0B28016-4113-4E53-8B3D-C996BB98D15A}"/>
    <cellStyle name="Normal 8 2 2 2 2 8 2 3" xfId="49660" xr:uid="{AFAE4BAD-283B-4336-BC21-9B5F112368C8}"/>
    <cellStyle name="Normal 8 2 2 2 2 8 3" xfId="24521" xr:uid="{5A97E4BB-110F-42D8-93FA-9C35FCC09C95}"/>
    <cellStyle name="Normal 8 2 2 2 2 8 4" xfId="41280" xr:uid="{0AEBA8EF-DE9D-4FB2-A860-9668EE619184}"/>
    <cellStyle name="Normal 8 2 2 2 2 9" xfId="8167" xr:uid="{B7E91188-41DA-4096-A830-1D2339635368}"/>
    <cellStyle name="Normal 8 2 2 2 2 9 2" xfId="16547" xr:uid="{4EC07A9E-CCAD-4BC5-A4A9-270869A1A27E}"/>
    <cellStyle name="Normal 8 2 2 2 2 9 2 2" xfId="33307" xr:uid="{13882663-BDB9-4991-88A0-C80E8BB62CB9}"/>
    <cellStyle name="Normal 8 2 2 2 2 9 2 3" xfId="50066" xr:uid="{EB7B74C6-BF68-4905-B012-3E0D1AE3ADA2}"/>
    <cellStyle name="Normal 8 2 2 2 2 9 3" xfId="24927" xr:uid="{1280495B-7901-4416-8D17-B31081DFB659}"/>
    <cellStyle name="Normal 8 2 2 2 2 9 4" xfId="41686" xr:uid="{00D27E67-1F9F-4989-94AC-2553727AC25C}"/>
    <cellStyle name="Normal 8 2 2 2 3" xfId="695" xr:uid="{67144CE2-E8D1-4F74-A9DC-4307186B2D1E}"/>
    <cellStyle name="Normal 8 2 2 2 3 10" xfId="8701" xr:uid="{3392E445-09EC-4E05-84A6-B50665508717}"/>
    <cellStyle name="Normal 8 2 2 2 3 10 2" xfId="17081" xr:uid="{C597726B-F6B2-4F58-8003-18A7B406C5F8}"/>
    <cellStyle name="Normal 8 2 2 2 3 10 2 2" xfId="33841" xr:uid="{162E7823-C229-49BA-9082-531A5A9487D3}"/>
    <cellStyle name="Normal 8 2 2 2 3 10 2 3" xfId="50600" xr:uid="{741D7316-BA4A-4CB5-A83D-D8BFFFE1C243}"/>
    <cellStyle name="Normal 8 2 2 2 3 10 3" xfId="25461" xr:uid="{AF009D05-ACD8-4062-8C95-C7FBFED7C17E}"/>
    <cellStyle name="Normal 8 2 2 2 3 10 4" xfId="42220" xr:uid="{832CAAA7-96D8-4BEE-ADA3-A6FCDFD73626}"/>
    <cellStyle name="Normal 8 2 2 2 3 11" xfId="2524" xr:uid="{AD2B1E49-5841-4B73-93BD-46C49955609A}"/>
    <cellStyle name="Normal 8 2 2 2 3 11 2" xfId="10906" xr:uid="{5890917D-F63C-41EF-95EA-8BF6FBADFD76}"/>
    <cellStyle name="Normal 8 2 2 2 3 11 2 2" xfId="27666" xr:uid="{BEA6D883-2CDE-4F05-917D-EDF2632AAEED}"/>
    <cellStyle name="Normal 8 2 2 2 3 11 2 3" xfId="44425" xr:uid="{F7EC8BDB-44BF-4EC5-B604-E16623D04F8A}"/>
    <cellStyle name="Normal 8 2 2 2 3 11 3" xfId="19286" xr:uid="{93BD0819-DE1C-40A6-BB43-7BF055F5DF2A}"/>
    <cellStyle name="Normal 8 2 2 2 3 11 4" xfId="36045" xr:uid="{40CBA92E-4759-4ECB-9F37-78E64CD0DDBE}"/>
    <cellStyle name="Normal 8 2 2 2 3 12" xfId="9103" xr:uid="{056D7435-2B6C-4E4D-A200-CAEA496F74A5}"/>
    <cellStyle name="Normal 8 2 2 2 3 12 2" xfId="25863" xr:uid="{DF63671A-7FE2-4CDE-9F10-913FDF1ADBB5}"/>
    <cellStyle name="Normal 8 2 2 2 3 12 3" xfId="42622" xr:uid="{D3943385-4352-496E-95A4-F01651C255EB}"/>
    <cellStyle name="Normal 8 2 2 2 3 13" xfId="17483" xr:uid="{77BB2AD1-D435-4FC9-9C73-C671D2D57C34}"/>
    <cellStyle name="Normal 8 2 2 2 3 14" xfId="34242" xr:uid="{68FF77D4-075C-4071-BF3A-704F82A1335D}"/>
    <cellStyle name="Normal 8 2 2 2 3 2" xfId="1134" xr:uid="{B2DBBF05-2FDF-4C71-81CF-3B8B655D58B4}"/>
    <cellStyle name="Normal 8 2 2 2 3 2 2" xfId="4529" xr:uid="{223758E5-56B9-42AF-ADBD-484A3C0B287E}"/>
    <cellStyle name="Normal 8 2 2 2 3 2 2 2" xfId="12909" xr:uid="{D143798E-3BB2-4582-8E83-32395305E188}"/>
    <cellStyle name="Normal 8 2 2 2 3 2 2 2 2" xfId="29669" xr:uid="{848BEA52-8B6C-4CCB-AEDC-649639573673}"/>
    <cellStyle name="Normal 8 2 2 2 3 2 2 2 3" xfId="46428" xr:uid="{4B71924C-5C11-400D-A15E-9F499271E417}"/>
    <cellStyle name="Normal 8 2 2 2 3 2 2 3" xfId="21289" xr:uid="{6F797579-77DD-4500-9050-7AA51B5C0CAC}"/>
    <cellStyle name="Normal 8 2 2 2 3 2 2 4" xfId="38048" xr:uid="{19D93500-EE03-4C6C-88C3-636993ECF9D4}"/>
    <cellStyle name="Normal 8 2 2 2 3 2 3" xfId="6216" xr:uid="{31DDF294-E522-4B58-A32F-141103D97020}"/>
    <cellStyle name="Normal 8 2 2 2 3 2 3 2" xfId="14596" xr:uid="{71D489CD-7561-49DF-9772-C7E0F59B52E2}"/>
    <cellStyle name="Normal 8 2 2 2 3 2 3 2 2" xfId="31356" xr:uid="{99389C85-997C-4559-8505-C490601DC34B}"/>
    <cellStyle name="Normal 8 2 2 2 3 2 3 2 3" xfId="48115" xr:uid="{7C9809F5-8A5C-4E34-B3EA-508B838A0768}"/>
    <cellStyle name="Normal 8 2 2 2 3 2 3 3" xfId="22976" xr:uid="{58FC3338-AB9A-4B9D-A3A2-07AEB02D5FC6}"/>
    <cellStyle name="Normal 8 2 2 2 3 2 3 4" xfId="39735" xr:uid="{D239E896-AD65-4CBA-9901-F7ECEF41DA50}"/>
    <cellStyle name="Normal 8 2 2 2 3 2 4" xfId="2952" xr:uid="{C22A9A9B-549B-4CD2-89E2-774DB78A648C}"/>
    <cellStyle name="Normal 8 2 2 2 3 2 4 2" xfId="11332" xr:uid="{A0AF851D-7242-43EF-A9D5-9CA1E8395B9C}"/>
    <cellStyle name="Normal 8 2 2 2 3 2 4 2 2" xfId="28092" xr:uid="{EECC2422-A0CB-4747-BA32-0208FD4DD73B}"/>
    <cellStyle name="Normal 8 2 2 2 3 2 4 2 3" xfId="44851" xr:uid="{9422A9E3-CF8E-4235-9916-FF414C3E31C9}"/>
    <cellStyle name="Normal 8 2 2 2 3 2 4 3" xfId="19712" xr:uid="{252FCA81-C5EB-41A1-B0D2-4F30AF519759}"/>
    <cellStyle name="Normal 8 2 2 2 3 2 4 4" xfId="36471" xr:uid="{96DEB6EF-ED24-4C41-8492-B99FE90BA1C1}"/>
    <cellStyle name="Normal 8 2 2 2 3 2 5" xfId="9529" xr:uid="{42E642D0-926F-4530-9288-2DB5BAC9A03C}"/>
    <cellStyle name="Normal 8 2 2 2 3 2 5 2" xfId="26289" xr:uid="{FB190D6F-3588-4448-B67E-94A60B4C0900}"/>
    <cellStyle name="Normal 8 2 2 2 3 2 5 3" xfId="43048" xr:uid="{4D2EB37A-4B9F-4B46-BE09-63B9B21BB23B}"/>
    <cellStyle name="Normal 8 2 2 2 3 2 6" xfId="17909" xr:uid="{E00BFF16-438E-4198-903B-1C422006BD19}"/>
    <cellStyle name="Normal 8 2 2 2 3 2 7" xfId="34668" xr:uid="{9612B4F0-4248-4747-9EA0-CE1BE1E42809}"/>
    <cellStyle name="Normal 8 2 2 2 3 3" xfId="1568" xr:uid="{3063B143-6262-4CEE-AB4A-C486867D4175}"/>
    <cellStyle name="Normal 8 2 2 2 3 3 2" xfId="4957" xr:uid="{8A9FD5CE-67EF-4151-A798-8D40E713A912}"/>
    <cellStyle name="Normal 8 2 2 2 3 3 2 2" xfId="13337" xr:uid="{82877174-AEAD-4BC5-B305-1299364E96D4}"/>
    <cellStyle name="Normal 8 2 2 2 3 3 2 2 2" xfId="30097" xr:uid="{673219D0-E276-4F4B-882C-97B7639E53FD}"/>
    <cellStyle name="Normal 8 2 2 2 3 3 2 2 3" xfId="46856" xr:uid="{210B5A70-2C9D-4EB0-B6DC-3DC978CBCEC8}"/>
    <cellStyle name="Normal 8 2 2 2 3 3 2 3" xfId="21717" xr:uid="{8DFE7D2A-3FBA-4EE5-862D-544668BC0E1A}"/>
    <cellStyle name="Normal 8 2 2 2 3 3 2 4" xfId="38476" xr:uid="{C1363D4B-448D-4A46-9775-81F45BF60B92}"/>
    <cellStyle name="Normal 8 2 2 2 3 3 3" xfId="6644" xr:uid="{37BAB1BB-99BF-4D2C-B5E9-C61C4AD9BC57}"/>
    <cellStyle name="Normal 8 2 2 2 3 3 3 2" xfId="15024" xr:uid="{FFC49A90-48CA-4087-9FD7-F988E3764DA3}"/>
    <cellStyle name="Normal 8 2 2 2 3 3 3 2 2" xfId="31784" xr:uid="{F120A47A-57A4-4000-ACAA-1DF10E096561}"/>
    <cellStyle name="Normal 8 2 2 2 3 3 3 2 3" xfId="48543" xr:uid="{210DC7B5-73D5-4C89-B674-3D45D70C5182}"/>
    <cellStyle name="Normal 8 2 2 2 3 3 3 3" xfId="23404" xr:uid="{E8102BC3-F29A-4127-873B-BDACA709B13A}"/>
    <cellStyle name="Normal 8 2 2 2 3 3 3 4" xfId="40163" xr:uid="{6EF89096-C6DB-4AF8-BAFC-87B4FC56DE8F}"/>
    <cellStyle name="Normal 8 2 2 2 3 3 4" xfId="3380" xr:uid="{D3C44682-C637-4B33-BBDF-24F2ADF7C19B}"/>
    <cellStyle name="Normal 8 2 2 2 3 3 4 2" xfId="11760" xr:uid="{C5774C73-549C-41CF-B39B-C3F0A0C5EBE4}"/>
    <cellStyle name="Normal 8 2 2 2 3 3 4 2 2" xfId="28520" xr:uid="{2CCD7DC2-54B4-4722-8A22-EECE468FB6D7}"/>
    <cellStyle name="Normal 8 2 2 2 3 3 4 2 3" xfId="45279" xr:uid="{BF76CEB9-FD2E-4ADA-947E-B233490DA801}"/>
    <cellStyle name="Normal 8 2 2 2 3 3 4 3" xfId="20140" xr:uid="{FB08D98F-8BD4-4083-A8A5-EB48F14EE9E8}"/>
    <cellStyle name="Normal 8 2 2 2 3 3 4 4" xfId="36899" xr:uid="{853AECCB-9A7E-4399-A6BD-8F4EA8BAE037}"/>
    <cellStyle name="Normal 8 2 2 2 3 3 5" xfId="9957" xr:uid="{8BC4B6D6-865F-4FFF-A8D1-918A15B039C3}"/>
    <cellStyle name="Normal 8 2 2 2 3 3 5 2" xfId="26717" xr:uid="{B732DF9C-22F3-4FC7-B9E0-0FAED86B8BC0}"/>
    <cellStyle name="Normal 8 2 2 2 3 3 5 3" xfId="43476" xr:uid="{19E7A411-1D1A-480A-9856-B8DD3A129D4C}"/>
    <cellStyle name="Normal 8 2 2 2 3 3 6" xfId="18337" xr:uid="{66144D18-2A7B-4F17-8DEE-D7ABD626BA06}"/>
    <cellStyle name="Normal 8 2 2 2 3 3 7" xfId="35096" xr:uid="{2C8EB5E0-C1B9-4113-9B4A-3585B93E306E}"/>
    <cellStyle name="Normal 8 2 2 2 3 4" xfId="2001" xr:uid="{B49CFB41-F905-403F-8459-E0D308090E85}"/>
    <cellStyle name="Normal 8 2 2 2 3 4 2" xfId="5390" xr:uid="{732F3313-C478-4B5F-A411-81340A5DADE8}"/>
    <cellStyle name="Normal 8 2 2 2 3 4 2 2" xfId="13770" xr:uid="{6CDFC975-B017-4119-A965-EAEB8F029EB9}"/>
    <cellStyle name="Normal 8 2 2 2 3 4 2 2 2" xfId="30530" xr:uid="{874BA33B-FEB4-45DD-BCFE-6F925BE532F2}"/>
    <cellStyle name="Normal 8 2 2 2 3 4 2 2 3" xfId="47289" xr:uid="{702437E3-1A01-465C-A2F4-4AE06120E9BE}"/>
    <cellStyle name="Normal 8 2 2 2 3 4 2 3" xfId="22150" xr:uid="{A9792D46-1EBC-4B16-A0D2-5C05BCD9C341}"/>
    <cellStyle name="Normal 8 2 2 2 3 4 2 4" xfId="38909" xr:uid="{8191D85E-AE05-4FDA-9D93-8196CA66584C}"/>
    <cellStyle name="Normal 8 2 2 2 3 4 3" xfId="7077" xr:uid="{F1396761-C839-42B5-A6D9-CE2B85D0812F}"/>
    <cellStyle name="Normal 8 2 2 2 3 4 3 2" xfId="15457" xr:uid="{DD55F099-C044-4714-A277-F1662697DEE0}"/>
    <cellStyle name="Normal 8 2 2 2 3 4 3 2 2" xfId="32217" xr:uid="{6F6DCDB7-E57E-46C4-8757-94E90AD0EBF3}"/>
    <cellStyle name="Normal 8 2 2 2 3 4 3 2 3" xfId="48976" xr:uid="{9523D6D1-F6AC-4BC2-8D37-20B98481C4A7}"/>
    <cellStyle name="Normal 8 2 2 2 3 4 3 3" xfId="23837" xr:uid="{00B4F882-EDAD-4C22-B309-6B36BA7BAC59}"/>
    <cellStyle name="Normal 8 2 2 2 3 4 3 4" xfId="40596" xr:uid="{6DBD47B8-4970-4751-B8BE-4F53FD3E975D}"/>
    <cellStyle name="Normal 8 2 2 2 3 4 4" xfId="3700" xr:uid="{119E70A0-AA10-4A6F-A1EE-82B7515BF943}"/>
    <cellStyle name="Normal 8 2 2 2 3 4 4 2" xfId="12080" xr:uid="{BD780C82-EF3A-4F3E-8EEF-10DB649AAD0E}"/>
    <cellStyle name="Normal 8 2 2 2 3 4 4 2 2" xfId="28840" xr:uid="{0A5253BA-5730-449D-8005-F67B79624EB3}"/>
    <cellStyle name="Normal 8 2 2 2 3 4 4 2 3" xfId="45599" xr:uid="{5E1C4A1D-6EDB-4CE7-9BF1-8A728E22D5B1}"/>
    <cellStyle name="Normal 8 2 2 2 3 4 4 3" xfId="20460" xr:uid="{039EF261-03CB-4159-8F73-5D38414E1ACD}"/>
    <cellStyle name="Normal 8 2 2 2 3 4 4 4" xfId="37219" xr:uid="{0E595108-98B3-4587-8D61-3905C0D77F90}"/>
    <cellStyle name="Normal 8 2 2 2 3 4 5" xfId="10390" xr:uid="{75FF5371-69EF-4A25-961B-A60277083A27}"/>
    <cellStyle name="Normal 8 2 2 2 3 4 5 2" xfId="27150" xr:uid="{FEEAB1E4-140E-4939-A737-379A1397F382}"/>
    <cellStyle name="Normal 8 2 2 2 3 4 5 3" xfId="43909" xr:uid="{AA293676-D273-4DCA-B3C1-2C57842DA24E}"/>
    <cellStyle name="Normal 8 2 2 2 3 4 6" xfId="18770" xr:uid="{0D35E3B1-956F-4AA3-9D52-16F3932FCF82}"/>
    <cellStyle name="Normal 8 2 2 2 3 4 7" xfId="35529" xr:uid="{95C0563B-A8A1-4059-A83C-FA1E4CFDDFBB}"/>
    <cellStyle name="Normal 8 2 2 2 3 5" xfId="4120" xr:uid="{D1E061D1-DB21-4DA1-8E81-5B955A5366DD}"/>
    <cellStyle name="Normal 8 2 2 2 3 5 2" xfId="12500" xr:uid="{6BB54CB1-3F08-4E01-B533-74BAA3B5A0AB}"/>
    <cellStyle name="Normal 8 2 2 2 3 5 2 2" xfId="29260" xr:uid="{96E8CC9E-B135-41B9-9768-2AD817E6F744}"/>
    <cellStyle name="Normal 8 2 2 2 3 5 2 3" xfId="46019" xr:uid="{C15553D1-C42A-455E-9238-ECC74415476D}"/>
    <cellStyle name="Normal 8 2 2 2 3 5 3" xfId="20880" xr:uid="{063FBB28-98A5-4EBF-A9B2-5C14F6240E92}"/>
    <cellStyle name="Normal 8 2 2 2 3 5 4" xfId="37639" xr:uid="{35441D1E-8DA1-4BD5-9599-BE95FF086C8D}"/>
    <cellStyle name="Normal 8 2 2 2 3 6" xfId="5790" xr:uid="{96786BEE-14C1-42DE-A1E2-84812A9A4489}"/>
    <cellStyle name="Normal 8 2 2 2 3 6 2" xfId="14170" xr:uid="{2C4715C6-874F-44C6-ACFC-C516C4E03332}"/>
    <cellStyle name="Normal 8 2 2 2 3 6 2 2" xfId="30930" xr:uid="{97BD29AA-CF50-49DA-8561-5069081CD992}"/>
    <cellStyle name="Normal 8 2 2 2 3 6 2 3" xfId="47689" xr:uid="{7694E15F-A1A7-4B0A-8914-CBBE690E9743}"/>
    <cellStyle name="Normal 8 2 2 2 3 6 3" xfId="22550" xr:uid="{983C57A8-2FB0-43D7-9343-20F98CB0CDB9}"/>
    <cellStyle name="Normal 8 2 2 2 3 6 4" xfId="39309" xr:uid="{3AB7E697-AF62-4DD0-9025-3E005B8CE0BD}"/>
    <cellStyle name="Normal 8 2 2 2 3 7" xfId="7483" xr:uid="{EBBA4B6A-570C-4482-82AA-DAD3B5501EB9}"/>
    <cellStyle name="Normal 8 2 2 2 3 7 2" xfId="15863" xr:uid="{E4C58D31-E608-4C2F-BB4C-49AB93C0A832}"/>
    <cellStyle name="Normal 8 2 2 2 3 7 2 2" xfId="32623" xr:uid="{861B082D-97B7-4555-B7F6-00EF9DEB4990}"/>
    <cellStyle name="Normal 8 2 2 2 3 7 2 3" xfId="49382" xr:uid="{1D88F61B-BD8F-468B-ADAE-CD2ABEE40231}"/>
    <cellStyle name="Normal 8 2 2 2 3 7 3" xfId="24243" xr:uid="{137ABDAB-A4D4-4E32-9265-CB8C13B81E63}"/>
    <cellStyle name="Normal 8 2 2 2 3 7 4" xfId="41002" xr:uid="{A9904EB9-ACC0-46ED-9655-B155D95F7176}"/>
    <cellStyle name="Normal 8 2 2 2 3 8" xfId="7889" xr:uid="{A84FDC83-5735-42A1-898B-EBCA1F7EBE83}"/>
    <cellStyle name="Normal 8 2 2 2 3 8 2" xfId="16269" xr:uid="{69921232-5FEC-498A-A75F-2AFF5677ED26}"/>
    <cellStyle name="Normal 8 2 2 2 3 8 2 2" xfId="33029" xr:uid="{12E5FDBA-66FE-4584-975F-3A8033569324}"/>
    <cellStyle name="Normal 8 2 2 2 3 8 2 3" xfId="49788" xr:uid="{F563154E-6D3C-489A-B230-71337E9753E8}"/>
    <cellStyle name="Normal 8 2 2 2 3 8 3" xfId="24649" xr:uid="{80F3F0E8-3BD4-432C-98FC-A975158C661E}"/>
    <cellStyle name="Normal 8 2 2 2 3 8 4" xfId="41408" xr:uid="{44E9A073-CD1A-498A-8EB5-3CAEFF25DA75}"/>
    <cellStyle name="Normal 8 2 2 2 3 9" xfId="8295" xr:uid="{67AD1F51-C12C-48F3-8A03-4F47970961E6}"/>
    <cellStyle name="Normal 8 2 2 2 3 9 2" xfId="16675" xr:uid="{27A7BBA8-E990-4731-BDFA-24851373567D}"/>
    <cellStyle name="Normal 8 2 2 2 3 9 2 2" xfId="33435" xr:uid="{CC423515-7536-416F-839C-5603ABA98187}"/>
    <cellStyle name="Normal 8 2 2 2 3 9 2 3" xfId="50194" xr:uid="{165EAA9E-DB34-4C96-A2FB-F31FD17B49AA}"/>
    <cellStyle name="Normal 8 2 2 2 3 9 3" xfId="25055" xr:uid="{539AB7F4-12B6-46D8-8611-A6ACB1702471}"/>
    <cellStyle name="Normal 8 2 2 2 3 9 4" xfId="41814" xr:uid="{67296D76-AF19-4D8B-A2FF-E348CC9044F0}"/>
    <cellStyle name="Normal 8 2 2 2 4" xfId="877" xr:uid="{7536CE71-ACCF-46A0-B118-F24D57D36CDE}"/>
    <cellStyle name="Normal 8 2 2 2 4 2" xfId="4272" xr:uid="{B8BD1BF9-709B-49C2-BACB-6B630690EAAF}"/>
    <cellStyle name="Normal 8 2 2 2 4 2 2" xfId="12652" xr:uid="{5965E053-61BB-4662-ACDF-2AAA73410F2B}"/>
    <cellStyle name="Normal 8 2 2 2 4 2 2 2" xfId="29412" xr:uid="{668D608E-5868-405E-88B9-0F902DEC55DF}"/>
    <cellStyle name="Normal 8 2 2 2 4 2 2 3" xfId="46171" xr:uid="{C4A4147B-D3D6-4A48-AA1A-9363417353FC}"/>
    <cellStyle name="Normal 8 2 2 2 4 2 3" xfId="21032" xr:uid="{E196922C-6D2F-4BE6-8E41-30FA5376092F}"/>
    <cellStyle name="Normal 8 2 2 2 4 2 4" xfId="37791" xr:uid="{61F48C6A-EF42-4A8C-B33F-ADC37E713F81}"/>
    <cellStyle name="Normal 8 2 2 2 4 3" xfId="5959" xr:uid="{09E433C2-7E65-413B-AD9A-875FB8D11D25}"/>
    <cellStyle name="Normal 8 2 2 2 4 3 2" xfId="14339" xr:uid="{AB0F8CD8-5CB5-46AD-BDF5-704113227594}"/>
    <cellStyle name="Normal 8 2 2 2 4 3 2 2" xfId="31099" xr:uid="{E9683B7A-F667-4888-8C73-C59F61B40DCF}"/>
    <cellStyle name="Normal 8 2 2 2 4 3 2 3" xfId="47858" xr:uid="{E8F8C723-1641-47CE-9E78-22232B982639}"/>
    <cellStyle name="Normal 8 2 2 2 4 3 3" xfId="22719" xr:uid="{383FB245-C3AE-46B3-9430-10AB5789C9D1}"/>
    <cellStyle name="Normal 8 2 2 2 4 3 4" xfId="39478" xr:uid="{DE5EF4E5-4359-4E9E-8CAE-D85CB55AAA83}"/>
    <cellStyle name="Normal 8 2 2 2 4 4" xfId="2695" xr:uid="{59496EB3-E759-4836-9069-557F47682D9F}"/>
    <cellStyle name="Normal 8 2 2 2 4 4 2" xfId="11075" xr:uid="{F57878DF-35D9-42FD-B498-63773C049A63}"/>
    <cellStyle name="Normal 8 2 2 2 4 4 2 2" xfId="27835" xr:uid="{019E16A3-CCA3-4ED5-B91E-16091F60F997}"/>
    <cellStyle name="Normal 8 2 2 2 4 4 2 3" xfId="44594" xr:uid="{E9BB24D2-8EBA-472A-96A6-94361A2F7622}"/>
    <cellStyle name="Normal 8 2 2 2 4 4 3" xfId="19455" xr:uid="{F54FE4FE-41D1-43BC-A489-A4005BE81645}"/>
    <cellStyle name="Normal 8 2 2 2 4 4 4" xfId="36214" xr:uid="{D0D795ED-B031-43EB-A011-CD4E4D0667DC}"/>
    <cellStyle name="Normal 8 2 2 2 4 5" xfId="9272" xr:uid="{0CC18BDF-D5FA-4624-836D-76D17CCB5378}"/>
    <cellStyle name="Normal 8 2 2 2 4 5 2" xfId="26032" xr:uid="{85D9E8F5-AE4D-4703-BA4D-EA0FD0B22500}"/>
    <cellStyle name="Normal 8 2 2 2 4 5 3" xfId="42791" xr:uid="{F696701D-DEDD-414D-8C29-FEDC2C815F41}"/>
    <cellStyle name="Normal 8 2 2 2 4 6" xfId="17652" xr:uid="{4B311119-8F0C-4D10-BC00-B63240FE2339}"/>
    <cellStyle name="Normal 8 2 2 2 4 7" xfId="34411" xr:uid="{9EBF2734-1268-435C-8D41-EFACF3DC2325}"/>
    <cellStyle name="Normal 8 2 2 2 5" xfId="1311" xr:uid="{F211606A-1D59-4200-9545-8769383172FE}"/>
    <cellStyle name="Normal 8 2 2 2 5 2" xfId="4700" xr:uid="{FC2D4485-DBD0-408E-B871-5F47372C19D9}"/>
    <cellStyle name="Normal 8 2 2 2 5 2 2" xfId="13080" xr:uid="{B4C51AE4-5DE1-43A3-8B0E-9A0C9ACA583F}"/>
    <cellStyle name="Normal 8 2 2 2 5 2 2 2" xfId="29840" xr:uid="{19665A54-6758-4A35-9B49-E7B1994C2389}"/>
    <cellStyle name="Normal 8 2 2 2 5 2 2 3" xfId="46599" xr:uid="{6D55777D-EBDC-4073-9DDD-9E9C6C7F3AE1}"/>
    <cellStyle name="Normal 8 2 2 2 5 2 3" xfId="21460" xr:uid="{4A5A2E33-B338-42BF-85A6-192BC26AA41D}"/>
    <cellStyle name="Normal 8 2 2 2 5 2 4" xfId="38219" xr:uid="{E41E23B4-7676-48FD-81A8-911A660B3944}"/>
    <cellStyle name="Normal 8 2 2 2 5 3" xfId="6387" xr:uid="{8071BF8F-8B2F-4E5D-8845-002046B950A1}"/>
    <cellStyle name="Normal 8 2 2 2 5 3 2" xfId="14767" xr:uid="{024E2988-A072-43F6-BD00-6F360C26BAA6}"/>
    <cellStyle name="Normal 8 2 2 2 5 3 2 2" xfId="31527" xr:uid="{53B68A99-F0B0-4C19-96BF-D2FF2A521BD0}"/>
    <cellStyle name="Normal 8 2 2 2 5 3 2 3" xfId="48286" xr:uid="{B5E65FFB-6B3D-4523-97DA-BFFF9304C66E}"/>
    <cellStyle name="Normal 8 2 2 2 5 3 3" xfId="23147" xr:uid="{6083CCEF-9C11-46EC-B94F-BB78558C657E}"/>
    <cellStyle name="Normal 8 2 2 2 5 3 4" xfId="39906" xr:uid="{871EF31D-8E1F-4D59-B6D3-07B4BDF8118F}"/>
    <cellStyle name="Normal 8 2 2 2 5 4" xfId="3123" xr:uid="{2185B16E-1D7E-4420-A102-45BEBB37E691}"/>
    <cellStyle name="Normal 8 2 2 2 5 4 2" xfId="11503" xr:uid="{751E8337-60DA-436F-9609-862CBE0DEF69}"/>
    <cellStyle name="Normal 8 2 2 2 5 4 2 2" xfId="28263" xr:uid="{B9819EFF-8009-4E57-97D4-7A5B8A3AAD86}"/>
    <cellStyle name="Normal 8 2 2 2 5 4 2 3" xfId="45022" xr:uid="{1E952CDD-42E5-4697-A593-5AA23665EE54}"/>
    <cellStyle name="Normal 8 2 2 2 5 4 3" xfId="19883" xr:uid="{A64CA22A-C623-4D5F-8821-49D3DE5C1ED6}"/>
    <cellStyle name="Normal 8 2 2 2 5 4 4" xfId="36642" xr:uid="{AC3D8F37-88E5-48B0-8A34-D6960967BE18}"/>
    <cellStyle name="Normal 8 2 2 2 5 5" xfId="9700" xr:uid="{43E75B92-F5D6-4355-874D-3C13CBAA6070}"/>
    <cellStyle name="Normal 8 2 2 2 5 5 2" xfId="26460" xr:uid="{076DE5CD-385C-4DB5-9FC0-3B12F633A587}"/>
    <cellStyle name="Normal 8 2 2 2 5 5 3" xfId="43219" xr:uid="{D3DCC580-4E32-4D07-8409-4EC6792C70C5}"/>
    <cellStyle name="Normal 8 2 2 2 5 6" xfId="18080" xr:uid="{F9BA4AEC-F066-41EB-8790-465BC55680FA}"/>
    <cellStyle name="Normal 8 2 2 2 5 7" xfId="34839" xr:uid="{6C4B04D8-6727-4AC6-83D4-DEB86F010EA2}"/>
    <cellStyle name="Normal 8 2 2 2 6" xfId="1730" xr:uid="{1E85ECE1-0E8A-4691-952B-1C57D818180F}"/>
    <cellStyle name="Normal 8 2 2 2 6 2" xfId="5119" xr:uid="{D4CE7985-DE4F-4F42-AA3A-5B6662340CAE}"/>
    <cellStyle name="Normal 8 2 2 2 6 2 2" xfId="13499" xr:uid="{6917A3C0-3ED2-4339-ADF9-D7BCF8F48B61}"/>
    <cellStyle name="Normal 8 2 2 2 6 2 2 2" xfId="30259" xr:uid="{432E550B-BA44-4E13-A0BB-488116CE66CF}"/>
    <cellStyle name="Normal 8 2 2 2 6 2 2 3" xfId="47018" xr:uid="{465CA363-9504-44CE-BD40-4CA623C5B16C}"/>
    <cellStyle name="Normal 8 2 2 2 6 2 3" xfId="21879" xr:uid="{3E37E8BA-06BF-4293-AA0B-CF01455C10D5}"/>
    <cellStyle name="Normal 8 2 2 2 6 2 4" xfId="38638" xr:uid="{896B3A5E-FBC5-49D7-8A23-3F974623F652}"/>
    <cellStyle name="Normal 8 2 2 2 6 3" xfId="6806" xr:uid="{1B8549E6-F804-4ABA-996D-48E10D2BEDAC}"/>
    <cellStyle name="Normal 8 2 2 2 6 3 2" xfId="15186" xr:uid="{659A810D-E032-4F12-8180-0FE2CFC34AEE}"/>
    <cellStyle name="Normal 8 2 2 2 6 3 2 2" xfId="31946" xr:uid="{A0019391-2003-4086-B302-11D13F72B347}"/>
    <cellStyle name="Normal 8 2 2 2 6 3 2 3" xfId="48705" xr:uid="{304F5D3A-D066-477D-A68F-A67E7DC05457}"/>
    <cellStyle name="Normal 8 2 2 2 6 3 3" xfId="23566" xr:uid="{D5604098-AD96-47C9-AAF0-BA0614CC3CA7}"/>
    <cellStyle name="Normal 8 2 2 2 6 3 4" xfId="40325" xr:uid="{69996646-9A44-4852-BA83-343AC2EA2A35}"/>
    <cellStyle name="Normal 8 2 2 2 6 4" xfId="3453" xr:uid="{1DE079DB-5A5F-451C-9A24-20828F7E0811}"/>
    <cellStyle name="Normal 8 2 2 2 6 4 2" xfId="11833" xr:uid="{2323D218-F262-4651-9F4F-4D2ACD10CC0B}"/>
    <cellStyle name="Normal 8 2 2 2 6 4 2 2" xfId="28593" xr:uid="{E4ECABBD-D84B-4C5B-BD88-5DA29DC7C5DA}"/>
    <cellStyle name="Normal 8 2 2 2 6 4 2 3" xfId="45352" xr:uid="{B04C3231-FFB8-43BD-9C72-4195C713C8F8}"/>
    <cellStyle name="Normal 8 2 2 2 6 4 3" xfId="20213" xr:uid="{770A2E23-9AED-418A-ABEF-45DB87D25D69}"/>
    <cellStyle name="Normal 8 2 2 2 6 4 4" xfId="36972" xr:uid="{A44B302E-1A56-4B29-A49B-CB135BA5FC1B}"/>
    <cellStyle name="Normal 8 2 2 2 6 5" xfId="10119" xr:uid="{61A4886F-41C1-4242-987B-E1788A80894C}"/>
    <cellStyle name="Normal 8 2 2 2 6 5 2" xfId="26879" xr:uid="{6B369BFE-78C1-4221-8152-919AE5FA3D42}"/>
    <cellStyle name="Normal 8 2 2 2 6 5 3" xfId="43638" xr:uid="{1E6FA8D9-F1E4-4336-AA1E-4A2BEFB08184}"/>
    <cellStyle name="Normal 8 2 2 2 6 6" xfId="18499" xr:uid="{CDEC19D6-6DF7-443A-9A22-229CCB1B3F84}"/>
    <cellStyle name="Normal 8 2 2 2 6 7" xfId="35258" xr:uid="{723136A0-D6A6-4798-81C0-AB2321CE3661}"/>
    <cellStyle name="Normal 8 2 2 2 7" xfId="3849" xr:uid="{64C2FDE1-6800-4600-B2EC-F79FB2A4CFF3}"/>
    <cellStyle name="Normal 8 2 2 2 7 2" xfId="12229" xr:uid="{6A4A5ED5-F928-4214-B872-45DA5395A6C7}"/>
    <cellStyle name="Normal 8 2 2 2 7 2 2" xfId="28989" xr:uid="{E3612857-B570-4416-902F-402AC4A3D1DD}"/>
    <cellStyle name="Normal 8 2 2 2 7 2 3" xfId="45748" xr:uid="{5B25BE4D-043B-4FC1-869D-013BBDA2BB91}"/>
    <cellStyle name="Normal 8 2 2 2 7 3" xfId="20609" xr:uid="{AFA6D186-4C7F-4FD8-9BED-37A52A2EDEE9}"/>
    <cellStyle name="Normal 8 2 2 2 7 4" xfId="37368" xr:uid="{FC3FE960-2B06-4B22-9FE6-198B94D32BFC}"/>
    <cellStyle name="Normal 8 2 2 2 8" xfId="5533" xr:uid="{F0563515-3D43-49F0-976E-1B383FA68ED8}"/>
    <cellStyle name="Normal 8 2 2 2 8 2" xfId="13913" xr:uid="{8DBA1CA5-6AA9-4142-8561-F2F436FBE6BB}"/>
    <cellStyle name="Normal 8 2 2 2 8 2 2" xfId="30673" xr:uid="{1D5A1D73-F4BC-4908-82F6-EF8BAF53CDEB}"/>
    <cellStyle name="Normal 8 2 2 2 8 2 3" xfId="47432" xr:uid="{54A94A8E-0C94-46C0-81CA-7FAFFC5139DE}"/>
    <cellStyle name="Normal 8 2 2 2 8 3" xfId="22293" xr:uid="{38F62A35-CE6F-4ABA-9E00-7A6664BA5AE0}"/>
    <cellStyle name="Normal 8 2 2 2 8 4" xfId="39052" xr:uid="{5745191F-DD13-4C02-8884-CACBFC22A37A}"/>
    <cellStyle name="Normal 8 2 2 2 9" xfId="7212" xr:uid="{EF6D4E7E-9538-4866-957C-E9994DC294F4}"/>
    <cellStyle name="Normal 8 2 2 2 9 2" xfId="15592" xr:uid="{1564F388-EADA-49A0-8484-B51FD82F2356}"/>
    <cellStyle name="Normal 8 2 2 2 9 2 2" xfId="32352" xr:uid="{F8DEC910-224A-4BC8-A2E7-09268AFF6B2F}"/>
    <cellStyle name="Normal 8 2 2 2 9 2 3" xfId="49111" xr:uid="{2C554A12-D35E-410F-8A70-B82843FB52F8}"/>
    <cellStyle name="Normal 8 2 2 2 9 3" xfId="23972" xr:uid="{E62DC400-E93D-440A-96E4-1B3FDBA2BB18}"/>
    <cellStyle name="Normal 8 2 2 2 9 4" xfId="40731" xr:uid="{2B926A2D-D0F7-4D07-82BD-10D2A523F6BD}"/>
    <cellStyle name="Normal 8 2 2 3" xfId="696" xr:uid="{A4FEE4FA-9F3E-467B-BDD7-5B92DB39C842}"/>
    <cellStyle name="Normal 8 2 2 3 10" xfId="8572" xr:uid="{FE8EB0EA-8E3F-44E3-8361-81CAC55E1E65}"/>
    <cellStyle name="Normal 8 2 2 3 10 2" xfId="16952" xr:uid="{5C47A536-42CB-4AB9-88B0-CD7F9D056B84}"/>
    <cellStyle name="Normal 8 2 2 3 10 2 2" xfId="33712" xr:uid="{94F8DD1E-14FC-48FB-99A8-A359E6A33172}"/>
    <cellStyle name="Normal 8 2 2 3 10 2 3" xfId="50471" xr:uid="{5E9722C0-E2DB-4775-8106-A76AADE722E6}"/>
    <cellStyle name="Normal 8 2 2 3 10 3" xfId="25332" xr:uid="{2D8CECD6-2239-4C71-A42D-6A458D3F1395}"/>
    <cellStyle name="Normal 8 2 2 3 10 4" xfId="42091" xr:uid="{F8F10184-620F-4955-8221-9C7EF861235E}"/>
    <cellStyle name="Normal 8 2 2 3 11" xfId="2525" xr:uid="{1368192E-BD23-4A51-8A01-F203CD1DBF86}"/>
    <cellStyle name="Normal 8 2 2 3 11 2" xfId="10907" xr:uid="{4E87F5D4-898D-47B5-A356-E96778B80D90}"/>
    <cellStyle name="Normal 8 2 2 3 11 2 2" xfId="27667" xr:uid="{B9485CB8-DEB9-476F-A16F-B8BF3E0C8008}"/>
    <cellStyle name="Normal 8 2 2 3 11 2 3" xfId="44426" xr:uid="{1124CD20-01AF-41B0-A464-3E1D3D2F95B4}"/>
    <cellStyle name="Normal 8 2 2 3 11 3" xfId="19287" xr:uid="{20E85E32-1919-4027-8154-136E5F033248}"/>
    <cellStyle name="Normal 8 2 2 3 11 4" xfId="36046" xr:uid="{648A5547-9BF9-480E-8E20-D052D6B3B44B}"/>
    <cellStyle name="Normal 8 2 2 3 12" xfId="9104" xr:uid="{6080F39B-BB98-4144-BC4C-CB7FA98A1E4A}"/>
    <cellStyle name="Normal 8 2 2 3 12 2" xfId="25864" xr:uid="{72C4CDBB-870A-4838-B4E9-6ADE5271E694}"/>
    <cellStyle name="Normal 8 2 2 3 12 3" xfId="42623" xr:uid="{7A6331FB-D097-4B61-BAAC-59BA15BA224B}"/>
    <cellStyle name="Normal 8 2 2 3 13" xfId="17484" xr:uid="{58FEFD85-3D6B-49E2-B112-5A864565FAAF}"/>
    <cellStyle name="Normal 8 2 2 3 14" xfId="34243" xr:uid="{F5E5C757-9769-4958-ACC0-DCE06FD23015}"/>
    <cellStyle name="Normal 8 2 2 3 2" xfId="1135" xr:uid="{CEE8AA52-FC0E-4B68-90DB-D66AD8BED40B}"/>
    <cellStyle name="Normal 8 2 2 3 2 2" xfId="4530" xr:uid="{E7C223C7-3763-492D-A9CD-FB56770F656E}"/>
    <cellStyle name="Normal 8 2 2 3 2 2 2" xfId="12910" xr:uid="{AD2AD1BB-65ED-4845-85DC-2396A94141D8}"/>
    <cellStyle name="Normal 8 2 2 3 2 2 2 2" xfId="29670" xr:uid="{9DC822FD-F661-4FCC-8D32-581DE6E58697}"/>
    <cellStyle name="Normal 8 2 2 3 2 2 2 3" xfId="46429" xr:uid="{7EE43BD1-92A6-40F9-9654-F22FCF008CD2}"/>
    <cellStyle name="Normal 8 2 2 3 2 2 3" xfId="21290" xr:uid="{B9D518F2-1A22-47C5-89C3-B1FBE145E951}"/>
    <cellStyle name="Normal 8 2 2 3 2 2 4" xfId="38049" xr:uid="{8A685DB8-3009-4FEA-9313-F6B1F46C5232}"/>
    <cellStyle name="Normal 8 2 2 3 2 3" xfId="6217" xr:uid="{A9804219-1611-47FC-AA0E-AB7C4E8B6D97}"/>
    <cellStyle name="Normal 8 2 2 3 2 3 2" xfId="14597" xr:uid="{3A48CCF7-3656-42C2-9319-229A5D2DAE87}"/>
    <cellStyle name="Normal 8 2 2 3 2 3 2 2" xfId="31357" xr:uid="{38BF41A5-29C7-4D42-B6BA-4AE113E11D33}"/>
    <cellStyle name="Normal 8 2 2 3 2 3 2 3" xfId="48116" xr:uid="{EB017D3E-E29F-4B56-8F10-B1E2A9E1D7F5}"/>
    <cellStyle name="Normal 8 2 2 3 2 3 3" xfId="22977" xr:uid="{DCECD5D2-BD2B-4EDE-86FE-FB2F49B0E682}"/>
    <cellStyle name="Normal 8 2 2 3 2 3 4" xfId="39736" xr:uid="{4946651E-6CBC-48FB-95BC-772EC46EC7ED}"/>
    <cellStyle name="Normal 8 2 2 3 2 4" xfId="2953" xr:uid="{636575F2-3BDF-4181-965C-043853E959CE}"/>
    <cellStyle name="Normal 8 2 2 3 2 4 2" xfId="11333" xr:uid="{412B4E6D-1FD8-481D-A077-8E61D7161CEF}"/>
    <cellStyle name="Normal 8 2 2 3 2 4 2 2" xfId="28093" xr:uid="{7E523CB7-904D-4906-925C-B4BF18031E60}"/>
    <cellStyle name="Normal 8 2 2 3 2 4 2 3" xfId="44852" xr:uid="{AF45F5F7-0C57-418F-9D4A-A8BABBB74BFE}"/>
    <cellStyle name="Normal 8 2 2 3 2 4 3" xfId="19713" xr:uid="{E8EB1AAC-716C-49BF-980B-AE1776B560FC}"/>
    <cellStyle name="Normal 8 2 2 3 2 4 4" xfId="36472" xr:uid="{60F44D4C-B0B1-4AA8-A0A4-8B181CF13939}"/>
    <cellStyle name="Normal 8 2 2 3 2 5" xfId="9530" xr:uid="{6435AF0D-8536-4D37-A2F8-2769B2F2FB7E}"/>
    <cellStyle name="Normal 8 2 2 3 2 5 2" xfId="26290" xr:uid="{3B1A9D49-ADCB-45B4-B975-FC2C5A98811E}"/>
    <cellStyle name="Normal 8 2 2 3 2 5 3" xfId="43049" xr:uid="{EA5DE5DA-11C8-411A-A2C0-00A666A8D3F3}"/>
    <cellStyle name="Normal 8 2 2 3 2 6" xfId="17910" xr:uid="{B5C3E9F0-B719-481E-ACD1-A0359349DA84}"/>
    <cellStyle name="Normal 8 2 2 3 2 7" xfId="34669" xr:uid="{CDC3F80A-51B6-4507-BB6B-83EAD91E8086}"/>
    <cellStyle name="Normal 8 2 2 3 3" xfId="1569" xr:uid="{53A0C8E5-ECB3-4982-BEE1-2E7BA6713E85}"/>
    <cellStyle name="Normal 8 2 2 3 3 2" xfId="4958" xr:uid="{F4B62FA7-2425-4CA4-85FC-C02574CABBF8}"/>
    <cellStyle name="Normal 8 2 2 3 3 2 2" xfId="13338" xr:uid="{BBEE89DB-6209-48FB-BBE3-4537256887F8}"/>
    <cellStyle name="Normal 8 2 2 3 3 2 2 2" xfId="30098" xr:uid="{E4F1E881-0BB8-4277-A184-34BA5887E770}"/>
    <cellStyle name="Normal 8 2 2 3 3 2 2 3" xfId="46857" xr:uid="{D047F027-88A5-4540-84C6-D306CD78A6AE}"/>
    <cellStyle name="Normal 8 2 2 3 3 2 3" xfId="21718" xr:uid="{81725144-5A04-42B5-8960-611CCEFA0ED9}"/>
    <cellStyle name="Normal 8 2 2 3 3 2 4" xfId="38477" xr:uid="{1AEAFF3D-7A74-4B7D-B5EC-22F93279B8B1}"/>
    <cellStyle name="Normal 8 2 2 3 3 3" xfId="6645" xr:uid="{951B8C17-3C17-4A87-A104-D7318E052115}"/>
    <cellStyle name="Normal 8 2 2 3 3 3 2" xfId="15025" xr:uid="{4823A9E4-FC90-45A8-8B5D-9A5674A883BA}"/>
    <cellStyle name="Normal 8 2 2 3 3 3 2 2" xfId="31785" xr:uid="{A9D396F6-2D82-446B-9660-16DBD4D5B88A}"/>
    <cellStyle name="Normal 8 2 2 3 3 3 2 3" xfId="48544" xr:uid="{6CC3100E-C5FB-41DB-935A-9021251AD421}"/>
    <cellStyle name="Normal 8 2 2 3 3 3 3" xfId="23405" xr:uid="{2D028B2F-B20C-42D0-A134-24052D8BA97E}"/>
    <cellStyle name="Normal 8 2 2 3 3 3 4" xfId="40164" xr:uid="{F2A8EF40-DA20-4A24-8E78-2608AB9D59CF}"/>
    <cellStyle name="Normal 8 2 2 3 3 4" xfId="3381" xr:uid="{8C457D5F-A17F-4129-B248-4992334F9E87}"/>
    <cellStyle name="Normal 8 2 2 3 3 4 2" xfId="11761" xr:uid="{C8E68C50-A54C-4077-80CE-D89E9768359D}"/>
    <cellStyle name="Normal 8 2 2 3 3 4 2 2" xfId="28521" xr:uid="{56DF4A57-D151-46B6-ACEF-100455409FFF}"/>
    <cellStyle name="Normal 8 2 2 3 3 4 2 3" xfId="45280" xr:uid="{6B7DC843-83C3-4B80-9BCC-57B19369C93D}"/>
    <cellStyle name="Normal 8 2 2 3 3 4 3" xfId="20141" xr:uid="{F1412F84-CD08-4674-A09D-C6FC67368C57}"/>
    <cellStyle name="Normal 8 2 2 3 3 4 4" xfId="36900" xr:uid="{E43BF3D0-66EF-4084-82DD-A70433908CF2}"/>
    <cellStyle name="Normal 8 2 2 3 3 5" xfId="9958" xr:uid="{BFB68EE1-B559-4CEF-BAE7-7281976B09C0}"/>
    <cellStyle name="Normal 8 2 2 3 3 5 2" xfId="26718" xr:uid="{E5C82F2B-2AB1-472A-885B-A211E1A710B5}"/>
    <cellStyle name="Normal 8 2 2 3 3 5 3" xfId="43477" xr:uid="{E40E686E-2E21-49BF-991B-2D8D4A060651}"/>
    <cellStyle name="Normal 8 2 2 3 3 6" xfId="18338" xr:uid="{23749523-492D-48C0-93CB-A72CD25ED4D7}"/>
    <cellStyle name="Normal 8 2 2 3 3 7" xfId="35097" xr:uid="{3B24AFC3-D326-4B3F-A454-3C01FCEC6E73}"/>
    <cellStyle name="Normal 8 2 2 3 4" xfId="1872" xr:uid="{114F405F-A02A-4069-B0C1-C5A3D85E2660}"/>
    <cellStyle name="Normal 8 2 2 3 4 2" xfId="5261" xr:uid="{97D666FC-3AB9-4755-AEF3-6B45ADA2BE44}"/>
    <cellStyle name="Normal 8 2 2 3 4 2 2" xfId="13641" xr:uid="{5711D277-D3D3-41CB-B7A0-B2C53C42CFEB}"/>
    <cellStyle name="Normal 8 2 2 3 4 2 2 2" xfId="30401" xr:uid="{BB33DA8D-A3D7-4667-9817-CFF46707BF3E}"/>
    <cellStyle name="Normal 8 2 2 3 4 2 2 3" xfId="47160" xr:uid="{C2EE106D-3BBB-47AC-A1F3-A108C9000825}"/>
    <cellStyle name="Normal 8 2 2 3 4 2 3" xfId="22021" xr:uid="{8B2D9FAD-948D-4D8E-AF09-567C0B3B2464}"/>
    <cellStyle name="Normal 8 2 2 3 4 2 4" xfId="38780" xr:uid="{B4B52E0C-E08C-415C-B01D-E752761E8EB2}"/>
    <cellStyle name="Normal 8 2 2 3 4 3" xfId="6948" xr:uid="{1A633C86-8019-4475-A13B-867B106D5DF4}"/>
    <cellStyle name="Normal 8 2 2 3 4 3 2" xfId="15328" xr:uid="{BB18B3D3-E601-4B9C-8EE9-40C45697653A}"/>
    <cellStyle name="Normal 8 2 2 3 4 3 2 2" xfId="32088" xr:uid="{73AFA1F5-39F6-42D0-8470-E36AB25C8631}"/>
    <cellStyle name="Normal 8 2 2 3 4 3 2 3" xfId="48847" xr:uid="{31AB1498-A70B-4EB9-8D3B-B68262B3ED16}"/>
    <cellStyle name="Normal 8 2 2 3 4 3 3" xfId="23708" xr:uid="{1306EF22-4C96-4F98-A637-68FC3DEFDF7A}"/>
    <cellStyle name="Normal 8 2 2 3 4 3 4" xfId="40467" xr:uid="{A119348E-2EFB-4CCC-8B1D-B1CEFB16B25F}"/>
    <cellStyle name="Normal 8 2 2 3 4 4" xfId="3571" xr:uid="{2C72D738-9EAF-4826-8DDB-CF9BE27A5A32}"/>
    <cellStyle name="Normal 8 2 2 3 4 4 2" xfId="11951" xr:uid="{F45B134B-8842-4364-B517-BFB2FA9354B7}"/>
    <cellStyle name="Normal 8 2 2 3 4 4 2 2" xfId="28711" xr:uid="{87169EDC-4C99-48F0-B497-578AFA167108}"/>
    <cellStyle name="Normal 8 2 2 3 4 4 2 3" xfId="45470" xr:uid="{3EF5576C-AFF9-428C-9BD7-04A022442866}"/>
    <cellStyle name="Normal 8 2 2 3 4 4 3" xfId="20331" xr:uid="{A62B476B-E5C1-44A7-B0FB-33F758964590}"/>
    <cellStyle name="Normal 8 2 2 3 4 4 4" xfId="37090" xr:uid="{DDA84851-41BF-437D-86DB-99CE9726D63F}"/>
    <cellStyle name="Normal 8 2 2 3 4 5" xfId="10261" xr:uid="{D41AB40D-1008-4DC7-B234-73B3E4D8F531}"/>
    <cellStyle name="Normal 8 2 2 3 4 5 2" xfId="27021" xr:uid="{07B3833D-CFD9-48CE-B83B-106B9C2B364E}"/>
    <cellStyle name="Normal 8 2 2 3 4 5 3" xfId="43780" xr:uid="{30822D67-6DBF-47FC-A5D7-2AA317E18AD5}"/>
    <cellStyle name="Normal 8 2 2 3 4 6" xfId="18641" xr:uid="{BB92C90C-7304-47D2-AFE4-9EC198E6FFE2}"/>
    <cellStyle name="Normal 8 2 2 3 4 7" xfId="35400" xr:uid="{17753CE4-4CBD-49A2-A5B7-E93300410600}"/>
    <cellStyle name="Normal 8 2 2 3 5" xfId="3991" xr:uid="{9C6BE58C-6F7D-4C04-B4F3-80176706F100}"/>
    <cellStyle name="Normal 8 2 2 3 5 2" xfId="12371" xr:uid="{7BFBB9B7-310A-4F2C-A843-8A426E19CA02}"/>
    <cellStyle name="Normal 8 2 2 3 5 2 2" xfId="29131" xr:uid="{2F95F761-8FCE-47A3-A2C6-97368BC3159D}"/>
    <cellStyle name="Normal 8 2 2 3 5 2 3" xfId="45890" xr:uid="{6B8FF5B9-BBF6-4963-AA35-9C9245D7116E}"/>
    <cellStyle name="Normal 8 2 2 3 5 3" xfId="20751" xr:uid="{1FC8835D-5892-4754-B4E0-B8ED4B7E237D}"/>
    <cellStyle name="Normal 8 2 2 3 5 4" xfId="37510" xr:uid="{7B0BEA92-B760-4BF8-8230-E036DD16F429}"/>
    <cellStyle name="Normal 8 2 2 3 6" xfId="5791" xr:uid="{65A573CA-F162-43BC-8A33-62C10D50B796}"/>
    <cellStyle name="Normal 8 2 2 3 6 2" xfId="14171" xr:uid="{955F326B-942C-4846-8604-07CDC52BC5E7}"/>
    <cellStyle name="Normal 8 2 2 3 6 2 2" xfId="30931" xr:uid="{BD2228CC-0E53-4DD6-828E-907D8785F07D}"/>
    <cellStyle name="Normal 8 2 2 3 6 2 3" xfId="47690" xr:uid="{DC1DC1E7-16DB-42FD-AFA3-387BF410E99B}"/>
    <cellStyle name="Normal 8 2 2 3 6 3" xfId="22551" xr:uid="{3848A524-DCA9-48F9-B1D8-A7B396D3F1C4}"/>
    <cellStyle name="Normal 8 2 2 3 6 4" xfId="39310" xr:uid="{E3C432D7-98D6-4828-8215-D9904F137615}"/>
    <cellStyle name="Normal 8 2 2 3 7" xfId="7354" xr:uid="{B00DE004-0C85-4266-B684-8A5F2A7A9D26}"/>
    <cellStyle name="Normal 8 2 2 3 7 2" xfId="15734" xr:uid="{36142608-4364-409F-B48E-0FE0F2C0BCDE}"/>
    <cellStyle name="Normal 8 2 2 3 7 2 2" xfId="32494" xr:uid="{EC133D6B-2A34-465A-89AC-92DBFD02E25F}"/>
    <cellStyle name="Normal 8 2 2 3 7 2 3" xfId="49253" xr:uid="{7752ADEB-4F38-45FB-B323-53C941FFB0E0}"/>
    <cellStyle name="Normal 8 2 2 3 7 3" xfId="24114" xr:uid="{038D60DF-7532-4D6E-BB40-2F0616CB34A9}"/>
    <cellStyle name="Normal 8 2 2 3 7 4" xfId="40873" xr:uid="{F37619CD-3458-4643-96A0-91A82D38D9FC}"/>
    <cellStyle name="Normal 8 2 2 3 8" xfId="7760" xr:uid="{ABDDF1C7-CDC8-431F-BE77-D01625E0AA51}"/>
    <cellStyle name="Normal 8 2 2 3 8 2" xfId="16140" xr:uid="{254D1BFC-461D-4846-B91B-D4954EEC084A}"/>
    <cellStyle name="Normal 8 2 2 3 8 2 2" xfId="32900" xr:uid="{AEAAE49D-F3FF-4C19-8BC3-D3EB3B00BCEA}"/>
    <cellStyle name="Normal 8 2 2 3 8 2 3" xfId="49659" xr:uid="{C1306704-3244-4B29-A7F9-33150A03E954}"/>
    <cellStyle name="Normal 8 2 2 3 8 3" xfId="24520" xr:uid="{C900058A-D159-4D91-BC96-7DB9E2352565}"/>
    <cellStyle name="Normal 8 2 2 3 8 4" xfId="41279" xr:uid="{EA910AE1-9A37-4C1A-B5ED-DACC8CB4394C}"/>
    <cellStyle name="Normal 8 2 2 3 9" xfId="8166" xr:uid="{93926CCC-000E-43DB-AB49-0A112B23215A}"/>
    <cellStyle name="Normal 8 2 2 3 9 2" xfId="16546" xr:uid="{858F4007-4CE2-421E-AA04-2B75AC39E718}"/>
    <cellStyle name="Normal 8 2 2 3 9 2 2" xfId="33306" xr:uid="{40BC5F93-E19F-46FD-A720-BDEB93319137}"/>
    <cellStyle name="Normal 8 2 2 3 9 2 3" xfId="50065" xr:uid="{F43BB516-5269-4C34-BB1C-FC57B9DB9026}"/>
    <cellStyle name="Normal 8 2 2 3 9 3" xfId="24926" xr:uid="{9BAB3377-4557-4558-AF41-F25F27D3451D}"/>
    <cellStyle name="Normal 8 2 2 3 9 4" xfId="41685" xr:uid="{A6AFC9B6-5365-4AF1-B93A-796639AFC86E}"/>
    <cellStyle name="Normal 8 2 2 4" xfId="697" xr:uid="{BB01A3E2-08EC-40AA-B1BF-E13630A878EB}"/>
    <cellStyle name="Normal 8 2 2 4 10" xfId="8674" xr:uid="{25520B6A-F379-4042-A143-DE6DB69C0277}"/>
    <cellStyle name="Normal 8 2 2 4 10 2" xfId="17054" xr:uid="{14E0C8FE-23F4-4D07-9FDE-E1DCC494831E}"/>
    <cellStyle name="Normal 8 2 2 4 10 2 2" xfId="33814" xr:uid="{A6B5DEFB-E7EC-4E90-A9C6-BB1C8188EC6D}"/>
    <cellStyle name="Normal 8 2 2 4 10 2 3" xfId="50573" xr:uid="{88AF7446-602D-458F-8D10-D3C3FAD2D1C8}"/>
    <cellStyle name="Normal 8 2 2 4 10 3" xfId="25434" xr:uid="{6B6DA1F4-ACA7-44DF-A4CE-FC6E22EFC065}"/>
    <cellStyle name="Normal 8 2 2 4 10 4" xfId="42193" xr:uid="{E7F2AA79-0192-44AB-A300-AC37C408F827}"/>
    <cellStyle name="Normal 8 2 2 4 11" xfId="2526" xr:uid="{CF7B7E34-E3C9-4A37-A417-FA941BE00D14}"/>
    <cellStyle name="Normal 8 2 2 4 11 2" xfId="10908" xr:uid="{4C91F351-8782-4CBD-B046-13B2D9C028C9}"/>
    <cellStyle name="Normal 8 2 2 4 11 2 2" xfId="27668" xr:uid="{C450033C-8436-4BB4-A5C3-918132E9F8CE}"/>
    <cellStyle name="Normal 8 2 2 4 11 2 3" xfId="44427" xr:uid="{1E51ABA5-F465-4B9E-B1A3-8F105D39A9F9}"/>
    <cellStyle name="Normal 8 2 2 4 11 3" xfId="19288" xr:uid="{E6AC60BC-77E3-445A-ABC0-38719288E629}"/>
    <cellStyle name="Normal 8 2 2 4 11 4" xfId="36047" xr:uid="{D6292942-7582-4375-8DDD-182DFF1FE2C9}"/>
    <cellStyle name="Normal 8 2 2 4 12" xfId="9105" xr:uid="{B486F58F-F8AB-442E-B517-245D600DCDD6}"/>
    <cellStyle name="Normal 8 2 2 4 12 2" xfId="25865" xr:uid="{83B3144D-8B0F-48C0-95C1-33001864EBC9}"/>
    <cellStyle name="Normal 8 2 2 4 12 3" xfId="42624" xr:uid="{29F40F01-51C2-4370-9333-0B8FC98D0F70}"/>
    <cellStyle name="Normal 8 2 2 4 13" xfId="17485" xr:uid="{3C168388-8559-4BCE-9D1D-8A70695D7F19}"/>
    <cellStyle name="Normal 8 2 2 4 14" xfId="34244" xr:uid="{81148644-10F6-41E5-97DF-4939AC445E1A}"/>
    <cellStyle name="Normal 8 2 2 4 2" xfId="1136" xr:uid="{B0713371-80D3-4396-943F-3CB020AE7F26}"/>
    <cellStyle name="Normal 8 2 2 4 2 2" xfId="4531" xr:uid="{201E1D10-E349-48BB-BEE6-2B3751F5604D}"/>
    <cellStyle name="Normal 8 2 2 4 2 2 2" xfId="12911" xr:uid="{7EC9D21A-0D06-4466-9682-E3BF018189A8}"/>
    <cellStyle name="Normal 8 2 2 4 2 2 2 2" xfId="29671" xr:uid="{E7DA00DC-AD62-4415-BCB5-0F0554479DB7}"/>
    <cellStyle name="Normal 8 2 2 4 2 2 2 3" xfId="46430" xr:uid="{C073A03F-614B-4AAC-91C2-0E2A4BF2FC2D}"/>
    <cellStyle name="Normal 8 2 2 4 2 2 3" xfId="21291" xr:uid="{39C181A5-1C91-48B1-B30E-F056ABAF5847}"/>
    <cellStyle name="Normal 8 2 2 4 2 2 4" xfId="38050" xr:uid="{C170DD79-9E76-4840-A97F-DFC44EF4925E}"/>
    <cellStyle name="Normal 8 2 2 4 2 3" xfId="6218" xr:uid="{6820AE8E-0C56-4FBC-B7EB-63E4E8F0EAE6}"/>
    <cellStyle name="Normal 8 2 2 4 2 3 2" xfId="14598" xr:uid="{771AC3B2-862D-47E4-AAF8-F4913A375A12}"/>
    <cellStyle name="Normal 8 2 2 4 2 3 2 2" xfId="31358" xr:uid="{87127DF3-B909-400F-8A5B-1EB2C2E40919}"/>
    <cellStyle name="Normal 8 2 2 4 2 3 2 3" xfId="48117" xr:uid="{5C039670-04A3-4EF9-B75D-22EBFD9F042D}"/>
    <cellStyle name="Normal 8 2 2 4 2 3 3" xfId="22978" xr:uid="{C1EC7BDA-16A0-4AF5-BCC0-D0EA510A5556}"/>
    <cellStyle name="Normal 8 2 2 4 2 3 4" xfId="39737" xr:uid="{2F87BFAF-D2E0-460F-A33A-65E0D7DD2820}"/>
    <cellStyle name="Normal 8 2 2 4 2 4" xfId="2954" xr:uid="{E7C91D7F-DF91-44DD-A579-952F6466DB22}"/>
    <cellStyle name="Normal 8 2 2 4 2 4 2" xfId="11334" xr:uid="{65F8CB8D-4C9D-4339-BDB7-0C1052ED03A5}"/>
    <cellStyle name="Normal 8 2 2 4 2 4 2 2" xfId="28094" xr:uid="{E5E44E0B-3475-4959-B4CC-3FDFC9A4DCE8}"/>
    <cellStyle name="Normal 8 2 2 4 2 4 2 3" xfId="44853" xr:uid="{45CBACE0-BD85-42FF-B742-DEA5F06CA388}"/>
    <cellStyle name="Normal 8 2 2 4 2 4 3" xfId="19714" xr:uid="{68133EBC-693C-4B5E-B45E-C4A4DA2815C8}"/>
    <cellStyle name="Normal 8 2 2 4 2 4 4" xfId="36473" xr:uid="{F9B44B5A-8C78-454A-8099-CFB7F721211D}"/>
    <cellStyle name="Normal 8 2 2 4 2 5" xfId="9531" xr:uid="{A06ED40F-9FE3-4C70-A4B5-295D815C0881}"/>
    <cellStyle name="Normal 8 2 2 4 2 5 2" xfId="26291" xr:uid="{38D01FEB-C77C-4D27-9E1A-676C524F0E24}"/>
    <cellStyle name="Normal 8 2 2 4 2 5 3" xfId="43050" xr:uid="{55D2A25D-5074-40A9-8746-D0AEB4B3B3D4}"/>
    <cellStyle name="Normal 8 2 2 4 2 6" xfId="17911" xr:uid="{8E06173B-D953-430D-987E-CAC91F31CA4A}"/>
    <cellStyle name="Normal 8 2 2 4 2 7" xfId="34670" xr:uid="{3D269B08-E6D7-4955-A3A3-FA26D4083865}"/>
    <cellStyle name="Normal 8 2 2 4 3" xfId="1570" xr:uid="{838C1F14-A746-494F-8188-61CDBC5CE48D}"/>
    <cellStyle name="Normal 8 2 2 4 3 2" xfId="4959" xr:uid="{B868BCF4-959C-4D00-9DD3-6C22EBAA55EF}"/>
    <cellStyle name="Normal 8 2 2 4 3 2 2" xfId="13339" xr:uid="{8B581057-4914-4092-8560-C209910537C7}"/>
    <cellStyle name="Normal 8 2 2 4 3 2 2 2" xfId="30099" xr:uid="{1BF30606-D3FC-4FEA-9CF3-C74595A67317}"/>
    <cellStyle name="Normal 8 2 2 4 3 2 2 3" xfId="46858" xr:uid="{A5A3D5D3-B2CC-4292-AFD3-D50861FD9B60}"/>
    <cellStyle name="Normal 8 2 2 4 3 2 3" xfId="21719" xr:uid="{090DF59F-9B81-44FF-9E43-75E7370E1B81}"/>
    <cellStyle name="Normal 8 2 2 4 3 2 4" xfId="38478" xr:uid="{849AEE0B-038E-49DA-9A94-70D5A07BF79B}"/>
    <cellStyle name="Normal 8 2 2 4 3 3" xfId="6646" xr:uid="{8BDF7762-AB3A-4621-A928-9A955C26E62F}"/>
    <cellStyle name="Normal 8 2 2 4 3 3 2" xfId="15026" xr:uid="{EB6760FE-8E5A-433B-9B30-135AA0BA8ADC}"/>
    <cellStyle name="Normal 8 2 2 4 3 3 2 2" xfId="31786" xr:uid="{7D2BAB92-4D13-4197-A1BB-F2315BCC464C}"/>
    <cellStyle name="Normal 8 2 2 4 3 3 2 3" xfId="48545" xr:uid="{92F9A4A8-A69F-4E43-BD23-ED026EFFDBE9}"/>
    <cellStyle name="Normal 8 2 2 4 3 3 3" xfId="23406" xr:uid="{B214E97E-D70B-46C1-A833-73D6C0CCA13F}"/>
    <cellStyle name="Normal 8 2 2 4 3 3 4" xfId="40165" xr:uid="{150AD219-266E-43D6-8A18-29600BFF0A88}"/>
    <cellStyle name="Normal 8 2 2 4 3 4" xfId="3382" xr:uid="{4ADB3B05-80E4-49FC-B653-4A3C1D6DDA7B}"/>
    <cellStyle name="Normal 8 2 2 4 3 4 2" xfId="11762" xr:uid="{BDCFC50D-B661-4893-A445-15304911B15E}"/>
    <cellStyle name="Normal 8 2 2 4 3 4 2 2" xfId="28522" xr:uid="{6CEFD02F-120A-4361-8009-36A2906D8642}"/>
    <cellStyle name="Normal 8 2 2 4 3 4 2 3" xfId="45281" xr:uid="{2999B8ED-2BED-4E96-A69E-A310691A1D25}"/>
    <cellStyle name="Normal 8 2 2 4 3 4 3" xfId="20142" xr:uid="{24C3630F-503B-4E75-8D29-55732E227AAC}"/>
    <cellStyle name="Normal 8 2 2 4 3 4 4" xfId="36901" xr:uid="{E06FFA3E-5C95-45D3-9311-F4F8663079ED}"/>
    <cellStyle name="Normal 8 2 2 4 3 5" xfId="9959" xr:uid="{D7466DFA-7978-4DFA-B566-CF9D5594C3F3}"/>
    <cellStyle name="Normal 8 2 2 4 3 5 2" xfId="26719" xr:uid="{98905815-DEFA-439F-B4F9-C6C66E630165}"/>
    <cellStyle name="Normal 8 2 2 4 3 5 3" xfId="43478" xr:uid="{97E95BF2-20B6-402B-AAAD-6AEBBE3959B3}"/>
    <cellStyle name="Normal 8 2 2 4 3 6" xfId="18339" xr:uid="{2DB22482-A4E6-43BF-8E9C-C3D7CC0DBCFD}"/>
    <cellStyle name="Normal 8 2 2 4 3 7" xfId="35098" xr:uid="{8CE8DC08-A700-47BF-9A15-02A8B6C9871C}"/>
    <cellStyle name="Normal 8 2 2 4 4" xfId="1974" xr:uid="{926A33CE-064A-4BA3-B484-4D8CF3A70EF9}"/>
    <cellStyle name="Normal 8 2 2 4 4 2" xfId="5363" xr:uid="{FD3B5021-60FC-4943-9B50-11110199B090}"/>
    <cellStyle name="Normal 8 2 2 4 4 2 2" xfId="13743" xr:uid="{36D80C9D-9C54-46D3-89C8-34E0866D91B9}"/>
    <cellStyle name="Normal 8 2 2 4 4 2 2 2" xfId="30503" xr:uid="{98BB0637-7532-4D6A-A169-61A8D8D60C0F}"/>
    <cellStyle name="Normal 8 2 2 4 4 2 2 3" xfId="47262" xr:uid="{C2AED772-5C3F-44D7-8A20-519400C0E9B7}"/>
    <cellStyle name="Normal 8 2 2 4 4 2 3" xfId="22123" xr:uid="{0F697187-D42E-4C6A-9FF8-11FDC6CFAAB3}"/>
    <cellStyle name="Normal 8 2 2 4 4 2 4" xfId="38882" xr:uid="{9EB9F87A-F180-402C-A383-58F5663B17E5}"/>
    <cellStyle name="Normal 8 2 2 4 4 3" xfId="7050" xr:uid="{0D27B70A-199D-4C66-A6ED-2EFEBC592F66}"/>
    <cellStyle name="Normal 8 2 2 4 4 3 2" xfId="15430" xr:uid="{68A1E4E3-785D-4365-A069-A45337813A8B}"/>
    <cellStyle name="Normal 8 2 2 4 4 3 2 2" xfId="32190" xr:uid="{31DFC62A-0A8C-4A34-8ED3-50C67080BCAE}"/>
    <cellStyle name="Normal 8 2 2 4 4 3 2 3" xfId="48949" xr:uid="{852B7639-31B8-469E-97AD-DC0E7685F669}"/>
    <cellStyle name="Normal 8 2 2 4 4 3 3" xfId="23810" xr:uid="{F1654642-F043-4CBF-8531-A7AA5B0C0959}"/>
    <cellStyle name="Normal 8 2 2 4 4 3 4" xfId="40569" xr:uid="{067889BA-969D-4552-BEB0-300CBAC53B44}"/>
    <cellStyle name="Normal 8 2 2 4 4 4" xfId="3673" xr:uid="{8B5846AA-E7F8-4D09-9328-5C74130CB935}"/>
    <cellStyle name="Normal 8 2 2 4 4 4 2" xfId="12053" xr:uid="{963FCE5A-8F3A-4178-9D24-DA5E40C0763B}"/>
    <cellStyle name="Normal 8 2 2 4 4 4 2 2" xfId="28813" xr:uid="{67D3AA75-2361-430E-8FA0-53EE1D318FF4}"/>
    <cellStyle name="Normal 8 2 2 4 4 4 2 3" xfId="45572" xr:uid="{8062CA3E-ED92-476A-A67A-CA55D2BFC5C4}"/>
    <cellStyle name="Normal 8 2 2 4 4 4 3" xfId="20433" xr:uid="{2E744860-6C48-419A-BA89-D69CF3C55925}"/>
    <cellStyle name="Normal 8 2 2 4 4 4 4" xfId="37192" xr:uid="{41F0D41E-167F-4FF0-9AA2-9FF3F69E24CE}"/>
    <cellStyle name="Normal 8 2 2 4 4 5" xfId="10363" xr:uid="{2053A6BF-57DE-4CAD-AEC2-97F15D4316AE}"/>
    <cellStyle name="Normal 8 2 2 4 4 5 2" xfId="27123" xr:uid="{CA93C144-95A3-4DA4-9EE7-952D735F3349}"/>
    <cellStyle name="Normal 8 2 2 4 4 5 3" xfId="43882" xr:uid="{0EBABC7E-A997-4219-B406-30DE24633C41}"/>
    <cellStyle name="Normal 8 2 2 4 4 6" xfId="18743" xr:uid="{593F8563-E980-4EE2-BA98-607FAEFBD4EE}"/>
    <cellStyle name="Normal 8 2 2 4 4 7" xfId="35502" xr:uid="{78F16F06-96D2-4DC5-94C0-87CBBD1090FB}"/>
    <cellStyle name="Normal 8 2 2 4 5" xfId="4093" xr:uid="{918D85B4-5C73-4070-955C-1EB6617B06E8}"/>
    <cellStyle name="Normal 8 2 2 4 5 2" xfId="12473" xr:uid="{B20E9595-B4DF-4763-9ADE-A628D65ED5D9}"/>
    <cellStyle name="Normal 8 2 2 4 5 2 2" xfId="29233" xr:uid="{095403AF-7708-4E5A-BFCB-42F552A050C0}"/>
    <cellStyle name="Normal 8 2 2 4 5 2 3" xfId="45992" xr:uid="{E21EC088-0BA3-4B50-8987-FE9A2D56A0DD}"/>
    <cellStyle name="Normal 8 2 2 4 5 3" xfId="20853" xr:uid="{32CD99C9-963A-408E-816F-8DC0620D6EF2}"/>
    <cellStyle name="Normal 8 2 2 4 5 4" xfId="37612" xr:uid="{87064950-C9E9-4A20-BB89-E890F8FEB261}"/>
    <cellStyle name="Normal 8 2 2 4 6" xfId="5792" xr:uid="{596DF28D-79DD-479F-A800-E4CFEAB123FC}"/>
    <cellStyle name="Normal 8 2 2 4 6 2" xfId="14172" xr:uid="{36F7F54B-C752-4ECD-A711-CC8F2A8B15C8}"/>
    <cellStyle name="Normal 8 2 2 4 6 2 2" xfId="30932" xr:uid="{5559CB97-9060-4370-822D-90FB94FA6B32}"/>
    <cellStyle name="Normal 8 2 2 4 6 2 3" xfId="47691" xr:uid="{D8EB1437-60FA-4D6B-9D30-22A1FCBEBED6}"/>
    <cellStyle name="Normal 8 2 2 4 6 3" xfId="22552" xr:uid="{02B1171B-82D0-4119-BC20-F109C9F98AD1}"/>
    <cellStyle name="Normal 8 2 2 4 6 4" xfId="39311" xr:uid="{C1456DDC-4EC6-46F3-ABD3-4EFF28F925B5}"/>
    <cellStyle name="Normal 8 2 2 4 7" xfId="7456" xr:uid="{197449AB-B58E-41CE-AC9C-45FAAAAA3E67}"/>
    <cellStyle name="Normal 8 2 2 4 7 2" xfId="15836" xr:uid="{519A3AF0-E7FF-4545-BFFE-78DD5C1215C1}"/>
    <cellStyle name="Normal 8 2 2 4 7 2 2" xfId="32596" xr:uid="{B5FDE656-6503-40BB-B09F-3B02D2457D83}"/>
    <cellStyle name="Normal 8 2 2 4 7 2 3" xfId="49355" xr:uid="{99A73A91-77BD-44DE-BF71-FBED7339BF51}"/>
    <cellStyle name="Normal 8 2 2 4 7 3" xfId="24216" xr:uid="{23834B2B-7086-45F5-A5C9-94AA06F1D66E}"/>
    <cellStyle name="Normal 8 2 2 4 7 4" xfId="40975" xr:uid="{E5C90909-3C4B-427C-86BF-5B4757BB7258}"/>
    <cellStyle name="Normal 8 2 2 4 8" xfId="7862" xr:uid="{C8A7D8AA-EB56-4B51-BCB3-D6E097376483}"/>
    <cellStyle name="Normal 8 2 2 4 8 2" xfId="16242" xr:uid="{6B39423B-0055-458F-939B-C496B18FA864}"/>
    <cellStyle name="Normal 8 2 2 4 8 2 2" xfId="33002" xr:uid="{0DA3FD2F-9CBD-4E58-9179-DCE6674941C0}"/>
    <cellStyle name="Normal 8 2 2 4 8 2 3" xfId="49761" xr:uid="{8C646454-A3BF-45F2-BCF6-637567F3EDEA}"/>
    <cellStyle name="Normal 8 2 2 4 8 3" xfId="24622" xr:uid="{1AD05BEE-3D19-4086-8897-7D65C21FCB7E}"/>
    <cellStyle name="Normal 8 2 2 4 8 4" xfId="41381" xr:uid="{18D63C83-E8B5-43BB-8139-C13B524BC43C}"/>
    <cellStyle name="Normal 8 2 2 4 9" xfId="8268" xr:uid="{62B7DC59-99A4-47CC-A53C-3F4A49B4B5DB}"/>
    <cellStyle name="Normal 8 2 2 4 9 2" xfId="16648" xr:uid="{699B4001-31E7-4F80-96A1-575620430C0F}"/>
    <cellStyle name="Normal 8 2 2 4 9 2 2" xfId="33408" xr:uid="{772157E4-60BD-4CF7-A729-81F971293EF4}"/>
    <cellStyle name="Normal 8 2 2 4 9 2 3" xfId="50167" xr:uid="{AA5E8AEB-4ED3-490D-BE63-CF2B28851C29}"/>
    <cellStyle name="Normal 8 2 2 4 9 3" xfId="25028" xr:uid="{A256A7AF-E731-4165-A047-3727D36C53A2}"/>
    <cellStyle name="Normal 8 2 2 4 9 4" xfId="41787" xr:uid="{A8F953B4-7C86-4FDA-9E2F-7E23A725EFA5}"/>
    <cellStyle name="Normal 8 2 2 5" xfId="803" xr:uid="{0FCA4258-0889-4A85-AEBD-9ABE6C66F5BA}"/>
    <cellStyle name="Normal 8 2 2 5 2" xfId="4198" xr:uid="{1D663D48-9749-43E7-904C-198B85E3E4CA}"/>
    <cellStyle name="Normal 8 2 2 5 2 2" xfId="12578" xr:uid="{E5E04715-8A32-4D2A-BBCE-E89D0108A0E1}"/>
    <cellStyle name="Normal 8 2 2 5 2 2 2" xfId="29338" xr:uid="{595AD1CF-5176-441C-93AB-D4B56C9FCEB1}"/>
    <cellStyle name="Normal 8 2 2 5 2 2 3" xfId="46097" xr:uid="{A6C96214-DBFF-4A4C-955B-548C04EFEB1A}"/>
    <cellStyle name="Normal 8 2 2 5 2 3" xfId="20958" xr:uid="{0BDD80B1-FA3F-4E54-B337-8D7E1B85AA40}"/>
    <cellStyle name="Normal 8 2 2 5 2 4" xfId="37717" xr:uid="{1E9F3868-948E-450E-B6A0-CD481B0A5F2F}"/>
    <cellStyle name="Normal 8 2 2 5 3" xfId="5885" xr:uid="{3EFD8CE0-24EE-4F21-9F07-50D68B138F08}"/>
    <cellStyle name="Normal 8 2 2 5 3 2" xfId="14265" xr:uid="{901CBD95-F173-4AE0-9542-CA1114FBA70A}"/>
    <cellStyle name="Normal 8 2 2 5 3 2 2" xfId="31025" xr:uid="{16F4DF9E-377A-496B-A297-42FA7484C689}"/>
    <cellStyle name="Normal 8 2 2 5 3 2 3" xfId="47784" xr:uid="{7263C036-9416-4525-87A8-E71FDECFCC53}"/>
    <cellStyle name="Normal 8 2 2 5 3 3" xfId="22645" xr:uid="{69A57473-5E30-45FE-8A3C-99A4F9EB8283}"/>
    <cellStyle name="Normal 8 2 2 5 3 4" xfId="39404" xr:uid="{6D8CD74A-DC9D-47E7-93E2-86DAC6AA4B25}"/>
    <cellStyle name="Normal 8 2 2 5 4" xfId="2621" xr:uid="{9F0743D0-DCDE-4CD1-93A5-569B4207C17D}"/>
    <cellStyle name="Normal 8 2 2 5 4 2" xfId="11001" xr:uid="{4610C74F-12F9-4D05-9593-CE551EFEF87E}"/>
    <cellStyle name="Normal 8 2 2 5 4 2 2" xfId="27761" xr:uid="{B92A03D7-3589-4976-91BE-E6CEB1D71A80}"/>
    <cellStyle name="Normal 8 2 2 5 4 2 3" xfId="44520" xr:uid="{D3F95075-4DFA-4F12-AF91-90F73DB1ADAD}"/>
    <cellStyle name="Normal 8 2 2 5 4 3" xfId="19381" xr:uid="{8D1F596E-3514-41BC-A2DA-D90B2F92A9DE}"/>
    <cellStyle name="Normal 8 2 2 5 4 4" xfId="36140" xr:uid="{F592B7B5-6298-4295-92C1-FCD5B7D7A92D}"/>
    <cellStyle name="Normal 8 2 2 5 5" xfId="9198" xr:uid="{E0F7ADBE-99E9-4A41-B11F-0C2C4E6963DC}"/>
    <cellStyle name="Normal 8 2 2 5 5 2" xfId="25958" xr:uid="{C4A76C87-87B9-4FDA-9A35-898C2E0B6C02}"/>
    <cellStyle name="Normal 8 2 2 5 5 3" xfId="42717" xr:uid="{A618E3B1-DA01-442D-812A-87B4C7D64964}"/>
    <cellStyle name="Normal 8 2 2 5 6" xfId="17578" xr:uid="{EACBE83A-3B21-40B6-BCA1-36FC9E4AD00A}"/>
    <cellStyle name="Normal 8 2 2 5 7" xfId="34337" xr:uid="{BA1FB322-1E5A-470D-A402-36F4349C32D6}"/>
    <cellStyle name="Normal 8 2 2 6" xfId="1237" xr:uid="{F5E19C3E-A099-4F6F-95B5-FD2F543F3A94}"/>
    <cellStyle name="Normal 8 2 2 6 2" xfId="4626" xr:uid="{908C2A8B-8A7E-4157-80E7-6EFA28228F4F}"/>
    <cellStyle name="Normal 8 2 2 6 2 2" xfId="13006" xr:uid="{58F4F481-2749-45BC-96F2-542979390F14}"/>
    <cellStyle name="Normal 8 2 2 6 2 2 2" xfId="29766" xr:uid="{4547D950-F254-4BFF-8121-949F215AF40D}"/>
    <cellStyle name="Normal 8 2 2 6 2 2 3" xfId="46525" xr:uid="{42990A7B-4D1D-43E5-9FEF-B1D8BFEEBBA9}"/>
    <cellStyle name="Normal 8 2 2 6 2 3" xfId="21386" xr:uid="{37C4B510-65C5-49C2-BC71-7C7DF7A6EA42}"/>
    <cellStyle name="Normal 8 2 2 6 2 4" xfId="38145" xr:uid="{24B79B28-3ED0-4A18-98F9-38044EE79176}"/>
    <cellStyle name="Normal 8 2 2 6 3" xfId="6313" xr:uid="{60968391-46B7-487E-85B6-DB5C8703D426}"/>
    <cellStyle name="Normal 8 2 2 6 3 2" xfId="14693" xr:uid="{C2D4C2A1-FDC7-431F-8919-5B360EE83B10}"/>
    <cellStyle name="Normal 8 2 2 6 3 2 2" xfId="31453" xr:uid="{60C55C12-FB72-4E33-AD02-36F7D2730598}"/>
    <cellStyle name="Normal 8 2 2 6 3 2 3" xfId="48212" xr:uid="{B2390D59-1043-454D-9926-E039302221F7}"/>
    <cellStyle name="Normal 8 2 2 6 3 3" xfId="23073" xr:uid="{135FC7CC-D7C3-4AF2-A9DF-66BEF471F5C2}"/>
    <cellStyle name="Normal 8 2 2 6 3 4" xfId="39832" xr:uid="{60AB4673-9B85-4BE1-987B-B6D13F1E86C6}"/>
    <cellStyle name="Normal 8 2 2 6 4" xfId="3049" xr:uid="{DD9B201B-5751-4A22-BCAB-E2DF3788119A}"/>
    <cellStyle name="Normal 8 2 2 6 4 2" xfId="11429" xr:uid="{58336D6B-B66F-4975-B4EC-0232354840FD}"/>
    <cellStyle name="Normal 8 2 2 6 4 2 2" xfId="28189" xr:uid="{DF523E5F-8466-4EF9-A3F5-A592C191CA52}"/>
    <cellStyle name="Normal 8 2 2 6 4 2 3" xfId="44948" xr:uid="{FC56BB98-D3F0-4185-B257-98790563C26E}"/>
    <cellStyle name="Normal 8 2 2 6 4 3" xfId="19809" xr:uid="{2186FB1D-21BD-44C7-9B9E-953F1F95E69D}"/>
    <cellStyle name="Normal 8 2 2 6 4 4" xfId="36568" xr:uid="{582E0498-360F-49C4-9621-A4D48C49978B}"/>
    <cellStyle name="Normal 8 2 2 6 5" xfId="9626" xr:uid="{65DC1649-AEC4-48B1-865B-09B76FCEEF73}"/>
    <cellStyle name="Normal 8 2 2 6 5 2" xfId="26386" xr:uid="{2081BA6E-C9CA-4F47-B312-12B16E9F977C}"/>
    <cellStyle name="Normal 8 2 2 6 5 3" xfId="43145" xr:uid="{8CFF2D87-7D4C-4413-893B-5502C373E851}"/>
    <cellStyle name="Normal 8 2 2 6 6" xfId="18006" xr:uid="{DBC1752C-73EA-43C4-9B5A-CA85546C71BD}"/>
    <cellStyle name="Normal 8 2 2 6 7" xfId="34765" xr:uid="{1F6DB48C-2B9C-4A6D-8BF7-7DB788E88233}"/>
    <cellStyle name="Normal 8 2 2 7" xfId="1703" xr:uid="{5CAA0B14-5453-4E7A-AC8A-02B9FDDA0D62}"/>
    <cellStyle name="Normal 8 2 2 7 2" xfId="5092" xr:uid="{BF9FE8F4-5633-4D1E-81CB-F7B1BFA286E5}"/>
    <cellStyle name="Normal 8 2 2 7 2 2" xfId="13472" xr:uid="{98420367-B31E-483E-BD9E-1A65FEACB40B}"/>
    <cellStyle name="Normal 8 2 2 7 2 2 2" xfId="30232" xr:uid="{0526F031-2798-4918-9E25-FE15D5849BFF}"/>
    <cellStyle name="Normal 8 2 2 7 2 2 3" xfId="46991" xr:uid="{26A22616-0B28-4C89-B5CA-9EAE10D03D20}"/>
    <cellStyle name="Normal 8 2 2 7 2 3" xfId="21852" xr:uid="{B321819A-B779-4510-A568-27223CEFFF27}"/>
    <cellStyle name="Normal 8 2 2 7 2 4" xfId="38611" xr:uid="{4C26F20A-6A3D-477B-8E6A-1FFFE6A99013}"/>
    <cellStyle name="Normal 8 2 2 7 3" xfId="6779" xr:uid="{2E43DD41-4C09-4D5E-A662-9F13D57B3972}"/>
    <cellStyle name="Normal 8 2 2 7 3 2" xfId="15159" xr:uid="{2F2E533D-843D-417D-8C30-4C503749D67C}"/>
    <cellStyle name="Normal 8 2 2 7 3 2 2" xfId="31919" xr:uid="{EAD02DE9-B137-4739-A6E2-68EAC2507CCE}"/>
    <cellStyle name="Normal 8 2 2 7 3 2 3" xfId="48678" xr:uid="{18A14561-8857-43E9-A7EB-77EFA74AAFF5}"/>
    <cellStyle name="Normal 8 2 2 7 3 3" xfId="23539" xr:uid="{C6B9E505-9AD9-4A40-963C-0005E9315226}"/>
    <cellStyle name="Normal 8 2 2 7 3 4" xfId="40298" xr:uid="{6D332210-796D-4322-84A0-5C9FF366C15C}"/>
    <cellStyle name="Normal 8 2 2 7 4" xfId="2188" xr:uid="{C9875971-DCBB-4223-B021-5BBE03A91A3D}"/>
    <cellStyle name="Normal 8 2 2 7 4 2" xfId="10575" xr:uid="{7F4A6250-05A8-47EA-9D76-AC1C18B59E66}"/>
    <cellStyle name="Normal 8 2 2 7 4 2 2" xfId="27335" xr:uid="{03C8A48A-CC5F-40B1-B478-7BEEBC763411}"/>
    <cellStyle name="Normal 8 2 2 7 4 2 3" xfId="44094" xr:uid="{114E2434-4C67-4CA0-B4E9-A8D067C45F86}"/>
    <cellStyle name="Normal 8 2 2 7 4 3" xfId="18955" xr:uid="{8CDF8341-E9CD-4417-B7D4-E0776FDD51C9}"/>
    <cellStyle name="Normal 8 2 2 7 4 4" xfId="35714" xr:uid="{2D583DAF-9AE9-4C87-88F4-E8E090F64605}"/>
    <cellStyle name="Normal 8 2 2 7 5" xfId="10092" xr:uid="{E727BB91-A21D-4694-90D9-963B010F536F}"/>
    <cellStyle name="Normal 8 2 2 7 5 2" xfId="26852" xr:uid="{0B0AA129-E14B-44DA-8AB2-1A3AF3910E98}"/>
    <cellStyle name="Normal 8 2 2 7 5 3" xfId="43611" xr:uid="{0CBD1184-9FF3-4B3D-A483-E8FA5FAA5E54}"/>
    <cellStyle name="Normal 8 2 2 7 6" xfId="18472" xr:uid="{48C17AE9-85BD-4D25-A943-9ABB5C2224C7}"/>
    <cellStyle name="Normal 8 2 2 7 7" xfId="35231" xr:uid="{573B9BC4-4E1F-47F4-941E-3B86B3C089F1}"/>
    <cellStyle name="Normal 8 2 2 8" xfId="3821" xr:uid="{616925A6-9D4F-4C67-A9BB-EE18CCD48B30}"/>
    <cellStyle name="Normal 8 2 2 8 2" xfId="12201" xr:uid="{8151A4DF-CAF9-451D-AC92-638C935319FE}"/>
    <cellStyle name="Normal 8 2 2 8 2 2" xfId="28961" xr:uid="{34B700A3-36FA-4F70-AE40-C34AFA3A606F}"/>
    <cellStyle name="Normal 8 2 2 8 2 3" xfId="45720" xr:uid="{F70AE625-9C17-4668-86F8-20CA8C32477C}"/>
    <cellStyle name="Normal 8 2 2 8 3" xfId="20581" xr:uid="{CF2AF576-708B-44E1-8DB0-0049205C884B}"/>
    <cellStyle name="Normal 8 2 2 8 4" xfId="37340" xr:uid="{D9E4D49E-B0DA-4652-95E5-2F53353EB129}"/>
    <cellStyle name="Normal 8 2 2 9" xfId="5459" xr:uid="{75C99984-40E8-42C6-B671-5D99B199C375}"/>
    <cellStyle name="Normal 8 2 2 9 2" xfId="13839" xr:uid="{54C43256-08D8-464E-9255-274AEC5167A0}"/>
    <cellStyle name="Normal 8 2 2 9 2 2" xfId="30599" xr:uid="{5B952C74-5B43-41D3-8A9F-919A116CF88F}"/>
    <cellStyle name="Normal 8 2 2 9 2 3" xfId="47358" xr:uid="{A19BC39F-A40E-416C-BB84-AD6FD93941DD}"/>
    <cellStyle name="Normal 8 2 2 9 3" xfId="22219" xr:uid="{0521A053-5B22-4A2C-833D-98D70C86D81E}"/>
    <cellStyle name="Normal 8 2 2 9 4" xfId="38978" xr:uid="{6C84B81C-12CC-45CA-A040-4A0B427A82EB}"/>
    <cellStyle name="Normal 8 2 20" xfId="33883" xr:uid="{0ECA7280-4402-4C86-9BF2-70BD7F00374D}"/>
    <cellStyle name="Normal 8 2 21" xfId="270" xr:uid="{5FC2714E-8ED4-4ED2-A705-5D8C6A2F19CF}"/>
    <cellStyle name="Normal 8 2 3" xfId="354" xr:uid="{A2B8A7BB-C733-40C8-80E3-A82111B43C9E}"/>
    <cellStyle name="Normal 8 2 3 10" xfId="7592" xr:uid="{87ED705E-C4D5-4234-B9DF-979DC6FAA68A}"/>
    <cellStyle name="Normal 8 2 3 10 2" xfId="15972" xr:uid="{93FD3C72-6E57-4EDD-93C4-E20D4AEE7F74}"/>
    <cellStyle name="Normal 8 2 3 10 2 2" xfId="32732" xr:uid="{DC4B4F4A-5DE3-4B24-8431-4C53F31B5E2A}"/>
    <cellStyle name="Normal 8 2 3 10 2 3" xfId="49491" xr:uid="{8D5D4486-0D05-49FE-BE4E-3626A0BF205F}"/>
    <cellStyle name="Normal 8 2 3 10 3" xfId="24352" xr:uid="{15B9C883-F77B-4AF3-90A3-9E475ADB6434}"/>
    <cellStyle name="Normal 8 2 3 10 4" xfId="41111" xr:uid="{90F93D40-8530-411F-A039-8B214C1A899F}"/>
    <cellStyle name="Normal 8 2 3 11" xfId="7998" xr:uid="{BC015EEC-5EB4-4A4B-AB62-F706EC57CF4C}"/>
    <cellStyle name="Normal 8 2 3 11 2" xfId="16378" xr:uid="{CD2902C8-99EF-43C6-9F1D-E3485666B077}"/>
    <cellStyle name="Normal 8 2 3 11 2 2" xfId="33138" xr:uid="{4536DE40-495E-4906-A326-6565B800D641}"/>
    <cellStyle name="Normal 8 2 3 11 2 3" xfId="49897" xr:uid="{11E1030E-83C2-4A6D-A857-F778BDAEA03D}"/>
    <cellStyle name="Normal 8 2 3 11 3" xfId="24758" xr:uid="{B69B346B-E05A-4EFE-8814-A44A7F5C9B0A}"/>
    <cellStyle name="Normal 8 2 3 11 4" xfId="41517" xr:uid="{BEEC5D61-8DCC-48D8-A5D7-33C33361097A}"/>
    <cellStyle name="Normal 8 2 3 12" xfId="8404" xr:uid="{CB5F5543-9310-49F3-97D0-76D37DF4449A}"/>
    <cellStyle name="Normal 8 2 3 12 2" xfId="16784" xr:uid="{663341F1-A184-4E86-9CB2-43DB7470D671}"/>
    <cellStyle name="Normal 8 2 3 12 2 2" xfId="33544" xr:uid="{63E928AE-BACC-4BB8-832C-6B1A19352E85}"/>
    <cellStyle name="Normal 8 2 3 12 2 3" xfId="50303" xr:uid="{D34997BE-05A8-4105-AEB6-0A77F69B7764}"/>
    <cellStyle name="Normal 8 2 3 12 3" xfId="25164" xr:uid="{62C8CB0D-1A37-40F9-ABC6-BAD553974349}"/>
    <cellStyle name="Normal 8 2 3 12 4" xfId="41923" xr:uid="{02545F7F-35C6-4967-ACF4-2F4E1781F3FA}"/>
    <cellStyle name="Normal 8 2 3 13" xfId="2084" xr:uid="{80975A5D-5048-4A5D-A3B5-66B26F4DB61E}"/>
    <cellStyle name="Normal 8 2 3 13 2" xfId="10472" xr:uid="{2741D058-9C98-4DA8-BC08-08B4593F6284}"/>
    <cellStyle name="Normal 8 2 3 13 2 2" xfId="27232" xr:uid="{756F42C1-8AED-4A40-A767-54A33036E964}"/>
    <cellStyle name="Normal 8 2 3 13 2 3" xfId="43991" xr:uid="{47439BB9-331E-4561-A8E4-9D3F70ED5B52}"/>
    <cellStyle name="Normal 8 2 3 13 3" xfId="18852" xr:uid="{B0AA6299-3834-4CDD-B1AE-8EFC6A454AEA}"/>
    <cellStyle name="Normal 8 2 3 13 4" xfId="35611" xr:uid="{8F939568-45A4-4962-BB54-9FC92F6D1149}"/>
    <cellStyle name="Normal 8 2 3 14" xfId="8818" xr:uid="{1905C8F3-2E92-4E13-B1E5-A3B9D8AFF946}"/>
    <cellStyle name="Normal 8 2 3 14 2" xfId="25578" xr:uid="{31D2DE07-5A76-4ACD-8AF7-A6F4B6E0EF1C}"/>
    <cellStyle name="Normal 8 2 3 14 3" xfId="42337" xr:uid="{6FC72C1D-9860-4146-8A93-31A58B7683B4}"/>
    <cellStyle name="Normal 8 2 3 15" xfId="17198" xr:uid="{C6590628-6C0A-48CB-912B-81602C8DAFEF}"/>
    <cellStyle name="Normal 8 2 3 16" xfId="33957" xr:uid="{6F972BAC-9EF9-4EAC-AD77-A463485DFF58}"/>
    <cellStyle name="Normal 8 2 3 2" xfId="698" xr:uid="{DABEDFA1-03BD-4024-A271-D3BF8266489A}"/>
    <cellStyle name="Normal 8 2 3 2 10" xfId="8574" xr:uid="{F8BC8255-6ACA-4832-B763-7A2F08A4FABC}"/>
    <cellStyle name="Normal 8 2 3 2 10 2" xfId="16954" xr:uid="{40ED8E5D-0A1F-47FD-A3CE-B645A1C2FC22}"/>
    <cellStyle name="Normal 8 2 3 2 10 2 2" xfId="33714" xr:uid="{797DB6B0-DE65-4C74-8709-6D75894202D6}"/>
    <cellStyle name="Normal 8 2 3 2 10 2 3" xfId="50473" xr:uid="{F59CCDD0-C319-4895-BA3D-4B33E3454535}"/>
    <cellStyle name="Normal 8 2 3 2 10 3" xfId="25334" xr:uid="{88935F26-F9F1-4D4B-9287-AD1FA59610F1}"/>
    <cellStyle name="Normal 8 2 3 2 10 4" xfId="42093" xr:uid="{17F34A00-60B1-473D-8235-F3A1B63516AC}"/>
    <cellStyle name="Normal 8 2 3 2 11" xfId="2527" xr:uid="{DCB14C56-2D5A-46DC-8658-BFA61FF62A65}"/>
    <cellStyle name="Normal 8 2 3 2 11 2" xfId="10909" xr:uid="{FED0AD3C-2961-4138-BC83-17A9AABA9F5B}"/>
    <cellStyle name="Normal 8 2 3 2 11 2 2" xfId="27669" xr:uid="{8E338EB1-C1FB-4315-A3CC-15A38BC4242D}"/>
    <cellStyle name="Normal 8 2 3 2 11 2 3" xfId="44428" xr:uid="{21324803-921E-4404-AB53-A41897D08A77}"/>
    <cellStyle name="Normal 8 2 3 2 11 3" xfId="19289" xr:uid="{94592F08-1549-4448-B601-6E62A37ADC9B}"/>
    <cellStyle name="Normal 8 2 3 2 11 4" xfId="36048" xr:uid="{09C316EF-7705-4FD2-B200-053CC0E703B7}"/>
    <cellStyle name="Normal 8 2 3 2 12" xfId="9106" xr:uid="{EA647345-A973-4916-8351-79028DEB2737}"/>
    <cellStyle name="Normal 8 2 3 2 12 2" xfId="25866" xr:uid="{0374D1BC-CB1E-44BB-A119-836C30F7A187}"/>
    <cellStyle name="Normal 8 2 3 2 12 3" xfId="42625" xr:uid="{7F741397-A213-4E1E-BDBE-C482D0C5541D}"/>
    <cellStyle name="Normal 8 2 3 2 13" xfId="17486" xr:uid="{D3CFF154-15E0-4E10-8DC3-620D7814AE51}"/>
    <cellStyle name="Normal 8 2 3 2 14" xfId="34245" xr:uid="{B32D5F78-7C16-4927-9A47-189E9B7E761D}"/>
    <cellStyle name="Normal 8 2 3 2 2" xfId="1137" xr:uid="{B4843CA6-412B-461E-8281-9D1FAD22C852}"/>
    <cellStyle name="Normal 8 2 3 2 2 2" xfId="4532" xr:uid="{F3570F88-CABA-470C-9924-064DCB55359B}"/>
    <cellStyle name="Normal 8 2 3 2 2 2 2" xfId="12912" xr:uid="{5A462F3D-FC32-47F4-BCB7-2FED7A91A83A}"/>
    <cellStyle name="Normal 8 2 3 2 2 2 2 2" xfId="29672" xr:uid="{0157810E-E457-4D4F-9937-355B42740B66}"/>
    <cellStyle name="Normal 8 2 3 2 2 2 2 3" xfId="46431" xr:uid="{252F08D0-99DD-4D9C-9D9C-992AF11F6143}"/>
    <cellStyle name="Normal 8 2 3 2 2 2 3" xfId="21292" xr:uid="{725622EC-C71B-4DB9-9D43-71FA48DEB0F9}"/>
    <cellStyle name="Normal 8 2 3 2 2 2 4" xfId="38051" xr:uid="{3C195278-3403-4CC4-84E9-13D31C193F33}"/>
    <cellStyle name="Normal 8 2 3 2 2 3" xfId="6219" xr:uid="{E57DF55C-4787-4F8E-8F2D-B9C329A55310}"/>
    <cellStyle name="Normal 8 2 3 2 2 3 2" xfId="14599" xr:uid="{17D8CE9B-E76A-4CCB-8DB5-91D933F70755}"/>
    <cellStyle name="Normal 8 2 3 2 2 3 2 2" xfId="31359" xr:uid="{B5025F24-77FD-481B-9CD1-2CF46C50C651}"/>
    <cellStyle name="Normal 8 2 3 2 2 3 2 3" xfId="48118" xr:uid="{D9D8A7F9-04F8-4DFE-97EF-568D28021E42}"/>
    <cellStyle name="Normal 8 2 3 2 2 3 3" xfId="22979" xr:uid="{E428983F-14EC-44D4-9737-B1C70CD5BD37}"/>
    <cellStyle name="Normal 8 2 3 2 2 3 4" xfId="39738" xr:uid="{1CBB9D04-5B99-4286-BCD0-4CD7ECF5631D}"/>
    <cellStyle name="Normal 8 2 3 2 2 4" xfId="2955" xr:uid="{97E3EB9A-5A0D-4DEF-BC3D-BDE092216A69}"/>
    <cellStyle name="Normal 8 2 3 2 2 4 2" xfId="11335" xr:uid="{59F61DEF-F0FD-47A1-963B-0F19A1C0D865}"/>
    <cellStyle name="Normal 8 2 3 2 2 4 2 2" xfId="28095" xr:uid="{7B407502-7195-438A-8C7B-2CF5C0B35648}"/>
    <cellStyle name="Normal 8 2 3 2 2 4 2 3" xfId="44854" xr:uid="{D98CB29C-430F-435B-8D03-BE9BD05A8158}"/>
    <cellStyle name="Normal 8 2 3 2 2 4 3" xfId="19715" xr:uid="{75249482-0910-4C47-9E8F-D7CE522A6D19}"/>
    <cellStyle name="Normal 8 2 3 2 2 4 4" xfId="36474" xr:uid="{FCF661A0-9E4D-439B-9D5A-FD467E7A510C}"/>
    <cellStyle name="Normal 8 2 3 2 2 5" xfId="9532" xr:uid="{1954E715-94FC-436E-8D3F-C4CFBC68C984}"/>
    <cellStyle name="Normal 8 2 3 2 2 5 2" xfId="26292" xr:uid="{F7F03AC7-8CFB-45E4-B4FA-69BE09DF28D6}"/>
    <cellStyle name="Normal 8 2 3 2 2 5 3" xfId="43051" xr:uid="{4FB9F9AE-FDBF-410B-A3FA-FF7BEF7CDA43}"/>
    <cellStyle name="Normal 8 2 3 2 2 6" xfId="17912" xr:uid="{05D8719A-D61F-4529-85B1-4CE113F42E5B}"/>
    <cellStyle name="Normal 8 2 3 2 2 7" xfId="34671" xr:uid="{FF3909AE-3C60-44AF-B62F-F8AD3DD53A4F}"/>
    <cellStyle name="Normal 8 2 3 2 3" xfId="1571" xr:uid="{C2165ED1-29C2-46F7-A8C7-3F8EFE392DA6}"/>
    <cellStyle name="Normal 8 2 3 2 3 2" xfId="4960" xr:uid="{B03239F5-7486-4456-9EC1-536ED78208D6}"/>
    <cellStyle name="Normal 8 2 3 2 3 2 2" xfId="13340" xr:uid="{C6B70F51-2FBE-4CC7-B9E7-07D3624AF0B3}"/>
    <cellStyle name="Normal 8 2 3 2 3 2 2 2" xfId="30100" xr:uid="{4E924090-221F-4B55-9AAD-6934200FF2FA}"/>
    <cellStyle name="Normal 8 2 3 2 3 2 2 3" xfId="46859" xr:uid="{50B7C0DB-CC08-46AD-8401-D2F2A4A6F9B1}"/>
    <cellStyle name="Normal 8 2 3 2 3 2 3" xfId="21720" xr:uid="{B00CBAF8-D60B-46D0-8B9B-D4C3C282EEC6}"/>
    <cellStyle name="Normal 8 2 3 2 3 2 4" xfId="38479" xr:uid="{76964961-A5E2-4541-A5CC-7768BF4703CB}"/>
    <cellStyle name="Normal 8 2 3 2 3 3" xfId="6647" xr:uid="{C720B0AC-2A04-4AB2-8896-B6ADD01F413D}"/>
    <cellStyle name="Normal 8 2 3 2 3 3 2" xfId="15027" xr:uid="{4B005E2E-6592-4E5E-82FF-A20408434CBB}"/>
    <cellStyle name="Normal 8 2 3 2 3 3 2 2" xfId="31787" xr:uid="{7F21F1EC-BC13-4A47-8686-031204C0880D}"/>
    <cellStyle name="Normal 8 2 3 2 3 3 2 3" xfId="48546" xr:uid="{B8190CE4-50CC-40B8-A26A-09D03388F1D0}"/>
    <cellStyle name="Normal 8 2 3 2 3 3 3" xfId="23407" xr:uid="{B3ECE6D1-7CC2-4E80-BE9A-53BAA0F0BC65}"/>
    <cellStyle name="Normal 8 2 3 2 3 3 4" xfId="40166" xr:uid="{8A7A8923-971B-42AA-BCDF-2D4272162428}"/>
    <cellStyle name="Normal 8 2 3 2 3 4" xfId="3383" xr:uid="{0977D089-9967-4158-85D2-7D5112E31EC3}"/>
    <cellStyle name="Normal 8 2 3 2 3 4 2" xfId="11763" xr:uid="{5C094F7D-87EB-48C7-9C71-6E46032A552A}"/>
    <cellStyle name="Normal 8 2 3 2 3 4 2 2" xfId="28523" xr:uid="{DD30AD2D-B8E8-473B-B69A-B93EC3C6FEF2}"/>
    <cellStyle name="Normal 8 2 3 2 3 4 2 3" xfId="45282" xr:uid="{053D37C0-E673-4ED9-884C-28678BD36B85}"/>
    <cellStyle name="Normal 8 2 3 2 3 4 3" xfId="20143" xr:uid="{EED8DF1F-58DA-4A1B-8B6C-F08B007CA46D}"/>
    <cellStyle name="Normal 8 2 3 2 3 4 4" xfId="36902" xr:uid="{789A9AB4-2E90-4A59-A30B-4CA1378D1CED}"/>
    <cellStyle name="Normal 8 2 3 2 3 5" xfId="9960" xr:uid="{CC9A746B-E0D5-4B9C-BE66-180F88827D1D}"/>
    <cellStyle name="Normal 8 2 3 2 3 5 2" xfId="26720" xr:uid="{D90D51C3-E5EC-4F26-A9F7-2D43E5331E72}"/>
    <cellStyle name="Normal 8 2 3 2 3 5 3" xfId="43479" xr:uid="{B333C267-F636-464F-9F8C-731107138BAB}"/>
    <cellStyle name="Normal 8 2 3 2 3 6" xfId="18340" xr:uid="{59EDC7E5-93C8-4861-B735-AAFD8FA6F2D3}"/>
    <cellStyle name="Normal 8 2 3 2 3 7" xfId="35099" xr:uid="{22267CAE-4ED1-42F4-AE25-2489E7E2F092}"/>
    <cellStyle name="Normal 8 2 3 2 4" xfId="1874" xr:uid="{2E8866C0-4238-4FE9-A562-3C3DE50B1E08}"/>
    <cellStyle name="Normal 8 2 3 2 4 2" xfId="5263" xr:uid="{7A2D8086-58A3-4415-8EEB-DD7670D13D6E}"/>
    <cellStyle name="Normal 8 2 3 2 4 2 2" xfId="13643" xr:uid="{DB6799AB-5E4E-46B3-B8E1-388FA54D70C5}"/>
    <cellStyle name="Normal 8 2 3 2 4 2 2 2" xfId="30403" xr:uid="{55A0D1AC-EA29-43B8-84B3-858303BAE477}"/>
    <cellStyle name="Normal 8 2 3 2 4 2 2 3" xfId="47162" xr:uid="{1798BB72-BD36-41A7-883B-07373F2CF1C1}"/>
    <cellStyle name="Normal 8 2 3 2 4 2 3" xfId="22023" xr:uid="{7A74537F-A2F7-49E4-89F6-FF293AC0C334}"/>
    <cellStyle name="Normal 8 2 3 2 4 2 4" xfId="38782" xr:uid="{8AB787C6-6B01-4212-819E-2D8CD09A5153}"/>
    <cellStyle name="Normal 8 2 3 2 4 3" xfId="6950" xr:uid="{DFB28B39-B451-479C-8C23-AF39386EBB6A}"/>
    <cellStyle name="Normal 8 2 3 2 4 3 2" xfId="15330" xr:uid="{E46ACD65-BECF-4CC7-B04C-2039A23B8299}"/>
    <cellStyle name="Normal 8 2 3 2 4 3 2 2" xfId="32090" xr:uid="{6515D321-2EB8-4E11-B298-DE1946CDF4D2}"/>
    <cellStyle name="Normal 8 2 3 2 4 3 2 3" xfId="48849" xr:uid="{DEE5334A-4588-4488-9508-2F10EBB1DCA3}"/>
    <cellStyle name="Normal 8 2 3 2 4 3 3" xfId="23710" xr:uid="{870C54F3-1B70-4C9F-8F70-4B195E4BB239}"/>
    <cellStyle name="Normal 8 2 3 2 4 3 4" xfId="40469" xr:uid="{731E9ADF-589E-4EBA-8E27-531928520529}"/>
    <cellStyle name="Normal 8 2 3 2 4 4" xfId="3573" xr:uid="{C0995392-D952-4872-A7F6-68D16758B840}"/>
    <cellStyle name="Normal 8 2 3 2 4 4 2" xfId="11953" xr:uid="{61EFA86A-F0A0-49D8-B8FD-19CBF17B32BC}"/>
    <cellStyle name="Normal 8 2 3 2 4 4 2 2" xfId="28713" xr:uid="{4F644BC2-EB86-49F4-94A0-4B212F8D6275}"/>
    <cellStyle name="Normal 8 2 3 2 4 4 2 3" xfId="45472" xr:uid="{0AE93D46-4A7E-4549-9618-1D9CCCF6A182}"/>
    <cellStyle name="Normal 8 2 3 2 4 4 3" xfId="20333" xr:uid="{7BA1878C-53CD-4E4B-90B1-61495D7FB4CC}"/>
    <cellStyle name="Normal 8 2 3 2 4 4 4" xfId="37092" xr:uid="{FE2B6E7F-AC94-4CCC-8013-88E8F5D605E7}"/>
    <cellStyle name="Normal 8 2 3 2 4 5" xfId="10263" xr:uid="{488FEC10-35B8-4F60-A72C-D74905D437FA}"/>
    <cellStyle name="Normal 8 2 3 2 4 5 2" xfId="27023" xr:uid="{42EE9CD9-5FF1-4502-93B1-ECE5180678E5}"/>
    <cellStyle name="Normal 8 2 3 2 4 5 3" xfId="43782" xr:uid="{1DF773F7-F0FD-47A2-BC84-FE40D12ADC81}"/>
    <cellStyle name="Normal 8 2 3 2 4 6" xfId="18643" xr:uid="{7F64A4B0-301B-49C9-A7A8-5BFE95A34355}"/>
    <cellStyle name="Normal 8 2 3 2 4 7" xfId="35402" xr:uid="{F992F484-1F59-4E3B-B13D-BA61E9DACF51}"/>
    <cellStyle name="Normal 8 2 3 2 5" xfId="3993" xr:uid="{C261E42A-7C47-4681-AF75-2CCC8D63B6A8}"/>
    <cellStyle name="Normal 8 2 3 2 5 2" xfId="12373" xr:uid="{644D3473-3D33-4ADE-A074-73520829E3D6}"/>
    <cellStyle name="Normal 8 2 3 2 5 2 2" xfId="29133" xr:uid="{CE2FBEF5-D778-4765-89AB-5DAED4B6AF1A}"/>
    <cellStyle name="Normal 8 2 3 2 5 2 3" xfId="45892" xr:uid="{D86CBFC2-17A6-4062-B295-45EC61C8E8EC}"/>
    <cellStyle name="Normal 8 2 3 2 5 3" xfId="20753" xr:uid="{D1CAD646-F06F-4924-AA9A-509D3357274A}"/>
    <cellStyle name="Normal 8 2 3 2 5 4" xfId="37512" xr:uid="{67D72CF2-426A-42A5-8163-3FE668A13445}"/>
    <cellStyle name="Normal 8 2 3 2 6" xfId="5793" xr:uid="{B41A73BA-C17C-4C0E-9478-DA88588FBAA5}"/>
    <cellStyle name="Normal 8 2 3 2 6 2" xfId="14173" xr:uid="{B80C0717-D500-4BD9-85DE-87D5CAA34A98}"/>
    <cellStyle name="Normal 8 2 3 2 6 2 2" xfId="30933" xr:uid="{9868207C-B57B-46E2-8E3E-D03CD5BF2FBE}"/>
    <cellStyle name="Normal 8 2 3 2 6 2 3" xfId="47692" xr:uid="{F966F757-BFFE-4C49-A3FF-D942EA8206B1}"/>
    <cellStyle name="Normal 8 2 3 2 6 3" xfId="22553" xr:uid="{7486C1EE-8CCC-495A-B5BF-D0A565F85CF7}"/>
    <cellStyle name="Normal 8 2 3 2 6 4" xfId="39312" xr:uid="{EE64FB9F-A93F-4448-BEA2-61B23011AA70}"/>
    <cellStyle name="Normal 8 2 3 2 7" xfId="7356" xr:uid="{2C67BE30-9AA9-471F-88B8-4380565147B4}"/>
    <cellStyle name="Normal 8 2 3 2 7 2" xfId="15736" xr:uid="{DCD5F8FA-E3A9-4B2C-A146-928E5A583CD1}"/>
    <cellStyle name="Normal 8 2 3 2 7 2 2" xfId="32496" xr:uid="{0DA0D6DD-5500-440E-B82A-2F3DCD47E58C}"/>
    <cellStyle name="Normal 8 2 3 2 7 2 3" xfId="49255" xr:uid="{127B590F-2DDA-42D4-BDD2-C11A8FAC6931}"/>
    <cellStyle name="Normal 8 2 3 2 7 3" xfId="24116" xr:uid="{7B0BCA9B-D084-414C-932C-2E05BE48FFFB}"/>
    <cellStyle name="Normal 8 2 3 2 7 4" xfId="40875" xr:uid="{6F567168-CFB9-42FB-B971-268EC513720C}"/>
    <cellStyle name="Normal 8 2 3 2 8" xfId="7762" xr:uid="{B984F00F-D60D-4831-A378-7CE7BFBBE682}"/>
    <cellStyle name="Normal 8 2 3 2 8 2" xfId="16142" xr:uid="{F7EF859D-53E2-4CF2-A727-3F2C201957A9}"/>
    <cellStyle name="Normal 8 2 3 2 8 2 2" xfId="32902" xr:uid="{D5A19D62-5523-4E32-9A93-267721E6AB74}"/>
    <cellStyle name="Normal 8 2 3 2 8 2 3" xfId="49661" xr:uid="{EF48F4FF-CC5C-4343-8469-C4E93409C62B}"/>
    <cellStyle name="Normal 8 2 3 2 8 3" xfId="24522" xr:uid="{C81781CF-0C24-45C7-B991-65611D5C62A1}"/>
    <cellStyle name="Normal 8 2 3 2 8 4" xfId="41281" xr:uid="{1E0B74D8-81A7-4535-8A83-CAB7D1749D4B}"/>
    <cellStyle name="Normal 8 2 3 2 9" xfId="8168" xr:uid="{702EB9CC-34F0-43A2-9CAA-767729484219}"/>
    <cellStyle name="Normal 8 2 3 2 9 2" xfId="16548" xr:uid="{C90AF008-5BDA-4A4F-A59B-A60CD762AFCA}"/>
    <cellStyle name="Normal 8 2 3 2 9 2 2" xfId="33308" xr:uid="{092DBACB-7631-4F52-84F0-E4E12AA5855B}"/>
    <cellStyle name="Normal 8 2 3 2 9 2 3" xfId="50067" xr:uid="{2F1255E6-6A76-41C9-AA28-E143B1C6DAA3}"/>
    <cellStyle name="Normal 8 2 3 2 9 3" xfId="24928" xr:uid="{3668ECEA-C71D-483C-8182-4AC4D1B123B5}"/>
    <cellStyle name="Normal 8 2 3 2 9 4" xfId="41687" xr:uid="{97B0C893-3D49-4560-9557-99D8DD9983E8}"/>
    <cellStyle name="Normal 8 2 3 3" xfId="699" xr:uid="{D035C26A-A8AB-446F-9DF6-7C976F4CB875}"/>
    <cellStyle name="Normal 8 2 3 3 10" xfId="8675" xr:uid="{0A52C55D-F25E-463D-B3CF-CBBDFE888E0F}"/>
    <cellStyle name="Normal 8 2 3 3 10 2" xfId="17055" xr:uid="{4AFEA9E1-80C8-4385-B433-963179334DD0}"/>
    <cellStyle name="Normal 8 2 3 3 10 2 2" xfId="33815" xr:uid="{30349E16-52F9-4579-BC98-4B2D5A480A83}"/>
    <cellStyle name="Normal 8 2 3 3 10 2 3" xfId="50574" xr:uid="{7783D229-B841-47E3-9583-09C1480633AF}"/>
    <cellStyle name="Normal 8 2 3 3 10 3" xfId="25435" xr:uid="{2178A84C-0C93-48E2-804C-89791C072C79}"/>
    <cellStyle name="Normal 8 2 3 3 10 4" xfId="42194" xr:uid="{482259E7-46D4-47ED-A4C3-AE6947DDD7FB}"/>
    <cellStyle name="Normal 8 2 3 3 11" xfId="2528" xr:uid="{B78C7415-4F7B-47FC-A7DD-F5DD1227AC19}"/>
    <cellStyle name="Normal 8 2 3 3 11 2" xfId="10910" xr:uid="{394AD43B-6B78-431D-A0FA-2FABEE33D76E}"/>
    <cellStyle name="Normal 8 2 3 3 11 2 2" xfId="27670" xr:uid="{D63B8364-F5A8-43E2-BB1A-45F7231E5E10}"/>
    <cellStyle name="Normal 8 2 3 3 11 2 3" xfId="44429" xr:uid="{A7390A04-A3AC-4E34-9D12-86E417692E1A}"/>
    <cellStyle name="Normal 8 2 3 3 11 3" xfId="19290" xr:uid="{B1306F4A-E37E-47C4-80CA-3DE2D2DEB2F3}"/>
    <cellStyle name="Normal 8 2 3 3 11 4" xfId="36049" xr:uid="{400FF868-A273-4170-BAB4-2362CBD80F21}"/>
    <cellStyle name="Normal 8 2 3 3 12" xfId="9107" xr:uid="{395F5BDF-07D1-4A31-BD62-5A1C69EB0D1C}"/>
    <cellStyle name="Normal 8 2 3 3 12 2" xfId="25867" xr:uid="{437FAE60-468E-442A-B2E8-B6631E63959D}"/>
    <cellStyle name="Normal 8 2 3 3 12 3" xfId="42626" xr:uid="{A38EE198-772E-4BA0-8092-34F658A739DB}"/>
    <cellStyle name="Normal 8 2 3 3 13" xfId="17487" xr:uid="{448D596E-3F23-4113-BB4D-EC9541306631}"/>
    <cellStyle name="Normal 8 2 3 3 14" xfId="34246" xr:uid="{8E7AB8AD-9A1E-4923-A251-FF61DC355989}"/>
    <cellStyle name="Normal 8 2 3 3 2" xfId="1138" xr:uid="{873EC02D-D619-436B-9228-75FAD82B34F9}"/>
    <cellStyle name="Normal 8 2 3 3 2 2" xfId="4533" xr:uid="{FF8EA41B-25C2-4611-9166-373DCBF44E13}"/>
    <cellStyle name="Normal 8 2 3 3 2 2 2" xfId="12913" xr:uid="{9855D0C4-45B5-402B-810B-9799966A8F4B}"/>
    <cellStyle name="Normal 8 2 3 3 2 2 2 2" xfId="29673" xr:uid="{B0DCAB09-57E3-4AAE-BB49-610E1F021FAA}"/>
    <cellStyle name="Normal 8 2 3 3 2 2 2 3" xfId="46432" xr:uid="{17994891-4C0F-4678-87E5-32288DFE81F2}"/>
    <cellStyle name="Normal 8 2 3 3 2 2 3" xfId="21293" xr:uid="{DAE1A419-A0E9-4F6D-A1D7-9AF735C351ED}"/>
    <cellStyle name="Normal 8 2 3 3 2 2 4" xfId="38052" xr:uid="{D700239E-E5D0-4A46-ABFF-1B00F1F67C27}"/>
    <cellStyle name="Normal 8 2 3 3 2 3" xfId="6220" xr:uid="{DC7070A6-40C1-49B7-813E-B5ED95C738A8}"/>
    <cellStyle name="Normal 8 2 3 3 2 3 2" xfId="14600" xr:uid="{7A854A16-BEAD-46C4-904C-9910CB77868F}"/>
    <cellStyle name="Normal 8 2 3 3 2 3 2 2" xfId="31360" xr:uid="{B9C00D9D-A931-43B3-9892-1DCC49577BC1}"/>
    <cellStyle name="Normal 8 2 3 3 2 3 2 3" xfId="48119" xr:uid="{F4A59A57-E8E7-4CC0-93C1-53E71511096C}"/>
    <cellStyle name="Normal 8 2 3 3 2 3 3" xfId="22980" xr:uid="{3005E27A-2F47-4C73-ADF3-972B35719331}"/>
    <cellStyle name="Normal 8 2 3 3 2 3 4" xfId="39739" xr:uid="{48B30410-0852-4578-93BE-3F82882D8861}"/>
    <cellStyle name="Normal 8 2 3 3 2 4" xfId="2956" xr:uid="{A989F57E-2C33-48F5-A537-A66BE6D48A81}"/>
    <cellStyle name="Normal 8 2 3 3 2 4 2" xfId="11336" xr:uid="{B4F477DC-BCD4-4378-A508-2F9F8CCE21FC}"/>
    <cellStyle name="Normal 8 2 3 3 2 4 2 2" xfId="28096" xr:uid="{FE167754-5DC6-4F4D-B874-9BC54C9CEF99}"/>
    <cellStyle name="Normal 8 2 3 3 2 4 2 3" xfId="44855" xr:uid="{804FEE5A-1191-42FB-ACEB-ECBB9FD015AF}"/>
    <cellStyle name="Normal 8 2 3 3 2 4 3" xfId="19716" xr:uid="{23A300A1-E6C1-4AF0-8FE2-0E2E8D4FFE65}"/>
    <cellStyle name="Normal 8 2 3 3 2 4 4" xfId="36475" xr:uid="{386527CF-64FF-4DF3-A0A0-390AFD5AC3D5}"/>
    <cellStyle name="Normal 8 2 3 3 2 5" xfId="9533" xr:uid="{CA7644C2-3A0A-433C-9721-6534654DDCDC}"/>
    <cellStyle name="Normal 8 2 3 3 2 5 2" xfId="26293" xr:uid="{1A5D05DC-ECF1-4C45-82BA-22C84015F8C9}"/>
    <cellStyle name="Normal 8 2 3 3 2 5 3" xfId="43052" xr:uid="{14228934-F0B8-4E22-B7E4-15EF57B48295}"/>
    <cellStyle name="Normal 8 2 3 3 2 6" xfId="17913" xr:uid="{1185F62A-6C3D-404D-AE8B-39B94C821720}"/>
    <cellStyle name="Normal 8 2 3 3 2 7" xfId="34672" xr:uid="{608F26EF-469E-46B0-BCDA-F238717FE101}"/>
    <cellStyle name="Normal 8 2 3 3 3" xfId="1572" xr:uid="{A1A4A28C-AC9B-40F7-B77B-DC1A112FCD4F}"/>
    <cellStyle name="Normal 8 2 3 3 3 2" xfId="4961" xr:uid="{572B2785-68A0-4747-9FD3-EC0DAD92EF25}"/>
    <cellStyle name="Normal 8 2 3 3 3 2 2" xfId="13341" xr:uid="{39B109B9-1B68-452D-A265-7B81E60C72F4}"/>
    <cellStyle name="Normal 8 2 3 3 3 2 2 2" xfId="30101" xr:uid="{CF789031-AE00-4ECD-B13B-01FF74EBAB5A}"/>
    <cellStyle name="Normal 8 2 3 3 3 2 2 3" xfId="46860" xr:uid="{4E71BED3-21CB-49C4-9DAE-26144082A0B8}"/>
    <cellStyle name="Normal 8 2 3 3 3 2 3" xfId="21721" xr:uid="{29871CFB-0390-4933-9D44-DFB32F8F9CCA}"/>
    <cellStyle name="Normal 8 2 3 3 3 2 4" xfId="38480" xr:uid="{7F7B064D-545E-402D-87C5-ABC5A65644DB}"/>
    <cellStyle name="Normal 8 2 3 3 3 3" xfId="6648" xr:uid="{82DCB78B-A61E-49A9-9DFD-963605F0F33A}"/>
    <cellStyle name="Normal 8 2 3 3 3 3 2" xfId="15028" xr:uid="{4C1D9709-8629-41CB-A6FC-6B838EE95022}"/>
    <cellStyle name="Normal 8 2 3 3 3 3 2 2" xfId="31788" xr:uid="{4CFD8295-57FF-4475-80C1-26ED4610EFA2}"/>
    <cellStyle name="Normal 8 2 3 3 3 3 2 3" xfId="48547" xr:uid="{C4C67062-AEE3-4218-9C2B-1B3148745EB2}"/>
    <cellStyle name="Normal 8 2 3 3 3 3 3" xfId="23408" xr:uid="{A4B11AB3-F478-47CF-8258-AAF10A8ADCDF}"/>
    <cellStyle name="Normal 8 2 3 3 3 3 4" xfId="40167" xr:uid="{A272AAD1-4711-4FEC-B9B9-B302CE97ACF4}"/>
    <cellStyle name="Normal 8 2 3 3 3 4" xfId="3384" xr:uid="{F19D521C-9A0D-475A-B723-D6F006108FB2}"/>
    <cellStyle name="Normal 8 2 3 3 3 4 2" xfId="11764" xr:uid="{B5266FBC-53D8-4550-B78B-D55226F1E37E}"/>
    <cellStyle name="Normal 8 2 3 3 3 4 2 2" xfId="28524" xr:uid="{BE8DC0BE-880F-488E-9F51-84CCC5DBE8BD}"/>
    <cellStyle name="Normal 8 2 3 3 3 4 2 3" xfId="45283" xr:uid="{57E4B9A0-8456-4A83-A681-182FA9148B70}"/>
    <cellStyle name="Normal 8 2 3 3 3 4 3" xfId="20144" xr:uid="{B2471D31-8A0F-4C4E-8ED6-B9C990A2A6AB}"/>
    <cellStyle name="Normal 8 2 3 3 3 4 4" xfId="36903" xr:uid="{4385D19E-D6C6-406B-9C0D-82137E5DC556}"/>
    <cellStyle name="Normal 8 2 3 3 3 5" xfId="9961" xr:uid="{F6C167D3-A5B3-4F03-8EBA-9AEC64489EF0}"/>
    <cellStyle name="Normal 8 2 3 3 3 5 2" xfId="26721" xr:uid="{7CB4A678-AD8B-4AE3-A4D8-C560B78AF5F3}"/>
    <cellStyle name="Normal 8 2 3 3 3 5 3" xfId="43480" xr:uid="{43EF2DCA-0681-4B04-9229-77178C1CB4B0}"/>
    <cellStyle name="Normal 8 2 3 3 3 6" xfId="18341" xr:uid="{73D5E0F1-73D7-4D2B-BD5F-2BB3361D0D1A}"/>
    <cellStyle name="Normal 8 2 3 3 3 7" xfId="35100" xr:uid="{07A81CA8-6F74-4FEE-9E75-D609A6F2FFF8}"/>
    <cellStyle name="Normal 8 2 3 3 4" xfId="1975" xr:uid="{56F73B07-5C2A-4C82-867E-922839768615}"/>
    <cellStyle name="Normal 8 2 3 3 4 2" xfId="5364" xr:uid="{F19B76F0-DC73-48BB-93F3-B98ED4A39A50}"/>
    <cellStyle name="Normal 8 2 3 3 4 2 2" xfId="13744" xr:uid="{7DAC049B-C2AB-48B2-BB09-E712FC7C6867}"/>
    <cellStyle name="Normal 8 2 3 3 4 2 2 2" xfId="30504" xr:uid="{1C1A1FCA-E563-4709-B166-7637EF83F172}"/>
    <cellStyle name="Normal 8 2 3 3 4 2 2 3" xfId="47263" xr:uid="{0FEFC32D-25AA-4F92-91A2-E62B31B8E8BF}"/>
    <cellStyle name="Normal 8 2 3 3 4 2 3" xfId="22124" xr:uid="{6BE2CFB1-F2AC-4489-B908-00D85B4E48F1}"/>
    <cellStyle name="Normal 8 2 3 3 4 2 4" xfId="38883" xr:uid="{7706EBBF-2B0A-46E4-8906-0D9E2479FF68}"/>
    <cellStyle name="Normal 8 2 3 3 4 3" xfId="7051" xr:uid="{75C3C72B-479B-44AC-AA3C-D4CEEC304219}"/>
    <cellStyle name="Normal 8 2 3 3 4 3 2" xfId="15431" xr:uid="{28249E40-978F-497D-B043-77195DD836EF}"/>
    <cellStyle name="Normal 8 2 3 3 4 3 2 2" xfId="32191" xr:uid="{D0F32465-CD33-41D1-8C0B-FA6AE36DFB03}"/>
    <cellStyle name="Normal 8 2 3 3 4 3 2 3" xfId="48950" xr:uid="{C88C7840-435D-4B65-9E00-1B2593260CBC}"/>
    <cellStyle name="Normal 8 2 3 3 4 3 3" xfId="23811" xr:uid="{EB67B5F5-CE40-45A3-88CF-534CD38D2E72}"/>
    <cellStyle name="Normal 8 2 3 3 4 3 4" xfId="40570" xr:uid="{B03FEEDB-DB46-4B7C-8AD2-3F2920390C6B}"/>
    <cellStyle name="Normal 8 2 3 3 4 4" xfId="3674" xr:uid="{759F8B54-86C6-4001-87F2-7794140AF0C1}"/>
    <cellStyle name="Normal 8 2 3 3 4 4 2" xfId="12054" xr:uid="{97CF2D2A-66FB-43F3-AFF4-F968695C2CB3}"/>
    <cellStyle name="Normal 8 2 3 3 4 4 2 2" xfId="28814" xr:uid="{CF726338-80B5-42F2-9818-36C1E0688057}"/>
    <cellStyle name="Normal 8 2 3 3 4 4 2 3" xfId="45573" xr:uid="{F42921A6-6752-4926-8C17-AEB4E77FB32E}"/>
    <cellStyle name="Normal 8 2 3 3 4 4 3" xfId="20434" xr:uid="{174D21A6-DD44-435A-8DEF-2A46D7AEFE01}"/>
    <cellStyle name="Normal 8 2 3 3 4 4 4" xfId="37193" xr:uid="{807B4F3E-F967-457C-9349-9EBCFCA46E78}"/>
    <cellStyle name="Normal 8 2 3 3 4 5" xfId="10364" xr:uid="{658B7C8D-BC84-4AC0-AE27-61118CFDA7C0}"/>
    <cellStyle name="Normal 8 2 3 3 4 5 2" xfId="27124" xr:uid="{C765ECA0-0952-4F18-A2B6-61BC24BEE0BF}"/>
    <cellStyle name="Normal 8 2 3 3 4 5 3" xfId="43883" xr:uid="{4ED07754-733D-4D34-B551-15A48E18A61B}"/>
    <cellStyle name="Normal 8 2 3 3 4 6" xfId="18744" xr:uid="{9AF150F7-6FF3-4828-BCF8-E7704F21B9BF}"/>
    <cellStyle name="Normal 8 2 3 3 4 7" xfId="35503" xr:uid="{B8FCC1FC-15DC-4177-A063-0526F57B8095}"/>
    <cellStyle name="Normal 8 2 3 3 5" xfId="4094" xr:uid="{F9818300-1567-4DD3-9D43-539094431F17}"/>
    <cellStyle name="Normal 8 2 3 3 5 2" xfId="12474" xr:uid="{70C1508E-72BF-4849-BE18-F53E379F938C}"/>
    <cellStyle name="Normal 8 2 3 3 5 2 2" xfId="29234" xr:uid="{021CE5AC-C8F3-4C3F-80DF-0670184862A2}"/>
    <cellStyle name="Normal 8 2 3 3 5 2 3" xfId="45993" xr:uid="{B6D73B3B-4F29-4F05-B9B4-B9E9B4CFEC5C}"/>
    <cellStyle name="Normal 8 2 3 3 5 3" xfId="20854" xr:uid="{BF60E2C6-22BE-4C60-9B0C-26107A1C50ED}"/>
    <cellStyle name="Normal 8 2 3 3 5 4" xfId="37613" xr:uid="{28F0B3B8-5F2D-4144-9F42-D6EB596E1469}"/>
    <cellStyle name="Normal 8 2 3 3 6" xfId="5794" xr:uid="{339FB3F5-2B94-44AF-B3ED-7BFFC84CD934}"/>
    <cellStyle name="Normal 8 2 3 3 6 2" xfId="14174" xr:uid="{07A57296-0357-4CB8-BEF3-59601E0C1E0F}"/>
    <cellStyle name="Normal 8 2 3 3 6 2 2" xfId="30934" xr:uid="{68C3E22A-5A81-4E4D-9F20-D78A92B720E7}"/>
    <cellStyle name="Normal 8 2 3 3 6 2 3" xfId="47693" xr:uid="{72372999-DF82-4295-9A04-20B116116E2A}"/>
    <cellStyle name="Normal 8 2 3 3 6 3" xfId="22554" xr:uid="{A1B21BE2-CF63-4CA5-B384-49EBB7BCE64D}"/>
    <cellStyle name="Normal 8 2 3 3 6 4" xfId="39313" xr:uid="{ED3A72E8-DCE9-4895-A698-DF024BA28469}"/>
    <cellStyle name="Normal 8 2 3 3 7" xfId="7457" xr:uid="{2C0DEC1D-4B08-4011-B2DD-A2B5A8230354}"/>
    <cellStyle name="Normal 8 2 3 3 7 2" xfId="15837" xr:uid="{94D1A665-A9B4-4E69-9CBA-3CBD279B5F2C}"/>
    <cellStyle name="Normal 8 2 3 3 7 2 2" xfId="32597" xr:uid="{58DFDC79-5396-4724-8631-789908FE7769}"/>
    <cellStyle name="Normal 8 2 3 3 7 2 3" xfId="49356" xr:uid="{76C3AB8C-F4F0-43FB-867B-61B6EF229C99}"/>
    <cellStyle name="Normal 8 2 3 3 7 3" xfId="24217" xr:uid="{11CA211D-363C-4300-8B33-2E80656923BC}"/>
    <cellStyle name="Normal 8 2 3 3 7 4" xfId="40976" xr:uid="{8D105515-916D-4282-B9F6-C2C6D607A31F}"/>
    <cellStyle name="Normal 8 2 3 3 8" xfId="7863" xr:uid="{155CACF4-27B2-4EB4-A4AA-9CE39CAD4958}"/>
    <cellStyle name="Normal 8 2 3 3 8 2" xfId="16243" xr:uid="{BC8F5A05-12DB-450A-8E96-7C31190C860B}"/>
    <cellStyle name="Normal 8 2 3 3 8 2 2" xfId="33003" xr:uid="{40A3AC18-E54F-46C0-950C-ED692714BF24}"/>
    <cellStyle name="Normal 8 2 3 3 8 2 3" xfId="49762" xr:uid="{408560A4-D9F2-4D34-BEE5-1AC0C9F9FB0E}"/>
    <cellStyle name="Normal 8 2 3 3 8 3" xfId="24623" xr:uid="{2E19EDDB-93AC-44B5-87A9-CA511E385A96}"/>
    <cellStyle name="Normal 8 2 3 3 8 4" xfId="41382" xr:uid="{73560534-1DBE-4028-BAC0-E8A0640631FA}"/>
    <cellStyle name="Normal 8 2 3 3 9" xfId="8269" xr:uid="{5E7EA7A3-754E-417C-9C63-C011E96B9CD7}"/>
    <cellStyle name="Normal 8 2 3 3 9 2" xfId="16649" xr:uid="{559E3772-8036-48CC-8266-9D86E3C5C37D}"/>
    <cellStyle name="Normal 8 2 3 3 9 2 2" xfId="33409" xr:uid="{9D33F1EE-1634-45C8-8212-9432EB48B259}"/>
    <cellStyle name="Normal 8 2 3 3 9 2 3" xfId="50168" xr:uid="{C3A74856-C866-4FF5-A47B-2041106550B4}"/>
    <cellStyle name="Normal 8 2 3 3 9 3" xfId="25029" xr:uid="{8C35B966-E7F3-4BE3-875E-9FB29AA200FE}"/>
    <cellStyle name="Normal 8 2 3 3 9 4" xfId="41788" xr:uid="{7D836FA6-6A2E-4923-AF11-FC4060AAF82C}"/>
    <cellStyle name="Normal 8 2 3 4" xfId="849" xr:uid="{CD0E56CE-907D-483B-B85E-AACCB104B174}"/>
    <cellStyle name="Normal 8 2 3 4 2" xfId="4244" xr:uid="{6AF163E4-EE2C-4BDF-B4ED-ADE2D636A66F}"/>
    <cellStyle name="Normal 8 2 3 4 2 2" xfId="12624" xr:uid="{07FB0E58-EC3D-43DF-931D-721625CE11C6}"/>
    <cellStyle name="Normal 8 2 3 4 2 2 2" xfId="29384" xr:uid="{41FB5AEB-31C2-4EF4-BD4A-B4AFD25FEE3E}"/>
    <cellStyle name="Normal 8 2 3 4 2 2 3" xfId="46143" xr:uid="{05ACFC70-8939-4AA5-9A2C-C65709376F06}"/>
    <cellStyle name="Normal 8 2 3 4 2 3" xfId="21004" xr:uid="{1C520D45-4387-4E9C-9399-33BA4D1F4B48}"/>
    <cellStyle name="Normal 8 2 3 4 2 4" xfId="37763" xr:uid="{BA403BA8-FEA9-4298-AF3D-F259A2DB0745}"/>
    <cellStyle name="Normal 8 2 3 4 3" xfId="5931" xr:uid="{CB806A90-F3A3-4DBA-95E7-553D28CDFB05}"/>
    <cellStyle name="Normal 8 2 3 4 3 2" xfId="14311" xr:uid="{18D20FB4-390F-4A8E-BE7D-C881BCA3F253}"/>
    <cellStyle name="Normal 8 2 3 4 3 2 2" xfId="31071" xr:uid="{1148D718-FF3E-4D04-9D6D-AAEB3DBA2ADF}"/>
    <cellStyle name="Normal 8 2 3 4 3 2 3" xfId="47830" xr:uid="{B7264DC6-7033-442E-BA3A-FEB1C804FE12}"/>
    <cellStyle name="Normal 8 2 3 4 3 3" xfId="22691" xr:uid="{232C1F4F-DD7A-4495-87BA-5B3E81CF635C}"/>
    <cellStyle name="Normal 8 2 3 4 3 4" xfId="39450" xr:uid="{031125B5-69A7-429B-B062-BDB996EB4403}"/>
    <cellStyle name="Normal 8 2 3 4 4" xfId="2667" xr:uid="{BFB3460D-BF02-44DF-958F-5E3F5FCABB46}"/>
    <cellStyle name="Normal 8 2 3 4 4 2" xfId="11047" xr:uid="{7060A434-B405-4800-9BB7-06F8001DB309}"/>
    <cellStyle name="Normal 8 2 3 4 4 2 2" xfId="27807" xr:uid="{FE9BC6F6-59AD-433D-96A6-F1E9A958A447}"/>
    <cellStyle name="Normal 8 2 3 4 4 2 3" xfId="44566" xr:uid="{BA4D1D04-361A-462A-8C1C-5ED17CF9926B}"/>
    <cellStyle name="Normal 8 2 3 4 4 3" xfId="19427" xr:uid="{B7DBA21C-38A6-434E-9FF1-13274AE6E541}"/>
    <cellStyle name="Normal 8 2 3 4 4 4" xfId="36186" xr:uid="{2F2BF70B-6766-437C-AFF4-30DF3BEFA16D}"/>
    <cellStyle name="Normal 8 2 3 4 5" xfId="9244" xr:uid="{7EBCD1B8-2223-4C99-8F16-23C6C8D1CA53}"/>
    <cellStyle name="Normal 8 2 3 4 5 2" xfId="26004" xr:uid="{BF651808-B94E-4F23-AA9F-F645D7C643B8}"/>
    <cellStyle name="Normal 8 2 3 4 5 3" xfId="42763" xr:uid="{8181C810-E0EF-4C76-A8E8-B675D1ECFE0B}"/>
    <cellStyle name="Normal 8 2 3 4 6" xfId="17624" xr:uid="{BA7E0437-CDFF-48F1-9FCC-4EEFFC718404}"/>
    <cellStyle name="Normal 8 2 3 4 7" xfId="34383" xr:uid="{9CF27C7E-E1F9-405F-A535-E48D350B2691}"/>
    <cellStyle name="Normal 8 2 3 5" xfId="1283" xr:uid="{8A0DB37C-D279-46EE-A240-E92BF0514108}"/>
    <cellStyle name="Normal 8 2 3 5 2" xfId="4672" xr:uid="{F9E1B183-FBB7-4E9E-98C5-402C51CCB846}"/>
    <cellStyle name="Normal 8 2 3 5 2 2" xfId="13052" xr:uid="{6409BC91-611F-4BB8-9D67-292806886E20}"/>
    <cellStyle name="Normal 8 2 3 5 2 2 2" xfId="29812" xr:uid="{E8282659-3246-4658-B139-A0AD581176FA}"/>
    <cellStyle name="Normal 8 2 3 5 2 2 3" xfId="46571" xr:uid="{D424CDC7-5E2E-4095-8E28-ABAE31144EAC}"/>
    <cellStyle name="Normal 8 2 3 5 2 3" xfId="21432" xr:uid="{21F2CDE0-580F-4AC3-B529-7B110DA6CF60}"/>
    <cellStyle name="Normal 8 2 3 5 2 4" xfId="38191" xr:uid="{88571B5A-3D4C-41F0-A893-CE53E52F9B85}"/>
    <cellStyle name="Normal 8 2 3 5 3" xfId="6359" xr:uid="{95F96A99-C03A-4A94-A63E-894357E3B73C}"/>
    <cellStyle name="Normal 8 2 3 5 3 2" xfId="14739" xr:uid="{C657A301-B9A6-45B8-927C-B83B29EA999C}"/>
    <cellStyle name="Normal 8 2 3 5 3 2 2" xfId="31499" xr:uid="{F041B53F-5633-406A-B06A-54CE92B8F404}"/>
    <cellStyle name="Normal 8 2 3 5 3 2 3" xfId="48258" xr:uid="{1EAC62EC-2C41-47E3-BFE6-7876274412B9}"/>
    <cellStyle name="Normal 8 2 3 5 3 3" xfId="23119" xr:uid="{BB3D4ECC-4BC3-4DA1-A4B3-FE42FB63041A}"/>
    <cellStyle name="Normal 8 2 3 5 3 4" xfId="39878" xr:uid="{FB5BDB65-7BB6-4F0C-B36D-6AF704A8CF84}"/>
    <cellStyle name="Normal 8 2 3 5 4" xfId="3095" xr:uid="{49188E37-E690-41A3-90CE-C4C95B4F5807}"/>
    <cellStyle name="Normal 8 2 3 5 4 2" xfId="11475" xr:uid="{4C0A99E1-BB3D-4143-B514-D3E70EDF9704}"/>
    <cellStyle name="Normal 8 2 3 5 4 2 2" xfId="28235" xr:uid="{84CB0C24-3078-408D-A4E2-6F2485583587}"/>
    <cellStyle name="Normal 8 2 3 5 4 2 3" xfId="44994" xr:uid="{5CDA8E90-4444-4C01-9E7A-743CDFD809F3}"/>
    <cellStyle name="Normal 8 2 3 5 4 3" xfId="19855" xr:uid="{ECFD9510-7546-4804-986F-673C4B9DF267}"/>
    <cellStyle name="Normal 8 2 3 5 4 4" xfId="36614" xr:uid="{4027DD2F-DEC1-4727-AB52-B4E7D0E527CF}"/>
    <cellStyle name="Normal 8 2 3 5 5" xfId="9672" xr:uid="{45D865FD-3D6A-4163-B64E-9D4619E9DC32}"/>
    <cellStyle name="Normal 8 2 3 5 5 2" xfId="26432" xr:uid="{2FE891E6-41F7-4D89-B3FC-444F23D78A17}"/>
    <cellStyle name="Normal 8 2 3 5 5 3" xfId="43191" xr:uid="{69E9E107-0F1E-4A91-9581-A3A0E2B2BD7E}"/>
    <cellStyle name="Normal 8 2 3 5 6" xfId="18052" xr:uid="{089478B9-0971-45EB-A699-662E41867268}"/>
    <cellStyle name="Normal 8 2 3 5 7" xfId="34811" xr:uid="{7D6A0695-4FCC-4F8B-BA04-E57CDFD75956}"/>
    <cellStyle name="Normal 8 2 3 6" xfId="1704" xr:uid="{E3E4F3F0-7290-422D-9161-BD542F12C658}"/>
    <cellStyle name="Normal 8 2 3 6 2" xfId="5093" xr:uid="{70602715-8E1D-4244-96AE-52E372B6433F}"/>
    <cellStyle name="Normal 8 2 3 6 2 2" xfId="13473" xr:uid="{A9868CF0-448E-4C78-B0FC-FCE16C9BC376}"/>
    <cellStyle name="Normal 8 2 3 6 2 2 2" xfId="30233" xr:uid="{15305E8B-F75C-48E2-AA8E-AA82ADA58E3B}"/>
    <cellStyle name="Normal 8 2 3 6 2 2 3" xfId="46992" xr:uid="{EB0E3058-63DF-4063-89A9-DB29FE6D60EC}"/>
    <cellStyle name="Normal 8 2 3 6 2 3" xfId="21853" xr:uid="{95D65C57-FAC6-42FD-AFB3-83405B873BD5}"/>
    <cellStyle name="Normal 8 2 3 6 2 4" xfId="38612" xr:uid="{C25A3A71-9191-40F7-A19A-B736BAA04B90}"/>
    <cellStyle name="Normal 8 2 3 6 3" xfId="6780" xr:uid="{BA4C45E3-7B60-45A4-A68D-CED992B1CC4B}"/>
    <cellStyle name="Normal 8 2 3 6 3 2" xfId="15160" xr:uid="{AC729224-1BE2-4547-80A2-47AB3CB1673C}"/>
    <cellStyle name="Normal 8 2 3 6 3 2 2" xfId="31920" xr:uid="{178C9ADF-80AD-4951-BC03-177BBFF316FA}"/>
    <cellStyle name="Normal 8 2 3 6 3 2 3" xfId="48679" xr:uid="{C1C21197-96F0-40E8-99C2-9EA8E98EB004}"/>
    <cellStyle name="Normal 8 2 3 6 3 3" xfId="23540" xr:uid="{1AEEFF3B-843F-4F74-B0CC-6B7ADB063C01}"/>
    <cellStyle name="Normal 8 2 3 6 3 4" xfId="40299" xr:uid="{7B467A8F-029B-44BD-B3B4-4CE3498C903C}"/>
    <cellStyle name="Normal 8 2 3 6 4" xfId="2237" xr:uid="{BBDF2ADB-0E45-4921-9E58-95F5DB194E6A}"/>
    <cellStyle name="Normal 8 2 3 6 4 2" xfId="10621" xr:uid="{E309D653-6A5D-46BA-8319-59F4B9A7DF95}"/>
    <cellStyle name="Normal 8 2 3 6 4 2 2" xfId="27381" xr:uid="{3A138ECE-30EC-45A9-85DE-CD5600AD4FF8}"/>
    <cellStyle name="Normal 8 2 3 6 4 2 3" xfId="44140" xr:uid="{A06D6B1B-41C5-497A-8369-455E779D5BC8}"/>
    <cellStyle name="Normal 8 2 3 6 4 3" xfId="19001" xr:uid="{BD7B217D-ACB5-4631-A537-08D25903CDBD}"/>
    <cellStyle name="Normal 8 2 3 6 4 4" xfId="35760" xr:uid="{B08272D8-82B9-4C81-B61C-92D1C5308074}"/>
    <cellStyle name="Normal 8 2 3 6 5" xfId="10093" xr:uid="{BA4BCA12-1725-4CBC-A3C4-191661A8C78D}"/>
    <cellStyle name="Normal 8 2 3 6 5 2" xfId="26853" xr:uid="{CC795325-E912-40C9-8651-A7E1EF37CE9F}"/>
    <cellStyle name="Normal 8 2 3 6 5 3" xfId="43612" xr:uid="{50511AEF-C90C-4F27-A462-396492336AC8}"/>
    <cellStyle name="Normal 8 2 3 6 6" xfId="18473" xr:uid="{B451C86A-9069-401E-B370-4C639FD5E240}"/>
    <cellStyle name="Normal 8 2 3 6 7" xfId="35232" xr:uid="{189B2B7C-C749-41A7-9143-429E0BD88A95}"/>
    <cellStyle name="Normal 8 2 3 7" xfId="3822" xr:uid="{35149D6A-7A92-437F-8A3A-709E4FD61F29}"/>
    <cellStyle name="Normal 8 2 3 7 2" xfId="12202" xr:uid="{00139408-FFAF-40A0-BCEF-3C3E2F34591F}"/>
    <cellStyle name="Normal 8 2 3 7 2 2" xfId="28962" xr:uid="{8774E8A4-9B0F-4F37-8BB9-60C1C684AC88}"/>
    <cellStyle name="Normal 8 2 3 7 2 3" xfId="45721" xr:uid="{04A87383-8A57-4871-B3DC-843EF8D299B8}"/>
    <cellStyle name="Normal 8 2 3 7 3" xfId="20582" xr:uid="{5E991BB0-1B7A-4848-A516-C74BCCBE6DF6}"/>
    <cellStyle name="Normal 8 2 3 7 4" xfId="37341" xr:uid="{6DC95FF7-111E-4ADB-BF5F-EBBE58469DEA}"/>
    <cellStyle name="Normal 8 2 3 8" xfId="5505" xr:uid="{F58D6E55-49A8-43A8-A559-83BC734B20BB}"/>
    <cellStyle name="Normal 8 2 3 8 2" xfId="13885" xr:uid="{D9BD7502-6EE2-4ABB-845A-DDEBFC7BDB91}"/>
    <cellStyle name="Normal 8 2 3 8 2 2" xfId="30645" xr:uid="{BCE6B688-4F7C-4793-B40F-5163C00402A7}"/>
    <cellStyle name="Normal 8 2 3 8 2 3" xfId="47404" xr:uid="{879ADBC3-4077-450C-86B0-6D4CFDEB0075}"/>
    <cellStyle name="Normal 8 2 3 8 3" xfId="22265" xr:uid="{D1D8F592-86C7-4936-AA00-9A362692BEBF}"/>
    <cellStyle name="Normal 8 2 3 8 4" xfId="39024" xr:uid="{75C7B1E9-8868-4E52-95C5-596CD8E0B96A}"/>
    <cellStyle name="Normal 8 2 3 9" xfId="7186" xr:uid="{22B7E5D6-D472-455E-AAE3-16EB31BA316F}"/>
    <cellStyle name="Normal 8 2 3 9 2" xfId="15566" xr:uid="{B41BD08A-5F5E-4165-92F8-3E4036B1CB2B}"/>
    <cellStyle name="Normal 8 2 3 9 2 2" xfId="32326" xr:uid="{EF68714D-08F0-494B-BB59-AAB099934221}"/>
    <cellStyle name="Normal 8 2 3 9 2 3" xfId="49085" xr:uid="{3A117E27-C84E-4E29-BFD8-26B0BD30CC5C}"/>
    <cellStyle name="Normal 8 2 3 9 3" xfId="23946" xr:uid="{1FDC7A76-8CF6-4308-AA50-616E69791D3D}"/>
    <cellStyle name="Normal 8 2 3 9 4" xfId="40705" xr:uid="{F9F99829-D031-415D-913C-6BA2D12785D0}"/>
    <cellStyle name="Normal 8 2 4" xfId="700" xr:uid="{4379FD6D-2F55-440D-AAC1-97BF9F2128D6}"/>
    <cellStyle name="Normal 8 2 4 10" xfId="7593" xr:uid="{AA52AF83-A1B7-4772-85D4-27ACE41DB285}"/>
    <cellStyle name="Normal 8 2 4 10 2" xfId="15973" xr:uid="{BF983CE4-A676-4BD6-B74C-9AF2FBDFD205}"/>
    <cellStyle name="Normal 8 2 4 10 2 2" xfId="32733" xr:uid="{0F41BE76-9D03-4BE6-A669-DF7F58C65B1A}"/>
    <cellStyle name="Normal 8 2 4 10 2 3" xfId="49492" xr:uid="{7B1310EF-27FD-43A2-ADBB-4BC8A2A22232}"/>
    <cellStyle name="Normal 8 2 4 10 3" xfId="24353" xr:uid="{4C07FF77-FECA-4561-8066-36EA852FF4BA}"/>
    <cellStyle name="Normal 8 2 4 10 4" xfId="41112" xr:uid="{A99D70DE-7544-4ED7-8AE2-CB6BC1FEE3C4}"/>
    <cellStyle name="Normal 8 2 4 11" xfId="7999" xr:uid="{ED0EB2F3-EAB1-480A-92BF-A6F63CEC85D0}"/>
    <cellStyle name="Normal 8 2 4 11 2" xfId="16379" xr:uid="{216320A6-27E0-4E15-8D94-15C16E26C855}"/>
    <cellStyle name="Normal 8 2 4 11 2 2" xfId="33139" xr:uid="{FBF6942C-0400-4708-B5B0-0BD4B40686A2}"/>
    <cellStyle name="Normal 8 2 4 11 2 3" xfId="49898" xr:uid="{37330D93-2938-425E-9250-9DF230E9710E}"/>
    <cellStyle name="Normal 8 2 4 11 3" xfId="24759" xr:uid="{69651557-D5DC-4EA5-AC28-779E1B62FE97}"/>
    <cellStyle name="Normal 8 2 4 11 4" xfId="41518" xr:uid="{291452FE-CF21-49F8-8AF6-DAB864F8BFFA}"/>
    <cellStyle name="Normal 8 2 4 12" xfId="8405" xr:uid="{703B38CB-D270-441D-AFDF-145F2205271C}"/>
    <cellStyle name="Normal 8 2 4 12 2" xfId="16785" xr:uid="{6E5716F5-7671-44F0-B318-947170E49783}"/>
    <cellStyle name="Normal 8 2 4 12 2 2" xfId="33545" xr:uid="{A55B3491-B7A4-4EA7-807E-CB284B434B96}"/>
    <cellStyle name="Normal 8 2 4 12 2 3" xfId="50304" xr:uid="{0B243907-1199-4212-9801-E73077BD5EA3}"/>
    <cellStyle name="Normal 8 2 4 12 3" xfId="25165" xr:uid="{7329AAB5-5CC6-4A92-BBA1-9D432D45562B}"/>
    <cellStyle name="Normal 8 2 4 12 4" xfId="41924" xr:uid="{887EC82B-D43B-4386-8C52-50A5B1368577}"/>
    <cellStyle name="Normal 8 2 4 13" xfId="2110" xr:uid="{A37AD355-674C-42FD-B583-0EB26EDB7D8F}"/>
    <cellStyle name="Normal 8 2 4 13 2" xfId="10498" xr:uid="{F08108FF-99D9-4772-BE89-E7E9FF373597}"/>
    <cellStyle name="Normal 8 2 4 13 2 2" xfId="27258" xr:uid="{B4515EF6-E56B-4B3A-9D34-91D462D257CB}"/>
    <cellStyle name="Normal 8 2 4 13 2 3" xfId="44017" xr:uid="{20FACB5E-DD60-401D-93DB-72973FE0276A}"/>
    <cellStyle name="Normal 8 2 4 13 3" xfId="18878" xr:uid="{20647893-BF72-4EA9-B033-3A37EBC7616D}"/>
    <cellStyle name="Normal 8 2 4 13 4" xfId="35637" xr:uid="{E3E07E94-917D-499D-9271-60552FE96CC6}"/>
    <cellStyle name="Normal 8 2 4 14" xfId="9108" xr:uid="{951D2917-416D-4A8A-9399-B74708275934}"/>
    <cellStyle name="Normal 8 2 4 14 2" xfId="25868" xr:uid="{473AA38F-25DF-49FE-8542-4F94D972CAEC}"/>
    <cellStyle name="Normal 8 2 4 14 3" xfId="42627" xr:uid="{B231CF0C-AE42-4D89-B2AE-B5D4AB32BBE7}"/>
    <cellStyle name="Normal 8 2 4 15" xfId="17488" xr:uid="{09D3F887-B035-4DD4-874A-F8EFAEEC9251}"/>
    <cellStyle name="Normal 8 2 4 16" xfId="34247" xr:uid="{5839125F-9F2B-48D9-9B62-B17700362003}"/>
    <cellStyle name="Normal 8 2 4 2" xfId="701" xr:uid="{61712367-A3D4-43CA-8588-D5A546286902}"/>
    <cellStyle name="Normal 8 2 4 2 10" xfId="8575" xr:uid="{D35A3DCB-DD13-44DB-AC34-EFAA31C94E9E}"/>
    <cellStyle name="Normal 8 2 4 2 10 2" xfId="16955" xr:uid="{EB6086FC-CB81-4E28-AD95-7D5D6271011D}"/>
    <cellStyle name="Normal 8 2 4 2 10 2 2" xfId="33715" xr:uid="{CC26DF31-2799-4CBB-835F-98D7C18D7D80}"/>
    <cellStyle name="Normal 8 2 4 2 10 2 3" xfId="50474" xr:uid="{428342DA-C2E0-4499-9B57-27970F90982D}"/>
    <cellStyle name="Normal 8 2 4 2 10 3" xfId="25335" xr:uid="{E61CD05D-A77F-4E58-937E-0265848EDEC8}"/>
    <cellStyle name="Normal 8 2 4 2 10 4" xfId="42094" xr:uid="{78C82C49-8F44-4F29-9E3B-33F5CE52433F}"/>
    <cellStyle name="Normal 8 2 4 2 11" xfId="2530" xr:uid="{64935B53-35B1-4319-BDF9-756A95EBD7F0}"/>
    <cellStyle name="Normal 8 2 4 2 11 2" xfId="10912" xr:uid="{C4575B48-D49B-4A31-AEB7-74ADC00C1CBF}"/>
    <cellStyle name="Normal 8 2 4 2 11 2 2" xfId="27672" xr:uid="{24EFB4F8-2279-4E61-B0A3-8CDB588A2DCA}"/>
    <cellStyle name="Normal 8 2 4 2 11 2 3" xfId="44431" xr:uid="{CFDCA85F-D878-4938-9295-F30A3808E722}"/>
    <cellStyle name="Normal 8 2 4 2 11 3" xfId="19292" xr:uid="{435AC6B3-7787-46DC-BF27-8C9889D00E2F}"/>
    <cellStyle name="Normal 8 2 4 2 11 4" xfId="36051" xr:uid="{AA96D7F6-0981-43B8-B0E7-2A436BCE8D98}"/>
    <cellStyle name="Normal 8 2 4 2 12" xfId="9109" xr:uid="{1FC040F0-3389-4E1A-9797-6B465286ADE8}"/>
    <cellStyle name="Normal 8 2 4 2 12 2" xfId="25869" xr:uid="{A5470D86-3C88-4D55-9138-6477474076D5}"/>
    <cellStyle name="Normal 8 2 4 2 12 3" xfId="42628" xr:uid="{A153BADA-CFD5-4F5F-BC69-D1937B3B2F5B}"/>
    <cellStyle name="Normal 8 2 4 2 13" xfId="17489" xr:uid="{2B843ED9-8D26-4D10-8420-3BC42DF19324}"/>
    <cellStyle name="Normal 8 2 4 2 14" xfId="34248" xr:uid="{0790A40B-AEE2-4D9D-A151-B49C076D40D4}"/>
    <cellStyle name="Normal 8 2 4 2 2" xfId="1140" xr:uid="{579CAAA9-A05B-4D53-97BB-69E73BE33A29}"/>
    <cellStyle name="Normal 8 2 4 2 2 2" xfId="4535" xr:uid="{EB2A6586-D646-41F8-8660-AF29D2D2B17F}"/>
    <cellStyle name="Normal 8 2 4 2 2 2 2" xfId="12915" xr:uid="{DE660AB0-4A06-4E1B-9086-9E1AFEAC5996}"/>
    <cellStyle name="Normal 8 2 4 2 2 2 2 2" xfId="29675" xr:uid="{0A23D0F6-1F93-489F-A2A1-90D82DA2BF5A}"/>
    <cellStyle name="Normal 8 2 4 2 2 2 2 3" xfId="46434" xr:uid="{7C1973EB-093E-4024-A0F8-34334C586BF4}"/>
    <cellStyle name="Normal 8 2 4 2 2 2 3" xfId="21295" xr:uid="{6D12AB5F-ADAE-49EA-8C1A-39A13EB1D120}"/>
    <cellStyle name="Normal 8 2 4 2 2 2 4" xfId="38054" xr:uid="{3C3ACF05-A3BC-42B3-88AA-4E79333DE7F4}"/>
    <cellStyle name="Normal 8 2 4 2 2 3" xfId="6222" xr:uid="{BA16BBD3-DD67-4028-B983-82A892F81C15}"/>
    <cellStyle name="Normal 8 2 4 2 2 3 2" xfId="14602" xr:uid="{B76AB28B-E8B5-4DCA-AB40-EDDED624E77D}"/>
    <cellStyle name="Normal 8 2 4 2 2 3 2 2" xfId="31362" xr:uid="{8E6AB479-AB2F-4C57-A94C-05B1F0D37136}"/>
    <cellStyle name="Normal 8 2 4 2 2 3 2 3" xfId="48121" xr:uid="{EAD2C1FD-C38D-4269-9E73-EB5943245471}"/>
    <cellStyle name="Normal 8 2 4 2 2 3 3" xfId="22982" xr:uid="{EADA58E4-9784-4687-A624-A963944B123D}"/>
    <cellStyle name="Normal 8 2 4 2 2 3 4" xfId="39741" xr:uid="{B9908159-A5E0-4F59-AA08-B3F245AED3EE}"/>
    <cellStyle name="Normal 8 2 4 2 2 4" xfId="2958" xr:uid="{119997ED-8656-434D-9E4C-868ED1DEA491}"/>
    <cellStyle name="Normal 8 2 4 2 2 4 2" xfId="11338" xr:uid="{63EA34B2-2993-4DA3-8585-1271138C38CD}"/>
    <cellStyle name="Normal 8 2 4 2 2 4 2 2" xfId="28098" xr:uid="{9E43AA3F-DBA6-4BC0-8AC4-C955EA4568E6}"/>
    <cellStyle name="Normal 8 2 4 2 2 4 2 3" xfId="44857" xr:uid="{A33FCD3B-3A6F-4DCA-89EC-C7489B4708E8}"/>
    <cellStyle name="Normal 8 2 4 2 2 4 3" xfId="19718" xr:uid="{10947586-7170-4AD9-BCC9-AF6E7437FDE1}"/>
    <cellStyle name="Normal 8 2 4 2 2 4 4" xfId="36477" xr:uid="{A8B573E8-2F06-4375-8C63-D47D65330E5C}"/>
    <cellStyle name="Normal 8 2 4 2 2 5" xfId="9535" xr:uid="{B93EBC6F-0798-44D7-980A-E47F093AF964}"/>
    <cellStyle name="Normal 8 2 4 2 2 5 2" xfId="26295" xr:uid="{65596D1E-3D0D-482E-9D39-6486E7FD871D}"/>
    <cellStyle name="Normal 8 2 4 2 2 5 3" xfId="43054" xr:uid="{569DCF1B-2865-4656-9A6C-96C8721BBFE1}"/>
    <cellStyle name="Normal 8 2 4 2 2 6" xfId="17915" xr:uid="{26FAAE81-F12C-48AE-BCCE-718AE98FCC92}"/>
    <cellStyle name="Normal 8 2 4 2 2 7" xfId="34674" xr:uid="{8B07D535-2CB8-44BF-A42F-1B5F9288954E}"/>
    <cellStyle name="Normal 8 2 4 2 3" xfId="1574" xr:uid="{9BCD5C60-DF47-4067-8BAB-AE67BC5FAB3C}"/>
    <cellStyle name="Normal 8 2 4 2 3 2" xfId="4963" xr:uid="{1BEB50FE-1234-4AD9-AAFF-E22FA7EFE8F4}"/>
    <cellStyle name="Normal 8 2 4 2 3 2 2" xfId="13343" xr:uid="{75A25F17-0739-425A-9E57-01FEB1C02446}"/>
    <cellStyle name="Normal 8 2 4 2 3 2 2 2" xfId="30103" xr:uid="{2F81CB90-984B-43D1-954E-F98F91893160}"/>
    <cellStyle name="Normal 8 2 4 2 3 2 2 3" xfId="46862" xr:uid="{64C99C59-8834-4895-9DFB-0EBE8086C7AF}"/>
    <cellStyle name="Normal 8 2 4 2 3 2 3" xfId="21723" xr:uid="{FF6152D5-3696-4DDD-B7B9-F26454F8DAB1}"/>
    <cellStyle name="Normal 8 2 4 2 3 2 4" xfId="38482" xr:uid="{8502D025-AF4F-4C80-B9A9-1A63BE76EB74}"/>
    <cellStyle name="Normal 8 2 4 2 3 3" xfId="6650" xr:uid="{4CF5EFCF-40A6-4529-9517-C0579A77B1C0}"/>
    <cellStyle name="Normal 8 2 4 2 3 3 2" xfId="15030" xr:uid="{DCCFFB91-1ABD-4FEC-811E-67AC345EE76C}"/>
    <cellStyle name="Normal 8 2 4 2 3 3 2 2" xfId="31790" xr:uid="{62BE3ABA-2648-450B-A738-A52F14A2FD81}"/>
    <cellStyle name="Normal 8 2 4 2 3 3 2 3" xfId="48549" xr:uid="{4DE4390C-451B-4306-85B4-FB6F8F8469CC}"/>
    <cellStyle name="Normal 8 2 4 2 3 3 3" xfId="23410" xr:uid="{6239BFCC-4692-4D45-8153-77E1D94EA3E2}"/>
    <cellStyle name="Normal 8 2 4 2 3 3 4" xfId="40169" xr:uid="{6D2D66D7-85E9-4257-8714-0E38972F9326}"/>
    <cellStyle name="Normal 8 2 4 2 3 4" xfId="3386" xr:uid="{0EEF121F-A4B6-4F4F-AEA1-7A8BF826F4D6}"/>
    <cellStyle name="Normal 8 2 4 2 3 4 2" xfId="11766" xr:uid="{3083E9E0-2E81-45E0-B5C1-B10DFF889054}"/>
    <cellStyle name="Normal 8 2 4 2 3 4 2 2" xfId="28526" xr:uid="{45EDA4AF-8B25-48FD-A245-54F00A2100C8}"/>
    <cellStyle name="Normal 8 2 4 2 3 4 2 3" xfId="45285" xr:uid="{EE93769F-BF2C-4DF7-995C-69053FAD3423}"/>
    <cellStyle name="Normal 8 2 4 2 3 4 3" xfId="20146" xr:uid="{D292F349-225E-4E52-8E26-D64BE923DDB4}"/>
    <cellStyle name="Normal 8 2 4 2 3 4 4" xfId="36905" xr:uid="{476924B5-4615-45B0-9596-A4E86BD82D44}"/>
    <cellStyle name="Normal 8 2 4 2 3 5" xfId="9963" xr:uid="{5504DC20-825D-4CCD-8373-CA7953296341}"/>
    <cellStyle name="Normal 8 2 4 2 3 5 2" xfId="26723" xr:uid="{D14F1C11-51EC-406E-929B-EE805178AE9C}"/>
    <cellStyle name="Normal 8 2 4 2 3 5 3" xfId="43482" xr:uid="{F5935783-0519-4E12-8B69-FB89E1829E9D}"/>
    <cellStyle name="Normal 8 2 4 2 3 6" xfId="18343" xr:uid="{DC7938E5-4AB1-44EC-B45E-54E9FF6CB929}"/>
    <cellStyle name="Normal 8 2 4 2 3 7" xfId="35102" xr:uid="{5D73F099-5D85-4CAA-AB0B-160D0DF53FAF}"/>
    <cellStyle name="Normal 8 2 4 2 4" xfId="1875" xr:uid="{3741B67B-D9BE-43B3-95F3-25849359759E}"/>
    <cellStyle name="Normal 8 2 4 2 4 2" xfId="5264" xr:uid="{50863B04-4202-4ADF-94DB-37AE877FA6BA}"/>
    <cellStyle name="Normal 8 2 4 2 4 2 2" xfId="13644" xr:uid="{11398D8F-677A-418D-87C4-37536459CABF}"/>
    <cellStyle name="Normal 8 2 4 2 4 2 2 2" xfId="30404" xr:uid="{EFA2B780-12E8-479C-ADA3-51ED18B3A20C}"/>
    <cellStyle name="Normal 8 2 4 2 4 2 2 3" xfId="47163" xr:uid="{1B4E4A79-8404-4B4A-A6C9-D47D17D8ADC2}"/>
    <cellStyle name="Normal 8 2 4 2 4 2 3" xfId="22024" xr:uid="{958524D7-2900-43E1-9F05-713BCD3B5BCE}"/>
    <cellStyle name="Normal 8 2 4 2 4 2 4" xfId="38783" xr:uid="{D93F347B-6012-4AFF-907A-5DCCC4C610DF}"/>
    <cellStyle name="Normal 8 2 4 2 4 3" xfId="6951" xr:uid="{7AA9FCA7-EFAA-484E-B8D9-3F77B006E402}"/>
    <cellStyle name="Normal 8 2 4 2 4 3 2" xfId="15331" xr:uid="{2BD121EC-BB9F-46A6-BA2B-21CA6591FA06}"/>
    <cellStyle name="Normal 8 2 4 2 4 3 2 2" xfId="32091" xr:uid="{84D00790-BDF1-47D7-81C7-57F0B3356CFD}"/>
    <cellStyle name="Normal 8 2 4 2 4 3 2 3" xfId="48850" xr:uid="{0DF3A391-5B4F-4C6C-9922-FB5B281B9615}"/>
    <cellStyle name="Normal 8 2 4 2 4 3 3" xfId="23711" xr:uid="{AF250FF5-0E94-4CBB-82A6-535F955B60AB}"/>
    <cellStyle name="Normal 8 2 4 2 4 3 4" xfId="40470" xr:uid="{49E52541-0866-4A9F-A071-71AF121634A9}"/>
    <cellStyle name="Normal 8 2 4 2 4 4" xfId="3574" xr:uid="{0FD25617-9735-4E7A-837F-7F3B75DDAB26}"/>
    <cellStyle name="Normal 8 2 4 2 4 4 2" xfId="11954" xr:uid="{6A43EF93-EBF9-479F-965B-00633074684A}"/>
    <cellStyle name="Normal 8 2 4 2 4 4 2 2" xfId="28714" xr:uid="{FFB2DCF7-FEF9-4703-B1C2-73311145E5E0}"/>
    <cellStyle name="Normal 8 2 4 2 4 4 2 3" xfId="45473" xr:uid="{437B1ED7-7FDE-4A69-B711-5ABA823617E8}"/>
    <cellStyle name="Normal 8 2 4 2 4 4 3" xfId="20334" xr:uid="{37921735-062A-4F11-B8BC-6B76F1B07780}"/>
    <cellStyle name="Normal 8 2 4 2 4 4 4" xfId="37093" xr:uid="{5A3E251B-9C34-4794-9942-932E12D716C2}"/>
    <cellStyle name="Normal 8 2 4 2 4 5" xfId="10264" xr:uid="{77EB24B1-0682-4725-9780-C2988F40B406}"/>
    <cellStyle name="Normal 8 2 4 2 4 5 2" xfId="27024" xr:uid="{0F40A842-AAE4-4531-BD71-08BCBE20B77A}"/>
    <cellStyle name="Normal 8 2 4 2 4 5 3" xfId="43783" xr:uid="{9959E3E5-31E3-46F2-BD2B-0C5B8C65699C}"/>
    <cellStyle name="Normal 8 2 4 2 4 6" xfId="18644" xr:uid="{E2F0B771-7F94-4687-859B-F114507B5AC6}"/>
    <cellStyle name="Normal 8 2 4 2 4 7" xfId="35403" xr:uid="{D8D67EBB-11B7-48CE-92FF-ABD18108A6F5}"/>
    <cellStyle name="Normal 8 2 4 2 5" xfId="3994" xr:uid="{B6621F33-9164-4BFA-BB2B-A9C28F14DA07}"/>
    <cellStyle name="Normal 8 2 4 2 5 2" xfId="12374" xr:uid="{2B3CC786-F2E4-4E6B-8533-15B7BE7FCC6B}"/>
    <cellStyle name="Normal 8 2 4 2 5 2 2" xfId="29134" xr:uid="{C57AED03-8A1C-4551-8F05-ED127ABD3A0A}"/>
    <cellStyle name="Normal 8 2 4 2 5 2 3" xfId="45893" xr:uid="{2E160D98-1F12-4B4D-91E6-852DB20A1818}"/>
    <cellStyle name="Normal 8 2 4 2 5 3" xfId="20754" xr:uid="{A43D5902-214D-4E87-891B-37EA8543B3CF}"/>
    <cellStyle name="Normal 8 2 4 2 5 4" xfId="37513" xr:uid="{622D7E03-CF22-4D4F-B0AB-0D1C96A4C29F}"/>
    <cellStyle name="Normal 8 2 4 2 6" xfId="5796" xr:uid="{6BB07A3A-B532-46E1-BFD9-ABCF3E3D7019}"/>
    <cellStyle name="Normal 8 2 4 2 6 2" xfId="14176" xr:uid="{66E60CFE-BF29-495D-BCCA-2F0BC5C3473B}"/>
    <cellStyle name="Normal 8 2 4 2 6 2 2" xfId="30936" xr:uid="{94A47881-3916-4E94-89F4-F8E98F98F4A5}"/>
    <cellStyle name="Normal 8 2 4 2 6 2 3" xfId="47695" xr:uid="{333132EC-8BF4-47D7-A326-74261121B5FC}"/>
    <cellStyle name="Normal 8 2 4 2 6 3" xfId="22556" xr:uid="{E3C14A19-1F64-4648-835C-02334FD2A6F7}"/>
    <cellStyle name="Normal 8 2 4 2 6 4" xfId="39315" xr:uid="{5D25EA74-B7BE-4BFF-AEF1-6CD2D99CE5A3}"/>
    <cellStyle name="Normal 8 2 4 2 7" xfId="7357" xr:uid="{6B2A728E-6E32-4108-AEA8-4A563D6602A1}"/>
    <cellStyle name="Normal 8 2 4 2 7 2" xfId="15737" xr:uid="{FF1C1B66-E8EC-4DCA-9134-5A5C22130828}"/>
    <cellStyle name="Normal 8 2 4 2 7 2 2" xfId="32497" xr:uid="{17A8AB23-20D7-4236-BA29-FCC969EF034D}"/>
    <cellStyle name="Normal 8 2 4 2 7 2 3" xfId="49256" xr:uid="{F823B7C8-5336-46FA-9910-D3B61A73E012}"/>
    <cellStyle name="Normal 8 2 4 2 7 3" xfId="24117" xr:uid="{66104676-E666-4C2B-9E7B-FB7166B1CD28}"/>
    <cellStyle name="Normal 8 2 4 2 7 4" xfId="40876" xr:uid="{48804722-3B22-4A3D-843B-5E078C30D141}"/>
    <cellStyle name="Normal 8 2 4 2 8" xfId="7763" xr:uid="{8137C350-C44D-445C-9483-980E07418B15}"/>
    <cellStyle name="Normal 8 2 4 2 8 2" xfId="16143" xr:uid="{04BFBB88-48AF-4A81-8368-5333FBAC1868}"/>
    <cellStyle name="Normal 8 2 4 2 8 2 2" xfId="32903" xr:uid="{DA7111FE-34A9-40BF-95B9-596F501B8A54}"/>
    <cellStyle name="Normal 8 2 4 2 8 2 3" xfId="49662" xr:uid="{8C012E84-2EFD-463F-8D56-3AE822B2E003}"/>
    <cellStyle name="Normal 8 2 4 2 8 3" xfId="24523" xr:uid="{EC461411-D42D-4C3C-9C5D-620B59A483BD}"/>
    <cellStyle name="Normal 8 2 4 2 8 4" xfId="41282" xr:uid="{9886AE6F-1AA4-40DD-AFB2-73CC9EF10C33}"/>
    <cellStyle name="Normal 8 2 4 2 9" xfId="8169" xr:uid="{057DAB20-F1A5-4A69-ACF1-20F851ABBA09}"/>
    <cellStyle name="Normal 8 2 4 2 9 2" xfId="16549" xr:uid="{5293E2FA-E00A-457A-A963-A39D916077E9}"/>
    <cellStyle name="Normal 8 2 4 2 9 2 2" xfId="33309" xr:uid="{B02ABAE6-B576-489F-BBA5-2D495C4F0902}"/>
    <cellStyle name="Normal 8 2 4 2 9 2 3" xfId="50068" xr:uid="{0073B634-F92C-406C-A562-FBDBE98655F8}"/>
    <cellStyle name="Normal 8 2 4 2 9 3" xfId="24929" xr:uid="{7592EC9C-49AB-443A-ACF9-2892BE93F99D}"/>
    <cellStyle name="Normal 8 2 4 2 9 4" xfId="41688" xr:uid="{69B7D489-D0BB-46F8-8CB7-91386AB6E176}"/>
    <cellStyle name="Normal 8 2 4 3" xfId="702" xr:uid="{150658B0-7C44-4E34-89F2-94F2FF975235}"/>
    <cellStyle name="Normal 8 2 4 3 10" xfId="8676" xr:uid="{77401D68-18C4-4748-85AE-BD8758A6C6EC}"/>
    <cellStyle name="Normal 8 2 4 3 10 2" xfId="17056" xr:uid="{2B7B6244-2F68-4289-AD1B-AE6218EA88A3}"/>
    <cellStyle name="Normal 8 2 4 3 10 2 2" xfId="33816" xr:uid="{9ABF7861-5018-450B-804D-5A5B2742C14D}"/>
    <cellStyle name="Normal 8 2 4 3 10 2 3" xfId="50575" xr:uid="{8E95F3D7-B04B-4254-969F-945C0C7FC1A6}"/>
    <cellStyle name="Normal 8 2 4 3 10 3" xfId="25436" xr:uid="{1525B125-FD72-424F-AF36-1B014E570044}"/>
    <cellStyle name="Normal 8 2 4 3 10 4" xfId="42195" xr:uid="{4692E6C5-0FC0-4F68-8A43-BF0EAC2469AF}"/>
    <cellStyle name="Normal 8 2 4 3 11" xfId="2531" xr:uid="{CD986DAD-415C-4109-BBD7-C5E651E6F668}"/>
    <cellStyle name="Normal 8 2 4 3 11 2" xfId="10913" xr:uid="{9FA219AE-57F6-4921-A961-5E8E16F16B32}"/>
    <cellStyle name="Normal 8 2 4 3 11 2 2" xfId="27673" xr:uid="{B3A3F6EF-D4FF-4E27-B9ED-C51471834F7E}"/>
    <cellStyle name="Normal 8 2 4 3 11 2 3" xfId="44432" xr:uid="{FBF90B9E-9DC6-4034-B3D1-4B31C8F5147B}"/>
    <cellStyle name="Normal 8 2 4 3 11 3" xfId="19293" xr:uid="{4B7EDE80-F89E-46C2-9D5B-3B0E7F9DF56E}"/>
    <cellStyle name="Normal 8 2 4 3 11 4" xfId="36052" xr:uid="{C5539BAD-B8E0-4836-9786-CB1B41E37530}"/>
    <cellStyle name="Normal 8 2 4 3 12" xfId="9110" xr:uid="{8AE9F98B-6B26-45FC-8128-F0F14C8F6318}"/>
    <cellStyle name="Normal 8 2 4 3 12 2" xfId="25870" xr:uid="{03975A7C-3176-44B9-881C-BF0DA2AE3D9C}"/>
    <cellStyle name="Normal 8 2 4 3 12 3" xfId="42629" xr:uid="{CAE38C94-F509-47A6-99F1-DDB5ACF057FC}"/>
    <cellStyle name="Normal 8 2 4 3 13" xfId="17490" xr:uid="{4609D58F-FAFA-4809-BA23-EFD448D0A3B3}"/>
    <cellStyle name="Normal 8 2 4 3 14" xfId="34249" xr:uid="{8542EE92-66D2-40A2-A616-9A95D6EAA084}"/>
    <cellStyle name="Normal 8 2 4 3 2" xfId="1141" xr:uid="{513146B3-3182-4A86-9972-28ACE4CA971D}"/>
    <cellStyle name="Normal 8 2 4 3 2 2" xfId="4536" xr:uid="{AA466E8F-7DFB-4766-B27B-2F67EB4EEACD}"/>
    <cellStyle name="Normal 8 2 4 3 2 2 2" xfId="12916" xr:uid="{2CA39DA5-6420-4C97-BB9C-76EAF7011013}"/>
    <cellStyle name="Normal 8 2 4 3 2 2 2 2" xfId="29676" xr:uid="{311AAF8C-00DB-4B72-801C-0D134436AA2F}"/>
    <cellStyle name="Normal 8 2 4 3 2 2 2 3" xfId="46435" xr:uid="{F47BE518-BC89-4A9B-8303-515774E423A8}"/>
    <cellStyle name="Normal 8 2 4 3 2 2 3" xfId="21296" xr:uid="{FAF44112-E2F6-4EB2-872F-989446C89314}"/>
    <cellStyle name="Normal 8 2 4 3 2 2 4" xfId="38055" xr:uid="{5D548129-D8F2-4FC0-B8D7-CCC5BA2E9E58}"/>
    <cellStyle name="Normal 8 2 4 3 2 3" xfId="6223" xr:uid="{F8C59362-DDA1-4AE0-80B8-A7DB09A745E9}"/>
    <cellStyle name="Normal 8 2 4 3 2 3 2" xfId="14603" xr:uid="{10ACE790-54BA-48AF-B5F3-FDDCD792D982}"/>
    <cellStyle name="Normal 8 2 4 3 2 3 2 2" xfId="31363" xr:uid="{91CFB839-E422-4C67-BD1A-828096554C2F}"/>
    <cellStyle name="Normal 8 2 4 3 2 3 2 3" xfId="48122" xr:uid="{27FD97B3-1D77-467B-B56C-028E213ACB61}"/>
    <cellStyle name="Normal 8 2 4 3 2 3 3" xfId="22983" xr:uid="{4933B248-33ED-4749-9E58-5579B45A52F7}"/>
    <cellStyle name="Normal 8 2 4 3 2 3 4" xfId="39742" xr:uid="{305640A7-281D-4985-8BD1-5EA035D68D9D}"/>
    <cellStyle name="Normal 8 2 4 3 2 4" xfId="2959" xr:uid="{0F976761-2CBA-4E31-B789-8CCEAA204660}"/>
    <cellStyle name="Normal 8 2 4 3 2 4 2" xfId="11339" xr:uid="{DFDABFAC-79BF-4A35-9A34-9561BCF20670}"/>
    <cellStyle name="Normal 8 2 4 3 2 4 2 2" xfId="28099" xr:uid="{F87D3EC0-B80B-4E5D-8C28-94D454189D1F}"/>
    <cellStyle name="Normal 8 2 4 3 2 4 2 3" xfId="44858" xr:uid="{C33B2CDE-60B8-4ED8-8257-CDD0E2E78209}"/>
    <cellStyle name="Normal 8 2 4 3 2 4 3" xfId="19719" xr:uid="{98278612-EC72-4C70-AA85-DC386D4AED16}"/>
    <cellStyle name="Normal 8 2 4 3 2 4 4" xfId="36478" xr:uid="{5847524A-42CE-4B1E-B7DC-6FB4EDE6C6AC}"/>
    <cellStyle name="Normal 8 2 4 3 2 5" xfId="9536" xr:uid="{1CE70619-6B42-44A0-85BD-E4C5143B6E0A}"/>
    <cellStyle name="Normal 8 2 4 3 2 5 2" xfId="26296" xr:uid="{6E006753-B5DB-40EA-89FC-0092D50C9AA1}"/>
    <cellStyle name="Normal 8 2 4 3 2 5 3" xfId="43055" xr:uid="{DCAD4D0F-2028-4928-B486-136CEDB0221F}"/>
    <cellStyle name="Normal 8 2 4 3 2 6" xfId="17916" xr:uid="{E93B6124-4CBC-4A9A-A6D3-4AFC54617044}"/>
    <cellStyle name="Normal 8 2 4 3 2 7" xfId="34675" xr:uid="{580C1AE5-10EC-4AA9-A69E-D59CA2F8063D}"/>
    <cellStyle name="Normal 8 2 4 3 3" xfId="1575" xr:uid="{B339CBAF-A21A-49F4-9D92-9EECD675F305}"/>
    <cellStyle name="Normal 8 2 4 3 3 2" xfId="4964" xr:uid="{89236EEB-C6E6-4671-9225-77D3B2484AD1}"/>
    <cellStyle name="Normal 8 2 4 3 3 2 2" xfId="13344" xr:uid="{BFC9CADC-70D6-4AA5-AC02-019F7E7C5C24}"/>
    <cellStyle name="Normal 8 2 4 3 3 2 2 2" xfId="30104" xr:uid="{5EAFADEB-3A7C-4061-82BC-E8558967205C}"/>
    <cellStyle name="Normal 8 2 4 3 3 2 2 3" xfId="46863" xr:uid="{694AF8F8-95A6-4E02-98BB-949AEEACA2C4}"/>
    <cellStyle name="Normal 8 2 4 3 3 2 3" xfId="21724" xr:uid="{E863A309-F461-44BE-BD00-D33523A7CC2A}"/>
    <cellStyle name="Normal 8 2 4 3 3 2 4" xfId="38483" xr:uid="{C98F3550-A396-42FB-904B-0D78A4196247}"/>
    <cellStyle name="Normal 8 2 4 3 3 3" xfId="6651" xr:uid="{B19ED744-8049-44F6-B489-013E7C4E9CC2}"/>
    <cellStyle name="Normal 8 2 4 3 3 3 2" xfId="15031" xr:uid="{8786B23B-7856-4855-B7FF-782CDBD7E90A}"/>
    <cellStyle name="Normal 8 2 4 3 3 3 2 2" xfId="31791" xr:uid="{05A9BD07-B9E3-480F-ACB8-88EFED342144}"/>
    <cellStyle name="Normal 8 2 4 3 3 3 2 3" xfId="48550" xr:uid="{30188B22-A67A-4237-8613-2C77172B0744}"/>
    <cellStyle name="Normal 8 2 4 3 3 3 3" xfId="23411" xr:uid="{A0158A89-7C02-4C0C-A099-6777AC5EF97A}"/>
    <cellStyle name="Normal 8 2 4 3 3 3 4" xfId="40170" xr:uid="{F011C161-42AE-48BC-B851-9EEB27DFF92E}"/>
    <cellStyle name="Normal 8 2 4 3 3 4" xfId="3387" xr:uid="{79F193C8-B96B-4DEA-9761-D67BBBDB3C4A}"/>
    <cellStyle name="Normal 8 2 4 3 3 4 2" xfId="11767" xr:uid="{71156622-7559-4DB6-9726-6A4193630FD0}"/>
    <cellStyle name="Normal 8 2 4 3 3 4 2 2" xfId="28527" xr:uid="{F1650CFB-E8AF-4392-A1CD-6BC2B06A4D59}"/>
    <cellStyle name="Normal 8 2 4 3 3 4 2 3" xfId="45286" xr:uid="{F6B5B808-981A-4814-8E44-B92D74F33F3A}"/>
    <cellStyle name="Normal 8 2 4 3 3 4 3" xfId="20147" xr:uid="{6FC4BF09-4A4C-4687-9F46-5E5DEEDB39E9}"/>
    <cellStyle name="Normal 8 2 4 3 3 4 4" xfId="36906" xr:uid="{053C44DE-C62E-4688-AB2C-722F1095C241}"/>
    <cellStyle name="Normal 8 2 4 3 3 5" xfId="9964" xr:uid="{B7B9A9A9-A71B-4BCF-980C-575700698234}"/>
    <cellStyle name="Normal 8 2 4 3 3 5 2" xfId="26724" xr:uid="{5FA6B563-DF95-4C14-AFA0-AE4BBA7F4368}"/>
    <cellStyle name="Normal 8 2 4 3 3 5 3" xfId="43483" xr:uid="{C3CAFD92-243C-4A30-8E48-234161A041CD}"/>
    <cellStyle name="Normal 8 2 4 3 3 6" xfId="18344" xr:uid="{9D42FD8E-1B92-4802-80C5-4C3CD4F7A6CE}"/>
    <cellStyle name="Normal 8 2 4 3 3 7" xfId="35103" xr:uid="{EF7C28B0-2BE2-4EB3-9FBC-2656D68A591F}"/>
    <cellStyle name="Normal 8 2 4 3 4" xfId="1976" xr:uid="{6F88B8DE-BE44-4BC0-853E-402AC45F492E}"/>
    <cellStyle name="Normal 8 2 4 3 4 2" xfId="5365" xr:uid="{E84BA84A-79A7-46B6-B730-C26EBD73F640}"/>
    <cellStyle name="Normal 8 2 4 3 4 2 2" xfId="13745" xr:uid="{ACAD3DBC-B12B-403D-9E0C-8CA2315BF150}"/>
    <cellStyle name="Normal 8 2 4 3 4 2 2 2" xfId="30505" xr:uid="{1AF6B484-868D-417C-AD04-9C5F7B28D1CB}"/>
    <cellStyle name="Normal 8 2 4 3 4 2 2 3" xfId="47264" xr:uid="{A312CB05-7A43-4BE4-B6BF-DAD74E3570C5}"/>
    <cellStyle name="Normal 8 2 4 3 4 2 3" xfId="22125" xr:uid="{357E996E-02CD-47BC-87F6-370001543489}"/>
    <cellStyle name="Normal 8 2 4 3 4 2 4" xfId="38884" xr:uid="{F5A9DD15-6A20-44C9-8395-349B321201DC}"/>
    <cellStyle name="Normal 8 2 4 3 4 3" xfId="7052" xr:uid="{A965B318-FBAD-487C-8283-11EA12E7646F}"/>
    <cellStyle name="Normal 8 2 4 3 4 3 2" xfId="15432" xr:uid="{36379D23-EA80-474E-968F-909BC5C69A0E}"/>
    <cellStyle name="Normal 8 2 4 3 4 3 2 2" xfId="32192" xr:uid="{082ECA4D-23AD-4137-AE69-937A4BE5FD4E}"/>
    <cellStyle name="Normal 8 2 4 3 4 3 2 3" xfId="48951" xr:uid="{82773E11-7BE2-4D1E-ADDD-6E228B528A4C}"/>
    <cellStyle name="Normal 8 2 4 3 4 3 3" xfId="23812" xr:uid="{40B3864E-92A8-4F83-8EB1-3FE4EA16330F}"/>
    <cellStyle name="Normal 8 2 4 3 4 3 4" xfId="40571" xr:uid="{06384520-442D-4651-8DC9-9F6C7EA637D3}"/>
    <cellStyle name="Normal 8 2 4 3 4 4" xfId="3675" xr:uid="{E6D38ED8-E198-432F-88ED-CB3E45DB185F}"/>
    <cellStyle name="Normal 8 2 4 3 4 4 2" xfId="12055" xr:uid="{6AB7AFB9-0D5C-4860-8677-F9106AF82020}"/>
    <cellStyle name="Normal 8 2 4 3 4 4 2 2" xfId="28815" xr:uid="{9C2FC16A-FB43-458E-A83D-48A4C23305C1}"/>
    <cellStyle name="Normal 8 2 4 3 4 4 2 3" xfId="45574" xr:uid="{9B35C728-012F-439A-9B59-56F46E54EB0F}"/>
    <cellStyle name="Normal 8 2 4 3 4 4 3" xfId="20435" xr:uid="{FFDD776C-5D34-4A81-9B5D-C79FC6ACAC75}"/>
    <cellStyle name="Normal 8 2 4 3 4 4 4" xfId="37194" xr:uid="{71C1BB3B-ADC8-4AEA-B3B9-749A26C29274}"/>
    <cellStyle name="Normal 8 2 4 3 4 5" xfId="10365" xr:uid="{C57E543E-1BC8-40D2-8282-40203855EDAA}"/>
    <cellStyle name="Normal 8 2 4 3 4 5 2" xfId="27125" xr:uid="{65AD9E5B-232F-48A4-89CE-9CF503988F6B}"/>
    <cellStyle name="Normal 8 2 4 3 4 5 3" xfId="43884" xr:uid="{C9B1E4F1-1643-4A09-A824-C49DF80E8A3E}"/>
    <cellStyle name="Normal 8 2 4 3 4 6" xfId="18745" xr:uid="{1BDE2007-0FE3-490E-AEA4-2FD31659C6D3}"/>
    <cellStyle name="Normal 8 2 4 3 4 7" xfId="35504" xr:uid="{7A0E7465-803D-42ED-B54D-7FD0DA18CF26}"/>
    <cellStyle name="Normal 8 2 4 3 5" xfId="4095" xr:uid="{85CEDFBF-B73A-499F-BA89-668BAC45729C}"/>
    <cellStyle name="Normal 8 2 4 3 5 2" xfId="12475" xr:uid="{5997E896-773C-4EDB-90F8-60CB8437305F}"/>
    <cellStyle name="Normal 8 2 4 3 5 2 2" xfId="29235" xr:uid="{75DF5606-240D-458D-B97A-1EE426792E33}"/>
    <cellStyle name="Normal 8 2 4 3 5 2 3" xfId="45994" xr:uid="{6D180A85-0855-4764-9E2B-2104BD1A0100}"/>
    <cellStyle name="Normal 8 2 4 3 5 3" xfId="20855" xr:uid="{1F3F4C55-2DDF-4F9C-AE65-C8F5E210B733}"/>
    <cellStyle name="Normal 8 2 4 3 5 4" xfId="37614" xr:uid="{BC7B90AF-651C-4CC4-A1E4-87D8D27E841F}"/>
    <cellStyle name="Normal 8 2 4 3 6" xfId="5797" xr:uid="{E5C3940B-6E29-430F-B1F4-BEAD1212A3E9}"/>
    <cellStyle name="Normal 8 2 4 3 6 2" xfId="14177" xr:uid="{9BD36070-C703-4BBE-A2F4-1A53485E007F}"/>
    <cellStyle name="Normal 8 2 4 3 6 2 2" xfId="30937" xr:uid="{B1B7A0E2-1B25-414A-B365-A2DCB5965160}"/>
    <cellStyle name="Normal 8 2 4 3 6 2 3" xfId="47696" xr:uid="{B8ED36AF-D769-47A8-9F73-0158CBBBE9CA}"/>
    <cellStyle name="Normal 8 2 4 3 6 3" xfId="22557" xr:uid="{45FCFE73-CE3B-47B6-B858-50B8C84FE1BB}"/>
    <cellStyle name="Normal 8 2 4 3 6 4" xfId="39316" xr:uid="{217BC54F-3158-473D-A6B1-CEACC1142027}"/>
    <cellStyle name="Normal 8 2 4 3 7" xfId="7458" xr:uid="{29B8F210-86AD-4E29-854D-001E9D69D75F}"/>
    <cellStyle name="Normal 8 2 4 3 7 2" xfId="15838" xr:uid="{EE45A567-E3C6-4BB0-9DF4-26175C7AA416}"/>
    <cellStyle name="Normal 8 2 4 3 7 2 2" xfId="32598" xr:uid="{A8D1EB27-AC94-44C0-BB77-0C7B267FD641}"/>
    <cellStyle name="Normal 8 2 4 3 7 2 3" xfId="49357" xr:uid="{4DFE6F29-9190-45BA-9F82-06FF68154A9D}"/>
    <cellStyle name="Normal 8 2 4 3 7 3" xfId="24218" xr:uid="{59E0AC2E-7853-4FD0-8B2E-6FB8CDD15217}"/>
    <cellStyle name="Normal 8 2 4 3 7 4" xfId="40977" xr:uid="{78C19560-E2D7-464F-B302-8E651F773F2B}"/>
    <cellStyle name="Normal 8 2 4 3 8" xfId="7864" xr:uid="{4CA3B599-AEDF-4B85-BD98-ABD1DA3C8CF8}"/>
    <cellStyle name="Normal 8 2 4 3 8 2" xfId="16244" xr:uid="{52F0B841-CCA8-4AEE-8914-0B7DB4A2D032}"/>
    <cellStyle name="Normal 8 2 4 3 8 2 2" xfId="33004" xr:uid="{D75D010B-86BF-494C-9827-35E40A205438}"/>
    <cellStyle name="Normal 8 2 4 3 8 2 3" xfId="49763" xr:uid="{77FF85E8-42E3-4BFA-BDBA-1FF9C5455A86}"/>
    <cellStyle name="Normal 8 2 4 3 8 3" xfId="24624" xr:uid="{6515A96B-A8D8-4B21-A753-90223B993538}"/>
    <cellStyle name="Normal 8 2 4 3 8 4" xfId="41383" xr:uid="{3B28B5E2-9AF6-4FF5-B5A2-F54B375D41FE}"/>
    <cellStyle name="Normal 8 2 4 3 9" xfId="8270" xr:uid="{B0B8C5F3-72B6-44AE-A15A-C2228F5C78AF}"/>
    <cellStyle name="Normal 8 2 4 3 9 2" xfId="16650" xr:uid="{E87C04FB-DEF0-495E-9581-9C904E3B6525}"/>
    <cellStyle name="Normal 8 2 4 3 9 2 2" xfId="33410" xr:uid="{D3EFC225-3FDD-496C-965C-AB3F17B7B040}"/>
    <cellStyle name="Normal 8 2 4 3 9 2 3" xfId="50169" xr:uid="{57AF9977-BC6A-44D8-993C-52C8C7A2874A}"/>
    <cellStyle name="Normal 8 2 4 3 9 3" xfId="25030" xr:uid="{770F3C64-5AAD-49D3-887C-4BC9EEAE4DAE}"/>
    <cellStyle name="Normal 8 2 4 3 9 4" xfId="41789" xr:uid="{7E2E2B84-3CD3-4530-9F22-E9AECBB5FA35}"/>
    <cellStyle name="Normal 8 2 4 4" xfId="1139" xr:uid="{9F581ED1-545A-4BCB-A336-BEB5DB2D90C3}"/>
    <cellStyle name="Normal 8 2 4 4 2" xfId="4534" xr:uid="{293E019E-9F9A-4964-9848-4A200FF397AA}"/>
    <cellStyle name="Normal 8 2 4 4 2 2" xfId="12914" xr:uid="{B181049F-D1B2-453A-BEE4-B17F44627FCB}"/>
    <cellStyle name="Normal 8 2 4 4 2 2 2" xfId="29674" xr:uid="{E2F53550-3E51-41D0-82CF-A15F0F2B5D4F}"/>
    <cellStyle name="Normal 8 2 4 4 2 2 3" xfId="46433" xr:uid="{B025F157-E9DE-47FF-B90C-F990150BA9A3}"/>
    <cellStyle name="Normal 8 2 4 4 2 3" xfId="21294" xr:uid="{A5211C14-DCF8-4916-AB55-75DD2F8E50B3}"/>
    <cellStyle name="Normal 8 2 4 4 2 4" xfId="38053" xr:uid="{A48CBE39-A523-49C2-942C-1BD03D4228E5}"/>
    <cellStyle name="Normal 8 2 4 4 3" xfId="6221" xr:uid="{F3A7230F-B134-43AC-B6AD-885749904B9C}"/>
    <cellStyle name="Normal 8 2 4 4 3 2" xfId="14601" xr:uid="{A136F438-35FF-4331-8C7F-AAC3EF082FA5}"/>
    <cellStyle name="Normal 8 2 4 4 3 2 2" xfId="31361" xr:uid="{A661CA97-B522-4AAA-ADAC-FF2A8BEA09C2}"/>
    <cellStyle name="Normal 8 2 4 4 3 2 3" xfId="48120" xr:uid="{5A34DC7F-6C3A-4BAC-ACB3-27EC44F3F8CA}"/>
    <cellStyle name="Normal 8 2 4 4 3 3" xfId="22981" xr:uid="{9B02F1A4-1CB4-4980-882B-352C629BAA66}"/>
    <cellStyle name="Normal 8 2 4 4 3 4" xfId="39740" xr:uid="{4674436E-639D-41A4-A177-01D4865A205E}"/>
    <cellStyle name="Normal 8 2 4 4 4" xfId="2957" xr:uid="{CAEA09EB-9DC1-462D-9C10-FC8C0C5FDCEA}"/>
    <cellStyle name="Normal 8 2 4 4 4 2" xfId="11337" xr:uid="{90FB3D0C-1AE5-44AC-BB95-1E39DC923DCD}"/>
    <cellStyle name="Normal 8 2 4 4 4 2 2" xfId="28097" xr:uid="{AF27AC04-87F6-4611-BD8F-31DDF78BE2FC}"/>
    <cellStyle name="Normal 8 2 4 4 4 2 3" xfId="44856" xr:uid="{56A227CF-E91C-4802-9349-FBF01508CE04}"/>
    <cellStyle name="Normal 8 2 4 4 4 3" xfId="19717" xr:uid="{7DAA60FC-AD75-4313-A6CB-AE1B99524A8F}"/>
    <cellStyle name="Normal 8 2 4 4 4 4" xfId="36476" xr:uid="{EE660117-4E85-4A66-9A46-942663AA38D3}"/>
    <cellStyle name="Normal 8 2 4 4 5" xfId="9534" xr:uid="{BBAE36C5-A895-4923-A72D-6EFA42F0A85A}"/>
    <cellStyle name="Normal 8 2 4 4 5 2" xfId="26294" xr:uid="{B8AD7F39-3B00-449B-8FC6-A4F2CF801FDE}"/>
    <cellStyle name="Normal 8 2 4 4 5 3" xfId="43053" xr:uid="{097AC0E8-6E90-4E84-89A2-CDF9AC9C1553}"/>
    <cellStyle name="Normal 8 2 4 4 6" xfId="17914" xr:uid="{58989D4B-9A03-4AE5-AFA6-83A1ED872FDE}"/>
    <cellStyle name="Normal 8 2 4 4 7" xfId="34673" xr:uid="{A5B7AB34-B7AE-4969-9E5D-92CD649C0DEC}"/>
    <cellStyle name="Normal 8 2 4 5" xfId="1573" xr:uid="{33FC7463-0B9A-4E1C-A3B1-FADC64CD84BE}"/>
    <cellStyle name="Normal 8 2 4 5 2" xfId="4962" xr:uid="{BE97EDEE-6C9C-4297-8A16-E944FE8AE8F5}"/>
    <cellStyle name="Normal 8 2 4 5 2 2" xfId="13342" xr:uid="{A61D7EA9-51CB-48E9-BA5C-F8448C2B7C93}"/>
    <cellStyle name="Normal 8 2 4 5 2 2 2" xfId="30102" xr:uid="{5835B05B-3E10-4050-8B97-76295AB67A96}"/>
    <cellStyle name="Normal 8 2 4 5 2 2 3" xfId="46861" xr:uid="{653FADCB-4EBD-4320-BC5E-14278F29D68E}"/>
    <cellStyle name="Normal 8 2 4 5 2 3" xfId="21722" xr:uid="{3B7C6D2F-F469-4569-93BE-8DD66DAFCE15}"/>
    <cellStyle name="Normal 8 2 4 5 2 4" xfId="38481" xr:uid="{2E8F15A4-049C-4D1B-B796-A785338F90D8}"/>
    <cellStyle name="Normal 8 2 4 5 3" xfId="6649" xr:uid="{E47E6D5C-F266-4947-AD1C-5D2AB5C6EBE3}"/>
    <cellStyle name="Normal 8 2 4 5 3 2" xfId="15029" xr:uid="{7460C960-983A-40ED-B6A2-6D288D5034FF}"/>
    <cellStyle name="Normal 8 2 4 5 3 2 2" xfId="31789" xr:uid="{A6EBFACA-F88A-4818-8327-DA98A7D5288D}"/>
    <cellStyle name="Normal 8 2 4 5 3 2 3" xfId="48548" xr:uid="{BAB9CDC8-898C-46AA-9BDD-E5BF686F1550}"/>
    <cellStyle name="Normal 8 2 4 5 3 3" xfId="23409" xr:uid="{6306466F-5463-4721-A8CC-4625B0D85B27}"/>
    <cellStyle name="Normal 8 2 4 5 3 4" xfId="40168" xr:uid="{54D9CF08-D64D-412B-A020-3750EF9D9DCD}"/>
    <cellStyle name="Normal 8 2 4 5 4" xfId="3385" xr:uid="{1E77A934-6C67-4869-8D7B-F67BD6620844}"/>
    <cellStyle name="Normal 8 2 4 5 4 2" xfId="11765" xr:uid="{CF876741-506E-47C6-9A75-F18FE092EB7D}"/>
    <cellStyle name="Normal 8 2 4 5 4 2 2" xfId="28525" xr:uid="{47DD11EB-3187-4BA4-A0CA-AFBE795B7228}"/>
    <cellStyle name="Normal 8 2 4 5 4 2 3" xfId="45284" xr:uid="{3A6C458F-1841-4D00-A10F-D678100BE8D8}"/>
    <cellStyle name="Normal 8 2 4 5 4 3" xfId="20145" xr:uid="{27ED11F3-B205-4B1F-B0BD-B1239D64D22A}"/>
    <cellStyle name="Normal 8 2 4 5 4 4" xfId="36904" xr:uid="{853AB78A-079E-4F32-8797-B8C14BAE565D}"/>
    <cellStyle name="Normal 8 2 4 5 5" xfId="9962" xr:uid="{9E28AF82-74CD-4BA2-B82E-58EF5FC7375F}"/>
    <cellStyle name="Normal 8 2 4 5 5 2" xfId="26722" xr:uid="{29494C4F-6829-4944-A957-58F9DE42745F}"/>
    <cellStyle name="Normal 8 2 4 5 5 3" xfId="43481" xr:uid="{BEDF144F-13B2-4BA9-9C4A-F6E64BFCDB71}"/>
    <cellStyle name="Normal 8 2 4 5 6" xfId="18342" xr:uid="{9CD7D4BC-CCAE-4755-B8C6-5250AC6C8149}"/>
    <cellStyle name="Normal 8 2 4 5 7" xfId="35101" xr:uid="{3FD6354F-5F0E-4C12-AEE3-22AC8C0647A2}"/>
    <cellStyle name="Normal 8 2 4 6" xfId="1705" xr:uid="{4DCE5981-2B4F-43B8-8536-4310CCC902F9}"/>
    <cellStyle name="Normal 8 2 4 6 2" xfId="5094" xr:uid="{AF70A323-A517-4E95-8510-F26C8200B43E}"/>
    <cellStyle name="Normal 8 2 4 6 2 2" xfId="13474" xr:uid="{B4FAF6D4-0552-4651-84A8-15FD59082536}"/>
    <cellStyle name="Normal 8 2 4 6 2 2 2" xfId="30234" xr:uid="{BF269EA2-5810-4C54-8421-DCB512A02223}"/>
    <cellStyle name="Normal 8 2 4 6 2 2 3" xfId="46993" xr:uid="{5DCFE3DB-B4B4-41B8-BF5B-F52278D45898}"/>
    <cellStyle name="Normal 8 2 4 6 2 3" xfId="21854" xr:uid="{11413D52-14D9-461C-B2B5-87B791A90488}"/>
    <cellStyle name="Normal 8 2 4 6 2 4" xfId="38613" xr:uid="{1BBADA60-F50A-44F2-A974-D93E8876FFE6}"/>
    <cellStyle name="Normal 8 2 4 6 3" xfId="6781" xr:uid="{69A28B2C-6403-4FA8-ACE6-72F894FD6F64}"/>
    <cellStyle name="Normal 8 2 4 6 3 2" xfId="15161" xr:uid="{13EDA902-D980-4B74-B9FD-AB34F88777A7}"/>
    <cellStyle name="Normal 8 2 4 6 3 2 2" xfId="31921" xr:uid="{D21FC286-53D0-4CEB-B35A-255447D3935F}"/>
    <cellStyle name="Normal 8 2 4 6 3 2 3" xfId="48680" xr:uid="{B3EBDD54-6BFE-426E-9E88-DEE29440AEB6}"/>
    <cellStyle name="Normal 8 2 4 6 3 3" xfId="23541" xr:uid="{724A3751-4531-4883-A010-5A8CA99C1F26}"/>
    <cellStyle name="Normal 8 2 4 6 3 4" xfId="40300" xr:uid="{4C572F23-C7AE-4597-BCA8-2589C4B68BB8}"/>
    <cellStyle name="Normal 8 2 4 6 4" xfId="2529" xr:uid="{7E2CC2B8-E981-4E21-B0A9-B1C6AEED906A}"/>
    <cellStyle name="Normal 8 2 4 6 4 2" xfId="10911" xr:uid="{5D3C4BB0-8C89-4468-98EB-A25CBE477413}"/>
    <cellStyle name="Normal 8 2 4 6 4 2 2" xfId="27671" xr:uid="{282E8D03-8C2C-4B00-B65F-B7E6AA0BE11A}"/>
    <cellStyle name="Normal 8 2 4 6 4 2 3" xfId="44430" xr:uid="{6900E8B5-AC71-46CA-B069-A46CEDE2D3EB}"/>
    <cellStyle name="Normal 8 2 4 6 4 3" xfId="19291" xr:uid="{72C75C45-1227-458D-878A-8337951F4F34}"/>
    <cellStyle name="Normal 8 2 4 6 4 4" xfId="36050" xr:uid="{CF7E9D38-A7C0-467E-8EF8-A87A6629A1EF}"/>
    <cellStyle name="Normal 8 2 4 6 5" xfId="10094" xr:uid="{B65D0442-CC6F-4BE6-8A3A-89D3AEF0D855}"/>
    <cellStyle name="Normal 8 2 4 6 5 2" xfId="26854" xr:uid="{2BB5424B-3F8D-4A6D-8EF5-9545653AFB52}"/>
    <cellStyle name="Normal 8 2 4 6 5 3" xfId="43613" xr:uid="{1F45F0F5-3B09-4F6F-96B8-078F551792A1}"/>
    <cellStyle name="Normal 8 2 4 6 6" xfId="18474" xr:uid="{BBFBA249-B146-4478-9AC4-85C11ED4FCAD}"/>
    <cellStyle name="Normal 8 2 4 6 7" xfId="35233" xr:uid="{0617996A-10FF-4B65-A9DC-36EC3324D365}"/>
    <cellStyle name="Normal 8 2 4 7" xfId="3823" xr:uid="{95B10BAA-3C2B-4E44-BBF6-06E1A7FFD922}"/>
    <cellStyle name="Normal 8 2 4 7 2" xfId="12203" xr:uid="{3647F519-F236-4B58-8E6D-9F37B9D005C1}"/>
    <cellStyle name="Normal 8 2 4 7 2 2" xfId="28963" xr:uid="{414E75C0-9C38-42C5-ADDB-F614DD368643}"/>
    <cellStyle name="Normal 8 2 4 7 2 3" xfId="45722" xr:uid="{055BC965-05CC-4ED8-BC59-48044C7EBCB2}"/>
    <cellStyle name="Normal 8 2 4 7 3" xfId="20583" xr:uid="{35253647-4B5F-485F-9746-4170D9EA8809}"/>
    <cellStyle name="Normal 8 2 4 7 4" xfId="37342" xr:uid="{247748ED-A41E-4119-BC17-7DDC07D025EE}"/>
    <cellStyle name="Normal 8 2 4 8" xfId="5795" xr:uid="{2E8C0442-96B0-47D1-A14E-1E234643AF30}"/>
    <cellStyle name="Normal 8 2 4 8 2" xfId="14175" xr:uid="{629660D0-63AE-4282-A819-AFF7461D79C7}"/>
    <cellStyle name="Normal 8 2 4 8 2 2" xfId="30935" xr:uid="{A11FDB8C-B064-4E2C-BAA6-0A18EFF37037}"/>
    <cellStyle name="Normal 8 2 4 8 2 3" xfId="47694" xr:uid="{8B83FE1B-D981-4CE6-BCC7-B459D5FDB58C}"/>
    <cellStyle name="Normal 8 2 4 8 3" xfId="22555" xr:uid="{0D949EEA-A250-45E7-868D-A40A3B089C7C}"/>
    <cellStyle name="Normal 8 2 4 8 4" xfId="39314" xr:uid="{D2007A82-AD25-442C-8C44-110EE7D48621}"/>
    <cellStyle name="Normal 8 2 4 9" xfId="7187" xr:uid="{5500F7DF-57EC-4B66-A17B-044ACD79432E}"/>
    <cellStyle name="Normal 8 2 4 9 2" xfId="15567" xr:uid="{DC3D6046-175C-46FE-B138-80BBC3556668}"/>
    <cellStyle name="Normal 8 2 4 9 2 2" xfId="32327" xr:uid="{7DB2DB7D-8FCA-4F6E-BE86-F1D546D28E53}"/>
    <cellStyle name="Normal 8 2 4 9 2 3" xfId="49086" xr:uid="{AC781634-3911-4034-A0AA-0E6008A4EAC7}"/>
    <cellStyle name="Normal 8 2 4 9 3" xfId="23947" xr:uid="{9A011B4C-E809-492D-92F7-E6A70E672C00}"/>
    <cellStyle name="Normal 8 2 4 9 4" xfId="40706" xr:uid="{23C69C0E-C7E2-4FF8-9115-D3377FF49130}"/>
    <cellStyle name="Normal 8 2 5" xfId="703" xr:uid="{CF683AC3-6CE9-4A9F-8ED8-87900C4E02A0}"/>
    <cellStyle name="Normal 8 2 5 10" xfId="7635" xr:uid="{40D6095D-F1B9-48C6-A6F9-116BFA695E10}"/>
    <cellStyle name="Normal 8 2 5 10 2" xfId="16015" xr:uid="{1D990EA5-7165-48AC-AC34-B34C96CD6E05}"/>
    <cellStyle name="Normal 8 2 5 10 2 2" xfId="32775" xr:uid="{239EEEBB-0283-4F90-9144-1E020EC2BBA6}"/>
    <cellStyle name="Normal 8 2 5 10 2 3" xfId="49534" xr:uid="{A312EF0B-FA47-4085-B6C2-39FD95EE910B}"/>
    <cellStyle name="Normal 8 2 5 10 3" xfId="24395" xr:uid="{439B07BB-478A-4907-8DFF-5736CFCB9AED}"/>
    <cellStyle name="Normal 8 2 5 10 4" xfId="41154" xr:uid="{5BC5C568-BBE8-419B-998F-A7188AD9CD4A}"/>
    <cellStyle name="Normal 8 2 5 11" xfId="8041" xr:uid="{15EAB03C-D9FA-4FC0-A8E9-2C0A755FD340}"/>
    <cellStyle name="Normal 8 2 5 11 2" xfId="16421" xr:uid="{8B495695-F577-405E-9865-5B189381476D}"/>
    <cellStyle name="Normal 8 2 5 11 2 2" xfId="33181" xr:uid="{EA99265C-B5A2-40F4-ADE2-DB390916FD27}"/>
    <cellStyle name="Normal 8 2 5 11 2 3" xfId="49940" xr:uid="{66E85890-D41A-4A0B-850E-09F69EFC26F7}"/>
    <cellStyle name="Normal 8 2 5 11 3" xfId="24801" xr:uid="{3FABBFD6-D0E7-46ED-9AE9-B01530C38286}"/>
    <cellStyle name="Normal 8 2 5 11 4" xfId="41560" xr:uid="{A821E06D-D4D2-466B-BC01-833051393421}"/>
    <cellStyle name="Normal 8 2 5 12" xfId="8447" xr:uid="{CF09094F-3A45-437D-BF81-3D6DAFCFAFC1}"/>
    <cellStyle name="Normal 8 2 5 12 2" xfId="16827" xr:uid="{5F45BFC3-7AAB-481C-B711-5B6C0433154B}"/>
    <cellStyle name="Normal 8 2 5 12 2 2" xfId="33587" xr:uid="{7A353A86-F5E2-41C1-9AF5-23C13C12BEB3}"/>
    <cellStyle name="Normal 8 2 5 12 2 3" xfId="50346" xr:uid="{58465CE2-FC3A-40E3-809B-D6097CE11BAA}"/>
    <cellStyle name="Normal 8 2 5 12 3" xfId="25207" xr:uid="{FB8BAE8B-CCA7-446E-B46B-2F95D1B2984D}"/>
    <cellStyle name="Normal 8 2 5 12 4" xfId="41966" xr:uid="{7BB3B1DC-C12D-4873-9010-B4C1CC7D2E1E}"/>
    <cellStyle name="Normal 8 2 5 13" xfId="2134" xr:uid="{E5CAE552-F25D-45F4-9EE9-38AAEEE9FD78}"/>
    <cellStyle name="Normal 8 2 5 13 2" xfId="10522" xr:uid="{195E4D23-C851-4FA6-8C06-88075EDCE5E5}"/>
    <cellStyle name="Normal 8 2 5 13 2 2" xfId="27282" xr:uid="{6E16338E-708F-488A-B855-50708EAC8942}"/>
    <cellStyle name="Normal 8 2 5 13 2 3" xfId="44041" xr:uid="{A610B18B-F8C0-4142-9A57-A3B6794099AF}"/>
    <cellStyle name="Normal 8 2 5 13 3" xfId="18902" xr:uid="{E498ECA8-857C-4A1F-90AB-E8372F65CE10}"/>
    <cellStyle name="Normal 8 2 5 13 4" xfId="35661" xr:uid="{7FD93A26-16EA-40E0-BA83-CFAE5A68348B}"/>
    <cellStyle name="Normal 8 2 5 14" xfId="9111" xr:uid="{186770EB-B009-498B-89E4-D4D59087279D}"/>
    <cellStyle name="Normal 8 2 5 14 2" xfId="25871" xr:uid="{0C89D18A-247F-4AEC-9C64-CBEF2BFEBE85}"/>
    <cellStyle name="Normal 8 2 5 14 3" xfId="42630" xr:uid="{9CEC72EE-A6E8-414A-92C9-E2150602DCE1}"/>
    <cellStyle name="Normal 8 2 5 15" xfId="17491" xr:uid="{587CB5AB-A439-4E76-B693-9C345056E264}"/>
    <cellStyle name="Normal 8 2 5 16" xfId="34250" xr:uid="{348876B8-FC83-4670-A8DA-31C8FC62878F}"/>
    <cellStyle name="Normal 8 2 5 2" xfId="704" xr:uid="{65ADF28C-44FB-4348-81C2-2B9BD58E6A0D}"/>
    <cellStyle name="Normal 8 2 5 2 10" xfId="8576" xr:uid="{76F1E704-021D-4905-A663-B1DC4910A7A1}"/>
    <cellStyle name="Normal 8 2 5 2 10 2" xfId="16956" xr:uid="{D132169B-48EE-49B8-B086-788B047978A0}"/>
    <cellStyle name="Normal 8 2 5 2 10 2 2" xfId="33716" xr:uid="{B114D59A-F326-442B-BF1F-85A292C5C224}"/>
    <cellStyle name="Normal 8 2 5 2 10 2 3" xfId="50475" xr:uid="{01C9201C-54D3-4B12-97FA-C6FB1D8CC56E}"/>
    <cellStyle name="Normal 8 2 5 2 10 3" xfId="25336" xr:uid="{7575028F-D77F-471A-AD92-703C9DF4A8A9}"/>
    <cellStyle name="Normal 8 2 5 2 10 4" xfId="42095" xr:uid="{9B65ADC3-17C1-45BD-A1A9-76A16B4D28AD}"/>
    <cellStyle name="Normal 8 2 5 2 11" xfId="2533" xr:uid="{AA671F20-CACF-40DC-863A-550ADA5E4701}"/>
    <cellStyle name="Normal 8 2 5 2 11 2" xfId="10915" xr:uid="{4EDA2C48-1627-4CD2-A49B-452D835ABEF1}"/>
    <cellStyle name="Normal 8 2 5 2 11 2 2" xfId="27675" xr:uid="{2209CF81-02C5-499A-9663-01E183369ABB}"/>
    <cellStyle name="Normal 8 2 5 2 11 2 3" xfId="44434" xr:uid="{579919AF-9B45-43D8-A1E0-0783DCFCEAE4}"/>
    <cellStyle name="Normal 8 2 5 2 11 3" xfId="19295" xr:uid="{C0077FFC-7C87-44A3-BFAA-7BC22B4D0326}"/>
    <cellStyle name="Normal 8 2 5 2 11 4" xfId="36054" xr:uid="{40AF07B9-3CA7-4E78-841D-368236A2D1B0}"/>
    <cellStyle name="Normal 8 2 5 2 12" xfId="9112" xr:uid="{6B5FBF0D-016E-4E8B-9FCD-748C8AA3E417}"/>
    <cellStyle name="Normal 8 2 5 2 12 2" xfId="25872" xr:uid="{8DD29911-6C33-400D-A349-CD60ED48BA18}"/>
    <cellStyle name="Normal 8 2 5 2 12 3" xfId="42631" xr:uid="{63CB3D48-8883-4816-A059-6D6AC5D40B9D}"/>
    <cellStyle name="Normal 8 2 5 2 13" xfId="17492" xr:uid="{749EA6BD-3EEC-4F7F-9B9D-B071DDE86CEC}"/>
    <cellStyle name="Normal 8 2 5 2 14" xfId="34251" xr:uid="{C8D040E2-669D-40A3-92E2-01418503803E}"/>
    <cellStyle name="Normal 8 2 5 2 2" xfId="1143" xr:uid="{A40CB7FB-E1B0-421A-B5B2-AF2ACF7E1AF1}"/>
    <cellStyle name="Normal 8 2 5 2 2 2" xfId="4538" xr:uid="{3572AB93-C173-448D-BE19-4ED35696477D}"/>
    <cellStyle name="Normal 8 2 5 2 2 2 2" xfId="12918" xr:uid="{B8B55F60-9E22-4922-8BAA-39A9761B7693}"/>
    <cellStyle name="Normal 8 2 5 2 2 2 2 2" xfId="29678" xr:uid="{118A7BB2-2EBF-4004-97DA-F260A9041D41}"/>
    <cellStyle name="Normal 8 2 5 2 2 2 2 3" xfId="46437" xr:uid="{DC1DBFC3-EE28-4C7E-AF8F-F56407FFE4A4}"/>
    <cellStyle name="Normal 8 2 5 2 2 2 3" xfId="21298" xr:uid="{93813DC3-D2E9-4EDD-8246-41CA25A03053}"/>
    <cellStyle name="Normal 8 2 5 2 2 2 4" xfId="38057" xr:uid="{5C3DCC40-9894-41F2-8B52-901924DD49AB}"/>
    <cellStyle name="Normal 8 2 5 2 2 3" xfId="6225" xr:uid="{9C7ACFEE-BA7B-450B-939F-5E92E6A8E7B5}"/>
    <cellStyle name="Normal 8 2 5 2 2 3 2" xfId="14605" xr:uid="{9C77DD2E-0C91-48BB-9DE7-7C03725A1D4C}"/>
    <cellStyle name="Normal 8 2 5 2 2 3 2 2" xfId="31365" xr:uid="{6E142075-0A97-41B3-829F-44F9EA410A4D}"/>
    <cellStyle name="Normal 8 2 5 2 2 3 2 3" xfId="48124" xr:uid="{7EA66C8F-5BB2-4DF5-A0FB-5EC65245D586}"/>
    <cellStyle name="Normal 8 2 5 2 2 3 3" xfId="22985" xr:uid="{33D69EEC-B172-4F02-96C0-B350AF76F2B5}"/>
    <cellStyle name="Normal 8 2 5 2 2 3 4" xfId="39744" xr:uid="{922D952C-3ACA-48FB-889F-890E9AE26F34}"/>
    <cellStyle name="Normal 8 2 5 2 2 4" xfId="2961" xr:uid="{32905F62-402A-4AAF-9E86-00102494BB69}"/>
    <cellStyle name="Normal 8 2 5 2 2 4 2" xfId="11341" xr:uid="{332E577A-14A7-4DF1-BEED-77590F9618E3}"/>
    <cellStyle name="Normal 8 2 5 2 2 4 2 2" xfId="28101" xr:uid="{1F9B0041-33CF-4408-92E3-7F147CE2C41E}"/>
    <cellStyle name="Normal 8 2 5 2 2 4 2 3" xfId="44860" xr:uid="{99978F54-61E9-4657-9EF3-6AA765F66A55}"/>
    <cellStyle name="Normal 8 2 5 2 2 4 3" xfId="19721" xr:uid="{7B015855-97A3-42E5-B02F-FAB3B38D65A2}"/>
    <cellStyle name="Normal 8 2 5 2 2 4 4" xfId="36480" xr:uid="{B349F2EF-1ED2-4DD7-A015-A55E3A3AE00D}"/>
    <cellStyle name="Normal 8 2 5 2 2 5" xfId="9538" xr:uid="{FBA72205-6251-4B2E-8279-40DB551654BA}"/>
    <cellStyle name="Normal 8 2 5 2 2 5 2" xfId="26298" xr:uid="{F1BEE41C-A9C2-4866-B15C-37EF185113DF}"/>
    <cellStyle name="Normal 8 2 5 2 2 5 3" xfId="43057" xr:uid="{603CD97D-704A-4255-8C59-D20326045158}"/>
    <cellStyle name="Normal 8 2 5 2 2 6" xfId="17918" xr:uid="{A890ADC8-0476-4A47-B65F-9782C1AC9BF0}"/>
    <cellStyle name="Normal 8 2 5 2 2 7" xfId="34677" xr:uid="{4CB7B807-AC9D-464B-804A-23606A94F627}"/>
    <cellStyle name="Normal 8 2 5 2 3" xfId="1577" xr:uid="{F2D9F73C-D102-4906-B5E5-06413FB98F76}"/>
    <cellStyle name="Normal 8 2 5 2 3 2" xfId="4966" xr:uid="{6F12C1C1-8476-4FC8-85A3-793FF8E050A2}"/>
    <cellStyle name="Normal 8 2 5 2 3 2 2" xfId="13346" xr:uid="{BA51FADA-4D89-4D4E-9761-BA9919BD6D15}"/>
    <cellStyle name="Normal 8 2 5 2 3 2 2 2" xfId="30106" xr:uid="{DF871457-09AA-4923-99EC-119FC17F0A89}"/>
    <cellStyle name="Normal 8 2 5 2 3 2 2 3" xfId="46865" xr:uid="{4682BA3C-70C4-47CA-B912-F1FF49F96BEA}"/>
    <cellStyle name="Normal 8 2 5 2 3 2 3" xfId="21726" xr:uid="{B6F127A2-0B4F-4F23-8933-4213FF17E9F6}"/>
    <cellStyle name="Normal 8 2 5 2 3 2 4" xfId="38485" xr:uid="{3073A262-429B-44C0-B5E9-3D128F78D861}"/>
    <cellStyle name="Normal 8 2 5 2 3 3" xfId="6653" xr:uid="{74597FA2-D336-4042-B0BD-22113369754A}"/>
    <cellStyle name="Normal 8 2 5 2 3 3 2" xfId="15033" xr:uid="{CCDE49AF-028B-474B-9663-2A9EEC224A54}"/>
    <cellStyle name="Normal 8 2 5 2 3 3 2 2" xfId="31793" xr:uid="{90291C6B-F3AD-4590-B533-68E326B9DE2D}"/>
    <cellStyle name="Normal 8 2 5 2 3 3 2 3" xfId="48552" xr:uid="{71D3B823-23D6-4323-AF09-3DAA92DE2FB4}"/>
    <cellStyle name="Normal 8 2 5 2 3 3 3" xfId="23413" xr:uid="{916AAE9F-7E56-4C77-B27C-D80DB7632C43}"/>
    <cellStyle name="Normal 8 2 5 2 3 3 4" xfId="40172" xr:uid="{31E5A18D-E28E-416D-8860-8BA46896DF25}"/>
    <cellStyle name="Normal 8 2 5 2 3 4" xfId="3389" xr:uid="{3F4C21A4-C06D-43D2-86E7-BFC87951AC52}"/>
    <cellStyle name="Normal 8 2 5 2 3 4 2" xfId="11769" xr:uid="{3DA1AEE5-876F-461F-9118-4CA92F74977E}"/>
    <cellStyle name="Normal 8 2 5 2 3 4 2 2" xfId="28529" xr:uid="{66995BDB-59C5-4BA2-B931-A3848C6538AB}"/>
    <cellStyle name="Normal 8 2 5 2 3 4 2 3" xfId="45288" xr:uid="{28499F1B-CD74-48D5-98C9-58685CBDAE0E}"/>
    <cellStyle name="Normal 8 2 5 2 3 4 3" xfId="20149" xr:uid="{4E44A553-20EC-4C97-9A36-94B2B9BC3FC1}"/>
    <cellStyle name="Normal 8 2 5 2 3 4 4" xfId="36908" xr:uid="{ED9375A3-55EE-49C5-BD37-F4A25014B6C5}"/>
    <cellStyle name="Normal 8 2 5 2 3 5" xfId="9966" xr:uid="{6898BC6E-9FB2-4377-8574-8D9BF1184B5B}"/>
    <cellStyle name="Normal 8 2 5 2 3 5 2" xfId="26726" xr:uid="{5EF89967-8DEE-47E3-8F65-ACC57EFE7FA9}"/>
    <cellStyle name="Normal 8 2 5 2 3 5 3" xfId="43485" xr:uid="{CC8DEE97-F1DA-4448-8B76-757ABDC88F73}"/>
    <cellStyle name="Normal 8 2 5 2 3 6" xfId="18346" xr:uid="{3A3B63C0-997D-4FA3-9F67-AD820DD891F5}"/>
    <cellStyle name="Normal 8 2 5 2 3 7" xfId="35105" xr:uid="{360029F8-E148-4A9F-AE98-A1ED2EF1AA94}"/>
    <cellStyle name="Normal 8 2 5 2 4" xfId="1876" xr:uid="{CCD38A08-EE30-4F50-8B2B-A42E40E13CF5}"/>
    <cellStyle name="Normal 8 2 5 2 4 2" xfId="5265" xr:uid="{46F6E8D8-942C-452F-B52E-1A53C00CEFCD}"/>
    <cellStyle name="Normal 8 2 5 2 4 2 2" xfId="13645" xr:uid="{AD733C3A-E719-4137-A8B3-A7FA86C73B3C}"/>
    <cellStyle name="Normal 8 2 5 2 4 2 2 2" xfId="30405" xr:uid="{6966BB32-F6AF-4865-B116-8303E256B4D5}"/>
    <cellStyle name="Normal 8 2 5 2 4 2 2 3" xfId="47164" xr:uid="{42F38B0A-ED8E-41D4-B5D1-82710A5774D0}"/>
    <cellStyle name="Normal 8 2 5 2 4 2 3" xfId="22025" xr:uid="{291C61CC-4403-4E45-B971-30B571F26DE0}"/>
    <cellStyle name="Normal 8 2 5 2 4 2 4" xfId="38784" xr:uid="{CCF469F1-9BF2-4C21-9A14-DE8BCEC05436}"/>
    <cellStyle name="Normal 8 2 5 2 4 3" xfId="6952" xr:uid="{1223F88D-0BA0-4D50-B883-F83ACC45AD4F}"/>
    <cellStyle name="Normal 8 2 5 2 4 3 2" xfId="15332" xr:uid="{DEAA394A-CD2F-409B-B7CA-D3B1B2578773}"/>
    <cellStyle name="Normal 8 2 5 2 4 3 2 2" xfId="32092" xr:uid="{7DD14DF9-621A-472B-AF69-D5DF1C1EE45A}"/>
    <cellStyle name="Normal 8 2 5 2 4 3 2 3" xfId="48851" xr:uid="{2E29D4A7-BC86-45E1-89B9-E47D225C3FD9}"/>
    <cellStyle name="Normal 8 2 5 2 4 3 3" xfId="23712" xr:uid="{68BA547D-466B-423A-8E10-C1FE92FA383F}"/>
    <cellStyle name="Normal 8 2 5 2 4 3 4" xfId="40471" xr:uid="{5F180894-B2CE-4189-9F52-796A0FE920DF}"/>
    <cellStyle name="Normal 8 2 5 2 4 4" xfId="3575" xr:uid="{8EE21760-61FA-44E3-939A-F1DA79D6924B}"/>
    <cellStyle name="Normal 8 2 5 2 4 4 2" xfId="11955" xr:uid="{208E1D21-A6C5-4FFE-A5D8-8E70C20A7145}"/>
    <cellStyle name="Normal 8 2 5 2 4 4 2 2" xfId="28715" xr:uid="{9490B6BC-33C8-42DA-B6D7-FF48E6F79C6D}"/>
    <cellStyle name="Normal 8 2 5 2 4 4 2 3" xfId="45474" xr:uid="{2672E4C8-C0AD-444C-AB17-0F8C5C4EB349}"/>
    <cellStyle name="Normal 8 2 5 2 4 4 3" xfId="20335" xr:uid="{F0A3284C-BB0F-4E59-B000-043633D0B6C3}"/>
    <cellStyle name="Normal 8 2 5 2 4 4 4" xfId="37094" xr:uid="{1E977F9C-3A24-432D-A6DC-A4CC70134047}"/>
    <cellStyle name="Normal 8 2 5 2 4 5" xfId="10265" xr:uid="{447DC7CF-75BA-4A42-9C50-4CFF18915727}"/>
    <cellStyle name="Normal 8 2 5 2 4 5 2" xfId="27025" xr:uid="{D6C26D5D-5114-450F-B865-DD5B7785513A}"/>
    <cellStyle name="Normal 8 2 5 2 4 5 3" xfId="43784" xr:uid="{294F6F35-FDE6-4EFD-A25A-D6E4C6331373}"/>
    <cellStyle name="Normal 8 2 5 2 4 6" xfId="18645" xr:uid="{712A3063-FCC7-49F0-9910-637EB7A4D885}"/>
    <cellStyle name="Normal 8 2 5 2 4 7" xfId="35404" xr:uid="{87B0FEB0-FAEB-477C-89FA-EA45FEAEFD29}"/>
    <cellStyle name="Normal 8 2 5 2 5" xfId="3995" xr:uid="{74F07E25-B0BA-4141-8E62-EDE96A66202C}"/>
    <cellStyle name="Normal 8 2 5 2 5 2" xfId="12375" xr:uid="{137FA805-8ED3-47F5-AA80-A919BAA4EA1E}"/>
    <cellStyle name="Normal 8 2 5 2 5 2 2" xfId="29135" xr:uid="{681FAC4C-5466-456B-91D9-6BE4BB141D99}"/>
    <cellStyle name="Normal 8 2 5 2 5 2 3" xfId="45894" xr:uid="{500F7148-EE5F-4764-A9C9-23B3B5F5BF3E}"/>
    <cellStyle name="Normal 8 2 5 2 5 3" xfId="20755" xr:uid="{9EBE1B5D-2345-4A42-A742-84BC76A7A0C5}"/>
    <cellStyle name="Normal 8 2 5 2 5 4" xfId="37514" xr:uid="{641C4421-81C3-4DD4-8A2B-A8A91C0D5E2F}"/>
    <cellStyle name="Normal 8 2 5 2 6" xfId="5799" xr:uid="{27E5B896-3F5A-426B-90E5-34BFB2E1D76A}"/>
    <cellStyle name="Normal 8 2 5 2 6 2" xfId="14179" xr:uid="{D5383418-89DA-4941-8A9B-F1CE5FB6EACD}"/>
    <cellStyle name="Normal 8 2 5 2 6 2 2" xfId="30939" xr:uid="{FB73DC0C-22DC-4669-8E85-975B4FBA6395}"/>
    <cellStyle name="Normal 8 2 5 2 6 2 3" xfId="47698" xr:uid="{4D0473E9-C9E8-4858-80A8-335CC4D2B81C}"/>
    <cellStyle name="Normal 8 2 5 2 6 3" xfId="22559" xr:uid="{9B900C8A-E647-409F-BDAF-B8D49EFCBE70}"/>
    <cellStyle name="Normal 8 2 5 2 6 4" xfId="39318" xr:uid="{D9D51238-6707-4927-A835-8CD9A08D668F}"/>
    <cellStyle name="Normal 8 2 5 2 7" xfId="7358" xr:uid="{05B49938-C62A-4818-92A8-8809B4B81A2E}"/>
    <cellStyle name="Normal 8 2 5 2 7 2" xfId="15738" xr:uid="{946FF8FA-91BE-4A22-B08A-F4A9EFB5B649}"/>
    <cellStyle name="Normal 8 2 5 2 7 2 2" xfId="32498" xr:uid="{22C7ADA4-E3B8-4989-BC6B-EF7134D74EA3}"/>
    <cellStyle name="Normal 8 2 5 2 7 2 3" xfId="49257" xr:uid="{13BE3B63-CF2E-4FCC-A69A-5CAD0230A16F}"/>
    <cellStyle name="Normal 8 2 5 2 7 3" xfId="24118" xr:uid="{F51F2818-3C10-4185-AAAF-37BEB14FDE5D}"/>
    <cellStyle name="Normal 8 2 5 2 7 4" xfId="40877" xr:uid="{B221F107-E6C7-4206-9421-E9CD35E9213D}"/>
    <cellStyle name="Normal 8 2 5 2 8" xfId="7764" xr:uid="{B4827074-202E-4FAF-ABA9-1B7F1019F5FF}"/>
    <cellStyle name="Normal 8 2 5 2 8 2" xfId="16144" xr:uid="{827E608E-EAE9-4622-8CA3-D1C3970B24BF}"/>
    <cellStyle name="Normal 8 2 5 2 8 2 2" xfId="32904" xr:uid="{40721E11-FCDF-4271-94F1-E17B0187A515}"/>
    <cellStyle name="Normal 8 2 5 2 8 2 3" xfId="49663" xr:uid="{A0DD17D5-03E0-453E-B49D-27756177D533}"/>
    <cellStyle name="Normal 8 2 5 2 8 3" xfId="24524" xr:uid="{17EB7859-39DE-42FE-998E-E524799B0B22}"/>
    <cellStyle name="Normal 8 2 5 2 8 4" xfId="41283" xr:uid="{38AA062E-C7A2-4D1D-8435-78ADD23E4BBC}"/>
    <cellStyle name="Normal 8 2 5 2 9" xfId="8170" xr:uid="{5C7E912E-34C0-44A7-8A51-38BB04269416}"/>
    <cellStyle name="Normal 8 2 5 2 9 2" xfId="16550" xr:uid="{1D2B07F0-6787-4978-AAF5-DF07DFC1F5EC}"/>
    <cellStyle name="Normal 8 2 5 2 9 2 2" xfId="33310" xr:uid="{19F560CF-310A-49DB-B1E5-16DE0122CD1B}"/>
    <cellStyle name="Normal 8 2 5 2 9 2 3" xfId="50069" xr:uid="{199A92B8-B965-4A4D-84FF-FD09996B848D}"/>
    <cellStyle name="Normal 8 2 5 2 9 3" xfId="24930" xr:uid="{C3455EA3-032D-4163-BB50-3058C0925F5D}"/>
    <cellStyle name="Normal 8 2 5 2 9 4" xfId="41689" xr:uid="{DE658141-C222-449D-A797-C0A8E2BF29A9}"/>
    <cellStyle name="Normal 8 2 5 3" xfId="705" xr:uid="{9615E452-5A50-4499-876C-C9D41989F500}"/>
    <cellStyle name="Normal 8 2 5 3 10" xfId="8718" xr:uid="{83F66DBC-549A-4034-8DC1-5DA9931C5BDB}"/>
    <cellStyle name="Normal 8 2 5 3 10 2" xfId="17098" xr:uid="{27FE574A-571E-4EFB-BA0F-04AA7A1F4E8D}"/>
    <cellStyle name="Normal 8 2 5 3 10 2 2" xfId="33858" xr:uid="{3F7195FB-471F-4B2B-ADA6-B074F2E906B7}"/>
    <cellStyle name="Normal 8 2 5 3 10 2 3" xfId="50617" xr:uid="{FBE8D675-1D6A-4188-8938-AECDB682C8D7}"/>
    <cellStyle name="Normal 8 2 5 3 10 3" xfId="25478" xr:uid="{AB9C7764-7DAE-4F17-9500-3E27AFF5E46C}"/>
    <cellStyle name="Normal 8 2 5 3 10 4" xfId="42237" xr:uid="{4E710567-E667-4962-9CF7-166F815EEF96}"/>
    <cellStyle name="Normal 8 2 5 3 11" xfId="2534" xr:uid="{B6427191-560D-4EA6-BDFD-9A8DEA1BF2C8}"/>
    <cellStyle name="Normal 8 2 5 3 11 2" xfId="10916" xr:uid="{3B0C0EC6-E2FB-438E-B497-5B2ABB3F4ACD}"/>
    <cellStyle name="Normal 8 2 5 3 11 2 2" xfId="27676" xr:uid="{9261D6A7-805F-4D30-A07E-128592293774}"/>
    <cellStyle name="Normal 8 2 5 3 11 2 3" xfId="44435" xr:uid="{E258EF06-938C-4118-83BC-1D6104ABBA02}"/>
    <cellStyle name="Normal 8 2 5 3 11 3" xfId="19296" xr:uid="{765213C3-2E24-4120-B5E7-8E8DABF9B7CF}"/>
    <cellStyle name="Normal 8 2 5 3 11 4" xfId="36055" xr:uid="{D679B9C0-2664-493B-A319-18FCFCFE7442}"/>
    <cellStyle name="Normal 8 2 5 3 12" xfId="9113" xr:uid="{97F05BB4-A89A-4146-B635-4398BA0006E6}"/>
    <cellStyle name="Normal 8 2 5 3 12 2" xfId="25873" xr:uid="{D95D5A41-A433-4C25-865C-A67665C658D8}"/>
    <cellStyle name="Normal 8 2 5 3 12 3" xfId="42632" xr:uid="{3B72BDAD-C2AA-44DC-8C85-63D14663DCA2}"/>
    <cellStyle name="Normal 8 2 5 3 13" xfId="17493" xr:uid="{093F6CDB-D9A4-470C-9254-8A431D3F6013}"/>
    <cellStyle name="Normal 8 2 5 3 14" xfId="34252" xr:uid="{81340092-9FC1-49E2-B985-A52C380493AB}"/>
    <cellStyle name="Normal 8 2 5 3 2" xfId="1144" xr:uid="{BE53FCF0-7949-491C-9EB1-0A5E38708958}"/>
    <cellStyle name="Normal 8 2 5 3 2 2" xfId="4539" xr:uid="{B318702E-C3B0-46A9-B357-026564F92E32}"/>
    <cellStyle name="Normal 8 2 5 3 2 2 2" xfId="12919" xr:uid="{BD52D6FB-41AB-4BF7-AEC4-ADA6AA942076}"/>
    <cellStyle name="Normal 8 2 5 3 2 2 2 2" xfId="29679" xr:uid="{027F74CD-46D8-4134-8BBE-E75055AC0777}"/>
    <cellStyle name="Normal 8 2 5 3 2 2 2 3" xfId="46438" xr:uid="{0546CFF7-A30A-49ED-AD8B-FF5E1AAB40A5}"/>
    <cellStyle name="Normal 8 2 5 3 2 2 3" xfId="21299" xr:uid="{BC83B453-B165-41C2-9C42-4D37B5729A99}"/>
    <cellStyle name="Normal 8 2 5 3 2 2 4" xfId="38058" xr:uid="{388E0C81-95C9-492B-8B33-E23262A07B68}"/>
    <cellStyle name="Normal 8 2 5 3 2 3" xfId="6226" xr:uid="{DFB1BE17-770C-425E-9270-A567CC185EEB}"/>
    <cellStyle name="Normal 8 2 5 3 2 3 2" xfId="14606" xr:uid="{90062835-3826-4356-B74B-2D22CE0C0DEE}"/>
    <cellStyle name="Normal 8 2 5 3 2 3 2 2" xfId="31366" xr:uid="{34727ADB-A598-43D5-AA52-313683700B2A}"/>
    <cellStyle name="Normal 8 2 5 3 2 3 2 3" xfId="48125" xr:uid="{63AFDDD1-4A86-46FB-9AC0-6C00FB6BE726}"/>
    <cellStyle name="Normal 8 2 5 3 2 3 3" xfId="22986" xr:uid="{0DFF3DFA-2C70-43B7-AB39-449D320516D3}"/>
    <cellStyle name="Normal 8 2 5 3 2 3 4" xfId="39745" xr:uid="{AD94E5BA-8379-4282-AFD2-3F697ADF2EED}"/>
    <cellStyle name="Normal 8 2 5 3 2 4" xfId="2962" xr:uid="{55BA6362-8AD6-4BE3-B8A4-0E6675DC27EC}"/>
    <cellStyle name="Normal 8 2 5 3 2 4 2" xfId="11342" xr:uid="{8B71D8DD-44DD-405A-B1C1-5385D36517FA}"/>
    <cellStyle name="Normal 8 2 5 3 2 4 2 2" xfId="28102" xr:uid="{136EFC14-E574-4953-8B29-3429E5023375}"/>
    <cellStyle name="Normal 8 2 5 3 2 4 2 3" xfId="44861" xr:uid="{972E61B4-33F7-4EBF-A30C-FC876FCAFF84}"/>
    <cellStyle name="Normal 8 2 5 3 2 4 3" xfId="19722" xr:uid="{216E03AA-ABE4-4B3B-97C2-41025A5DDAF8}"/>
    <cellStyle name="Normal 8 2 5 3 2 4 4" xfId="36481" xr:uid="{CC037B0C-F9F4-49CC-A6AC-FC5DE16BE2CF}"/>
    <cellStyle name="Normal 8 2 5 3 2 5" xfId="9539" xr:uid="{FA365845-7AF4-4E86-AC58-B9C2B86F111C}"/>
    <cellStyle name="Normal 8 2 5 3 2 5 2" xfId="26299" xr:uid="{28567380-A50C-49E7-8B12-B7AA78586E15}"/>
    <cellStyle name="Normal 8 2 5 3 2 5 3" xfId="43058" xr:uid="{4C1BB3C9-50DC-4299-82E1-CE5DB5A042C1}"/>
    <cellStyle name="Normal 8 2 5 3 2 6" xfId="17919" xr:uid="{DF5F1B19-BF06-4058-98D1-95C22ACD4D1E}"/>
    <cellStyle name="Normal 8 2 5 3 2 7" xfId="34678" xr:uid="{D05A6495-39D0-4AC7-98C0-496E60091B86}"/>
    <cellStyle name="Normal 8 2 5 3 3" xfId="1578" xr:uid="{6DAAD89E-6C3E-4016-A400-4E3379464B83}"/>
    <cellStyle name="Normal 8 2 5 3 3 2" xfId="4967" xr:uid="{C194D731-11B5-4957-93CF-FC77DFE34DD8}"/>
    <cellStyle name="Normal 8 2 5 3 3 2 2" xfId="13347" xr:uid="{E60D4B6A-1E09-41A6-856C-A5C90E1AC0DE}"/>
    <cellStyle name="Normal 8 2 5 3 3 2 2 2" xfId="30107" xr:uid="{3D32CC48-34E5-40E3-BA0E-FCFC3709BD46}"/>
    <cellStyle name="Normal 8 2 5 3 3 2 2 3" xfId="46866" xr:uid="{81761FBD-F5BD-4DB3-A709-9F297FB981B1}"/>
    <cellStyle name="Normal 8 2 5 3 3 2 3" xfId="21727" xr:uid="{07E3852B-DDC3-471E-BA77-C1A9F85BD355}"/>
    <cellStyle name="Normal 8 2 5 3 3 2 4" xfId="38486" xr:uid="{3E8950D7-4B13-4C3A-B692-296DCE36AC6E}"/>
    <cellStyle name="Normal 8 2 5 3 3 3" xfId="6654" xr:uid="{B11583CD-0710-4995-8CC0-C8E7507A7EBF}"/>
    <cellStyle name="Normal 8 2 5 3 3 3 2" xfId="15034" xr:uid="{E214B661-F16E-4AB0-B6EC-2D7B79C1D944}"/>
    <cellStyle name="Normal 8 2 5 3 3 3 2 2" xfId="31794" xr:uid="{E7566C36-BB7D-4F2B-8BBB-EEF0EAA44561}"/>
    <cellStyle name="Normal 8 2 5 3 3 3 2 3" xfId="48553" xr:uid="{EDD12626-8E4C-4EED-9DB6-A874130B5053}"/>
    <cellStyle name="Normal 8 2 5 3 3 3 3" xfId="23414" xr:uid="{08875F23-F481-4F3A-9C5C-7699BA776F62}"/>
    <cellStyle name="Normal 8 2 5 3 3 3 4" xfId="40173" xr:uid="{68FE83B2-1090-4533-80FA-B48846216D8E}"/>
    <cellStyle name="Normal 8 2 5 3 3 4" xfId="3390" xr:uid="{17A7C22F-A838-41DE-925F-6A149D4A7A87}"/>
    <cellStyle name="Normal 8 2 5 3 3 4 2" xfId="11770" xr:uid="{3779ADD0-0A2E-4F48-B652-05511FB985BE}"/>
    <cellStyle name="Normal 8 2 5 3 3 4 2 2" xfId="28530" xr:uid="{9AB3CAE2-1B69-4A9A-B425-1C88774DBC1C}"/>
    <cellStyle name="Normal 8 2 5 3 3 4 2 3" xfId="45289" xr:uid="{B657866B-7024-4ABB-ACDD-6194EBCADB09}"/>
    <cellStyle name="Normal 8 2 5 3 3 4 3" xfId="20150" xr:uid="{86C6B060-EA6F-4999-8B65-CB9B4121CF90}"/>
    <cellStyle name="Normal 8 2 5 3 3 4 4" xfId="36909" xr:uid="{E94B1A6D-1469-484B-864F-99DB8D2096EA}"/>
    <cellStyle name="Normal 8 2 5 3 3 5" xfId="9967" xr:uid="{3C843122-4317-4292-86D5-8B1F7DCB140E}"/>
    <cellStyle name="Normal 8 2 5 3 3 5 2" xfId="26727" xr:uid="{98873249-63BC-4DF3-9C0A-D9B0B6712586}"/>
    <cellStyle name="Normal 8 2 5 3 3 5 3" xfId="43486" xr:uid="{F8BE18BD-45C9-4B03-8BC1-2EAE5D1100FB}"/>
    <cellStyle name="Normal 8 2 5 3 3 6" xfId="18347" xr:uid="{FB1163C0-5ABB-4F09-B934-1333B6945D02}"/>
    <cellStyle name="Normal 8 2 5 3 3 7" xfId="35106" xr:uid="{0D2D86D2-9F04-472A-9168-98F28BFEBEB6}"/>
    <cellStyle name="Normal 8 2 5 3 4" xfId="2018" xr:uid="{8373FB84-FDC0-49F4-A60D-BC9352451942}"/>
    <cellStyle name="Normal 8 2 5 3 4 2" xfId="5407" xr:uid="{3E38395D-78F0-43CA-9C0D-D5B2B5C6BEBB}"/>
    <cellStyle name="Normal 8 2 5 3 4 2 2" xfId="13787" xr:uid="{8EAB2D60-B114-4224-914A-95397894E40C}"/>
    <cellStyle name="Normal 8 2 5 3 4 2 2 2" xfId="30547" xr:uid="{70EBED26-73EA-441E-B6CB-BAA59E4246B3}"/>
    <cellStyle name="Normal 8 2 5 3 4 2 2 3" xfId="47306" xr:uid="{45E5CEB0-39F7-4D05-8FA6-DC5AAD157D70}"/>
    <cellStyle name="Normal 8 2 5 3 4 2 3" xfId="22167" xr:uid="{CD89330F-4074-4738-9A51-E42118EEFA2B}"/>
    <cellStyle name="Normal 8 2 5 3 4 2 4" xfId="38926" xr:uid="{95D10D8F-5D69-414A-9DCB-81F4C487D42A}"/>
    <cellStyle name="Normal 8 2 5 3 4 3" xfId="7094" xr:uid="{B7FD4FF3-8391-44BF-8282-67A944C4188A}"/>
    <cellStyle name="Normal 8 2 5 3 4 3 2" xfId="15474" xr:uid="{36F7B674-ECEA-4E34-BF4B-675D77DD5F53}"/>
    <cellStyle name="Normal 8 2 5 3 4 3 2 2" xfId="32234" xr:uid="{AAE049D0-39A0-48EE-B2AA-231B527FFDFA}"/>
    <cellStyle name="Normal 8 2 5 3 4 3 2 3" xfId="48993" xr:uid="{1F35C767-FF59-45F4-8FCB-D58E4B463E50}"/>
    <cellStyle name="Normal 8 2 5 3 4 3 3" xfId="23854" xr:uid="{B7C620F5-A683-42DC-BF49-604451D86FF5}"/>
    <cellStyle name="Normal 8 2 5 3 4 3 4" xfId="40613" xr:uid="{468A16DE-A51B-44CC-9B08-98599793DC31}"/>
    <cellStyle name="Normal 8 2 5 3 4 4" xfId="3717" xr:uid="{5FDA1EE5-E9B5-4F6E-8135-0035360B55BB}"/>
    <cellStyle name="Normal 8 2 5 3 4 4 2" xfId="12097" xr:uid="{7CF2230D-1560-4A72-A1BF-3BEE6A4ED706}"/>
    <cellStyle name="Normal 8 2 5 3 4 4 2 2" xfId="28857" xr:uid="{FA0DF8A8-0353-4F15-B7C8-DC0996ED8811}"/>
    <cellStyle name="Normal 8 2 5 3 4 4 2 3" xfId="45616" xr:uid="{7084C33B-939F-4867-B296-5957C336C042}"/>
    <cellStyle name="Normal 8 2 5 3 4 4 3" xfId="20477" xr:uid="{93C5AEBF-7E70-47D0-822E-D95C873DE806}"/>
    <cellStyle name="Normal 8 2 5 3 4 4 4" xfId="37236" xr:uid="{F84FF40A-4855-4B58-B541-ACF6E78C7C72}"/>
    <cellStyle name="Normal 8 2 5 3 4 5" xfId="10407" xr:uid="{E7FFAF17-BDD1-45EC-A971-26B9EEC739FC}"/>
    <cellStyle name="Normal 8 2 5 3 4 5 2" xfId="27167" xr:uid="{EFCE1F32-8E75-4C0E-B687-5301B84A3107}"/>
    <cellStyle name="Normal 8 2 5 3 4 5 3" xfId="43926" xr:uid="{271511F1-DDA7-4D17-B43F-1979BD5DD89A}"/>
    <cellStyle name="Normal 8 2 5 3 4 6" xfId="18787" xr:uid="{1F0BA9D1-81DC-471B-B80C-74E9A4F0E05C}"/>
    <cellStyle name="Normal 8 2 5 3 4 7" xfId="35546" xr:uid="{F8416222-5979-40C2-BAEC-8FC1BABFC70C}"/>
    <cellStyle name="Normal 8 2 5 3 5" xfId="4137" xr:uid="{0112DEB3-17B5-4F91-A6D6-31470E97545F}"/>
    <cellStyle name="Normal 8 2 5 3 5 2" xfId="12517" xr:uid="{B4F6B729-7773-4716-93EC-F679873AEF50}"/>
    <cellStyle name="Normal 8 2 5 3 5 2 2" xfId="29277" xr:uid="{9E4C6163-85C1-44CD-A958-EC2B05424484}"/>
    <cellStyle name="Normal 8 2 5 3 5 2 3" xfId="46036" xr:uid="{28241F8A-91C3-4AB1-B48D-A3220A0D50D1}"/>
    <cellStyle name="Normal 8 2 5 3 5 3" xfId="20897" xr:uid="{8252BA38-E97D-4265-9193-7A9F87DADF0A}"/>
    <cellStyle name="Normal 8 2 5 3 5 4" xfId="37656" xr:uid="{8FED112F-09DA-4E25-9379-7AD7BB1EEC29}"/>
    <cellStyle name="Normal 8 2 5 3 6" xfId="5800" xr:uid="{48D5A346-52E9-4F2F-92EF-8E019C36EE94}"/>
    <cellStyle name="Normal 8 2 5 3 6 2" xfId="14180" xr:uid="{B348BD47-25DC-4584-9943-262D399EB1AD}"/>
    <cellStyle name="Normal 8 2 5 3 6 2 2" xfId="30940" xr:uid="{670068DE-D742-429F-A1FE-4189048AD67D}"/>
    <cellStyle name="Normal 8 2 5 3 6 2 3" xfId="47699" xr:uid="{1D90F1F2-FA35-41D3-AFF8-67169536C4A7}"/>
    <cellStyle name="Normal 8 2 5 3 6 3" xfId="22560" xr:uid="{0169D6BC-0CAC-4072-8D85-F12B016D94F5}"/>
    <cellStyle name="Normal 8 2 5 3 6 4" xfId="39319" xr:uid="{CD3B8ED9-74FA-4083-80B6-2F085E7F5A0F}"/>
    <cellStyle name="Normal 8 2 5 3 7" xfId="7500" xr:uid="{893CCA5E-1A87-48B0-B68B-A663523AC527}"/>
    <cellStyle name="Normal 8 2 5 3 7 2" xfId="15880" xr:uid="{C75A86D3-7B3A-42B0-ADF2-2751955D91DF}"/>
    <cellStyle name="Normal 8 2 5 3 7 2 2" xfId="32640" xr:uid="{492C61D6-0BE3-4768-8A9C-EC54A543EFCA}"/>
    <cellStyle name="Normal 8 2 5 3 7 2 3" xfId="49399" xr:uid="{46675E7B-9532-4994-A079-95F26EAF1DF1}"/>
    <cellStyle name="Normal 8 2 5 3 7 3" xfId="24260" xr:uid="{159DB8CF-2DF0-4DE0-B7AB-6DAEEF149902}"/>
    <cellStyle name="Normal 8 2 5 3 7 4" xfId="41019" xr:uid="{71AE94F3-5200-42BC-954C-F24A258CC46B}"/>
    <cellStyle name="Normal 8 2 5 3 8" xfId="7906" xr:uid="{BAB0AEC7-C61D-4CD1-A341-AC3FB1ABEEED}"/>
    <cellStyle name="Normal 8 2 5 3 8 2" xfId="16286" xr:uid="{14900A2D-AB4D-43CC-85C3-7E5EDCA60D0D}"/>
    <cellStyle name="Normal 8 2 5 3 8 2 2" xfId="33046" xr:uid="{413550B6-CA45-42EC-A76D-85B566D342F8}"/>
    <cellStyle name="Normal 8 2 5 3 8 2 3" xfId="49805" xr:uid="{013F3463-5DB7-4D1D-8B16-2E1F770C6AAA}"/>
    <cellStyle name="Normal 8 2 5 3 8 3" xfId="24666" xr:uid="{DF68D953-CEE1-42FA-91C0-BEC5DEA718AF}"/>
    <cellStyle name="Normal 8 2 5 3 8 4" xfId="41425" xr:uid="{560BF0A3-AE62-43C4-81B9-813B11EE4A39}"/>
    <cellStyle name="Normal 8 2 5 3 9" xfId="8312" xr:uid="{38744BD3-D0F4-4D19-8040-AD6272603D17}"/>
    <cellStyle name="Normal 8 2 5 3 9 2" xfId="16692" xr:uid="{BDEF4DCE-0A90-42D7-9ED1-77B06D0D0F95}"/>
    <cellStyle name="Normal 8 2 5 3 9 2 2" xfId="33452" xr:uid="{71EEF3F6-DE92-4A68-BA53-B9CB8875771C}"/>
    <cellStyle name="Normal 8 2 5 3 9 2 3" xfId="50211" xr:uid="{8CE87B1E-0952-4F13-A492-633C5A5DB89E}"/>
    <cellStyle name="Normal 8 2 5 3 9 3" xfId="25072" xr:uid="{D59A6DE1-AF4E-4C45-AB04-22DB970EECD0}"/>
    <cellStyle name="Normal 8 2 5 3 9 4" xfId="41831" xr:uid="{B84C3AD0-31A4-41B1-AEC6-6125D64F1C8C}"/>
    <cellStyle name="Normal 8 2 5 4" xfId="1142" xr:uid="{C5065BE4-1700-46E3-B24D-10F0DF2C945C}"/>
    <cellStyle name="Normal 8 2 5 4 2" xfId="4537" xr:uid="{1FCABEDD-BBE6-488C-8495-E57D5FA6551E}"/>
    <cellStyle name="Normal 8 2 5 4 2 2" xfId="12917" xr:uid="{39727BCB-BAF8-4AB2-9E5C-75A2E97626DD}"/>
    <cellStyle name="Normal 8 2 5 4 2 2 2" xfId="29677" xr:uid="{CEF933E1-FE47-4CD1-B87A-6409803CF3FA}"/>
    <cellStyle name="Normal 8 2 5 4 2 2 3" xfId="46436" xr:uid="{BC80EEA4-329B-42D4-9CA8-E4820FB230F8}"/>
    <cellStyle name="Normal 8 2 5 4 2 3" xfId="21297" xr:uid="{0568CA38-8939-4303-B232-70E1B81D7943}"/>
    <cellStyle name="Normal 8 2 5 4 2 4" xfId="38056" xr:uid="{7B7783D2-9BBF-459B-AC56-FE08C8286D2A}"/>
    <cellStyle name="Normal 8 2 5 4 3" xfId="6224" xr:uid="{36A9C55E-8FEC-4873-A75B-A6D8B6396308}"/>
    <cellStyle name="Normal 8 2 5 4 3 2" xfId="14604" xr:uid="{B564717E-C0EB-481F-A0C0-3060D4B8D53F}"/>
    <cellStyle name="Normal 8 2 5 4 3 2 2" xfId="31364" xr:uid="{5C5E8FE3-8CFF-4797-BB40-637807D3400A}"/>
    <cellStyle name="Normal 8 2 5 4 3 2 3" xfId="48123" xr:uid="{C1B41613-9703-4CC9-AB56-04BDF8B346A2}"/>
    <cellStyle name="Normal 8 2 5 4 3 3" xfId="22984" xr:uid="{6159A658-D4C3-45F6-86DB-9B6EB2279403}"/>
    <cellStyle name="Normal 8 2 5 4 3 4" xfId="39743" xr:uid="{1DFC8ABA-F334-49EA-B1C1-5D6032E20CA7}"/>
    <cellStyle name="Normal 8 2 5 4 4" xfId="2960" xr:uid="{4B5963BE-5ED7-4D37-A4BF-B67AA952BA24}"/>
    <cellStyle name="Normal 8 2 5 4 4 2" xfId="11340" xr:uid="{60751269-5633-4CFE-B1BF-92DE2F00888B}"/>
    <cellStyle name="Normal 8 2 5 4 4 2 2" xfId="28100" xr:uid="{56214955-80E8-4FB8-B82C-695053DD9445}"/>
    <cellStyle name="Normal 8 2 5 4 4 2 3" xfId="44859" xr:uid="{198A29FB-A4D6-4837-9A9E-F9B7422C96EA}"/>
    <cellStyle name="Normal 8 2 5 4 4 3" xfId="19720" xr:uid="{B9A294E1-E369-4B8F-9FB0-DF7FCDBF1DF5}"/>
    <cellStyle name="Normal 8 2 5 4 4 4" xfId="36479" xr:uid="{AC40351F-071E-4921-A1FD-FB5FF703B513}"/>
    <cellStyle name="Normal 8 2 5 4 5" xfId="9537" xr:uid="{4EC3BB46-3E29-4099-A135-E87818ACD8C4}"/>
    <cellStyle name="Normal 8 2 5 4 5 2" xfId="26297" xr:uid="{B4CAF0DA-E961-4386-93DD-B42B3782B737}"/>
    <cellStyle name="Normal 8 2 5 4 5 3" xfId="43056" xr:uid="{7DD61904-0BA0-4F39-9652-1CA8F53FED47}"/>
    <cellStyle name="Normal 8 2 5 4 6" xfId="17917" xr:uid="{7746F2D3-DA47-414A-BA7F-56E19123F073}"/>
    <cellStyle name="Normal 8 2 5 4 7" xfId="34676" xr:uid="{313A6321-76E4-4C21-BC01-EEB87A0B562D}"/>
    <cellStyle name="Normal 8 2 5 5" xfId="1576" xr:uid="{E10DF705-A385-4807-BB88-2B2D5C5F0CCF}"/>
    <cellStyle name="Normal 8 2 5 5 2" xfId="4965" xr:uid="{F29DFDA7-10A8-43B0-9CEB-7442DB7270EE}"/>
    <cellStyle name="Normal 8 2 5 5 2 2" xfId="13345" xr:uid="{9467B883-B8EA-4E6A-8AE4-B7FF4E6BFCD6}"/>
    <cellStyle name="Normal 8 2 5 5 2 2 2" xfId="30105" xr:uid="{47F5D33D-D818-4E2F-8A8B-E393E044CA7B}"/>
    <cellStyle name="Normal 8 2 5 5 2 2 3" xfId="46864" xr:uid="{E43764A3-71BB-4DEF-AF1D-2A57E62D2CC9}"/>
    <cellStyle name="Normal 8 2 5 5 2 3" xfId="21725" xr:uid="{D981374C-1E86-4779-84FA-FB04EFC058FF}"/>
    <cellStyle name="Normal 8 2 5 5 2 4" xfId="38484" xr:uid="{EBB12D7B-6E56-4CCB-B5F3-1C0EE377A5D7}"/>
    <cellStyle name="Normal 8 2 5 5 3" xfId="6652" xr:uid="{416634B7-E29B-42ED-B522-BD4166F87217}"/>
    <cellStyle name="Normal 8 2 5 5 3 2" xfId="15032" xr:uid="{3174B4E0-BAA0-4636-A930-1056F2D30974}"/>
    <cellStyle name="Normal 8 2 5 5 3 2 2" xfId="31792" xr:uid="{4D018E74-E43D-4AF1-A3AE-A05110637689}"/>
    <cellStyle name="Normal 8 2 5 5 3 2 3" xfId="48551" xr:uid="{B306D0F5-8D12-4BA9-94DB-360A1976677B}"/>
    <cellStyle name="Normal 8 2 5 5 3 3" xfId="23412" xr:uid="{7C2F6CFF-4578-4675-B9B2-E8054A400865}"/>
    <cellStyle name="Normal 8 2 5 5 3 4" xfId="40171" xr:uid="{B06AA384-A99C-4616-94F2-5FAD957CEF20}"/>
    <cellStyle name="Normal 8 2 5 5 4" xfId="3388" xr:uid="{E911D1BC-B98A-4A15-AA8C-FEF1EB4FABE9}"/>
    <cellStyle name="Normal 8 2 5 5 4 2" xfId="11768" xr:uid="{BBC15F24-247C-4549-8362-1448176614A1}"/>
    <cellStyle name="Normal 8 2 5 5 4 2 2" xfId="28528" xr:uid="{FEB5C93A-72F0-44F0-BF00-60EA78D86356}"/>
    <cellStyle name="Normal 8 2 5 5 4 2 3" xfId="45287" xr:uid="{ED17639B-643D-4E05-ACDF-5276F89DE3F4}"/>
    <cellStyle name="Normal 8 2 5 5 4 3" xfId="20148" xr:uid="{6676CFF0-83C6-4292-A353-85240557DDA5}"/>
    <cellStyle name="Normal 8 2 5 5 4 4" xfId="36907" xr:uid="{766AE378-C8D3-4012-A07A-1A0AE2E378FC}"/>
    <cellStyle name="Normal 8 2 5 5 5" xfId="9965" xr:uid="{55AD809C-5D8B-42CD-97AC-B473A5B9D0A3}"/>
    <cellStyle name="Normal 8 2 5 5 5 2" xfId="26725" xr:uid="{C125EEB2-CD0E-4326-8DA4-8BB37EC0E920}"/>
    <cellStyle name="Normal 8 2 5 5 5 3" xfId="43484" xr:uid="{DF6A3A56-F4C1-4872-8FFE-A7DFBC4300D6}"/>
    <cellStyle name="Normal 8 2 5 5 6" xfId="18345" xr:uid="{E5FE8A99-CE41-4687-910D-11307C99CB58}"/>
    <cellStyle name="Normal 8 2 5 5 7" xfId="35104" xr:uid="{A45B579F-CC04-47E4-AB3D-D3E9751B0E3B}"/>
    <cellStyle name="Normal 8 2 5 6" xfId="1747" xr:uid="{5FDBF928-EB42-4D58-8FC4-43638AB57492}"/>
    <cellStyle name="Normal 8 2 5 6 2" xfId="5136" xr:uid="{7043E563-9A32-4A76-8E88-6E143290327D}"/>
    <cellStyle name="Normal 8 2 5 6 2 2" xfId="13516" xr:uid="{E5D77D90-2EF6-4EC0-84A9-6DD791241AF2}"/>
    <cellStyle name="Normal 8 2 5 6 2 2 2" xfId="30276" xr:uid="{A4D36B78-852B-459D-915F-FD1F0B422E3D}"/>
    <cellStyle name="Normal 8 2 5 6 2 2 3" xfId="47035" xr:uid="{D39F97FF-BA64-4DFD-9FCE-A06E0E363713}"/>
    <cellStyle name="Normal 8 2 5 6 2 3" xfId="21896" xr:uid="{58CA2C49-F3D4-4B36-9C2F-1B6F35D34391}"/>
    <cellStyle name="Normal 8 2 5 6 2 4" xfId="38655" xr:uid="{7985428B-63A6-4A46-ADF1-79D834A66DE7}"/>
    <cellStyle name="Normal 8 2 5 6 3" xfId="6823" xr:uid="{71B3B39C-4606-42B1-BD58-95DFDBDA9E54}"/>
    <cellStyle name="Normal 8 2 5 6 3 2" xfId="15203" xr:uid="{3075C698-CC78-476D-BA88-066662306FB2}"/>
    <cellStyle name="Normal 8 2 5 6 3 2 2" xfId="31963" xr:uid="{5BEDB198-0767-4115-9112-6FCF0F8A5487}"/>
    <cellStyle name="Normal 8 2 5 6 3 2 3" xfId="48722" xr:uid="{F9DB9099-BCDC-4624-B620-0518971CADE2}"/>
    <cellStyle name="Normal 8 2 5 6 3 3" xfId="23583" xr:uid="{3D5E1F36-CC16-46F1-AAAD-F5DA8DBCA372}"/>
    <cellStyle name="Normal 8 2 5 6 3 4" xfId="40342" xr:uid="{D0B9F7BC-E943-4A72-8B4F-6772EC9E64FE}"/>
    <cellStyle name="Normal 8 2 5 6 4" xfId="2532" xr:uid="{292E2943-CDE7-45F6-A6A0-23E718ABF730}"/>
    <cellStyle name="Normal 8 2 5 6 4 2" xfId="10914" xr:uid="{B1E91CF2-D186-4C4B-86B1-19DCFA8E5F52}"/>
    <cellStyle name="Normal 8 2 5 6 4 2 2" xfId="27674" xr:uid="{7A22ADFB-9AE9-4AC4-97B8-5A113483E27B}"/>
    <cellStyle name="Normal 8 2 5 6 4 2 3" xfId="44433" xr:uid="{EBD7B168-D9E4-42EA-896C-B9E0460540BE}"/>
    <cellStyle name="Normal 8 2 5 6 4 3" xfId="19294" xr:uid="{A0A9D22E-F631-4EAF-A3F5-71930AEBCD73}"/>
    <cellStyle name="Normal 8 2 5 6 4 4" xfId="36053" xr:uid="{E63731B3-C422-4A10-A24D-86176804C9A9}"/>
    <cellStyle name="Normal 8 2 5 6 5" xfId="10136" xr:uid="{D4DE03F4-3C92-4D5D-B5D9-ED752CEF9ED9}"/>
    <cellStyle name="Normal 8 2 5 6 5 2" xfId="26896" xr:uid="{7B915B3E-21E7-4226-ACA8-1ECAC0CD323B}"/>
    <cellStyle name="Normal 8 2 5 6 5 3" xfId="43655" xr:uid="{1267A14F-CBEF-4DAD-AF0B-3345E3E69FB5}"/>
    <cellStyle name="Normal 8 2 5 6 6" xfId="18516" xr:uid="{A2F5F02F-1A4F-48F3-A57C-67E1821DF03D}"/>
    <cellStyle name="Normal 8 2 5 6 7" xfId="35275" xr:uid="{4EFD1A0A-4107-4FB9-8982-2BDCAF4DD524}"/>
    <cellStyle name="Normal 8 2 5 7" xfId="3866" xr:uid="{268F930A-BEDE-43C2-A76F-25399D9C050F}"/>
    <cellStyle name="Normal 8 2 5 7 2" xfId="12246" xr:uid="{49616004-4F4C-4E03-9904-5DFE0ED39E91}"/>
    <cellStyle name="Normal 8 2 5 7 2 2" xfId="29006" xr:uid="{DFEAAD20-7C5C-4E84-9800-064E32FF3587}"/>
    <cellStyle name="Normal 8 2 5 7 2 3" xfId="45765" xr:uid="{A5187023-0513-4FBF-84FF-405EA66E8FDC}"/>
    <cellStyle name="Normal 8 2 5 7 3" xfId="20626" xr:uid="{69781652-B9EE-4AF0-9AF0-1272D8299B92}"/>
    <cellStyle name="Normal 8 2 5 7 4" xfId="37385" xr:uid="{DECBF3D8-0CC1-46F1-B069-D08B961BE299}"/>
    <cellStyle name="Normal 8 2 5 8" xfId="5798" xr:uid="{077FA646-EC5E-4BAC-BCB6-5337EA2212FE}"/>
    <cellStyle name="Normal 8 2 5 8 2" xfId="14178" xr:uid="{1D536029-931E-4279-A0DF-B6B7FB8E3A04}"/>
    <cellStyle name="Normal 8 2 5 8 2 2" xfId="30938" xr:uid="{70AEDB01-AFE5-4BCD-8C28-04EDA693E3CD}"/>
    <cellStyle name="Normal 8 2 5 8 2 3" xfId="47697" xr:uid="{623763E2-676A-40B2-8548-FF161C7A78CF}"/>
    <cellStyle name="Normal 8 2 5 8 3" xfId="22558" xr:uid="{8CA84257-DBFA-4AC9-9CD4-A97B2CB3AB58}"/>
    <cellStyle name="Normal 8 2 5 8 4" xfId="39317" xr:uid="{784DDB83-2704-4F1F-8401-E45DD11B1C57}"/>
    <cellStyle name="Normal 8 2 5 9" xfId="7229" xr:uid="{27E3B2B1-AD4E-4EF9-A04F-D071E4DABE5D}"/>
    <cellStyle name="Normal 8 2 5 9 2" xfId="15609" xr:uid="{179A1858-AED2-4D77-835F-AE86C03038F0}"/>
    <cellStyle name="Normal 8 2 5 9 2 2" xfId="32369" xr:uid="{D413667D-9649-49B0-BA36-23B29A6D20C2}"/>
    <cellStyle name="Normal 8 2 5 9 2 3" xfId="49128" xr:uid="{22A67826-7E7A-4C06-B0A6-23E305E62FFD}"/>
    <cellStyle name="Normal 8 2 5 9 3" xfId="23989" xr:uid="{F17D7F5F-909D-4640-9887-DAB662D8521D}"/>
    <cellStyle name="Normal 8 2 5 9 4" xfId="40748" xr:uid="{3259C34F-0E4A-4372-BC90-0D44081794F3}"/>
    <cellStyle name="Normal 8 2 6" xfId="706" xr:uid="{8ECAB6BC-DDBD-4C14-A4F6-B804FED0DD11}"/>
    <cellStyle name="Normal 8 2 6 10" xfId="8571" xr:uid="{E95AA0DB-255D-4E06-ABB2-B648FB8DB055}"/>
    <cellStyle name="Normal 8 2 6 10 2" xfId="16951" xr:uid="{CDEEA032-34A3-46A6-8824-A5FC08DDF915}"/>
    <cellStyle name="Normal 8 2 6 10 2 2" xfId="33711" xr:uid="{365E63F2-65ED-409A-9A1C-1185196FF072}"/>
    <cellStyle name="Normal 8 2 6 10 2 3" xfId="50470" xr:uid="{53C673A1-0D62-4306-8574-879AEFBBC802}"/>
    <cellStyle name="Normal 8 2 6 10 3" xfId="25331" xr:uid="{B8685ACB-B367-4829-9CF2-81BB86D156F0}"/>
    <cellStyle name="Normal 8 2 6 10 4" xfId="42090" xr:uid="{808F8277-5770-433F-82C9-1D26977F771E}"/>
    <cellStyle name="Normal 8 2 6 11" xfId="2535" xr:uid="{BF631451-F202-4A10-B78E-0301C0ADB83E}"/>
    <cellStyle name="Normal 8 2 6 11 2" xfId="10917" xr:uid="{532F46D9-B041-47A8-BEB1-3205197C1FF9}"/>
    <cellStyle name="Normal 8 2 6 11 2 2" xfId="27677" xr:uid="{E806EA0E-C943-4A56-BB8B-A537A4355ED7}"/>
    <cellStyle name="Normal 8 2 6 11 2 3" xfId="44436" xr:uid="{858EECD2-6A29-4C2A-AFE1-D99DDAB2D09A}"/>
    <cellStyle name="Normal 8 2 6 11 3" xfId="19297" xr:uid="{A4563448-2F75-4AE7-AEF8-B61321B8E84B}"/>
    <cellStyle name="Normal 8 2 6 11 4" xfId="36056" xr:uid="{74DF4C57-9D80-4A52-9CE1-35ACDF2F1867}"/>
    <cellStyle name="Normal 8 2 6 12" xfId="9114" xr:uid="{CEFD9D52-EB89-49A9-870E-B5C84931A8FE}"/>
    <cellStyle name="Normal 8 2 6 12 2" xfId="25874" xr:uid="{2D429E89-5B65-4976-8435-14675D56D43D}"/>
    <cellStyle name="Normal 8 2 6 12 3" xfId="42633" xr:uid="{D527555F-E005-44BE-AD06-4613A1D970A9}"/>
    <cellStyle name="Normal 8 2 6 13" xfId="17494" xr:uid="{3FA3E3C4-FAAD-48EE-82D0-2EAE557EDA6B}"/>
    <cellStyle name="Normal 8 2 6 14" xfId="34253" xr:uid="{AD60801C-3073-4478-BE5A-F0C538A11108}"/>
    <cellStyle name="Normal 8 2 6 2" xfId="1145" xr:uid="{46269FCC-20A6-4FB1-A444-6CCD62700405}"/>
    <cellStyle name="Normal 8 2 6 2 2" xfId="4540" xr:uid="{255FF8B9-7153-4012-8403-AD058FA11CDB}"/>
    <cellStyle name="Normal 8 2 6 2 2 2" xfId="12920" xr:uid="{90D93BBC-F3F5-4216-A6DB-416E00B2E106}"/>
    <cellStyle name="Normal 8 2 6 2 2 2 2" xfId="29680" xr:uid="{2EFA3E6D-B4DD-4A97-BC0B-D4351C0D9E3A}"/>
    <cellStyle name="Normal 8 2 6 2 2 2 3" xfId="46439" xr:uid="{9CA679FD-B92C-4B31-B70C-36E945FF8F32}"/>
    <cellStyle name="Normal 8 2 6 2 2 3" xfId="21300" xr:uid="{6FD49EAB-BF36-4406-8F93-BC1CD4698B56}"/>
    <cellStyle name="Normal 8 2 6 2 2 4" xfId="38059" xr:uid="{E35DA0E1-4873-4656-BF9E-75074288CEEC}"/>
    <cellStyle name="Normal 8 2 6 2 3" xfId="6227" xr:uid="{D62272D2-5183-4352-84D3-849F24ADA50A}"/>
    <cellStyle name="Normal 8 2 6 2 3 2" xfId="14607" xr:uid="{946518B2-E357-497E-B80A-F66B658D3274}"/>
    <cellStyle name="Normal 8 2 6 2 3 2 2" xfId="31367" xr:uid="{A1C336D1-0A2B-4600-9228-7C753459066B}"/>
    <cellStyle name="Normal 8 2 6 2 3 2 3" xfId="48126" xr:uid="{47F2FDFC-04C1-4A52-A96B-5AF450E8F286}"/>
    <cellStyle name="Normal 8 2 6 2 3 3" xfId="22987" xr:uid="{53C5F55F-A75D-4527-8BDA-7A430E019F9D}"/>
    <cellStyle name="Normal 8 2 6 2 3 4" xfId="39746" xr:uid="{C32AFA07-A008-465F-A5C2-1A8F6392652E}"/>
    <cellStyle name="Normal 8 2 6 2 4" xfId="2963" xr:uid="{EDBD62FC-2F23-408F-B8EB-49534B9FDEF7}"/>
    <cellStyle name="Normal 8 2 6 2 4 2" xfId="11343" xr:uid="{060A5A4E-31BB-45DD-9405-D366D6F7A883}"/>
    <cellStyle name="Normal 8 2 6 2 4 2 2" xfId="28103" xr:uid="{81E1BBC6-54C8-4BA6-9A97-5090B496C85A}"/>
    <cellStyle name="Normal 8 2 6 2 4 2 3" xfId="44862" xr:uid="{A50136B3-B0B7-4FD8-831E-BCABD427AA62}"/>
    <cellStyle name="Normal 8 2 6 2 4 3" xfId="19723" xr:uid="{60634ED5-841F-470E-8B45-6B55283192CF}"/>
    <cellStyle name="Normal 8 2 6 2 4 4" xfId="36482" xr:uid="{E23CD413-B949-4D89-B569-3A3453D0E50E}"/>
    <cellStyle name="Normal 8 2 6 2 5" xfId="9540" xr:uid="{4E38C8E5-E223-4E1F-B25A-ACA38AEA5680}"/>
    <cellStyle name="Normal 8 2 6 2 5 2" xfId="26300" xr:uid="{6A8981F0-EFA2-45EC-A952-787C414D9197}"/>
    <cellStyle name="Normal 8 2 6 2 5 3" xfId="43059" xr:uid="{75085908-CE8F-41F4-86CB-DA084E42949D}"/>
    <cellStyle name="Normal 8 2 6 2 6" xfId="17920" xr:uid="{2C8BFFA5-F485-42D4-A75A-93DC8CA6A231}"/>
    <cellStyle name="Normal 8 2 6 2 7" xfId="34679" xr:uid="{5C746D6E-EC25-4034-9E32-AB8E5DD53CD1}"/>
    <cellStyle name="Normal 8 2 6 3" xfId="1579" xr:uid="{76A99358-23A9-4251-BC40-2A06E2069DE1}"/>
    <cellStyle name="Normal 8 2 6 3 2" xfId="4968" xr:uid="{6DDC8ED4-E6C6-40F1-86B6-90E0089CCDA9}"/>
    <cellStyle name="Normal 8 2 6 3 2 2" xfId="13348" xr:uid="{59436D0F-8BB2-413A-AE28-2750317A82A5}"/>
    <cellStyle name="Normal 8 2 6 3 2 2 2" xfId="30108" xr:uid="{28958F25-4170-489E-A761-2962A1948E2A}"/>
    <cellStyle name="Normal 8 2 6 3 2 2 3" xfId="46867" xr:uid="{024A6A91-BE1D-461E-B139-EE4799BE9EB0}"/>
    <cellStyle name="Normal 8 2 6 3 2 3" xfId="21728" xr:uid="{22EA09A0-9D4A-48BB-82A7-2FB193DE05EC}"/>
    <cellStyle name="Normal 8 2 6 3 2 4" xfId="38487" xr:uid="{0B724136-AE50-4C41-B166-F792BF5D985A}"/>
    <cellStyle name="Normal 8 2 6 3 3" xfId="6655" xr:uid="{0EA6103D-BE05-4A52-BDCA-E2E2CEF57640}"/>
    <cellStyle name="Normal 8 2 6 3 3 2" xfId="15035" xr:uid="{01FEB2DE-6E67-4983-9F70-125F4E78F0CB}"/>
    <cellStyle name="Normal 8 2 6 3 3 2 2" xfId="31795" xr:uid="{D4690D14-BD58-4A41-BF2B-B33A2DE90601}"/>
    <cellStyle name="Normal 8 2 6 3 3 2 3" xfId="48554" xr:uid="{AA0564BA-DBCC-41E2-A462-01F53E335ABB}"/>
    <cellStyle name="Normal 8 2 6 3 3 3" xfId="23415" xr:uid="{E203F4A1-DD52-4718-B650-D822E5CA0C7A}"/>
    <cellStyle name="Normal 8 2 6 3 3 4" xfId="40174" xr:uid="{07AFE2F6-F647-49A1-BC0C-B92ADEB629D2}"/>
    <cellStyle name="Normal 8 2 6 3 4" xfId="3391" xr:uid="{31DADFD0-2762-48C6-B5F5-CA66F0505983}"/>
    <cellStyle name="Normal 8 2 6 3 4 2" xfId="11771" xr:uid="{B8AFC694-9634-42F0-A93F-C3E754F89506}"/>
    <cellStyle name="Normal 8 2 6 3 4 2 2" xfId="28531" xr:uid="{3631BE18-3FFF-408C-8394-1356CB45C44A}"/>
    <cellStyle name="Normal 8 2 6 3 4 2 3" xfId="45290" xr:uid="{88493D57-E232-4BDE-93C7-7FDC3AA56529}"/>
    <cellStyle name="Normal 8 2 6 3 4 3" xfId="20151" xr:uid="{57FDB1D7-2093-4D0D-9580-CD8094E9A270}"/>
    <cellStyle name="Normal 8 2 6 3 4 4" xfId="36910" xr:uid="{7DDEC9BE-7A91-478B-A1B7-E04803510329}"/>
    <cellStyle name="Normal 8 2 6 3 5" xfId="9968" xr:uid="{EDB3927B-33DC-443E-A032-30360F92A686}"/>
    <cellStyle name="Normal 8 2 6 3 5 2" xfId="26728" xr:uid="{3E5C9619-7326-4DB8-BBEC-618C52EB03D5}"/>
    <cellStyle name="Normal 8 2 6 3 5 3" xfId="43487" xr:uid="{351580C2-FACD-4A4A-9ECE-03C35DB1413E}"/>
    <cellStyle name="Normal 8 2 6 3 6" xfId="18348" xr:uid="{551D6635-3E75-4756-AD9B-345EA4F35BC3}"/>
    <cellStyle name="Normal 8 2 6 3 7" xfId="35107" xr:uid="{B9E80D95-CF22-4A6F-97DF-395FDEB7D393}"/>
    <cellStyle name="Normal 8 2 6 4" xfId="1871" xr:uid="{2283CC8B-EEC1-407C-9037-223812E96102}"/>
    <cellStyle name="Normal 8 2 6 4 2" xfId="5260" xr:uid="{C33D87F4-FC82-4AA7-8298-13B724B4D7C6}"/>
    <cellStyle name="Normal 8 2 6 4 2 2" xfId="13640" xr:uid="{66521E28-BE22-4123-9B10-C1B25A05A95B}"/>
    <cellStyle name="Normal 8 2 6 4 2 2 2" xfId="30400" xr:uid="{D62310AB-6B5F-439F-99AE-34C7B45C7ABE}"/>
    <cellStyle name="Normal 8 2 6 4 2 2 3" xfId="47159" xr:uid="{698030CA-3BF5-4B68-9773-4BDC1076FFFC}"/>
    <cellStyle name="Normal 8 2 6 4 2 3" xfId="22020" xr:uid="{293A1EFB-38DB-413E-8EF2-9E7B8E7AFBA5}"/>
    <cellStyle name="Normal 8 2 6 4 2 4" xfId="38779" xr:uid="{B8E8B68E-AAD8-46D7-89F7-C47B9CA55D91}"/>
    <cellStyle name="Normal 8 2 6 4 3" xfId="6947" xr:uid="{B44612CE-543A-4DC8-8B80-1B53FCA3EA22}"/>
    <cellStyle name="Normal 8 2 6 4 3 2" xfId="15327" xr:uid="{5E024194-4A8C-4EBB-9583-76D7AAB877B8}"/>
    <cellStyle name="Normal 8 2 6 4 3 2 2" xfId="32087" xr:uid="{0C8E6A98-4E12-4F26-82FB-1E7DC0B150B2}"/>
    <cellStyle name="Normal 8 2 6 4 3 2 3" xfId="48846" xr:uid="{8ED627DC-E89A-4016-A26D-EA2E77014188}"/>
    <cellStyle name="Normal 8 2 6 4 3 3" xfId="23707" xr:uid="{3EC135B3-0C20-4E82-88EC-7D3A77BDCB32}"/>
    <cellStyle name="Normal 8 2 6 4 3 4" xfId="40466" xr:uid="{564BB917-9059-4E83-97D5-C1CC6C39EE45}"/>
    <cellStyle name="Normal 8 2 6 4 4" xfId="3570" xr:uid="{B40BF4A2-F4FE-4056-BB80-69C127A6F26E}"/>
    <cellStyle name="Normal 8 2 6 4 4 2" xfId="11950" xr:uid="{FE95139D-05E8-4C4C-B062-1F262D48FA2B}"/>
    <cellStyle name="Normal 8 2 6 4 4 2 2" xfId="28710" xr:uid="{B3A98456-0866-4B77-AFF6-6E18E953CA90}"/>
    <cellStyle name="Normal 8 2 6 4 4 2 3" xfId="45469" xr:uid="{CC634A5F-D7E9-4BAD-9B16-2149B2892637}"/>
    <cellStyle name="Normal 8 2 6 4 4 3" xfId="20330" xr:uid="{43CB9622-2D80-4CCD-AD23-36B4403D46A9}"/>
    <cellStyle name="Normal 8 2 6 4 4 4" xfId="37089" xr:uid="{E4E8E2A3-4F21-4B18-A268-934552885F8E}"/>
    <cellStyle name="Normal 8 2 6 4 5" xfId="10260" xr:uid="{49A2C5D9-A1CC-4B65-961C-FE42B350BB3A}"/>
    <cellStyle name="Normal 8 2 6 4 5 2" xfId="27020" xr:uid="{BE77E8F3-45C0-4C32-ADA0-FE47C7AA7097}"/>
    <cellStyle name="Normal 8 2 6 4 5 3" xfId="43779" xr:uid="{E8C097E9-2F24-4516-894E-550707D93FCB}"/>
    <cellStyle name="Normal 8 2 6 4 6" xfId="18640" xr:uid="{1796C066-8481-448A-BDE8-B4B1D267FE03}"/>
    <cellStyle name="Normal 8 2 6 4 7" xfId="35399" xr:uid="{7D58ED68-B144-4315-B2C9-C4D44B43D4B5}"/>
    <cellStyle name="Normal 8 2 6 5" xfId="3990" xr:uid="{FBB1C649-2641-4982-82FD-E57443F90993}"/>
    <cellStyle name="Normal 8 2 6 5 2" xfId="12370" xr:uid="{5D397B2A-3F31-4539-B829-68627BA7457D}"/>
    <cellStyle name="Normal 8 2 6 5 2 2" xfId="29130" xr:uid="{2A1C061C-DA44-4DEF-9DFB-88BAA67C0B86}"/>
    <cellStyle name="Normal 8 2 6 5 2 3" xfId="45889" xr:uid="{9EDBD909-0109-4C6B-81DE-2BFFAC87132A}"/>
    <cellStyle name="Normal 8 2 6 5 3" xfId="20750" xr:uid="{A0569BC6-9C3A-49FF-BEF9-BB33DA5BAB91}"/>
    <cellStyle name="Normal 8 2 6 5 4" xfId="37509" xr:uid="{3DA9FE3C-2E98-42CA-9B72-49820B50DEC1}"/>
    <cellStyle name="Normal 8 2 6 6" xfId="5801" xr:uid="{12543AE0-361F-4662-8ABF-2CC5502EA700}"/>
    <cellStyle name="Normal 8 2 6 6 2" xfId="14181" xr:uid="{334E2944-F94E-49BF-8AA8-C48A4D54F2A4}"/>
    <cellStyle name="Normal 8 2 6 6 2 2" xfId="30941" xr:uid="{26751737-15A1-49F7-AE75-B91766CE2AD2}"/>
    <cellStyle name="Normal 8 2 6 6 2 3" xfId="47700" xr:uid="{74776B31-98BF-45AC-ACE6-C949860466F2}"/>
    <cellStyle name="Normal 8 2 6 6 3" xfId="22561" xr:uid="{940B10B8-C135-4A9F-9EE8-C8E06A6A8679}"/>
    <cellStyle name="Normal 8 2 6 6 4" xfId="39320" xr:uid="{C4AC2C62-07BB-411C-B78B-BB10636B5DE7}"/>
    <cellStyle name="Normal 8 2 6 7" xfId="7353" xr:uid="{A7775421-E929-4DF6-AD60-670E19E4A8C3}"/>
    <cellStyle name="Normal 8 2 6 7 2" xfId="15733" xr:uid="{4934CDDC-023D-4D6D-8B5C-9BCA5B8C32D1}"/>
    <cellStyle name="Normal 8 2 6 7 2 2" xfId="32493" xr:uid="{9A6CF955-23F3-421D-B312-60E74D4FC3CB}"/>
    <cellStyle name="Normal 8 2 6 7 2 3" xfId="49252" xr:uid="{C35DCE8C-1A5C-424B-BC22-7686870B7925}"/>
    <cellStyle name="Normal 8 2 6 7 3" xfId="24113" xr:uid="{02F95D72-DA03-4FD7-8759-E3C6E064B86F}"/>
    <cellStyle name="Normal 8 2 6 7 4" xfId="40872" xr:uid="{151EDF15-2DF4-4BF3-8B24-D663437A85E5}"/>
    <cellStyle name="Normal 8 2 6 8" xfId="7759" xr:uid="{ECBA8617-B4A8-411F-8430-249A7778C230}"/>
    <cellStyle name="Normal 8 2 6 8 2" xfId="16139" xr:uid="{E92CAEF5-CF43-4343-87B6-3D37654E56F7}"/>
    <cellStyle name="Normal 8 2 6 8 2 2" xfId="32899" xr:uid="{B4E447DF-ACA7-4506-B706-B35CA4B3C297}"/>
    <cellStyle name="Normal 8 2 6 8 2 3" xfId="49658" xr:uid="{48BAA930-578F-417D-8E29-7CA936EE30F0}"/>
    <cellStyle name="Normal 8 2 6 8 3" xfId="24519" xr:uid="{2A6171A7-B746-468B-BCD0-B81DC253177D}"/>
    <cellStyle name="Normal 8 2 6 8 4" xfId="41278" xr:uid="{D7CC3272-D278-4E04-8165-C0BFE9ABD043}"/>
    <cellStyle name="Normal 8 2 6 9" xfId="8165" xr:uid="{501DDA57-C999-4C39-B6D2-C07DE0AFD46A}"/>
    <cellStyle name="Normal 8 2 6 9 2" xfId="16545" xr:uid="{1EEA431B-6B0C-4D5A-ADF5-6829FD393E88}"/>
    <cellStyle name="Normal 8 2 6 9 2 2" xfId="33305" xr:uid="{88181AAF-FC5A-4DD1-B7B4-ABB9435F75F6}"/>
    <cellStyle name="Normal 8 2 6 9 2 3" xfId="50064" xr:uid="{B85C2966-7806-421B-91DC-969B295EAC74}"/>
    <cellStyle name="Normal 8 2 6 9 3" xfId="24925" xr:uid="{7478F9BF-2B7E-4C5E-84E1-A2827CB48A30}"/>
    <cellStyle name="Normal 8 2 6 9 4" xfId="41684" xr:uid="{5A249A8F-BD01-4CC6-A51A-9594D3C3B405}"/>
    <cellStyle name="Normal 8 2 7" xfId="707" xr:uid="{2003941A-E4A3-45B5-8B88-1DB0B90EDBEC}"/>
    <cellStyle name="Normal 8 2 7 10" xfId="8616" xr:uid="{033FA650-1315-4DC2-A312-B0793CA9D666}"/>
    <cellStyle name="Normal 8 2 7 10 2" xfId="16996" xr:uid="{D1701C4E-DA95-4E3F-8C77-221BD558AECB}"/>
    <cellStyle name="Normal 8 2 7 10 2 2" xfId="33756" xr:uid="{6577D54D-C03E-4545-A185-4E5069AEE0D7}"/>
    <cellStyle name="Normal 8 2 7 10 2 3" xfId="50515" xr:uid="{9EC37D5A-066B-4565-934C-24021399718B}"/>
    <cellStyle name="Normal 8 2 7 10 3" xfId="25376" xr:uid="{54AE9AEE-B125-4FB2-83C6-E13714E5A5AC}"/>
    <cellStyle name="Normal 8 2 7 10 4" xfId="42135" xr:uid="{02162CB0-A7B1-40B1-8B6B-6054491EE546}"/>
    <cellStyle name="Normal 8 2 7 11" xfId="2536" xr:uid="{27B72960-C58C-4430-80CF-EEA63F61C2D2}"/>
    <cellStyle name="Normal 8 2 7 11 2" xfId="10918" xr:uid="{EFCBEFC4-228C-412A-A80E-4BE71301910F}"/>
    <cellStyle name="Normal 8 2 7 11 2 2" xfId="27678" xr:uid="{04436005-E2D1-4806-899D-216E9006AD84}"/>
    <cellStyle name="Normal 8 2 7 11 2 3" xfId="44437" xr:uid="{AE8CAE41-2FCF-4AD5-AC6E-327D6911AE7D}"/>
    <cellStyle name="Normal 8 2 7 11 3" xfId="19298" xr:uid="{E8187D4D-713F-4B28-BB7A-74954ED5EDA1}"/>
    <cellStyle name="Normal 8 2 7 11 4" xfId="36057" xr:uid="{30D714F3-8ED6-4880-9A64-925272EA1B59}"/>
    <cellStyle name="Normal 8 2 7 12" xfId="9115" xr:uid="{B18140B5-8BDA-444C-8EF1-9450CA2311C4}"/>
    <cellStyle name="Normal 8 2 7 12 2" xfId="25875" xr:uid="{7BD75245-C2CF-44BD-B790-FDEFA2A92A8E}"/>
    <cellStyle name="Normal 8 2 7 12 3" xfId="42634" xr:uid="{C98EF07D-5D85-464E-99A1-0B4D77490E38}"/>
    <cellStyle name="Normal 8 2 7 13" xfId="17495" xr:uid="{F777825E-82AE-47F4-8999-C93181E393D3}"/>
    <cellStyle name="Normal 8 2 7 14" xfId="34254" xr:uid="{1A1D2871-0D17-4FBC-B24F-137A469B83C7}"/>
    <cellStyle name="Normal 8 2 7 2" xfId="1146" xr:uid="{15886E29-EC59-43AF-B28B-878030FF3A4B}"/>
    <cellStyle name="Normal 8 2 7 2 2" xfId="4541" xr:uid="{175F91F7-6612-48F9-AB1C-BDE02B76D12E}"/>
    <cellStyle name="Normal 8 2 7 2 2 2" xfId="12921" xr:uid="{17D8381C-8FFC-4BBE-9B78-2E325EF08746}"/>
    <cellStyle name="Normal 8 2 7 2 2 2 2" xfId="29681" xr:uid="{D82E473C-AB2A-435F-A473-5C368F4B93C0}"/>
    <cellStyle name="Normal 8 2 7 2 2 2 3" xfId="46440" xr:uid="{AD0FED29-D5A1-4BF2-8FF6-EA1EF473773D}"/>
    <cellStyle name="Normal 8 2 7 2 2 3" xfId="21301" xr:uid="{5AEE6628-1A59-4A77-825C-F95E1868C3DA}"/>
    <cellStyle name="Normal 8 2 7 2 2 4" xfId="38060" xr:uid="{20CA0F3C-6BE4-40FF-A60F-2DA3FCE9270B}"/>
    <cellStyle name="Normal 8 2 7 2 3" xfId="6228" xr:uid="{436F4A7A-4128-4026-936F-CDCBF2F3F817}"/>
    <cellStyle name="Normal 8 2 7 2 3 2" xfId="14608" xr:uid="{A5C840DA-265B-428A-B4C3-A7B5120A8C4A}"/>
    <cellStyle name="Normal 8 2 7 2 3 2 2" xfId="31368" xr:uid="{55065FE9-B197-41DA-9481-E3E01C4C810B}"/>
    <cellStyle name="Normal 8 2 7 2 3 2 3" xfId="48127" xr:uid="{3D645698-12F5-4334-AB38-361AD0D7DBDA}"/>
    <cellStyle name="Normal 8 2 7 2 3 3" xfId="22988" xr:uid="{A53C6AB6-BCCD-4A1A-81E0-0B9ECE5A8A69}"/>
    <cellStyle name="Normal 8 2 7 2 3 4" xfId="39747" xr:uid="{32C73AA6-A383-4D34-BD8C-5CF949D39C45}"/>
    <cellStyle name="Normal 8 2 7 2 4" xfId="2964" xr:uid="{6D708BC8-82BE-41FA-8643-823F55FC6A89}"/>
    <cellStyle name="Normal 8 2 7 2 4 2" xfId="11344" xr:uid="{2FA96FB6-8252-4297-B79E-E9BE0CC6809F}"/>
    <cellStyle name="Normal 8 2 7 2 4 2 2" xfId="28104" xr:uid="{D7AA1A5C-5190-4783-BE78-6EF8F5F56C0B}"/>
    <cellStyle name="Normal 8 2 7 2 4 2 3" xfId="44863" xr:uid="{BCCE5171-8F6E-46AC-AD81-6FD3EFFFB4CA}"/>
    <cellStyle name="Normal 8 2 7 2 4 3" xfId="19724" xr:uid="{23A1955F-6DA8-4CDD-9649-EE9D0F6DED97}"/>
    <cellStyle name="Normal 8 2 7 2 4 4" xfId="36483" xr:uid="{5B46BEA0-37E6-45F4-BBDF-3973340C7013}"/>
    <cellStyle name="Normal 8 2 7 2 5" xfId="9541" xr:uid="{5562DA07-AE66-4327-A571-500F4F559E61}"/>
    <cellStyle name="Normal 8 2 7 2 5 2" xfId="26301" xr:uid="{B415A6BC-4999-42D1-BD62-E9219D1D9321}"/>
    <cellStyle name="Normal 8 2 7 2 5 3" xfId="43060" xr:uid="{B27BC9CE-E869-49CA-85E8-86E0590943E3}"/>
    <cellStyle name="Normal 8 2 7 2 6" xfId="17921" xr:uid="{F9AADF4D-274D-4623-B50E-91F523CACE72}"/>
    <cellStyle name="Normal 8 2 7 2 7" xfId="34680" xr:uid="{397BF87E-5196-47A5-A686-346099F57AE3}"/>
    <cellStyle name="Normal 8 2 7 3" xfId="1580" xr:uid="{164CB753-E4FC-4138-A024-395082930C85}"/>
    <cellStyle name="Normal 8 2 7 3 2" xfId="4969" xr:uid="{C2D812DE-F88F-4A98-AAFF-B85822E8A73A}"/>
    <cellStyle name="Normal 8 2 7 3 2 2" xfId="13349" xr:uid="{42EC4D4A-CB6A-4216-81F1-37AFC8BE18D0}"/>
    <cellStyle name="Normal 8 2 7 3 2 2 2" xfId="30109" xr:uid="{B9449A03-B7E0-47AC-8E8B-DA1F9AC381EC}"/>
    <cellStyle name="Normal 8 2 7 3 2 2 3" xfId="46868" xr:uid="{C15AF2EA-193B-44CB-A0DA-270D4C0D7820}"/>
    <cellStyle name="Normal 8 2 7 3 2 3" xfId="21729" xr:uid="{8EBF2E9B-C8A2-4C3E-8482-9A91087DD2B5}"/>
    <cellStyle name="Normal 8 2 7 3 2 4" xfId="38488" xr:uid="{477629A1-464B-49D7-BA66-D868000D8C71}"/>
    <cellStyle name="Normal 8 2 7 3 3" xfId="6656" xr:uid="{420E3B40-7A0D-4AC3-B757-0AB0BBA97445}"/>
    <cellStyle name="Normal 8 2 7 3 3 2" xfId="15036" xr:uid="{0DBD3CF9-EA75-4B79-B922-C2599B8D54B0}"/>
    <cellStyle name="Normal 8 2 7 3 3 2 2" xfId="31796" xr:uid="{0388AC07-4082-4C31-A4E4-2FB195CF11A0}"/>
    <cellStyle name="Normal 8 2 7 3 3 2 3" xfId="48555" xr:uid="{06C20CFA-2C53-4108-9142-0938F73AE353}"/>
    <cellStyle name="Normal 8 2 7 3 3 3" xfId="23416" xr:uid="{4C0E57E0-C4E4-49EC-8F6A-03EC842F69C0}"/>
    <cellStyle name="Normal 8 2 7 3 3 4" xfId="40175" xr:uid="{16B6C0D8-9270-4E7E-99B5-C1E1A4B69FE9}"/>
    <cellStyle name="Normal 8 2 7 3 4" xfId="3392" xr:uid="{9E878310-3971-4F88-BBB6-BC8294D625F6}"/>
    <cellStyle name="Normal 8 2 7 3 4 2" xfId="11772" xr:uid="{DF3085A5-18A9-45A9-A8E3-F35E82435841}"/>
    <cellStyle name="Normal 8 2 7 3 4 2 2" xfId="28532" xr:uid="{CAE23DF3-14CE-431B-8063-8868AB9FCD9E}"/>
    <cellStyle name="Normal 8 2 7 3 4 2 3" xfId="45291" xr:uid="{3B48D0A1-CA21-4C18-8329-0EBEBE0B45EF}"/>
    <cellStyle name="Normal 8 2 7 3 4 3" xfId="20152" xr:uid="{0538A2BE-A1E1-4678-A263-5F9AB71FA2BB}"/>
    <cellStyle name="Normal 8 2 7 3 4 4" xfId="36911" xr:uid="{A766AD70-FB61-4FD0-8D71-DF2A77273B03}"/>
    <cellStyle name="Normal 8 2 7 3 5" xfId="9969" xr:uid="{9BC0B9A5-230D-4859-9EE0-830AD1A4A0BE}"/>
    <cellStyle name="Normal 8 2 7 3 5 2" xfId="26729" xr:uid="{ECD43785-D65B-44EB-A255-EED0F3AE2AB5}"/>
    <cellStyle name="Normal 8 2 7 3 5 3" xfId="43488" xr:uid="{1D8AEF25-C99D-437D-B380-18D331685072}"/>
    <cellStyle name="Normal 8 2 7 3 6" xfId="18349" xr:uid="{8B06630B-0251-49CA-8C38-B3F7C1309C3F}"/>
    <cellStyle name="Normal 8 2 7 3 7" xfId="35108" xr:uid="{58C8CF08-F9D4-4F98-809B-B573AB201C2D}"/>
    <cellStyle name="Normal 8 2 7 4" xfId="1916" xr:uid="{8B10AA66-AA59-4AFB-91FE-1DC8D618F11E}"/>
    <cellStyle name="Normal 8 2 7 4 2" xfId="5305" xr:uid="{F2607264-F925-4F11-A595-917C01EE4ABD}"/>
    <cellStyle name="Normal 8 2 7 4 2 2" xfId="13685" xr:uid="{FB106765-706F-4AE0-ABEC-16F17E8EA494}"/>
    <cellStyle name="Normal 8 2 7 4 2 2 2" xfId="30445" xr:uid="{3974657E-52AB-4815-88CE-0A2B6B2EF674}"/>
    <cellStyle name="Normal 8 2 7 4 2 2 3" xfId="47204" xr:uid="{925A06D9-8E73-4637-9889-D49CFD7B1A57}"/>
    <cellStyle name="Normal 8 2 7 4 2 3" xfId="22065" xr:uid="{17948180-A7E2-498E-AA40-ACE667DC782C}"/>
    <cellStyle name="Normal 8 2 7 4 2 4" xfId="38824" xr:uid="{AC17A727-EA15-4888-B539-E02DF4ADB470}"/>
    <cellStyle name="Normal 8 2 7 4 3" xfId="6992" xr:uid="{26A9902D-ABC8-48B5-A255-674770E2574E}"/>
    <cellStyle name="Normal 8 2 7 4 3 2" xfId="15372" xr:uid="{C47ED371-EA11-4921-86F0-4526E1A10EAF}"/>
    <cellStyle name="Normal 8 2 7 4 3 2 2" xfId="32132" xr:uid="{DCD47678-C57E-4F66-A9CF-755097F947E7}"/>
    <cellStyle name="Normal 8 2 7 4 3 2 3" xfId="48891" xr:uid="{539C18F0-ED16-4E56-B45D-1DAF21CA7819}"/>
    <cellStyle name="Normal 8 2 7 4 3 3" xfId="23752" xr:uid="{99AB5865-DE62-4C79-B080-3C17E7731F9F}"/>
    <cellStyle name="Normal 8 2 7 4 3 4" xfId="40511" xr:uid="{B35F1D7A-8E44-49E4-9A97-FE9EE9D489EE}"/>
    <cellStyle name="Normal 8 2 7 4 4" xfId="3615" xr:uid="{C207AA58-749E-4EB8-890F-B93A8A8EDCB8}"/>
    <cellStyle name="Normal 8 2 7 4 4 2" xfId="11995" xr:uid="{438117A2-1296-4EFB-8DF5-2820A48C04C9}"/>
    <cellStyle name="Normal 8 2 7 4 4 2 2" xfId="28755" xr:uid="{4DDD9D6D-004E-4AA9-8A2B-9328C0EF5F12}"/>
    <cellStyle name="Normal 8 2 7 4 4 2 3" xfId="45514" xr:uid="{0EE37716-5E76-4D69-961D-D5BBBF96A4D6}"/>
    <cellStyle name="Normal 8 2 7 4 4 3" xfId="20375" xr:uid="{47C21B30-2A70-43D5-94E3-3EDFF33F6DD5}"/>
    <cellStyle name="Normal 8 2 7 4 4 4" xfId="37134" xr:uid="{0CABC710-AFC8-4D97-8997-299DB8DEA69C}"/>
    <cellStyle name="Normal 8 2 7 4 5" xfId="10305" xr:uid="{9865EBBF-9983-4388-9146-0EE2EF441C83}"/>
    <cellStyle name="Normal 8 2 7 4 5 2" xfId="27065" xr:uid="{BD0AEF15-8456-463D-B7B6-671E48A22F53}"/>
    <cellStyle name="Normal 8 2 7 4 5 3" xfId="43824" xr:uid="{AB41F80B-7397-43EB-8D19-95D4D2020110}"/>
    <cellStyle name="Normal 8 2 7 4 6" xfId="18685" xr:uid="{8023491B-BCC5-4B47-A9EE-8A1C53451432}"/>
    <cellStyle name="Normal 8 2 7 4 7" xfId="35444" xr:uid="{9BBC01A9-E330-45CA-B03D-58264C826916}"/>
    <cellStyle name="Normal 8 2 7 5" xfId="4035" xr:uid="{D5DB3C87-F12C-4D6E-A6D3-12D54AC9785D}"/>
    <cellStyle name="Normal 8 2 7 5 2" xfId="12415" xr:uid="{05EE60DC-1112-4A64-8314-24A54765CEFA}"/>
    <cellStyle name="Normal 8 2 7 5 2 2" xfId="29175" xr:uid="{9CD0126F-5839-44EF-ACB2-55BEFA7D3A13}"/>
    <cellStyle name="Normal 8 2 7 5 2 3" xfId="45934" xr:uid="{A998B065-205C-44BE-8788-F3369DD0B878}"/>
    <cellStyle name="Normal 8 2 7 5 3" xfId="20795" xr:uid="{189D5B72-AAC5-44EB-AC16-FF96E0951BEC}"/>
    <cellStyle name="Normal 8 2 7 5 4" xfId="37554" xr:uid="{0CF28EC3-C4D9-4B68-857A-51C5EAC84F07}"/>
    <cellStyle name="Normal 8 2 7 6" xfId="5802" xr:uid="{003074F0-EC2F-4A55-8016-CD86EF8853B6}"/>
    <cellStyle name="Normal 8 2 7 6 2" xfId="14182" xr:uid="{76A9B5E9-84C4-43EA-A7FE-B3211336293C}"/>
    <cellStyle name="Normal 8 2 7 6 2 2" xfId="30942" xr:uid="{4BD24127-F60B-45BE-890A-F44710AD023E}"/>
    <cellStyle name="Normal 8 2 7 6 2 3" xfId="47701" xr:uid="{48F24618-C180-4CA1-8E17-C443B4CA61E9}"/>
    <cellStyle name="Normal 8 2 7 6 3" xfId="22562" xr:uid="{9D34FF0C-9001-4F93-A662-7EA651A6A104}"/>
    <cellStyle name="Normal 8 2 7 6 4" xfId="39321" xr:uid="{486B858D-1C97-466C-A6BD-A09A5201FA2B}"/>
    <cellStyle name="Normal 8 2 7 7" xfId="7398" xr:uid="{25528944-96AA-42E6-8859-0F3BB0A3598C}"/>
    <cellStyle name="Normal 8 2 7 7 2" xfId="15778" xr:uid="{B3DBDEDF-DA39-4F19-9857-98C8D48D16B4}"/>
    <cellStyle name="Normal 8 2 7 7 2 2" xfId="32538" xr:uid="{45833933-E341-40DA-B788-A690F1FABAEB}"/>
    <cellStyle name="Normal 8 2 7 7 2 3" xfId="49297" xr:uid="{9D382AEB-1C39-408C-82DE-88C9BE21DE8D}"/>
    <cellStyle name="Normal 8 2 7 7 3" xfId="24158" xr:uid="{E5C37F35-849C-44AE-995A-3F47856266ED}"/>
    <cellStyle name="Normal 8 2 7 7 4" xfId="40917" xr:uid="{892E060B-D38C-4C28-A09B-3486479D9718}"/>
    <cellStyle name="Normal 8 2 7 8" xfId="7804" xr:uid="{F52D4D4A-4E06-4D0E-9526-60DB3EABE7F9}"/>
    <cellStyle name="Normal 8 2 7 8 2" xfId="16184" xr:uid="{DCFF6CF2-9FB4-418D-9152-98A3CA2597C3}"/>
    <cellStyle name="Normal 8 2 7 8 2 2" xfId="32944" xr:uid="{6ADCABEA-265D-4A84-B9DF-4EC5D44322E0}"/>
    <cellStyle name="Normal 8 2 7 8 2 3" xfId="49703" xr:uid="{625252EA-45E7-41D7-B48D-60321E7994A7}"/>
    <cellStyle name="Normal 8 2 7 8 3" xfId="24564" xr:uid="{E9A4C03B-0DCF-4991-B28A-61A3651F2044}"/>
    <cellStyle name="Normal 8 2 7 8 4" xfId="41323" xr:uid="{D6A4A483-53A6-40C7-ABB0-3AA711B96A11}"/>
    <cellStyle name="Normal 8 2 7 9" xfId="8210" xr:uid="{D7621AF2-728C-4A7F-8C40-303A91C115FE}"/>
    <cellStyle name="Normal 8 2 7 9 2" xfId="16590" xr:uid="{A27E4DEE-EBAB-418B-B32C-37A9E4CF916F}"/>
    <cellStyle name="Normal 8 2 7 9 2 2" xfId="33350" xr:uid="{6636CCC2-823D-42D8-A858-4CDF4C4DA76C}"/>
    <cellStyle name="Normal 8 2 7 9 2 3" xfId="50109" xr:uid="{69CEE3B7-3853-404C-A31D-16757D3D4633}"/>
    <cellStyle name="Normal 8 2 7 9 3" xfId="24970" xr:uid="{9B539E38-F632-4E9C-A5E7-2AA8704AC0A5}"/>
    <cellStyle name="Normal 8 2 7 9 4" xfId="41729" xr:uid="{8922A7B5-5E52-4161-BC44-9FCA46442A7E}"/>
    <cellStyle name="Normal 8 2 8" xfId="775" xr:uid="{4BE0EE3A-D5F3-4888-878B-A1C46E119EE5}"/>
    <cellStyle name="Normal 8 2 8 2" xfId="4170" xr:uid="{982805F5-CE83-48C4-953D-3E8623E5DC6D}"/>
    <cellStyle name="Normal 8 2 8 2 2" xfId="12550" xr:uid="{D2DE6C6E-AF4D-4B15-AC7F-5FD01F286FEE}"/>
    <cellStyle name="Normal 8 2 8 2 2 2" xfId="29310" xr:uid="{F4F070B9-299F-47B6-8A51-E3F353F67FB5}"/>
    <cellStyle name="Normal 8 2 8 2 2 3" xfId="46069" xr:uid="{F133390B-E5A2-4FE6-BF41-BC1F9C00D886}"/>
    <cellStyle name="Normal 8 2 8 2 3" xfId="20930" xr:uid="{26CB0ABE-E5E6-4C61-95C0-AE4D61FD2C11}"/>
    <cellStyle name="Normal 8 2 8 2 4" xfId="37689" xr:uid="{C9B8C960-5AA0-41E6-98A8-202AF0000B32}"/>
    <cellStyle name="Normal 8 2 8 3" xfId="5857" xr:uid="{5748C1B3-2FD7-4AE9-8F82-4E64D417C5AC}"/>
    <cellStyle name="Normal 8 2 8 3 2" xfId="14237" xr:uid="{EBA3A2AA-5190-4830-8D12-B273C7DAC8C5}"/>
    <cellStyle name="Normal 8 2 8 3 2 2" xfId="30997" xr:uid="{BFC509F6-2E22-4073-AC47-C0A9ADAB908F}"/>
    <cellStyle name="Normal 8 2 8 3 2 3" xfId="47756" xr:uid="{9D68ED8F-42B6-4E9C-B0FA-3A7A84FA095B}"/>
    <cellStyle name="Normal 8 2 8 3 3" xfId="22617" xr:uid="{0F0B2704-20AF-4025-A45F-884FCBA67FB8}"/>
    <cellStyle name="Normal 8 2 8 3 4" xfId="39376" xr:uid="{CF69BC76-161C-49C2-86C0-81D10F041BD1}"/>
    <cellStyle name="Normal 8 2 8 4" xfId="2593" xr:uid="{24EE15E1-8E41-47B4-AF3B-E153D3AEC108}"/>
    <cellStyle name="Normal 8 2 8 4 2" xfId="10973" xr:uid="{66382C2D-805F-4CD8-BFC4-8FBFCACF0AF9}"/>
    <cellStyle name="Normal 8 2 8 4 2 2" xfId="27733" xr:uid="{3635B53E-CB34-4AA2-A84C-161E10B8D4E3}"/>
    <cellStyle name="Normal 8 2 8 4 2 3" xfId="44492" xr:uid="{09831C70-CD34-4A2A-A88B-8D226A9D5232}"/>
    <cellStyle name="Normal 8 2 8 4 3" xfId="19353" xr:uid="{CE4FDE9D-8372-4AEB-BADB-55176798858C}"/>
    <cellStyle name="Normal 8 2 8 4 4" xfId="36112" xr:uid="{B156BEDF-90D4-47A2-AC77-D28F8AB4527F}"/>
    <cellStyle name="Normal 8 2 8 5" xfId="9170" xr:uid="{E479F882-39A8-47DD-A750-C364924033C7}"/>
    <cellStyle name="Normal 8 2 8 5 2" xfId="25930" xr:uid="{EF8E35A3-C8A6-4867-9C46-38C045941ED4}"/>
    <cellStyle name="Normal 8 2 8 5 3" xfId="42689" xr:uid="{AE952488-B9D2-47AE-AA70-A572467E9A7D}"/>
    <cellStyle name="Normal 8 2 8 6" xfId="17550" xr:uid="{16A081BD-E3C1-4565-B70B-9153D9D0B2F5}"/>
    <cellStyle name="Normal 8 2 8 7" xfId="34309" xr:uid="{698DBC5D-96E6-4FC2-B24B-9A797F163666}"/>
    <cellStyle name="Normal 8 2 9" xfId="1209" xr:uid="{E3228B0D-703E-4B06-8A1D-A9E2487A6314}"/>
    <cellStyle name="Normal 8 2 9 2" xfId="4598" xr:uid="{019D1889-FEE1-4C7B-A621-37A1DB99BD4B}"/>
    <cellStyle name="Normal 8 2 9 2 2" xfId="12978" xr:uid="{B1258CE9-BC08-45A4-977F-F5289F19F7D7}"/>
    <cellStyle name="Normal 8 2 9 2 2 2" xfId="29738" xr:uid="{1FD92820-546E-4356-BA31-BAF85DE3C916}"/>
    <cellStyle name="Normal 8 2 9 2 2 3" xfId="46497" xr:uid="{00143D86-D3CD-44BF-8007-0AA564514BC2}"/>
    <cellStyle name="Normal 8 2 9 2 3" xfId="21358" xr:uid="{E8E6B5E3-40FE-451C-B19B-40D487ECB309}"/>
    <cellStyle name="Normal 8 2 9 2 4" xfId="38117" xr:uid="{011AE5F2-DCFD-42F7-8CA0-66288951543B}"/>
    <cellStyle name="Normal 8 2 9 3" xfId="6285" xr:uid="{19E4F671-1422-4BCA-9044-9E75299B9AD9}"/>
    <cellStyle name="Normal 8 2 9 3 2" xfId="14665" xr:uid="{EDDF0398-026D-43FB-BFF7-F36899AA7A03}"/>
    <cellStyle name="Normal 8 2 9 3 2 2" xfId="31425" xr:uid="{8FD1F911-FE62-4A46-A506-7BE34B71300D}"/>
    <cellStyle name="Normal 8 2 9 3 2 3" xfId="48184" xr:uid="{B4C0F88F-8A5B-4BA7-A645-75EBB4EE8B27}"/>
    <cellStyle name="Normal 8 2 9 3 3" xfId="23045" xr:uid="{F311DB08-6F06-4BAA-82BB-7EA34B9A276B}"/>
    <cellStyle name="Normal 8 2 9 3 4" xfId="39804" xr:uid="{CDBEA2F4-08C8-46E3-BBB1-7401D639D653}"/>
    <cellStyle name="Normal 8 2 9 4" xfId="3021" xr:uid="{CEFB3D39-BC0F-40E3-8A66-DA85EED9927D}"/>
    <cellStyle name="Normal 8 2 9 4 2" xfId="11401" xr:uid="{5EFA7D19-97F6-41E6-B567-E31F511576B6}"/>
    <cellStyle name="Normal 8 2 9 4 2 2" xfId="28161" xr:uid="{6CB34A28-8AA0-444D-ABB0-A454C8C1FAAF}"/>
    <cellStyle name="Normal 8 2 9 4 2 3" xfId="44920" xr:uid="{35EBA61A-EF63-40F7-BD54-0F7F9F72AEA3}"/>
    <cellStyle name="Normal 8 2 9 4 3" xfId="19781" xr:uid="{9B9A1052-A533-42DF-BBD2-F0195A21BE78}"/>
    <cellStyle name="Normal 8 2 9 4 4" xfId="36540" xr:uid="{6965C8FC-C34D-4E42-A520-B9FEC3E66B47}"/>
    <cellStyle name="Normal 8 2 9 5" xfId="9598" xr:uid="{C750FDD6-9FCD-4C46-A272-290E3BE2A686}"/>
    <cellStyle name="Normal 8 2 9 5 2" xfId="26358" xr:uid="{79ECB70D-10FB-4F0D-9D68-F36C4BA5D3E2}"/>
    <cellStyle name="Normal 8 2 9 5 3" xfId="43117" xr:uid="{2793A1A3-E969-4916-8B88-F23BB6EB13A8}"/>
    <cellStyle name="Normal 8 2 9 6" xfId="17978" xr:uid="{197B5506-6671-4598-B8E6-EFF7F198A6E9}"/>
    <cellStyle name="Normal 8 2 9 7" xfId="34737" xr:uid="{698D4695-F8CD-4205-88FB-795FFA181943}"/>
    <cellStyle name="Normal 8 20" xfId="17117" xr:uid="{F293D3E4-728A-46DB-8630-1109D24491A8}"/>
    <cellStyle name="Normal 8 21" xfId="33876" xr:uid="{63855AAC-43AE-495F-921A-B170FF82DDDE}"/>
    <cellStyle name="Normal 8 22" xfId="50949" xr:uid="{19CE5535-D207-4FBA-822F-2A4CB77FD1E4}"/>
    <cellStyle name="Normal 8 3" xfId="292" xr:uid="{7D06AC5E-A758-4DE0-BBAA-030EBDDC93E1}"/>
    <cellStyle name="Normal 8 3 10" xfId="7188" xr:uid="{E133EC6B-7F31-4E70-B62B-3B004566C2F7}"/>
    <cellStyle name="Normal 8 3 10 2" xfId="15568" xr:uid="{40B027CE-68E9-4928-A891-4048AB1B05F4}"/>
    <cellStyle name="Normal 8 3 10 2 2" xfId="32328" xr:uid="{BEAB9574-5D79-4A44-8A6F-C40C7346F2A0}"/>
    <cellStyle name="Normal 8 3 10 2 3" xfId="49087" xr:uid="{C86DAD08-EDB9-4F50-AE22-67303F6864E1}"/>
    <cellStyle name="Normal 8 3 10 3" xfId="23948" xr:uid="{AC31B4C3-629F-4433-98B3-1AE0E9204613}"/>
    <cellStyle name="Normal 8 3 10 4" xfId="40707" xr:uid="{284FFA3E-8958-4F87-90CD-AF59F9BC9A43}"/>
    <cellStyle name="Normal 8 3 11" xfId="7594" xr:uid="{D0038A03-5CEA-4A54-A57D-8E7AA14674A0}"/>
    <cellStyle name="Normal 8 3 11 2" xfId="15974" xr:uid="{2ECA74B7-B23E-4DE7-B228-8525AC4294B0}"/>
    <cellStyle name="Normal 8 3 11 2 2" xfId="32734" xr:uid="{1B087E5C-2193-4F96-8C48-B7D29E59BE7A}"/>
    <cellStyle name="Normal 8 3 11 2 3" xfId="49493" xr:uid="{150D8976-F7C6-44DF-951D-1D6029CA317E}"/>
    <cellStyle name="Normal 8 3 11 3" xfId="24354" xr:uid="{774EEBD7-514C-4D2C-9497-97CC242C2E37}"/>
    <cellStyle name="Normal 8 3 11 4" xfId="41113" xr:uid="{BDF139CD-736A-4E1D-ABB8-DBB5B271172B}"/>
    <cellStyle name="Normal 8 3 12" xfId="8000" xr:uid="{672E9A91-1B6D-43E0-9A85-53B76DEB7060}"/>
    <cellStyle name="Normal 8 3 12 2" xfId="16380" xr:uid="{E9CDE048-37D8-4FC9-8618-D7DEA6C03540}"/>
    <cellStyle name="Normal 8 3 12 2 2" xfId="33140" xr:uid="{A847B081-49AC-48DC-A171-5EC539FFE115}"/>
    <cellStyle name="Normal 8 3 12 2 3" xfId="49899" xr:uid="{453B0CFB-76F2-4182-ADAB-5C97F69C0E89}"/>
    <cellStyle name="Normal 8 3 12 3" xfId="24760" xr:uid="{CE2CFC2E-05B7-4962-857D-D40016891BDA}"/>
    <cellStyle name="Normal 8 3 12 4" xfId="41519" xr:uid="{C8F551AF-83F5-4703-8289-882B68400B3B}"/>
    <cellStyle name="Normal 8 3 13" xfId="8406" xr:uid="{E5E42EA5-D542-43DA-8EC8-FDC7ECE01CEB}"/>
    <cellStyle name="Normal 8 3 13 2" xfId="16786" xr:uid="{18F52276-2E8E-4681-BC9A-FBBF47D2D01A}"/>
    <cellStyle name="Normal 8 3 13 2 2" xfId="33546" xr:uid="{FABF8B96-3C79-4A0F-87CB-346020BDC07F}"/>
    <cellStyle name="Normal 8 3 13 2 3" xfId="50305" xr:uid="{84B61852-32E0-4FC6-8E0E-1A5AB7654972}"/>
    <cellStyle name="Normal 8 3 13 3" xfId="25166" xr:uid="{6CC7BF89-7C0B-457C-B57E-37C83D0F44E3}"/>
    <cellStyle name="Normal 8 3 13 4" xfId="41925" xr:uid="{E915A005-4CDF-4E11-9A8D-BEFC5177B877}"/>
    <cellStyle name="Normal 8 3 14" xfId="2058" xr:uid="{B90713E3-1F36-4460-8161-30646A808C2B}"/>
    <cellStyle name="Normal 8 3 14 2" xfId="10446" xr:uid="{118DD9FC-4B44-4FAA-B3C8-993755DB2E3F}"/>
    <cellStyle name="Normal 8 3 14 2 2" xfId="27206" xr:uid="{B2D8C7FE-710A-4BA1-8796-2325E95380C0}"/>
    <cellStyle name="Normal 8 3 14 2 3" xfId="43965" xr:uid="{F8D8C09A-7D85-4E75-8776-7B01732D57A1}"/>
    <cellStyle name="Normal 8 3 14 3" xfId="18826" xr:uid="{9E7F18CF-3680-4BC1-B803-730E9191B371}"/>
    <cellStyle name="Normal 8 3 14 4" xfId="35585" xr:uid="{0FD833A4-0EF7-4E96-AF2E-28B1411BA240}"/>
    <cellStyle name="Normal 8 3 15" xfId="8765" xr:uid="{4EA7EDEF-5D5C-4E9F-ADB8-E35F17AABB00}"/>
    <cellStyle name="Normal 8 3 15 2" xfId="25525" xr:uid="{FB87D0EB-BF88-4793-B752-E6CD304815C2}"/>
    <cellStyle name="Normal 8 3 15 3" xfId="42284" xr:uid="{F95C2958-4E85-488E-B25D-695CCAE65D31}"/>
    <cellStyle name="Normal 8 3 16" xfId="17145" xr:uid="{636501B7-5D1E-4233-916E-6A4748EF9559}"/>
    <cellStyle name="Normal 8 3 17" xfId="33904" xr:uid="{D8FD0612-E6AE-43B9-9757-5D526821E845}"/>
    <cellStyle name="Normal 8 3 2" xfId="375" xr:uid="{F1C3700A-99EF-448E-B838-CA9568D8EB8B}"/>
    <cellStyle name="Normal 8 3 2 10" xfId="7619" xr:uid="{B862F14B-0B2A-4B92-B8EC-A4BDBFB8D3BC}"/>
    <cellStyle name="Normal 8 3 2 10 2" xfId="15999" xr:uid="{C976C0CE-AE2F-4358-A843-9927F140F8A8}"/>
    <cellStyle name="Normal 8 3 2 10 2 2" xfId="32759" xr:uid="{4D4D0E2F-4B2A-452C-B8BF-B8E9BBEF49A7}"/>
    <cellStyle name="Normal 8 3 2 10 2 3" xfId="49518" xr:uid="{89EE23E6-ABB3-4442-8DB6-521A3F8A6BA5}"/>
    <cellStyle name="Normal 8 3 2 10 3" xfId="24379" xr:uid="{46F6AAB2-2A30-4D5D-8D9D-5B0D2438BFC0}"/>
    <cellStyle name="Normal 8 3 2 10 4" xfId="41138" xr:uid="{F98A9FA5-6EF5-4BBC-9CE8-9A18B271E875}"/>
    <cellStyle name="Normal 8 3 2 11" xfId="8025" xr:uid="{19014A1B-8752-4B46-8C05-61DF0EF3C88D}"/>
    <cellStyle name="Normal 8 3 2 11 2" xfId="16405" xr:uid="{FC009F90-F9D9-4F56-AD12-11576DFA67D7}"/>
    <cellStyle name="Normal 8 3 2 11 2 2" xfId="33165" xr:uid="{3E4412CF-84AF-40C3-9DA0-3D5C6FC8BE11}"/>
    <cellStyle name="Normal 8 3 2 11 2 3" xfId="49924" xr:uid="{A7410FF7-D765-4119-8D75-DDF749EBDB2E}"/>
    <cellStyle name="Normal 8 3 2 11 3" xfId="24785" xr:uid="{1735984C-3169-4697-9874-33067EDD9513}"/>
    <cellStyle name="Normal 8 3 2 11 4" xfId="41544" xr:uid="{4E0FE785-65B4-45DA-B749-4C146B716B98}"/>
    <cellStyle name="Normal 8 3 2 12" xfId="8431" xr:uid="{7E209A2F-24D0-4713-8928-B74A9FFFB5E3}"/>
    <cellStyle name="Normal 8 3 2 12 2" xfId="16811" xr:uid="{3ACDE241-AFEE-4F2B-9ECE-AD630D6EAF55}"/>
    <cellStyle name="Normal 8 3 2 12 2 2" xfId="33571" xr:uid="{6DEE8D33-D927-4562-8D23-3AC1F9BF80C5}"/>
    <cellStyle name="Normal 8 3 2 12 2 3" xfId="50330" xr:uid="{48DA3F99-5A5A-410E-B8A5-6017D6876862}"/>
    <cellStyle name="Normal 8 3 2 12 3" xfId="25191" xr:uid="{430B87F6-E9C3-45D9-99E8-27E214194203}"/>
    <cellStyle name="Normal 8 3 2 12 4" xfId="41950" xr:uid="{3A8FF268-4E07-490A-97BC-C13B679301D6}"/>
    <cellStyle name="Normal 8 3 2 13" xfId="2258" xr:uid="{2D33B0B5-DECF-43CC-BA49-38F2DFEECA69}"/>
    <cellStyle name="Normal 8 3 2 13 2" xfId="10642" xr:uid="{2D3FEDFE-4A48-44E2-BED7-9E7DC85C7710}"/>
    <cellStyle name="Normal 8 3 2 13 2 2" xfId="27402" xr:uid="{288D4170-3CF9-45ED-9516-4C4CEE1F96D8}"/>
    <cellStyle name="Normal 8 3 2 13 2 3" xfId="44161" xr:uid="{94B5D139-802B-401C-8467-3426B0156FBC}"/>
    <cellStyle name="Normal 8 3 2 13 3" xfId="19022" xr:uid="{9BBDC66E-102A-468C-BBCD-A63843875BEE}"/>
    <cellStyle name="Normal 8 3 2 13 4" xfId="35781" xr:uid="{5EBC3BB3-E335-48B3-B75D-A9BAD6691E95}"/>
    <cellStyle name="Normal 8 3 2 14" xfId="8839" xr:uid="{5F8DEFC9-4EF6-4201-9B5B-D34D1507D4F9}"/>
    <cellStyle name="Normal 8 3 2 14 2" xfId="25599" xr:uid="{5D1373BB-7FE3-40C4-B2DB-59F64D10BD99}"/>
    <cellStyle name="Normal 8 3 2 14 3" xfId="42358" xr:uid="{E0ED2379-5C8E-4488-88A2-D22EBAA89E46}"/>
    <cellStyle name="Normal 8 3 2 15" xfId="17219" xr:uid="{BF9D93BD-C089-4684-A474-3D3ADC5E96E4}"/>
    <cellStyle name="Normal 8 3 2 16" xfId="33978" xr:uid="{7C5FF74A-0C24-484A-8489-F68F546696F1}"/>
    <cellStyle name="Normal 8 3 2 2" xfId="708" xr:uid="{C07A88B1-8AD6-408A-8479-653AF1DD12EA}"/>
    <cellStyle name="Normal 8 3 2 2 10" xfId="8578" xr:uid="{16ED17A2-C419-41D3-8C7D-59D6F0FB9C77}"/>
    <cellStyle name="Normal 8 3 2 2 10 2" xfId="16958" xr:uid="{EC57FDD0-041D-40CA-9489-EAFEBA01697E}"/>
    <cellStyle name="Normal 8 3 2 2 10 2 2" xfId="33718" xr:uid="{8AD40A82-C61C-4EAC-B465-81D03B289060}"/>
    <cellStyle name="Normal 8 3 2 2 10 2 3" xfId="50477" xr:uid="{84BDFA0D-1EDE-433F-ACCF-13227EF08412}"/>
    <cellStyle name="Normal 8 3 2 2 10 3" xfId="25338" xr:uid="{042C4E33-34F8-43C3-9116-768042AE7216}"/>
    <cellStyle name="Normal 8 3 2 2 10 4" xfId="42097" xr:uid="{55646C70-384E-4C05-96B6-7517BEE99821}"/>
    <cellStyle name="Normal 8 3 2 2 11" xfId="2537" xr:uid="{551E74DE-DAD7-47E4-B9FB-3786BE1BEB3F}"/>
    <cellStyle name="Normal 8 3 2 2 11 2" xfId="10919" xr:uid="{45960C21-F4E1-493D-9A36-D841E60EECD0}"/>
    <cellStyle name="Normal 8 3 2 2 11 2 2" xfId="27679" xr:uid="{DC85B97D-57DC-4BE5-BC30-A5E9E8893590}"/>
    <cellStyle name="Normal 8 3 2 2 11 2 3" xfId="44438" xr:uid="{AFA38ABC-E8D9-43AB-82FB-81695CAB5971}"/>
    <cellStyle name="Normal 8 3 2 2 11 3" xfId="19299" xr:uid="{6FE6C866-D358-4B14-BB81-BF0812B2ACEA}"/>
    <cellStyle name="Normal 8 3 2 2 11 4" xfId="36058" xr:uid="{788DBF18-4E32-48A2-AA54-25A6901A4A4B}"/>
    <cellStyle name="Normal 8 3 2 2 12" xfId="9116" xr:uid="{E05D800B-ACD6-4D9A-8B1C-C9C4230BBE72}"/>
    <cellStyle name="Normal 8 3 2 2 12 2" xfId="25876" xr:uid="{D936AE45-B5D1-4AAA-81A4-0916136C57F2}"/>
    <cellStyle name="Normal 8 3 2 2 12 3" xfId="42635" xr:uid="{EA2C804F-B182-4F68-9128-22990F1C78AC}"/>
    <cellStyle name="Normal 8 3 2 2 13" xfId="17496" xr:uid="{3674656A-7A3A-40F5-B5A7-30DEE7CF0943}"/>
    <cellStyle name="Normal 8 3 2 2 14" xfId="34255" xr:uid="{4C4789ED-B858-49AE-8DD6-8255C8CDC858}"/>
    <cellStyle name="Normal 8 3 2 2 2" xfId="1147" xr:uid="{4B83BB7D-BE35-470B-B02F-DD999198FF84}"/>
    <cellStyle name="Normal 8 3 2 2 2 2" xfId="4542" xr:uid="{1903013A-8828-408A-8839-AF52E3288337}"/>
    <cellStyle name="Normal 8 3 2 2 2 2 2" xfId="12922" xr:uid="{EB291FA0-27CA-4768-8F15-B50301B388A5}"/>
    <cellStyle name="Normal 8 3 2 2 2 2 2 2" xfId="29682" xr:uid="{02DE5049-8FCD-4F26-9189-ECBD9EFE908E}"/>
    <cellStyle name="Normal 8 3 2 2 2 2 2 3" xfId="46441" xr:uid="{1BF6E65D-8DE1-4682-8D77-1B802A3CC885}"/>
    <cellStyle name="Normal 8 3 2 2 2 2 3" xfId="21302" xr:uid="{AD0A48C2-B03E-4F2E-9E86-DD4D8E1516B8}"/>
    <cellStyle name="Normal 8 3 2 2 2 2 4" xfId="38061" xr:uid="{6ED2756D-E48C-4620-89EB-8B2D7066B89E}"/>
    <cellStyle name="Normal 8 3 2 2 2 3" xfId="6229" xr:uid="{1DA299E1-11D1-4D07-A93B-21F8548622A1}"/>
    <cellStyle name="Normal 8 3 2 2 2 3 2" xfId="14609" xr:uid="{3B0494ED-B791-4E97-AA8E-BD7B00ABB2B3}"/>
    <cellStyle name="Normal 8 3 2 2 2 3 2 2" xfId="31369" xr:uid="{A745B946-988C-41F1-9E84-4D7CF9312AFB}"/>
    <cellStyle name="Normal 8 3 2 2 2 3 2 3" xfId="48128" xr:uid="{F49546F9-4DAD-4FC8-8A2A-76F1D13CEA0B}"/>
    <cellStyle name="Normal 8 3 2 2 2 3 3" xfId="22989" xr:uid="{96CF1C42-AED0-4DF1-9170-066E152F1706}"/>
    <cellStyle name="Normal 8 3 2 2 2 3 4" xfId="39748" xr:uid="{59634963-AC52-42A7-88DF-C7052A3CD5E1}"/>
    <cellStyle name="Normal 8 3 2 2 2 4" xfId="2965" xr:uid="{72A8DDF9-A087-46A8-9D13-935ADB17AA64}"/>
    <cellStyle name="Normal 8 3 2 2 2 4 2" xfId="11345" xr:uid="{5A52C534-D247-4174-A881-0D13C123F659}"/>
    <cellStyle name="Normal 8 3 2 2 2 4 2 2" xfId="28105" xr:uid="{A195565D-A6A7-45D7-B0EC-801E5693E1DC}"/>
    <cellStyle name="Normal 8 3 2 2 2 4 2 3" xfId="44864" xr:uid="{B7B2F7DF-E2C9-4A09-BD26-86D630709B32}"/>
    <cellStyle name="Normal 8 3 2 2 2 4 3" xfId="19725" xr:uid="{0D093655-D0F5-42DC-B579-E47E884F3A23}"/>
    <cellStyle name="Normal 8 3 2 2 2 4 4" xfId="36484" xr:uid="{EF6700EB-3665-4FD7-8A7E-23EE38BA19AB}"/>
    <cellStyle name="Normal 8 3 2 2 2 5" xfId="9542" xr:uid="{269BBA36-A201-4449-A188-DA205386ABA6}"/>
    <cellStyle name="Normal 8 3 2 2 2 5 2" xfId="26302" xr:uid="{DD6447A7-EBD0-4463-9A8A-42C8F117B31B}"/>
    <cellStyle name="Normal 8 3 2 2 2 5 3" xfId="43061" xr:uid="{EFB544A5-1DF6-487D-8461-9952294D8369}"/>
    <cellStyle name="Normal 8 3 2 2 2 6" xfId="17922" xr:uid="{CE034070-A905-479E-9959-A2880BF19FC6}"/>
    <cellStyle name="Normal 8 3 2 2 2 7" xfId="34681" xr:uid="{2ACBE17E-F093-437E-95F9-1F2F2DB1D527}"/>
    <cellStyle name="Normal 8 3 2 2 3" xfId="1581" xr:uid="{66797AA2-D03F-4DE9-8FC6-C1895D0D218A}"/>
    <cellStyle name="Normal 8 3 2 2 3 2" xfId="4970" xr:uid="{4EC058F2-09DD-4558-8EE2-70C2D05CEAA8}"/>
    <cellStyle name="Normal 8 3 2 2 3 2 2" xfId="13350" xr:uid="{C0505F1D-9934-4C48-A58F-B6A1EC5E740D}"/>
    <cellStyle name="Normal 8 3 2 2 3 2 2 2" xfId="30110" xr:uid="{2174350D-563F-4D49-ADF1-C551E6ACE400}"/>
    <cellStyle name="Normal 8 3 2 2 3 2 2 3" xfId="46869" xr:uid="{81E23EE1-2126-40DF-88BE-C7CD99726947}"/>
    <cellStyle name="Normal 8 3 2 2 3 2 3" xfId="21730" xr:uid="{0E7A3167-886B-4709-A685-BAFC8F5855FD}"/>
    <cellStyle name="Normal 8 3 2 2 3 2 4" xfId="38489" xr:uid="{AB95381F-452B-4371-98B2-DB0A23F80ED6}"/>
    <cellStyle name="Normal 8 3 2 2 3 3" xfId="6657" xr:uid="{EF1980D4-1BDA-4499-BABF-023A9D4D721B}"/>
    <cellStyle name="Normal 8 3 2 2 3 3 2" xfId="15037" xr:uid="{B0D5A788-766F-4867-82D8-4F7A1F5A7E01}"/>
    <cellStyle name="Normal 8 3 2 2 3 3 2 2" xfId="31797" xr:uid="{395D69B9-C5D8-4F6E-8D0B-BFDB452C58BD}"/>
    <cellStyle name="Normal 8 3 2 2 3 3 2 3" xfId="48556" xr:uid="{12C1D853-3B24-47B7-9578-5EFBF99AB434}"/>
    <cellStyle name="Normal 8 3 2 2 3 3 3" xfId="23417" xr:uid="{84655B65-789F-40C3-B467-5B6DB233F240}"/>
    <cellStyle name="Normal 8 3 2 2 3 3 4" xfId="40176" xr:uid="{CD83C5E6-DB22-4471-A0D3-79DF117A0ED3}"/>
    <cellStyle name="Normal 8 3 2 2 3 4" xfId="3393" xr:uid="{C19C864F-122B-4D45-8991-535821BF547A}"/>
    <cellStyle name="Normal 8 3 2 2 3 4 2" xfId="11773" xr:uid="{479B36C0-2699-4358-B6CC-82591DBB9704}"/>
    <cellStyle name="Normal 8 3 2 2 3 4 2 2" xfId="28533" xr:uid="{CD305DA3-1ABF-4015-A9CC-00A5D13288A5}"/>
    <cellStyle name="Normal 8 3 2 2 3 4 2 3" xfId="45292" xr:uid="{C9033179-2BF7-47F5-8B3E-736BBFFFA432}"/>
    <cellStyle name="Normal 8 3 2 2 3 4 3" xfId="20153" xr:uid="{1D753D98-6262-4F09-85D9-B9F1C061AB10}"/>
    <cellStyle name="Normal 8 3 2 2 3 4 4" xfId="36912" xr:uid="{F6341FA9-C846-4573-9FE4-AE15F6055AD6}"/>
    <cellStyle name="Normal 8 3 2 2 3 5" xfId="9970" xr:uid="{294D72BE-CA00-4E6E-8CE8-168844ABFE2A}"/>
    <cellStyle name="Normal 8 3 2 2 3 5 2" xfId="26730" xr:uid="{CDF1D7F9-C90B-4BAF-A5BD-8C8B2B3027ED}"/>
    <cellStyle name="Normal 8 3 2 2 3 5 3" xfId="43489" xr:uid="{3BDB9223-6D3F-40BB-AB19-2FD7D62DB5C7}"/>
    <cellStyle name="Normal 8 3 2 2 3 6" xfId="18350" xr:uid="{78CEE7B0-4AC9-4CD0-B8D0-E15814BC4C2E}"/>
    <cellStyle name="Normal 8 3 2 2 3 7" xfId="35109" xr:uid="{A09ADE30-9CE9-4EC7-B546-DE9E36360C1C}"/>
    <cellStyle name="Normal 8 3 2 2 4" xfId="1878" xr:uid="{B7ECF4FC-A3E6-42B7-BB95-60D47F6CAD70}"/>
    <cellStyle name="Normal 8 3 2 2 4 2" xfId="5267" xr:uid="{F866F1A6-F660-4026-BAAD-21CA4B45D76F}"/>
    <cellStyle name="Normal 8 3 2 2 4 2 2" xfId="13647" xr:uid="{D4E96B81-43D6-4519-9C27-EA8247E9A511}"/>
    <cellStyle name="Normal 8 3 2 2 4 2 2 2" xfId="30407" xr:uid="{4DE8F412-ED75-4D5C-AF86-352EC8EB72FD}"/>
    <cellStyle name="Normal 8 3 2 2 4 2 2 3" xfId="47166" xr:uid="{E482CEA5-DCAD-4EED-B715-F43AB0E75E83}"/>
    <cellStyle name="Normal 8 3 2 2 4 2 3" xfId="22027" xr:uid="{85768F43-17E5-4A18-980C-184F2D114EAD}"/>
    <cellStyle name="Normal 8 3 2 2 4 2 4" xfId="38786" xr:uid="{01416478-9322-4B10-A601-61F119868B1F}"/>
    <cellStyle name="Normal 8 3 2 2 4 3" xfId="6954" xr:uid="{59B9C424-37FC-46A5-B298-B134CDB91E8A}"/>
    <cellStyle name="Normal 8 3 2 2 4 3 2" xfId="15334" xr:uid="{CC81AF16-1491-47E1-BBAE-3C0901A76037}"/>
    <cellStyle name="Normal 8 3 2 2 4 3 2 2" xfId="32094" xr:uid="{00FC19A6-645C-4D16-B915-EFBA1050356D}"/>
    <cellStyle name="Normal 8 3 2 2 4 3 2 3" xfId="48853" xr:uid="{ED8A6E21-D19C-4BA9-AF13-3103BF092C00}"/>
    <cellStyle name="Normal 8 3 2 2 4 3 3" xfId="23714" xr:uid="{57161D58-C7DE-4FAD-8262-B95D01BDA4D6}"/>
    <cellStyle name="Normal 8 3 2 2 4 3 4" xfId="40473" xr:uid="{31610042-A42A-4802-B879-DE4F344707AB}"/>
    <cellStyle name="Normal 8 3 2 2 4 4" xfId="3577" xr:uid="{D77C6184-BF7E-472F-8360-75A3BF1812DB}"/>
    <cellStyle name="Normal 8 3 2 2 4 4 2" xfId="11957" xr:uid="{32FAB25B-0BA3-4223-A77F-8C5920034724}"/>
    <cellStyle name="Normal 8 3 2 2 4 4 2 2" xfId="28717" xr:uid="{09C8F115-CDF1-44CB-AD58-8E92625CBB83}"/>
    <cellStyle name="Normal 8 3 2 2 4 4 2 3" xfId="45476" xr:uid="{0070D452-D8F8-4184-A4FD-2288C55C9E2F}"/>
    <cellStyle name="Normal 8 3 2 2 4 4 3" xfId="20337" xr:uid="{4C2B16F8-8F2C-464D-980C-0585EF6B9658}"/>
    <cellStyle name="Normal 8 3 2 2 4 4 4" xfId="37096" xr:uid="{093EA1AC-8218-41E5-A47D-A12C9B8B162F}"/>
    <cellStyle name="Normal 8 3 2 2 4 5" xfId="10267" xr:uid="{17EF1334-3D4D-49E4-90AD-37848A4069ED}"/>
    <cellStyle name="Normal 8 3 2 2 4 5 2" xfId="27027" xr:uid="{A44F0D32-6F18-4886-9653-73127079D0CD}"/>
    <cellStyle name="Normal 8 3 2 2 4 5 3" xfId="43786" xr:uid="{EF209476-F1A3-40A6-A4EB-46BB1E995931}"/>
    <cellStyle name="Normal 8 3 2 2 4 6" xfId="18647" xr:uid="{A61578FE-BF55-40E8-99EC-54441F6A11E5}"/>
    <cellStyle name="Normal 8 3 2 2 4 7" xfId="35406" xr:uid="{737CFEC8-402E-4E5A-BBAB-454EB5B5FCC0}"/>
    <cellStyle name="Normal 8 3 2 2 5" xfId="3997" xr:uid="{1FDF4B84-9453-4CA4-972C-74242765FB8F}"/>
    <cellStyle name="Normal 8 3 2 2 5 2" xfId="12377" xr:uid="{7188A8C1-602A-4E40-B7BA-3C712210F61E}"/>
    <cellStyle name="Normal 8 3 2 2 5 2 2" xfId="29137" xr:uid="{399536C5-8E2C-4561-BAEF-C04396086DF6}"/>
    <cellStyle name="Normal 8 3 2 2 5 2 3" xfId="45896" xr:uid="{61F7007E-09F9-4A7D-9EC9-275F4776EF99}"/>
    <cellStyle name="Normal 8 3 2 2 5 3" xfId="20757" xr:uid="{9CD7A950-5547-4BB4-A9D2-EF4E13A88A78}"/>
    <cellStyle name="Normal 8 3 2 2 5 4" xfId="37516" xr:uid="{4E0A0B95-B3AD-4059-A575-94EE630D2CA6}"/>
    <cellStyle name="Normal 8 3 2 2 6" xfId="5803" xr:uid="{B5168B11-742D-469E-A50E-3AA82FFF7B0B}"/>
    <cellStyle name="Normal 8 3 2 2 6 2" xfId="14183" xr:uid="{901C087A-E718-4365-8108-FE273DAC15F6}"/>
    <cellStyle name="Normal 8 3 2 2 6 2 2" xfId="30943" xr:uid="{11935B74-D30D-4315-98D7-280CC4F2773E}"/>
    <cellStyle name="Normal 8 3 2 2 6 2 3" xfId="47702" xr:uid="{AB8C1B8C-CF29-4B51-A1D6-37277845C7E3}"/>
    <cellStyle name="Normal 8 3 2 2 6 3" xfId="22563" xr:uid="{0870B572-8413-4DDD-96CD-14CF4C24D508}"/>
    <cellStyle name="Normal 8 3 2 2 6 4" xfId="39322" xr:uid="{4B502FF5-0FEA-45F2-9EE1-2F80566BA41E}"/>
    <cellStyle name="Normal 8 3 2 2 7" xfId="7360" xr:uid="{8F29A707-3B0B-484A-AE13-63B946AAD953}"/>
    <cellStyle name="Normal 8 3 2 2 7 2" xfId="15740" xr:uid="{99EB3C73-4EE8-41AE-8C8B-C341119CBAFF}"/>
    <cellStyle name="Normal 8 3 2 2 7 2 2" xfId="32500" xr:uid="{E532FC3A-9AC4-468A-9EFC-438D7D9EA0AA}"/>
    <cellStyle name="Normal 8 3 2 2 7 2 3" xfId="49259" xr:uid="{4B40A788-0E22-420F-BAC5-93401ACAC835}"/>
    <cellStyle name="Normal 8 3 2 2 7 3" xfId="24120" xr:uid="{F5C61052-FDFC-4E83-AB7B-3EDE1576140B}"/>
    <cellStyle name="Normal 8 3 2 2 7 4" xfId="40879" xr:uid="{EA9C037D-D578-40B6-A8EA-E7394B570D96}"/>
    <cellStyle name="Normal 8 3 2 2 8" xfId="7766" xr:uid="{8FE30A92-5C94-4EB0-9CC9-D3424D689844}"/>
    <cellStyle name="Normal 8 3 2 2 8 2" xfId="16146" xr:uid="{E8D216B2-5FCE-4CD3-90C1-B68718B3ADF7}"/>
    <cellStyle name="Normal 8 3 2 2 8 2 2" xfId="32906" xr:uid="{4508690E-D532-4226-A13F-23584AA9C2DA}"/>
    <cellStyle name="Normal 8 3 2 2 8 2 3" xfId="49665" xr:uid="{EA38C971-FBD2-4476-A24C-580E75828B95}"/>
    <cellStyle name="Normal 8 3 2 2 8 3" xfId="24526" xr:uid="{F7129CC1-9019-4C96-A454-DE11578344A5}"/>
    <cellStyle name="Normal 8 3 2 2 8 4" xfId="41285" xr:uid="{1C8D02E6-9B7C-46AE-A471-0EC15ADDCFDB}"/>
    <cellStyle name="Normal 8 3 2 2 9" xfId="8172" xr:uid="{85177B22-E86A-4629-A052-3DDAEE2308FC}"/>
    <cellStyle name="Normal 8 3 2 2 9 2" xfId="16552" xr:uid="{90AE7EC6-6322-49AC-97AA-4819A7C7150C}"/>
    <cellStyle name="Normal 8 3 2 2 9 2 2" xfId="33312" xr:uid="{EB4AF734-BCCA-4C70-B022-CD308BF9A56D}"/>
    <cellStyle name="Normal 8 3 2 2 9 2 3" xfId="50071" xr:uid="{4EF91EEF-CD03-47AC-8D55-EA12F9728842}"/>
    <cellStyle name="Normal 8 3 2 2 9 3" xfId="24932" xr:uid="{DCE3A6B3-9887-4414-B41F-AFAAF9A9A342}"/>
    <cellStyle name="Normal 8 3 2 2 9 4" xfId="41691" xr:uid="{071E3AC5-9BAD-410A-B53A-23C81B8FBCE0}"/>
    <cellStyle name="Normal 8 3 2 3" xfId="709" xr:uid="{F901384C-C4F5-43D5-B710-FC472FAC014C}"/>
    <cellStyle name="Normal 8 3 2 3 10" xfId="8702" xr:uid="{24F2AF5C-AC4E-4106-951D-AAB5B311E39B}"/>
    <cellStyle name="Normal 8 3 2 3 10 2" xfId="17082" xr:uid="{148686B3-54E0-4B7A-9571-F8E694878900}"/>
    <cellStyle name="Normal 8 3 2 3 10 2 2" xfId="33842" xr:uid="{CCF8B83E-942A-4F45-93B6-4AF999A9E12B}"/>
    <cellStyle name="Normal 8 3 2 3 10 2 3" xfId="50601" xr:uid="{A78FA877-19E8-4D03-BA50-D977DA703110}"/>
    <cellStyle name="Normal 8 3 2 3 10 3" xfId="25462" xr:uid="{92863D56-9CC3-453F-88B1-D2677A11D1D0}"/>
    <cellStyle name="Normal 8 3 2 3 10 4" xfId="42221" xr:uid="{6E54A620-0DE1-4EA5-A75E-94F0443C80FE}"/>
    <cellStyle name="Normal 8 3 2 3 11" xfId="2538" xr:uid="{E0F4C4CB-0744-4D64-ABA9-2457988DF7E2}"/>
    <cellStyle name="Normal 8 3 2 3 11 2" xfId="10920" xr:uid="{0766EEE3-B2BF-49E4-9AE8-146A3F1A0335}"/>
    <cellStyle name="Normal 8 3 2 3 11 2 2" xfId="27680" xr:uid="{8B4C13A8-956D-4BAA-9297-CF962FE1A10C}"/>
    <cellStyle name="Normal 8 3 2 3 11 2 3" xfId="44439" xr:uid="{AC64B027-5B6D-48FE-A30F-FD44B31D2CB6}"/>
    <cellStyle name="Normal 8 3 2 3 11 3" xfId="19300" xr:uid="{E69C05A9-ED99-4218-9362-95C0D472623B}"/>
    <cellStyle name="Normal 8 3 2 3 11 4" xfId="36059" xr:uid="{DE2D0E3D-3EE6-46BC-ABD7-6A8240F9270E}"/>
    <cellStyle name="Normal 8 3 2 3 12" xfId="9117" xr:uid="{CA6FAB47-AD36-4BC1-B0A5-85188029B4CE}"/>
    <cellStyle name="Normal 8 3 2 3 12 2" xfId="25877" xr:uid="{879D8BC6-2BD3-40BB-B958-834BF4BA5EE2}"/>
    <cellStyle name="Normal 8 3 2 3 12 3" xfId="42636" xr:uid="{C429FABE-41F6-49CB-BE7E-EF84BFA9C52A}"/>
    <cellStyle name="Normal 8 3 2 3 13" xfId="17497" xr:uid="{1A8BF5F2-AD14-4614-99B8-1D491BBCF51C}"/>
    <cellStyle name="Normal 8 3 2 3 14" xfId="34256" xr:uid="{9AF803A6-8424-4C46-B064-B4B66D72E672}"/>
    <cellStyle name="Normal 8 3 2 3 2" xfId="1148" xr:uid="{4ABEC27B-1C35-41B3-BFDC-82D2400FA608}"/>
    <cellStyle name="Normal 8 3 2 3 2 2" xfId="4543" xr:uid="{5AA912F2-2837-480A-A77F-9D69126423AC}"/>
    <cellStyle name="Normal 8 3 2 3 2 2 2" xfId="12923" xr:uid="{1293BCCE-E33A-4463-8897-2F09DF645837}"/>
    <cellStyle name="Normal 8 3 2 3 2 2 2 2" xfId="29683" xr:uid="{FDA863C0-0C67-4BDB-96BD-A78A2612C693}"/>
    <cellStyle name="Normal 8 3 2 3 2 2 2 3" xfId="46442" xr:uid="{86D6499F-E0ED-4B6D-B842-EA8167344BC0}"/>
    <cellStyle name="Normal 8 3 2 3 2 2 3" xfId="21303" xr:uid="{C313FD60-683D-4F65-92B7-3D171BA9772E}"/>
    <cellStyle name="Normal 8 3 2 3 2 2 4" xfId="38062" xr:uid="{A508EB33-CF1E-47AE-9994-F767A49ACF39}"/>
    <cellStyle name="Normal 8 3 2 3 2 3" xfId="6230" xr:uid="{5D95540E-8F49-4AB1-8BBD-B4331A46D3D6}"/>
    <cellStyle name="Normal 8 3 2 3 2 3 2" xfId="14610" xr:uid="{F563C231-37CC-46C3-A450-7F8ADD01C6A5}"/>
    <cellStyle name="Normal 8 3 2 3 2 3 2 2" xfId="31370" xr:uid="{5355688B-CCF2-4ED0-A86D-091921020E3A}"/>
    <cellStyle name="Normal 8 3 2 3 2 3 2 3" xfId="48129" xr:uid="{FF8405F1-9A59-45DD-B48E-D81A8A900C77}"/>
    <cellStyle name="Normal 8 3 2 3 2 3 3" xfId="22990" xr:uid="{FB6BBDE1-490A-4961-8F30-284CCC51E579}"/>
    <cellStyle name="Normal 8 3 2 3 2 3 4" xfId="39749" xr:uid="{69E7450E-8A35-464A-B18A-867C6C35B9D3}"/>
    <cellStyle name="Normal 8 3 2 3 2 4" xfId="2966" xr:uid="{506B3824-5847-4965-B989-2581F2AA3B01}"/>
    <cellStyle name="Normal 8 3 2 3 2 4 2" xfId="11346" xr:uid="{F972E657-9713-423E-AB5C-B5015A576C08}"/>
    <cellStyle name="Normal 8 3 2 3 2 4 2 2" xfId="28106" xr:uid="{E959F420-B0F9-4DCE-A610-F26157CE0723}"/>
    <cellStyle name="Normal 8 3 2 3 2 4 2 3" xfId="44865" xr:uid="{BA675D0A-60A3-485E-B780-419873A57E58}"/>
    <cellStyle name="Normal 8 3 2 3 2 4 3" xfId="19726" xr:uid="{ACA53865-EDCC-4436-BCA6-8137ED840755}"/>
    <cellStyle name="Normal 8 3 2 3 2 4 4" xfId="36485" xr:uid="{90421693-70DF-45C8-A088-68379126146A}"/>
    <cellStyle name="Normal 8 3 2 3 2 5" xfId="9543" xr:uid="{0F7004AB-5B7F-4B2E-BA63-9D63E2744D91}"/>
    <cellStyle name="Normal 8 3 2 3 2 5 2" xfId="26303" xr:uid="{26ECA900-9769-4442-B90C-943077E8E891}"/>
    <cellStyle name="Normal 8 3 2 3 2 5 3" xfId="43062" xr:uid="{E80ED9E3-BFFE-4089-B38E-EE5E9DA080D0}"/>
    <cellStyle name="Normal 8 3 2 3 2 6" xfId="17923" xr:uid="{32500899-DDA7-448D-8F56-4997D1E6ADDB}"/>
    <cellStyle name="Normal 8 3 2 3 2 7" xfId="34682" xr:uid="{8B483EDB-FDBA-469A-AA99-E31234E55C13}"/>
    <cellStyle name="Normal 8 3 2 3 3" xfId="1582" xr:uid="{E463900C-A5D0-41D0-921C-665580681E09}"/>
    <cellStyle name="Normal 8 3 2 3 3 2" xfId="4971" xr:uid="{094BB3AC-3550-4A33-B31A-32AC98307D2C}"/>
    <cellStyle name="Normal 8 3 2 3 3 2 2" xfId="13351" xr:uid="{EFBB9487-8233-43D2-9B5F-317FCD8824C8}"/>
    <cellStyle name="Normal 8 3 2 3 3 2 2 2" xfId="30111" xr:uid="{B3AA7A06-41E2-472C-8751-36C246600F7B}"/>
    <cellStyle name="Normal 8 3 2 3 3 2 2 3" xfId="46870" xr:uid="{125D7E53-82FF-4E9C-96FE-DAD0EBF39EA6}"/>
    <cellStyle name="Normal 8 3 2 3 3 2 3" xfId="21731" xr:uid="{53FC97E3-30FA-49A1-8144-744A6212D950}"/>
    <cellStyle name="Normal 8 3 2 3 3 2 4" xfId="38490" xr:uid="{E76D33E1-6970-4ABF-A1BE-D6C6B05C8C42}"/>
    <cellStyle name="Normal 8 3 2 3 3 3" xfId="6658" xr:uid="{70D6D65D-E392-49D5-9B3B-3D5B60CF8985}"/>
    <cellStyle name="Normal 8 3 2 3 3 3 2" xfId="15038" xr:uid="{0F32D5FE-96DE-4416-A9DB-8B658F8B8810}"/>
    <cellStyle name="Normal 8 3 2 3 3 3 2 2" xfId="31798" xr:uid="{AB5992EA-2281-49E6-A98C-D2C2059DD1EC}"/>
    <cellStyle name="Normal 8 3 2 3 3 3 2 3" xfId="48557" xr:uid="{ABB5E3C7-154F-4E8F-AFA3-2B4402C1E498}"/>
    <cellStyle name="Normal 8 3 2 3 3 3 3" xfId="23418" xr:uid="{C1CB61BD-BC24-4A6B-BEAB-7A4B695A10B1}"/>
    <cellStyle name="Normal 8 3 2 3 3 3 4" xfId="40177" xr:uid="{3B20F9C3-C3BB-46D5-B2DF-962234AB31D0}"/>
    <cellStyle name="Normal 8 3 2 3 3 4" xfId="3394" xr:uid="{1D210570-8980-4984-8530-60DB9B966C78}"/>
    <cellStyle name="Normal 8 3 2 3 3 4 2" xfId="11774" xr:uid="{7D64A7A6-29B8-4B88-8680-2B6A8331B39D}"/>
    <cellStyle name="Normal 8 3 2 3 3 4 2 2" xfId="28534" xr:uid="{3600E166-4EE4-4AA0-8061-8D83B0D89788}"/>
    <cellStyle name="Normal 8 3 2 3 3 4 2 3" xfId="45293" xr:uid="{601CAF3F-9541-404E-A9E7-15D026644C58}"/>
    <cellStyle name="Normal 8 3 2 3 3 4 3" xfId="20154" xr:uid="{998D39D7-DA56-4A43-9542-7D8180B6EF75}"/>
    <cellStyle name="Normal 8 3 2 3 3 4 4" xfId="36913" xr:uid="{F312C17F-6ECA-4657-BE7F-661EA53DCE6B}"/>
    <cellStyle name="Normal 8 3 2 3 3 5" xfId="9971" xr:uid="{10CE0BFC-F9B5-4BB2-98C4-740FABEAAA25}"/>
    <cellStyle name="Normal 8 3 2 3 3 5 2" xfId="26731" xr:uid="{66AFF637-0CAD-47E7-9DFD-8CCA8E4CB485}"/>
    <cellStyle name="Normal 8 3 2 3 3 5 3" xfId="43490" xr:uid="{82BA166B-EC3B-4340-9115-F5CE3CC5D228}"/>
    <cellStyle name="Normal 8 3 2 3 3 6" xfId="18351" xr:uid="{CA9FDDA0-538C-4AA3-8984-E28BC06746F7}"/>
    <cellStyle name="Normal 8 3 2 3 3 7" xfId="35110" xr:uid="{C2429873-880F-43F2-899B-8E087E779855}"/>
    <cellStyle name="Normal 8 3 2 3 4" xfId="2002" xr:uid="{58D8A7BE-0682-4307-A734-F9E25FB8037D}"/>
    <cellStyle name="Normal 8 3 2 3 4 2" xfId="5391" xr:uid="{E44242E8-B4B2-4827-BD2B-11A11249379F}"/>
    <cellStyle name="Normal 8 3 2 3 4 2 2" xfId="13771" xr:uid="{D0D8EB37-7B13-4223-945F-3DB4DD0931FE}"/>
    <cellStyle name="Normal 8 3 2 3 4 2 2 2" xfId="30531" xr:uid="{480EF1E6-52F2-4617-8FDE-FF5C0983E298}"/>
    <cellStyle name="Normal 8 3 2 3 4 2 2 3" xfId="47290" xr:uid="{50F8E4F1-102C-4A65-834C-7926B42FD617}"/>
    <cellStyle name="Normal 8 3 2 3 4 2 3" xfId="22151" xr:uid="{807D9289-6A06-4210-A112-E1FF66B1A711}"/>
    <cellStyle name="Normal 8 3 2 3 4 2 4" xfId="38910" xr:uid="{2807158C-D55A-437E-8751-AB6D3BE2E42E}"/>
    <cellStyle name="Normal 8 3 2 3 4 3" xfId="7078" xr:uid="{0260F206-C423-45D1-9133-1F2BB4D4D54C}"/>
    <cellStyle name="Normal 8 3 2 3 4 3 2" xfId="15458" xr:uid="{C51279EF-B414-495C-ACD3-E9B6F9573732}"/>
    <cellStyle name="Normal 8 3 2 3 4 3 2 2" xfId="32218" xr:uid="{5F07545E-B150-4299-A34A-101D24774E7B}"/>
    <cellStyle name="Normal 8 3 2 3 4 3 2 3" xfId="48977" xr:uid="{A738CC1D-0518-47B2-AC45-65B6B651779D}"/>
    <cellStyle name="Normal 8 3 2 3 4 3 3" xfId="23838" xr:uid="{86F7B9A1-E8C1-441F-BFB8-40AFDF85214B}"/>
    <cellStyle name="Normal 8 3 2 3 4 3 4" xfId="40597" xr:uid="{0FB671CD-66EE-42A3-AEBF-DB109622F67A}"/>
    <cellStyle name="Normal 8 3 2 3 4 4" xfId="3701" xr:uid="{30DFD0FC-7A61-490D-910E-075B1644EF4A}"/>
    <cellStyle name="Normal 8 3 2 3 4 4 2" xfId="12081" xr:uid="{0B5ED6C4-7D35-46DB-9394-BFC2EF9AEA13}"/>
    <cellStyle name="Normal 8 3 2 3 4 4 2 2" xfId="28841" xr:uid="{46CF1EC2-477B-440D-ABE1-9950C9C2C69C}"/>
    <cellStyle name="Normal 8 3 2 3 4 4 2 3" xfId="45600" xr:uid="{E248C68F-7AF1-4A19-9857-CB37E3B9A839}"/>
    <cellStyle name="Normal 8 3 2 3 4 4 3" xfId="20461" xr:uid="{3133F0B0-2F64-448C-9B45-9AC76220370A}"/>
    <cellStyle name="Normal 8 3 2 3 4 4 4" xfId="37220" xr:uid="{F9D877FC-8A1B-47D2-9A9E-102F7790A3FF}"/>
    <cellStyle name="Normal 8 3 2 3 4 5" xfId="10391" xr:uid="{5BDE6ADC-D590-4E2E-8F67-C5CBF892C53F}"/>
    <cellStyle name="Normal 8 3 2 3 4 5 2" xfId="27151" xr:uid="{6C072805-901E-4470-B03B-C6A64918A5FC}"/>
    <cellStyle name="Normal 8 3 2 3 4 5 3" xfId="43910" xr:uid="{9456BEE6-B23F-4F41-B61C-BD1A57D6656F}"/>
    <cellStyle name="Normal 8 3 2 3 4 6" xfId="18771" xr:uid="{FD6ACA98-46D6-427B-B7B9-7DE6C3C18151}"/>
    <cellStyle name="Normal 8 3 2 3 4 7" xfId="35530" xr:uid="{014C2BCC-8304-4681-AA7B-6AF538FA5673}"/>
    <cellStyle name="Normal 8 3 2 3 5" xfId="4121" xr:uid="{F5F47853-E28D-480C-B82E-690208C2EDAC}"/>
    <cellStyle name="Normal 8 3 2 3 5 2" xfId="12501" xr:uid="{3C746413-EFB7-4956-8F90-48F69E7A4993}"/>
    <cellStyle name="Normal 8 3 2 3 5 2 2" xfId="29261" xr:uid="{A4DBDB24-A7FD-4A72-957B-F5FC1B1B5637}"/>
    <cellStyle name="Normal 8 3 2 3 5 2 3" xfId="46020" xr:uid="{A0D6835E-7AF2-46D7-9191-A740B2BAB961}"/>
    <cellStyle name="Normal 8 3 2 3 5 3" xfId="20881" xr:uid="{972EF6F0-D00C-4FDF-AD9C-707C2B6147CE}"/>
    <cellStyle name="Normal 8 3 2 3 5 4" xfId="37640" xr:uid="{8669A320-799A-4D19-A0B6-734E9D927D6B}"/>
    <cellStyle name="Normal 8 3 2 3 6" xfId="5804" xr:uid="{5865404E-46A2-4459-9CA7-5ECFF220C850}"/>
    <cellStyle name="Normal 8 3 2 3 6 2" xfId="14184" xr:uid="{1A872B71-1AB1-464A-BCA9-7A8ED42821B1}"/>
    <cellStyle name="Normal 8 3 2 3 6 2 2" xfId="30944" xr:uid="{89BA239E-31CF-4BC4-8325-709201998F57}"/>
    <cellStyle name="Normal 8 3 2 3 6 2 3" xfId="47703" xr:uid="{EB803278-B4FD-4B1E-BDDF-1B9D46126DE7}"/>
    <cellStyle name="Normal 8 3 2 3 6 3" xfId="22564" xr:uid="{FBB42C6D-FC4E-4062-A747-8E123D81950B}"/>
    <cellStyle name="Normal 8 3 2 3 6 4" xfId="39323" xr:uid="{B760ECE2-A421-434E-A3AF-632EDF52ECE0}"/>
    <cellStyle name="Normal 8 3 2 3 7" xfId="7484" xr:uid="{D2E02B66-0962-4473-AFD4-728DB643C35F}"/>
    <cellStyle name="Normal 8 3 2 3 7 2" xfId="15864" xr:uid="{E7DCC930-2435-4C50-A6C9-926E325A219D}"/>
    <cellStyle name="Normal 8 3 2 3 7 2 2" xfId="32624" xr:uid="{8E9B307B-9924-417B-B88F-C45A4F6D94CC}"/>
    <cellStyle name="Normal 8 3 2 3 7 2 3" xfId="49383" xr:uid="{6BE62A0D-582B-4C83-A349-F7FB302DB5EC}"/>
    <cellStyle name="Normal 8 3 2 3 7 3" xfId="24244" xr:uid="{EA02ACD0-2FAC-46A0-A229-DEB7741C93C5}"/>
    <cellStyle name="Normal 8 3 2 3 7 4" xfId="41003" xr:uid="{CF257DBA-3C1A-448B-AC9B-53445E23EDE2}"/>
    <cellStyle name="Normal 8 3 2 3 8" xfId="7890" xr:uid="{7A753EB0-2D16-4C6E-A655-6A63F3027D7F}"/>
    <cellStyle name="Normal 8 3 2 3 8 2" xfId="16270" xr:uid="{2CE4E73C-69DD-4220-B813-26919BC17AF4}"/>
    <cellStyle name="Normal 8 3 2 3 8 2 2" xfId="33030" xr:uid="{9C3DED6C-77A5-45D6-849E-345BA5389273}"/>
    <cellStyle name="Normal 8 3 2 3 8 2 3" xfId="49789" xr:uid="{55693923-2CB6-49A8-85AB-E544BE5F6A38}"/>
    <cellStyle name="Normal 8 3 2 3 8 3" xfId="24650" xr:uid="{092A4291-FB81-4E92-8ABE-39C09964EA33}"/>
    <cellStyle name="Normal 8 3 2 3 8 4" xfId="41409" xr:uid="{63777EB3-BF8D-4FC4-AB6F-45675ECE4FD3}"/>
    <cellStyle name="Normal 8 3 2 3 9" xfId="8296" xr:uid="{CDFE8C4E-A7F1-4914-AAE4-C4DB436C4CBC}"/>
    <cellStyle name="Normal 8 3 2 3 9 2" xfId="16676" xr:uid="{B8A4F46E-2549-44CE-8952-4F202763EFDB}"/>
    <cellStyle name="Normal 8 3 2 3 9 2 2" xfId="33436" xr:uid="{325CC270-813E-41BF-9994-DE3635855DEE}"/>
    <cellStyle name="Normal 8 3 2 3 9 2 3" xfId="50195" xr:uid="{5DB6034B-7F1D-488F-9595-85340F3585E5}"/>
    <cellStyle name="Normal 8 3 2 3 9 3" xfId="25056" xr:uid="{CF133144-E79C-4D45-96AD-B73CA1ED0488}"/>
    <cellStyle name="Normal 8 3 2 3 9 4" xfId="41815" xr:uid="{1E75EAC8-EC82-4456-B6C5-9BB215046036}"/>
    <cellStyle name="Normal 8 3 2 4" xfId="870" xr:uid="{C5C40B7A-BFE8-4D5F-A894-BE4DCDF531B9}"/>
    <cellStyle name="Normal 8 3 2 4 2" xfId="4265" xr:uid="{E843110A-0DA8-45A0-B592-E8ED7368F4D0}"/>
    <cellStyle name="Normal 8 3 2 4 2 2" xfId="12645" xr:uid="{7F9A07E4-2DB3-4677-9382-2362297C87F7}"/>
    <cellStyle name="Normal 8 3 2 4 2 2 2" xfId="29405" xr:uid="{F1A78694-D4BD-441C-9A5F-BC3548B1230E}"/>
    <cellStyle name="Normal 8 3 2 4 2 2 3" xfId="46164" xr:uid="{680FC175-8DA5-4F75-B91D-E1F3F5F1FD58}"/>
    <cellStyle name="Normal 8 3 2 4 2 3" xfId="21025" xr:uid="{7EA71077-DCA6-4326-8898-5232261A6C4B}"/>
    <cellStyle name="Normal 8 3 2 4 2 4" xfId="37784" xr:uid="{0F7EEF46-6280-403A-B7C0-6576D3F937AB}"/>
    <cellStyle name="Normal 8 3 2 4 3" xfId="5952" xr:uid="{1222784D-EB85-4963-ABFC-91882D49B93B}"/>
    <cellStyle name="Normal 8 3 2 4 3 2" xfId="14332" xr:uid="{190FBF3E-BCAF-4B67-A7E6-D94E6B9DD401}"/>
    <cellStyle name="Normal 8 3 2 4 3 2 2" xfId="31092" xr:uid="{87513E20-CE7E-4B3B-AA3C-19CEE027F56A}"/>
    <cellStyle name="Normal 8 3 2 4 3 2 3" xfId="47851" xr:uid="{EB5BA69F-8448-460E-9E6F-8E1A88B5AC2F}"/>
    <cellStyle name="Normal 8 3 2 4 3 3" xfId="22712" xr:uid="{704B23CA-097D-4822-B5A1-BBE77F80CD2F}"/>
    <cellStyle name="Normal 8 3 2 4 3 4" xfId="39471" xr:uid="{F18EA119-7994-43FD-B33C-936424AFE067}"/>
    <cellStyle name="Normal 8 3 2 4 4" xfId="2688" xr:uid="{7573AF08-7949-440D-9A49-9BFD238E3769}"/>
    <cellStyle name="Normal 8 3 2 4 4 2" xfId="11068" xr:uid="{A86FC815-989B-4623-BCD0-16065AE4E877}"/>
    <cellStyle name="Normal 8 3 2 4 4 2 2" xfId="27828" xr:uid="{8298B91D-0BEC-4546-9CCD-BB6367B517AF}"/>
    <cellStyle name="Normal 8 3 2 4 4 2 3" xfId="44587" xr:uid="{0275410F-B410-40BA-B539-09DBF68B3FBE}"/>
    <cellStyle name="Normal 8 3 2 4 4 3" xfId="19448" xr:uid="{F1649BBC-608A-4653-9125-12350E9CB190}"/>
    <cellStyle name="Normal 8 3 2 4 4 4" xfId="36207" xr:uid="{D3FDD1ED-F66A-4D7B-88CE-0E292C93A3C0}"/>
    <cellStyle name="Normal 8 3 2 4 5" xfId="9265" xr:uid="{92E3C9A9-16D8-40D3-AA69-CF10678A4CCD}"/>
    <cellStyle name="Normal 8 3 2 4 5 2" xfId="26025" xr:uid="{9D88FE68-49CC-4AF4-BDD6-82E4074134F3}"/>
    <cellStyle name="Normal 8 3 2 4 5 3" xfId="42784" xr:uid="{44258010-C915-4A34-AF0A-79502FFFB719}"/>
    <cellStyle name="Normal 8 3 2 4 6" xfId="17645" xr:uid="{E0F2A856-E953-4EA3-96B8-46D7522FA0B6}"/>
    <cellStyle name="Normal 8 3 2 4 7" xfId="34404" xr:uid="{C827EE97-ECD6-48DF-933A-ED0F95AA9C2D}"/>
    <cellStyle name="Normal 8 3 2 5" xfId="1304" xr:uid="{4CEDB8D3-A84E-455B-BFD6-2FF5B08C18D1}"/>
    <cellStyle name="Normal 8 3 2 5 2" xfId="4693" xr:uid="{8885A639-EA76-4B12-B781-C1313D0C6031}"/>
    <cellStyle name="Normal 8 3 2 5 2 2" xfId="13073" xr:uid="{780A2B14-2D4B-499B-97BC-0DE8A1208827}"/>
    <cellStyle name="Normal 8 3 2 5 2 2 2" xfId="29833" xr:uid="{9B7BAC9A-D024-4D09-A15E-2784CDE1ECB4}"/>
    <cellStyle name="Normal 8 3 2 5 2 2 3" xfId="46592" xr:uid="{3C37AD7A-468D-4CBF-A83B-5C2DAE03DE27}"/>
    <cellStyle name="Normal 8 3 2 5 2 3" xfId="21453" xr:uid="{F140B05E-46B2-409A-AF5B-3D177CAE4260}"/>
    <cellStyle name="Normal 8 3 2 5 2 4" xfId="38212" xr:uid="{8E51DEFC-CF2F-462F-B15D-C2E9450E1F83}"/>
    <cellStyle name="Normal 8 3 2 5 3" xfId="6380" xr:uid="{2B4B648D-37A0-411F-B403-53573EFEB158}"/>
    <cellStyle name="Normal 8 3 2 5 3 2" xfId="14760" xr:uid="{30C37026-8FB5-42EF-8784-34A5E186F515}"/>
    <cellStyle name="Normal 8 3 2 5 3 2 2" xfId="31520" xr:uid="{C4CB9371-6945-4D52-AB18-D64CE2DFD745}"/>
    <cellStyle name="Normal 8 3 2 5 3 2 3" xfId="48279" xr:uid="{FB84C5E0-57F0-4D7A-9339-49DC9D57DA7C}"/>
    <cellStyle name="Normal 8 3 2 5 3 3" xfId="23140" xr:uid="{69BE22D0-F92C-45BD-B6BE-D9506745283B}"/>
    <cellStyle name="Normal 8 3 2 5 3 4" xfId="39899" xr:uid="{1208ABE8-6C26-4330-A7FC-F03B1A9B9DDC}"/>
    <cellStyle name="Normal 8 3 2 5 4" xfId="3116" xr:uid="{F675E05B-5FB6-4BF9-92A8-41294E737E30}"/>
    <cellStyle name="Normal 8 3 2 5 4 2" xfId="11496" xr:uid="{0A969CD1-C93A-45B5-9AC5-3D5E171EC586}"/>
    <cellStyle name="Normal 8 3 2 5 4 2 2" xfId="28256" xr:uid="{6FA8002A-85FD-4155-B83C-B61C2CE0151B}"/>
    <cellStyle name="Normal 8 3 2 5 4 2 3" xfId="45015" xr:uid="{F70F7AF9-BAD7-4EA1-9035-260EC3A539A5}"/>
    <cellStyle name="Normal 8 3 2 5 4 3" xfId="19876" xr:uid="{1EFA3B19-BD9B-4B88-B95A-F736E1FD5DA7}"/>
    <cellStyle name="Normal 8 3 2 5 4 4" xfId="36635" xr:uid="{C4346541-1ECA-4A71-8D80-8C5AE91EF59C}"/>
    <cellStyle name="Normal 8 3 2 5 5" xfId="9693" xr:uid="{7717B78C-1F7C-412A-B771-7FB2A49F73E4}"/>
    <cellStyle name="Normal 8 3 2 5 5 2" xfId="26453" xr:uid="{36AD1887-4C44-46C6-92E8-364C5AED78A4}"/>
    <cellStyle name="Normal 8 3 2 5 5 3" xfId="43212" xr:uid="{F674264F-A14F-42AC-BBC0-0E7D56F85743}"/>
    <cellStyle name="Normal 8 3 2 5 6" xfId="18073" xr:uid="{46830923-A2A3-4679-AB3A-EADC18FE6B4C}"/>
    <cellStyle name="Normal 8 3 2 5 7" xfId="34832" xr:uid="{D93DF310-778E-4AB9-8BBF-9B06C58CD388}"/>
    <cellStyle name="Normal 8 3 2 6" xfId="1731" xr:uid="{C369D2EE-6318-470D-A2DF-F2989598AF86}"/>
    <cellStyle name="Normal 8 3 2 6 2" xfId="5120" xr:uid="{77C42202-6597-4B6F-97C7-AA34142DD7C3}"/>
    <cellStyle name="Normal 8 3 2 6 2 2" xfId="13500" xr:uid="{4BE8AC29-9AC7-4BD0-91A4-E418E504BC5C}"/>
    <cellStyle name="Normal 8 3 2 6 2 2 2" xfId="30260" xr:uid="{FA9DE447-082C-4ABC-8AB0-61907E8D2058}"/>
    <cellStyle name="Normal 8 3 2 6 2 2 3" xfId="47019" xr:uid="{732EB372-BAFF-4568-A82D-0FF8F44382DE}"/>
    <cellStyle name="Normal 8 3 2 6 2 3" xfId="21880" xr:uid="{B8DE20E8-91AD-4BD2-8E35-FCC23CDAD7A8}"/>
    <cellStyle name="Normal 8 3 2 6 2 4" xfId="38639" xr:uid="{2E4F498E-E1AA-4E82-87C5-19067E134924}"/>
    <cellStyle name="Normal 8 3 2 6 3" xfId="6807" xr:uid="{53425015-09AB-4792-9A0E-9B8E909E15EE}"/>
    <cellStyle name="Normal 8 3 2 6 3 2" xfId="15187" xr:uid="{B3F5CEF9-722D-4C39-BC0D-62426DBF38EC}"/>
    <cellStyle name="Normal 8 3 2 6 3 2 2" xfId="31947" xr:uid="{279B086A-D3F2-4366-888F-84E1B494DB24}"/>
    <cellStyle name="Normal 8 3 2 6 3 2 3" xfId="48706" xr:uid="{0AA836B8-7D99-4DF5-B32A-64D7F26A4565}"/>
    <cellStyle name="Normal 8 3 2 6 3 3" xfId="23567" xr:uid="{41335940-F77E-4606-A4E9-21E76416099A}"/>
    <cellStyle name="Normal 8 3 2 6 3 4" xfId="40326" xr:uid="{738EB397-2EC3-42E6-ACE6-99A2964F7C8F}"/>
    <cellStyle name="Normal 8 3 2 6 4" xfId="3454" xr:uid="{173FEDAE-6C26-43A3-BB27-410BB7156A22}"/>
    <cellStyle name="Normal 8 3 2 6 4 2" xfId="11834" xr:uid="{654246F7-2E66-4831-AB94-206330E3BECC}"/>
    <cellStyle name="Normal 8 3 2 6 4 2 2" xfId="28594" xr:uid="{62844A49-A925-4557-A123-2697E4EF628C}"/>
    <cellStyle name="Normal 8 3 2 6 4 2 3" xfId="45353" xr:uid="{630CA866-BEA8-4613-8897-91446F8BDEBE}"/>
    <cellStyle name="Normal 8 3 2 6 4 3" xfId="20214" xr:uid="{CBE3C73E-F5E5-45CE-B46E-3E6FD6A66425}"/>
    <cellStyle name="Normal 8 3 2 6 4 4" xfId="36973" xr:uid="{7286A2E1-0D26-4E6B-BE4E-7BCCD0667B92}"/>
    <cellStyle name="Normal 8 3 2 6 5" xfId="10120" xr:uid="{F494B1B6-5694-4DC6-8941-9BA69BC3A61D}"/>
    <cellStyle name="Normal 8 3 2 6 5 2" xfId="26880" xr:uid="{A6B65A58-58C7-4090-B34B-E2B9F0464511}"/>
    <cellStyle name="Normal 8 3 2 6 5 3" xfId="43639" xr:uid="{48021AB5-AB7B-4CF9-8A63-BBB5D1E4A6D8}"/>
    <cellStyle name="Normal 8 3 2 6 6" xfId="18500" xr:uid="{3A9162F8-4991-419B-97F6-D47A8643192F}"/>
    <cellStyle name="Normal 8 3 2 6 7" xfId="35259" xr:uid="{6F520D97-CB6D-49D5-8100-A8E09B8DC445}"/>
    <cellStyle name="Normal 8 3 2 7" xfId="3850" xr:uid="{A8D083CF-ED6C-44B4-AE68-BF9D8CCB8072}"/>
    <cellStyle name="Normal 8 3 2 7 2" xfId="12230" xr:uid="{45F46AEB-4CF0-42DF-9580-F4922D9B8514}"/>
    <cellStyle name="Normal 8 3 2 7 2 2" xfId="28990" xr:uid="{D0002AC3-99B8-40FF-846C-05D1101F5562}"/>
    <cellStyle name="Normal 8 3 2 7 2 3" xfId="45749" xr:uid="{0CECA8A8-E225-4CF4-9CDE-C73A29C12721}"/>
    <cellStyle name="Normal 8 3 2 7 3" xfId="20610" xr:uid="{19C92763-31D2-4A9C-97E9-81BDF7F29416}"/>
    <cellStyle name="Normal 8 3 2 7 4" xfId="37369" xr:uid="{F6F54118-E532-49BB-B74F-436D3203BCB3}"/>
    <cellStyle name="Normal 8 3 2 8" xfId="5526" xr:uid="{EC21D302-4AF4-459E-A745-45513B70B52A}"/>
    <cellStyle name="Normal 8 3 2 8 2" xfId="13906" xr:uid="{22665286-38F4-4A8C-ABE2-4692A21DEF2E}"/>
    <cellStyle name="Normal 8 3 2 8 2 2" xfId="30666" xr:uid="{8581B45F-61BF-402E-BAF0-581AD85D51C0}"/>
    <cellStyle name="Normal 8 3 2 8 2 3" xfId="47425" xr:uid="{996CCA97-591C-4E17-A42F-AB4D1AE4110C}"/>
    <cellStyle name="Normal 8 3 2 8 3" xfId="22286" xr:uid="{D3064EBB-8287-4E1D-97FA-A04762C2DFD9}"/>
    <cellStyle name="Normal 8 3 2 8 4" xfId="39045" xr:uid="{DC0C54C6-60B9-498F-80F5-6E5DD8F5C968}"/>
    <cellStyle name="Normal 8 3 2 9" xfId="7213" xr:uid="{7F6D9943-0566-4693-9E68-0410DFBF85E6}"/>
    <cellStyle name="Normal 8 3 2 9 2" xfId="15593" xr:uid="{E8DC9EFB-F99E-40CA-BBD4-D79664048200}"/>
    <cellStyle name="Normal 8 3 2 9 2 2" xfId="32353" xr:uid="{96D6472B-A6E0-422D-B2EE-2149EA9327BD}"/>
    <cellStyle name="Normal 8 3 2 9 2 3" xfId="49112" xr:uid="{2E892020-E39A-4F3F-A0C9-FA9E6EBAF5B2}"/>
    <cellStyle name="Normal 8 3 2 9 3" xfId="23973" xr:uid="{903244D5-0A8F-4A67-94BC-476EEC241500}"/>
    <cellStyle name="Normal 8 3 2 9 4" xfId="40732" xr:uid="{0E3FE1D7-35D9-4480-A536-1294CFEC477C}"/>
    <cellStyle name="Normal 8 3 3" xfId="710" xr:uid="{A2E2575B-18D2-4C1A-9652-18680370A1C5}"/>
    <cellStyle name="Normal 8 3 3 10" xfId="8577" xr:uid="{A993F864-AFC5-44BA-B8AA-2DB51D41BBC2}"/>
    <cellStyle name="Normal 8 3 3 10 2" xfId="16957" xr:uid="{4A6F5042-9288-4D6F-8CE0-85C127A976EB}"/>
    <cellStyle name="Normal 8 3 3 10 2 2" xfId="33717" xr:uid="{BA270651-A79D-40FF-9EA2-206AB61EFD1E}"/>
    <cellStyle name="Normal 8 3 3 10 2 3" xfId="50476" xr:uid="{8C46D132-124E-4ADD-B83C-326810E64DCE}"/>
    <cellStyle name="Normal 8 3 3 10 3" xfId="25337" xr:uid="{A9ECCF09-CC7E-462F-93D9-6C783100A257}"/>
    <cellStyle name="Normal 8 3 3 10 4" xfId="42096" xr:uid="{57BDDE6A-5684-4327-99D6-DCD7DD11DA24}"/>
    <cellStyle name="Normal 8 3 3 11" xfId="2539" xr:uid="{73265640-C6AC-478D-9947-6344D925A4CC}"/>
    <cellStyle name="Normal 8 3 3 11 2" xfId="10921" xr:uid="{333D4DCA-F37B-4BFC-A15A-FCC09B2C9AD8}"/>
    <cellStyle name="Normal 8 3 3 11 2 2" xfId="27681" xr:uid="{A812C4A0-03C4-49A2-9EC9-34DAC3EC7E5A}"/>
    <cellStyle name="Normal 8 3 3 11 2 3" xfId="44440" xr:uid="{A761A805-9BB3-4FF0-93F3-1CA2D7E83E3E}"/>
    <cellStyle name="Normal 8 3 3 11 3" xfId="19301" xr:uid="{F7E66C34-F3E7-49C7-8991-893EA5BEF4C8}"/>
    <cellStyle name="Normal 8 3 3 11 4" xfId="36060" xr:uid="{338807C2-D4C4-41DF-9DF6-41D151B71EEA}"/>
    <cellStyle name="Normal 8 3 3 12" xfId="9118" xr:uid="{218AF74E-A960-4EA3-9A61-43DC9DADEEF4}"/>
    <cellStyle name="Normal 8 3 3 12 2" xfId="25878" xr:uid="{C5BD3C8E-4C07-4AE3-AFCE-42F7D70BC640}"/>
    <cellStyle name="Normal 8 3 3 12 3" xfId="42637" xr:uid="{18BD8E92-9EB2-475E-BC65-FDD28CE400C5}"/>
    <cellStyle name="Normal 8 3 3 13" xfId="17498" xr:uid="{5C1FEA73-7657-419E-B228-DCBD3CBD9AB7}"/>
    <cellStyle name="Normal 8 3 3 14" xfId="34257" xr:uid="{20DF4D19-F171-44A0-955B-32411E3954E8}"/>
    <cellStyle name="Normal 8 3 3 2" xfId="1149" xr:uid="{13CBB423-4090-421F-8B3A-1D0E2FC77DF1}"/>
    <cellStyle name="Normal 8 3 3 2 2" xfId="4544" xr:uid="{7BF17EF0-A975-45C5-AF2F-3E67335A95F5}"/>
    <cellStyle name="Normal 8 3 3 2 2 2" xfId="12924" xr:uid="{E4E99281-FE16-41AC-BC21-2A6F9A0FBE14}"/>
    <cellStyle name="Normal 8 3 3 2 2 2 2" xfId="29684" xr:uid="{F6847732-B6ED-49BD-884D-C34135C5DE08}"/>
    <cellStyle name="Normal 8 3 3 2 2 2 3" xfId="46443" xr:uid="{52EF7674-7E49-496C-920F-63E4E78FFA71}"/>
    <cellStyle name="Normal 8 3 3 2 2 3" xfId="21304" xr:uid="{4CDFBFF7-3835-4BE5-8CB1-C56D963C8A63}"/>
    <cellStyle name="Normal 8 3 3 2 2 4" xfId="38063" xr:uid="{B205697B-0354-487B-9E02-F0101842E58F}"/>
    <cellStyle name="Normal 8 3 3 2 3" xfId="6231" xr:uid="{832B54B4-098F-4285-92DD-878CC0864651}"/>
    <cellStyle name="Normal 8 3 3 2 3 2" xfId="14611" xr:uid="{3E4F4C6B-6C4E-4006-B2B9-E1186297E1F2}"/>
    <cellStyle name="Normal 8 3 3 2 3 2 2" xfId="31371" xr:uid="{16620719-CEEC-4A81-8792-05B5955C18FA}"/>
    <cellStyle name="Normal 8 3 3 2 3 2 3" xfId="48130" xr:uid="{864FBF66-A07F-49D9-ABD4-9FE4BD334FAE}"/>
    <cellStyle name="Normal 8 3 3 2 3 3" xfId="22991" xr:uid="{84263FF0-DA82-45E5-961E-300BF6EF6D09}"/>
    <cellStyle name="Normal 8 3 3 2 3 4" xfId="39750" xr:uid="{63A736C6-5714-4DAC-A171-76B454D86E65}"/>
    <cellStyle name="Normal 8 3 3 2 4" xfId="2967" xr:uid="{2CBE288A-A800-4B6A-983A-5138CFCA7A53}"/>
    <cellStyle name="Normal 8 3 3 2 4 2" xfId="11347" xr:uid="{224E53BD-7814-4F31-ADAC-47C2F948EC33}"/>
    <cellStyle name="Normal 8 3 3 2 4 2 2" xfId="28107" xr:uid="{824B5AA8-3D80-44AA-8FFF-7598D8572744}"/>
    <cellStyle name="Normal 8 3 3 2 4 2 3" xfId="44866" xr:uid="{5463B6FE-2805-44CA-ACC2-50B3979B1BB5}"/>
    <cellStyle name="Normal 8 3 3 2 4 3" xfId="19727" xr:uid="{C6F58EA9-635D-4925-B163-42C8EE09814E}"/>
    <cellStyle name="Normal 8 3 3 2 4 4" xfId="36486" xr:uid="{8D580CC1-A20B-4A23-9366-21C0448FDE13}"/>
    <cellStyle name="Normal 8 3 3 2 5" xfId="9544" xr:uid="{122282F9-E386-44E5-A3B2-4CB99C48B4E6}"/>
    <cellStyle name="Normal 8 3 3 2 5 2" xfId="26304" xr:uid="{A6CF1DDC-0987-4209-8D92-D9B55006710D}"/>
    <cellStyle name="Normal 8 3 3 2 5 3" xfId="43063" xr:uid="{BF69F97B-2431-4F99-9936-1DCB9422179E}"/>
    <cellStyle name="Normal 8 3 3 2 6" xfId="17924" xr:uid="{4E2C217C-2DF0-4825-B301-8B591D396B2E}"/>
    <cellStyle name="Normal 8 3 3 2 7" xfId="34683" xr:uid="{A433B2F1-7464-45C3-8A41-D93679277167}"/>
    <cellStyle name="Normal 8 3 3 3" xfId="1583" xr:uid="{B62C3071-A872-49C2-AA8E-B5FC888D81DE}"/>
    <cellStyle name="Normal 8 3 3 3 2" xfId="4972" xr:uid="{E9391C95-0E45-4351-B4B1-34F452EC0949}"/>
    <cellStyle name="Normal 8 3 3 3 2 2" xfId="13352" xr:uid="{2DB9570F-A316-41E8-8017-E2D5900CF1F0}"/>
    <cellStyle name="Normal 8 3 3 3 2 2 2" xfId="30112" xr:uid="{385FEF9E-58D1-45AE-A002-52A235C404DF}"/>
    <cellStyle name="Normal 8 3 3 3 2 2 3" xfId="46871" xr:uid="{27236C22-7B78-4CAE-923A-7EDF8AB2BBA2}"/>
    <cellStyle name="Normal 8 3 3 3 2 3" xfId="21732" xr:uid="{2F76BF1D-C69B-48D3-B531-0F0195B6835E}"/>
    <cellStyle name="Normal 8 3 3 3 2 4" xfId="38491" xr:uid="{9F781E09-11CC-4595-828E-FB1748ACA676}"/>
    <cellStyle name="Normal 8 3 3 3 3" xfId="6659" xr:uid="{32B62E02-34A5-4A7F-94BE-CE4729038A84}"/>
    <cellStyle name="Normal 8 3 3 3 3 2" xfId="15039" xr:uid="{9F9FF574-AB40-4770-8917-51055D4B6F0D}"/>
    <cellStyle name="Normal 8 3 3 3 3 2 2" xfId="31799" xr:uid="{25613E4E-6ED5-4BBE-956F-582EB29820C0}"/>
    <cellStyle name="Normal 8 3 3 3 3 2 3" xfId="48558" xr:uid="{9821BCCD-C43C-401A-9D1A-B93DB827A42D}"/>
    <cellStyle name="Normal 8 3 3 3 3 3" xfId="23419" xr:uid="{16BEC27B-0E3A-4F1D-875E-5005C22BEDA2}"/>
    <cellStyle name="Normal 8 3 3 3 3 4" xfId="40178" xr:uid="{64FF14E0-08DF-4193-8424-B0EA433C2698}"/>
    <cellStyle name="Normal 8 3 3 3 4" xfId="3395" xr:uid="{6A808427-50DB-4F97-B5E5-4D3D21E61FAD}"/>
    <cellStyle name="Normal 8 3 3 3 4 2" xfId="11775" xr:uid="{84FCBA8A-3B53-4A9D-A1DF-B78850DD11CB}"/>
    <cellStyle name="Normal 8 3 3 3 4 2 2" xfId="28535" xr:uid="{AD72024C-F14C-44B0-8B60-105DF880BD81}"/>
    <cellStyle name="Normal 8 3 3 3 4 2 3" xfId="45294" xr:uid="{7FDC3FB4-2E16-4453-B7FC-1F525907AA2B}"/>
    <cellStyle name="Normal 8 3 3 3 4 3" xfId="20155" xr:uid="{CAC513B5-E373-42E6-A3B3-769E6B2F99B7}"/>
    <cellStyle name="Normal 8 3 3 3 4 4" xfId="36914" xr:uid="{9CFE5852-7B23-4BB9-ABBB-E6EA443FF648}"/>
    <cellStyle name="Normal 8 3 3 3 5" xfId="9972" xr:uid="{D78967A1-55F6-439D-A62C-7980DD029CEE}"/>
    <cellStyle name="Normal 8 3 3 3 5 2" xfId="26732" xr:uid="{96E32568-BCD4-4CC2-9039-B9D8C102CE15}"/>
    <cellStyle name="Normal 8 3 3 3 5 3" xfId="43491" xr:uid="{1C1D3C12-CE80-4CC4-AB6D-55C7D68D04D3}"/>
    <cellStyle name="Normal 8 3 3 3 6" xfId="18352" xr:uid="{9827B7F7-B8D9-4ED3-AC52-D31DEA50C5E9}"/>
    <cellStyle name="Normal 8 3 3 3 7" xfId="35111" xr:uid="{C3D8FFBD-D7B6-49ED-B79F-25AC99F13CB0}"/>
    <cellStyle name="Normal 8 3 3 4" xfId="1877" xr:uid="{6B1C8606-54B6-4E19-805B-AF28BF79D99A}"/>
    <cellStyle name="Normal 8 3 3 4 2" xfId="5266" xr:uid="{4C5A600A-7C95-4B45-9036-249DF9D69B81}"/>
    <cellStyle name="Normal 8 3 3 4 2 2" xfId="13646" xr:uid="{F454F716-4204-4DC1-AC26-25231B743CFF}"/>
    <cellStyle name="Normal 8 3 3 4 2 2 2" xfId="30406" xr:uid="{A1F54DD1-AEEF-4FF2-92B1-D01D2F7A14F0}"/>
    <cellStyle name="Normal 8 3 3 4 2 2 3" xfId="47165" xr:uid="{C70871A6-C62A-4AA4-9754-5075CEE19B54}"/>
    <cellStyle name="Normal 8 3 3 4 2 3" xfId="22026" xr:uid="{325EC297-3FED-4426-951C-73AFB8F3361B}"/>
    <cellStyle name="Normal 8 3 3 4 2 4" xfId="38785" xr:uid="{0014991D-2D7A-44D5-98CD-8648CDAF4D09}"/>
    <cellStyle name="Normal 8 3 3 4 3" xfId="6953" xr:uid="{CC9211CB-8A0E-4CCA-92BD-410523429878}"/>
    <cellStyle name="Normal 8 3 3 4 3 2" xfId="15333" xr:uid="{47935841-C89F-4386-905C-81CE909498A5}"/>
    <cellStyle name="Normal 8 3 3 4 3 2 2" xfId="32093" xr:uid="{B2C4647D-8504-4EC0-8F7C-6670C1967841}"/>
    <cellStyle name="Normal 8 3 3 4 3 2 3" xfId="48852" xr:uid="{1FD58027-1F40-4F56-9ED9-072A533C589F}"/>
    <cellStyle name="Normal 8 3 3 4 3 3" xfId="23713" xr:uid="{94104CBE-B81F-4819-83B4-01656A6BF01F}"/>
    <cellStyle name="Normal 8 3 3 4 3 4" xfId="40472" xr:uid="{25918628-AF47-441D-B35E-99BC33D42E7D}"/>
    <cellStyle name="Normal 8 3 3 4 4" xfId="3576" xr:uid="{A7595896-01F4-4DF9-AC63-A3767FE7EBE1}"/>
    <cellStyle name="Normal 8 3 3 4 4 2" xfId="11956" xr:uid="{544BADD8-AA17-4F6B-A089-0E573E26915F}"/>
    <cellStyle name="Normal 8 3 3 4 4 2 2" xfId="28716" xr:uid="{6975F4EF-BA10-45B7-A050-FA5DD4BFE21E}"/>
    <cellStyle name="Normal 8 3 3 4 4 2 3" xfId="45475" xr:uid="{D13BDF01-4AF2-42C9-A11C-C16C7DA77B3D}"/>
    <cellStyle name="Normal 8 3 3 4 4 3" xfId="20336" xr:uid="{B2DBC56A-B251-448A-9352-DB48096C5BEE}"/>
    <cellStyle name="Normal 8 3 3 4 4 4" xfId="37095" xr:uid="{67F1A02B-D0D6-46C2-89AD-0C1069BB2A39}"/>
    <cellStyle name="Normal 8 3 3 4 5" xfId="10266" xr:uid="{BB3E9623-40C5-4BB1-AF84-7C56EAAC62EF}"/>
    <cellStyle name="Normal 8 3 3 4 5 2" xfId="27026" xr:uid="{FE657D14-3197-4DD1-9EA3-BE51E39911AF}"/>
    <cellStyle name="Normal 8 3 3 4 5 3" xfId="43785" xr:uid="{D311D18E-83C3-4920-A747-6A47250CB3FC}"/>
    <cellStyle name="Normal 8 3 3 4 6" xfId="18646" xr:uid="{707D4FE7-36FE-4694-B24B-6FF18BE97F06}"/>
    <cellStyle name="Normal 8 3 3 4 7" xfId="35405" xr:uid="{5DA4D494-F957-4642-9638-1B1150B70749}"/>
    <cellStyle name="Normal 8 3 3 5" xfId="3996" xr:uid="{39D8BBB5-33C0-4894-A6F7-3BA3E36BC959}"/>
    <cellStyle name="Normal 8 3 3 5 2" xfId="12376" xr:uid="{1421EF17-0E9A-4D8A-91E3-38282BE64D11}"/>
    <cellStyle name="Normal 8 3 3 5 2 2" xfId="29136" xr:uid="{CDEC2765-6F74-42EF-BEAD-C53AFACD1049}"/>
    <cellStyle name="Normal 8 3 3 5 2 3" xfId="45895" xr:uid="{60ED3C22-D479-4EE7-BDB7-AFF2B786B70F}"/>
    <cellStyle name="Normal 8 3 3 5 3" xfId="20756" xr:uid="{9B093144-BC86-4067-8A75-7BBD3FC76DF4}"/>
    <cellStyle name="Normal 8 3 3 5 4" xfId="37515" xr:uid="{C01D15E3-BA91-4768-B4ED-49B382DDAC1F}"/>
    <cellStyle name="Normal 8 3 3 6" xfId="5805" xr:uid="{568F015C-3E55-4B75-BC81-5C3A71EC0666}"/>
    <cellStyle name="Normal 8 3 3 6 2" xfId="14185" xr:uid="{2C471544-1C57-4F03-BCFD-36C78F7E3361}"/>
    <cellStyle name="Normal 8 3 3 6 2 2" xfId="30945" xr:uid="{1136837D-3949-46E8-B2BF-5D5365A3A0DD}"/>
    <cellStyle name="Normal 8 3 3 6 2 3" xfId="47704" xr:uid="{2314C7A5-6927-43D2-BE7F-E1CAA1C8BDCD}"/>
    <cellStyle name="Normal 8 3 3 6 3" xfId="22565" xr:uid="{7F4FA6A9-2330-4BAC-9CAB-7C447B1A6EB1}"/>
    <cellStyle name="Normal 8 3 3 6 4" xfId="39324" xr:uid="{05B917BB-8D19-4091-A156-319CD2077FFC}"/>
    <cellStyle name="Normal 8 3 3 7" xfId="7359" xr:uid="{F55BF599-09A8-43B1-A85C-2E10C40B7450}"/>
    <cellStyle name="Normal 8 3 3 7 2" xfId="15739" xr:uid="{726B5A7C-897D-4120-B3C2-DBFD8D6DFD61}"/>
    <cellStyle name="Normal 8 3 3 7 2 2" xfId="32499" xr:uid="{348A7623-8B8A-48BA-A6D4-B2BDE3DBB55C}"/>
    <cellStyle name="Normal 8 3 3 7 2 3" xfId="49258" xr:uid="{304D7B87-D54A-4640-9C27-3384BA44CD6A}"/>
    <cellStyle name="Normal 8 3 3 7 3" xfId="24119" xr:uid="{5564AA98-990B-4B08-8A75-78C5AC724D07}"/>
    <cellStyle name="Normal 8 3 3 7 4" xfId="40878" xr:uid="{1C515E64-7AFB-4B42-9BCF-DA23A25ED42A}"/>
    <cellStyle name="Normal 8 3 3 8" xfId="7765" xr:uid="{7A604F47-32EC-4278-B4D3-2DB9E9CF5D19}"/>
    <cellStyle name="Normal 8 3 3 8 2" xfId="16145" xr:uid="{7DAEDC62-B549-4B80-9E7D-C5004A87AAB2}"/>
    <cellStyle name="Normal 8 3 3 8 2 2" xfId="32905" xr:uid="{C00C5672-146A-4812-8A90-7CF1DF351132}"/>
    <cellStyle name="Normal 8 3 3 8 2 3" xfId="49664" xr:uid="{436ABADE-98AB-4227-8CAA-39831E6CBCB9}"/>
    <cellStyle name="Normal 8 3 3 8 3" xfId="24525" xr:uid="{62723319-08DE-4CD8-AC7E-BD7B197B2D11}"/>
    <cellStyle name="Normal 8 3 3 8 4" xfId="41284" xr:uid="{D516FD44-37E4-40DB-8739-D7CC94BA25F3}"/>
    <cellStyle name="Normal 8 3 3 9" xfId="8171" xr:uid="{4ADBD4D8-2F33-4320-B503-5F005A1BA76F}"/>
    <cellStyle name="Normal 8 3 3 9 2" xfId="16551" xr:uid="{64EB13C0-18AF-4B13-BCBE-90043497B68C}"/>
    <cellStyle name="Normal 8 3 3 9 2 2" xfId="33311" xr:uid="{D8BDC0DC-E89D-4CF6-9FD4-B72EF6F08601}"/>
    <cellStyle name="Normal 8 3 3 9 2 3" xfId="50070" xr:uid="{A6ADABBC-7371-4176-895A-7413E1317BE7}"/>
    <cellStyle name="Normal 8 3 3 9 3" xfId="24931" xr:uid="{364D4910-791C-4027-A246-B8D6A05A6FE9}"/>
    <cellStyle name="Normal 8 3 3 9 4" xfId="41690" xr:uid="{8EB3CED3-E827-46FF-90ED-8646986E41C0}"/>
    <cellStyle name="Normal 8 3 4" xfId="711" xr:uid="{0EA6AD30-2C24-43D7-AF85-DDE678D3F38D}"/>
    <cellStyle name="Normal 8 3 4 10" xfId="8677" xr:uid="{E5464DCE-4333-43F2-82F3-8B5EC323CB19}"/>
    <cellStyle name="Normal 8 3 4 10 2" xfId="17057" xr:uid="{1524E983-E8F0-467B-909D-494F3C303359}"/>
    <cellStyle name="Normal 8 3 4 10 2 2" xfId="33817" xr:uid="{FE3AA065-8F49-403B-9950-463925F8B784}"/>
    <cellStyle name="Normal 8 3 4 10 2 3" xfId="50576" xr:uid="{1DF4FD09-72FA-44CB-A505-A1289CADD19E}"/>
    <cellStyle name="Normal 8 3 4 10 3" xfId="25437" xr:uid="{89AA25BF-57C5-4665-BCEA-0916A8DE4CAB}"/>
    <cellStyle name="Normal 8 3 4 10 4" xfId="42196" xr:uid="{8BC763F4-E477-4DBF-AAB2-FDBCAE8E59D7}"/>
    <cellStyle name="Normal 8 3 4 11" xfId="2540" xr:uid="{09383E4D-F259-43DA-906B-1070AA26A9E3}"/>
    <cellStyle name="Normal 8 3 4 11 2" xfId="10922" xr:uid="{ACBC0AC0-B70B-4F0C-B79C-FC98250829E7}"/>
    <cellStyle name="Normal 8 3 4 11 2 2" xfId="27682" xr:uid="{452C9428-4888-4D5D-BB11-131E8AF321D1}"/>
    <cellStyle name="Normal 8 3 4 11 2 3" xfId="44441" xr:uid="{DA2A970D-301A-443F-955E-304D1369BABA}"/>
    <cellStyle name="Normal 8 3 4 11 3" xfId="19302" xr:uid="{E68CD3DE-43A0-4458-9DB7-E525B3953596}"/>
    <cellStyle name="Normal 8 3 4 11 4" xfId="36061" xr:uid="{4A9E4B5A-752A-4A4F-8B20-459E0C1666CB}"/>
    <cellStyle name="Normal 8 3 4 12" xfId="9119" xr:uid="{93793932-5996-4869-BC19-47FAC18002FB}"/>
    <cellStyle name="Normal 8 3 4 12 2" xfId="25879" xr:uid="{3E0F83B4-D24E-43EC-B09B-17D9AC5CCD57}"/>
    <cellStyle name="Normal 8 3 4 12 3" xfId="42638" xr:uid="{6A3D1468-1BB7-48CD-8579-3324FD78A41A}"/>
    <cellStyle name="Normal 8 3 4 13" xfId="17499" xr:uid="{50873900-EB8E-43DF-A78D-D8FF078FB31D}"/>
    <cellStyle name="Normal 8 3 4 14" xfId="34258" xr:uid="{7452C056-449F-42DF-B8AD-5DE810D270A6}"/>
    <cellStyle name="Normal 8 3 4 2" xfId="1150" xr:uid="{D461B417-B54F-410D-A8D3-8A932057916A}"/>
    <cellStyle name="Normal 8 3 4 2 2" xfId="4545" xr:uid="{50C362FC-B3A0-4D64-B2D1-F4CB2725E916}"/>
    <cellStyle name="Normal 8 3 4 2 2 2" xfId="12925" xr:uid="{1FDF2A1F-9A7D-4A16-B6AE-A33F44EC79AD}"/>
    <cellStyle name="Normal 8 3 4 2 2 2 2" xfId="29685" xr:uid="{AC06B942-BB21-4E3A-813B-A8A52C650D94}"/>
    <cellStyle name="Normal 8 3 4 2 2 2 3" xfId="46444" xr:uid="{5A98E3B9-D3EB-4767-AE49-E54CDDAA1EF3}"/>
    <cellStyle name="Normal 8 3 4 2 2 3" xfId="21305" xr:uid="{12C62A43-AE61-4EB0-9F5C-D700FA37D720}"/>
    <cellStyle name="Normal 8 3 4 2 2 4" xfId="38064" xr:uid="{6E3BA292-6F5E-4757-AD5B-F00CF7A16283}"/>
    <cellStyle name="Normal 8 3 4 2 3" xfId="6232" xr:uid="{7CC0343A-6BAF-4C1F-B925-3DD6C87F17FF}"/>
    <cellStyle name="Normal 8 3 4 2 3 2" xfId="14612" xr:uid="{B1584C98-6C57-44D3-B0E3-FCFCF3A8554B}"/>
    <cellStyle name="Normal 8 3 4 2 3 2 2" xfId="31372" xr:uid="{D71DE7D2-95B4-46CC-8388-22316E06ADEA}"/>
    <cellStyle name="Normal 8 3 4 2 3 2 3" xfId="48131" xr:uid="{20A9A6BD-A8FF-4DD8-8856-9B0E8C6C04C5}"/>
    <cellStyle name="Normal 8 3 4 2 3 3" xfId="22992" xr:uid="{9C91EA87-624D-49DB-9D44-4CE5E25CBCE7}"/>
    <cellStyle name="Normal 8 3 4 2 3 4" xfId="39751" xr:uid="{3FDBFA63-F7C3-4288-9DD5-4D2E71FD33D4}"/>
    <cellStyle name="Normal 8 3 4 2 4" xfId="2968" xr:uid="{8BD92980-FED6-4659-A8E8-BDCE0286C362}"/>
    <cellStyle name="Normal 8 3 4 2 4 2" xfId="11348" xr:uid="{3C2B29DD-A5BA-43F1-B8C7-FC6AEBD8FF37}"/>
    <cellStyle name="Normal 8 3 4 2 4 2 2" xfId="28108" xr:uid="{4883B469-282D-4F46-9D19-D15EAAD586F7}"/>
    <cellStyle name="Normal 8 3 4 2 4 2 3" xfId="44867" xr:uid="{B0D30672-9A2C-4A09-8D00-6FED5DAC0EDD}"/>
    <cellStyle name="Normal 8 3 4 2 4 3" xfId="19728" xr:uid="{75180431-B5B0-4A83-9098-1660DAF562EA}"/>
    <cellStyle name="Normal 8 3 4 2 4 4" xfId="36487" xr:uid="{13294928-1DC7-4AF9-8049-805E186EE0A4}"/>
    <cellStyle name="Normal 8 3 4 2 5" xfId="9545" xr:uid="{12F78F2D-B0D3-4847-A9C0-6ABE4FC48D55}"/>
    <cellStyle name="Normal 8 3 4 2 5 2" xfId="26305" xr:uid="{388296AA-F8B0-4336-95A3-985E8DCB173E}"/>
    <cellStyle name="Normal 8 3 4 2 5 3" xfId="43064" xr:uid="{5FDE4D1A-23D7-47B7-9E05-DE34F6BC20CB}"/>
    <cellStyle name="Normal 8 3 4 2 6" xfId="17925" xr:uid="{E1499EA9-AEF4-4D6C-82AC-8FC4A7215E81}"/>
    <cellStyle name="Normal 8 3 4 2 7" xfId="34684" xr:uid="{DE4213CB-F291-4761-B8D0-DB66FF262BDD}"/>
    <cellStyle name="Normal 8 3 4 3" xfId="1584" xr:uid="{4077196A-30B4-4E1F-AA1B-367EE13AE07D}"/>
    <cellStyle name="Normal 8 3 4 3 2" xfId="4973" xr:uid="{F938C109-A9EB-439A-B4B5-F22A404D8B3E}"/>
    <cellStyle name="Normal 8 3 4 3 2 2" xfId="13353" xr:uid="{D960D567-4F16-4F4F-9D50-61619894318F}"/>
    <cellStyle name="Normal 8 3 4 3 2 2 2" xfId="30113" xr:uid="{E1F6A81A-AA5E-439E-8DEC-4FF613C3B601}"/>
    <cellStyle name="Normal 8 3 4 3 2 2 3" xfId="46872" xr:uid="{9B2F0EF9-BD34-4AC3-B089-EEFE7196AEDE}"/>
    <cellStyle name="Normal 8 3 4 3 2 3" xfId="21733" xr:uid="{FE532955-819E-477F-8C6D-62B2EFEE0EB5}"/>
    <cellStyle name="Normal 8 3 4 3 2 4" xfId="38492" xr:uid="{3791C409-6C74-4D13-92D0-DD4A9994BADA}"/>
    <cellStyle name="Normal 8 3 4 3 3" xfId="6660" xr:uid="{87BB47D7-5AA9-4C6E-A1B8-C2930372D532}"/>
    <cellStyle name="Normal 8 3 4 3 3 2" xfId="15040" xr:uid="{5ED3E0ED-638D-414C-B19D-0E4E43E93DA0}"/>
    <cellStyle name="Normal 8 3 4 3 3 2 2" xfId="31800" xr:uid="{E2FE65D3-78EC-4C12-B156-3EA3CB343AB7}"/>
    <cellStyle name="Normal 8 3 4 3 3 2 3" xfId="48559" xr:uid="{B8DBDC53-C94A-4D03-BFBF-BEF5EF673513}"/>
    <cellStyle name="Normal 8 3 4 3 3 3" xfId="23420" xr:uid="{B381B3A6-DC9F-4957-A7B1-0B2086BEBF06}"/>
    <cellStyle name="Normal 8 3 4 3 3 4" xfId="40179" xr:uid="{B61BEA21-3367-4F26-8807-15E1F1FABE1A}"/>
    <cellStyle name="Normal 8 3 4 3 4" xfId="3396" xr:uid="{8BD6B98D-7B31-4918-BAB8-FF2C27466AF1}"/>
    <cellStyle name="Normal 8 3 4 3 4 2" xfId="11776" xr:uid="{9977FFF5-0A4F-4BB6-89A9-43683F26E26A}"/>
    <cellStyle name="Normal 8 3 4 3 4 2 2" xfId="28536" xr:uid="{53E51DDF-456F-422B-85CC-0B0AFA2CE952}"/>
    <cellStyle name="Normal 8 3 4 3 4 2 3" xfId="45295" xr:uid="{33071B32-0006-4221-A229-28CA9F88082F}"/>
    <cellStyle name="Normal 8 3 4 3 4 3" xfId="20156" xr:uid="{C002C2D8-968C-4CE0-8FEF-216E49879C2E}"/>
    <cellStyle name="Normal 8 3 4 3 4 4" xfId="36915" xr:uid="{896B2E57-18FC-492B-8ABD-5A743B67EADF}"/>
    <cellStyle name="Normal 8 3 4 3 5" xfId="9973" xr:uid="{3514DD91-59EC-4E8E-A1D6-5D92A3F72B32}"/>
    <cellStyle name="Normal 8 3 4 3 5 2" xfId="26733" xr:uid="{77290B41-B4C6-4BAD-9562-D6547AD4DBF7}"/>
    <cellStyle name="Normal 8 3 4 3 5 3" xfId="43492" xr:uid="{B3030BEC-BD9D-4512-B607-9E6F3283CB67}"/>
    <cellStyle name="Normal 8 3 4 3 6" xfId="18353" xr:uid="{CA3FF0E0-0163-4B12-BCA7-6CB8EF633E16}"/>
    <cellStyle name="Normal 8 3 4 3 7" xfId="35112" xr:uid="{5A160D93-9E58-416E-8CA8-4CB63F9F8296}"/>
    <cellStyle name="Normal 8 3 4 4" xfId="1977" xr:uid="{AAFD88F9-2A16-42E5-B2A0-8EF78BFD2816}"/>
    <cellStyle name="Normal 8 3 4 4 2" xfId="5366" xr:uid="{D7F63322-FB05-4BA9-9D7D-1BD7E35708CF}"/>
    <cellStyle name="Normal 8 3 4 4 2 2" xfId="13746" xr:uid="{8CE67F19-1153-4DEF-9660-87DFEA945E27}"/>
    <cellStyle name="Normal 8 3 4 4 2 2 2" xfId="30506" xr:uid="{55539D06-8DAD-430A-92FB-0F1662487A01}"/>
    <cellStyle name="Normal 8 3 4 4 2 2 3" xfId="47265" xr:uid="{750D42B7-D899-4FFF-804C-774FF5526DB1}"/>
    <cellStyle name="Normal 8 3 4 4 2 3" xfId="22126" xr:uid="{78F0F167-0644-48A0-86C1-B85BF77F3CA6}"/>
    <cellStyle name="Normal 8 3 4 4 2 4" xfId="38885" xr:uid="{2D3A541E-2C5D-4D87-8911-F9857822B174}"/>
    <cellStyle name="Normal 8 3 4 4 3" xfId="7053" xr:uid="{F8866AB6-7A4A-4DF4-A578-8DD3C2F0E087}"/>
    <cellStyle name="Normal 8 3 4 4 3 2" xfId="15433" xr:uid="{45A1E554-DF2B-4099-B57F-358ACEDA7A40}"/>
    <cellStyle name="Normal 8 3 4 4 3 2 2" xfId="32193" xr:uid="{6092F935-76D1-463E-8E32-78BD33180AF3}"/>
    <cellStyle name="Normal 8 3 4 4 3 2 3" xfId="48952" xr:uid="{EA04A252-B652-4AD5-A58D-A60DA3FE8722}"/>
    <cellStyle name="Normal 8 3 4 4 3 3" xfId="23813" xr:uid="{DBE7AF12-FB18-4FC4-8719-8E5EE11F7369}"/>
    <cellStyle name="Normal 8 3 4 4 3 4" xfId="40572" xr:uid="{68FF4F35-9C80-4BC0-AA44-60F1CE0C816F}"/>
    <cellStyle name="Normal 8 3 4 4 4" xfId="3676" xr:uid="{2567C013-373F-41C4-A721-662338F721FE}"/>
    <cellStyle name="Normal 8 3 4 4 4 2" xfId="12056" xr:uid="{1D37291D-F609-45A1-9D93-9AE7C6DD5F51}"/>
    <cellStyle name="Normal 8 3 4 4 4 2 2" xfId="28816" xr:uid="{A539A723-6EA8-4A8D-87FB-91DDC6F9F7CF}"/>
    <cellStyle name="Normal 8 3 4 4 4 2 3" xfId="45575" xr:uid="{692CFA9E-AD2D-4244-85FA-FDE24015CA5B}"/>
    <cellStyle name="Normal 8 3 4 4 4 3" xfId="20436" xr:uid="{350398F3-9538-4920-852B-67663D27DF5F}"/>
    <cellStyle name="Normal 8 3 4 4 4 4" xfId="37195" xr:uid="{0065BB3D-2CD1-4CF3-8382-A11AE53F1EB0}"/>
    <cellStyle name="Normal 8 3 4 4 5" xfId="10366" xr:uid="{CEA9FE5B-7D45-4631-97AE-A9885278F257}"/>
    <cellStyle name="Normal 8 3 4 4 5 2" xfId="27126" xr:uid="{2FC9ACA0-8BEE-4AF9-8D9A-B7F7EA079652}"/>
    <cellStyle name="Normal 8 3 4 4 5 3" xfId="43885" xr:uid="{DB49AB4C-27DD-4030-BE8C-5E0470124739}"/>
    <cellStyle name="Normal 8 3 4 4 6" xfId="18746" xr:uid="{4FBB9CD5-08E6-4133-9C12-D71422FB6D42}"/>
    <cellStyle name="Normal 8 3 4 4 7" xfId="35505" xr:uid="{C7AB4336-3E24-41D5-900C-EBA61E7A4633}"/>
    <cellStyle name="Normal 8 3 4 5" xfId="4096" xr:uid="{069989A4-CE6B-40E2-868F-48282DFECA8A}"/>
    <cellStyle name="Normal 8 3 4 5 2" xfId="12476" xr:uid="{80BAF54C-CA8C-4939-990F-B8FBEB5E37C6}"/>
    <cellStyle name="Normal 8 3 4 5 2 2" xfId="29236" xr:uid="{BD39D382-0C11-402A-8C99-AD662F0A013C}"/>
    <cellStyle name="Normal 8 3 4 5 2 3" xfId="45995" xr:uid="{6526A34E-41E6-4C3D-8BEC-9BADCE4F26AE}"/>
    <cellStyle name="Normal 8 3 4 5 3" xfId="20856" xr:uid="{07B7A288-99A6-4188-BDDA-C1FF8771F387}"/>
    <cellStyle name="Normal 8 3 4 5 4" xfId="37615" xr:uid="{5F278801-71F5-4C74-948C-E8FF81AF43D0}"/>
    <cellStyle name="Normal 8 3 4 6" xfId="5806" xr:uid="{3D1406AE-7F83-4554-96A8-CE3060EE5A38}"/>
    <cellStyle name="Normal 8 3 4 6 2" xfId="14186" xr:uid="{0AE15D62-5AAB-462A-9017-4FDDB9E7BCD8}"/>
    <cellStyle name="Normal 8 3 4 6 2 2" xfId="30946" xr:uid="{A2F9B296-7066-4B7D-A078-BAA5304AB1F7}"/>
    <cellStyle name="Normal 8 3 4 6 2 3" xfId="47705" xr:uid="{F7234E7D-A237-4DD8-9B87-F3E634AC3622}"/>
    <cellStyle name="Normal 8 3 4 6 3" xfId="22566" xr:uid="{0E819577-0F3C-4977-BC64-6E83A118D5A1}"/>
    <cellStyle name="Normal 8 3 4 6 4" xfId="39325" xr:uid="{CE05EA57-932A-4FA4-B2D5-DB19C7E4527D}"/>
    <cellStyle name="Normal 8 3 4 7" xfId="7459" xr:uid="{A4678E6C-FAC9-4A80-AAFD-E371977C7EE9}"/>
    <cellStyle name="Normal 8 3 4 7 2" xfId="15839" xr:uid="{9BED3864-4BF7-4D20-9BF3-2C91BF81373F}"/>
    <cellStyle name="Normal 8 3 4 7 2 2" xfId="32599" xr:uid="{8798F506-8A44-4DF2-8C1B-98C9F51AD745}"/>
    <cellStyle name="Normal 8 3 4 7 2 3" xfId="49358" xr:uid="{CB702E8E-BF4F-4638-8EF6-0E48ECB66668}"/>
    <cellStyle name="Normal 8 3 4 7 3" xfId="24219" xr:uid="{4B48E00F-ECBD-4A63-ADA6-DE5FF12B121C}"/>
    <cellStyle name="Normal 8 3 4 7 4" xfId="40978" xr:uid="{20219BA6-2DCA-4F4C-BE69-63984AC8A16B}"/>
    <cellStyle name="Normal 8 3 4 8" xfId="7865" xr:uid="{2E2CA2CB-AE39-4F63-9329-2C47D0CD036D}"/>
    <cellStyle name="Normal 8 3 4 8 2" xfId="16245" xr:uid="{168FE3EF-7E1F-4C7A-98DB-3B019AE2BB8F}"/>
    <cellStyle name="Normal 8 3 4 8 2 2" xfId="33005" xr:uid="{4E777754-1500-48AC-9E02-BFE20CF15E8D}"/>
    <cellStyle name="Normal 8 3 4 8 2 3" xfId="49764" xr:uid="{E8536382-A0E5-47A1-88E3-F238A5DB1699}"/>
    <cellStyle name="Normal 8 3 4 8 3" xfId="24625" xr:uid="{71D15151-106D-44BC-B9AA-64C8FF37C3F0}"/>
    <cellStyle name="Normal 8 3 4 8 4" xfId="41384" xr:uid="{21DA1344-87D3-4761-B900-F21AD3ED3696}"/>
    <cellStyle name="Normal 8 3 4 9" xfId="8271" xr:uid="{8B1F8CB3-E213-4AE7-9927-AEE376980636}"/>
    <cellStyle name="Normal 8 3 4 9 2" xfId="16651" xr:uid="{AC51BF7B-70B2-462D-AAA1-2380C1176DA7}"/>
    <cellStyle name="Normal 8 3 4 9 2 2" xfId="33411" xr:uid="{920F2B7F-1F8F-4AA7-A43F-452AE10DF352}"/>
    <cellStyle name="Normal 8 3 4 9 2 3" xfId="50170" xr:uid="{BCA80439-7389-40A5-B52E-DF625815AED3}"/>
    <cellStyle name="Normal 8 3 4 9 3" xfId="25031" xr:uid="{CA07B656-A381-47E2-A7B1-7646CE5A59A1}"/>
    <cellStyle name="Normal 8 3 4 9 4" xfId="41790" xr:uid="{7D4110F1-F888-4FE1-8E6E-4825782A5D10}"/>
    <cellStyle name="Normal 8 3 5" xfId="796" xr:uid="{87A24BC4-3DB3-4956-B923-79737A16AAD8}"/>
    <cellStyle name="Normal 8 3 5 2" xfId="4191" xr:uid="{0F2E5997-5D75-49D2-B4BE-6B828865B7E9}"/>
    <cellStyle name="Normal 8 3 5 2 2" xfId="12571" xr:uid="{87C5CA18-5B40-48D2-AB8A-CA837BE7C57B}"/>
    <cellStyle name="Normal 8 3 5 2 2 2" xfId="29331" xr:uid="{C43F0982-4ECF-4323-96AE-48EE56254557}"/>
    <cellStyle name="Normal 8 3 5 2 2 3" xfId="46090" xr:uid="{13F15BD0-502C-45AF-B9FB-D142D2F8B544}"/>
    <cellStyle name="Normal 8 3 5 2 3" xfId="20951" xr:uid="{837259D0-3B5A-4B6B-A669-808EE87B782B}"/>
    <cellStyle name="Normal 8 3 5 2 4" xfId="37710" xr:uid="{7880EB16-8F3B-47BD-A802-B0CB9DB7D3CA}"/>
    <cellStyle name="Normal 8 3 5 3" xfId="5878" xr:uid="{AB921DAD-B43F-451E-8525-794FBB7AD6A3}"/>
    <cellStyle name="Normal 8 3 5 3 2" xfId="14258" xr:uid="{2F684F24-E487-4C7C-9327-75BDEB47647A}"/>
    <cellStyle name="Normal 8 3 5 3 2 2" xfId="31018" xr:uid="{049BCB81-2903-412C-B7DB-8483A7BA730E}"/>
    <cellStyle name="Normal 8 3 5 3 2 3" xfId="47777" xr:uid="{5A82D5B8-79E2-45FC-AB72-147DACAFBFD0}"/>
    <cellStyle name="Normal 8 3 5 3 3" xfId="22638" xr:uid="{7869CAD8-A468-4F71-BC2B-48ABFA33B68F}"/>
    <cellStyle name="Normal 8 3 5 3 4" xfId="39397" xr:uid="{09CBF5AB-F224-4B70-81F2-B70CE83DEF76}"/>
    <cellStyle name="Normal 8 3 5 4" xfId="2614" xr:uid="{2124C934-5FEB-475D-8B1E-5CBA46472FA7}"/>
    <cellStyle name="Normal 8 3 5 4 2" xfId="10994" xr:uid="{2C48399D-BB6D-444C-A7A0-804802CA9074}"/>
    <cellStyle name="Normal 8 3 5 4 2 2" xfId="27754" xr:uid="{9C493F5D-F526-44E7-A545-4348DC92D368}"/>
    <cellStyle name="Normal 8 3 5 4 2 3" xfId="44513" xr:uid="{115E126E-15A1-4711-B440-500F3E9F4CD9}"/>
    <cellStyle name="Normal 8 3 5 4 3" xfId="19374" xr:uid="{70BB19B4-8CC4-4AA8-AAF6-2E113F1CA6B9}"/>
    <cellStyle name="Normal 8 3 5 4 4" xfId="36133" xr:uid="{1D53D1CF-EA11-472E-9C07-D0180C389058}"/>
    <cellStyle name="Normal 8 3 5 5" xfId="9191" xr:uid="{AC65762E-8E1F-49D6-AC2B-4FA0E3DA546E}"/>
    <cellStyle name="Normal 8 3 5 5 2" xfId="25951" xr:uid="{8481AE67-5406-472F-AB0C-98E06E3C9E91}"/>
    <cellStyle name="Normal 8 3 5 5 3" xfId="42710" xr:uid="{0525D440-65C4-4FAB-B91F-4B381EB25BC3}"/>
    <cellStyle name="Normal 8 3 5 6" xfId="17571" xr:uid="{278403FD-FAB0-40D3-9A38-C2367CD53D7D}"/>
    <cellStyle name="Normal 8 3 5 7" xfId="34330" xr:uid="{258C261C-9B9B-4287-9041-D239DEBA68C5}"/>
    <cellStyle name="Normal 8 3 6" xfId="1230" xr:uid="{7226C2AE-2FEB-4C00-A085-9654E59199A8}"/>
    <cellStyle name="Normal 8 3 6 2" xfId="4619" xr:uid="{0E85083F-9314-4BA4-8BE9-43C28403A20D}"/>
    <cellStyle name="Normal 8 3 6 2 2" xfId="12999" xr:uid="{2E8445F8-9500-4EFF-AA40-652D9E239660}"/>
    <cellStyle name="Normal 8 3 6 2 2 2" xfId="29759" xr:uid="{D2874D1E-A316-4513-8756-D244D7EB7868}"/>
    <cellStyle name="Normal 8 3 6 2 2 3" xfId="46518" xr:uid="{B05BE7F9-B0A0-4F76-8B36-70480291C39F}"/>
    <cellStyle name="Normal 8 3 6 2 3" xfId="21379" xr:uid="{77100CDB-A0A8-4E51-84E3-B8C4BE80BCA5}"/>
    <cellStyle name="Normal 8 3 6 2 4" xfId="38138" xr:uid="{DD9DC69C-7AC9-4643-9906-4EF3E3610FD6}"/>
    <cellStyle name="Normal 8 3 6 3" xfId="6306" xr:uid="{A6BC3128-A9A7-4B80-B0A2-4FEFB244B988}"/>
    <cellStyle name="Normal 8 3 6 3 2" xfId="14686" xr:uid="{D0DB0CF0-2318-4229-9889-B7645D8E16A5}"/>
    <cellStyle name="Normal 8 3 6 3 2 2" xfId="31446" xr:uid="{A3EFF093-ED6A-4915-9D5F-61DFC6BAB081}"/>
    <cellStyle name="Normal 8 3 6 3 2 3" xfId="48205" xr:uid="{8E2FDEE2-B9AF-49E4-B74C-989908952BD3}"/>
    <cellStyle name="Normal 8 3 6 3 3" xfId="23066" xr:uid="{61940BD0-B366-4F30-A4E9-DA13059072BB}"/>
    <cellStyle name="Normal 8 3 6 3 4" xfId="39825" xr:uid="{10EB9881-DFD0-4197-A234-5089A7BEEC2E}"/>
    <cellStyle name="Normal 8 3 6 4" xfId="3042" xr:uid="{2E320E3E-8EEB-4FDC-881B-D9DD89E7C194}"/>
    <cellStyle name="Normal 8 3 6 4 2" xfId="11422" xr:uid="{7BA60158-8BCD-43A4-8D83-1C1CF5F3A669}"/>
    <cellStyle name="Normal 8 3 6 4 2 2" xfId="28182" xr:uid="{F37BEBC6-F928-4494-9636-98507BC50F0C}"/>
    <cellStyle name="Normal 8 3 6 4 2 3" xfId="44941" xr:uid="{33C1F058-5C3B-4C8B-9525-8412931B1459}"/>
    <cellStyle name="Normal 8 3 6 4 3" xfId="19802" xr:uid="{AB69AED3-31DB-4D29-9070-A7BE863A71D0}"/>
    <cellStyle name="Normal 8 3 6 4 4" xfId="36561" xr:uid="{C9932F8B-4130-449B-A9ED-3588C74BD0DB}"/>
    <cellStyle name="Normal 8 3 6 5" xfId="9619" xr:uid="{BD8A0796-9A8B-47CF-A679-AC9FBA42D525}"/>
    <cellStyle name="Normal 8 3 6 5 2" xfId="26379" xr:uid="{04A86442-38C4-4F48-B679-B5C57E984187}"/>
    <cellStyle name="Normal 8 3 6 5 3" xfId="43138" xr:uid="{09A47D37-D42C-4E3A-957D-D28EA3D7A6D5}"/>
    <cellStyle name="Normal 8 3 6 6" xfId="17999" xr:uid="{17370808-AEF0-40F0-AA1F-36CE5FD41086}"/>
    <cellStyle name="Normal 8 3 6 7" xfId="34758" xr:uid="{98FA3F15-CA6C-49F1-BE11-96B05FAE3EAD}"/>
    <cellStyle name="Normal 8 3 7" xfId="1706" xr:uid="{D15BC3C5-578B-49E6-8FD6-674F26A5169E}"/>
    <cellStyle name="Normal 8 3 7 2" xfId="5095" xr:uid="{617C2888-2225-422F-91D1-3D72A91CA136}"/>
    <cellStyle name="Normal 8 3 7 2 2" xfId="13475" xr:uid="{72F90B94-0FEC-4C5C-9AD2-F3E9E224F8FB}"/>
    <cellStyle name="Normal 8 3 7 2 2 2" xfId="30235" xr:uid="{88F6C607-C56A-4DEA-AC3B-DB9DE7E959E1}"/>
    <cellStyle name="Normal 8 3 7 2 2 3" xfId="46994" xr:uid="{7FD22AB4-8F37-4F41-9534-7991D5EA6E44}"/>
    <cellStyle name="Normal 8 3 7 2 3" xfId="21855" xr:uid="{2AA21458-3042-4926-BD19-98D621659658}"/>
    <cellStyle name="Normal 8 3 7 2 4" xfId="38614" xr:uid="{7E29EA5A-4C4C-47E7-A4F4-FCACBAD5A368}"/>
    <cellStyle name="Normal 8 3 7 3" xfId="6782" xr:uid="{7B4ADC00-5696-4AF9-BB7E-D2227F6DC03F}"/>
    <cellStyle name="Normal 8 3 7 3 2" xfId="15162" xr:uid="{1F0C4F49-96E1-46CB-8908-23C206E3C885}"/>
    <cellStyle name="Normal 8 3 7 3 2 2" xfId="31922" xr:uid="{FAA36436-9F12-447B-B0A9-16712EF90D6E}"/>
    <cellStyle name="Normal 8 3 7 3 2 3" xfId="48681" xr:uid="{C691DFEC-1932-4F67-B57A-1419E222DE07}"/>
    <cellStyle name="Normal 8 3 7 3 3" xfId="23542" xr:uid="{D4D485B0-B514-40BF-AA5F-7CB4A7F4D890}"/>
    <cellStyle name="Normal 8 3 7 3 4" xfId="40301" xr:uid="{899C19A2-A0D1-43AE-99BA-E4B541C832BD}"/>
    <cellStyle name="Normal 8 3 7 4" xfId="2181" xr:uid="{97BB9908-FF42-40A3-9CF0-B4E39F7AACF4}"/>
    <cellStyle name="Normal 8 3 7 4 2" xfId="10568" xr:uid="{23ADE74B-4876-4099-867F-A777F6FF3C23}"/>
    <cellStyle name="Normal 8 3 7 4 2 2" xfId="27328" xr:uid="{49F35185-526C-454E-9077-E836DFECDB41}"/>
    <cellStyle name="Normal 8 3 7 4 2 3" xfId="44087" xr:uid="{22D5B327-90DD-4153-9E60-58C0B0671753}"/>
    <cellStyle name="Normal 8 3 7 4 3" xfId="18948" xr:uid="{291EF48C-77DE-4C08-8307-636CB7EB6EE2}"/>
    <cellStyle name="Normal 8 3 7 4 4" xfId="35707" xr:uid="{C338B770-9515-4D93-81AB-E72D6F6698CF}"/>
    <cellStyle name="Normal 8 3 7 5" xfId="10095" xr:uid="{0C2E48F0-7A3C-416F-8EEC-2069A01B190E}"/>
    <cellStyle name="Normal 8 3 7 5 2" xfId="26855" xr:uid="{6B27B804-81BD-49BF-BE5D-79AAB835D0B0}"/>
    <cellStyle name="Normal 8 3 7 5 3" xfId="43614" xr:uid="{BA903F1A-CE7F-442B-A3F3-A373016B37CD}"/>
    <cellStyle name="Normal 8 3 7 6" xfId="18475" xr:uid="{31D10506-E491-46D6-BF0A-B9441152FE07}"/>
    <cellStyle name="Normal 8 3 7 7" xfId="35234" xr:uid="{6FBC90F1-3AD0-4C68-B5F9-C217555B4BE2}"/>
    <cellStyle name="Normal 8 3 8" xfId="3824" xr:uid="{9066B21A-1D8C-4152-832D-20E1DCE0A2B5}"/>
    <cellStyle name="Normal 8 3 8 2" xfId="12204" xr:uid="{13087F4A-2FEC-4D28-BC3D-BBC8B70D6672}"/>
    <cellStyle name="Normal 8 3 8 2 2" xfId="28964" xr:uid="{65075943-96FB-41D5-86A7-C53A287315AB}"/>
    <cellStyle name="Normal 8 3 8 2 3" xfId="45723" xr:uid="{10761D31-1C08-4BBE-8DBD-93BC6447E616}"/>
    <cellStyle name="Normal 8 3 8 3" xfId="20584" xr:uid="{CFE34FEB-79C1-40A5-9D88-1E8D7BC395DC}"/>
    <cellStyle name="Normal 8 3 8 4" xfId="37343" xr:uid="{8729B32A-2611-489A-B0C8-F15E2B97C52E}"/>
    <cellStyle name="Normal 8 3 9" xfId="5452" xr:uid="{CE0A77E1-FD44-42FC-816F-2A3091A12B8F}"/>
    <cellStyle name="Normal 8 3 9 2" xfId="13832" xr:uid="{B960187E-3EE1-4B44-9916-0106B5FCA0F8}"/>
    <cellStyle name="Normal 8 3 9 2 2" xfId="30592" xr:uid="{64E7136F-F3AD-4BDB-8C15-BDC18A8D5D0E}"/>
    <cellStyle name="Normal 8 3 9 2 3" xfId="47351" xr:uid="{E7D00BD8-F47B-414A-B749-02D71997F928}"/>
    <cellStyle name="Normal 8 3 9 3" xfId="22212" xr:uid="{7E8DEC36-BC0A-4E57-9B6E-72B8D5F66DE4}"/>
    <cellStyle name="Normal 8 3 9 4" xfId="38971" xr:uid="{B0EE904B-C048-457A-8141-76F1EBE5F214}"/>
    <cellStyle name="Normal 8 4" xfId="347" xr:uid="{E31F43F1-113F-4DC4-87F8-E8A93BCDCD67}"/>
    <cellStyle name="Normal 8 4 10" xfId="7595" xr:uid="{9688D43B-6391-4DC2-A460-7FDBA8A1C65B}"/>
    <cellStyle name="Normal 8 4 10 2" xfId="15975" xr:uid="{72517DAB-E327-4B65-B3AE-1CA4BC809464}"/>
    <cellStyle name="Normal 8 4 10 2 2" xfId="32735" xr:uid="{2F3F3D51-1003-420B-BAD3-9C1DB90693A4}"/>
    <cellStyle name="Normal 8 4 10 2 3" xfId="49494" xr:uid="{0776C4CC-3F1C-4023-A54E-6D4A143B2E21}"/>
    <cellStyle name="Normal 8 4 10 3" xfId="24355" xr:uid="{63AAB6BF-9804-4014-A034-2B1718B3CF19}"/>
    <cellStyle name="Normal 8 4 10 4" xfId="41114" xr:uid="{FF0B4CD5-0AAE-4E4B-877E-78C22BCDA699}"/>
    <cellStyle name="Normal 8 4 11" xfId="8001" xr:uid="{AD77BEF8-C3D9-48DD-9093-C43BF4F7D44D}"/>
    <cellStyle name="Normal 8 4 11 2" xfId="16381" xr:uid="{80D63177-FB43-40EE-8445-3E361003F635}"/>
    <cellStyle name="Normal 8 4 11 2 2" xfId="33141" xr:uid="{E414E036-0161-47A0-BD66-894AC46EC161}"/>
    <cellStyle name="Normal 8 4 11 2 3" xfId="49900" xr:uid="{686A0AE3-67D0-4517-BD38-DAF69EA8E062}"/>
    <cellStyle name="Normal 8 4 11 3" xfId="24761" xr:uid="{86AB6CDB-CB8B-4715-BF2B-2514CD2CB818}"/>
    <cellStyle name="Normal 8 4 11 4" xfId="41520" xr:uid="{CFB2B4BB-BA8D-478D-9CE7-C61647B1DD7E}"/>
    <cellStyle name="Normal 8 4 12" xfId="8407" xr:uid="{98CC1603-64B9-4EEB-9B28-72EAE574BA66}"/>
    <cellStyle name="Normal 8 4 12 2" xfId="16787" xr:uid="{081D6E2B-90AF-4D60-A706-F673034C33F7}"/>
    <cellStyle name="Normal 8 4 12 2 2" xfId="33547" xr:uid="{BD7924E8-331F-421A-B949-DE735A220DE2}"/>
    <cellStyle name="Normal 8 4 12 2 3" xfId="50306" xr:uid="{7EAEA3F8-97BA-4AA0-99B4-A98E6D7F2DBB}"/>
    <cellStyle name="Normal 8 4 12 3" xfId="25167" xr:uid="{564FD437-783F-4285-9645-3EEA70737FBE}"/>
    <cellStyle name="Normal 8 4 12 4" xfId="41926" xr:uid="{2C1C269E-ABC3-43F9-A274-27F87A78346B}"/>
    <cellStyle name="Normal 8 4 13" xfId="2077" xr:uid="{8C10852E-9704-4BF3-82BD-64B2DCA030CC}"/>
    <cellStyle name="Normal 8 4 13 2" xfId="10465" xr:uid="{93C5F507-FBE5-4A9A-A8C5-AA10A976D94E}"/>
    <cellStyle name="Normal 8 4 13 2 2" xfId="27225" xr:uid="{6737885D-2F12-4FF5-B212-F8A724E4FF92}"/>
    <cellStyle name="Normal 8 4 13 2 3" xfId="43984" xr:uid="{40293CDB-C55E-4B7A-BFBD-D32EAF66D558}"/>
    <cellStyle name="Normal 8 4 13 3" xfId="18845" xr:uid="{1CCF50BB-1F11-4D1F-A2C6-62F55C05B2CE}"/>
    <cellStyle name="Normal 8 4 13 4" xfId="35604" xr:uid="{5F8A888C-DE8D-4835-A306-BCDF8E248C5B}"/>
    <cellStyle name="Normal 8 4 14" xfId="8811" xr:uid="{16BFB72D-3F33-4AB4-B2E0-CA48A73F2805}"/>
    <cellStyle name="Normal 8 4 14 2" xfId="25571" xr:uid="{79A2284F-36D3-43C8-AFD5-5150F061B434}"/>
    <cellStyle name="Normal 8 4 14 3" xfId="42330" xr:uid="{1524257C-3305-47BB-9065-F7F29826E214}"/>
    <cellStyle name="Normal 8 4 15" xfId="17191" xr:uid="{F008EB60-5921-4790-B768-CC5BA2A2A384}"/>
    <cellStyle name="Normal 8 4 16" xfId="33950" xr:uid="{83925A67-56AD-4896-B9FC-A11056E4634E}"/>
    <cellStyle name="Normal 8 4 2" xfId="712" xr:uid="{F565EBB1-F265-495B-B147-30FC3F8555D7}"/>
    <cellStyle name="Normal 8 4 2 10" xfId="8579" xr:uid="{0A634D94-D943-43A1-8380-D898959A8719}"/>
    <cellStyle name="Normal 8 4 2 10 2" xfId="16959" xr:uid="{BA8BD7CA-D528-4C28-9112-998C8219C9DC}"/>
    <cellStyle name="Normal 8 4 2 10 2 2" xfId="33719" xr:uid="{4D82C354-6872-4E38-8D46-BDC3F032CFB8}"/>
    <cellStyle name="Normal 8 4 2 10 2 3" xfId="50478" xr:uid="{46361BBF-4451-4815-A44B-7B1468A725F1}"/>
    <cellStyle name="Normal 8 4 2 10 3" xfId="25339" xr:uid="{B429725F-EC41-48A3-A315-AAD077924CDD}"/>
    <cellStyle name="Normal 8 4 2 10 4" xfId="42098" xr:uid="{2853ABFF-FDEA-4BDD-A68F-B492DE8619ED}"/>
    <cellStyle name="Normal 8 4 2 11" xfId="2541" xr:uid="{8A258B5F-5A05-4AF1-A46E-01A05685ADAF}"/>
    <cellStyle name="Normal 8 4 2 11 2" xfId="10923" xr:uid="{1E17D1C5-878B-4BA6-8BAF-F8E295D45891}"/>
    <cellStyle name="Normal 8 4 2 11 2 2" xfId="27683" xr:uid="{FC4DE644-920B-4AA4-BB1E-25711202573A}"/>
    <cellStyle name="Normal 8 4 2 11 2 3" xfId="44442" xr:uid="{3447F6C4-2D04-4371-B7E2-976C50AF7F8E}"/>
    <cellStyle name="Normal 8 4 2 11 3" xfId="19303" xr:uid="{E2FB1711-A780-4331-9913-F21BE85C023B}"/>
    <cellStyle name="Normal 8 4 2 11 4" xfId="36062" xr:uid="{E6A8ADB2-D1FA-4E20-ACDE-2DBB369831B3}"/>
    <cellStyle name="Normal 8 4 2 12" xfId="9120" xr:uid="{D533E2E2-7E40-4AC0-9338-C3B38CE3AEB9}"/>
    <cellStyle name="Normal 8 4 2 12 2" xfId="25880" xr:uid="{CA31BDB2-8BF1-4227-BBF1-FF8FA61A80C1}"/>
    <cellStyle name="Normal 8 4 2 12 3" xfId="42639" xr:uid="{21B46F26-DE56-480A-8EAD-2B007F74FB7B}"/>
    <cellStyle name="Normal 8 4 2 13" xfId="17500" xr:uid="{CE3F74F2-C1F0-4374-9C7B-EC9DFCA0D222}"/>
    <cellStyle name="Normal 8 4 2 14" xfId="34259" xr:uid="{9DB2F63E-0600-4EE1-A492-C1BDB3C0EA3B}"/>
    <cellStyle name="Normal 8 4 2 2" xfId="1151" xr:uid="{40499F69-62B8-4501-8C92-96CFE1D64D04}"/>
    <cellStyle name="Normal 8 4 2 2 2" xfId="4546" xr:uid="{7A7630FF-7A3B-458C-BFF4-D7B1B3D28F25}"/>
    <cellStyle name="Normal 8 4 2 2 2 2" xfId="12926" xr:uid="{26A55772-A085-4308-98E0-CC956E3F0C55}"/>
    <cellStyle name="Normal 8 4 2 2 2 2 2" xfId="29686" xr:uid="{91CB0BBE-02AC-4CA5-BBFE-6B095490D262}"/>
    <cellStyle name="Normal 8 4 2 2 2 2 3" xfId="46445" xr:uid="{8EE83F12-6190-4012-8755-257BC9149E26}"/>
    <cellStyle name="Normal 8 4 2 2 2 3" xfId="21306" xr:uid="{6921FA58-94C5-4671-B09C-1E0C66E24305}"/>
    <cellStyle name="Normal 8 4 2 2 2 4" xfId="38065" xr:uid="{504B6482-545D-4FAF-8CD4-A15CA7CB0B7A}"/>
    <cellStyle name="Normal 8 4 2 2 3" xfId="6233" xr:uid="{C2004437-CB6D-4C3E-841C-4B17FA0832FD}"/>
    <cellStyle name="Normal 8 4 2 2 3 2" xfId="14613" xr:uid="{C430B8D5-B45A-4CB5-AD9F-4174C7ADD32E}"/>
    <cellStyle name="Normal 8 4 2 2 3 2 2" xfId="31373" xr:uid="{48EA4660-FCE2-4C20-A04C-02F7413CCF7C}"/>
    <cellStyle name="Normal 8 4 2 2 3 2 3" xfId="48132" xr:uid="{FFFA00E3-7A11-4C99-97EC-D0FE2A68D545}"/>
    <cellStyle name="Normal 8 4 2 2 3 3" xfId="22993" xr:uid="{5B80AA32-F9E0-4DF1-ABBC-985E3EA2363E}"/>
    <cellStyle name="Normal 8 4 2 2 3 4" xfId="39752" xr:uid="{F288BE18-FC86-47FA-BB5A-1411651E95B6}"/>
    <cellStyle name="Normal 8 4 2 2 4" xfId="2969" xr:uid="{D5C59801-40C7-4234-AE18-B59CD13FE617}"/>
    <cellStyle name="Normal 8 4 2 2 4 2" xfId="11349" xr:uid="{37259993-A766-4083-AD04-5895CD2BBD1F}"/>
    <cellStyle name="Normal 8 4 2 2 4 2 2" xfId="28109" xr:uid="{A7287ABD-902C-404F-B1CD-B4888C531FC1}"/>
    <cellStyle name="Normal 8 4 2 2 4 2 3" xfId="44868" xr:uid="{3631DF71-4C71-4569-9F32-2789E72A0A2E}"/>
    <cellStyle name="Normal 8 4 2 2 4 3" xfId="19729" xr:uid="{CC43C801-BDB7-46D2-BB42-CC9CD1929045}"/>
    <cellStyle name="Normal 8 4 2 2 4 4" xfId="36488" xr:uid="{283FE121-8BA1-41BB-BD4A-8F19FCFD5485}"/>
    <cellStyle name="Normal 8 4 2 2 5" xfId="9546" xr:uid="{720CF0E5-3B83-4BD8-9EFF-B28B9A4CAB7D}"/>
    <cellStyle name="Normal 8 4 2 2 5 2" xfId="26306" xr:uid="{F4BDB039-C6AD-4EF9-AD90-AA1E92D319C3}"/>
    <cellStyle name="Normal 8 4 2 2 5 3" xfId="43065" xr:uid="{3E0353CE-E294-4E54-ACE6-755B4316D45C}"/>
    <cellStyle name="Normal 8 4 2 2 6" xfId="17926" xr:uid="{2704B060-195B-490E-9C79-D3D2C3A395B0}"/>
    <cellStyle name="Normal 8 4 2 2 7" xfId="34685" xr:uid="{8EF10A49-C412-4F47-A885-F18428185CB1}"/>
    <cellStyle name="Normal 8 4 2 3" xfId="1585" xr:uid="{B9D577D8-55F5-4B33-9439-6CC412F6E44F}"/>
    <cellStyle name="Normal 8 4 2 3 2" xfId="4974" xr:uid="{CDC9C8E2-2A7F-4FCC-B8D9-D43BA629E85A}"/>
    <cellStyle name="Normal 8 4 2 3 2 2" xfId="13354" xr:uid="{BD91B0DC-312D-466C-B152-1CA794CAAC59}"/>
    <cellStyle name="Normal 8 4 2 3 2 2 2" xfId="30114" xr:uid="{D929AC6F-BD6D-47DD-882C-93459E527542}"/>
    <cellStyle name="Normal 8 4 2 3 2 2 3" xfId="46873" xr:uid="{E229A561-1647-48CD-8DD7-3AE5733F8BCF}"/>
    <cellStyle name="Normal 8 4 2 3 2 3" xfId="21734" xr:uid="{74B29002-DEFC-44DF-A7A0-6E9FCDB85DA8}"/>
    <cellStyle name="Normal 8 4 2 3 2 4" xfId="38493" xr:uid="{77607B26-F852-4F63-BC56-C688EEAA5D41}"/>
    <cellStyle name="Normal 8 4 2 3 3" xfId="6661" xr:uid="{6C6D28EE-5D82-4282-819B-B00FCE44926F}"/>
    <cellStyle name="Normal 8 4 2 3 3 2" xfId="15041" xr:uid="{BAD8F378-09A5-4E2C-8950-AB535C333E5E}"/>
    <cellStyle name="Normal 8 4 2 3 3 2 2" xfId="31801" xr:uid="{6B558BE8-BF4F-44E4-B92E-4F1BA713F086}"/>
    <cellStyle name="Normal 8 4 2 3 3 2 3" xfId="48560" xr:uid="{97B2685F-8C5B-4684-9148-DE62F8FAB649}"/>
    <cellStyle name="Normal 8 4 2 3 3 3" xfId="23421" xr:uid="{C1531752-6D72-4D23-8E2B-C83FE9F9BE1E}"/>
    <cellStyle name="Normal 8 4 2 3 3 4" xfId="40180" xr:uid="{97E9A4DD-6D7B-4545-865A-BD789A1218E7}"/>
    <cellStyle name="Normal 8 4 2 3 4" xfId="3397" xr:uid="{417B92A1-2149-4E42-9019-765F67374337}"/>
    <cellStyle name="Normal 8 4 2 3 4 2" xfId="11777" xr:uid="{C2A5B489-D30D-4339-9C54-EA44CA1C7336}"/>
    <cellStyle name="Normal 8 4 2 3 4 2 2" xfId="28537" xr:uid="{E97FDCFB-114E-4EBD-BFEF-ADFF8027DFD4}"/>
    <cellStyle name="Normal 8 4 2 3 4 2 3" xfId="45296" xr:uid="{2EA7400D-4F8D-4364-B86F-01D6DDEB83B9}"/>
    <cellStyle name="Normal 8 4 2 3 4 3" xfId="20157" xr:uid="{05C32833-CE77-4805-9D34-3BC62B8F4B80}"/>
    <cellStyle name="Normal 8 4 2 3 4 4" xfId="36916" xr:uid="{CEF9A819-8FEB-41DA-A2F1-ED36EABDBE60}"/>
    <cellStyle name="Normal 8 4 2 3 5" xfId="9974" xr:uid="{2FADC0D1-0446-435F-B0C5-951090C91343}"/>
    <cellStyle name="Normal 8 4 2 3 5 2" xfId="26734" xr:uid="{09CE9C05-71F2-4F72-935F-63317B73878D}"/>
    <cellStyle name="Normal 8 4 2 3 5 3" xfId="43493" xr:uid="{D529C0F2-5BD1-41B8-A4F1-4F762BCB1508}"/>
    <cellStyle name="Normal 8 4 2 3 6" xfId="18354" xr:uid="{E8D58D84-DDBE-4057-A459-7CA3C86E763F}"/>
    <cellStyle name="Normal 8 4 2 3 7" xfId="35113" xr:uid="{8B61BB90-B7EA-48BD-ADE8-562D9D0DD20F}"/>
    <cellStyle name="Normal 8 4 2 4" xfId="1879" xr:uid="{170E91F1-02C4-4312-A2A1-7E56BAA2CF30}"/>
    <cellStyle name="Normal 8 4 2 4 2" xfId="5268" xr:uid="{8F799B79-7279-4C4E-9D39-5B11D31D5C66}"/>
    <cellStyle name="Normal 8 4 2 4 2 2" xfId="13648" xr:uid="{4E7EBF88-61A7-4A48-A7A6-BDD33C6425CD}"/>
    <cellStyle name="Normal 8 4 2 4 2 2 2" xfId="30408" xr:uid="{1883C4AC-6590-4901-9C3C-0B7A30A6DBD8}"/>
    <cellStyle name="Normal 8 4 2 4 2 2 3" xfId="47167" xr:uid="{AC44CB74-7779-4B3F-A006-9B3947A8B03B}"/>
    <cellStyle name="Normal 8 4 2 4 2 3" xfId="22028" xr:uid="{AD6B1631-146F-4ABD-BA7D-039D0CD469A1}"/>
    <cellStyle name="Normal 8 4 2 4 2 4" xfId="38787" xr:uid="{D77FD6A6-0892-4DCA-BF80-46F9C63C6207}"/>
    <cellStyle name="Normal 8 4 2 4 3" xfId="6955" xr:uid="{19272624-6378-4CE1-8988-BA9496332B60}"/>
    <cellStyle name="Normal 8 4 2 4 3 2" xfId="15335" xr:uid="{2E339A6E-9C47-40B8-A3F0-1249B1A1FFB1}"/>
    <cellStyle name="Normal 8 4 2 4 3 2 2" xfId="32095" xr:uid="{50CFAD9F-9C22-4A8D-A0F3-E5EEF0C01223}"/>
    <cellStyle name="Normal 8 4 2 4 3 2 3" xfId="48854" xr:uid="{042D0613-9A05-45AA-92A2-10EFA9889085}"/>
    <cellStyle name="Normal 8 4 2 4 3 3" xfId="23715" xr:uid="{E970C483-464A-43FE-B521-5ED321D1C06D}"/>
    <cellStyle name="Normal 8 4 2 4 3 4" xfId="40474" xr:uid="{3FACF97F-C1DF-4179-8528-1FCB4C46DDFB}"/>
    <cellStyle name="Normal 8 4 2 4 4" xfId="3578" xr:uid="{42EE6723-63EE-4067-8B4C-829937F5478E}"/>
    <cellStyle name="Normal 8 4 2 4 4 2" xfId="11958" xr:uid="{D78359C8-CC2F-4663-92DE-DF04C2CFA05F}"/>
    <cellStyle name="Normal 8 4 2 4 4 2 2" xfId="28718" xr:uid="{253813E8-12E5-4DA1-A41B-74D41DBFEDDC}"/>
    <cellStyle name="Normal 8 4 2 4 4 2 3" xfId="45477" xr:uid="{6F4A2BDB-9575-4F73-B755-DC67B1C79A17}"/>
    <cellStyle name="Normal 8 4 2 4 4 3" xfId="20338" xr:uid="{F8F2A1C3-01C2-4536-932A-E55DD472E8BD}"/>
    <cellStyle name="Normal 8 4 2 4 4 4" xfId="37097" xr:uid="{A92EE11C-FBD7-4A4E-9DBA-531100294EC4}"/>
    <cellStyle name="Normal 8 4 2 4 5" xfId="10268" xr:uid="{077CE911-BB3D-446E-B5CE-59549C909F94}"/>
    <cellStyle name="Normal 8 4 2 4 5 2" xfId="27028" xr:uid="{7627707C-598A-4809-AB6C-F0B76A610FB3}"/>
    <cellStyle name="Normal 8 4 2 4 5 3" xfId="43787" xr:uid="{AC32569C-3417-4142-9CE1-50B83E30A55E}"/>
    <cellStyle name="Normal 8 4 2 4 6" xfId="18648" xr:uid="{A9CED043-F249-413E-ADDF-094C65EA4944}"/>
    <cellStyle name="Normal 8 4 2 4 7" xfId="35407" xr:uid="{4052B7CD-EBA8-4C3E-B684-B9A12CFE2145}"/>
    <cellStyle name="Normal 8 4 2 5" xfId="3998" xr:uid="{2B28EE2A-4FF2-4E3B-A135-E7D8D9B3D0B0}"/>
    <cellStyle name="Normal 8 4 2 5 2" xfId="12378" xr:uid="{BA4A3017-8548-4298-8A82-9681EBECBCC7}"/>
    <cellStyle name="Normal 8 4 2 5 2 2" xfId="29138" xr:uid="{627ACE11-3DB6-4AF3-893C-F91EDD3A31F1}"/>
    <cellStyle name="Normal 8 4 2 5 2 3" xfId="45897" xr:uid="{D93238F2-733E-4FA2-A685-F63BAE167D76}"/>
    <cellStyle name="Normal 8 4 2 5 3" xfId="20758" xr:uid="{F952713A-33F5-4F07-92ED-52A4D7AFB1FC}"/>
    <cellStyle name="Normal 8 4 2 5 4" xfId="37517" xr:uid="{9A1692F7-7E40-416C-A6F8-64FC17359F55}"/>
    <cellStyle name="Normal 8 4 2 6" xfId="5807" xr:uid="{98F0832F-5C1F-488B-A41E-53C9940FAF54}"/>
    <cellStyle name="Normal 8 4 2 6 2" xfId="14187" xr:uid="{B0B48438-A073-419E-804E-D7B859372B5E}"/>
    <cellStyle name="Normal 8 4 2 6 2 2" xfId="30947" xr:uid="{61617983-C594-41DC-A1B8-62912A1F856D}"/>
    <cellStyle name="Normal 8 4 2 6 2 3" xfId="47706" xr:uid="{DE755FDC-2CF5-4EA7-A03C-80139EAC2A39}"/>
    <cellStyle name="Normal 8 4 2 6 3" xfId="22567" xr:uid="{DF068E3F-6C66-48C1-8F33-7F2E0733CCF0}"/>
    <cellStyle name="Normal 8 4 2 6 4" xfId="39326" xr:uid="{42A6F58D-7E7D-4F42-8C7D-B9C6A8B286FE}"/>
    <cellStyle name="Normal 8 4 2 7" xfId="7361" xr:uid="{69AEDCDE-B0FD-4D93-8096-59A347D328ED}"/>
    <cellStyle name="Normal 8 4 2 7 2" xfId="15741" xr:uid="{AF110302-7897-4820-B340-97BA362C1D25}"/>
    <cellStyle name="Normal 8 4 2 7 2 2" xfId="32501" xr:uid="{E5764027-A556-41AD-8B95-1E4CFB4016E6}"/>
    <cellStyle name="Normal 8 4 2 7 2 3" xfId="49260" xr:uid="{B582AA02-E75C-4B2B-80A7-F1C709A75321}"/>
    <cellStyle name="Normal 8 4 2 7 3" xfId="24121" xr:uid="{EA00ED5D-6F1F-4F4A-AE9A-EFCA226A81E9}"/>
    <cellStyle name="Normal 8 4 2 7 4" xfId="40880" xr:uid="{41622A90-1DA6-4437-AC75-994C7EB28388}"/>
    <cellStyle name="Normal 8 4 2 8" xfId="7767" xr:uid="{56FFB3D1-3DFB-416A-A9CC-8FC65D20FC4C}"/>
    <cellStyle name="Normal 8 4 2 8 2" xfId="16147" xr:uid="{F6817097-F5C0-4067-89C9-CFE8CC6DEA39}"/>
    <cellStyle name="Normal 8 4 2 8 2 2" xfId="32907" xr:uid="{02457B69-9A12-4969-9E44-AF90407AB008}"/>
    <cellStyle name="Normal 8 4 2 8 2 3" xfId="49666" xr:uid="{339007AF-2EDD-403F-BFE6-176785B39769}"/>
    <cellStyle name="Normal 8 4 2 8 3" xfId="24527" xr:uid="{D478186F-2A84-4A9D-9A10-70FDB297D398}"/>
    <cellStyle name="Normal 8 4 2 8 4" xfId="41286" xr:uid="{7F5F6DD9-8217-4996-A3F2-0E9CCF51739B}"/>
    <cellStyle name="Normal 8 4 2 9" xfId="8173" xr:uid="{D6B072FA-7EB4-4217-A41F-4757C04BDFC7}"/>
    <cellStyle name="Normal 8 4 2 9 2" xfId="16553" xr:uid="{D3B0067E-7242-4431-9AB5-52F865F575AD}"/>
    <cellStyle name="Normal 8 4 2 9 2 2" xfId="33313" xr:uid="{63CA1976-F68A-4A95-9235-CB824A68904F}"/>
    <cellStyle name="Normal 8 4 2 9 2 3" xfId="50072" xr:uid="{D6BC3261-AE57-49A4-A629-CC1D001D50A2}"/>
    <cellStyle name="Normal 8 4 2 9 3" xfId="24933" xr:uid="{F807F1E2-D0A4-4A30-B219-70B8293AEA87}"/>
    <cellStyle name="Normal 8 4 2 9 4" xfId="41692" xr:uid="{1911A6B6-B183-4F2E-8F01-4CAF0F132E28}"/>
    <cellStyle name="Normal 8 4 3" xfId="713" xr:uid="{51D61BFA-1A84-445A-B0FA-EE0270E25612}"/>
    <cellStyle name="Normal 8 4 3 10" xfId="8678" xr:uid="{0F786273-0537-40E8-AA03-9DFCE4D7C4C1}"/>
    <cellStyle name="Normal 8 4 3 10 2" xfId="17058" xr:uid="{1F3BE10B-C402-463C-8254-E9549E61B1DF}"/>
    <cellStyle name="Normal 8 4 3 10 2 2" xfId="33818" xr:uid="{3F014B31-B0E5-4DB9-9B34-0EDD1F080A45}"/>
    <cellStyle name="Normal 8 4 3 10 2 3" xfId="50577" xr:uid="{1CB83939-818E-46A2-A0AB-E98CB81329F0}"/>
    <cellStyle name="Normal 8 4 3 10 3" xfId="25438" xr:uid="{6FC436B4-E47B-4241-B08E-28F5C1A23972}"/>
    <cellStyle name="Normal 8 4 3 10 4" xfId="42197" xr:uid="{10DFD3DA-0E95-4E98-8137-2124F4B43908}"/>
    <cellStyle name="Normal 8 4 3 11" xfId="2542" xr:uid="{62B9DB3C-E2E7-4BCB-B350-0B547DFAFDF7}"/>
    <cellStyle name="Normal 8 4 3 11 2" xfId="10924" xr:uid="{280477E1-2A33-4C1E-B3AF-A249A0705BE6}"/>
    <cellStyle name="Normal 8 4 3 11 2 2" xfId="27684" xr:uid="{63922F58-66D3-4C4E-BA48-1A64B7B5B8C8}"/>
    <cellStyle name="Normal 8 4 3 11 2 3" xfId="44443" xr:uid="{CBA980C2-14D3-43FD-90C6-A596CB57A992}"/>
    <cellStyle name="Normal 8 4 3 11 3" xfId="19304" xr:uid="{AAC64684-C8DE-4222-9371-2568465D8AB5}"/>
    <cellStyle name="Normal 8 4 3 11 4" xfId="36063" xr:uid="{674A2DF8-D0C1-4EBB-B36C-ADC07D0DAC0C}"/>
    <cellStyle name="Normal 8 4 3 12" xfId="9121" xr:uid="{B06DD3C9-7708-44B5-9488-91FE68761849}"/>
    <cellStyle name="Normal 8 4 3 12 2" xfId="25881" xr:uid="{E16A6C82-CEBF-49C9-B238-B6A4DB29B5C2}"/>
    <cellStyle name="Normal 8 4 3 12 3" xfId="42640" xr:uid="{C41271DB-21DB-4898-8344-806E0AC0AB4C}"/>
    <cellStyle name="Normal 8 4 3 13" xfId="17501" xr:uid="{6F3F1D46-60F0-43EE-AFA8-A71FD1AC607B}"/>
    <cellStyle name="Normal 8 4 3 14" xfId="34260" xr:uid="{C96370FF-A90C-4DF9-A39F-FAB62FE46995}"/>
    <cellStyle name="Normal 8 4 3 2" xfId="1152" xr:uid="{8DF987AB-369D-41C6-B51A-D6A34930B58A}"/>
    <cellStyle name="Normal 8 4 3 2 2" xfId="4547" xr:uid="{EDB083BC-ABB8-4F67-9781-F683F0A5EF5E}"/>
    <cellStyle name="Normal 8 4 3 2 2 2" xfId="12927" xr:uid="{D3096026-4B9B-4FC7-A681-BFBFF452AB19}"/>
    <cellStyle name="Normal 8 4 3 2 2 2 2" xfId="29687" xr:uid="{B5C1C38A-C4A2-4CC8-9790-A18829C5E4F2}"/>
    <cellStyle name="Normal 8 4 3 2 2 2 3" xfId="46446" xr:uid="{02BBDF5D-F063-4E21-86E9-4762B9FE8F24}"/>
    <cellStyle name="Normal 8 4 3 2 2 3" xfId="21307" xr:uid="{A2D29E30-6DB5-473F-B45B-D0FF659DB445}"/>
    <cellStyle name="Normal 8 4 3 2 2 4" xfId="38066" xr:uid="{C1BB2E0B-00A8-4B2A-8D54-2F875F812348}"/>
    <cellStyle name="Normal 8 4 3 2 3" xfId="6234" xr:uid="{B32255A7-B0E1-4CD6-B40C-D85CBA241F22}"/>
    <cellStyle name="Normal 8 4 3 2 3 2" xfId="14614" xr:uid="{41B73612-7BAB-421F-9580-173C312D3FAA}"/>
    <cellStyle name="Normal 8 4 3 2 3 2 2" xfId="31374" xr:uid="{89D5D3BE-411B-4BD4-8983-D588003BDD10}"/>
    <cellStyle name="Normal 8 4 3 2 3 2 3" xfId="48133" xr:uid="{E91C789F-99F4-43D2-81B5-E2F167A83CAF}"/>
    <cellStyle name="Normal 8 4 3 2 3 3" xfId="22994" xr:uid="{14413C8A-9C68-44AB-ADF6-CCF65855027D}"/>
    <cellStyle name="Normal 8 4 3 2 3 4" xfId="39753" xr:uid="{ABF226EF-1027-4383-81D9-757A4612B07A}"/>
    <cellStyle name="Normal 8 4 3 2 4" xfId="2970" xr:uid="{DB3019B6-87D0-47B3-B5CC-D5387CABBBE4}"/>
    <cellStyle name="Normal 8 4 3 2 4 2" xfId="11350" xr:uid="{A431D379-363E-4962-882B-583FF563EF3D}"/>
    <cellStyle name="Normal 8 4 3 2 4 2 2" xfId="28110" xr:uid="{7B6428AC-F056-48B2-98BC-64AA2C1D0B80}"/>
    <cellStyle name="Normal 8 4 3 2 4 2 3" xfId="44869" xr:uid="{F1FEFCA8-4425-4273-8825-0F38FB95E570}"/>
    <cellStyle name="Normal 8 4 3 2 4 3" xfId="19730" xr:uid="{BAC30305-98DD-404F-8BF7-9F40269DC31C}"/>
    <cellStyle name="Normal 8 4 3 2 4 4" xfId="36489" xr:uid="{1613C6C3-6E39-4026-8BC9-E11ED6F725BD}"/>
    <cellStyle name="Normal 8 4 3 2 5" xfId="9547" xr:uid="{1CB5E808-7F0A-49D3-B277-BC80241074DA}"/>
    <cellStyle name="Normal 8 4 3 2 5 2" xfId="26307" xr:uid="{442C9D56-6758-44B6-946A-776C163B773C}"/>
    <cellStyle name="Normal 8 4 3 2 5 3" xfId="43066" xr:uid="{F0324502-97E1-428F-ADB3-5A6EB53BC00E}"/>
    <cellStyle name="Normal 8 4 3 2 6" xfId="17927" xr:uid="{3D69788C-2B6D-432F-9443-AA4601BE5269}"/>
    <cellStyle name="Normal 8 4 3 2 7" xfId="34686" xr:uid="{AE0B3391-79E7-4009-A451-54B3BE6567C4}"/>
    <cellStyle name="Normal 8 4 3 3" xfId="1586" xr:uid="{D72A3261-CC83-4420-902B-C6B7C7904810}"/>
    <cellStyle name="Normal 8 4 3 3 2" xfId="4975" xr:uid="{AC9A8BCF-C549-40FF-99F5-0DB5BF97E213}"/>
    <cellStyle name="Normal 8 4 3 3 2 2" xfId="13355" xr:uid="{CD443EB8-5084-4E6A-9A0D-EC45108E4B8B}"/>
    <cellStyle name="Normal 8 4 3 3 2 2 2" xfId="30115" xr:uid="{B95D2D6E-9F1E-41E3-A42F-E9978B802FCF}"/>
    <cellStyle name="Normal 8 4 3 3 2 2 3" xfId="46874" xr:uid="{B3B157DF-3E4A-4587-AEF4-2A94F785BC49}"/>
    <cellStyle name="Normal 8 4 3 3 2 3" xfId="21735" xr:uid="{9DBF23F4-034F-4A17-8FAB-840D2160FC75}"/>
    <cellStyle name="Normal 8 4 3 3 2 4" xfId="38494" xr:uid="{E932AF4F-3C2D-49BE-BD71-F047A095E422}"/>
    <cellStyle name="Normal 8 4 3 3 3" xfId="6662" xr:uid="{0625A371-85EE-4869-B01A-F4E5B94B0D92}"/>
    <cellStyle name="Normal 8 4 3 3 3 2" xfId="15042" xr:uid="{E3E6F4DD-9144-426A-BE22-C93AB31C1B12}"/>
    <cellStyle name="Normal 8 4 3 3 3 2 2" xfId="31802" xr:uid="{65E3B714-C05B-4474-AC79-C41893502D4D}"/>
    <cellStyle name="Normal 8 4 3 3 3 2 3" xfId="48561" xr:uid="{BB6423AD-B15C-43D8-85E9-C46E4FF8F06E}"/>
    <cellStyle name="Normal 8 4 3 3 3 3" xfId="23422" xr:uid="{C03398F1-E2B7-41B3-A89F-D58465030735}"/>
    <cellStyle name="Normal 8 4 3 3 3 4" xfId="40181" xr:uid="{D3455BE5-822E-4DBF-9FA5-027DEA4744C4}"/>
    <cellStyle name="Normal 8 4 3 3 4" xfId="3398" xr:uid="{6E366E2C-6B66-4731-A877-8E68D4DA0798}"/>
    <cellStyle name="Normal 8 4 3 3 4 2" xfId="11778" xr:uid="{C7AE7CC5-D93D-4AB6-AC96-C59449C650B6}"/>
    <cellStyle name="Normal 8 4 3 3 4 2 2" xfId="28538" xr:uid="{20EEEBF8-CE77-4A30-B536-1C8A70079980}"/>
    <cellStyle name="Normal 8 4 3 3 4 2 3" xfId="45297" xr:uid="{F0267884-8D76-4B0F-A1E7-FF4D365C4CA3}"/>
    <cellStyle name="Normal 8 4 3 3 4 3" xfId="20158" xr:uid="{6FAAB67A-EB23-4C4E-B0FD-0EEFEE9C095C}"/>
    <cellStyle name="Normal 8 4 3 3 4 4" xfId="36917" xr:uid="{098AB7FE-B992-4ADB-AE54-11BE1FD53FA9}"/>
    <cellStyle name="Normal 8 4 3 3 5" xfId="9975" xr:uid="{D160E2F3-D7E1-47ED-A11B-F4EC51DA855E}"/>
    <cellStyle name="Normal 8 4 3 3 5 2" xfId="26735" xr:uid="{C74F4B9A-8CC2-4D0C-AE4F-6D451458ED94}"/>
    <cellStyle name="Normal 8 4 3 3 5 3" xfId="43494" xr:uid="{DED1EBF5-3062-429F-A01D-650AE5DC2ACA}"/>
    <cellStyle name="Normal 8 4 3 3 6" xfId="18355" xr:uid="{7993CAD0-097C-49E2-A360-43184F10B2B9}"/>
    <cellStyle name="Normal 8 4 3 3 7" xfId="35114" xr:uid="{22F9D740-6420-40B7-8A31-1FA6B26C99D0}"/>
    <cellStyle name="Normal 8 4 3 4" xfId="1978" xr:uid="{F7DAEB86-D417-4C20-A673-EE53FEB9DF3C}"/>
    <cellStyle name="Normal 8 4 3 4 2" xfId="5367" xr:uid="{C50DA06F-EF64-468C-A30A-C5791A605C75}"/>
    <cellStyle name="Normal 8 4 3 4 2 2" xfId="13747" xr:uid="{0DA7FA00-D35D-4F46-B64D-3AEE9E130B57}"/>
    <cellStyle name="Normal 8 4 3 4 2 2 2" xfId="30507" xr:uid="{C532D7FD-638B-4FA4-824A-DFFDDC3608BC}"/>
    <cellStyle name="Normal 8 4 3 4 2 2 3" xfId="47266" xr:uid="{E9B4DFEF-F5EE-4491-8945-733DF8E015BC}"/>
    <cellStyle name="Normal 8 4 3 4 2 3" xfId="22127" xr:uid="{E6CA50EE-7445-48D4-95E0-61FB43C7F94B}"/>
    <cellStyle name="Normal 8 4 3 4 2 4" xfId="38886" xr:uid="{E2BBC662-86A7-4A10-B788-51549081E755}"/>
    <cellStyle name="Normal 8 4 3 4 3" xfId="7054" xr:uid="{C4825802-85CC-4764-996E-B51D1ED55902}"/>
    <cellStyle name="Normal 8 4 3 4 3 2" xfId="15434" xr:uid="{5A0526CA-0CF2-4A30-A440-13D3D9BC5D85}"/>
    <cellStyle name="Normal 8 4 3 4 3 2 2" xfId="32194" xr:uid="{418DD25D-29AE-487B-BCBE-760B36EDBB03}"/>
    <cellStyle name="Normal 8 4 3 4 3 2 3" xfId="48953" xr:uid="{A8EB369D-24BA-42F9-AC93-56620B255FC3}"/>
    <cellStyle name="Normal 8 4 3 4 3 3" xfId="23814" xr:uid="{F0C66BC3-86FE-471A-B5AA-E6DF1167ECEE}"/>
    <cellStyle name="Normal 8 4 3 4 3 4" xfId="40573" xr:uid="{29E03CF9-02C3-49F4-ACCB-97F23B957161}"/>
    <cellStyle name="Normal 8 4 3 4 4" xfId="3677" xr:uid="{FABCBEC7-F21F-4AFA-A48D-DCDBF73AC67B}"/>
    <cellStyle name="Normal 8 4 3 4 4 2" xfId="12057" xr:uid="{52E6AF0A-46B2-4E8A-9543-298A21DFD824}"/>
    <cellStyle name="Normal 8 4 3 4 4 2 2" xfId="28817" xr:uid="{AD918E2A-263C-48F9-BC45-43A0E55F9499}"/>
    <cellStyle name="Normal 8 4 3 4 4 2 3" xfId="45576" xr:uid="{B3481FB4-6038-4B51-9F72-98AAE8E9017B}"/>
    <cellStyle name="Normal 8 4 3 4 4 3" xfId="20437" xr:uid="{A3AAEE80-FF41-469D-8265-91964F86343F}"/>
    <cellStyle name="Normal 8 4 3 4 4 4" xfId="37196" xr:uid="{99E4FFF3-55D7-41FF-9C19-AD89A5AFB8A8}"/>
    <cellStyle name="Normal 8 4 3 4 5" xfId="10367" xr:uid="{FD19067B-C7FC-4F4A-8472-7F8A67D27E70}"/>
    <cellStyle name="Normal 8 4 3 4 5 2" xfId="27127" xr:uid="{BE481DB7-124E-4F20-BD5A-A0A06DB9CB50}"/>
    <cellStyle name="Normal 8 4 3 4 5 3" xfId="43886" xr:uid="{01972A3D-AD22-40E7-BC81-837A06E245A2}"/>
    <cellStyle name="Normal 8 4 3 4 6" xfId="18747" xr:uid="{8FC3D216-0EF4-43F0-B32A-1E160DBD30A8}"/>
    <cellStyle name="Normal 8 4 3 4 7" xfId="35506" xr:uid="{09E116F3-0B12-4234-9A2A-BBE7BCEEF280}"/>
    <cellStyle name="Normal 8 4 3 5" xfId="4097" xr:uid="{7C4BDA8F-4183-425B-8892-BA817EF72501}"/>
    <cellStyle name="Normal 8 4 3 5 2" xfId="12477" xr:uid="{A5C55F21-2893-4EF0-8B02-73FC01A4C548}"/>
    <cellStyle name="Normal 8 4 3 5 2 2" xfId="29237" xr:uid="{8967AAD8-7CCB-4BDB-B1EE-30471D764EC7}"/>
    <cellStyle name="Normal 8 4 3 5 2 3" xfId="45996" xr:uid="{29747793-EC48-4CCE-9A14-993A88DD1A1D}"/>
    <cellStyle name="Normal 8 4 3 5 3" xfId="20857" xr:uid="{5B31885A-1CF9-4768-AEE0-3EDA8F7D87BE}"/>
    <cellStyle name="Normal 8 4 3 5 4" xfId="37616" xr:uid="{70F1CD52-A3AE-458A-9AF1-C41047E3E60C}"/>
    <cellStyle name="Normal 8 4 3 6" xfId="5808" xr:uid="{299D05D6-6DF3-4160-AC5C-EB44DBD6404E}"/>
    <cellStyle name="Normal 8 4 3 6 2" xfId="14188" xr:uid="{26608BB6-E041-436E-AD95-C9E6843BEAD2}"/>
    <cellStyle name="Normal 8 4 3 6 2 2" xfId="30948" xr:uid="{D220D6D1-66B4-4F7A-B5EF-7C9761B81E5F}"/>
    <cellStyle name="Normal 8 4 3 6 2 3" xfId="47707" xr:uid="{E12C81F7-5A2D-410D-B1C1-8DC92DEE52CB}"/>
    <cellStyle name="Normal 8 4 3 6 3" xfId="22568" xr:uid="{92D82C09-F3CE-401C-A6EB-BF695D0DACF0}"/>
    <cellStyle name="Normal 8 4 3 6 4" xfId="39327" xr:uid="{87F1221A-CC23-4DE0-96C3-D039478DCFFB}"/>
    <cellStyle name="Normal 8 4 3 7" xfId="7460" xr:uid="{1677E30D-5C21-43FE-9127-64295B4BB7FC}"/>
    <cellStyle name="Normal 8 4 3 7 2" xfId="15840" xr:uid="{9A339A23-113F-4B7C-A344-094EBD89078A}"/>
    <cellStyle name="Normal 8 4 3 7 2 2" xfId="32600" xr:uid="{76B76956-7EAB-4100-AAB1-984019445499}"/>
    <cellStyle name="Normal 8 4 3 7 2 3" xfId="49359" xr:uid="{354CB71B-ED4B-4C98-BD89-555E3B67B9AA}"/>
    <cellStyle name="Normal 8 4 3 7 3" xfId="24220" xr:uid="{00FA2102-3604-49B5-B76A-224776116744}"/>
    <cellStyle name="Normal 8 4 3 7 4" xfId="40979" xr:uid="{5EE4BB72-A3EC-478B-A8B9-5C30719051AE}"/>
    <cellStyle name="Normal 8 4 3 8" xfId="7866" xr:uid="{1C2D9D58-BD99-4171-AD4C-641B7C5D172C}"/>
    <cellStyle name="Normal 8 4 3 8 2" xfId="16246" xr:uid="{00AA37E5-631F-4619-8B6E-A01B1C1E122C}"/>
    <cellStyle name="Normal 8 4 3 8 2 2" xfId="33006" xr:uid="{ED451128-F5E4-4898-89F4-0AD7E7FD4E3A}"/>
    <cellStyle name="Normal 8 4 3 8 2 3" xfId="49765" xr:uid="{254FF283-18FE-43AA-A9E3-90680C071E94}"/>
    <cellStyle name="Normal 8 4 3 8 3" xfId="24626" xr:uid="{7A62060E-9B47-45E1-BFF6-ED537051EB08}"/>
    <cellStyle name="Normal 8 4 3 8 4" xfId="41385" xr:uid="{E6A01269-F24E-4EA1-ACB5-0C5B2CBBF3B6}"/>
    <cellStyle name="Normal 8 4 3 9" xfId="8272" xr:uid="{D91D7A7F-3DE1-4E4C-B4E0-A8EB103A7846}"/>
    <cellStyle name="Normal 8 4 3 9 2" xfId="16652" xr:uid="{56B32C83-24AA-4709-803B-D8AA83C3C50E}"/>
    <cellStyle name="Normal 8 4 3 9 2 2" xfId="33412" xr:uid="{6FD45E95-A335-4379-B466-9F973B05A58D}"/>
    <cellStyle name="Normal 8 4 3 9 2 3" xfId="50171" xr:uid="{08E3E9E7-A996-4A59-9091-AAE5F4927575}"/>
    <cellStyle name="Normal 8 4 3 9 3" xfId="25032" xr:uid="{DE99FA67-044F-4DA7-BD22-D5AD512AEFE1}"/>
    <cellStyle name="Normal 8 4 3 9 4" xfId="41791" xr:uid="{F42A11F1-E694-429C-9F43-81E6D2F391AA}"/>
    <cellStyle name="Normal 8 4 4" xfId="842" xr:uid="{70F141E6-CD61-4D29-B295-BE81AEA223B0}"/>
    <cellStyle name="Normal 8 4 4 2" xfId="4237" xr:uid="{6DCDEEBF-92B0-4287-A508-7BC1F2170D90}"/>
    <cellStyle name="Normal 8 4 4 2 2" xfId="12617" xr:uid="{60447483-4B5C-405D-AFFD-DDBA6ED6AB0B}"/>
    <cellStyle name="Normal 8 4 4 2 2 2" xfId="29377" xr:uid="{305B3D89-AAA6-4B1F-91D6-2C2F4F3A973C}"/>
    <cellStyle name="Normal 8 4 4 2 2 3" xfId="46136" xr:uid="{290EA282-15F9-489E-B3A9-1D98411644EC}"/>
    <cellStyle name="Normal 8 4 4 2 3" xfId="20997" xr:uid="{0EB9A0CE-661A-4B11-B354-B0B55B49C831}"/>
    <cellStyle name="Normal 8 4 4 2 4" xfId="37756" xr:uid="{D1889361-3958-4504-9822-7E958198E8DB}"/>
    <cellStyle name="Normal 8 4 4 3" xfId="5924" xr:uid="{285D9020-9FD5-4727-9EA6-A9331E64C4DB}"/>
    <cellStyle name="Normal 8 4 4 3 2" xfId="14304" xr:uid="{60C6A1ED-9BB4-4CCB-9033-D20FD45FDA4F}"/>
    <cellStyle name="Normal 8 4 4 3 2 2" xfId="31064" xr:uid="{F61BFADD-C5B1-4419-8344-B613356CBEBA}"/>
    <cellStyle name="Normal 8 4 4 3 2 3" xfId="47823" xr:uid="{F6E7E086-C933-472C-88DE-76DF4595A55C}"/>
    <cellStyle name="Normal 8 4 4 3 3" xfId="22684" xr:uid="{93BE46C0-CBE2-42DD-B3FE-3534B2FF659E}"/>
    <cellStyle name="Normal 8 4 4 3 4" xfId="39443" xr:uid="{90FE2A8F-FF14-495B-8DF5-677C71E754B1}"/>
    <cellStyle name="Normal 8 4 4 4" xfId="2660" xr:uid="{9D7E770E-C601-4F02-8A25-7C40CD783076}"/>
    <cellStyle name="Normal 8 4 4 4 2" xfId="11040" xr:uid="{00395BDA-A888-44C4-92EB-B6D26E6384D7}"/>
    <cellStyle name="Normal 8 4 4 4 2 2" xfId="27800" xr:uid="{8B7B304A-3780-4926-B2E5-3FF9A5D567D6}"/>
    <cellStyle name="Normal 8 4 4 4 2 3" xfId="44559" xr:uid="{1F2B20A8-F41B-4203-B44D-0666FC83709F}"/>
    <cellStyle name="Normal 8 4 4 4 3" xfId="19420" xr:uid="{6FDB8343-8D36-4364-AFC0-BC2BADFFC47B}"/>
    <cellStyle name="Normal 8 4 4 4 4" xfId="36179" xr:uid="{1A67FC36-AB40-4365-BB9C-4D07E8E63E37}"/>
    <cellStyle name="Normal 8 4 4 5" xfId="9237" xr:uid="{AD7B6C26-1A07-4779-98BB-4CBECFF43F18}"/>
    <cellStyle name="Normal 8 4 4 5 2" xfId="25997" xr:uid="{D45E3B8A-50CB-42D7-9922-B13453E829B1}"/>
    <cellStyle name="Normal 8 4 4 5 3" xfId="42756" xr:uid="{DA49E02A-8336-4435-A33E-8BAA135D6734}"/>
    <cellStyle name="Normal 8 4 4 6" xfId="17617" xr:uid="{2113A584-7D11-4151-9AD6-71F590193627}"/>
    <cellStyle name="Normal 8 4 4 7" xfId="34376" xr:uid="{7A044210-48E1-436A-B602-F2E24AEA8EBF}"/>
    <cellStyle name="Normal 8 4 5" xfId="1276" xr:uid="{27AADB25-751D-4C7C-A7EC-BC681900E14F}"/>
    <cellStyle name="Normal 8 4 5 2" xfId="4665" xr:uid="{A5CACCAB-3585-45B4-86A9-AC1808565D31}"/>
    <cellStyle name="Normal 8 4 5 2 2" xfId="13045" xr:uid="{C4586EAC-8061-4C5A-8FD2-A4F6207CDF10}"/>
    <cellStyle name="Normal 8 4 5 2 2 2" xfId="29805" xr:uid="{EFC351EB-579E-490E-9D68-5B818DEF9E35}"/>
    <cellStyle name="Normal 8 4 5 2 2 3" xfId="46564" xr:uid="{ADCD028F-3755-4E4A-981B-AE0FB1F53483}"/>
    <cellStyle name="Normal 8 4 5 2 3" xfId="21425" xr:uid="{4D8603DD-2A86-4235-A38B-3EC3EF06C627}"/>
    <cellStyle name="Normal 8 4 5 2 4" xfId="38184" xr:uid="{4FA62A76-09F8-4E78-861D-373709353B95}"/>
    <cellStyle name="Normal 8 4 5 3" xfId="6352" xr:uid="{D756C2C5-38C9-4458-A370-D8A569ACEB9F}"/>
    <cellStyle name="Normal 8 4 5 3 2" xfId="14732" xr:uid="{98124299-16A2-4BCB-91E7-BE091B68C6D0}"/>
    <cellStyle name="Normal 8 4 5 3 2 2" xfId="31492" xr:uid="{33E94E34-7CC0-493B-B58A-8332134C49FB}"/>
    <cellStyle name="Normal 8 4 5 3 2 3" xfId="48251" xr:uid="{C48042AB-D65A-4D19-A30C-73E8C7304FC0}"/>
    <cellStyle name="Normal 8 4 5 3 3" xfId="23112" xr:uid="{9AFB0DC2-FB6F-40B2-A9D6-42B44463A160}"/>
    <cellStyle name="Normal 8 4 5 3 4" xfId="39871" xr:uid="{BB27817D-200F-480E-9E85-3989337AA5DB}"/>
    <cellStyle name="Normal 8 4 5 4" xfId="3088" xr:uid="{0EABC83A-498A-4AF5-BB5F-D019A7E13A6C}"/>
    <cellStyle name="Normal 8 4 5 4 2" xfId="11468" xr:uid="{71B99D54-F27A-4A9E-8664-48FBB8295204}"/>
    <cellStyle name="Normal 8 4 5 4 2 2" xfId="28228" xr:uid="{938BA58A-B278-43AA-AC11-01CA0CAF54FE}"/>
    <cellStyle name="Normal 8 4 5 4 2 3" xfId="44987" xr:uid="{D6D170CB-7E9A-4276-9795-BA80A751C394}"/>
    <cellStyle name="Normal 8 4 5 4 3" xfId="19848" xr:uid="{F7133D00-6DE8-431E-98E8-6E22CC1CDC71}"/>
    <cellStyle name="Normal 8 4 5 4 4" xfId="36607" xr:uid="{0CBF66E7-9D0D-49A7-BACD-E203C35A6B27}"/>
    <cellStyle name="Normal 8 4 5 5" xfId="9665" xr:uid="{51CB0717-FA6A-4634-8BF2-5AE84B99BB2B}"/>
    <cellStyle name="Normal 8 4 5 5 2" xfId="26425" xr:uid="{6DDEF32D-DA9A-439E-9941-F3A3ACD0AB83}"/>
    <cellStyle name="Normal 8 4 5 5 3" xfId="43184" xr:uid="{85559AE3-01F7-4C20-9BB7-5CDEDCCE0F3F}"/>
    <cellStyle name="Normal 8 4 5 6" xfId="18045" xr:uid="{C117C5D4-C563-42A3-A83C-10F4C6D9DFEE}"/>
    <cellStyle name="Normal 8 4 5 7" xfId="34804" xr:uid="{1C419E96-DA7A-4156-B9AA-B4D8BA731962}"/>
    <cellStyle name="Normal 8 4 6" xfId="1707" xr:uid="{B0144F28-A065-4D99-9122-CE0A12FB0C8D}"/>
    <cellStyle name="Normal 8 4 6 2" xfId="5096" xr:uid="{9C645434-F348-4AC1-B40E-C6EC1B8BDFDB}"/>
    <cellStyle name="Normal 8 4 6 2 2" xfId="13476" xr:uid="{7DEB0440-64DD-40DD-BF40-14E18F68C090}"/>
    <cellStyle name="Normal 8 4 6 2 2 2" xfId="30236" xr:uid="{7B3534B1-00B5-4691-B2CB-02B51BBF61BB}"/>
    <cellStyle name="Normal 8 4 6 2 2 3" xfId="46995" xr:uid="{02A91EFF-01B7-4DE4-AD9A-51ADB19A0E59}"/>
    <cellStyle name="Normal 8 4 6 2 3" xfId="21856" xr:uid="{C925A506-EFA7-4B82-970E-B5BD95514824}"/>
    <cellStyle name="Normal 8 4 6 2 4" xfId="38615" xr:uid="{D402F73D-418A-4654-B89D-79B9B2D9B408}"/>
    <cellStyle name="Normal 8 4 6 3" xfId="6783" xr:uid="{826EB19D-D2A0-4B6F-B404-EC2087CC2DAC}"/>
    <cellStyle name="Normal 8 4 6 3 2" xfId="15163" xr:uid="{D81632AC-FCE0-40C9-AF9F-1762216936BE}"/>
    <cellStyle name="Normal 8 4 6 3 2 2" xfId="31923" xr:uid="{2E1082F7-0023-48F2-BF11-605C956A2C6B}"/>
    <cellStyle name="Normal 8 4 6 3 2 3" xfId="48682" xr:uid="{966262EC-CBF3-4BA2-ABB1-5B5AA9698A0F}"/>
    <cellStyle name="Normal 8 4 6 3 3" xfId="23543" xr:uid="{DA1097AC-104F-44D4-9A7B-51D435378128}"/>
    <cellStyle name="Normal 8 4 6 3 4" xfId="40302" xr:uid="{37A08080-6625-4C37-B0EE-0FF47D075DD1}"/>
    <cellStyle name="Normal 8 4 6 4" xfId="2230" xr:uid="{FDCE2E8C-30BE-4700-B05C-E58D1BB9A608}"/>
    <cellStyle name="Normal 8 4 6 4 2" xfId="10614" xr:uid="{CBF46075-2000-4702-95B8-8C0277376D18}"/>
    <cellStyle name="Normal 8 4 6 4 2 2" xfId="27374" xr:uid="{7DE49EB3-C2EB-4251-A9CB-260E1353F313}"/>
    <cellStyle name="Normal 8 4 6 4 2 3" xfId="44133" xr:uid="{2D487077-210E-4D42-87D5-86E07C8A012F}"/>
    <cellStyle name="Normal 8 4 6 4 3" xfId="18994" xr:uid="{A7BC91AF-EBB7-44C5-9982-F7E884ACC4FE}"/>
    <cellStyle name="Normal 8 4 6 4 4" xfId="35753" xr:uid="{C9956A81-4103-4FC1-BC31-7E83559A64AA}"/>
    <cellStyle name="Normal 8 4 6 5" xfId="10096" xr:uid="{DD15C0B3-2D6C-4718-9A5B-C50CAEE9F920}"/>
    <cellStyle name="Normal 8 4 6 5 2" xfId="26856" xr:uid="{8401D22F-EAFD-439B-A2A3-E6D6D404BB8D}"/>
    <cellStyle name="Normal 8 4 6 5 3" xfId="43615" xr:uid="{8D4BDA61-C0C6-4741-A58C-98A7987095D5}"/>
    <cellStyle name="Normal 8 4 6 6" xfId="18476" xr:uid="{E64660B0-14C2-490B-8AEB-7C688C5AE407}"/>
    <cellStyle name="Normal 8 4 6 7" xfId="35235" xr:uid="{DC4F20C2-2E7D-4EC8-9B79-3E6E31DB46E9}"/>
    <cellStyle name="Normal 8 4 7" xfId="3825" xr:uid="{7889233B-AF02-4B3C-B2A4-BBCF6175017B}"/>
    <cellStyle name="Normal 8 4 7 2" xfId="12205" xr:uid="{C0756DEB-68C9-48E8-B7F7-52C5D187B1A6}"/>
    <cellStyle name="Normal 8 4 7 2 2" xfId="28965" xr:uid="{26AF36B0-4F20-4454-A599-7B0B517D453C}"/>
    <cellStyle name="Normal 8 4 7 2 3" xfId="45724" xr:uid="{5D6A8BE9-21AE-4447-A671-DACE6F1C3867}"/>
    <cellStyle name="Normal 8 4 7 3" xfId="20585" xr:uid="{AEA7753D-B319-42E1-A646-B1C0E1E59FD1}"/>
    <cellStyle name="Normal 8 4 7 4" xfId="37344" xr:uid="{5CA9B242-1177-46B6-BA90-E1E6EC349B80}"/>
    <cellStyle name="Normal 8 4 8" xfId="5498" xr:uid="{1FBA01EA-CF84-4E8D-9AAA-D8E8E27D7F15}"/>
    <cellStyle name="Normal 8 4 8 2" xfId="13878" xr:uid="{CB9A02AF-AD87-4456-B4ED-1BC1F6E38C28}"/>
    <cellStyle name="Normal 8 4 8 2 2" xfId="30638" xr:uid="{DECD7AE4-F489-47A6-AAAF-000D1AB4F69B}"/>
    <cellStyle name="Normal 8 4 8 2 3" xfId="47397" xr:uid="{EE68970A-E3EB-479D-B17A-01DD3605ECDB}"/>
    <cellStyle name="Normal 8 4 8 3" xfId="22258" xr:uid="{0BA52F38-930C-4E32-A122-AC94EFB7929B}"/>
    <cellStyle name="Normal 8 4 8 4" xfId="39017" xr:uid="{722B85DF-9053-4460-AEAE-C2AE9F581094}"/>
    <cellStyle name="Normal 8 4 9" xfId="7189" xr:uid="{4FC55E2A-B462-41F4-B1F3-21D6A3766C8F}"/>
    <cellStyle name="Normal 8 4 9 2" xfId="15569" xr:uid="{E0035AB5-C317-44AE-826C-2833588A68C4}"/>
    <cellStyle name="Normal 8 4 9 2 2" xfId="32329" xr:uid="{8D1EFA09-9A8D-4B35-BF6F-B1BEC8405011}"/>
    <cellStyle name="Normal 8 4 9 2 3" xfId="49088" xr:uid="{DC48506E-3E03-493C-B4FB-B3BB2C1CA51D}"/>
    <cellStyle name="Normal 8 4 9 3" xfId="23949" xr:uid="{3AF883F6-1293-495B-BF68-13F0CA97EC6D}"/>
    <cellStyle name="Normal 8 4 9 4" xfId="40708" xr:uid="{2730511B-6DA6-4402-98AE-DE04FEF0DC01}"/>
    <cellStyle name="Normal 8 5" xfId="332" xr:uid="{E9B448F3-B63A-4ECB-970B-BEA82179FB40}"/>
    <cellStyle name="Normal 8 5 10" xfId="7596" xr:uid="{F1C795BF-25DC-4989-BB26-0C755D6C8F72}"/>
    <cellStyle name="Normal 8 5 10 2" xfId="15976" xr:uid="{612F2F91-39B0-4A59-86D7-E420067C92B5}"/>
    <cellStyle name="Normal 8 5 10 2 2" xfId="32736" xr:uid="{8841861D-68B8-4CDD-B456-9CE92B8B5588}"/>
    <cellStyle name="Normal 8 5 10 2 3" xfId="49495" xr:uid="{A8315FF2-0203-4139-901E-8C17F96F3B16}"/>
    <cellStyle name="Normal 8 5 10 3" xfId="24356" xr:uid="{5D9A7D91-12F3-47EC-82BB-F749FE47AD1A}"/>
    <cellStyle name="Normal 8 5 10 4" xfId="41115" xr:uid="{C6466EC6-1A7E-40DC-9090-E5CBBCD550D1}"/>
    <cellStyle name="Normal 8 5 11" xfId="8002" xr:uid="{701B9162-F085-4368-825A-CC482E95A4BF}"/>
    <cellStyle name="Normal 8 5 11 2" xfId="16382" xr:uid="{5CF310F4-9E3D-4D10-8FE2-331AC0B355F3}"/>
    <cellStyle name="Normal 8 5 11 2 2" xfId="33142" xr:uid="{65B1210D-94B7-4D52-8112-ED034C9D5C50}"/>
    <cellStyle name="Normal 8 5 11 2 3" xfId="49901" xr:uid="{E774D14B-6CF1-4D64-99EA-2C4350753857}"/>
    <cellStyle name="Normal 8 5 11 3" xfId="24762" xr:uid="{83051DD6-3E8A-4F32-B838-9A6CCA526F0A}"/>
    <cellStyle name="Normal 8 5 11 4" xfId="41521" xr:uid="{75305D9A-9AA9-498C-AFEF-4F70644E7EF7}"/>
    <cellStyle name="Normal 8 5 12" xfId="8408" xr:uid="{0D537112-E1AC-4A25-8749-903E56A95897}"/>
    <cellStyle name="Normal 8 5 12 2" xfId="16788" xr:uid="{27D82701-C2F8-4FD9-97DD-950F49D5A3C4}"/>
    <cellStyle name="Normal 8 5 12 2 2" xfId="33548" xr:uid="{DEF31EB5-2B2B-4087-9717-B6075645E5CE}"/>
    <cellStyle name="Normal 8 5 12 2 3" xfId="50307" xr:uid="{5ACF1042-7C08-4876-85E6-850E866D0E9A}"/>
    <cellStyle name="Normal 8 5 12 3" xfId="25168" xr:uid="{686E108D-BBC6-4F90-940B-35DC64C63D4C}"/>
    <cellStyle name="Normal 8 5 12 4" xfId="41927" xr:uid="{C73E4069-3557-49BB-A6CB-7CEF12EDE8B2}"/>
    <cellStyle name="Normal 8 5 13" xfId="2105" xr:uid="{488EB19F-E156-4C3C-BBCB-6AF467C012A6}"/>
    <cellStyle name="Normal 8 5 13 2" xfId="10493" xr:uid="{26C68CBC-A607-4110-8D11-C922DF1E3EAF}"/>
    <cellStyle name="Normal 8 5 13 2 2" xfId="27253" xr:uid="{67AE5F53-9C16-47E1-AEEA-4FED084F3AED}"/>
    <cellStyle name="Normal 8 5 13 2 3" xfId="44012" xr:uid="{679EDF2D-20BC-4B98-BBF4-680877DA9375}"/>
    <cellStyle name="Normal 8 5 13 3" xfId="18873" xr:uid="{4B668442-2D17-40DC-A365-57AEC3490BA6}"/>
    <cellStyle name="Normal 8 5 13 4" xfId="35632" xr:uid="{E0A0AD13-06F4-4120-9108-15BF87585B9D}"/>
    <cellStyle name="Normal 8 5 14" xfId="8801" xr:uid="{EDB89E4F-F781-4D23-9D4A-31D9EAAD770C}"/>
    <cellStyle name="Normal 8 5 14 2" xfId="25561" xr:uid="{A0C32D9B-4AE7-4774-BAF0-095D3212DCF0}"/>
    <cellStyle name="Normal 8 5 14 3" xfId="42320" xr:uid="{58F08360-F4E2-4BE8-B19F-83062588E86E}"/>
    <cellStyle name="Normal 8 5 15" xfId="17181" xr:uid="{FC41B15C-6CAA-465F-8BAE-B496904E2CA3}"/>
    <cellStyle name="Normal 8 5 16" xfId="33940" xr:uid="{4804B2C3-895A-4FB0-A95C-FD7584D55011}"/>
    <cellStyle name="Normal 8 5 2" xfId="714" xr:uid="{B3FA0D8C-42BB-4A08-A383-2DFDF33EBF3B}"/>
    <cellStyle name="Normal 8 5 2 10" xfId="8580" xr:uid="{8AA5F500-D012-4235-9EBC-42247D876586}"/>
    <cellStyle name="Normal 8 5 2 10 2" xfId="16960" xr:uid="{AE11B3CA-382B-468C-B66F-43027B9E0704}"/>
    <cellStyle name="Normal 8 5 2 10 2 2" xfId="33720" xr:uid="{E23A8073-095C-40D6-BE2A-30CA1492E890}"/>
    <cellStyle name="Normal 8 5 2 10 2 3" xfId="50479" xr:uid="{2C50DAC1-B816-41DD-BCCA-93329D4977B0}"/>
    <cellStyle name="Normal 8 5 2 10 3" xfId="25340" xr:uid="{D34C1BE8-8CFD-4E42-9C45-A908EF601A01}"/>
    <cellStyle name="Normal 8 5 2 10 4" xfId="42099" xr:uid="{87EA1276-00CD-44FC-B4B6-08B51F8605B3}"/>
    <cellStyle name="Normal 8 5 2 11" xfId="2543" xr:uid="{672C4B4E-9568-45C6-9994-58499B9B33A2}"/>
    <cellStyle name="Normal 8 5 2 11 2" xfId="10925" xr:uid="{EB030A49-01B5-41C6-9BFA-24CAB2A742F6}"/>
    <cellStyle name="Normal 8 5 2 11 2 2" xfId="27685" xr:uid="{C1AF744E-567A-4F6D-BF17-77AA027EF075}"/>
    <cellStyle name="Normal 8 5 2 11 2 3" xfId="44444" xr:uid="{0550D4CF-1971-4ED7-9DDF-E11BA67F1FB7}"/>
    <cellStyle name="Normal 8 5 2 11 3" xfId="19305" xr:uid="{D41268AC-5BC3-483E-9C03-5F64CA522DAB}"/>
    <cellStyle name="Normal 8 5 2 11 4" xfId="36064" xr:uid="{A4F3D523-8717-47FC-BBC4-0E48999DE1C7}"/>
    <cellStyle name="Normal 8 5 2 12" xfId="9122" xr:uid="{14D34A85-5EED-4D60-A315-160A07825019}"/>
    <cellStyle name="Normal 8 5 2 12 2" xfId="25882" xr:uid="{A928F697-57DD-41FC-9BF2-C78D66B72BC6}"/>
    <cellStyle name="Normal 8 5 2 12 3" xfId="42641" xr:uid="{4C2AED21-18AA-4EE4-923D-DE463ADDE7D5}"/>
    <cellStyle name="Normal 8 5 2 13" xfId="17502" xr:uid="{3FFDE0B4-A3D7-491B-8DDC-7DF80BA1EA44}"/>
    <cellStyle name="Normal 8 5 2 14" xfId="34261" xr:uid="{5E354A8B-2DEF-42EC-A386-275FBF3DFD3A}"/>
    <cellStyle name="Normal 8 5 2 2" xfId="1153" xr:uid="{4682F556-CE7C-4E9C-9C7D-48B8DE1A928E}"/>
    <cellStyle name="Normal 8 5 2 2 2" xfId="4548" xr:uid="{88E63E3E-F689-4310-9D2B-687B6E8D9F4B}"/>
    <cellStyle name="Normal 8 5 2 2 2 2" xfId="12928" xr:uid="{FCD5BCFD-1794-4639-BDF9-E6BE4A4602FE}"/>
    <cellStyle name="Normal 8 5 2 2 2 2 2" xfId="29688" xr:uid="{98AF89B8-FCF8-4B8F-85AC-17E653F8304D}"/>
    <cellStyle name="Normal 8 5 2 2 2 2 3" xfId="46447" xr:uid="{FCABC981-D5AC-4EF7-B2B0-23A7B894C199}"/>
    <cellStyle name="Normal 8 5 2 2 2 3" xfId="21308" xr:uid="{065448CC-85F7-4AE8-BB52-C972D0BA7678}"/>
    <cellStyle name="Normal 8 5 2 2 2 4" xfId="38067" xr:uid="{F490135A-398E-487E-A499-6969BD5C4B20}"/>
    <cellStyle name="Normal 8 5 2 2 3" xfId="6235" xr:uid="{826A4761-1144-4127-8882-EDFE4E1D5619}"/>
    <cellStyle name="Normal 8 5 2 2 3 2" xfId="14615" xr:uid="{2644D46D-B190-40F4-BBF3-A15B6ABD8305}"/>
    <cellStyle name="Normal 8 5 2 2 3 2 2" xfId="31375" xr:uid="{D9C6A411-BF3C-4E9F-B8DF-A4DC63AEAA83}"/>
    <cellStyle name="Normal 8 5 2 2 3 2 3" xfId="48134" xr:uid="{198708DA-156C-420F-AE97-13A4F0931E08}"/>
    <cellStyle name="Normal 8 5 2 2 3 3" xfId="22995" xr:uid="{DE6C741A-6CF5-4370-8BE0-A50D24D9EB15}"/>
    <cellStyle name="Normal 8 5 2 2 3 4" xfId="39754" xr:uid="{9EEB81A1-4F8E-48EC-9E5D-700788E3E0BE}"/>
    <cellStyle name="Normal 8 5 2 2 4" xfId="2971" xr:uid="{02609F1F-F5C6-4EBA-971F-E4BA447252FB}"/>
    <cellStyle name="Normal 8 5 2 2 4 2" xfId="11351" xr:uid="{DA421EDC-90E3-46A8-A9A9-D8BC102BFC50}"/>
    <cellStyle name="Normal 8 5 2 2 4 2 2" xfId="28111" xr:uid="{7EE72C4F-4CC4-4EB5-9CF0-9DC44687E9D0}"/>
    <cellStyle name="Normal 8 5 2 2 4 2 3" xfId="44870" xr:uid="{57A4D220-9ADD-4693-B9BC-6A2E26C9284E}"/>
    <cellStyle name="Normal 8 5 2 2 4 3" xfId="19731" xr:uid="{D942C89D-A244-4520-A0C5-62362EE28D91}"/>
    <cellStyle name="Normal 8 5 2 2 4 4" xfId="36490" xr:uid="{D9BF2563-F42F-4713-B4C4-8F603C07BA16}"/>
    <cellStyle name="Normal 8 5 2 2 5" xfId="9548" xr:uid="{6B9014AF-1F1C-487B-9A75-C481986634FF}"/>
    <cellStyle name="Normal 8 5 2 2 5 2" xfId="26308" xr:uid="{C192B988-F54D-4F72-9064-5AB400E9B250}"/>
    <cellStyle name="Normal 8 5 2 2 5 3" xfId="43067" xr:uid="{0095F6FA-E216-437D-AFA7-98571BD2FB03}"/>
    <cellStyle name="Normal 8 5 2 2 6" xfId="17928" xr:uid="{AE0F525A-D69E-4C2C-9FF5-34DAD756CCC2}"/>
    <cellStyle name="Normal 8 5 2 2 7" xfId="34687" xr:uid="{F669D87B-D503-445C-AFCE-20D320167D64}"/>
    <cellStyle name="Normal 8 5 2 3" xfId="1587" xr:uid="{714A7888-F2E4-4366-A65E-4C0D933CC13A}"/>
    <cellStyle name="Normal 8 5 2 3 2" xfId="4976" xr:uid="{CA8C3EDA-D2D4-4607-89DA-8CEA169D35D7}"/>
    <cellStyle name="Normal 8 5 2 3 2 2" xfId="13356" xr:uid="{29B4A2F6-1106-4267-B40F-692C007D2DB3}"/>
    <cellStyle name="Normal 8 5 2 3 2 2 2" xfId="30116" xr:uid="{5C76244E-6AF7-4075-BF04-8685BEB5F89B}"/>
    <cellStyle name="Normal 8 5 2 3 2 2 3" xfId="46875" xr:uid="{E15AE6C6-8566-4CA4-B374-64D07DEDB9A1}"/>
    <cellStyle name="Normal 8 5 2 3 2 3" xfId="21736" xr:uid="{B1A03BDB-2D88-4EDA-AE14-B7BBEB82F24D}"/>
    <cellStyle name="Normal 8 5 2 3 2 4" xfId="38495" xr:uid="{F7C02148-0058-4FA1-B07E-A40C07F9BC71}"/>
    <cellStyle name="Normal 8 5 2 3 3" xfId="6663" xr:uid="{EE9EC8C3-0A3F-4DAB-8D06-16589FDA0B64}"/>
    <cellStyle name="Normal 8 5 2 3 3 2" xfId="15043" xr:uid="{B1A5507C-7AE8-4DA7-812A-3FAB55889F55}"/>
    <cellStyle name="Normal 8 5 2 3 3 2 2" xfId="31803" xr:uid="{CAD8F5BA-6D97-4E4F-9BCB-D47BF15A4E6F}"/>
    <cellStyle name="Normal 8 5 2 3 3 2 3" xfId="48562" xr:uid="{CE79E48B-C78A-4D62-8436-7344DF695704}"/>
    <cellStyle name="Normal 8 5 2 3 3 3" xfId="23423" xr:uid="{3CE77234-C8CD-4049-87B4-25EBAEB69917}"/>
    <cellStyle name="Normal 8 5 2 3 3 4" xfId="40182" xr:uid="{A890ADA3-AA53-4CEA-8A80-E970BCD1B154}"/>
    <cellStyle name="Normal 8 5 2 3 4" xfId="3399" xr:uid="{D5E02135-F5FD-4BD4-8E96-9B6257DE38DD}"/>
    <cellStyle name="Normal 8 5 2 3 4 2" xfId="11779" xr:uid="{E105EB6F-75E4-4CE0-88FB-6497B51F66BF}"/>
    <cellStyle name="Normal 8 5 2 3 4 2 2" xfId="28539" xr:uid="{AD1F4124-A6BE-4017-85CB-8600F17A75D2}"/>
    <cellStyle name="Normal 8 5 2 3 4 2 3" xfId="45298" xr:uid="{8DCA65B8-1AC3-492C-BF43-20FA8C71EC5F}"/>
    <cellStyle name="Normal 8 5 2 3 4 3" xfId="20159" xr:uid="{8739F26D-D225-437D-A779-F5E102F65B1B}"/>
    <cellStyle name="Normal 8 5 2 3 4 4" xfId="36918" xr:uid="{B6E16CB5-EC25-49F6-8B93-738918654EAB}"/>
    <cellStyle name="Normal 8 5 2 3 5" xfId="9976" xr:uid="{BA4C8141-66C3-458C-A52D-C6DFFF820D78}"/>
    <cellStyle name="Normal 8 5 2 3 5 2" xfId="26736" xr:uid="{906D7160-A3D9-4514-AEBB-8451BC4DFF66}"/>
    <cellStyle name="Normal 8 5 2 3 5 3" xfId="43495" xr:uid="{D9B3E133-87CE-4C86-99FC-67DF29175C4E}"/>
    <cellStyle name="Normal 8 5 2 3 6" xfId="18356" xr:uid="{BF293E20-1878-4F78-A84D-5C20E001BCCD}"/>
    <cellStyle name="Normal 8 5 2 3 7" xfId="35115" xr:uid="{2169DD0E-5440-4655-81FD-30714F2BF117}"/>
    <cellStyle name="Normal 8 5 2 4" xfId="1880" xr:uid="{7A561F84-32CF-483A-B28E-458E157E0191}"/>
    <cellStyle name="Normal 8 5 2 4 2" xfId="5269" xr:uid="{4ABAAA77-6E9D-423C-8B22-4E547E8929A2}"/>
    <cellStyle name="Normal 8 5 2 4 2 2" xfId="13649" xr:uid="{AF4189E4-79C9-46FA-8967-6B48E5195217}"/>
    <cellStyle name="Normal 8 5 2 4 2 2 2" xfId="30409" xr:uid="{B7EE178A-C2EA-4D0E-8FB0-42E3DD7ACC56}"/>
    <cellStyle name="Normal 8 5 2 4 2 2 3" xfId="47168" xr:uid="{6CB9DE43-6CB8-4449-9ACB-962C01D8DFDB}"/>
    <cellStyle name="Normal 8 5 2 4 2 3" xfId="22029" xr:uid="{52F7DD78-5175-4AEB-927C-AA60CF8B83F9}"/>
    <cellStyle name="Normal 8 5 2 4 2 4" xfId="38788" xr:uid="{3E7D33BE-3ECD-491F-9231-096FD5442469}"/>
    <cellStyle name="Normal 8 5 2 4 3" xfId="6956" xr:uid="{878427D3-6415-409C-944F-2E5D49A9FDA8}"/>
    <cellStyle name="Normal 8 5 2 4 3 2" xfId="15336" xr:uid="{FC7CBF38-9ABB-4D56-B249-EEE77B2F67EC}"/>
    <cellStyle name="Normal 8 5 2 4 3 2 2" xfId="32096" xr:uid="{7EE09293-C1F7-4991-B3C9-7C6ADA8DE530}"/>
    <cellStyle name="Normal 8 5 2 4 3 2 3" xfId="48855" xr:uid="{7F570461-5A0C-46AD-84F2-5E82A50F89C5}"/>
    <cellStyle name="Normal 8 5 2 4 3 3" xfId="23716" xr:uid="{93A7AF3A-6100-4590-9DDA-17DA114B0457}"/>
    <cellStyle name="Normal 8 5 2 4 3 4" xfId="40475" xr:uid="{1896F911-E950-4BFA-920B-ABA2EE97637C}"/>
    <cellStyle name="Normal 8 5 2 4 4" xfId="3579" xr:uid="{7DA211F2-3755-4A54-BDFB-68F75E3A4887}"/>
    <cellStyle name="Normal 8 5 2 4 4 2" xfId="11959" xr:uid="{DF59CEA1-7CE2-4DFC-B78F-88C15295E67B}"/>
    <cellStyle name="Normal 8 5 2 4 4 2 2" xfId="28719" xr:uid="{48BBB3E2-13F1-445F-B174-6702162BFC56}"/>
    <cellStyle name="Normal 8 5 2 4 4 2 3" xfId="45478" xr:uid="{E4FEBBB6-6FC6-4533-B572-E35818903B77}"/>
    <cellStyle name="Normal 8 5 2 4 4 3" xfId="20339" xr:uid="{0CBB1B1E-811E-462F-9F6C-68237AC4579D}"/>
    <cellStyle name="Normal 8 5 2 4 4 4" xfId="37098" xr:uid="{6758A387-4BDF-459C-B3A4-0E42474386BD}"/>
    <cellStyle name="Normal 8 5 2 4 5" xfId="10269" xr:uid="{1AC02956-AAE8-4FF5-9F36-13DB0205DF3C}"/>
    <cellStyle name="Normal 8 5 2 4 5 2" xfId="27029" xr:uid="{851F5693-ADD7-443D-B42C-E4B55870ECDE}"/>
    <cellStyle name="Normal 8 5 2 4 5 3" xfId="43788" xr:uid="{D92FBA2F-21DD-49AE-82C9-3DE09E978E2A}"/>
    <cellStyle name="Normal 8 5 2 4 6" xfId="18649" xr:uid="{DDEB82B7-7D6A-40CB-B2B8-EC6B8ADD26DB}"/>
    <cellStyle name="Normal 8 5 2 4 7" xfId="35408" xr:uid="{D21E895A-0D90-4F70-83CE-282573312FE4}"/>
    <cellStyle name="Normal 8 5 2 5" xfId="3999" xr:uid="{3747C77C-E6E8-4D5D-8BFF-757E39925C60}"/>
    <cellStyle name="Normal 8 5 2 5 2" xfId="12379" xr:uid="{210833D4-0BE4-4A93-A927-8FEFF5D9D87D}"/>
    <cellStyle name="Normal 8 5 2 5 2 2" xfId="29139" xr:uid="{9E92B87B-BF22-4378-BC5C-1BC4101A9814}"/>
    <cellStyle name="Normal 8 5 2 5 2 3" xfId="45898" xr:uid="{3B6A9042-F995-4F30-824C-5289276D4C9F}"/>
    <cellStyle name="Normal 8 5 2 5 3" xfId="20759" xr:uid="{7EB281C5-7204-493C-91D5-E7E035FCD6F9}"/>
    <cellStyle name="Normal 8 5 2 5 4" xfId="37518" xr:uid="{BCC07D38-5B4D-4E14-B80E-A441BEF9A259}"/>
    <cellStyle name="Normal 8 5 2 6" xfId="5809" xr:uid="{CF41E250-3C46-40F1-9C18-7F7F37BA9EAC}"/>
    <cellStyle name="Normal 8 5 2 6 2" xfId="14189" xr:uid="{4E281654-8786-4F2C-8609-B3A32A176AA0}"/>
    <cellStyle name="Normal 8 5 2 6 2 2" xfId="30949" xr:uid="{B251AF18-1AC3-4F01-A79C-589B55F57994}"/>
    <cellStyle name="Normal 8 5 2 6 2 3" xfId="47708" xr:uid="{543F6843-F474-422E-8219-71E42EDEFD1C}"/>
    <cellStyle name="Normal 8 5 2 6 3" xfId="22569" xr:uid="{80255148-AA05-431E-AF37-562B0B9A31EB}"/>
    <cellStyle name="Normal 8 5 2 6 4" xfId="39328" xr:uid="{5EA5A27B-1503-495D-8F3C-8EC7A6384F27}"/>
    <cellStyle name="Normal 8 5 2 7" xfId="7362" xr:uid="{24A2B75B-5EEB-4454-940F-653BF3E3B9E5}"/>
    <cellStyle name="Normal 8 5 2 7 2" xfId="15742" xr:uid="{1D279EC2-B62B-4ADC-A4DB-63FD8354FBB4}"/>
    <cellStyle name="Normal 8 5 2 7 2 2" xfId="32502" xr:uid="{69BC1096-F558-4E7A-8561-A1BE3E462556}"/>
    <cellStyle name="Normal 8 5 2 7 2 3" xfId="49261" xr:uid="{6FD7476F-D4D0-42B2-BFBB-F2714D0875EE}"/>
    <cellStyle name="Normal 8 5 2 7 3" xfId="24122" xr:uid="{94469C47-C0B1-41C2-AD66-66E1B5AC6CA8}"/>
    <cellStyle name="Normal 8 5 2 7 4" xfId="40881" xr:uid="{1E76E85C-E998-459E-9CE9-29A441CDACE2}"/>
    <cellStyle name="Normal 8 5 2 8" xfId="7768" xr:uid="{D64B5043-3857-4381-8E09-6B0FD2C4D5D7}"/>
    <cellStyle name="Normal 8 5 2 8 2" xfId="16148" xr:uid="{A74F3EF9-2331-4FDF-99F5-C9BB663A4BF1}"/>
    <cellStyle name="Normal 8 5 2 8 2 2" xfId="32908" xr:uid="{F914328A-B58A-498F-AA52-EDA96D4BB3F1}"/>
    <cellStyle name="Normal 8 5 2 8 2 3" xfId="49667" xr:uid="{0D171452-472C-46FE-A13B-525356B334A9}"/>
    <cellStyle name="Normal 8 5 2 8 3" xfId="24528" xr:uid="{FAE7D7AD-B90F-49BB-944B-3B17792CACEC}"/>
    <cellStyle name="Normal 8 5 2 8 4" xfId="41287" xr:uid="{EAF73A7E-9E04-4E76-A336-829B422589B3}"/>
    <cellStyle name="Normal 8 5 2 9" xfId="8174" xr:uid="{245FA4C4-D37F-4440-A3CC-69CDAE0F744E}"/>
    <cellStyle name="Normal 8 5 2 9 2" xfId="16554" xr:uid="{73B77750-DDA1-41EA-AD29-0ED29EFDCA2E}"/>
    <cellStyle name="Normal 8 5 2 9 2 2" xfId="33314" xr:uid="{1216CCE3-98A9-42ED-B88F-719767861DCC}"/>
    <cellStyle name="Normal 8 5 2 9 2 3" xfId="50073" xr:uid="{D4FC66B6-39EF-4CBA-BC35-77DF36FEB822}"/>
    <cellStyle name="Normal 8 5 2 9 3" xfId="24934" xr:uid="{587DFA3C-4CB7-42C1-9216-6EACFCFDB42D}"/>
    <cellStyle name="Normal 8 5 2 9 4" xfId="41693" xr:uid="{250C8EDF-403E-4B89-A227-DDDCA0EA5428}"/>
    <cellStyle name="Normal 8 5 3" xfId="715" xr:uid="{51B5B58D-ABAB-4E20-979A-3F6506A2BCD7}"/>
    <cellStyle name="Normal 8 5 3 10" xfId="8679" xr:uid="{625F8B19-4BE7-43FD-AACD-F83F18088DF7}"/>
    <cellStyle name="Normal 8 5 3 10 2" xfId="17059" xr:uid="{11AD3572-0BAB-4513-AAC4-0B0B00C5A7E1}"/>
    <cellStyle name="Normal 8 5 3 10 2 2" xfId="33819" xr:uid="{4FA598DD-E599-467D-BF3A-BD9FDC630714}"/>
    <cellStyle name="Normal 8 5 3 10 2 3" xfId="50578" xr:uid="{4270F0A7-83EF-4A19-86E2-859EDD5ED2DC}"/>
    <cellStyle name="Normal 8 5 3 10 3" xfId="25439" xr:uid="{BF8CB380-0514-44D8-A8A7-AFD217DBC13E}"/>
    <cellStyle name="Normal 8 5 3 10 4" xfId="42198" xr:uid="{4A82389F-7A64-40CB-858F-85CECB1938B1}"/>
    <cellStyle name="Normal 8 5 3 11" xfId="2544" xr:uid="{0AEFE3F9-1533-4AF5-A7D9-17971C7981F5}"/>
    <cellStyle name="Normal 8 5 3 11 2" xfId="10926" xr:uid="{81E65493-B3E4-4C6C-A59D-A74301A539E2}"/>
    <cellStyle name="Normal 8 5 3 11 2 2" xfId="27686" xr:uid="{BEA230DC-F48C-44D3-B7B8-7278576558B9}"/>
    <cellStyle name="Normal 8 5 3 11 2 3" xfId="44445" xr:uid="{FE5A8A86-7BD5-4358-8F1D-EB6F8671E5C2}"/>
    <cellStyle name="Normal 8 5 3 11 3" xfId="19306" xr:uid="{868F1862-BD59-4958-AB9B-DE4EEBFCA1BE}"/>
    <cellStyle name="Normal 8 5 3 11 4" xfId="36065" xr:uid="{CB9ED76C-ECAB-4C8B-BC6D-47BA1427F28A}"/>
    <cellStyle name="Normal 8 5 3 12" xfId="9123" xr:uid="{D5AB0EDF-7768-4C7F-BDC2-DE9613BFD74E}"/>
    <cellStyle name="Normal 8 5 3 12 2" xfId="25883" xr:uid="{DCC1E709-AA63-4C45-8C73-AFBE1462F366}"/>
    <cellStyle name="Normal 8 5 3 12 3" xfId="42642" xr:uid="{3E0F3399-03EF-41C7-B1EB-8031F37217FD}"/>
    <cellStyle name="Normal 8 5 3 13" xfId="17503" xr:uid="{25E71CE2-4161-4FB1-9F8B-DF5CE9581792}"/>
    <cellStyle name="Normal 8 5 3 14" xfId="34262" xr:uid="{1454CE2A-E6F4-41C5-8990-E8AE2E19DFAE}"/>
    <cellStyle name="Normal 8 5 3 2" xfId="1154" xr:uid="{3E2F74A6-4A1A-4175-953F-02EF9B45B1BF}"/>
    <cellStyle name="Normal 8 5 3 2 2" xfId="4549" xr:uid="{1C5C8A7F-F050-441A-9962-EE6EC2E92354}"/>
    <cellStyle name="Normal 8 5 3 2 2 2" xfId="12929" xr:uid="{9B63F58A-53D1-45F6-8E67-393FF9E55100}"/>
    <cellStyle name="Normal 8 5 3 2 2 2 2" xfId="29689" xr:uid="{ED19A975-5034-4438-937F-BCA4AD15EEC7}"/>
    <cellStyle name="Normal 8 5 3 2 2 2 3" xfId="46448" xr:uid="{A1B3653A-F51F-41B5-AFAD-3EA4673CFFD5}"/>
    <cellStyle name="Normal 8 5 3 2 2 3" xfId="21309" xr:uid="{0F1D33DD-B5BB-4898-B810-9063BBEC61A5}"/>
    <cellStyle name="Normal 8 5 3 2 2 4" xfId="38068" xr:uid="{4EFFBD96-412C-4B49-A100-0A0F0B789F04}"/>
    <cellStyle name="Normal 8 5 3 2 3" xfId="6236" xr:uid="{2F4099E9-3EEF-4D15-995B-B63A71E14582}"/>
    <cellStyle name="Normal 8 5 3 2 3 2" xfId="14616" xr:uid="{90CEAB50-1CAE-4765-9298-C2AD12C4A9E8}"/>
    <cellStyle name="Normal 8 5 3 2 3 2 2" xfId="31376" xr:uid="{AD1D0860-4947-4820-9051-84458CA28B10}"/>
    <cellStyle name="Normal 8 5 3 2 3 2 3" xfId="48135" xr:uid="{A5A56A96-084D-4F51-8549-E7F585101DC7}"/>
    <cellStyle name="Normal 8 5 3 2 3 3" xfId="22996" xr:uid="{4F75587B-0E25-4B01-92D2-BDCC5BB2BB49}"/>
    <cellStyle name="Normal 8 5 3 2 3 4" xfId="39755" xr:uid="{B5D8985B-5B5F-420D-A0A4-BF3ACA57CB8F}"/>
    <cellStyle name="Normal 8 5 3 2 4" xfId="2972" xr:uid="{FADD6146-459C-42ED-9A99-93AA1E3CF9D3}"/>
    <cellStyle name="Normal 8 5 3 2 4 2" xfId="11352" xr:uid="{AAD62592-3719-4CF2-BD3A-CE135181D5D7}"/>
    <cellStyle name="Normal 8 5 3 2 4 2 2" xfId="28112" xr:uid="{F76C0DDF-846F-4EB7-9014-5EB896D36039}"/>
    <cellStyle name="Normal 8 5 3 2 4 2 3" xfId="44871" xr:uid="{A4212E99-7E97-482D-8EDF-7F434B4BA87E}"/>
    <cellStyle name="Normal 8 5 3 2 4 3" xfId="19732" xr:uid="{92D8CD34-CFF8-4ED6-A854-D8526BA0C3E9}"/>
    <cellStyle name="Normal 8 5 3 2 4 4" xfId="36491" xr:uid="{B017A962-A87F-484B-8F01-1C58BC4E4F65}"/>
    <cellStyle name="Normal 8 5 3 2 5" xfId="9549" xr:uid="{0FEB97D3-37FC-4283-A466-E93FADFF8171}"/>
    <cellStyle name="Normal 8 5 3 2 5 2" xfId="26309" xr:uid="{29CCD1AD-C6EB-4EBB-9133-2A208507CC1B}"/>
    <cellStyle name="Normal 8 5 3 2 5 3" xfId="43068" xr:uid="{9BA2A784-E843-4C78-A653-BFD12D7C265D}"/>
    <cellStyle name="Normal 8 5 3 2 6" xfId="17929" xr:uid="{E0626E94-ECA7-475A-8D31-385E6AA6BE82}"/>
    <cellStyle name="Normal 8 5 3 2 7" xfId="34688" xr:uid="{94E5F677-AF5F-4299-848D-DCB2183D115F}"/>
    <cellStyle name="Normal 8 5 3 3" xfId="1588" xr:uid="{7889CB3A-F925-4C3F-BE2F-426C59F56090}"/>
    <cellStyle name="Normal 8 5 3 3 2" xfId="4977" xr:uid="{3149B2C3-6E1A-461D-A70C-BAC99FAADAF0}"/>
    <cellStyle name="Normal 8 5 3 3 2 2" xfId="13357" xr:uid="{931A0AE9-5EAE-4D61-AD0C-C36346D9F763}"/>
    <cellStyle name="Normal 8 5 3 3 2 2 2" xfId="30117" xr:uid="{45E3AFD5-CB82-4819-B7EF-C7B7756793CB}"/>
    <cellStyle name="Normal 8 5 3 3 2 2 3" xfId="46876" xr:uid="{31B69F16-B4B0-447C-86AD-C2F9FA69D7E7}"/>
    <cellStyle name="Normal 8 5 3 3 2 3" xfId="21737" xr:uid="{FC4D5B4E-C56D-417A-9534-955C0E51820E}"/>
    <cellStyle name="Normal 8 5 3 3 2 4" xfId="38496" xr:uid="{EFE9F96F-8912-4954-9D63-3A88AA44F7A1}"/>
    <cellStyle name="Normal 8 5 3 3 3" xfId="6664" xr:uid="{29F7A080-C99A-4253-B894-3F754F6BB832}"/>
    <cellStyle name="Normal 8 5 3 3 3 2" xfId="15044" xr:uid="{3D50E7A9-C965-40BA-860E-6C95E71A4337}"/>
    <cellStyle name="Normal 8 5 3 3 3 2 2" xfId="31804" xr:uid="{A7B151E4-FF40-4A52-AB4E-FC250B2F891F}"/>
    <cellStyle name="Normal 8 5 3 3 3 2 3" xfId="48563" xr:uid="{0A2F039C-7931-4AAA-A95E-F36561CDCCA4}"/>
    <cellStyle name="Normal 8 5 3 3 3 3" xfId="23424" xr:uid="{5782181A-F919-4848-BBA4-A962D304AF2B}"/>
    <cellStyle name="Normal 8 5 3 3 3 4" xfId="40183" xr:uid="{DDC3ED2D-C1D7-4DB2-98B8-F8F81E0CB3BB}"/>
    <cellStyle name="Normal 8 5 3 3 4" xfId="3400" xr:uid="{520F306C-7025-41E1-A3FA-802EBFBB8BE5}"/>
    <cellStyle name="Normal 8 5 3 3 4 2" xfId="11780" xr:uid="{92986D53-98B5-44EE-83C1-F2EB79A47CDF}"/>
    <cellStyle name="Normal 8 5 3 3 4 2 2" xfId="28540" xr:uid="{E9DB0712-A671-4C03-9AE7-E208615CF362}"/>
    <cellStyle name="Normal 8 5 3 3 4 2 3" xfId="45299" xr:uid="{EAED2125-AFC1-47D5-9D3C-1B73DCA3FE17}"/>
    <cellStyle name="Normal 8 5 3 3 4 3" xfId="20160" xr:uid="{9C11D7B4-958A-4BC1-AD04-2385582B4682}"/>
    <cellStyle name="Normal 8 5 3 3 4 4" xfId="36919" xr:uid="{7DAFC506-2481-4856-B350-0D628F78CD29}"/>
    <cellStyle name="Normal 8 5 3 3 5" xfId="9977" xr:uid="{82549D08-0B75-4784-BA06-122A5049A7C0}"/>
    <cellStyle name="Normal 8 5 3 3 5 2" xfId="26737" xr:uid="{407CF4DD-DFCD-4F3F-89A3-17D9171F31E2}"/>
    <cellStyle name="Normal 8 5 3 3 5 3" xfId="43496" xr:uid="{1D3A887C-6283-41CB-84FA-1794B15C2AE3}"/>
    <cellStyle name="Normal 8 5 3 3 6" xfId="18357" xr:uid="{63320181-3F9B-4DFD-B484-9ACF1A6D40FA}"/>
    <cellStyle name="Normal 8 5 3 3 7" xfId="35116" xr:uid="{7EFC8C7B-7C42-41D1-90AC-C2C163C6F88B}"/>
    <cellStyle name="Normal 8 5 3 4" xfId="1979" xr:uid="{B41485D8-AECE-4A27-B2DB-982AB31BDE71}"/>
    <cellStyle name="Normal 8 5 3 4 2" xfId="5368" xr:uid="{939D6A2D-63B3-4E2D-8EB8-3721DEC6497D}"/>
    <cellStyle name="Normal 8 5 3 4 2 2" xfId="13748" xr:uid="{B9CDEC6F-A26B-4B7A-83A4-155044443B0B}"/>
    <cellStyle name="Normal 8 5 3 4 2 2 2" xfId="30508" xr:uid="{C2AEE418-65A8-4411-B700-E94032A85AF8}"/>
    <cellStyle name="Normal 8 5 3 4 2 2 3" xfId="47267" xr:uid="{04EF7CF0-0BD6-4143-8B41-257AF0DBB0B5}"/>
    <cellStyle name="Normal 8 5 3 4 2 3" xfId="22128" xr:uid="{77E48298-6511-451B-8E04-6144B187AEE3}"/>
    <cellStyle name="Normal 8 5 3 4 2 4" xfId="38887" xr:uid="{61693884-210F-4F58-90D6-7C0CD6581A35}"/>
    <cellStyle name="Normal 8 5 3 4 3" xfId="7055" xr:uid="{E517A128-E91D-43D6-BC75-E7737921819D}"/>
    <cellStyle name="Normal 8 5 3 4 3 2" xfId="15435" xr:uid="{F64521D6-8F6E-440F-AD58-F10159F2B016}"/>
    <cellStyle name="Normal 8 5 3 4 3 2 2" xfId="32195" xr:uid="{D5FE625C-830F-414E-9C02-F5CDF9058665}"/>
    <cellStyle name="Normal 8 5 3 4 3 2 3" xfId="48954" xr:uid="{A32BB087-2F6C-4180-9EF5-A0E91B142EA6}"/>
    <cellStyle name="Normal 8 5 3 4 3 3" xfId="23815" xr:uid="{380B2255-1E00-4B35-9C41-98146AB31808}"/>
    <cellStyle name="Normal 8 5 3 4 3 4" xfId="40574" xr:uid="{2EDE75DE-92C2-42C4-9ECB-099DE17A2918}"/>
    <cellStyle name="Normal 8 5 3 4 4" xfId="3678" xr:uid="{FDC5909F-9E77-4AF6-9F74-386B7126F965}"/>
    <cellStyle name="Normal 8 5 3 4 4 2" xfId="12058" xr:uid="{B05AFD02-7CB7-4B79-B514-F0939D3D36A6}"/>
    <cellStyle name="Normal 8 5 3 4 4 2 2" xfId="28818" xr:uid="{85F05B20-97A4-4F93-A5C3-E70555F3151A}"/>
    <cellStyle name="Normal 8 5 3 4 4 2 3" xfId="45577" xr:uid="{153AB12F-B8EA-4562-B956-10113F158529}"/>
    <cellStyle name="Normal 8 5 3 4 4 3" xfId="20438" xr:uid="{0BF2220C-9469-42A5-A03D-0D3621D2C9BF}"/>
    <cellStyle name="Normal 8 5 3 4 4 4" xfId="37197" xr:uid="{F97208B0-A4BC-4FE6-93F6-48A29FA347DA}"/>
    <cellStyle name="Normal 8 5 3 4 5" xfId="10368" xr:uid="{DA8BB4C6-EA6C-4ED3-83AD-CD5D56FC0F7F}"/>
    <cellStyle name="Normal 8 5 3 4 5 2" xfId="27128" xr:uid="{6C1CD2D0-FC28-4474-A8A0-5BACEA5F86E5}"/>
    <cellStyle name="Normal 8 5 3 4 5 3" xfId="43887" xr:uid="{9721F79C-64F6-40A5-A60C-C6314D8F770D}"/>
    <cellStyle name="Normal 8 5 3 4 6" xfId="18748" xr:uid="{2166607E-3921-479F-8B7A-83421F357B61}"/>
    <cellStyle name="Normal 8 5 3 4 7" xfId="35507" xr:uid="{D047015A-44B0-41B6-9B0B-978A7E11A899}"/>
    <cellStyle name="Normal 8 5 3 5" xfId="4098" xr:uid="{A4B36587-CA61-41BE-A13B-E7A4C37678EA}"/>
    <cellStyle name="Normal 8 5 3 5 2" xfId="12478" xr:uid="{76509A4E-1695-49F9-8464-8329EBCEA008}"/>
    <cellStyle name="Normal 8 5 3 5 2 2" xfId="29238" xr:uid="{782C4B36-7995-460E-9AD0-379FF32B96DA}"/>
    <cellStyle name="Normal 8 5 3 5 2 3" xfId="45997" xr:uid="{548AB8A0-788D-4893-BDEE-6F14540DCE2B}"/>
    <cellStyle name="Normal 8 5 3 5 3" xfId="20858" xr:uid="{72FA6F09-2053-4A2F-9FED-ADCE1E09F4BA}"/>
    <cellStyle name="Normal 8 5 3 5 4" xfId="37617" xr:uid="{1435BD2F-3FD2-4F5A-AFFC-8B19DA729ABF}"/>
    <cellStyle name="Normal 8 5 3 6" xfId="5810" xr:uid="{1743BCE7-1ED4-4190-8130-6FAECC393CD0}"/>
    <cellStyle name="Normal 8 5 3 6 2" xfId="14190" xr:uid="{B144F863-F40E-445D-9963-EFC7321EE084}"/>
    <cellStyle name="Normal 8 5 3 6 2 2" xfId="30950" xr:uid="{80A57F97-A40E-4C62-8589-833B8BFAC5BE}"/>
    <cellStyle name="Normal 8 5 3 6 2 3" xfId="47709" xr:uid="{E909F386-D34A-4A9C-9E18-7721DAA615DA}"/>
    <cellStyle name="Normal 8 5 3 6 3" xfId="22570" xr:uid="{0B0A685A-641E-4A92-93AB-B1622672AF60}"/>
    <cellStyle name="Normal 8 5 3 6 4" xfId="39329" xr:uid="{D247A46B-6C26-40AB-BCC6-304F0DD95112}"/>
    <cellStyle name="Normal 8 5 3 7" xfId="7461" xr:uid="{BD3B0183-EEA1-4A8F-8164-BD8198E9B8AA}"/>
    <cellStyle name="Normal 8 5 3 7 2" xfId="15841" xr:uid="{47F902C9-B004-4116-ABE2-78B2A2DDE901}"/>
    <cellStyle name="Normal 8 5 3 7 2 2" xfId="32601" xr:uid="{91096CE2-FBB9-4669-A354-7B0E68F1D602}"/>
    <cellStyle name="Normal 8 5 3 7 2 3" xfId="49360" xr:uid="{EB6756B5-8174-4446-BFA1-2D61E800FB6B}"/>
    <cellStyle name="Normal 8 5 3 7 3" xfId="24221" xr:uid="{FB1FFC9C-7F67-472B-9FF5-575BE52549EB}"/>
    <cellStyle name="Normal 8 5 3 7 4" xfId="40980" xr:uid="{5D4DFD7D-29E0-4487-B08E-0FEE62695621}"/>
    <cellStyle name="Normal 8 5 3 8" xfId="7867" xr:uid="{76E9590F-3CE9-44DF-9541-3909397E52F7}"/>
    <cellStyle name="Normal 8 5 3 8 2" xfId="16247" xr:uid="{34D7A5B0-6F21-4B9C-B57F-F9688162CA0A}"/>
    <cellStyle name="Normal 8 5 3 8 2 2" xfId="33007" xr:uid="{C65E9342-F491-4675-AE43-150EAB6307D9}"/>
    <cellStyle name="Normal 8 5 3 8 2 3" xfId="49766" xr:uid="{647CCBF7-C856-4B85-9F6F-025CBF403B1C}"/>
    <cellStyle name="Normal 8 5 3 8 3" xfId="24627" xr:uid="{4CD4F457-E55C-4C0C-9EA7-1D4B223F5D99}"/>
    <cellStyle name="Normal 8 5 3 8 4" xfId="41386" xr:uid="{3B49B2A0-E351-48B4-AF05-9A4E22CE0955}"/>
    <cellStyle name="Normal 8 5 3 9" xfId="8273" xr:uid="{0ED478DC-582E-40FB-ADC2-79FE7E7FD288}"/>
    <cellStyle name="Normal 8 5 3 9 2" xfId="16653" xr:uid="{B94D0D0E-C209-4B2F-981D-9D5B9FB83E57}"/>
    <cellStyle name="Normal 8 5 3 9 2 2" xfId="33413" xr:uid="{99B797B6-1683-4B55-B06E-84D57A3E1270}"/>
    <cellStyle name="Normal 8 5 3 9 2 3" xfId="50172" xr:uid="{0FCF839B-988C-438D-8258-CFC5E5ED7BFE}"/>
    <cellStyle name="Normal 8 5 3 9 3" xfId="25033" xr:uid="{0327087B-859D-43C4-B704-06FC052DA544}"/>
    <cellStyle name="Normal 8 5 3 9 4" xfId="41792" xr:uid="{EA9E1ECF-2B71-42AB-9571-41DD098197A7}"/>
    <cellStyle name="Normal 8 5 4" xfId="832" xr:uid="{433FD24F-7C07-4EC7-9494-8BA1D5761083}"/>
    <cellStyle name="Normal 8 5 4 2" xfId="4227" xr:uid="{21487E93-8D88-4EC3-ACD8-E2C5B3466DEB}"/>
    <cellStyle name="Normal 8 5 4 2 2" xfId="12607" xr:uid="{66D034AE-4941-4C1E-B5EA-F9F33C558B4C}"/>
    <cellStyle name="Normal 8 5 4 2 2 2" xfId="29367" xr:uid="{8077BEFF-D0E5-4563-B1C5-E99166784830}"/>
    <cellStyle name="Normal 8 5 4 2 2 3" xfId="46126" xr:uid="{132878EB-D03D-446C-A65B-9288CBCAB51D}"/>
    <cellStyle name="Normal 8 5 4 2 3" xfId="20987" xr:uid="{17F01FB6-32BC-491E-83BE-9B22CBB04819}"/>
    <cellStyle name="Normal 8 5 4 2 4" xfId="37746" xr:uid="{16D2AF82-8C99-4B01-B3F0-7087064074A7}"/>
    <cellStyle name="Normal 8 5 4 3" xfId="5914" xr:uid="{E2ED9876-9C87-4502-ADEA-9356044F3A78}"/>
    <cellStyle name="Normal 8 5 4 3 2" xfId="14294" xr:uid="{0CBBA957-A5E7-4DAF-BAA6-CBCA75521C56}"/>
    <cellStyle name="Normal 8 5 4 3 2 2" xfId="31054" xr:uid="{FD830EB5-51FB-4896-97A3-1B71AEBA0E34}"/>
    <cellStyle name="Normal 8 5 4 3 2 3" xfId="47813" xr:uid="{CD449213-667A-4E84-BD6A-B01B997B4F98}"/>
    <cellStyle name="Normal 8 5 4 3 3" xfId="22674" xr:uid="{DB2D922C-F610-4AC6-9A64-650A2D6EE233}"/>
    <cellStyle name="Normal 8 5 4 3 4" xfId="39433" xr:uid="{9DCDA059-BB1F-40A7-91BC-7179CF05C024}"/>
    <cellStyle name="Normal 8 5 4 4" xfId="2650" xr:uid="{7ED50FBC-06C0-414E-AD2E-4CA6D35B6C18}"/>
    <cellStyle name="Normal 8 5 4 4 2" xfId="11030" xr:uid="{97F33632-A9F3-48F2-AFA5-D6EDD949B032}"/>
    <cellStyle name="Normal 8 5 4 4 2 2" xfId="27790" xr:uid="{4C3C6B09-5B45-4CF8-B93A-4831D19DD8FD}"/>
    <cellStyle name="Normal 8 5 4 4 2 3" xfId="44549" xr:uid="{6DCB8DF2-1E80-4E02-BCBD-5B1F85885B5E}"/>
    <cellStyle name="Normal 8 5 4 4 3" xfId="19410" xr:uid="{7069CFAA-7D35-467B-A806-FD9F3501C3C9}"/>
    <cellStyle name="Normal 8 5 4 4 4" xfId="36169" xr:uid="{09D6A0D9-E932-44C3-ADD8-AB062E6168C5}"/>
    <cellStyle name="Normal 8 5 4 5" xfId="9227" xr:uid="{C35E913A-6970-42F9-8A1C-29DF8A87DFCE}"/>
    <cellStyle name="Normal 8 5 4 5 2" xfId="25987" xr:uid="{F2AD0A36-0082-4AA7-A6FE-C7AEA7537869}"/>
    <cellStyle name="Normal 8 5 4 5 3" xfId="42746" xr:uid="{11915B11-B886-4C81-BBA1-92F0DCE9F330}"/>
    <cellStyle name="Normal 8 5 4 6" xfId="17607" xr:uid="{A07FFEF7-C35B-4293-92F8-65C0F169ACA8}"/>
    <cellStyle name="Normal 8 5 4 7" xfId="34366" xr:uid="{54355696-F1F8-44AA-A5D4-D10429A20CC2}"/>
    <cellStyle name="Normal 8 5 5" xfId="1266" xr:uid="{7642D9C8-0B0A-4BD9-89EA-6A2A07B755B1}"/>
    <cellStyle name="Normal 8 5 5 2" xfId="4655" xr:uid="{AE41A6FB-EE40-4510-AC6F-5038EA5A3FFC}"/>
    <cellStyle name="Normal 8 5 5 2 2" xfId="13035" xr:uid="{677096C1-D0CF-4102-A7E2-EB3280DA0477}"/>
    <cellStyle name="Normal 8 5 5 2 2 2" xfId="29795" xr:uid="{114088AA-2B97-49C5-9639-842E9EC1E6CE}"/>
    <cellStyle name="Normal 8 5 5 2 2 3" xfId="46554" xr:uid="{CC4E8B15-1A48-4702-B200-696DF7BBAF42}"/>
    <cellStyle name="Normal 8 5 5 2 3" xfId="21415" xr:uid="{72A8E75E-02AE-4C22-BC5C-AC96BE72431B}"/>
    <cellStyle name="Normal 8 5 5 2 4" xfId="38174" xr:uid="{AD34B38C-C9A1-49C7-B777-3CFA9C01AF19}"/>
    <cellStyle name="Normal 8 5 5 3" xfId="6342" xr:uid="{B0656F65-0265-4E63-A040-77AD1FF734CE}"/>
    <cellStyle name="Normal 8 5 5 3 2" xfId="14722" xr:uid="{CD0C1DBE-D002-4C16-A698-81B9A69DD9AB}"/>
    <cellStyle name="Normal 8 5 5 3 2 2" xfId="31482" xr:uid="{6DD86384-335A-4CC9-8465-EE6E4B502E62}"/>
    <cellStyle name="Normal 8 5 5 3 2 3" xfId="48241" xr:uid="{C18E3EE9-AB96-47C3-ADE9-BE022CDA8D33}"/>
    <cellStyle name="Normal 8 5 5 3 3" xfId="23102" xr:uid="{DE499B65-20D3-4AE4-9CD5-C9294F1EEB08}"/>
    <cellStyle name="Normal 8 5 5 3 4" xfId="39861" xr:uid="{CB883FFA-2252-4597-B82E-256A2346D5EE}"/>
    <cellStyle name="Normal 8 5 5 4" xfId="3078" xr:uid="{F1F6BB15-086D-4AC2-BB4D-C07A368302A4}"/>
    <cellStyle name="Normal 8 5 5 4 2" xfId="11458" xr:uid="{047C21AC-E8C8-4F3C-99BE-B2505A12857A}"/>
    <cellStyle name="Normal 8 5 5 4 2 2" xfId="28218" xr:uid="{79047029-72E0-40F5-851B-68EBFEE10A32}"/>
    <cellStyle name="Normal 8 5 5 4 2 3" xfId="44977" xr:uid="{96211139-AC36-4589-8BF1-437C685CBE9D}"/>
    <cellStyle name="Normal 8 5 5 4 3" xfId="19838" xr:uid="{178B339D-02F5-4CCA-8496-1A828330855C}"/>
    <cellStyle name="Normal 8 5 5 4 4" xfId="36597" xr:uid="{7E938F25-008C-49DE-B026-EF0C925451A6}"/>
    <cellStyle name="Normal 8 5 5 5" xfId="9655" xr:uid="{4D9F8E7D-DA41-45D3-A789-CA5C6BBC05EE}"/>
    <cellStyle name="Normal 8 5 5 5 2" xfId="26415" xr:uid="{275AC7A4-C9F4-4676-9B22-DADBB26F691F}"/>
    <cellStyle name="Normal 8 5 5 5 3" xfId="43174" xr:uid="{96B1C1A6-C287-45BA-88A0-1B5B8798D641}"/>
    <cellStyle name="Normal 8 5 5 6" xfId="18035" xr:uid="{03943CD9-1BED-4953-90C1-7D75BB8FF8AD}"/>
    <cellStyle name="Normal 8 5 5 7" xfId="34794" xr:uid="{191A2174-04A3-4035-80F1-C139DBF83087}"/>
    <cellStyle name="Normal 8 5 6" xfId="1708" xr:uid="{4DF3A3FF-73EC-4D20-B29D-FA904D423807}"/>
    <cellStyle name="Normal 8 5 6 2" xfId="5097" xr:uid="{17B896A1-7040-4FF3-9A00-0E9A9CB3312E}"/>
    <cellStyle name="Normal 8 5 6 2 2" xfId="13477" xr:uid="{BD1410A1-E368-4438-A9FA-81C8E8159F87}"/>
    <cellStyle name="Normal 8 5 6 2 2 2" xfId="30237" xr:uid="{817C0972-5142-419B-BDBA-CC6F1B5CDA6C}"/>
    <cellStyle name="Normal 8 5 6 2 2 3" xfId="46996" xr:uid="{718DF2AD-E920-4F01-93C6-DE9898C4FC2B}"/>
    <cellStyle name="Normal 8 5 6 2 3" xfId="21857" xr:uid="{696C6337-BC29-4D46-90FA-9986CCE6CAA4}"/>
    <cellStyle name="Normal 8 5 6 2 4" xfId="38616" xr:uid="{6CC24ED9-38BC-4FC4-934D-F8BB79D34264}"/>
    <cellStyle name="Normal 8 5 6 3" xfId="6784" xr:uid="{751B4F03-7182-42C8-8876-1FAA4114DBCA}"/>
    <cellStyle name="Normal 8 5 6 3 2" xfId="15164" xr:uid="{D5FC38A4-D957-47F6-AAF5-8A5D5104208F}"/>
    <cellStyle name="Normal 8 5 6 3 2 2" xfId="31924" xr:uid="{5A3938B9-C85D-472A-9282-8179D6E92B20}"/>
    <cellStyle name="Normal 8 5 6 3 2 3" xfId="48683" xr:uid="{3B3792C0-4279-44CF-9D63-54D85EC4A0CC}"/>
    <cellStyle name="Normal 8 5 6 3 3" xfId="23544" xr:uid="{4354B420-438A-4A34-BDE5-756A8F3222E6}"/>
    <cellStyle name="Normal 8 5 6 3 4" xfId="40303" xr:uid="{1E0BE548-9785-425A-B2D3-07F78279913E}"/>
    <cellStyle name="Normal 8 5 6 4" xfId="2220" xr:uid="{8A1C1E80-944B-4C65-A4BD-30489EA0FEC6}"/>
    <cellStyle name="Normal 8 5 6 4 2" xfId="10604" xr:uid="{26945AEF-DDE2-459E-9E67-C8E087AA04A0}"/>
    <cellStyle name="Normal 8 5 6 4 2 2" xfId="27364" xr:uid="{956485B4-3A5F-4455-A7F9-78B02A693A82}"/>
    <cellStyle name="Normal 8 5 6 4 2 3" xfId="44123" xr:uid="{52CA930F-38E8-4901-8359-60F7B9F98A01}"/>
    <cellStyle name="Normal 8 5 6 4 3" xfId="18984" xr:uid="{9D497F63-4194-4591-8F02-3E6C47614AB6}"/>
    <cellStyle name="Normal 8 5 6 4 4" xfId="35743" xr:uid="{21969911-9BFA-4E86-B3E3-29F2A012E73C}"/>
    <cellStyle name="Normal 8 5 6 5" xfId="10097" xr:uid="{E8701B88-FEB2-4468-9E85-406AFBA5B023}"/>
    <cellStyle name="Normal 8 5 6 5 2" xfId="26857" xr:uid="{D1CBC8DE-EE03-4DB7-A657-EAEE6A339988}"/>
    <cellStyle name="Normal 8 5 6 5 3" xfId="43616" xr:uid="{14543296-24BD-43F6-A0E8-34152AB1CD06}"/>
    <cellStyle name="Normal 8 5 6 6" xfId="18477" xr:uid="{040EC18C-F94F-4D9B-AD9F-27D67C5FE044}"/>
    <cellStyle name="Normal 8 5 6 7" xfId="35236" xr:uid="{165DD3C8-1977-4812-8F60-0AD468AB9AFB}"/>
    <cellStyle name="Normal 8 5 7" xfId="3826" xr:uid="{0644413B-D896-48AE-AE3D-829C72BCDB4D}"/>
    <cellStyle name="Normal 8 5 7 2" xfId="12206" xr:uid="{EE8F53E1-8743-446B-B670-26C92D8319FA}"/>
    <cellStyle name="Normal 8 5 7 2 2" xfId="28966" xr:uid="{F6DD9ADC-639B-40A5-8D40-6385FF66D088}"/>
    <cellStyle name="Normal 8 5 7 2 3" xfId="45725" xr:uid="{3FB74F34-1F4F-4F77-8956-49FF4930D871}"/>
    <cellStyle name="Normal 8 5 7 3" xfId="20586" xr:uid="{5C6AA2E8-9BB2-485E-B123-898811DCAB96}"/>
    <cellStyle name="Normal 8 5 7 4" xfId="37345" xr:uid="{70AC2118-B65F-4371-B8ED-8A3C129373BA}"/>
    <cellStyle name="Normal 8 5 8" xfId="5488" xr:uid="{B966C7ED-177D-494A-8C13-299580B90BBE}"/>
    <cellStyle name="Normal 8 5 8 2" xfId="13868" xr:uid="{FD7920D2-8A59-4D70-A05B-5A6DB7020DB5}"/>
    <cellStyle name="Normal 8 5 8 2 2" xfId="30628" xr:uid="{E9FDC589-252C-4AF5-AA37-FD220EA5735D}"/>
    <cellStyle name="Normal 8 5 8 2 3" xfId="47387" xr:uid="{B56748BA-B00D-42B5-BEE4-8B893CC74730}"/>
    <cellStyle name="Normal 8 5 8 3" xfId="22248" xr:uid="{25FD81B7-899E-4182-AEAF-8C8D3B2E6A4A}"/>
    <cellStyle name="Normal 8 5 8 4" xfId="39007" xr:uid="{408FC0A2-DE7E-48C4-8C03-E841103BE39F}"/>
    <cellStyle name="Normal 8 5 9" xfId="7190" xr:uid="{0BEC4752-8E0F-4C02-9112-736C405082D9}"/>
    <cellStyle name="Normal 8 5 9 2" xfId="15570" xr:uid="{AA98B337-FADF-4FE1-A97C-DF8171ED8CF2}"/>
    <cellStyle name="Normal 8 5 9 2 2" xfId="32330" xr:uid="{420861D0-E4BB-402D-8548-D553A6429236}"/>
    <cellStyle name="Normal 8 5 9 2 3" xfId="49089" xr:uid="{78E91D09-EAA2-4A58-9952-974900F778F3}"/>
    <cellStyle name="Normal 8 5 9 3" xfId="23950" xr:uid="{8D8B16F0-BD6B-4E69-8793-1DA08CEB03C3}"/>
    <cellStyle name="Normal 8 5 9 4" xfId="40709" xr:uid="{CF33886F-4A3C-48DD-BF03-56F4560441D2}"/>
    <cellStyle name="Normal 8 6" xfId="716" xr:uid="{D22466B9-F5E1-4143-9F86-F9C686B4003E}"/>
    <cellStyle name="Normal 8 6 10" xfId="7628" xr:uid="{C98558FC-1DCC-45A2-B501-0B9611605712}"/>
    <cellStyle name="Normal 8 6 10 2" xfId="16008" xr:uid="{5E43754A-50E6-4684-AD42-A3A84376CCB6}"/>
    <cellStyle name="Normal 8 6 10 2 2" xfId="32768" xr:uid="{D4392BBD-9012-4C5F-A537-21CF93446944}"/>
    <cellStyle name="Normal 8 6 10 2 3" xfId="49527" xr:uid="{5A0BAD22-6592-43C0-85BA-A877307F54D4}"/>
    <cellStyle name="Normal 8 6 10 3" xfId="24388" xr:uid="{9D54B1CF-0BD4-4E4E-B885-B51C5437D6AC}"/>
    <cellStyle name="Normal 8 6 10 4" xfId="41147" xr:uid="{1C034624-AAED-4B59-9E93-280BDD794985}"/>
    <cellStyle name="Normal 8 6 11" xfId="8034" xr:uid="{51B2CFB0-C9D6-43B2-8D37-0E41D7DBE603}"/>
    <cellStyle name="Normal 8 6 11 2" xfId="16414" xr:uid="{A869DE00-4EC1-463B-9E4E-96F1C42064ED}"/>
    <cellStyle name="Normal 8 6 11 2 2" xfId="33174" xr:uid="{B09DE05B-7735-4043-AC03-FEEFBC00A66D}"/>
    <cellStyle name="Normal 8 6 11 2 3" xfId="49933" xr:uid="{8C52205D-A162-433C-9D62-A3821EE72AF1}"/>
    <cellStyle name="Normal 8 6 11 3" xfId="24794" xr:uid="{75762F1D-1487-43F6-870E-73BC1E9DF061}"/>
    <cellStyle name="Normal 8 6 11 4" xfId="41553" xr:uid="{6666E566-D3C9-4A49-B55E-04204E830033}"/>
    <cellStyle name="Normal 8 6 12" xfId="8440" xr:uid="{9981221F-63D2-4E5C-BB00-C2164B4EE3F2}"/>
    <cellStyle name="Normal 8 6 12 2" xfId="16820" xr:uid="{195C5DF4-8933-418D-8D7D-2A59792588CD}"/>
    <cellStyle name="Normal 8 6 12 2 2" xfId="33580" xr:uid="{22A99D25-00DF-4C69-AF3F-0A8ABCE687FF}"/>
    <cellStyle name="Normal 8 6 12 2 3" xfId="50339" xr:uid="{DE71C694-03DD-46B4-A966-0E01ADDC55FD}"/>
    <cellStyle name="Normal 8 6 12 3" xfId="25200" xr:uid="{8375F51C-A340-4A2F-BAA3-8F50221D0B0A}"/>
    <cellStyle name="Normal 8 6 12 4" xfId="41959" xr:uid="{EBFE29CE-EAEE-4268-A7C3-6406678EA3F9}"/>
    <cellStyle name="Normal 8 6 13" xfId="2127" xr:uid="{6C5D704D-7B02-4675-B8A1-9ADA1E9087BD}"/>
    <cellStyle name="Normal 8 6 13 2" xfId="10515" xr:uid="{DF4A6A95-DBD9-4384-8498-00F8A72627B2}"/>
    <cellStyle name="Normal 8 6 13 2 2" xfId="27275" xr:uid="{D29F80A3-D21E-47BD-A17F-4C91F07F2834}"/>
    <cellStyle name="Normal 8 6 13 2 3" xfId="44034" xr:uid="{060C76B6-3028-41B1-90F2-421F7945E5CA}"/>
    <cellStyle name="Normal 8 6 13 3" xfId="18895" xr:uid="{1D956A5E-130C-4731-860B-906F746E1632}"/>
    <cellStyle name="Normal 8 6 13 4" xfId="35654" xr:uid="{42C396C3-9C2F-4662-8CF8-D840D48F6273}"/>
    <cellStyle name="Normal 8 6 14" xfId="9124" xr:uid="{4992639E-E668-4668-882A-5BDE71002B34}"/>
    <cellStyle name="Normal 8 6 14 2" xfId="25884" xr:uid="{017F7E57-BD05-4941-BA74-9C13E945B2BB}"/>
    <cellStyle name="Normal 8 6 14 3" xfId="42643" xr:uid="{49AA84C5-1281-4123-B57F-DCEAA1CB3463}"/>
    <cellStyle name="Normal 8 6 15" xfId="17504" xr:uid="{38B2E545-1B34-4837-8C83-D022956DEC1D}"/>
    <cellStyle name="Normal 8 6 16" xfId="34263" xr:uid="{BE5B93DE-FF0F-4928-8530-948A51D85713}"/>
    <cellStyle name="Normal 8 6 2" xfId="717" xr:uid="{E11EE053-71F3-42A7-9BCD-EF32BD663D54}"/>
    <cellStyle name="Normal 8 6 2 10" xfId="8581" xr:uid="{60AEEDFE-C05A-42ED-8B05-59A065E480FF}"/>
    <cellStyle name="Normal 8 6 2 10 2" xfId="16961" xr:uid="{33FCBB8A-AD2C-41CC-825A-698299A10414}"/>
    <cellStyle name="Normal 8 6 2 10 2 2" xfId="33721" xr:uid="{826A411E-7163-427A-BF9D-65CC422376AE}"/>
    <cellStyle name="Normal 8 6 2 10 2 3" xfId="50480" xr:uid="{1A4E339B-2741-48B1-97B7-C2F4CF36C145}"/>
    <cellStyle name="Normal 8 6 2 10 3" xfId="25341" xr:uid="{307CEA4A-94E5-4977-BB71-09A7F9897EBC}"/>
    <cellStyle name="Normal 8 6 2 10 4" xfId="42100" xr:uid="{12FC3434-E9D3-46A7-BF93-AF4B567084B3}"/>
    <cellStyle name="Normal 8 6 2 11" xfId="2546" xr:uid="{4BE8FE10-9839-4B85-9FD6-77DB1F1E23AE}"/>
    <cellStyle name="Normal 8 6 2 11 2" xfId="10928" xr:uid="{87FB989B-5418-4A41-BC38-16E8D4CCD712}"/>
    <cellStyle name="Normal 8 6 2 11 2 2" xfId="27688" xr:uid="{B5B94072-BCFF-49E7-95E6-5BEDF62A265C}"/>
    <cellStyle name="Normal 8 6 2 11 2 3" xfId="44447" xr:uid="{29F60ABC-FE33-49B8-BF50-214D9466C6F6}"/>
    <cellStyle name="Normal 8 6 2 11 3" xfId="19308" xr:uid="{EBD35243-2FDF-4BE0-95FF-0650E2FA3311}"/>
    <cellStyle name="Normal 8 6 2 11 4" xfId="36067" xr:uid="{FD680A7C-31BC-4C42-97E4-D2F920AD2094}"/>
    <cellStyle name="Normal 8 6 2 12" xfId="9125" xr:uid="{3D0E82E3-8B99-41BE-961B-0884B8548B3F}"/>
    <cellStyle name="Normal 8 6 2 12 2" xfId="25885" xr:uid="{30002E78-E573-451A-A391-C23C5EF26140}"/>
    <cellStyle name="Normal 8 6 2 12 3" xfId="42644" xr:uid="{013164D1-ACB9-4F5F-9A34-26632266913B}"/>
    <cellStyle name="Normal 8 6 2 13" xfId="17505" xr:uid="{58C6E4FA-C6EE-48D0-8454-5AE555FF5794}"/>
    <cellStyle name="Normal 8 6 2 14" xfId="34264" xr:uid="{260E0E9A-FD88-48D2-87F1-D1C5CAC0BF9B}"/>
    <cellStyle name="Normal 8 6 2 2" xfId="1156" xr:uid="{3FB2062B-447F-4A91-AB8A-1FB1D4932225}"/>
    <cellStyle name="Normal 8 6 2 2 2" xfId="4551" xr:uid="{EC94B8C8-AA50-4627-ABF0-226B479D591A}"/>
    <cellStyle name="Normal 8 6 2 2 2 2" xfId="12931" xr:uid="{5DEF1083-DC4C-43B8-A190-A6FF8606A4E0}"/>
    <cellStyle name="Normal 8 6 2 2 2 2 2" xfId="29691" xr:uid="{34792162-5229-4581-891B-423FD2B26DF1}"/>
    <cellStyle name="Normal 8 6 2 2 2 2 3" xfId="46450" xr:uid="{4719D938-1A89-4FA8-990C-11E8AEC5414D}"/>
    <cellStyle name="Normal 8 6 2 2 2 3" xfId="21311" xr:uid="{DC97501C-C75F-440B-8169-F46501C06668}"/>
    <cellStyle name="Normal 8 6 2 2 2 4" xfId="38070" xr:uid="{5C676E51-1871-4CF2-A454-74D1DD9125B1}"/>
    <cellStyle name="Normal 8 6 2 2 3" xfId="6238" xr:uid="{56116C7E-F6B9-45D8-8092-CB884A4B416C}"/>
    <cellStyle name="Normal 8 6 2 2 3 2" xfId="14618" xr:uid="{E98418CE-8131-4CD6-8B83-B0AD1CC60952}"/>
    <cellStyle name="Normal 8 6 2 2 3 2 2" xfId="31378" xr:uid="{CC679069-C389-43DB-B59D-B093EFA61B4A}"/>
    <cellStyle name="Normal 8 6 2 2 3 2 3" xfId="48137" xr:uid="{396D4027-ED1C-4594-9938-D817E7275F7E}"/>
    <cellStyle name="Normal 8 6 2 2 3 3" xfId="22998" xr:uid="{8C999A91-3BDA-40D3-BC7E-17B4124D5673}"/>
    <cellStyle name="Normal 8 6 2 2 3 4" xfId="39757" xr:uid="{099B273F-03E4-40D3-87BC-6637B297463C}"/>
    <cellStyle name="Normal 8 6 2 2 4" xfId="2974" xr:uid="{0301E735-D528-4DF9-A806-C89C52B20B45}"/>
    <cellStyle name="Normal 8 6 2 2 4 2" xfId="11354" xr:uid="{5C54CEA9-F4E3-409E-9D96-68C0B799AE67}"/>
    <cellStyle name="Normal 8 6 2 2 4 2 2" xfId="28114" xr:uid="{736F510B-F1D9-4879-A683-4CFD393AB2A2}"/>
    <cellStyle name="Normal 8 6 2 2 4 2 3" xfId="44873" xr:uid="{4183F1E6-118C-46D3-A213-DF98111CE790}"/>
    <cellStyle name="Normal 8 6 2 2 4 3" xfId="19734" xr:uid="{49C08438-8474-45E4-9F68-86B0CE17049A}"/>
    <cellStyle name="Normal 8 6 2 2 4 4" xfId="36493" xr:uid="{7F214DBF-F354-456B-A365-6DD62DE823C9}"/>
    <cellStyle name="Normal 8 6 2 2 5" xfId="9551" xr:uid="{3F818C19-132A-4DA2-8045-68EB317675B2}"/>
    <cellStyle name="Normal 8 6 2 2 5 2" xfId="26311" xr:uid="{92441D77-D083-4E12-9F00-6E2FC2A5FE2A}"/>
    <cellStyle name="Normal 8 6 2 2 5 3" xfId="43070" xr:uid="{208A8808-6B24-4E3C-BA0E-FA46009E86D5}"/>
    <cellStyle name="Normal 8 6 2 2 6" xfId="17931" xr:uid="{6BC4F88D-A245-4B7F-9B21-2A4F81F3DDF6}"/>
    <cellStyle name="Normal 8 6 2 2 7" xfId="34690" xr:uid="{47F58EB0-014E-4989-AB1C-65DAF031F5F0}"/>
    <cellStyle name="Normal 8 6 2 3" xfId="1590" xr:uid="{BC3071CF-858D-4740-BDC2-F5CAE4BBE16D}"/>
    <cellStyle name="Normal 8 6 2 3 2" xfId="4979" xr:uid="{21674828-C982-47B5-A873-046E63C7D401}"/>
    <cellStyle name="Normal 8 6 2 3 2 2" xfId="13359" xr:uid="{BC45BEA5-D96E-4935-A25F-B8FE04555A89}"/>
    <cellStyle name="Normal 8 6 2 3 2 2 2" xfId="30119" xr:uid="{C66F1A62-17ED-4CFA-AF80-F7223FDEE875}"/>
    <cellStyle name="Normal 8 6 2 3 2 2 3" xfId="46878" xr:uid="{F98F5261-D31F-40BD-BB6C-C48F06120E1D}"/>
    <cellStyle name="Normal 8 6 2 3 2 3" xfId="21739" xr:uid="{6220FA3D-9810-4C7E-917E-D3BD82E176B0}"/>
    <cellStyle name="Normal 8 6 2 3 2 4" xfId="38498" xr:uid="{5F9C810D-012D-481D-B42A-67275A8C072F}"/>
    <cellStyle name="Normal 8 6 2 3 3" xfId="6666" xr:uid="{098E0683-323B-4C39-BE94-B6FDD3132797}"/>
    <cellStyle name="Normal 8 6 2 3 3 2" xfId="15046" xr:uid="{46DE7D74-8511-4C74-AFC3-F42A0EB92F42}"/>
    <cellStyle name="Normal 8 6 2 3 3 2 2" xfId="31806" xr:uid="{895C01EC-28C6-402C-97AD-6133ACDBAE43}"/>
    <cellStyle name="Normal 8 6 2 3 3 2 3" xfId="48565" xr:uid="{DFADF1B8-DBEE-4138-87D6-AFF3430FCBD3}"/>
    <cellStyle name="Normal 8 6 2 3 3 3" xfId="23426" xr:uid="{A65DAEC6-E507-414A-A668-2FE5DA791F17}"/>
    <cellStyle name="Normal 8 6 2 3 3 4" xfId="40185" xr:uid="{87A10C09-9D83-4147-A0CD-452828153223}"/>
    <cellStyle name="Normal 8 6 2 3 4" xfId="3402" xr:uid="{92F94E29-14E3-473E-815C-AB4304844074}"/>
    <cellStyle name="Normal 8 6 2 3 4 2" xfId="11782" xr:uid="{5C1F4C0C-5181-467A-9F32-8F97363A14FB}"/>
    <cellStyle name="Normal 8 6 2 3 4 2 2" xfId="28542" xr:uid="{65B76058-F9E1-42C0-B1A4-6EE4FB85B57A}"/>
    <cellStyle name="Normal 8 6 2 3 4 2 3" xfId="45301" xr:uid="{EA51C44F-C65F-4B7E-9007-0F14F8CE39A9}"/>
    <cellStyle name="Normal 8 6 2 3 4 3" xfId="20162" xr:uid="{BC554A74-E262-4DAA-B97B-B8734ACE439A}"/>
    <cellStyle name="Normal 8 6 2 3 4 4" xfId="36921" xr:uid="{DCA3B8C2-16BB-4EC7-B8FD-EA3018BE8B8B}"/>
    <cellStyle name="Normal 8 6 2 3 5" xfId="9979" xr:uid="{85FD541C-4E76-4D1E-B892-B37293DD0CAC}"/>
    <cellStyle name="Normal 8 6 2 3 5 2" xfId="26739" xr:uid="{C9111720-1DD6-42D7-AC13-BD317EDF35CA}"/>
    <cellStyle name="Normal 8 6 2 3 5 3" xfId="43498" xr:uid="{E4F10D09-279D-4E85-9D13-D2553F1F8141}"/>
    <cellStyle name="Normal 8 6 2 3 6" xfId="18359" xr:uid="{9736E979-9793-4156-BE5B-3432B8A5ECEC}"/>
    <cellStyle name="Normal 8 6 2 3 7" xfId="35118" xr:uid="{0E7671F0-BA2C-43E5-B113-9509096CA569}"/>
    <cellStyle name="Normal 8 6 2 4" xfId="1881" xr:uid="{B5E9E6F9-2240-4415-B141-504A3759E556}"/>
    <cellStyle name="Normal 8 6 2 4 2" xfId="5270" xr:uid="{41E6C5FD-A12A-4679-A4D6-19B6B1C5392E}"/>
    <cellStyle name="Normal 8 6 2 4 2 2" xfId="13650" xr:uid="{85976A8B-C7AF-4027-8A18-C3549A5A21AB}"/>
    <cellStyle name="Normal 8 6 2 4 2 2 2" xfId="30410" xr:uid="{C7076B3B-AAE4-4E1C-A999-AA446CAABA49}"/>
    <cellStyle name="Normal 8 6 2 4 2 2 3" xfId="47169" xr:uid="{2461ED14-2C91-4B30-8A73-6BDEBFB59929}"/>
    <cellStyle name="Normal 8 6 2 4 2 3" xfId="22030" xr:uid="{7F3A5411-A731-471C-9A07-9644C8FC77DD}"/>
    <cellStyle name="Normal 8 6 2 4 2 4" xfId="38789" xr:uid="{E0276AE0-C42E-4ECB-98C1-D540DD935C77}"/>
    <cellStyle name="Normal 8 6 2 4 3" xfId="6957" xr:uid="{57316B45-6575-4D54-B74A-3D5E5CA06FB9}"/>
    <cellStyle name="Normal 8 6 2 4 3 2" xfId="15337" xr:uid="{2804FBE5-0BAE-4BBF-97DA-3025CF542A75}"/>
    <cellStyle name="Normal 8 6 2 4 3 2 2" xfId="32097" xr:uid="{F2E7C10D-7B33-4580-B40A-5C0A57C81891}"/>
    <cellStyle name="Normal 8 6 2 4 3 2 3" xfId="48856" xr:uid="{4169E354-40CC-450E-8281-2976B4D683DF}"/>
    <cellStyle name="Normal 8 6 2 4 3 3" xfId="23717" xr:uid="{2F1CEE2A-2518-4358-BA5D-A809E4F11464}"/>
    <cellStyle name="Normal 8 6 2 4 3 4" xfId="40476" xr:uid="{91ADA577-BD77-4E0F-ADD8-DFC4D7440F5B}"/>
    <cellStyle name="Normal 8 6 2 4 4" xfId="3580" xr:uid="{049A5E44-3055-47B2-A4CC-3D9FF1052EE0}"/>
    <cellStyle name="Normal 8 6 2 4 4 2" xfId="11960" xr:uid="{8CFFA325-147E-493A-B313-3F699E7F69F9}"/>
    <cellStyle name="Normal 8 6 2 4 4 2 2" xfId="28720" xr:uid="{7E5E0571-D5DA-48BC-B135-102C354DB19C}"/>
    <cellStyle name="Normal 8 6 2 4 4 2 3" xfId="45479" xr:uid="{557C248A-1ABE-4D73-839F-D0755A5BACA5}"/>
    <cellStyle name="Normal 8 6 2 4 4 3" xfId="20340" xr:uid="{DD793E3A-798B-419C-B5C3-70103C46C79F}"/>
    <cellStyle name="Normal 8 6 2 4 4 4" xfId="37099" xr:uid="{FD113BD2-CC4E-4BEA-B507-735ACB6729A4}"/>
    <cellStyle name="Normal 8 6 2 4 5" xfId="10270" xr:uid="{AAEA721A-7EFF-4A59-9ABE-FB33AAF39148}"/>
    <cellStyle name="Normal 8 6 2 4 5 2" xfId="27030" xr:uid="{53B02DAC-FC7D-4F94-AA9C-0B58A5874B1A}"/>
    <cellStyle name="Normal 8 6 2 4 5 3" xfId="43789" xr:uid="{3B0BF37C-DB54-435B-AFEC-4B8EEAC0A326}"/>
    <cellStyle name="Normal 8 6 2 4 6" xfId="18650" xr:uid="{8328A55A-0B00-457E-B687-7E405F88D956}"/>
    <cellStyle name="Normal 8 6 2 4 7" xfId="35409" xr:uid="{9E776127-7E3E-4002-8D84-4577D8F8F74D}"/>
    <cellStyle name="Normal 8 6 2 5" xfId="4000" xr:uid="{CFC621DE-218F-4B4A-ACAF-04B0754CFE04}"/>
    <cellStyle name="Normal 8 6 2 5 2" xfId="12380" xr:uid="{40A7B1E1-54B0-450D-B9E0-5E227D48E5BB}"/>
    <cellStyle name="Normal 8 6 2 5 2 2" xfId="29140" xr:uid="{EACE8F1E-8921-4895-A5B0-696605BD2BCE}"/>
    <cellStyle name="Normal 8 6 2 5 2 3" xfId="45899" xr:uid="{AF0592AF-DE59-4102-B90D-D5A3A72FFEBD}"/>
    <cellStyle name="Normal 8 6 2 5 3" xfId="20760" xr:uid="{714DEB0B-1295-438F-8264-C89BC68E010E}"/>
    <cellStyle name="Normal 8 6 2 5 4" xfId="37519" xr:uid="{D4B7294F-ADCE-45EF-A6BF-B0ED77B05126}"/>
    <cellStyle name="Normal 8 6 2 6" xfId="5812" xr:uid="{D3C117AC-3621-4FC1-BEF3-C58C372C03D0}"/>
    <cellStyle name="Normal 8 6 2 6 2" xfId="14192" xr:uid="{8DCBA1DF-1844-4ACE-BEA9-2DFF9BDC9872}"/>
    <cellStyle name="Normal 8 6 2 6 2 2" xfId="30952" xr:uid="{6FF26B5A-03F3-4076-829D-34A7E5A06556}"/>
    <cellStyle name="Normal 8 6 2 6 2 3" xfId="47711" xr:uid="{77A00AA5-EE79-493A-B86B-C85DAA7000B7}"/>
    <cellStyle name="Normal 8 6 2 6 3" xfId="22572" xr:uid="{E50DE49C-8588-4BB2-B94E-ABEEDAB78E9D}"/>
    <cellStyle name="Normal 8 6 2 6 4" xfId="39331" xr:uid="{C62C7906-E351-45EA-B95A-F721E9651B98}"/>
    <cellStyle name="Normal 8 6 2 7" xfId="7363" xr:uid="{033F2072-31A8-4624-B3EE-920D63D968E0}"/>
    <cellStyle name="Normal 8 6 2 7 2" xfId="15743" xr:uid="{353CA1AD-A154-4F41-91B8-696082A82434}"/>
    <cellStyle name="Normal 8 6 2 7 2 2" xfId="32503" xr:uid="{1550F825-5182-4273-B824-E9258EF9C2C9}"/>
    <cellStyle name="Normal 8 6 2 7 2 3" xfId="49262" xr:uid="{ABBD4720-349C-405C-A6FC-441614C5D3FD}"/>
    <cellStyle name="Normal 8 6 2 7 3" xfId="24123" xr:uid="{93608130-9202-4A15-8CA2-D9B2E391CEE7}"/>
    <cellStyle name="Normal 8 6 2 7 4" xfId="40882" xr:uid="{BC01D5FC-6801-443E-8467-3C434AD83788}"/>
    <cellStyle name="Normal 8 6 2 8" xfId="7769" xr:uid="{BAEB781B-5159-4D37-99AB-5F8E6FDB01B7}"/>
    <cellStyle name="Normal 8 6 2 8 2" xfId="16149" xr:uid="{7C590683-314C-4D32-8E60-EA1A44BD85A0}"/>
    <cellStyle name="Normal 8 6 2 8 2 2" xfId="32909" xr:uid="{28D37884-7F49-4BDF-84A2-3393FD901458}"/>
    <cellStyle name="Normal 8 6 2 8 2 3" xfId="49668" xr:uid="{6D7BDD28-2300-4D8B-8DC9-5258DE0FA065}"/>
    <cellStyle name="Normal 8 6 2 8 3" xfId="24529" xr:uid="{339EB8B1-F8CB-46F0-85CD-A73193486F63}"/>
    <cellStyle name="Normal 8 6 2 8 4" xfId="41288" xr:uid="{0B90A349-58AD-4905-BDD0-F9CC126CC17A}"/>
    <cellStyle name="Normal 8 6 2 9" xfId="8175" xr:uid="{A9137EFB-087E-4147-B87D-9A549333ECAB}"/>
    <cellStyle name="Normal 8 6 2 9 2" xfId="16555" xr:uid="{15500E42-7965-4AA8-AD96-8252F296618B}"/>
    <cellStyle name="Normal 8 6 2 9 2 2" xfId="33315" xr:uid="{4BF2264C-C1C4-47FE-9DB5-6C5F3CD295E8}"/>
    <cellStyle name="Normal 8 6 2 9 2 3" xfId="50074" xr:uid="{B10FCDFF-F1BA-47CC-BF92-1F7E8280710C}"/>
    <cellStyle name="Normal 8 6 2 9 3" xfId="24935" xr:uid="{7D0F8802-3750-4ABA-BAA6-9116C14B7750}"/>
    <cellStyle name="Normal 8 6 2 9 4" xfId="41694" xr:uid="{BA24727C-9066-4C0F-8F08-EAED2FF8719C}"/>
    <cellStyle name="Normal 8 6 3" xfId="718" xr:uid="{FDD639F3-29D8-404B-9713-10361EF4A73E}"/>
    <cellStyle name="Normal 8 6 3 10" xfId="8711" xr:uid="{0F6B3614-E1BF-4D87-92B0-16C8BC0491A2}"/>
    <cellStyle name="Normal 8 6 3 10 2" xfId="17091" xr:uid="{21C1F033-821E-4E11-9DB1-9FA47B67EA7C}"/>
    <cellStyle name="Normal 8 6 3 10 2 2" xfId="33851" xr:uid="{0DA3E088-C3B6-4379-8798-C4BE060DFCFA}"/>
    <cellStyle name="Normal 8 6 3 10 2 3" xfId="50610" xr:uid="{A286F149-A9AA-4941-A217-95751B55FEF7}"/>
    <cellStyle name="Normal 8 6 3 10 3" xfId="25471" xr:uid="{27FAB3C1-0B73-4EFD-9DDA-5320E7894301}"/>
    <cellStyle name="Normal 8 6 3 10 4" xfId="42230" xr:uid="{7D564EC3-92CF-4B5F-8CFF-B46C6572F8CF}"/>
    <cellStyle name="Normal 8 6 3 11" xfId="2547" xr:uid="{86AE8289-F6D4-4495-BC08-810D1D98B17B}"/>
    <cellStyle name="Normal 8 6 3 11 2" xfId="10929" xr:uid="{BE80154E-1487-4E22-BFB1-75B41635D41B}"/>
    <cellStyle name="Normal 8 6 3 11 2 2" xfId="27689" xr:uid="{5C846F12-0AD0-49B7-94F3-05C96C04928C}"/>
    <cellStyle name="Normal 8 6 3 11 2 3" xfId="44448" xr:uid="{5ACBE2D7-DFD8-40AE-921B-9272B71E0612}"/>
    <cellStyle name="Normal 8 6 3 11 3" xfId="19309" xr:uid="{49642A9C-D291-4598-8095-431F8217182B}"/>
    <cellStyle name="Normal 8 6 3 11 4" xfId="36068" xr:uid="{B34480DA-65DF-4689-88F7-CF83319315D9}"/>
    <cellStyle name="Normal 8 6 3 12" xfId="9126" xr:uid="{99D21BEB-D8CC-4A95-B18A-2A2BC35A3C38}"/>
    <cellStyle name="Normal 8 6 3 12 2" xfId="25886" xr:uid="{65430FF3-271F-4C03-A4D1-C1E2B996BB60}"/>
    <cellStyle name="Normal 8 6 3 12 3" xfId="42645" xr:uid="{7B4C5713-32A6-458C-B643-0CC46F5F86C3}"/>
    <cellStyle name="Normal 8 6 3 13" xfId="17506" xr:uid="{08DF24AF-B53F-4A4E-9C76-E716F7965E94}"/>
    <cellStyle name="Normal 8 6 3 14" xfId="34265" xr:uid="{3D32034D-46B7-4717-BDA5-709F0C1EF3F5}"/>
    <cellStyle name="Normal 8 6 3 2" xfId="1157" xr:uid="{7ADD9CF0-4B1F-4E89-8AD4-A9E90B6DCDE9}"/>
    <cellStyle name="Normal 8 6 3 2 2" xfId="4552" xr:uid="{17230552-11B2-4C99-AFAA-FA9787D9EF12}"/>
    <cellStyle name="Normal 8 6 3 2 2 2" xfId="12932" xr:uid="{76AC3462-D970-4FAB-8AA9-57151BBE1602}"/>
    <cellStyle name="Normal 8 6 3 2 2 2 2" xfId="29692" xr:uid="{C3FED83D-F3CD-4F56-8125-4D280E22521F}"/>
    <cellStyle name="Normal 8 6 3 2 2 2 3" xfId="46451" xr:uid="{FF2923FB-A00A-4869-9679-D125B2ED125C}"/>
    <cellStyle name="Normal 8 6 3 2 2 3" xfId="21312" xr:uid="{113A219A-263E-4B2F-9A38-08F05E58825D}"/>
    <cellStyle name="Normal 8 6 3 2 2 4" xfId="38071" xr:uid="{CE8C358C-F5C3-463B-AAF0-45CAA3DDE9EF}"/>
    <cellStyle name="Normal 8 6 3 2 3" xfId="6239" xr:uid="{33ACA631-3DD7-43E2-BB18-59CEB1687AA1}"/>
    <cellStyle name="Normal 8 6 3 2 3 2" xfId="14619" xr:uid="{E6C8FFAC-0005-424F-8B53-8D53F140A1A5}"/>
    <cellStyle name="Normal 8 6 3 2 3 2 2" xfId="31379" xr:uid="{51339894-C012-4E3E-AB42-A4D4008FC0E8}"/>
    <cellStyle name="Normal 8 6 3 2 3 2 3" xfId="48138" xr:uid="{7AA37062-9076-49FA-802F-16401275B097}"/>
    <cellStyle name="Normal 8 6 3 2 3 3" xfId="22999" xr:uid="{615836A4-3ED9-45B5-BAAF-426164D46D0B}"/>
    <cellStyle name="Normal 8 6 3 2 3 4" xfId="39758" xr:uid="{859EE019-5577-492C-A856-A5B9AE252A9B}"/>
    <cellStyle name="Normal 8 6 3 2 4" xfId="2975" xr:uid="{A6109AE5-0845-4AE9-A077-EE94AA7E33C4}"/>
    <cellStyle name="Normal 8 6 3 2 4 2" xfId="11355" xr:uid="{01B060C0-846C-4AB4-8591-D98B381EA96F}"/>
    <cellStyle name="Normal 8 6 3 2 4 2 2" xfId="28115" xr:uid="{B48DE29C-1559-40D2-8A6A-FA34BE9680B7}"/>
    <cellStyle name="Normal 8 6 3 2 4 2 3" xfId="44874" xr:uid="{1908A97A-E41B-4FB0-9982-EB05B80B2534}"/>
    <cellStyle name="Normal 8 6 3 2 4 3" xfId="19735" xr:uid="{D96C70A1-6445-445C-9A0D-4419A0AFE39F}"/>
    <cellStyle name="Normal 8 6 3 2 4 4" xfId="36494" xr:uid="{0BA1A04F-A454-4AD0-B2D6-ED49ED6CB66B}"/>
    <cellStyle name="Normal 8 6 3 2 5" xfId="9552" xr:uid="{32153FDC-CA0B-44F7-A40D-4B71E69D0FA0}"/>
    <cellStyle name="Normal 8 6 3 2 5 2" xfId="26312" xr:uid="{EF0D85EC-DCB5-4F46-80EE-9FD950039F77}"/>
    <cellStyle name="Normal 8 6 3 2 5 3" xfId="43071" xr:uid="{D6E9DCA4-B2C9-432B-96EA-FF550E111DC8}"/>
    <cellStyle name="Normal 8 6 3 2 6" xfId="17932" xr:uid="{E68205AB-2343-4CD7-9D73-9D4702CA1A95}"/>
    <cellStyle name="Normal 8 6 3 2 7" xfId="34691" xr:uid="{59CD52BE-7FD0-43CF-BE71-0733656B0858}"/>
    <cellStyle name="Normal 8 6 3 3" xfId="1591" xr:uid="{CFAA076F-399E-4A4C-B138-537AF9F079F2}"/>
    <cellStyle name="Normal 8 6 3 3 2" xfId="4980" xr:uid="{C51D9065-0629-43C4-A677-136E3C706719}"/>
    <cellStyle name="Normal 8 6 3 3 2 2" xfId="13360" xr:uid="{54823B83-BD13-4418-B48F-F7CC9311A44F}"/>
    <cellStyle name="Normal 8 6 3 3 2 2 2" xfId="30120" xr:uid="{A068AD70-CF4F-4393-8177-349845AA72F4}"/>
    <cellStyle name="Normal 8 6 3 3 2 2 3" xfId="46879" xr:uid="{C620A96F-6A07-4F40-B854-8440A9A87F79}"/>
    <cellStyle name="Normal 8 6 3 3 2 3" xfId="21740" xr:uid="{3001A351-FB5B-4A58-8DE2-CF191E496421}"/>
    <cellStyle name="Normal 8 6 3 3 2 4" xfId="38499" xr:uid="{2A5E56B5-C97F-4F10-973A-7773434649B2}"/>
    <cellStyle name="Normal 8 6 3 3 3" xfId="6667" xr:uid="{2005EADE-6F6E-4D08-9670-34519F900E1B}"/>
    <cellStyle name="Normal 8 6 3 3 3 2" xfId="15047" xr:uid="{A88CAACF-C0FC-492E-A1D1-5BC10F25A118}"/>
    <cellStyle name="Normal 8 6 3 3 3 2 2" xfId="31807" xr:uid="{C6B46EED-F15B-43E6-B0BE-D2DD8BAD1694}"/>
    <cellStyle name="Normal 8 6 3 3 3 2 3" xfId="48566" xr:uid="{DD292317-F3BB-4C83-A5DD-2A6363FB63A0}"/>
    <cellStyle name="Normal 8 6 3 3 3 3" xfId="23427" xr:uid="{AB21B7C5-7A34-4C65-80D4-39AF10823406}"/>
    <cellStyle name="Normal 8 6 3 3 3 4" xfId="40186" xr:uid="{CF8B903E-9ADC-49CB-8DDD-DEC54834214F}"/>
    <cellStyle name="Normal 8 6 3 3 4" xfId="3403" xr:uid="{015D610B-0146-4968-BC94-BF4A1D344FBA}"/>
    <cellStyle name="Normal 8 6 3 3 4 2" xfId="11783" xr:uid="{0620EDF9-A379-4383-A528-4BE6A526BA49}"/>
    <cellStyle name="Normal 8 6 3 3 4 2 2" xfId="28543" xr:uid="{F6BC9A56-E85F-419E-991F-766D8909CC64}"/>
    <cellStyle name="Normal 8 6 3 3 4 2 3" xfId="45302" xr:uid="{5F111B6D-9C59-4013-B35C-9510BB8652DA}"/>
    <cellStyle name="Normal 8 6 3 3 4 3" xfId="20163" xr:uid="{2A625F68-8960-4B30-B357-EED4B3778A8C}"/>
    <cellStyle name="Normal 8 6 3 3 4 4" xfId="36922" xr:uid="{7F5DE9A9-D36E-42CF-A708-B86085716CB7}"/>
    <cellStyle name="Normal 8 6 3 3 5" xfId="9980" xr:uid="{1A417F06-AC46-44E7-846D-5D90C3606897}"/>
    <cellStyle name="Normal 8 6 3 3 5 2" xfId="26740" xr:uid="{9601A201-4BE6-4C7C-A70F-481DB4A0CC73}"/>
    <cellStyle name="Normal 8 6 3 3 5 3" xfId="43499" xr:uid="{0C76190A-55DC-4B04-9457-A6F2BA478FE1}"/>
    <cellStyle name="Normal 8 6 3 3 6" xfId="18360" xr:uid="{72B6BC7C-DB19-45AF-8449-1BBF1B3D56B2}"/>
    <cellStyle name="Normal 8 6 3 3 7" xfId="35119" xr:uid="{1EB9E908-CDD9-4D91-ABB2-703E68E53194}"/>
    <cellStyle name="Normal 8 6 3 4" xfId="2011" xr:uid="{35EFABC1-5C02-42FD-AE48-1460FAB034A4}"/>
    <cellStyle name="Normal 8 6 3 4 2" xfId="5400" xr:uid="{7C37D251-D051-4DF6-A6DF-0E4E8546FED5}"/>
    <cellStyle name="Normal 8 6 3 4 2 2" xfId="13780" xr:uid="{714FCC90-A581-41EF-9BAB-3B8A5A1715F3}"/>
    <cellStyle name="Normal 8 6 3 4 2 2 2" xfId="30540" xr:uid="{56F4F8ED-0922-4681-85D3-3F8EE647BFE8}"/>
    <cellStyle name="Normal 8 6 3 4 2 2 3" xfId="47299" xr:uid="{8DBD6E1C-6F70-4AD0-8F8B-B7E9DAAF0B62}"/>
    <cellStyle name="Normal 8 6 3 4 2 3" xfId="22160" xr:uid="{767E2266-BE1E-446A-A1F4-6E02372150B2}"/>
    <cellStyle name="Normal 8 6 3 4 2 4" xfId="38919" xr:uid="{BA00575A-4D71-420D-B901-8E1583EE4EA4}"/>
    <cellStyle name="Normal 8 6 3 4 3" xfId="7087" xr:uid="{2C44ADC9-EDC4-4D07-BADE-87D4C012EE1B}"/>
    <cellStyle name="Normal 8 6 3 4 3 2" xfId="15467" xr:uid="{29798B84-EA96-4F83-AEEE-E20BC47575BC}"/>
    <cellStyle name="Normal 8 6 3 4 3 2 2" xfId="32227" xr:uid="{2898C261-23BE-4B7C-8808-13759A478CB3}"/>
    <cellStyle name="Normal 8 6 3 4 3 2 3" xfId="48986" xr:uid="{C771BFF6-B8FA-482C-BFB9-DDDF5AE8964B}"/>
    <cellStyle name="Normal 8 6 3 4 3 3" xfId="23847" xr:uid="{B1C674F9-FB94-4620-8C7B-0E984D562267}"/>
    <cellStyle name="Normal 8 6 3 4 3 4" xfId="40606" xr:uid="{E34B5EE2-87C5-4E91-9165-C5DB4816D389}"/>
    <cellStyle name="Normal 8 6 3 4 4" xfId="3710" xr:uid="{0893D01F-4BAA-4867-A724-FE31C51C04F4}"/>
    <cellStyle name="Normal 8 6 3 4 4 2" xfId="12090" xr:uid="{2F3470C8-4B83-4961-B3F3-7C100307334F}"/>
    <cellStyle name="Normal 8 6 3 4 4 2 2" xfId="28850" xr:uid="{84EF17DA-F39B-453F-BCE1-5C955F528E6E}"/>
    <cellStyle name="Normal 8 6 3 4 4 2 3" xfId="45609" xr:uid="{BEA1DAF5-000C-4DD2-BA00-C30FCD9231EE}"/>
    <cellStyle name="Normal 8 6 3 4 4 3" xfId="20470" xr:uid="{C0E2EA1D-0009-4A8D-B77D-811482CFE09C}"/>
    <cellStyle name="Normal 8 6 3 4 4 4" xfId="37229" xr:uid="{D5AA5411-5BB2-4993-A697-970CF4FC0B8D}"/>
    <cellStyle name="Normal 8 6 3 4 5" xfId="10400" xr:uid="{3A59E1A3-C6E8-4629-AD1E-4162FAF46710}"/>
    <cellStyle name="Normal 8 6 3 4 5 2" xfId="27160" xr:uid="{E2115784-5239-46A8-9EFE-1FD233907178}"/>
    <cellStyle name="Normal 8 6 3 4 5 3" xfId="43919" xr:uid="{2C331161-1B29-400D-A6A5-53D0290BCD39}"/>
    <cellStyle name="Normal 8 6 3 4 6" xfId="18780" xr:uid="{FBB1E305-936D-4955-9676-AFDA38526261}"/>
    <cellStyle name="Normal 8 6 3 4 7" xfId="35539" xr:uid="{79EEE7FE-832F-4F58-95E5-DFD4CF5509E9}"/>
    <cellStyle name="Normal 8 6 3 5" xfId="4130" xr:uid="{4C7E8945-F665-4449-B285-9CFF69FAC9C9}"/>
    <cellStyle name="Normal 8 6 3 5 2" xfId="12510" xr:uid="{709935DC-6E77-4F65-B02A-07ABB18648D0}"/>
    <cellStyle name="Normal 8 6 3 5 2 2" xfId="29270" xr:uid="{DC535D7F-CF97-42BD-88A3-30DD559B7C94}"/>
    <cellStyle name="Normal 8 6 3 5 2 3" xfId="46029" xr:uid="{B465AC6D-4275-4AD7-87E9-C86B43C13B2D}"/>
    <cellStyle name="Normal 8 6 3 5 3" xfId="20890" xr:uid="{C6E4DD8B-1381-4A04-8FD0-1D1BC76D870C}"/>
    <cellStyle name="Normal 8 6 3 5 4" xfId="37649" xr:uid="{7E6D0F09-15F7-495A-85ED-867A00A94DF2}"/>
    <cellStyle name="Normal 8 6 3 6" xfId="5813" xr:uid="{A86FCEC5-19AD-4BDA-ACDD-ACF177E2BACC}"/>
    <cellStyle name="Normal 8 6 3 6 2" xfId="14193" xr:uid="{F9A0E7EE-E030-4BF3-BF87-C2F6E5CF63BF}"/>
    <cellStyle name="Normal 8 6 3 6 2 2" xfId="30953" xr:uid="{BFC439AC-6E22-4EB8-9D03-AAE123C6DE0F}"/>
    <cellStyle name="Normal 8 6 3 6 2 3" xfId="47712" xr:uid="{FAF61543-88F0-499D-AE23-3031AF83FE59}"/>
    <cellStyle name="Normal 8 6 3 6 3" xfId="22573" xr:uid="{878C7B9D-1004-4654-AB05-3AF6D8A7F472}"/>
    <cellStyle name="Normal 8 6 3 6 4" xfId="39332" xr:uid="{15C53445-5011-4EC6-A955-C7A2E54408D3}"/>
    <cellStyle name="Normal 8 6 3 7" xfId="7493" xr:uid="{91295004-314D-421F-B486-4718C31DF8F5}"/>
    <cellStyle name="Normal 8 6 3 7 2" xfId="15873" xr:uid="{61201D22-668A-4EC8-95BD-818BF918E919}"/>
    <cellStyle name="Normal 8 6 3 7 2 2" xfId="32633" xr:uid="{9EA7CBC4-5BB9-409B-86A9-8C16C1C8D2F7}"/>
    <cellStyle name="Normal 8 6 3 7 2 3" xfId="49392" xr:uid="{23ABE7CB-CCE7-46E9-9A1D-28CA7BAF0994}"/>
    <cellStyle name="Normal 8 6 3 7 3" xfId="24253" xr:uid="{AD6675A9-5282-460F-9818-305C065DA00F}"/>
    <cellStyle name="Normal 8 6 3 7 4" xfId="41012" xr:uid="{8E28D601-36E2-45CF-B42E-B911195C0BB6}"/>
    <cellStyle name="Normal 8 6 3 8" xfId="7899" xr:uid="{D69D8A8E-5900-453A-A626-959EBEB4FF34}"/>
    <cellStyle name="Normal 8 6 3 8 2" xfId="16279" xr:uid="{7583389C-41CE-4D2F-8951-1CFBC64FB586}"/>
    <cellStyle name="Normal 8 6 3 8 2 2" xfId="33039" xr:uid="{D2782A77-67F6-4A9B-9DE3-EA637D33F42E}"/>
    <cellStyle name="Normal 8 6 3 8 2 3" xfId="49798" xr:uid="{BDAE4B7A-ABA2-458B-8481-B65023407621}"/>
    <cellStyle name="Normal 8 6 3 8 3" xfId="24659" xr:uid="{8A5F78ED-B1C2-4903-8C2E-7C1A7388CD33}"/>
    <cellStyle name="Normal 8 6 3 8 4" xfId="41418" xr:uid="{A838007C-6679-4C8C-9CCD-A3E4EE1D9E47}"/>
    <cellStyle name="Normal 8 6 3 9" xfId="8305" xr:uid="{E8454467-2E11-4165-A7B9-7894A97C0407}"/>
    <cellStyle name="Normal 8 6 3 9 2" xfId="16685" xr:uid="{43AF0654-3D6A-426D-A771-05DA2542A03B}"/>
    <cellStyle name="Normal 8 6 3 9 2 2" xfId="33445" xr:uid="{B365E5FF-DFC7-427A-AF0C-CE70527CFDB6}"/>
    <cellStyle name="Normal 8 6 3 9 2 3" xfId="50204" xr:uid="{5FD0EA24-8263-41B8-B4EB-F43AFA468173}"/>
    <cellStyle name="Normal 8 6 3 9 3" xfId="25065" xr:uid="{99BF9DEC-C659-4678-822D-1625DD92265F}"/>
    <cellStyle name="Normal 8 6 3 9 4" xfId="41824" xr:uid="{2378DEA5-A8A7-4D2D-9A3B-6EA0194547ED}"/>
    <cellStyle name="Normal 8 6 4" xfId="1155" xr:uid="{7574BD48-7B79-420A-A088-68D867A9BA08}"/>
    <cellStyle name="Normal 8 6 4 2" xfId="4550" xr:uid="{56417A70-EA92-45C6-A772-8348C5D5290A}"/>
    <cellStyle name="Normal 8 6 4 2 2" xfId="12930" xr:uid="{CA078D80-BDD4-4887-97AE-51AE6C2FE5F8}"/>
    <cellStyle name="Normal 8 6 4 2 2 2" xfId="29690" xr:uid="{1E50678E-C697-4B6B-A018-AE9C6C3F0A15}"/>
    <cellStyle name="Normal 8 6 4 2 2 3" xfId="46449" xr:uid="{1EAC0F7A-F447-4649-AADA-5B955820AC77}"/>
    <cellStyle name="Normal 8 6 4 2 3" xfId="21310" xr:uid="{D1118C16-A9C8-47A9-9C11-DAD500235BC7}"/>
    <cellStyle name="Normal 8 6 4 2 4" xfId="38069" xr:uid="{7DB404C5-33C7-42B5-9E61-40875783D4C0}"/>
    <cellStyle name="Normal 8 6 4 3" xfId="6237" xr:uid="{85B65A29-BD3D-4DD1-8D05-0BB2C08B5F96}"/>
    <cellStyle name="Normal 8 6 4 3 2" xfId="14617" xr:uid="{BD7AAF41-36B0-4702-BBA5-2F2D9BA5A441}"/>
    <cellStyle name="Normal 8 6 4 3 2 2" xfId="31377" xr:uid="{2EFFF499-F452-4015-A2B9-CB4414CB6299}"/>
    <cellStyle name="Normal 8 6 4 3 2 3" xfId="48136" xr:uid="{402C5257-B740-40D1-81CE-4649DDC1C057}"/>
    <cellStyle name="Normal 8 6 4 3 3" xfId="22997" xr:uid="{337E9F58-93C1-4A0A-BDA1-489DB12C5022}"/>
    <cellStyle name="Normal 8 6 4 3 4" xfId="39756" xr:uid="{DD192E9D-C62D-4287-8AA6-1B36AF709B47}"/>
    <cellStyle name="Normal 8 6 4 4" xfId="2973" xr:uid="{27C93F13-9E14-4861-8A01-BED1EB8E02B4}"/>
    <cellStyle name="Normal 8 6 4 4 2" xfId="11353" xr:uid="{8F97FD18-1EA4-4005-8161-344F17C2F9E3}"/>
    <cellStyle name="Normal 8 6 4 4 2 2" xfId="28113" xr:uid="{BA799A74-4C07-42C7-8090-77109A5197A8}"/>
    <cellStyle name="Normal 8 6 4 4 2 3" xfId="44872" xr:uid="{D054DA6C-29EA-41BB-892E-5C887F129403}"/>
    <cellStyle name="Normal 8 6 4 4 3" xfId="19733" xr:uid="{BB4009DA-8387-4431-84D5-FCFEA7D1C4D8}"/>
    <cellStyle name="Normal 8 6 4 4 4" xfId="36492" xr:uid="{DC342C79-2771-4B07-9C0D-988135128FD6}"/>
    <cellStyle name="Normal 8 6 4 5" xfId="9550" xr:uid="{77F8B864-0EEE-42F5-8191-507D5613799F}"/>
    <cellStyle name="Normal 8 6 4 5 2" xfId="26310" xr:uid="{E2080F9C-9361-4DF4-A1D2-529DB5050D6F}"/>
    <cellStyle name="Normal 8 6 4 5 3" xfId="43069" xr:uid="{6B378F11-42BF-4A03-B437-9F1D4791340D}"/>
    <cellStyle name="Normal 8 6 4 6" xfId="17930" xr:uid="{87512E4F-7663-4E37-BA42-70B722B737B8}"/>
    <cellStyle name="Normal 8 6 4 7" xfId="34689" xr:uid="{21959B0D-6D96-44D1-9F0C-9EB4927CC16B}"/>
    <cellStyle name="Normal 8 6 5" xfId="1589" xr:uid="{CF7339DA-6A4A-413C-8F03-6EDA76959870}"/>
    <cellStyle name="Normal 8 6 5 2" xfId="4978" xr:uid="{49B44453-1770-4A12-B556-5BA625CE97B4}"/>
    <cellStyle name="Normal 8 6 5 2 2" xfId="13358" xr:uid="{78D10320-3782-4F82-9CBB-2359289F60A5}"/>
    <cellStyle name="Normal 8 6 5 2 2 2" xfId="30118" xr:uid="{B4B0EC68-F967-46E7-BC19-E73F2592A665}"/>
    <cellStyle name="Normal 8 6 5 2 2 3" xfId="46877" xr:uid="{D7898280-B598-47F1-AD26-682ECFC2E677}"/>
    <cellStyle name="Normal 8 6 5 2 3" xfId="21738" xr:uid="{BE9FD1EC-498C-4AEA-8AB6-D1B9A13CB4C0}"/>
    <cellStyle name="Normal 8 6 5 2 4" xfId="38497" xr:uid="{E82F808E-0565-4285-B9C6-6AD482B679D0}"/>
    <cellStyle name="Normal 8 6 5 3" xfId="6665" xr:uid="{A179ADF0-9DB6-4EDD-84F6-90969F657995}"/>
    <cellStyle name="Normal 8 6 5 3 2" xfId="15045" xr:uid="{EE18E519-64F8-4D6A-BD02-AA5757CB2ECD}"/>
    <cellStyle name="Normal 8 6 5 3 2 2" xfId="31805" xr:uid="{FB934425-9D7A-44B9-A8E3-5418FA5ECC3C}"/>
    <cellStyle name="Normal 8 6 5 3 2 3" xfId="48564" xr:uid="{EEF4877D-565D-4F88-B8E1-C0436E82592E}"/>
    <cellStyle name="Normal 8 6 5 3 3" xfId="23425" xr:uid="{5ACB338B-4513-4D06-8F23-DD75865A55DB}"/>
    <cellStyle name="Normal 8 6 5 3 4" xfId="40184" xr:uid="{55C71981-8A46-46F8-AAD0-A9CCF27BCC90}"/>
    <cellStyle name="Normal 8 6 5 4" xfId="3401" xr:uid="{794CFFF8-398A-400C-87B0-8441DEFA3D10}"/>
    <cellStyle name="Normal 8 6 5 4 2" xfId="11781" xr:uid="{185A45FD-9DB6-4EFF-861C-778B9D38E85B}"/>
    <cellStyle name="Normal 8 6 5 4 2 2" xfId="28541" xr:uid="{BAB69FF9-B8C7-47B5-A2DC-6C11868F7351}"/>
    <cellStyle name="Normal 8 6 5 4 2 3" xfId="45300" xr:uid="{6856C56A-ED11-4EEB-90B0-A912FB36FF00}"/>
    <cellStyle name="Normal 8 6 5 4 3" xfId="20161" xr:uid="{45238B2F-8453-4513-BE6A-0DA9F86E0A9A}"/>
    <cellStyle name="Normal 8 6 5 4 4" xfId="36920" xr:uid="{1852FD90-64B1-4B6D-8EA2-82FD8DE43514}"/>
    <cellStyle name="Normal 8 6 5 5" xfId="9978" xr:uid="{E8F63C24-164A-4A65-B39C-B53DB999E2FB}"/>
    <cellStyle name="Normal 8 6 5 5 2" xfId="26738" xr:uid="{7610716E-5B7D-4E9B-8D72-3A700B6E296A}"/>
    <cellStyle name="Normal 8 6 5 5 3" xfId="43497" xr:uid="{F3CAB289-1B43-4E45-9661-9D383A0795AB}"/>
    <cellStyle name="Normal 8 6 5 6" xfId="18358" xr:uid="{52A61A00-92E0-489C-82B1-1D9894CE5626}"/>
    <cellStyle name="Normal 8 6 5 7" xfId="35117" xr:uid="{BC00D2F6-E461-4F9C-89F0-4D2EFFF267C1}"/>
    <cellStyle name="Normal 8 6 6" xfId="1740" xr:uid="{6254D14C-778C-4645-866B-B71DC8C2CE42}"/>
    <cellStyle name="Normal 8 6 6 2" xfId="5129" xr:uid="{1D105A37-C2E4-49D0-9736-21BE550A42E0}"/>
    <cellStyle name="Normal 8 6 6 2 2" xfId="13509" xr:uid="{DA208620-A3EC-464C-9E35-33DE5D387F24}"/>
    <cellStyle name="Normal 8 6 6 2 2 2" xfId="30269" xr:uid="{39EEDA0E-9A52-4E56-8180-10A12C139DF6}"/>
    <cellStyle name="Normal 8 6 6 2 2 3" xfId="47028" xr:uid="{5B6B41A8-6DDC-4F0A-8F20-4E75F1F49A43}"/>
    <cellStyle name="Normal 8 6 6 2 3" xfId="21889" xr:uid="{B9D3C787-99A0-4DD8-91F8-990925ECE315}"/>
    <cellStyle name="Normal 8 6 6 2 4" xfId="38648" xr:uid="{07C558DC-A16A-493C-9AFB-B8ECDB6B3879}"/>
    <cellStyle name="Normal 8 6 6 3" xfId="6816" xr:uid="{806C4D46-75A4-422E-A42B-CD94BAEBA3EE}"/>
    <cellStyle name="Normal 8 6 6 3 2" xfId="15196" xr:uid="{7F232F6A-D818-4CC6-B5A1-5F6C6C608781}"/>
    <cellStyle name="Normal 8 6 6 3 2 2" xfId="31956" xr:uid="{73225B85-4641-4B47-BF90-3DA20FDF0A52}"/>
    <cellStyle name="Normal 8 6 6 3 2 3" xfId="48715" xr:uid="{6C73BCD1-6D8B-4607-AB16-62A749663660}"/>
    <cellStyle name="Normal 8 6 6 3 3" xfId="23576" xr:uid="{85A48C5C-94CA-4810-A8C7-7C643D87BE98}"/>
    <cellStyle name="Normal 8 6 6 3 4" xfId="40335" xr:uid="{9CF78045-81DD-4B0D-A947-DE2DF274D130}"/>
    <cellStyle name="Normal 8 6 6 4" xfId="2545" xr:uid="{9D033E59-FA2F-4693-A2BF-535A4377ACFE}"/>
    <cellStyle name="Normal 8 6 6 4 2" xfId="10927" xr:uid="{735C0DEC-6413-4C16-BB67-A39C2AC1A6BA}"/>
    <cellStyle name="Normal 8 6 6 4 2 2" xfId="27687" xr:uid="{980B6111-514B-4159-A04E-08EA80CAFBA6}"/>
    <cellStyle name="Normal 8 6 6 4 2 3" xfId="44446" xr:uid="{20FACCD2-BD61-4B28-A136-BF998DBDE8A0}"/>
    <cellStyle name="Normal 8 6 6 4 3" xfId="19307" xr:uid="{D94C1EAD-B0A5-431D-AF99-CBC7B605CE7A}"/>
    <cellStyle name="Normal 8 6 6 4 4" xfId="36066" xr:uid="{36A39A0E-A8C4-4E03-820F-5FDA021EF0EA}"/>
    <cellStyle name="Normal 8 6 6 5" xfId="10129" xr:uid="{2FBFFB48-6322-48D2-9D8C-63DBDF2135D7}"/>
    <cellStyle name="Normal 8 6 6 5 2" xfId="26889" xr:uid="{BB5ED751-2FF2-40DE-8CDB-855EDC63F6C7}"/>
    <cellStyle name="Normal 8 6 6 5 3" xfId="43648" xr:uid="{57ACB520-D3F0-484D-A074-EF93659C3078}"/>
    <cellStyle name="Normal 8 6 6 6" xfId="18509" xr:uid="{A608233D-DCD2-49E7-8F7B-1CE2D17987CA}"/>
    <cellStyle name="Normal 8 6 6 7" xfId="35268" xr:uid="{B3B6478A-1026-4599-A5C0-405E53CB7F0C}"/>
    <cellStyle name="Normal 8 6 7" xfId="3859" xr:uid="{E572AAF4-8214-4385-9326-42747E75ABA5}"/>
    <cellStyle name="Normal 8 6 7 2" xfId="12239" xr:uid="{11CE50FD-E9A2-4D76-A6B5-DEB3C683272A}"/>
    <cellStyle name="Normal 8 6 7 2 2" xfId="28999" xr:uid="{67896BD7-4223-4C4F-9C81-EE55B85F9F13}"/>
    <cellStyle name="Normal 8 6 7 2 3" xfId="45758" xr:uid="{EDEF1256-8214-45D1-918B-0042D9CF2EBD}"/>
    <cellStyle name="Normal 8 6 7 3" xfId="20619" xr:uid="{A4E85488-8043-45D3-96AE-2BB9A657867A}"/>
    <cellStyle name="Normal 8 6 7 4" xfId="37378" xr:uid="{5AF4C5F3-C85D-441B-9B1B-0909263D1720}"/>
    <cellStyle name="Normal 8 6 8" xfId="5811" xr:uid="{D47A021B-E3E1-499B-A5F0-126473D4C267}"/>
    <cellStyle name="Normal 8 6 8 2" xfId="14191" xr:uid="{CB417E58-76DC-4AC2-AF8A-0367E3A2761D}"/>
    <cellStyle name="Normal 8 6 8 2 2" xfId="30951" xr:uid="{2CB76B32-31B1-4C7A-94DE-D006CADDE4F8}"/>
    <cellStyle name="Normal 8 6 8 2 3" xfId="47710" xr:uid="{93C1411C-879E-4355-9A07-397FFCD9F690}"/>
    <cellStyle name="Normal 8 6 8 3" xfId="22571" xr:uid="{DBFC60F2-4B59-4C73-A692-C83C6E44C7FF}"/>
    <cellStyle name="Normal 8 6 8 4" xfId="39330" xr:uid="{343FFD8B-7834-4593-AB82-D7DD38BC69BF}"/>
    <cellStyle name="Normal 8 6 9" xfId="7222" xr:uid="{ED78B3B1-5A03-4AAD-952D-20FCD8807B97}"/>
    <cellStyle name="Normal 8 6 9 2" xfId="15602" xr:uid="{C7D8FF0A-F3F2-4035-933C-173B938515EA}"/>
    <cellStyle name="Normal 8 6 9 2 2" xfId="32362" xr:uid="{C051D43C-F896-434B-ABD8-150E43CADEE1}"/>
    <cellStyle name="Normal 8 6 9 2 3" xfId="49121" xr:uid="{46B9F0F1-6ED1-4066-AA5C-F800CFC33235}"/>
    <cellStyle name="Normal 8 6 9 3" xfId="23982" xr:uid="{616A3CA2-E842-408D-9A22-F92D734BB2C8}"/>
    <cellStyle name="Normal 8 6 9 4" xfId="40741" xr:uid="{A4E08868-9B38-432A-B133-91A6607F2359}"/>
    <cellStyle name="Normal 8 7" xfId="719" xr:uid="{40FA3732-C5AA-47BF-B29B-D2A7C202F652}"/>
    <cellStyle name="Normal 8 7 10" xfId="8570" xr:uid="{1819B5D9-6D76-4675-920D-79C318F05C77}"/>
    <cellStyle name="Normal 8 7 10 2" xfId="16950" xr:uid="{7DD7EF5C-64E9-4163-9E29-8580F6AF747B}"/>
    <cellStyle name="Normal 8 7 10 2 2" xfId="33710" xr:uid="{AB027C67-FB30-4F26-8DD6-55AE518873E2}"/>
    <cellStyle name="Normal 8 7 10 2 3" xfId="50469" xr:uid="{04DABF21-3A6F-4629-B134-3B20C46679A7}"/>
    <cellStyle name="Normal 8 7 10 3" xfId="25330" xr:uid="{4032924B-57B8-45AC-AEDD-32A8238EBC63}"/>
    <cellStyle name="Normal 8 7 10 4" xfId="42089" xr:uid="{CD35672E-7885-44AB-BE98-370325926892}"/>
    <cellStyle name="Normal 8 7 11" xfId="2548" xr:uid="{8D24B07A-D95C-4A5F-A3B7-60AB92DE07FB}"/>
    <cellStyle name="Normal 8 7 11 2" xfId="10930" xr:uid="{466E97E0-C840-4CC4-AFA6-0B298A23F049}"/>
    <cellStyle name="Normal 8 7 11 2 2" xfId="27690" xr:uid="{97E5578D-47E1-41CA-96C9-E5B02C05E963}"/>
    <cellStyle name="Normal 8 7 11 2 3" xfId="44449" xr:uid="{9E4CF3A5-2FD4-44AB-A1F2-77782829EFAF}"/>
    <cellStyle name="Normal 8 7 11 3" xfId="19310" xr:uid="{00745B4B-15E5-4EA7-84ED-51B24FCC725D}"/>
    <cellStyle name="Normal 8 7 11 4" xfId="36069" xr:uid="{7D536B7D-6827-4316-9BE9-0E8311C1119A}"/>
    <cellStyle name="Normal 8 7 12" xfId="9127" xr:uid="{17C1887C-B2A3-4943-B4C6-44A79219809A}"/>
    <cellStyle name="Normal 8 7 12 2" xfId="25887" xr:uid="{9411F7CA-CF68-42C7-823B-7D4E48BD6A4D}"/>
    <cellStyle name="Normal 8 7 12 3" xfId="42646" xr:uid="{9662D27A-CF19-4312-BBDC-5885E03CC843}"/>
    <cellStyle name="Normal 8 7 13" xfId="17507" xr:uid="{CA7D23E0-9A4E-408D-B618-AE9BA4D9C68C}"/>
    <cellStyle name="Normal 8 7 14" xfId="34266" xr:uid="{3DA67EAE-2E8A-4F38-A00F-5B954E93B672}"/>
    <cellStyle name="Normal 8 7 2" xfId="1158" xr:uid="{F10D1DFA-B7C1-42C6-A52C-CD352CBF6795}"/>
    <cellStyle name="Normal 8 7 2 2" xfId="4553" xr:uid="{7A3800F8-5946-4544-B94C-ABD8D371A327}"/>
    <cellStyle name="Normal 8 7 2 2 2" xfId="12933" xr:uid="{48BFDBA6-F660-4BB3-BFD8-7818F7CA3C8A}"/>
    <cellStyle name="Normal 8 7 2 2 2 2" xfId="29693" xr:uid="{FF948BC8-1E39-42BC-A9AF-C1AB31682ED8}"/>
    <cellStyle name="Normal 8 7 2 2 2 3" xfId="46452" xr:uid="{D4C42166-47C6-4345-B043-518A4956E15C}"/>
    <cellStyle name="Normal 8 7 2 2 3" xfId="21313" xr:uid="{414D78DF-3BEF-4F56-8D91-274F1177A632}"/>
    <cellStyle name="Normal 8 7 2 2 4" xfId="38072" xr:uid="{9131A952-E0C9-4EBD-B8C8-6848CCBA6582}"/>
    <cellStyle name="Normal 8 7 2 3" xfId="6240" xr:uid="{D2FF6EBB-D07B-40E8-8BD9-BBDF5089A2BE}"/>
    <cellStyle name="Normal 8 7 2 3 2" xfId="14620" xr:uid="{310D367C-A22D-4C5F-8FB3-67B5228A4FB8}"/>
    <cellStyle name="Normal 8 7 2 3 2 2" xfId="31380" xr:uid="{F3927CB0-C2EF-48F9-B12C-BE2574F6C17B}"/>
    <cellStyle name="Normal 8 7 2 3 2 3" xfId="48139" xr:uid="{1E6A345F-9BA1-4761-8645-7A637521E3C0}"/>
    <cellStyle name="Normal 8 7 2 3 3" xfId="23000" xr:uid="{7D9DE972-C2B8-4CC1-849B-B563AE2D48C5}"/>
    <cellStyle name="Normal 8 7 2 3 4" xfId="39759" xr:uid="{B8D5C31D-639D-4D61-ABBC-B01EF19C58AB}"/>
    <cellStyle name="Normal 8 7 2 4" xfId="2976" xr:uid="{12C7FEF6-4782-42EE-9705-18B1483F8EEC}"/>
    <cellStyle name="Normal 8 7 2 4 2" xfId="11356" xr:uid="{3E999139-6090-4E4F-A95C-AEEC86DBBE8E}"/>
    <cellStyle name="Normal 8 7 2 4 2 2" xfId="28116" xr:uid="{FF9901F0-F59C-4138-874A-2C6A8B2044B1}"/>
    <cellStyle name="Normal 8 7 2 4 2 3" xfId="44875" xr:uid="{440C3904-8C4E-47EE-A66B-6DE45DC13525}"/>
    <cellStyle name="Normal 8 7 2 4 3" xfId="19736" xr:uid="{C80DDA43-79C5-4B91-BBC0-585920E7B5CA}"/>
    <cellStyle name="Normal 8 7 2 4 4" xfId="36495" xr:uid="{3C792B3A-38D1-41A4-8130-B0C8D910293D}"/>
    <cellStyle name="Normal 8 7 2 5" xfId="9553" xr:uid="{A39F5454-10C4-4B99-8DF8-B0D12B298D3A}"/>
    <cellStyle name="Normal 8 7 2 5 2" xfId="26313" xr:uid="{64514629-D18F-4A1C-81BA-C24F67204EEC}"/>
    <cellStyle name="Normal 8 7 2 5 3" xfId="43072" xr:uid="{38BD05FB-13F0-497A-80D3-7A8985093E81}"/>
    <cellStyle name="Normal 8 7 2 6" xfId="17933" xr:uid="{26BC8EA4-472B-4A4B-BA17-EBDAC9938289}"/>
    <cellStyle name="Normal 8 7 2 7" xfId="34692" xr:uid="{BBD6658C-DF84-4DE4-B6ED-4ACAB7D36535}"/>
    <cellStyle name="Normal 8 7 3" xfId="1592" xr:uid="{4C0A553F-0199-407D-B6B6-DF21111108CF}"/>
    <cellStyle name="Normal 8 7 3 2" xfId="4981" xr:uid="{38130A8E-3746-49D0-A542-30805DC3F785}"/>
    <cellStyle name="Normal 8 7 3 2 2" xfId="13361" xr:uid="{76D42920-55FE-4E4B-88C6-2BB884AC594C}"/>
    <cellStyle name="Normal 8 7 3 2 2 2" xfId="30121" xr:uid="{CB0AB415-C735-4C16-BC08-03AD6039C97E}"/>
    <cellStyle name="Normal 8 7 3 2 2 3" xfId="46880" xr:uid="{C216B281-0B13-48EE-97DF-C0AFF89AD2FE}"/>
    <cellStyle name="Normal 8 7 3 2 3" xfId="21741" xr:uid="{2CF8A9E6-3FF1-45D6-B3B4-ECD893C52156}"/>
    <cellStyle name="Normal 8 7 3 2 4" xfId="38500" xr:uid="{1A3D039A-5EF6-4861-A081-D8CFC800FDE0}"/>
    <cellStyle name="Normal 8 7 3 3" xfId="6668" xr:uid="{9FE2A571-B71C-4D00-BDD3-256FA80B3EFC}"/>
    <cellStyle name="Normal 8 7 3 3 2" xfId="15048" xr:uid="{1CC9FC06-C3D0-44D9-BAE8-1200D539AD1D}"/>
    <cellStyle name="Normal 8 7 3 3 2 2" xfId="31808" xr:uid="{E7958C00-EB8D-486B-B4B5-548731CB7537}"/>
    <cellStyle name="Normal 8 7 3 3 2 3" xfId="48567" xr:uid="{46F4EEC3-93EB-4442-A54B-32CF970A3D81}"/>
    <cellStyle name="Normal 8 7 3 3 3" xfId="23428" xr:uid="{5E4A864A-CE01-41C9-B9FC-B5BEEB764D8B}"/>
    <cellStyle name="Normal 8 7 3 3 4" xfId="40187" xr:uid="{AE32B958-1FAF-4576-8A01-7E018B1F49F2}"/>
    <cellStyle name="Normal 8 7 3 4" xfId="3404" xr:uid="{DC1C1D30-A436-4F45-A91A-13DAF7A2766E}"/>
    <cellStyle name="Normal 8 7 3 4 2" xfId="11784" xr:uid="{2470BE0B-975C-4D00-8751-B3CC78A8F92D}"/>
    <cellStyle name="Normal 8 7 3 4 2 2" xfId="28544" xr:uid="{97D0E301-21E9-48D8-B7B5-34AA8A954DF8}"/>
    <cellStyle name="Normal 8 7 3 4 2 3" xfId="45303" xr:uid="{97DFE1E7-1CED-4AEB-9185-09A60F7EA5F9}"/>
    <cellStyle name="Normal 8 7 3 4 3" xfId="20164" xr:uid="{ED3AC275-CBEF-415A-8B25-ACB535FA2B9F}"/>
    <cellStyle name="Normal 8 7 3 4 4" xfId="36923" xr:uid="{B60DF7DD-2B0C-41E3-BC07-2FD0BA8B057A}"/>
    <cellStyle name="Normal 8 7 3 5" xfId="9981" xr:uid="{F14BBF6E-2F4B-4AD9-8127-22BAF52E953D}"/>
    <cellStyle name="Normal 8 7 3 5 2" xfId="26741" xr:uid="{36DA0C36-8A37-4109-BC5C-DC95CF24701F}"/>
    <cellStyle name="Normal 8 7 3 5 3" xfId="43500" xr:uid="{41775612-2830-4750-970F-90AF773CF5ED}"/>
    <cellStyle name="Normal 8 7 3 6" xfId="18361" xr:uid="{E48EC2CD-38DE-4B5B-AC1B-21482D370916}"/>
    <cellStyle name="Normal 8 7 3 7" xfId="35120" xr:uid="{20C022E6-9278-4F92-8406-6E4AB5CCA31D}"/>
    <cellStyle name="Normal 8 7 4" xfId="1870" xr:uid="{AC6D49C7-930C-4012-AB72-5E5565E68AAE}"/>
    <cellStyle name="Normal 8 7 4 2" xfId="5259" xr:uid="{1FF3599B-006A-4F8F-9A3A-0092FE7B5DE9}"/>
    <cellStyle name="Normal 8 7 4 2 2" xfId="13639" xr:uid="{D4C6E700-EFB7-450A-84BC-8292845288FA}"/>
    <cellStyle name="Normal 8 7 4 2 2 2" xfId="30399" xr:uid="{E90A3436-E0C3-40F6-B2FA-36B66F563B42}"/>
    <cellStyle name="Normal 8 7 4 2 2 3" xfId="47158" xr:uid="{B05AABBB-0EC5-480E-BD5D-B1941A725EC0}"/>
    <cellStyle name="Normal 8 7 4 2 3" xfId="22019" xr:uid="{0EE78E17-EED1-43F3-B339-7A185B3AA92B}"/>
    <cellStyle name="Normal 8 7 4 2 4" xfId="38778" xr:uid="{FEFE07BD-A8D6-4439-AB12-21D26959DCAC}"/>
    <cellStyle name="Normal 8 7 4 3" xfId="6946" xr:uid="{7D1875C9-C219-4A60-95CD-68F93EA8573E}"/>
    <cellStyle name="Normal 8 7 4 3 2" xfId="15326" xr:uid="{C0608BCB-B1F7-47DB-8F52-E3EF4432F503}"/>
    <cellStyle name="Normal 8 7 4 3 2 2" xfId="32086" xr:uid="{7A50D385-BB17-45C8-9B2F-9D8748F93C47}"/>
    <cellStyle name="Normal 8 7 4 3 2 3" xfId="48845" xr:uid="{441AA7BE-3387-454A-9BDC-6A7E415823EC}"/>
    <cellStyle name="Normal 8 7 4 3 3" xfId="23706" xr:uid="{625FEEA9-F5CC-4C91-AC9A-87AB48DE191C}"/>
    <cellStyle name="Normal 8 7 4 3 4" xfId="40465" xr:uid="{C43A6852-45CA-4467-940F-75913A50892D}"/>
    <cellStyle name="Normal 8 7 4 4" xfId="3569" xr:uid="{21917981-7C56-4797-A6EE-13CFEC8BD986}"/>
    <cellStyle name="Normal 8 7 4 4 2" xfId="11949" xr:uid="{CE9AD86D-FCB5-4694-BA7D-EAA4F7942ECD}"/>
    <cellStyle name="Normal 8 7 4 4 2 2" xfId="28709" xr:uid="{737828D5-E101-4849-A8D4-15B50E068CFA}"/>
    <cellStyle name="Normal 8 7 4 4 2 3" xfId="45468" xr:uid="{AAD118C6-B3C6-46C2-8547-C1FAEBF31D55}"/>
    <cellStyle name="Normal 8 7 4 4 3" xfId="20329" xr:uid="{2D3B9C96-7287-4679-9ACB-E29142766A1F}"/>
    <cellStyle name="Normal 8 7 4 4 4" xfId="37088" xr:uid="{258B1498-2416-45F1-9BEE-F9AD854BE776}"/>
    <cellStyle name="Normal 8 7 4 5" xfId="10259" xr:uid="{3F687F09-14EA-4FCE-93A0-7820BC491F0A}"/>
    <cellStyle name="Normal 8 7 4 5 2" xfId="27019" xr:uid="{C3B331F8-B0A1-4826-87CB-F430B90431DE}"/>
    <cellStyle name="Normal 8 7 4 5 3" xfId="43778" xr:uid="{00CBBF58-3C29-4C0D-ABFC-1D51E44F6DEB}"/>
    <cellStyle name="Normal 8 7 4 6" xfId="18639" xr:uid="{C8510BEF-E92C-437D-9101-770A42606817}"/>
    <cellStyle name="Normal 8 7 4 7" xfId="35398" xr:uid="{3B82E1B8-CBBE-48AC-8AE9-794F05DB0562}"/>
    <cellStyle name="Normal 8 7 5" xfId="3989" xr:uid="{861EE47A-5AB2-415E-9DD9-787B5FC002C5}"/>
    <cellStyle name="Normal 8 7 5 2" xfId="12369" xr:uid="{B5683AD3-B44B-47F2-817B-CB6B77404EB1}"/>
    <cellStyle name="Normal 8 7 5 2 2" xfId="29129" xr:uid="{DADC5F2E-E2D9-450F-ADE5-E5E5560075F1}"/>
    <cellStyle name="Normal 8 7 5 2 3" xfId="45888" xr:uid="{C2C67FE2-10ED-4D9D-AF25-EBB907079050}"/>
    <cellStyle name="Normal 8 7 5 3" xfId="20749" xr:uid="{6768A147-9741-4B2B-8120-BF2FF25B32A8}"/>
    <cellStyle name="Normal 8 7 5 4" xfId="37508" xr:uid="{3950E3E4-0178-4724-B319-346A3B06B163}"/>
    <cellStyle name="Normal 8 7 6" xfId="5814" xr:uid="{C22DDD06-D48C-4506-A81D-BF2D91D04A50}"/>
    <cellStyle name="Normal 8 7 6 2" xfId="14194" xr:uid="{15872822-C4D3-4C11-8DD7-CA7036B9516B}"/>
    <cellStyle name="Normal 8 7 6 2 2" xfId="30954" xr:uid="{C836B652-2BBF-4A29-8844-EB03ED7026A2}"/>
    <cellStyle name="Normal 8 7 6 2 3" xfId="47713" xr:uid="{34DDE866-E5D5-48FA-8105-9E0CA8364543}"/>
    <cellStyle name="Normal 8 7 6 3" xfId="22574" xr:uid="{6707D8A2-66F3-4BCE-8FAC-5736910886E2}"/>
    <cellStyle name="Normal 8 7 6 4" xfId="39333" xr:uid="{FD848B51-69E8-4A17-93A1-12E5BAD83A6A}"/>
    <cellStyle name="Normal 8 7 7" xfId="7352" xr:uid="{74014AE7-03B4-4900-B242-5787B185EA58}"/>
    <cellStyle name="Normal 8 7 7 2" xfId="15732" xr:uid="{AA251B07-3542-4295-AA6E-18FCA762FF81}"/>
    <cellStyle name="Normal 8 7 7 2 2" xfId="32492" xr:uid="{8FE94940-8CAE-4BBC-B31A-B51F8E7110C0}"/>
    <cellStyle name="Normal 8 7 7 2 3" xfId="49251" xr:uid="{96EF9827-2285-4F1B-8475-D83A088367A8}"/>
    <cellStyle name="Normal 8 7 7 3" xfId="24112" xr:uid="{2380FD19-E232-48AF-AD41-E929BF2B8521}"/>
    <cellStyle name="Normal 8 7 7 4" xfId="40871" xr:uid="{FD321CAA-D131-4F70-A4B5-75CA83B17DF4}"/>
    <cellStyle name="Normal 8 7 8" xfId="7758" xr:uid="{EAE2996B-D9AA-4FA1-8A3E-85A4B8EB4F6D}"/>
    <cellStyle name="Normal 8 7 8 2" xfId="16138" xr:uid="{BBF82CE6-5531-498A-A8B0-C409930BCA34}"/>
    <cellStyle name="Normal 8 7 8 2 2" xfId="32898" xr:uid="{B2880092-D83E-4BD5-9814-AB7697FB4D0B}"/>
    <cellStyle name="Normal 8 7 8 2 3" xfId="49657" xr:uid="{BDB9EBD0-6DF4-43ED-8E9E-6FD94CD055BA}"/>
    <cellStyle name="Normal 8 7 8 3" xfId="24518" xr:uid="{CF706723-2F0C-4893-B20F-4E1B47FC73AB}"/>
    <cellStyle name="Normal 8 7 8 4" xfId="41277" xr:uid="{627B1E57-44E3-4A3F-A6E0-C961138EF2D8}"/>
    <cellStyle name="Normal 8 7 9" xfId="8164" xr:uid="{6FD8E8E2-5EE3-4136-BCB5-4CE14655969C}"/>
    <cellStyle name="Normal 8 7 9 2" xfId="16544" xr:uid="{3D74EAF6-49DB-48B8-B5C0-7B3CDBF8DDB9}"/>
    <cellStyle name="Normal 8 7 9 2 2" xfId="33304" xr:uid="{C670FC52-9860-4D95-ABB6-68BD02E4D3E7}"/>
    <cellStyle name="Normal 8 7 9 2 3" xfId="50063" xr:uid="{CA454FE3-04C2-4901-B7E5-F4B06BB3E565}"/>
    <cellStyle name="Normal 8 7 9 3" xfId="24924" xr:uid="{FAB4320B-CD19-4D58-B498-4EBB69D967A7}"/>
    <cellStyle name="Normal 8 7 9 4" xfId="41683" xr:uid="{85ADC6B8-7284-4A25-8EF9-88A0C3BDA9BF}"/>
    <cellStyle name="Normal 8 8" xfId="720" xr:uid="{9A708DD0-1A6E-45BC-8D41-C68DA99927CB}"/>
    <cellStyle name="Normal 8 8 10" xfId="8615" xr:uid="{C22D915C-4FE3-4BEC-A157-BA8A67E9C40B}"/>
    <cellStyle name="Normal 8 8 10 2" xfId="16995" xr:uid="{871484C2-AA10-4178-A16A-E28D7336CC34}"/>
    <cellStyle name="Normal 8 8 10 2 2" xfId="33755" xr:uid="{9146888A-958D-4A46-8F67-77DE7C1BEDF9}"/>
    <cellStyle name="Normal 8 8 10 2 3" xfId="50514" xr:uid="{99F5F4CC-F6D8-4D4D-81B1-E30EEBDF300E}"/>
    <cellStyle name="Normal 8 8 10 3" xfId="25375" xr:uid="{928A2446-EBE8-442A-A389-E94BBBBF33A0}"/>
    <cellStyle name="Normal 8 8 10 4" xfId="42134" xr:uid="{7C897493-39C0-4ACC-B6F1-DB71113D1370}"/>
    <cellStyle name="Normal 8 8 11" xfId="2549" xr:uid="{E946F376-EF30-42E2-BA6B-4F449B4ED90C}"/>
    <cellStyle name="Normal 8 8 11 2" xfId="10931" xr:uid="{B8EB30C3-2A94-4014-B925-D39A1D282629}"/>
    <cellStyle name="Normal 8 8 11 2 2" xfId="27691" xr:uid="{0DA958ED-5538-46AB-9B8C-D90195F34A20}"/>
    <cellStyle name="Normal 8 8 11 2 3" xfId="44450" xr:uid="{1154BA50-C73C-4E25-BA78-CE2BE0D006D8}"/>
    <cellStyle name="Normal 8 8 11 3" xfId="19311" xr:uid="{839CF7DA-0CA1-4AB1-BD3B-D51076274268}"/>
    <cellStyle name="Normal 8 8 11 4" xfId="36070" xr:uid="{B9D9FB0B-4578-4C54-BE41-081649891F6F}"/>
    <cellStyle name="Normal 8 8 12" xfId="9128" xr:uid="{F6DF4DD9-4806-4D36-9E1A-9511EF776C5E}"/>
    <cellStyle name="Normal 8 8 12 2" xfId="25888" xr:uid="{05A3F620-B857-455A-A046-813F370A7D75}"/>
    <cellStyle name="Normal 8 8 12 3" xfId="42647" xr:uid="{7BA9AFF6-596F-40C7-A73D-BA021A843F35}"/>
    <cellStyle name="Normal 8 8 13" xfId="17508" xr:uid="{B9BB723A-7CFF-4347-9D0E-E5DE5DE4926C}"/>
    <cellStyle name="Normal 8 8 14" xfId="34267" xr:uid="{9EF1626F-06BD-4131-B91F-DB74FBC2D7F8}"/>
    <cellStyle name="Normal 8 8 2" xfId="1159" xr:uid="{012A72CF-0D1C-4A83-90F6-EF62CA1A9BA2}"/>
    <cellStyle name="Normal 8 8 2 2" xfId="4554" xr:uid="{50250350-8E2F-4F64-9BFC-6C24AB3310DF}"/>
    <cellStyle name="Normal 8 8 2 2 2" xfId="12934" xr:uid="{DAB070AF-612A-45E9-B6F8-F0E858ACF030}"/>
    <cellStyle name="Normal 8 8 2 2 2 2" xfId="29694" xr:uid="{DC39E523-F61B-480B-855D-5E4751A113CA}"/>
    <cellStyle name="Normal 8 8 2 2 2 3" xfId="46453" xr:uid="{CA990A59-0D5A-4D6B-913B-3C79629B45FB}"/>
    <cellStyle name="Normal 8 8 2 2 3" xfId="21314" xr:uid="{D5B62827-EC45-4696-B152-26078742A9C5}"/>
    <cellStyle name="Normal 8 8 2 2 4" xfId="38073" xr:uid="{F0280423-89B0-4708-9A9A-6B5E4BB2C383}"/>
    <cellStyle name="Normal 8 8 2 3" xfId="6241" xr:uid="{C834A5A8-D43D-4B80-A545-B2C2FE49EE85}"/>
    <cellStyle name="Normal 8 8 2 3 2" xfId="14621" xr:uid="{AC2F14DF-67B9-4060-A94D-F94DDDD0DCD2}"/>
    <cellStyle name="Normal 8 8 2 3 2 2" xfId="31381" xr:uid="{D25C32BC-6CCF-43B7-BB75-971CD74A59B7}"/>
    <cellStyle name="Normal 8 8 2 3 2 3" xfId="48140" xr:uid="{FDD6F625-991B-4D8F-A3F8-72C4312E6F77}"/>
    <cellStyle name="Normal 8 8 2 3 3" xfId="23001" xr:uid="{2BF29874-301E-43D7-BA35-FBBEEF080391}"/>
    <cellStyle name="Normal 8 8 2 3 4" xfId="39760" xr:uid="{F011B25A-76EA-4737-81BA-A56BF73DCD65}"/>
    <cellStyle name="Normal 8 8 2 4" xfId="2977" xr:uid="{1DE5596E-D5C5-41F9-A2C5-1E12DF18790E}"/>
    <cellStyle name="Normal 8 8 2 4 2" xfId="11357" xr:uid="{FE110A25-9DFA-454D-A0BC-9E64C9DE0A1C}"/>
    <cellStyle name="Normal 8 8 2 4 2 2" xfId="28117" xr:uid="{DCE5C376-C88C-4679-8A9F-0B6AE3BD4640}"/>
    <cellStyle name="Normal 8 8 2 4 2 3" xfId="44876" xr:uid="{3EE0417C-6D8C-4660-AEAF-2D54269D1182}"/>
    <cellStyle name="Normal 8 8 2 4 3" xfId="19737" xr:uid="{52165B3D-C82A-4BA1-8562-632D0CEA7CEC}"/>
    <cellStyle name="Normal 8 8 2 4 4" xfId="36496" xr:uid="{1158EC67-A99B-4E63-92FD-6D87FC1565E9}"/>
    <cellStyle name="Normal 8 8 2 5" xfId="9554" xr:uid="{BA3B1CBE-0AA8-434D-850A-05351A6F29E2}"/>
    <cellStyle name="Normal 8 8 2 5 2" xfId="26314" xr:uid="{E82318CA-0B52-404C-89C2-E5226F8D064F}"/>
    <cellStyle name="Normal 8 8 2 5 3" xfId="43073" xr:uid="{DF519BCF-A28B-44EF-9855-B18E053FB327}"/>
    <cellStyle name="Normal 8 8 2 6" xfId="17934" xr:uid="{0E312143-4021-428F-848B-D8EBD870B45A}"/>
    <cellStyle name="Normal 8 8 2 7" xfId="34693" xr:uid="{EB01A484-CA2A-4546-A2C5-6C626CBC47D4}"/>
    <cellStyle name="Normal 8 8 3" xfId="1593" xr:uid="{4B36E1CF-9C58-4F22-BE6C-38490BE0D322}"/>
    <cellStyle name="Normal 8 8 3 2" xfId="4982" xr:uid="{721B975F-1A8D-4348-8976-844F18E7FDB7}"/>
    <cellStyle name="Normal 8 8 3 2 2" xfId="13362" xr:uid="{9DD211EC-EBC4-4AC4-844C-1F98C8AE44FB}"/>
    <cellStyle name="Normal 8 8 3 2 2 2" xfId="30122" xr:uid="{E3291447-87F5-4374-BC8E-99E8ABC40B18}"/>
    <cellStyle name="Normal 8 8 3 2 2 3" xfId="46881" xr:uid="{0BF2F11F-F0A5-4391-B79F-0389504E0D52}"/>
    <cellStyle name="Normal 8 8 3 2 3" xfId="21742" xr:uid="{A7296B36-AE57-4F2E-9C51-86CDB537F316}"/>
    <cellStyle name="Normal 8 8 3 2 4" xfId="38501" xr:uid="{2C381CBF-C072-4897-B58E-B27DF145691D}"/>
    <cellStyle name="Normal 8 8 3 3" xfId="6669" xr:uid="{13508485-8774-43B6-8F84-2E26034BA9F2}"/>
    <cellStyle name="Normal 8 8 3 3 2" xfId="15049" xr:uid="{50B386CF-8A7A-46DD-8A60-573F1B216548}"/>
    <cellStyle name="Normal 8 8 3 3 2 2" xfId="31809" xr:uid="{1589B9FF-04E6-4A21-96B8-607BF50E1ACD}"/>
    <cellStyle name="Normal 8 8 3 3 2 3" xfId="48568" xr:uid="{7B25E037-1EE3-4D85-A40B-5CAEC9141F7C}"/>
    <cellStyle name="Normal 8 8 3 3 3" xfId="23429" xr:uid="{54A84015-3707-4738-8097-E9939166EB4D}"/>
    <cellStyle name="Normal 8 8 3 3 4" xfId="40188" xr:uid="{26077A7D-D9A9-4215-A4BE-5419407F68A0}"/>
    <cellStyle name="Normal 8 8 3 4" xfId="3405" xr:uid="{CB1AF23B-3EA0-4021-A38E-C241B30A18B9}"/>
    <cellStyle name="Normal 8 8 3 4 2" xfId="11785" xr:uid="{FE130532-8354-43AD-8497-9F0FA2BAFCFC}"/>
    <cellStyle name="Normal 8 8 3 4 2 2" xfId="28545" xr:uid="{D8B3CB82-6B3F-4EA2-ADF9-95D541091AAA}"/>
    <cellStyle name="Normal 8 8 3 4 2 3" xfId="45304" xr:uid="{8791D041-EBA8-4CEB-A05E-2D9433EBF06F}"/>
    <cellStyle name="Normal 8 8 3 4 3" xfId="20165" xr:uid="{FD749874-B33D-47E5-9986-68CAB73D5C2A}"/>
    <cellStyle name="Normal 8 8 3 4 4" xfId="36924" xr:uid="{9FE0419C-22F2-4B37-AE81-5C8783E4D589}"/>
    <cellStyle name="Normal 8 8 3 5" xfId="9982" xr:uid="{272A8984-C3F5-45C9-9B6D-F04C366DF83B}"/>
    <cellStyle name="Normal 8 8 3 5 2" xfId="26742" xr:uid="{830E8B86-026B-418D-A493-0B19C76A865E}"/>
    <cellStyle name="Normal 8 8 3 5 3" xfId="43501" xr:uid="{36C65C78-7820-40AD-9FE1-B768F6540D95}"/>
    <cellStyle name="Normal 8 8 3 6" xfId="18362" xr:uid="{0FBBABAA-A090-4386-8DCD-1936303D3B9B}"/>
    <cellStyle name="Normal 8 8 3 7" xfId="35121" xr:uid="{C53ED938-5B0E-4025-BF32-DBA394E04A4F}"/>
    <cellStyle name="Normal 8 8 4" xfId="1915" xr:uid="{09C439D4-C7E6-4E6E-9355-8F5E1E530192}"/>
    <cellStyle name="Normal 8 8 4 2" xfId="5304" xr:uid="{2507EFDB-B882-41FB-87F0-274E46B61A31}"/>
    <cellStyle name="Normal 8 8 4 2 2" xfId="13684" xr:uid="{59B483C8-0D55-4113-AAB6-EFF1329AA798}"/>
    <cellStyle name="Normal 8 8 4 2 2 2" xfId="30444" xr:uid="{34C940C0-4242-48CD-830B-499E53DB3145}"/>
    <cellStyle name="Normal 8 8 4 2 2 3" xfId="47203" xr:uid="{02AAD4F6-CFA8-4AFF-849E-88FFF316E582}"/>
    <cellStyle name="Normal 8 8 4 2 3" xfId="22064" xr:uid="{8B9EAC7B-45F2-40D6-93C1-DC9976276626}"/>
    <cellStyle name="Normal 8 8 4 2 4" xfId="38823" xr:uid="{5D76CF15-663D-4A4B-8D69-EDBD7DAC6793}"/>
    <cellStyle name="Normal 8 8 4 3" xfId="6991" xr:uid="{355613CF-D8BD-4018-B799-15E451BD7787}"/>
    <cellStyle name="Normal 8 8 4 3 2" xfId="15371" xr:uid="{F8C05766-731E-4236-8DA4-F83078E475EE}"/>
    <cellStyle name="Normal 8 8 4 3 2 2" xfId="32131" xr:uid="{022F2403-452B-4E92-AA9B-CC0D88943907}"/>
    <cellStyle name="Normal 8 8 4 3 2 3" xfId="48890" xr:uid="{E50E5B64-B1F4-4BF6-ADC7-CF63672F15A4}"/>
    <cellStyle name="Normal 8 8 4 3 3" xfId="23751" xr:uid="{50C010B5-5394-4C76-AEE4-6C66ABA900A7}"/>
    <cellStyle name="Normal 8 8 4 3 4" xfId="40510" xr:uid="{C4EBBC6E-0BDB-430A-9EC4-44C2ECB00529}"/>
    <cellStyle name="Normal 8 8 4 4" xfId="3614" xr:uid="{7FD6A179-4584-4322-BE34-C31B02A05702}"/>
    <cellStyle name="Normal 8 8 4 4 2" xfId="11994" xr:uid="{3E62FB44-CADD-418F-BB00-BFE1A503ECC3}"/>
    <cellStyle name="Normal 8 8 4 4 2 2" xfId="28754" xr:uid="{F7941340-85F8-4434-BE1B-4CC303B84DE3}"/>
    <cellStyle name="Normal 8 8 4 4 2 3" xfId="45513" xr:uid="{6D24980D-E1B4-4BF9-BE69-9BA6C7BD0B00}"/>
    <cellStyle name="Normal 8 8 4 4 3" xfId="20374" xr:uid="{770BF249-806B-4EC2-8370-65BDD009F7E1}"/>
    <cellStyle name="Normal 8 8 4 4 4" xfId="37133" xr:uid="{E4426B4D-67D9-41C5-B9BC-8DA610868BAA}"/>
    <cellStyle name="Normal 8 8 4 5" xfId="10304" xr:uid="{8B1A681F-6D9E-4272-936D-F3E3BE277907}"/>
    <cellStyle name="Normal 8 8 4 5 2" xfId="27064" xr:uid="{E22BEF68-FCC1-46C9-94D4-38EAA174B99A}"/>
    <cellStyle name="Normal 8 8 4 5 3" xfId="43823" xr:uid="{F9BF1A6D-1447-421E-B19C-6471B2FD9987}"/>
    <cellStyle name="Normal 8 8 4 6" xfId="18684" xr:uid="{970AB1F2-4C7E-4E29-A50E-57D9B60EF344}"/>
    <cellStyle name="Normal 8 8 4 7" xfId="35443" xr:uid="{7CB9DE48-9641-494F-8785-3536A4EC3597}"/>
    <cellStyle name="Normal 8 8 5" xfId="4034" xr:uid="{EC08B949-4926-4B82-930F-1B0A04B43C29}"/>
    <cellStyle name="Normal 8 8 5 2" xfId="12414" xr:uid="{7C3C952F-8C1A-4783-9EA4-B6DDE4F549A4}"/>
    <cellStyle name="Normal 8 8 5 2 2" xfId="29174" xr:uid="{2C759B53-B1A6-42B2-ABBB-B4324F33821B}"/>
    <cellStyle name="Normal 8 8 5 2 3" xfId="45933" xr:uid="{58F6B51F-A4C8-4AFB-806C-85B8AC3A0228}"/>
    <cellStyle name="Normal 8 8 5 3" xfId="20794" xr:uid="{197AEF6A-23EB-4475-A63D-6441EF99870A}"/>
    <cellStyle name="Normal 8 8 5 4" xfId="37553" xr:uid="{7704BDF8-1A65-445C-9BA5-1F2ABFA38959}"/>
    <cellStyle name="Normal 8 8 6" xfId="5815" xr:uid="{719EF213-0DEF-4698-8CBD-BA49745BD8AA}"/>
    <cellStyle name="Normal 8 8 6 2" xfId="14195" xr:uid="{CDE11593-AF74-4CEA-8B38-78E57BB477CD}"/>
    <cellStyle name="Normal 8 8 6 2 2" xfId="30955" xr:uid="{4F73CC81-E7BA-42E4-BA82-FB25A3D89B72}"/>
    <cellStyle name="Normal 8 8 6 2 3" xfId="47714" xr:uid="{0DC4FE56-8841-4D64-8B26-462A9A9D46C0}"/>
    <cellStyle name="Normal 8 8 6 3" xfId="22575" xr:uid="{426B2F59-3D0C-4152-A377-43A5675CCB83}"/>
    <cellStyle name="Normal 8 8 6 4" xfId="39334" xr:uid="{263C43A7-EE6F-40F8-A17B-94BF2714F97C}"/>
    <cellStyle name="Normal 8 8 7" xfId="7397" xr:uid="{7C580C2E-C9AA-478B-A420-3BFBF4551D0B}"/>
    <cellStyle name="Normal 8 8 7 2" xfId="15777" xr:uid="{B912DD5A-EA1B-468F-9B59-DB005166F897}"/>
    <cellStyle name="Normal 8 8 7 2 2" xfId="32537" xr:uid="{CD05BEE4-EC15-44A8-9FC7-D3F8AE3E73A8}"/>
    <cellStyle name="Normal 8 8 7 2 3" xfId="49296" xr:uid="{F479DF53-2D57-4566-AA58-5EBBFFBDFE7F}"/>
    <cellStyle name="Normal 8 8 7 3" xfId="24157" xr:uid="{9C98FDB7-8819-4D95-8951-2031209DA1C2}"/>
    <cellStyle name="Normal 8 8 7 4" xfId="40916" xr:uid="{B1110843-B1F1-4EC1-AD9D-B404467271D9}"/>
    <cellStyle name="Normal 8 8 8" xfId="7803" xr:uid="{5D6BB451-DBB3-4913-AD7C-6904242E0F1D}"/>
    <cellStyle name="Normal 8 8 8 2" xfId="16183" xr:uid="{E02A9C85-336E-45B0-A572-B80574BBA130}"/>
    <cellStyle name="Normal 8 8 8 2 2" xfId="32943" xr:uid="{A5638DC7-3B81-4293-8BC9-29E51126098C}"/>
    <cellStyle name="Normal 8 8 8 2 3" xfId="49702" xr:uid="{C156CA5B-7A4A-4791-9FF2-D151E3BE159A}"/>
    <cellStyle name="Normal 8 8 8 3" xfId="24563" xr:uid="{A0896DA2-8A47-4177-94B0-769CDE6D4C37}"/>
    <cellStyle name="Normal 8 8 8 4" xfId="41322" xr:uid="{D063CC7C-0883-4DE2-A639-AD327AF87814}"/>
    <cellStyle name="Normal 8 8 9" xfId="8209" xr:uid="{478018A9-F959-4885-B691-F15F2E053C25}"/>
    <cellStyle name="Normal 8 8 9 2" xfId="16589" xr:uid="{501B2C48-5617-449F-AB86-27E1E2A57904}"/>
    <cellStyle name="Normal 8 8 9 2 2" xfId="33349" xr:uid="{DD8F1E35-8126-4EFF-85CF-411BE24AD18B}"/>
    <cellStyle name="Normal 8 8 9 2 3" xfId="50108" xr:uid="{D39BCCB0-1FAF-4BA8-986A-F4840AEC192D}"/>
    <cellStyle name="Normal 8 8 9 3" xfId="24969" xr:uid="{4C9A8AA4-4188-433A-A9A0-6BB1DC932AC3}"/>
    <cellStyle name="Normal 8 8 9 4" xfId="41728" xr:uid="{EAE8BB2F-6E1B-4BF0-9FD3-108735AD0B0A}"/>
    <cellStyle name="Normal 8 9" xfId="768" xr:uid="{9CF93489-4EF5-45DB-907A-0C3365DC0E16}"/>
    <cellStyle name="Normal 8 9 2" xfId="4163" xr:uid="{FB307A91-9667-4E18-9C4D-52CC9230C08F}"/>
    <cellStyle name="Normal 8 9 2 2" xfId="12543" xr:uid="{51F29038-AD5D-4624-B5DC-87CF54FA4110}"/>
    <cellStyle name="Normal 8 9 2 2 2" xfId="29303" xr:uid="{C0E16DA5-8357-461A-A171-671FF425350A}"/>
    <cellStyle name="Normal 8 9 2 2 3" xfId="46062" xr:uid="{E619C5D8-87E4-4C0F-A69F-8550B09E7E45}"/>
    <cellStyle name="Normal 8 9 2 3" xfId="20923" xr:uid="{C900F673-7117-43D5-A5DB-F57693531257}"/>
    <cellStyle name="Normal 8 9 2 4" xfId="37682" xr:uid="{E79D9305-7E9F-4C29-9F7E-702875EE7397}"/>
    <cellStyle name="Normal 8 9 3" xfId="5850" xr:uid="{F32FD040-BB18-4300-BF10-08C60427864F}"/>
    <cellStyle name="Normal 8 9 3 2" xfId="14230" xr:uid="{F4CAF6ED-8AB0-44FF-9087-8DD72403BB72}"/>
    <cellStyle name="Normal 8 9 3 2 2" xfId="30990" xr:uid="{978354FA-558A-4A18-AE32-8DC3524EFA66}"/>
    <cellStyle name="Normal 8 9 3 2 3" xfId="47749" xr:uid="{12F0AB85-DEDE-40A5-9690-E748A3AC4100}"/>
    <cellStyle name="Normal 8 9 3 3" xfId="22610" xr:uid="{9E0C8B1A-7A18-4B6E-B33B-9A1479887C57}"/>
    <cellStyle name="Normal 8 9 3 4" xfId="39369" xr:uid="{F2EE8842-C90F-4979-AA88-3BF050F60FFD}"/>
    <cellStyle name="Normal 8 9 4" xfId="2586" xr:uid="{52D0F31C-CC80-4C0E-9FCD-36571A2FC414}"/>
    <cellStyle name="Normal 8 9 4 2" xfId="10966" xr:uid="{960D2A16-88E0-44ED-89CD-08573DF6CC70}"/>
    <cellStyle name="Normal 8 9 4 2 2" xfId="27726" xr:uid="{6E3F90E5-0D4A-4D6E-BE6B-05FDD7C11147}"/>
    <cellStyle name="Normal 8 9 4 2 3" xfId="44485" xr:uid="{FB446BB3-F83E-4B70-AC38-E483B0BA47E7}"/>
    <cellStyle name="Normal 8 9 4 3" xfId="19346" xr:uid="{E53F9822-D67A-4379-9260-5FDCC8855A90}"/>
    <cellStyle name="Normal 8 9 4 4" xfId="36105" xr:uid="{25B296D2-946A-4723-B454-71DA5DC7FEF5}"/>
    <cellStyle name="Normal 8 9 5" xfId="9163" xr:uid="{EBDDDD3D-546D-4C83-9C29-FE07B58F55CD}"/>
    <cellStyle name="Normal 8 9 5 2" xfId="25923" xr:uid="{7B86C805-60B3-41E4-8EE9-00F7854A8527}"/>
    <cellStyle name="Normal 8 9 5 3" xfId="42682" xr:uid="{FE70EC1F-7EBD-4D2C-B56C-B90002A017BC}"/>
    <cellStyle name="Normal 8 9 6" xfId="17543" xr:uid="{3DB97CEB-7DA1-4EC1-B03A-A55F2B2FCF4E}"/>
    <cellStyle name="Normal 8 9 7" xfId="34302" xr:uid="{78F46FCD-927A-4910-B632-4AD23A1AA128}"/>
    <cellStyle name="Normal 9" xfId="163" xr:uid="{1FC2320C-1BE6-4C81-B4A5-F54365B977E7}"/>
    <cellStyle name="Normal 9 10" xfId="1203" xr:uid="{863766C9-2EF2-4307-9F09-1C0CCB2F5594}"/>
    <cellStyle name="Normal 9 10 2" xfId="4592" xr:uid="{7374D57C-1EEA-4E0E-9053-97EAA1A40EA4}"/>
    <cellStyle name="Normal 9 10 2 2" xfId="12972" xr:uid="{833EA4DB-EB2F-42A5-86CD-716546082FF6}"/>
    <cellStyle name="Normal 9 10 2 2 2" xfId="29732" xr:uid="{2E884CFE-895B-4F99-A98C-7B71C5FEE744}"/>
    <cellStyle name="Normal 9 10 2 2 3" xfId="46491" xr:uid="{FFDC1ED0-CE0E-4BC7-A9BB-F4E96BA6EE38}"/>
    <cellStyle name="Normal 9 10 2 3" xfId="21352" xr:uid="{F32A3DC7-2059-4F1A-B732-3AD028A14403}"/>
    <cellStyle name="Normal 9 10 2 4" xfId="38111" xr:uid="{9E908E90-5ED7-49D8-98D4-F07712FD1865}"/>
    <cellStyle name="Normal 9 10 3" xfId="6279" xr:uid="{74DE951E-CA96-45B4-BA5A-3694976EC556}"/>
    <cellStyle name="Normal 9 10 3 2" xfId="14659" xr:uid="{E18CD62F-C082-4E4E-B198-5CF5E1B7AEF5}"/>
    <cellStyle name="Normal 9 10 3 2 2" xfId="31419" xr:uid="{24153432-8BE8-43A2-8214-E8F8755BD21E}"/>
    <cellStyle name="Normal 9 10 3 2 3" xfId="48178" xr:uid="{35B5A6BE-B08C-4EE4-87D3-F4D474693B50}"/>
    <cellStyle name="Normal 9 10 3 3" xfId="23039" xr:uid="{7C563529-1644-47B3-8DBF-4B44254A948D}"/>
    <cellStyle name="Normal 9 10 3 4" xfId="39798" xr:uid="{75CB793D-53D2-4E51-9F1C-2EFF59C3C8B2}"/>
    <cellStyle name="Normal 9 10 4" xfId="3015" xr:uid="{3C670AFE-B9C8-41D0-8BC2-8C3EA0452376}"/>
    <cellStyle name="Normal 9 10 4 2" xfId="11395" xr:uid="{B54846AC-252D-4147-99F2-F62B73942401}"/>
    <cellStyle name="Normal 9 10 4 2 2" xfId="28155" xr:uid="{52F1F315-0898-47F1-A494-08E6C711DCA4}"/>
    <cellStyle name="Normal 9 10 4 2 3" xfId="44914" xr:uid="{34CA515B-4CE6-4F51-A6E9-FA307FC58918}"/>
    <cellStyle name="Normal 9 10 4 3" xfId="19775" xr:uid="{C43BA76D-8875-4576-B533-38C56AFB4FE0}"/>
    <cellStyle name="Normal 9 10 4 4" xfId="36534" xr:uid="{50D28598-D8C2-4A1E-B351-5A11EA7EAB80}"/>
    <cellStyle name="Normal 9 10 5" xfId="9592" xr:uid="{C11BA61B-FEB4-49CA-9525-E8A66164DA62}"/>
    <cellStyle name="Normal 9 10 5 2" xfId="26352" xr:uid="{EFE0F935-269E-47BE-B341-1DA06CD20516}"/>
    <cellStyle name="Normal 9 10 5 3" xfId="43111" xr:uid="{EFA37754-9BFA-4232-8CFD-052C85C5AEDE}"/>
    <cellStyle name="Normal 9 10 6" xfId="17972" xr:uid="{59B9E745-476D-4498-A7E2-D2F7563126B0}"/>
    <cellStyle name="Normal 9 10 7" xfId="34731" xr:uid="{CE341FA0-E6A6-4FBA-BC5F-80BEBE69A72D}"/>
    <cellStyle name="Normal 9 11" xfId="1646" xr:uid="{ED42255A-3462-4771-BEE2-AE2A6C0FDB74}"/>
    <cellStyle name="Normal 9 11 2" xfId="5035" xr:uid="{CD3A7CA2-F54A-4D82-9731-0E692D51DD15}"/>
    <cellStyle name="Normal 9 11 2 2" xfId="13415" xr:uid="{491495A9-6487-40FF-BA77-2E0B30337EA3}"/>
    <cellStyle name="Normal 9 11 2 2 2" xfId="30175" xr:uid="{1CB4B485-6568-441E-B5BB-A1B4F910E18B}"/>
    <cellStyle name="Normal 9 11 2 2 3" xfId="46934" xr:uid="{F6B2EF17-7A2C-42FF-874A-60FBD1BEAD68}"/>
    <cellStyle name="Normal 9 11 2 3" xfId="21795" xr:uid="{241844F3-6506-44FD-8EE1-C9FB705CDC78}"/>
    <cellStyle name="Normal 9 11 2 4" xfId="38554" xr:uid="{D78D4776-E866-46D7-8296-23FD5728A66D}"/>
    <cellStyle name="Normal 9 11 3" xfId="6722" xr:uid="{8868F9F5-48E7-4530-9D8C-11F23633BD18}"/>
    <cellStyle name="Normal 9 11 3 2" xfId="15102" xr:uid="{49FC3083-8819-46E3-9498-270FA96568E4}"/>
    <cellStyle name="Normal 9 11 3 2 2" xfId="31862" xr:uid="{8C97A35E-CAE2-4805-A0C7-86279C87B3B2}"/>
    <cellStyle name="Normal 9 11 3 2 3" xfId="48621" xr:uid="{6BF03525-2B87-4088-9868-8014974B0583}"/>
    <cellStyle name="Normal 9 11 3 3" xfId="23482" xr:uid="{FFDAC696-04E3-413A-AEF9-3F8C7D50FCE1}"/>
    <cellStyle name="Normal 9 11 3 4" xfId="40241" xr:uid="{5406174B-4EBE-40C3-8B86-A2D15EB9A94E}"/>
    <cellStyle name="Normal 9 11 4" xfId="2153" xr:uid="{0B15D897-93E3-4C2B-B17A-23857C27B023}"/>
    <cellStyle name="Normal 9 11 4 2" xfId="10541" xr:uid="{A08DA2FD-B9AF-49F2-899E-8ABD6D4DB4BE}"/>
    <cellStyle name="Normal 9 11 4 2 2" xfId="27301" xr:uid="{852E6047-F476-4197-ADE7-D37E70F3F737}"/>
    <cellStyle name="Normal 9 11 4 2 3" xfId="44060" xr:uid="{72CEB9BD-7A34-415D-AFA0-A12F893FBA53}"/>
    <cellStyle name="Normal 9 11 4 3" xfId="18921" xr:uid="{7D893EED-8D1C-443A-AE26-1E46BC7DFACB}"/>
    <cellStyle name="Normal 9 11 4 4" xfId="35680" xr:uid="{8C308BC2-20FB-4507-861C-345D7C51D428}"/>
    <cellStyle name="Normal 9 11 5" xfId="10035" xr:uid="{62B476EF-E014-444A-B33E-DFAE5F194872}"/>
    <cellStyle name="Normal 9 11 5 2" xfId="26795" xr:uid="{A11B616F-5023-4D74-88D3-55247BFC78C5}"/>
    <cellStyle name="Normal 9 11 5 3" xfId="43554" xr:uid="{0B2BB463-E56A-4CF5-BF4E-D061729CC54D}"/>
    <cellStyle name="Normal 9 11 6" xfId="18415" xr:uid="{30031660-2D28-491A-973E-DFA6FAC8910A}"/>
    <cellStyle name="Normal 9 11 7" xfId="35174" xr:uid="{1ABB6E84-9B2E-4FBA-88F9-84F843DB31A3}"/>
    <cellStyle name="Normal 9 12" xfId="3751" xr:uid="{22D5786D-8E87-49EB-86A7-2B7333CD2F39}"/>
    <cellStyle name="Normal 9 12 2" xfId="12131" xr:uid="{3CAFF33F-7D2B-45AA-A915-868E320400AF}"/>
    <cellStyle name="Normal 9 12 2 2" xfId="28891" xr:uid="{924527C8-3CB5-4E9A-A12E-B25F5220EFD5}"/>
    <cellStyle name="Normal 9 12 2 3" xfId="45650" xr:uid="{F8991655-0DA6-4592-9805-BA0D3D8CAB8C}"/>
    <cellStyle name="Normal 9 12 3" xfId="20511" xr:uid="{07236E7B-736C-4154-82CB-9570C8693BD1}"/>
    <cellStyle name="Normal 9 12 4" xfId="37270" xr:uid="{54405C0C-A9A5-47BC-AF49-DFD0BEC52C7C}"/>
    <cellStyle name="Normal 9 13" xfId="5425" xr:uid="{2D212DC0-B343-4B45-9870-C451F0B5F856}"/>
    <cellStyle name="Normal 9 13 2" xfId="13805" xr:uid="{A69B47D1-E204-454B-8733-093EEF36FC00}"/>
    <cellStyle name="Normal 9 13 2 2" xfId="30565" xr:uid="{11AD4F7A-3886-4565-8972-BD97835323FA}"/>
    <cellStyle name="Normal 9 13 2 3" xfId="47324" xr:uid="{0CF700BC-99B7-4883-80AE-919423C568EC}"/>
    <cellStyle name="Normal 9 13 3" xfId="22185" xr:uid="{07AB9843-7C2C-44C6-BFC5-CE24C576BDB2}"/>
    <cellStyle name="Normal 9 13 4" xfId="38944" xr:uid="{FD71EB56-723D-4D1B-8DAA-DA8CEF1DCC3E}"/>
    <cellStyle name="Normal 9 14" xfId="7128" xr:uid="{F7180E29-D173-4E8E-93EF-B199AC9F18EE}"/>
    <cellStyle name="Normal 9 14 2" xfId="15508" xr:uid="{50342DBB-7092-4E6C-98DD-1B23E59F4F03}"/>
    <cellStyle name="Normal 9 14 2 2" xfId="32268" xr:uid="{61EDBE41-4321-465B-BD33-ED332985AF43}"/>
    <cellStyle name="Normal 9 14 2 3" xfId="49027" xr:uid="{0BC775A0-76B8-46E1-B7E4-0C775B0D7F97}"/>
    <cellStyle name="Normal 9 14 3" xfId="23888" xr:uid="{AB4F5AA3-9DE4-4E2D-BF09-C9415042F94B}"/>
    <cellStyle name="Normal 9 14 4" xfId="40647" xr:uid="{7EE8A2A2-6AD2-4E9E-90A0-D85A8BABB9C2}"/>
    <cellStyle name="Normal 9 15" xfId="7534" xr:uid="{82805628-D8FD-48A7-8C41-0271892290AA}"/>
    <cellStyle name="Normal 9 15 2" xfId="15914" xr:uid="{D8E2E7B9-377F-4A70-9FB3-C93D0CB41DE0}"/>
    <cellStyle name="Normal 9 15 2 2" xfId="32674" xr:uid="{4ACF9EA8-13CF-4F00-9115-D96BAB73843A}"/>
    <cellStyle name="Normal 9 15 2 3" xfId="49433" xr:uid="{67ECD2BF-49EE-49E4-84B2-2AC7D54F31AA}"/>
    <cellStyle name="Normal 9 15 3" xfId="24294" xr:uid="{178A889D-72DD-412E-8887-1BEECF8DD819}"/>
    <cellStyle name="Normal 9 15 4" xfId="41053" xr:uid="{F8B07D6B-CCAA-41AD-A382-985EC236A382}"/>
    <cellStyle name="Normal 9 16" xfId="7940" xr:uid="{4A0E39B3-3A2E-44BF-A238-CC4AC342BCD5}"/>
    <cellStyle name="Normal 9 16 2" xfId="16320" xr:uid="{32B1EFFB-1435-4EB9-8647-282BA44D3BF6}"/>
    <cellStyle name="Normal 9 16 2 2" xfId="33080" xr:uid="{3333B51B-AB65-4090-ACD5-0AA50D7F869C}"/>
    <cellStyle name="Normal 9 16 2 3" xfId="49839" xr:uid="{738F94F7-FF69-4E42-99FE-1E92631D64AD}"/>
    <cellStyle name="Normal 9 16 3" xfId="24700" xr:uid="{18AD5E0A-38C1-432C-B057-5DE2CEAA4126}"/>
    <cellStyle name="Normal 9 16 4" xfId="41459" xr:uid="{6868A36A-E16C-438C-B888-66DF539137BC}"/>
    <cellStyle name="Normal 9 17" xfId="8346" xr:uid="{AE2755C4-19FB-4F6A-AE2A-CD99369DD68C}"/>
    <cellStyle name="Normal 9 17 2" xfId="16726" xr:uid="{2F5D08CC-69B7-40D8-B683-E065C5294741}"/>
    <cellStyle name="Normal 9 17 2 2" xfId="33486" xr:uid="{BA8B7CBE-3958-4F7A-817A-ECC4F083EC1D}"/>
    <cellStyle name="Normal 9 17 2 3" xfId="50245" xr:uid="{01172B26-D610-4DD4-AC64-2A2A1D10EA15}"/>
    <cellStyle name="Normal 9 17 3" xfId="25106" xr:uid="{23C8D8C8-6DED-444C-B704-B838A56DFA69}"/>
    <cellStyle name="Normal 9 17 4" xfId="41865" xr:uid="{3AC952B1-555E-4267-85D1-51DFE8639BC5}"/>
    <cellStyle name="Normal 9 18" xfId="2041" xr:uid="{E2EE455E-5E4B-48B8-A957-91F6E9464241}"/>
    <cellStyle name="Normal 9 18 2" xfId="10429" xr:uid="{F15D4B0D-032F-4864-911A-6FD4FEFDA723}"/>
    <cellStyle name="Normal 9 18 2 2" xfId="27189" xr:uid="{FF9CCB88-F063-4996-A7E3-3FA26ABB85D8}"/>
    <cellStyle name="Normal 9 18 2 3" xfId="43948" xr:uid="{C2E9357C-E21F-440B-95F7-70E2CA80621A}"/>
    <cellStyle name="Normal 9 18 3" xfId="18809" xr:uid="{64CDFDFD-0965-4E85-B3BB-2A0F548F6D6E}"/>
    <cellStyle name="Normal 9 18 4" xfId="35568" xr:uid="{796679E1-D0A0-41E1-9DD1-C2928187A075}"/>
    <cellStyle name="Normal 9 19" xfId="8738" xr:uid="{80125BFB-D600-4584-9444-6E139D1F98D6}"/>
    <cellStyle name="Normal 9 19 2" xfId="25498" xr:uid="{2DA1D9D6-B6EC-40B3-9F61-BFECC7E11F98}"/>
    <cellStyle name="Normal 9 19 3" xfId="42257" xr:uid="{22291922-8DD2-43A7-93A5-F2EE26BDA5C1}"/>
    <cellStyle name="Normal 9 2" xfId="220" xr:uid="{93C2F049-6D83-43EF-BEC2-59DE8FEAE57F}"/>
    <cellStyle name="Normal 9 2 10" xfId="1647" xr:uid="{D92536D7-1244-4EFD-9CF3-CED44B453B70}"/>
    <cellStyle name="Normal 9 2 10 2" xfId="5036" xr:uid="{C641FA7D-5B84-49A2-9683-42CDFDE4F591}"/>
    <cellStyle name="Normal 9 2 10 2 2" xfId="13416" xr:uid="{3CF46EFE-23B6-4630-90CB-3BA4683E37F5}"/>
    <cellStyle name="Normal 9 2 10 2 2 2" xfId="30176" xr:uid="{23349437-35A9-42A3-9447-DA0D8F16E997}"/>
    <cellStyle name="Normal 9 2 10 2 2 3" xfId="46935" xr:uid="{35E8E929-33A3-4209-A8D8-CD2D5EC8DD18}"/>
    <cellStyle name="Normal 9 2 10 2 3" xfId="21796" xr:uid="{3C4AF328-DBB0-4571-A4A8-96B017DFC2E2}"/>
    <cellStyle name="Normal 9 2 10 2 4" xfId="38555" xr:uid="{6C6E3A45-3FF7-4404-B918-E2C4AAF93F65}"/>
    <cellStyle name="Normal 9 2 10 3" xfId="6723" xr:uid="{1B1AF99E-6707-420B-8850-CF2514C43DE8}"/>
    <cellStyle name="Normal 9 2 10 3 2" xfId="15103" xr:uid="{F8D736BA-ACD4-44AD-9CCC-1D85514101AC}"/>
    <cellStyle name="Normal 9 2 10 3 2 2" xfId="31863" xr:uid="{FE4883BF-58DB-4CD1-AA41-E95F7E522A85}"/>
    <cellStyle name="Normal 9 2 10 3 2 3" xfId="48622" xr:uid="{88927B01-2374-4A9D-BD91-770BBB94435A}"/>
    <cellStyle name="Normal 9 2 10 3 3" xfId="23483" xr:uid="{F0EE669D-0113-4EBE-A1D2-0AFE2EA7248C}"/>
    <cellStyle name="Normal 9 2 10 3 4" xfId="40242" xr:uid="{5C6EA18F-C4BA-45E6-A674-101D4DBEB01D}"/>
    <cellStyle name="Normal 9 2 10 4" xfId="2160" xr:uid="{C4DB031D-A33E-4C92-8200-D8D5C55671C5}"/>
    <cellStyle name="Normal 9 2 10 4 2" xfId="10548" xr:uid="{5BD76082-5EB1-4F91-B6F6-9CB0F5D49835}"/>
    <cellStyle name="Normal 9 2 10 4 2 2" xfId="27308" xr:uid="{B02BEDA0-D0AF-4096-8EA7-464B9B30AB98}"/>
    <cellStyle name="Normal 9 2 10 4 2 3" xfId="44067" xr:uid="{142348CA-D557-4084-982F-FF8C517A1502}"/>
    <cellStyle name="Normal 9 2 10 4 3" xfId="18928" xr:uid="{E7275EC0-A193-48F7-9502-F273435D176A}"/>
    <cellStyle name="Normal 9 2 10 4 4" xfId="35687" xr:uid="{A1B3EC56-CED3-47C0-B06A-CBC276BD3096}"/>
    <cellStyle name="Normal 9 2 10 5" xfId="10036" xr:uid="{625DB272-EB26-435D-A59C-305D0C358CC4}"/>
    <cellStyle name="Normal 9 2 10 5 2" xfId="26796" xr:uid="{CFBD3E2B-FF18-4C3B-A377-B032383E3837}"/>
    <cellStyle name="Normal 9 2 10 5 3" xfId="43555" xr:uid="{CE153006-EE2D-48C6-9089-36211B21F83A}"/>
    <cellStyle name="Normal 9 2 10 6" xfId="18416" xr:uid="{F5392C81-5975-4AE8-8B5F-0173BE75734D}"/>
    <cellStyle name="Normal 9 2 10 7" xfId="35175" xr:uid="{CA648E22-96B0-4DD3-A9C1-6F37FC2E8774}"/>
    <cellStyle name="Normal 9 2 11" xfId="3752" xr:uid="{BD9EF816-AB3E-4704-BE2A-6631986EAE47}"/>
    <cellStyle name="Normal 9 2 11 2" xfId="12132" xr:uid="{C0A1065B-F967-4F84-B005-F320A8088595}"/>
    <cellStyle name="Normal 9 2 11 2 2" xfId="28892" xr:uid="{DCFAEE0D-F6C3-463C-999C-1B480698AACC}"/>
    <cellStyle name="Normal 9 2 11 2 3" xfId="45651" xr:uid="{F81618A1-A9CE-4C7E-A383-8BDABF1163B4}"/>
    <cellStyle name="Normal 9 2 11 3" xfId="20512" xr:uid="{10EC8CCC-D1DB-4428-8218-F2FE026A6B3B}"/>
    <cellStyle name="Normal 9 2 11 4" xfId="37271" xr:uid="{4FC12D56-E6CC-4738-9486-9056045ADB51}"/>
    <cellStyle name="Normal 9 2 12" xfId="5432" xr:uid="{23DDFEB4-6854-4793-8A1A-CB0FF7879797}"/>
    <cellStyle name="Normal 9 2 12 2" xfId="13812" xr:uid="{3EF0257D-F8F5-4343-8A04-3805FEECD63C}"/>
    <cellStyle name="Normal 9 2 12 2 2" xfId="30572" xr:uid="{23F8F8F2-7BC7-4B2E-8FB2-58048DF12C42}"/>
    <cellStyle name="Normal 9 2 12 2 3" xfId="47331" xr:uid="{27855894-41B7-42C2-87E0-F861C2FB6CD7}"/>
    <cellStyle name="Normal 9 2 12 3" xfId="22192" xr:uid="{0727C06B-77C2-419E-BDFD-CD097115E849}"/>
    <cellStyle name="Normal 9 2 12 4" xfId="38951" xr:uid="{DCFDC6FD-DFB9-43BA-87F9-8E81A841A476}"/>
    <cellStyle name="Normal 9 2 13" xfId="7129" xr:uid="{094591E2-E766-4112-AFE2-EDD3D81BE1ED}"/>
    <cellStyle name="Normal 9 2 13 2" xfId="15509" xr:uid="{29FDE441-1E5A-4D06-A632-25257DBB9B2C}"/>
    <cellStyle name="Normal 9 2 13 2 2" xfId="32269" xr:uid="{069BF81D-C422-4BD6-B213-1468E406355D}"/>
    <cellStyle name="Normal 9 2 13 2 3" xfId="49028" xr:uid="{064CC6EC-E9A9-4A2D-9EA7-FD628AA977BD}"/>
    <cellStyle name="Normal 9 2 13 3" xfId="23889" xr:uid="{8D71326F-0F41-4CF2-8FC3-2D44C6B4D324}"/>
    <cellStyle name="Normal 9 2 13 4" xfId="40648" xr:uid="{2874B4D2-92BB-45A7-A690-ED3CE96420A2}"/>
    <cellStyle name="Normal 9 2 14" xfId="7535" xr:uid="{C41F94ED-D188-43EF-9186-828E7F49F18E}"/>
    <cellStyle name="Normal 9 2 14 2" xfId="15915" xr:uid="{C9D91BC5-4852-4A04-837A-61252EA77C71}"/>
    <cellStyle name="Normal 9 2 14 2 2" xfId="32675" xr:uid="{7832121B-7289-4CC9-BCA9-ABE16EC4A27F}"/>
    <cellStyle name="Normal 9 2 14 2 3" xfId="49434" xr:uid="{CDAE5200-A177-4436-8725-D4A489009D4D}"/>
    <cellStyle name="Normal 9 2 14 3" xfId="24295" xr:uid="{27A812BC-D1F7-4876-9609-41242D9A3A22}"/>
    <cellStyle name="Normal 9 2 14 4" xfId="41054" xr:uid="{5D4AF544-7274-454C-8205-94FF6D34AD75}"/>
    <cellStyle name="Normal 9 2 15" xfId="7941" xr:uid="{C3AA8F66-C3A9-4126-B7D2-775871C26C33}"/>
    <cellStyle name="Normal 9 2 15 2" xfId="16321" xr:uid="{A7B24EDD-3350-4D4A-B544-EB5F5A51C4EA}"/>
    <cellStyle name="Normal 9 2 15 2 2" xfId="33081" xr:uid="{28A186C1-8761-4542-896A-BA34FA177ED3}"/>
    <cellStyle name="Normal 9 2 15 2 3" xfId="49840" xr:uid="{9FF94900-D13D-4BA6-8884-1FD85D027725}"/>
    <cellStyle name="Normal 9 2 15 3" xfId="24701" xr:uid="{A26B25AE-3C59-4F50-997F-5BF6FCFA2AC3}"/>
    <cellStyle name="Normal 9 2 15 4" xfId="41460" xr:uid="{96BEC709-18AB-403E-9E31-A03DAF849C42}"/>
    <cellStyle name="Normal 9 2 16" xfId="8347" xr:uid="{FF6D3A45-3E75-4749-A83C-CF75685F95A8}"/>
    <cellStyle name="Normal 9 2 16 2" xfId="16727" xr:uid="{D3E733D2-76EF-4E3D-B44D-826882CBEB0F}"/>
    <cellStyle name="Normal 9 2 16 2 2" xfId="33487" xr:uid="{8AA66811-AD12-471F-8C27-1C4D05CF9FD1}"/>
    <cellStyle name="Normal 9 2 16 2 3" xfId="50246" xr:uid="{032B5E98-5569-4211-944B-5C33312C1DA8}"/>
    <cellStyle name="Normal 9 2 16 3" xfId="25107" xr:uid="{292355B4-A461-445C-BB65-14B915179360}"/>
    <cellStyle name="Normal 9 2 16 4" xfId="41866" xr:uid="{C93A2F86-8364-4712-8B72-0516DDE36CA4}"/>
    <cellStyle name="Normal 9 2 17" xfId="2048" xr:uid="{A96E2587-237F-4DEF-A440-7487D66ED362}"/>
    <cellStyle name="Normal 9 2 17 2" xfId="10436" xr:uid="{D7395CD6-6ECD-4CEB-BE5C-00A2284059DC}"/>
    <cellStyle name="Normal 9 2 17 2 2" xfId="27196" xr:uid="{E4DB5F41-50AE-452A-A8C0-AFB699665293}"/>
    <cellStyle name="Normal 9 2 17 2 3" xfId="43955" xr:uid="{BACDF32A-5838-4D06-AD5E-A6B040CE438D}"/>
    <cellStyle name="Normal 9 2 17 3" xfId="18816" xr:uid="{2A8EFC67-58BE-44F2-9D56-1A384E59E32A}"/>
    <cellStyle name="Normal 9 2 17 4" xfId="35575" xr:uid="{F96595EC-B2C8-4FA2-B642-5B80035AE046}"/>
    <cellStyle name="Normal 9 2 18" xfId="8745" xr:uid="{C3FFE0A1-E065-45C9-B1F0-383D7B2E74AB}"/>
    <cellStyle name="Normal 9 2 18 2" xfId="25505" xr:uid="{D0DDC40B-28B0-4B02-855E-9DC612660420}"/>
    <cellStyle name="Normal 9 2 18 3" xfId="42264" xr:uid="{4EB12660-2D70-49C7-AA04-EF4231E3CDFB}"/>
    <cellStyle name="Normal 9 2 19" xfId="17125" xr:uid="{79042AB2-595B-4308-9A9B-4F2406592490}"/>
    <cellStyle name="Normal 9 2 2" xfId="300" xr:uid="{3082B110-7780-461F-8D33-410AB945ED35}"/>
    <cellStyle name="Normal 9 2 2 10" xfId="7191" xr:uid="{4FFE0A39-DF8E-4EBD-92F6-823ADF9DDEA5}"/>
    <cellStyle name="Normal 9 2 2 10 2" xfId="15571" xr:uid="{645EBB52-3869-4ABB-BE16-C25CDE81940C}"/>
    <cellStyle name="Normal 9 2 2 10 2 2" xfId="32331" xr:uid="{89EB7FF7-9FB5-41E3-9C2D-5E139F6B95C2}"/>
    <cellStyle name="Normal 9 2 2 10 2 3" xfId="49090" xr:uid="{E9A302E2-2018-4C3B-907E-CD9CC094FF04}"/>
    <cellStyle name="Normal 9 2 2 10 3" xfId="23951" xr:uid="{578A18D9-802A-4A66-8DDE-1518D556968A}"/>
    <cellStyle name="Normal 9 2 2 10 4" xfId="40710" xr:uid="{C20471C8-0AA7-47FB-950F-F9AB57CC74BC}"/>
    <cellStyle name="Normal 9 2 2 11" xfId="7597" xr:uid="{E920FC7F-29EB-4F5D-840C-4985ADD5F798}"/>
    <cellStyle name="Normal 9 2 2 11 2" xfId="15977" xr:uid="{4067F34A-6FDD-4EF7-9E63-E1F7A7D3C280}"/>
    <cellStyle name="Normal 9 2 2 11 2 2" xfId="32737" xr:uid="{37353CF8-C0AB-42AB-B964-74E273152C88}"/>
    <cellStyle name="Normal 9 2 2 11 2 3" xfId="49496" xr:uid="{B32D9346-D1DF-4BC9-9B9F-E631B685E010}"/>
    <cellStyle name="Normal 9 2 2 11 3" xfId="24357" xr:uid="{51AD5539-219E-4136-94F7-C87C2E434DBA}"/>
    <cellStyle name="Normal 9 2 2 11 4" xfId="41116" xr:uid="{597CC3D2-FA65-483C-9BD0-B46E2E1C64FC}"/>
    <cellStyle name="Normal 9 2 2 12" xfId="8003" xr:uid="{4E84D1C9-4640-4A4D-884B-2B5A5A5FD3A9}"/>
    <cellStyle name="Normal 9 2 2 12 2" xfId="16383" xr:uid="{FC3185FB-51A7-4C19-92BF-E8B13D013248}"/>
    <cellStyle name="Normal 9 2 2 12 2 2" xfId="33143" xr:uid="{B1DFB3BA-B7C0-4A35-AE88-A6586B335231}"/>
    <cellStyle name="Normal 9 2 2 12 2 3" xfId="49902" xr:uid="{DE9A2CFF-5B73-4A04-808A-C0C2F5D1BD53}"/>
    <cellStyle name="Normal 9 2 2 12 3" xfId="24763" xr:uid="{45A41667-8293-447A-8A0F-BCBFB4EF76FD}"/>
    <cellStyle name="Normal 9 2 2 12 4" xfId="41522" xr:uid="{41381B46-623B-45A3-B761-C81564AF6E29}"/>
    <cellStyle name="Normal 9 2 2 13" xfId="8409" xr:uid="{5D9C569F-B45D-49C0-A46D-925BD4D68984}"/>
    <cellStyle name="Normal 9 2 2 13 2" xfId="16789" xr:uid="{FA543D68-CB8A-4286-AFC4-051289C47630}"/>
    <cellStyle name="Normal 9 2 2 13 2 2" xfId="33549" xr:uid="{6DF87556-70D8-41CD-A2E8-916D5991C8FF}"/>
    <cellStyle name="Normal 9 2 2 13 2 3" xfId="50308" xr:uid="{D647B947-3D64-4B3D-B176-E9FD192F2A2C}"/>
    <cellStyle name="Normal 9 2 2 13 3" xfId="25169" xr:uid="{EE7AFA83-3C6E-4F02-83E2-E4C8BEC890C1}"/>
    <cellStyle name="Normal 9 2 2 13 4" xfId="41928" xr:uid="{AE250E24-415A-4C94-9CDD-B9855DAF186E}"/>
    <cellStyle name="Normal 9 2 2 14" xfId="2066" xr:uid="{11B25A28-3590-44A9-BAF1-F9DEB37211C3}"/>
    <cellStyle name="Normal 9 2 2 14 2" xfId="10454" xr:uid="{473F14CE-3E67-4508-9F32-87041E65C84A}"/>
    <cellStyle name="Normal 9 2 2 14 2 2" xfId="27214" xr:uid="{198047A3-369A-4494-A71C-4EC9A7CE4EC9}"/>
    <cellStyle name="Normal 9 2 2 14 2 3" xfId="43973" xr:uid="{BB883F9A-48A0-4649-BAA5-9322AE68E533}"/>
    <cellStyle name="Normal 9 2 2 14 3" xfId="18834" xr:uid="{3D3E33F8-A743-4EA5-8592-15327BA4F85F}"/>
    <cellStyle name="Normal 9 2 2 14 4" xfId="35593" xr:uid="{8C7FCA87-8F91-4812-AA6B-BCB108F466A8}"/>
    <cellStyle name="Normal 9 2 2 15" xfId="8773" xr:uid="{8D79368C-22EF-4744-8004-886A4D6F54FC}"/>
    <cellStyle name="Normal 9 2 2 15 2" xfId="25533" xr:uid="{6B96694A-2722-4198-8A52-C71F6342D718}"/>
    <cellStyle name="Normal 9 2 2 15 3" xfId="42292" xr:uid="{421BC31D-57FB-44F4-A37B-F95889D4225D}"/>
    <cellStyle name="Normal 9 2 2 16" xfId="17153" xr:uid="{6346E541-0BE2-4BFA-9E81-63E0D217EBC0}"/>
    <cellStyle name="Normal 9 2 2 17" xfId="33912" xr:uid="{7857366C-8A4D-4B2B-B32C-5E9DE8BD5DCC}"/>
    <cellStyle name="Normal 9 2 2 2" xfId="383" xr:uid="{75A3F10C-BE42-47BC-9F7A-BD95B0140BD4}"/>
    <cellStyle name="Normal 9 2 2 2 10" xfId="7620" xr:uid="{734667B9-C670-462C-9944-4F6259CCAE85}"/>
    <cellStyle name="Normal 9 2 2 2 10 2" xfId="16000" xr:uid="{3656217E-A5A9-434E-96CC-6698C36470A4}"/>
    <cellStyle name="Normal 9 2 2 2 10 2 2" xfId="32760" xr:uid="{FED4B915-65AF-4533-8B85-DFABF51AB5AB}"/>
    <cellStyle name="Normal 9 2 2 2 10 2 3" xfId="49519" xr:uid="{0B890BDD-99FD-4C54-BE2F-235C13D933CE}"/>
    <cellStyle name="Normal 9 2 2 2 10 3" xfId="24380" xr:uid="{9568A8AB-A9A8-4B63-B9F8-503332429A87}"/>
    <cellStyle name="Normal 9 2 2 2 10 4" xfId="41139" xr:uid="{6D5914E0-E150-4F7F-80BB-C0E57BEE7D1C}"/>
    <cellStyle name="Normal 9 2 2 2 11" xfId="8026" xr:uid="{4A8C1539-3F43-409B-8BED-64DE4AB102BD}"/>
    <cellStyle name="Normal 9 2 2 2 11 2" xfId="16406" xr:uid="{2DD98E24-2147-4CB4-B72A-B1B967785A6B}"/>
    <cellStyle name="Normal 9 2 2 2 11 2 2" xfId="33166" xr:uid="{83477E5D-BFB2-443B-AE48-9BCEBACBC830}"/>
    <cellStyle name="Normal 9 2 2 2 11 2 3" xfId="49925" xr:uid="{2AACFEF2-73B1-4CD0-83B9-524AF1C3F13C}"/>
    <cellStyle name="Normal 9 2 2 2 11 3" xfId="24786" xr:uid="{7EF933A5-17F4-49B2-B71C-CCFA09E02173}"/>
    <cellStyle name="Normal 9 2 2 2 11 4" xfId="41545" xr:uid="{5E65BFE6-3F65-404A-896B-D9725D0BC409}"/>
    <cellStyle name="Normal 9 2 2 2 12" xfId="8432" xr:uid="{73B90D21-DCE4-4FC2-A3BD-DE9978424757}"/>
    <cellStyle name="Normal 9 2 2 2 12 2" xfId="16812" xr:uid="{9C69287E-0EE3-4097-A737-5FBB4950D42B}"/>
    <cellStyle name="Normal 9 2 2 2 12 2 2" xfId="33572" xr:uid="{8E494ECE-3442-4E26-A829-B6692397E176}"/>
    <cellStyle name="Normal 9 2 2 2 12 2 3" xfId="50331" xr:uid="{4182B808-E90B-4833-94C7-0AB97910956F}"/>
    <cellStyle name="Normal 9 2 2 2 12 3" xfId="25192" xr:uid="{078686AC-6CEA-4BE4-B92E-19C123F85A17}"/>
    <cellStyle name="Normal 9 2 2 2 12 4" xfId="41951" xr:uid="{25D6DFBE-AD16-412F-9680-202C51605652}"/>
    <cellStyle name="Normal 9 2 2 2 13" xfId="2266" xr:uid="{0D061CF6-77BF-448D-94DC-D49FCF735DE0}"/>
    <cellStyle name="Normal 9 2 2 2 13 2" xfId="10650" xr:uid="{9E25D725-BCE8-4514-BABB-9C2355378288}"/>
    <cellStyle name="Normal 9 2 2 2 13 2 2" xfId="27410" xr:uid="{E78A0037-6A5C-41E4-A2E3-EAE61E020146}"/>
    <cellStyle name="Normal 9 2 2 2 13 2 3" xfId="44169" xr:uid="{6952BCA1-B3B8-4F4F-B840-9DFA67DBA552}"/>
    <cellStyle name="Normal 9 2 2 2 13 3" xfId="19030" xr:uid="{1BBE9C4F-48F7-4B6B-B2FC-8C3E3D1F2A1B}"/>
    <cellStyle name="Normal 9 2 2 2 13 4" xfId="35789" xr:uid="{9E6F5384-8862-469A-8797-7FEED0480939}"/>
    <cellStyle name="Normal 9 2 2 2 14" xfId="8847" xr:uid="{2F13D4D1-61F0-447B-996B-C5CE161A0A61}"/>
    <cellStyle name="Normal 9 2 2 2 14 2" xfId="25607" xr:uid="{4DDB2BBB-2BFF-4403-8158-3188902B67A6}"/>
    <cellStyle name="Normal 9 2 2 2 14 3" xfId="42366" xr:uid="{AA9078CC-FB1E-42CC-802F-3B9E301E0A7E}"/>
    <cellStyle name="Normal 9 2 2 2 15" xfId="17227" xr:uid="{15BEAF3B-157B-4CDA-A150-D36CBDD824BA}"/>
    <cellStyle name="Normal 9 2 2 2 16" xfId="33986" xr:uid="{CFCCA0BB-66D2-4B9A-AEE4-75021CE252E0}"/>
    <cellStyle name="Normal 9 2 2 2 2" xfId="721" xr:uid="{0534236C-3648-4762-83D1-5C33AA9428E3}"/>
    <cellStyle name="Normal 9 2 2 2 2 10" xfId="8585" xr:uid="{A0AD66DC-47EF-4046-842C-0BB0BF86596B}"/>
    <cellStyle name="Normal 9 2 2 2 2 10 2" xfId="16965" xr:uid="{DEE3CB1A-B320-41CD-A18F-5E3C5DAD030A}"/>
    <cellStyle name="Normal 9 2 2 2 2 10 2 2" xfId="33725" xr:uid="{1D53F5F5-73FA-4A4B-9651-D31BC20270FD}"/>
    <cellStyle name="Normal 9 2 2 2 2 10 2 3" xfId="50484" xr:uid="{6A5EE89F-5D1C-4F23-828F-E7533C2776AD}"/>
    <cellStyle name="Normal 9 2 2 2 2 10 3" xfId="25345" xr:uid="{0F3EE6C2-C0C6-4327-8532-CE9BAA87D17E}"/>
    <cellStyle name="Normal 9 2 2 2 2 10 4" xfId="42104" xr:uid="{834E4320-051C-4021-BEA0-94823261BDFC}"/>
    <cellStyle name="Normal 9 2 2 2 2 11" xfId="2550" xr:uid="{D14928BC-90AF-4091-AD29-8475C97309DD}"/>
    <cellStyle name="Normal 9 2 2 2 2 11 2" xfId="10932" xr:uid="{83BF0BDB-DC67-4954-AD5B-E7BB5A4E0A8F}"/>
    <cellStyle name="Normal 9 2 2 2 2 11 2 2" xfId="27692" xr:uid="{DBEB1BD6-BD09-4CC9-88CC-EF95E7071B78}"/>
    <cellStyle name="Normal 9 2 2 2 2 11 2 3" xfId="44451" xr:uid="{4E6343C9-019F-4A3B-8A1F-479347954CE3}"/>
    <cellStyle name="Normal 9 2 2 2 2 11 3" xfId="19312" xr:uid="{1420E51E-C99F-4FA8-8291-5241D8C27B58}"/>
    <cellStyle name="Normal 9 2 2 2 2 11 4" xfId="36071" xr:uid="{0DE5EF50-1810-4B8A-A464-727865EDCF01}"/>
    <cellStyle name="Normal 9 2 2 2 2 12" xfId="9129" xr:uid="{CEFBA43C-E4E3-4975-B386-5D0C7DC12C6E}"/>
    <cellStyle name="Normal 9 2 2 2 2 12 2" xfId="25889" xr:uid="{EB38C7EE-F6E8-4F42-904A-04EAE0E19D0C}"/>
    <cellStyle name="Normal 9 2 2 2 2 12 3" xfId="42648" xr:uid="{6E2E66BE-A3AC-4B5F-A371-09E58F80301B}"/>
    <cellStyle name="Normal 9 2 2 2 2 13" xfId="17509" xr:uid="{45E2EED8-6691-4A2B-97B9-6961DE3FDCF1}"/>
    <cellStyle name="Normal 9 2 2 2 2 14" xfId="34268" xr:uid="{DB4B03AD-5810-4EC3-B1F2-35D45EB841A6}"/>
    <cellStyle name="Normal 9 2 2 2 2 2" xfId="1160" xr:uid="{D0677EE5-C359-4530-99B5-0ECE7B9E6A4D}"/>
    <cellStyle name="Normal 9 2 2 2 2 2 2" xfId="4555" xr:uid="{3B67D938-9875-4669-84E3-08603A07FD5E}"/>
    <cellStyle name="Normal 9 2 2 2 2 2 2 2" xfId="12935" xr:uid="{E7F866F2-64C0-42A5-A6CD-11AA4595F5A7}"/>
    <cellStyle name="Normal 9 2 2 2 2 2 2 2 2" xfId="29695" xr:uid="{BD184111-9ABE-4A14-AD8E-502C88D822F2}"/>
    <cellStyle name="Normal 9 2 2 2 2 2 2 2 3" xfId="46454" xr:uid="{3BAF03CD-3FA4-45F2-A948-AC9BEECEC2EB}"/>
    <cellStyle name="Normal 9 2 2 2 2 2 2 3" xfId="21315" xr:uid="{24356F3E-3CD2-4912-AAC5-DD78A18124AB}"/>
    <cellStyle name="Normal 9 2 2 2 2 2 2 4" xfId="38074" xr:uid="{022F0725-9EB0-4D4F-A590-2C59F283FD41}"/>
    <cellStyle name="Normal 9 2 2 2 2 2 3" xfId="6242" xr:uid="{2E5D193E-1F84-429E-8CE2-E2B55AA0E56C}"/>
    <cellStyle name="Normal 9 2 2 2 2 2 3 2" xfId="14622" xr:uid="{9706ED61-C81F-4188-AC86-80AAB04D77D6}"/>
    <cellStyle name="Normal 9 2 2 2 2 2 3 2 2" xfId="31382" xr:uid="{ECEE7602-BF5A-47A4-9AF1-782C03E58898}"/>
    <cellStyle name="Normal 9 2 2 2 2 2 3 2 3" xfId="48141" xr:uid="{72994C0F-655C-42AE-8691-426C221DD984}"/>
    <cellStyle name="Normal 9 2 2 2 2 2 3 3" xfId="23002" xr:uid="{7D6D781C-7133-4161-87CA-01337F92CD09}"/>
    <cellStyle name="Normal 9 2 2 2 2 2 3 4" xfId="39761" xr:uid="{1D8E2E85-1D7A-4531-80C2-64019F832120}"/>
    <cellStyle name="Normal 9 2 2 2 2 2 4" xfId="2978" xr:uid="{8BF0B65E-B9CB-4CF6-BEEF-8B6C18D4F1A7}"/>
    <cellStyle name="Normal 9 2 2 2 2 2 4 2" xfId="11358" xr:uid="{1896E9F1-030B-45A1-B1A7-CEB4288B3734}"/>
    <cellStyle name="Normal 9 2 2 2 2 2 4 2 2" xfId="28118" xr:uid="{E6D94BBA-B4F8-4028-A4AF-F1979055ABC8}"/>
    <cellStyle name="Normal 9 2 2 2 2 2 4 2 3" xfId="44877" xr:uid="{5A884FA5-6CA4-4B04-A5F3-55306C29267A}"/>
    <cellStyle name="Normal 9 2 2 2 2 2 4 3" xfId="19738" xr:uid="{2F739650-475A-448A-BDF5-47932256307E}"/>
    <cellStyle name="Normal 9 2 2 2 2 2 4 4" xfId="36497" xr:uid="{FD87729E-C6AE-4E99-B13C-06AC3589060D}"/>
    <cellStyle name="Normal 9 2 2 2 2 2 5" xfId="9555" xr:uid="{637CF6D5-D6B5-4EFC-AA8E-7BE6555987FF}"/>
    <cellStyle name="Normal 9 2 2 2 2 2 5 2" xfId="26315" xr:uid="{C3FC4C0C-05A3-4190-86F2-02DB9DEFBF96}"/>
    <cellStyle name="Normal 9 2 2 2 2 2 5 3" xfId="43074" xr:uid="{064AC716-154D-4091-90BF-6560D336B975}"/>
    <cellStyle name="Normal 9 2 2 2 2 2 6" xfId="17935" xr:uid="{C7BA112C-19A1-4988-83E5-AB4BC5AB9C0F}"/>
    <cellStyle name="Normal 9 2 2 2 2 2 7" xfId="34694" xr:uid="{FBBF36EE-826B-460B-9CB3-6FC9F3C71831}"/>
    <cellStyle name="Normal 9 2 2 2 2 3" xfId="1594" xr:uid="{80599911-652A-4326-88E2-C26BFD00DCCA}"/>
    <cellStyle name="Normal 9 2 2 2 2 3 2" xfId="4983" xr:uid="{F26C90D4-D818-4F44-9F23-EA936A882AE1}"/>
    <cellStyle name="Normal 9 2 2 2 2 3 2 2" xfId="13363" xr:uid="{2675A163-7851-450C-81B6-084F3479AC32}"/>
    <cellStyle name="Normal 9 2 2 2 2 3 2 2 2" xfId="30123" xr:uid="{8A36CA01-1536-4D7A-938D-AC1F2F7C85E9}"/>
    <cellStyle name="Normal 9 2 2 2 2 3 2 2 3" xfId="46882" xr:uid="{2A94B34B-BA31-4E44-AF03-5F543DF6A129}"/>
    <cellStyle name="Normal 9 2 2 2 2 3 2 3" xfId="21743" xr:uid="{9C67D8E7-656A-4F94-BB62-ACAE1D4D843E}"/>
    <cellStyle name="Normal 9 2 2 2 2 3 2 4" xfId="38502" xr:uid="{5BBC0AAD-1973-49E0-85E4-0FCBFF151EBC}"/>
    <cellStyle name="Normal 9 2 2 2 2 3 3" xfId="6670" xr:uid="{BAC61650-C905-4D2E-B574-EFFC3132AD6D}"/>
    <cellStyle name="Normal 9 2 2 2 2 3 3 2" xfId="15050" xr:uid="{835343C0-BF4F-4556-8921-4CD59C8CEFD9}"/>
    <cellStyle name="Normal 9 2 2 2 2 3 3 2 2" xfId="31810" xr:uid="{17F7306C-11AF-4920-8DA4-8EFE407EB26E}"/>
    <cellStyle name="Normal 9 2 2 2 2 3 3 2 3" xfId="48569" xr:uid="{A7497AF1-C360-4267-A3C3-8974E01F5C67}"/>
    <cellStyle name="Normal 9 2 2 2 2 3 3 3" xfId="23430" xr:uid="{C391A730-E4B3-475A-AF54-BECEC5198519}"/>
    <cellStyle name="Normal 9 2 2 2 2 3 3 4" xfId="40189" xr:uid="{C6A368E3-F277-4D18-9E63-47DE7F6B6254}"/>
    <cellStyle name="Normal 9 2 2 2 2 3 4" xfId="3406" xr:uid="{1D8879EF-0859-4184-AE25-17946BEABF6C}"/>
    <cellStyle name="Normal 9 2 2 2 2 3 4 2" xfId="11786" xr:uid="{6B6604CC-3FF8-4AAE-918D-E975F4ECDAC4}"/>
    <cellStyle name="Normal 9 2 2 2 2 3 4 2 2" xfId="28546" xr:uid="{7300CDD9-B809-4C32-99CB-855B8C723CE3}"/>
    <cellStyle name="Normal 9 2 2 2 2 3 4 2 3" xfId="45305" xr:uid="{094C1E2E-F147-4094-BC04-3AA5F7A0430D}"/>
    <cellStyle name="Normal 9 2 2 2 2 3 4 3" xfId="20166" xr:uid="{1F9B9E3F-A631-4D8C-B503-F7A3092EBD01}"/>
    <cellStyle name="Normal 9 2 2 2 2 3 4 4" xfId="36925" xr:uid="{CC572951-5B92-4416-9B10-790CDCEC5B15}"/>
    <cellStyle name="Normal 9 2 2 2 2 3 5" xfId="9983" xr:uid="{C2227641-A236-4B0A-944D-765723A9511C}"/>
    <cellStyle name="Normal 9 2 2 2 2 3 5 2" xfId="26743" xr:uid="{6CDA46C2-F7CE-4DD9-B8F6-724B8007B41A}"/>
    <cellStyle name="Normal 9 2 2 2 2 3 5 3" xfId="43502" xr:uid="{A62D5A0A-6541-4D7D-A891-50156B14F9AA}"/>
    <cellStyle name="Normal 9 2 2 2 2 3 6" xfId="18363" xr:uid="{79C59D6C-ED02-4E2C-8A59-CDC0A6A5080D}"/>
    <cellStyle name="Normal 9 2 2 2 2 3 7" xfId="35122" xr:uid="{8EED2100-7FCB-46E4-A453-CF996D9C2333}"/>
    <cellStyle name="Normal 9 2 2 2 2 4" xfId="1885" xr:uid="{5CBE92F3-6ECB-440E-B32B-B915528F46C1}"/>
    <cellStyle name="Normal 9 2 2 2 2 4 2" xfId="5274" xr:uid="{7781E6D3-4D9C-4FE4-81E3-F6203FF5A164}"/>
    <cellStyle name="Normal 9 2 2 2 2 4 2 2" xfId="13654" xr:uid="{52055156-EF89-44F6-846E-CEA7BC413B66}"/>
    <cellStyle name="Normal 9 2 2 2 2 4 2 2 2" xfId="30414" xr:uid="{BE4C3AFE-E2FD-4A90-A581-411D95269A29}"/>
    <cellStyle name="Normal 9 2 2 2 2 4 2 2 3" xfId="47173" xr:uid="{40B0C9A0-3AC6-4D35-893C-69CA03DCAACA}"/>
    <cellStyle name="Normal 9 2 2 2 2 4 2 3" xfId="22034" xr:uid="{CD6F21E0-CEE4-4A23-BC16-3D3446163C08}"/>
    <cellStyle name="Normal 9 2 2 2 2 4 2 4" xfId="38793" xr:uid="{60E9590A-D4A1-4E5C-94B0-183129FFFFAF}"/>
    <cellStyle name="Normal 9 2 2 2 2 4 3" xfId="6961" xr:uid="{66BA6B06-9D39-47C1-8BDE-6A0AB91E9723}"/>
    <cellStyle name="Normal 9 2 2 2 2 4 3 2" xfId="15341" xr:uid="{9B9066E0-BAEC-43A8-9805-B376962BAD84}"/>
    <cellStyle name="Normal 9 2 2 2 2 4 3 2 2" xfId="32101" xr:uid="{933838F5-F621-4575-92FA-48689E29C2EE}"/>
    <cellStyle name="Normal 9 2 2 2 2 4 3 2 3" xfId="48860" xr:uid="{059C86AB-2A47-49AB-BA6A-A49402214089}"/>
    <cellStyle name="Normal 9 2 2 2 2 4 3 3" xfId="23721" xr:uid="{96271C62-6D71-49CE-ACBC-31922BCE65C3}"/>
    <cellStyle name="Normal 9 2 2 2 2 4 3 4" xfId="40480" xr:uid="{3EFA3D74-0054-46A8-BB32-997C9F00E3E1}"/>
    <cellStyle name="Normal 9 2 2 2 2 4 4" xfId="3584" xr:uid="{F4BC857A-3BA1-455C-9CAB-3EAA1ADCD89E}"/>
    <cellStyle name="Normal 9 2 2 2 2 4 4 2" xfId="11964" xr:uid="{04A7D634-C3D1-4B58-BF84-6CB2A6D16D55}"/>
    <cellStyle name="Normal 9 2 2 2 2 4 4 2 2" xfId="28724" xr:uid="{C586A6D2-8A59-4296-BF5C-5FCD5F0CFFB5}"/>
    <cellStyle name="Normal 9 2 2 2 2 4 4 2 3" xfId="45483" xr:uid="{FE4BF19F-40E7-4A3E-A0B7-8834CD77632E}"/>
    <cellStyle name="Normal 9 2 2 2 2 4 4 3" xfId="20344" xr:uid="{A1ECA11B-8F5B-4A0D-8CF5-CF5D1711DFCD}"/>
    <cellStyle name="Normal 9 2 2 2 2 4 4 4" xfId="37103" xr:uid="{A7BAE668-70A5-4DD5-B7D8-060A847F427A}"/>
    <cellStyle name="Normal 9 2 2 2 2 4 5" xfId="10274" xr:uid="{B91A5714-5C88-43E6-8F82-78B4CA269B78}"/>
    <cellStyle name="Normal 9 2 2 2 2 4 5 2" xfId="27034" xr:uid="{1CFA1715-499A-41B2-B348-77CE6DA319E3}"/>
    <cellStyle name="Normal 9 2 2 2 2 4 5 3" xfId="43793" xr:uid="{C7B8AC43-B51B-411D-887D-9C38E8DF6665}"/>
    <cellStyle name="Normal 9 2 2 2 2 4 6" xfId="18654" xr:uid="{FBFE9EA2-78A5-41D6-ABB4-E9638F097668}"/>
    <cellStyle name="Normal 9 2 2 2 2 4 7" xfId="35413" xr:uid="{9916E793-61DE-46E0-8848-EE49A35F172D}"/>
    <cellStyle name="Normal 9 2 2 2 2 5" xfId="4004" xr:uid="{698A3083-17C6-416D-8425-94DD2976622C}"/>
    <cellStyle name="Normal 9 2 2 2 2 5 2" xfId="12384" xr:uid="{29631FB0-BAA4-4C2C-ABF6-F44009CD8376}"/>
    <cellStyle name="Normal 9 2 2 2 2 5 2 2" xfId="29144" xr:uid="{3D5561FB-42EA-46C4-99F0-077CF838A7A4}"/>
    <cellStyle name="Normal 9 2 2 2 2 5 2 3" xfId="45903" xr:uid="{654FF18B-7074-4E92-A9B9-D85769D8836A}"/>
    <cellStyle name="Normal 9 2 2 2 2 5 3" xfId="20764" xr:uid="{1C84503C-07B8-45C1-BAE8-4792EC91DF48}"/>
    <cellStyle name="Normal 9 2 2 2 2 5 4" xfId="37523" xr:uid="{95032CB0-09DC-4413-A5F9-603F6D243581}"/>
    <cellStyle name="Normal 9 2 2 2 2 6" xfId="5816" xr:uid="{5637BCB1-E198-427F-A3B6-E9FC110F8B3D}"/>
    <cellStyle name="Normal 9 2 2 2 2 6 2" xfId="14196" xr:uid="{D7F05973-D60E-4F99-AF0F-9B7E1E81DBEF}"/>
    <cellStyle name="Normal 9 2 2 2 2 6 2 2" xfId="30956" xr:uid="{DFE0D556-7778-47FD-A320-8F372F1632A2}"/>
    <cellStyle name="Normal 9 2 2 2 2 6 2 3" xfId="47715" xr:uid="{A4CFFF5C-F576-44EB-B3B1-1D76FA89FFAA}"/>
    <cellStyle name="Normal 9 2 2 2 2 6 3" xfId="22576" xr:uid="{C4A58417-DE65-4089-836F-BA139EAA4C4B}"/>
    <cellStyle name="Normal 9 2 2 2 2 6 4" xfId="39335" xr:uid="{D6CEF949-229A-43E2-A8B8-F6AB7395DA87}"/>
    <cellStyle name="Normal 9 2 2 2 2 7" xfId="7367" xr:uid="{F8E34AE7-B4FB-40F2-997A-CAEEA8E73521}"/>
    <cellStyle name="Normal 9 2 2 2 2 7 2" xfId="15747" xr:uid="{C201B837-BE56-4966-83C9-589112732671}"/>
    <cellStyle name="Normal 9 2 2 2 2 7 2 2" xfId="32507" xr:uid="{A0423B48-AC49-431A-A330-321D8205DF51}"/>
    <cellStyle name="Normal 9 2 2 2 2 7 2 3" xfId="49266" xr:uid="{3C4B42C7-48D8-4F4B-A1E3-CFEA3E9863B8}"/>
    <cellStyle name="Normal 9 2 2 2 2 7 3" xfId="24127" xr:uid="{0B14A194-D235-4474-895A-5B15382DD10B}"/>
    <cellStyle name="Normal 9 2 2 2 2 7 4" xfId="40886" xr:uid="{B8F37571-BE86-4471-9B42-3DD855755EAD}"/>
    <cellStyle name="Normal 9 2 2 2 2 8" xfId="7773" xr:uid="{8CBAD261-63CA-46D6-9862-79A2819296FC}"/>
    <cellStyle name="Normal 9 2 2 2 2 8 2" xfId="16153" xr:uid="{67FA196E-2FA8-4C8B-9ED4-B2A901D9F8F8}"/>
    <cellStyle name="Normal 9 2 2 2 2 8 2 2" xfId="32913" xr:uid="{99A7C88D-6041-4F7C-AB64-6285D03458D1}"/>
    <cellStyle name="Normal 9 2 2 2 2 8 2 3" xfId="49672" xr:uid="{214FC7FA-6EB5-4DB4-9FE8-D73EBCA5450E}"/>
    <cellStyle name="Normal 9 2 2 2 2 8 3" xfId="24533" xr:uid="{392936BC-70FF-4A47-ADA1-D9E562832829}"/>
    <cellStyle name="Normal 9 2 2 2 2 8 4" xfId="41292" xr:uid="{2DF7359A-5C79-4D00-8C64-CB3B18CC3245}"/>
    <cellStyle name="Normal 9 2 2 2 2 9" xfId="8179" xr:uid="{71B7C306-D62F-49BB-9272-ECC65061F415}"/>
    <cellStyle name="Normal 9 2 2 2 2 9 2" xfId="16559" xr:uid="{8661C6EF-4A15-44D0-B82B-4733F2202B1F}"/>
    <cellStyle name="Normal 9 2 2 2 2 9 2 2" xfId="33319" xr:uid="{79FC0A7A-33AB-4FFB-9E20-18391ADC4D7D}"/>
    <cellStyle name="Normal 9 2 2 2 2 9 2 3" xfId="50078" xr:uid="{E40EAF60-F4D1-40D6-B30A-80BD750FC8A5}"/>
    <cellStyle name="Normal 9 2 2 2 2 9 3" xfId="24939" xr:uid="{B4826DCF-2219-4FD9-9B45-2CE29B67ED4C}"/>
    <cellStyle name="Normal 9 2 2 2 2 9 4" xfId="41698" xr:uid="{BC817F4C-9F26-470B-8178-AF8215B9239F}"/>
    <cellStyle name="Normal 9 2 2 2 3" xfId="722" xr:uid="{79381330-98A8-4BA4-8506-EC550CC6940C}"/>
    <cellStyle name="Normal 9 2 2 2 3 10" xfId="8703" xr:uid="{E7AB6BD0-FB0E-4B4E-94B3-4660DDE13208}"/>
    <cellStyle name="Normal 9 2 2 2 3 10 2" xfId="17083" xr:uid="{8F454343-FBD9-4783-A7C4-DBA46A0C0B4B}"/>
    <cellStyle name="Normal 9 2 2 2 3 10 2 2" xfId="33843" xr:uid="{13B584D8-AB1D-4F59-8542-FACF0A8446CF}"/>
    <cellStyle name="Normal 9 2 2 2 3 10 2 3" xfId="50602" xr:uid="{026F1D06-565E-4950-8335-7EF54A1D3D50}"/>
    <cellStyle name="Normal 9 2 2 2 3 10 3" xfId="25463" xr:uid="{BBBBE4FE-5B0B-4F44-94D6-F107452E83AD}"/>
    <cellStyle name="Normal 9 2 2 2 3 10 4" xfId="42222" xr:uid="{44577987-52B9-4238-950C-D3A6E16449DE}"/>
    <cellStyle name="Normal 9 2 2 2 3 11" xfId="2551" xr:uid="{2FD3A352-EFCC-4C9B-A011-BEFBE336F244}"/>
    <cellStyle name="Normal 9 2 2 2 3 11 2" xfId="10933" xr:uid="{15E35761-3395-46DE-818C-78455E0B6D84}"/>
    <cellStyle name="Normal 9 2 2 2 3 11 2 2" xfId="27693" xr:uid="{7CD8317F-E7B2-4C98-9C21-6348A78ED2C6}"/>
    <cellStyle name="Normal 9 2 2 2 3 11 2 3" xfId="44452" xr:uid="{7124D0C5-FD12-4594-8BA0-E30A05475C6B}"/>
    <cellStyle name="Normal 9 2 2 2 3 11 3" xfId="19313" xr:uid="{7BBC0CA5-BE7C-470A-B2BC-8D6BC7C8EB26}"/>
    <cellStyle name="Normal 9 2 2 2 3 11 4" xfId="36072" xr:uid="{E0D74A70-9C75-4E9F-BF7F-5E44DF7FDE39}"/>
    <cellStyle name="Normal 9 2 2 2 3 12" xfId="9130" xr:uid="{1335FECC-298F-4446-B667-FB89E9010C96}"/>
    <cellStyle name="Normal 9 2 2 2 3 12 2" xfId="25890" xr:uid="{F73FEF40-8059-4C09-BD08-5C17F189336C}"/>
    <cellStyle name="Normal 9 2 2 2 3 12 3" xfId="42649" xr:uid="{480C109B-7DA1-42E4-AEB8-755C6522303A}"/>
    <cellStyle name="Normal 9 2 2 2 3 13" xfId="17510" xr:uid="{99C41EA7-9CF1-4EC5-BB33-B69857B29FA7}"/>
    <cellStyle name="Normal 9 2 2 2 3 14" xfId="34269" xr:uid="{5BF68EBB-1E31-428A-A24F-A46AFC637901}"/>
    <cellStyle name="Normal 9 2 2 2 3 2" xfId="1161" xr:uid="{FCD89085-F6FC-44E9-A9A2-71CDF667FFD3}"/>
    <cellStyle name="Normal 9 2 2 2 3 2 2" xfId="4556" xr:uid="{471C3E97-DA12-493C-AC5B-281B0CD2D9F6}"/>
    <cellStyle name="Normal 9 2 2 2 3 2 2 2" xfId="12936" xr:uid="{830B3539-DEA6-4098-8BE0-9B48DB327D8D}"/>
    <cellStyle name="Normal 9 2 2 2 3 2 2 2 2" xfId="29696" xr:uid="{F2ACCF37-658C-4CF4-AFAD-33C501057A63}"/>
    <cellStyle name="Normal 9 2 2 2 3 2 2 2 3" xfId="46455" xr:uid="{62120557-A0EB-40B3-BCA2-E3B9B347BB41}"/>
    <cellStyle name="Normal 9 2 2 2 3 2 2 3" xfId="21316" xr:uid="{BEC28675-A9DC-45D1-B9FC-B777E3B43DFE}"/>
    <cellStyle name="Normal 9 2 2 2 3 2 2 4" xfId="38075" xr:uid="{9CA6FDE1-70DB-4BAA-A2FD-44D86763FFD1}"/>
    <cellStyle name="Normal 9 2 2 2 3 2 3" xfId="6243" xr:uid="{D56D4ED9-6946-4A32-A5AD-63B79B4B6014}"/>
    <cellStyle name="Normal 9 2 2 2 3 2 3 2" xfId="14623" xr:uid="{52AE8C77-39EC-4686-9C88-04C23B2AAA99}"/>
    <cellStyle name="Normal 9 2 2 2 3 2 3 2 2" xfId="31383" xr:uid="{058A9FE5-E508-4BB2-915C-07051FB850C3}"/>
    <cellStyle name="Normal 9 2 2 2 3 2 3 2 3" xfId="48142" xr:uid="{AE96B367-C896-4043-978E-DDE88C173772}"/>
    <cellStyle name="Normal 9 2 2 2 3 2 3 3" xfId="23003" xr:uid="{9E0F1C00-874B-438A-82E4-DD71301EF2C6}"/>
    <cellStyle name="Normal 9 2 2 2 3 2 3 4" xfId="39762" xr:uid="{8CEB266C-84D6-4EC8-BF02-F465B11EE992}"/>
    <cellStyle name="Normal 9 2 2 2 3 2 4" xfId="2979" xr:uid="{357D7F3C-49AC-460B-8F08-94B9F46D780B}"/>
    <cellStyle name="Normal 9 2 2 2 3 2 4 2" xfId="11359" xr:uid="{9C8C350A-20C3-4BCC-BC93-83980CB0530E}"/>
    <cellStyle name="Normal 9 2 2 2 3 2 4 2 2" xfId="28119" xr:uid="{5C97A281-B853-4092-8775-17AE6044A9A1}"/>
    <cellStyle name="Normal 9 2 2 2 3 2 4 2 3" xfId="44878" xr:uid="{1835A775-B01F-422F-8ADC-B14AFE27E5D3}"/>
    <cellStyle name="Normal 9 2 2 2 3 2 4 3" xfId="19739" xr:uid="{99F7F2FE-FF9D-4D76-9AD7-F60CC408CBA8}"/>
    <cellStyle name="Normal 9 2 2 2 3 2 4 4" xfId="36498" xr:uid="{646DAC50-388E-41E9-A2BA-596D5B736F90}"/>
    <cellStyle name="Normal 9 2 2 2 3 2 5" xfId="9556" xr:uid="{5ED7B4BE-E246-467D-99E7-09DD0065BD56}"/>
    <cellStyle name="Normal 9 2 2 2 3 2 5 2" xfId="26316" xr:uid="{FEE9560E-5824-499D-A8E6-AE12E7FCE8DB}"/>
    <cellStyle name="Normal 9 2 2 2 3 2 5 3" xfId="43075" xr:uid="{423A25B7-A368-4D57-A25A-0C6381F6B3FB}"/>
    <cellStyle name="Normal 9 2 2 2 3 2 6" xfId="17936" xr:uid="{4B6DD351-5B5A-4C92-8445-6AC1F8E6E085}"/>
    <cellStyle name="Normal 9 2 2 2 3 2 7" xfId="34695" xr:uid="{EA891C8C-2C2E-4786-90A4-C420213B02DE}"/>
    <cellStyle name="Normal 9 2 2 2 3 3" xfId="1595" xr:uid="{CC39BB18-4F41-45B8-8440-1B5C64A87854}"/>
    <cellStyle name="Normal 9 2 2 2 3 3 2" xfId="4984" xr:uid="{EC9BEF63-A1AD-4E72-B9B7-4A95811D2DBC}"/>
    <cellStyle name="Normal 9 2 2 2 3 3 2 2" xfId="13364" xr:uid="{1019CD3F-6C12-496C-AFC8-FF8ECB3C582B}"/>
    <cellStyle name="Normal 9 2 2 2 3 3 2 2 2" xfId="30124" xr:uid="{682B92E3-74FE-4AAD-9732-7F577EB074E5}"/>
    <cellStyle name="Normal 9 2 2 2 3 3 2 2 3" xfId="46883" xr:uid="{73547409-7622-48B2-AB3B-8BF2004E7FDE}"/>
    <cellStyle name="Normal 9 2 2 2 3 3 2 3" xfId="21744" xr:uid="{8E7B597D-6C0C-45F5-9492-B01F129D8678}"/>
    <cellStyle name="Normal 9 2 2 2 3 3 2 4" xfId="38503" xr:uid="{D6EC64FD-D6FF-41CD-B0FE-5BDAECCE64FD}"/>
    <cellStyle name="Normal 9 2 2 2 3 3 3" xfId="6671" xr:uid="{602EFE3A-0002-4BD6-99D3-BDC3013A76DE}"/>
    <cellStyle name="Normal 9 2 2 2 3 3 3 2" xfId="15051" xr:uid="{1F3723BB-B7C4-45DA-8C6E-1468D3CB2E9D}"/>
    <cellStyle name="Normal 9 2 2 2 3 3 3 2 2" xfId="31811" xr:uid="{59B00171-5240-4C00-8568-B76D2C2E6F49}"/>
    <cellStyle name="Normal 9 2 2 2 3 3 3 2 3" xfId="48570" xr:uid="{4D478C38-A1A8-441B-97CB-EEB3F42832E4}"/>
    <cellStyle name="Normal 9 2 2 2 3 3 3 3" xfId="23431" xr:uid="{53D76533-5802-440A-8728-A6190A22DCB9}"/>
    <cellStyle name="Normal 9 2 2 2 3 3 3 4" xfId="40190" xr:uid="{C85CEAF8-BB14-4CA4-9FD3-DF45C40C323E}"/>
    <cellStyle name="Normal 9 2 2 2 3 3 4" xfId="3407" xr:uid="{C706EB04-C7E3-4FF9-B428-379956745188}"/>
    <cellStyle name="Normal 9 2 2 2 3 3 4 2" xfId="11787" xr:uid="{6E6CBE35-90A5-4D2A-809D-1A99B6029B1C}"/>
    <cellStyle name="Normal 9 2 2 2 3 3 4 2 2" xfId="28547" xr:uid="{7A33D7E8-C1C1-416B-A931-181A21C6AB16}"/>
    <cellStyle name="Normal 9 2 2 2 3 3 4 2 3" xfId="45306" xr:uid="{CB08EAC9-4BA6-4777-AD90-4FA7A051DEF1}"/>
    <cellStyle name="Normal 9 2 2 2 3 3 4 3" xfId="20167" xr:uid="{1ACA9501-A55A-448C-A8C2-357C58EA93CF}"/>
    <cellStyle name="Normal 9 2 2 2 3 3 4 4" xfId="36926" xr:uid="{0CAF64D5-D3F1-4607-BAD3-930BCCEB047D}"/>
    <cellStyle name="Normal 9 2 2 2 3 3 5" xfId="9984" xr:uid="{EC601C14-12B1-46CD-9414-D5B1F0479B47}"/>
    <cellStyle name="Normal 9 2 2 2 3 3 5 2" xfId="26744" xr:uid="{E73D28A4-FF89-4958-B358-7577E7FB5B60}"/>
    <cellStyle name="Normal 9 2 2 2 3 3 5 3" xfId="43503" xr:uid="{4D35BD11-6FBA-4E57-99A3-A1D0C7D9927A}"/>
    <cellStyle name="Normal 9 2 2 2 3 3 6" xfId="18364" xr:uid="{9AD967A1-82CC-43DD-BDA1-76E7772251DA}"/>
    <cellStyle name="Normal 9 2 2 2 3 3 7" xfId="35123" xr:uid="{091385BE-A557-42BB-AFF1-168844C917BB}"/>
    <cellStyle name="Normal 9 2 2 2 3 4" xfId="2003" xr:uid="{91EBF24A-DD70-48F9-95E9-8EED40E0B8A0}"/>
    <cellStyle name="Normal 9 2 2 2 3 4 2" xfId="5392" xr:uid="{451CAA0C-3073-4210-BFC5-3B3143BBA67F}"/>
    <cellStyle name="Normal 9 2 2 2 3 4 2 2" xfId="13772" xr:uid="{FB5A557E-7ED6-4E29-AD50-0CADCD871093}"/>
    <cellStyle name="Normal 9 2 2 2 3 4 2 2 2" xfId="30532" xr:uid="{C3632C5F-AFA5-4C83-842E-E50250302811}"/>
    <cellStyle name="Normal 9 2 2 2 3 4 2 2 3" xfId="47291" xr:uid="{8ED4F2AE-AF12-471C-BD10-D2906B72BBCA}"/>
    <cellStyle name="Normal 9 2 2 2 3 4 2 3" xfId="22152" xr:uid="{862B0B39-5CEF-4FEC-A167-4FCC56C61B63}"/>
    <cellStyle name="Normal 9 2 2 2 3 4 2 4" xfId="38911" xr:uid="{28655416-6EDA-47F1-9723-FBC09ABD5E67}"/>
    <cellStyle name="Normal 9 2 2 2 3 4 3" xfId="7079" xr:uid="{2C619A46-8A3F-4D55-9078-3E3EFCB4089A}"/>
    <cellStyle name="Normal 9 2 2 2 3 4 3 2" xfId="15459" xr:uid="{C157FFA3-F6B7-4CC3-8354-A1B914282277}"/>
    <cellStyle name="Normal 9 2 2 2 3 4 3 2 2" xfId="32219" xr:uid="{B85F453F-6910-4966-80CB-20AA249CE8B5}"/>
    <cellStyle name="Normal 9 2 2 2 3 4 3 2 3" xfId="48978" xr:uid="{420B4F28-E8EF-4132-9229-867392775B9C}"/>
    <cellStyle name="Normal 9 2 2 2 3 4 3 3" xfId="23839" xr:uid="{D71D7F3B-EB9F-40BD-B203-EA22B21E22E0}"/>
    <cellStyle name="Normal 9 2 2 2 3 4 3 4" xfId="40598" xr:uid="{81EF0C6F-0887-4332-9116-A6979CF4BE31}"/>
    <cellStyle name="Normal 9 2 2 2 3 4 4" xfId="3702" xr:uid="{FD5D47BD-B6BC-4F17-9C0B-54DA9C4B712F}"/>
    <cellStyle name="Normal 9 2 2 2 3 4 4 2" xfId="12082" xr:uid="{980997FE-AC77-45C9-8561-58064EDEEF5D}"/>
    <cellStyle name="Normal 9 2 2 2 3 4 4 2 2" xfId="28842" xr:uid="{E95367EC-A6C1-48ED-8E19-6D3F51B847A2}"/>
    <cellStyle name="Normal 9 2 2 2 3 4 4 2 3" xfId="45601" xr:uid="{4A04B4C5-8AC6-4012-B8A1-4DF02DA0FAE4}"/>
    <cellStyle name="Normal 9 2 2 2 3 4 4 3" xfId="20462" xr:uid="{97B114B7-8F40-4FF0-8497-4EADD8AE2AE2}"/>
    <cellStyle name="Normal 9 2 2 2 3 4 4 4" xfId="37221" xr:uid="{88629B3F-A3C6-48F0-89A9-CE4F30264197}"/>
    <cellStyle name="Normal 9 2 2 2 3 4 5" xfId="10392" xr:uid="{9A4BEDE1-D6DB-4AAE-9A53-FD34FD955756}"/>
    <cellStyle name="Normal 9 2 2 2 3 4 5 2" xfId="27152" xr:uid="{4EFEF1F3-C724-48DE-A568-980354A4EC82}"/>
    <cellStyle name="Normal 9 2 2 2 3 4 5 3" xfId="43911" xr:uid="{5A806C61-6599-418D-91E4-44C14BA58D63}"/>
    <cellStyle name="Normal 9 2 2 2 3 4 6" xfId="18772" xr:uid="{17B331FB-4827-4B0B-8DD8-F4915FB59607}"/>
    <cellStyle name="Normal 9 2 2 2 3 4 7" xfId="35531" xr:uid="{DA933E91-06BA-4C8F-AC58-5E3DCC2DE6E4}"/>
    <cellStyle name="Normal 9 2 2 2 3 5" xfId="4122" xr:uid="{4E9B0434-F7B0-4B32-A0A3-9F183DA31CF3}"/>
    <cellStyle name="Normal 9 2 2 2 3 5 2" xfId="12502" xr:uid="{DEAC4396-651A-43E8-977D-8D2F5AADD952}"/>
    <cellStyle name="Normal 9 2 2 2 3 5 2 2" xfId="29262" xr:uid="{BA311414-6210-4C9F-89DD-871110A0FF7C}"/>
    <cellStyle name="Normal 9 2 2 2 3 5 2 3" xfId="46021" xr:uid="{CF885067-77F6-43EE-BD10-C6EAB84D25B8}"/>
    <cellStyle name="Normal 9 2 2 2 3 5 3" xfId="20882" xr:uid="{A8DA8E05-032B-4C1A-8C88-93C064F459D9}"/>
    <cellStyle name="Normal 9 2 2 2 3 5 4" xfId="37641" xr:uid="{75D34182-0C82-41FF-83FF-28FD8777ED6A}"/>
    <cellStyle name="Normal 9 2 2 2 3 6" xfId="5817" xr:uid="{150794FA-9FE3-4A77-8319-AF987319B5B5}"/>
    <cellStyle name="Normal 9 2 2 2 3 6 2" xfId="14197" xr:uid="{A664FD4A-A331-4DDE-832D-FE2278B243C2}"/>
    <cellStyle name="Normal 9 2 2 2 3 6 2 2" xfId="30957" xr:uid="{3202F78F-C07F-47F7-9B2B-F5D125C1E8BC}"/>
    <cellStyle name="Normal 9 2 2 2 3 6 2 3" xfId="47716" xr:uid="{C1C42C2B-836C-4F15-99C1-26C32D8D1A41}"/>
    <cellStyle name="Normal 9 2 2 2 3 6 3" xfId="22577" xr:uid="{BF6E6AD5-591E-4D0B-893B-8B00D316D4DE}"/>
    <cellStyle name="Normal 9 2 2 2 3 6 4" xfId="39336" xr:uid="{9BA06F3A-11F9-408F-B44F-5351CA72F197}"/>
    <cellStyle name="Normal 9 2 2 2 3 7" xfId="7485" xr:uid="{A869E904-C406-4153-889B-6A2A4CB54EA3}"/>
    <cellStyle name="Normal 9 2 2 2 3 7 2" xfId="15865" xr:uid="{F6B2E54F-F4D8-4847-89E7-8EEA6B6B4FD4}"/>
    <cellStyle name="Normal 9 2 2 2 3 7 2 2" xfId="32625" xr:uid="{A3D7B125-EFAE-4625-BDA5-BA83EF9A873B}"/>
    <cellStyle name="Normal 9 2 2 2 3 7 2 3" xfId="49384" xr:uid="{C9C62611-047A-4CFB-9B17-D0FAD37586D8}"/>
    <cellStyle name="Normal 9 2 2 2 3 7 3" xfId="24245" xr:uid="{A81DFFF5-9F8C-4D76-97ED-6B38D5F442E2}"/>
    <cellStyle name="Normal 9 2 2 2 3 7 4" xfId="41004" xr:uid="{4C1343A8-FE01-4794-B246-768F7074F39B}"/>
    <cellStyle name="Normal 9 2 2 2 3 8" xfId="7891" xr:uid="{8690FC0E-E27D-4D41-920F-1928A6DA2C0D}"/>
    <cellStyle name="Normal 9 2 2 2 3 8 2" xfId="16271" xr:uid="{A59534E7-B8E6-4884-8DAA-E83D1ABEBA52}"/>
    <cellStyle name="Normal 9 2 2 2 3 8 2 2" xfId="33031" xr:uid="{F396DD3E-406F-4125-8637-90AE756E7161}"/>
    <cellStyle name="Normal 9 2 2 2 3 8 2 3" xfId="49790" xr:uid="{AF6CF846-78F3-40C7-AD2F-E9BD6BE3DEF1}"/>
    <cellStyle name="Normal 9 2 2 2 3 8 3" xfId="24651" xr:uid="{BD058FE1-9D05-43DE-971A-D28445E97BEC}"/>
    <cellStyle name="Normal 9 2 2 2 3 8 4" xfId="41410" xr:uid="{EB40FA42-1D08-4257-BD4F-65A445936DA8}"/>
    <cellStyle name="Normal 9 2 2 2 3 9" xfId="8297" xr:uid="{6FFC2267-903E-4114-AC3A-F382DC4CBF3B}"/>
    <cellStyle name="Normal 9 2 2 2 3 9 2" xfId="16677" xr:uid="{9EAE6B3B-BC47-42D8-B645-46A1D744729F}"/>
    <cellStyle name="Normal 9 2 2 2 3 9 2 2" xfId="33437" xr:uid="{860E8707-274B-4FA9-9BE3-95BB64F982D3}"/>
    <cellStyle name="Normal 9 2 2 2 3 9 2 3" xfId="50196" xr:uid="{FE8D9ED7-1C52-4E84-8EAC-BAD78DAD6A24}"/>
    <cellStyle name="Normal 9 2 2 2 3 9 3" xfId="25057" xr:uid="{63206F33-65D3-4077-9AA4-A18FCE011D10}"/>
    <cellStyle name="Normal 9 2 2 2 3 9 4" xfId="41816" xr:uid="{8C70F740-FFC9-49E5-8DF9-68CDC323BE0C}"/>
    <cellStyle name="Normal 9 2 2 2 4" xfId="878" xr:uid="{7125AF1A-E315-4753-8225-0D41FCE6B793}"/>
    <cellStyle name="Normal 9 2 2 2 4 2" xfId="4273" xr:uid="{C4BE5DF9-77D5-401B-9813-94991731BA03}"/>
    <cellStyle name="Normal 9 2 2 2 4 2 2" xfId="12653" xr:uid="{B79A5F2C-8E47-478E-9BAF-2B1C0289D7D1}"/>
    <cellStyle name="Normal 9 2 2 2 4 2 2 2" xfId="29413" xr:uid="{C036414C-CA4C-437C-9C22-0E2EC2CF5BC4}"/>
    <cellStyle name="Normal 9 2 2 2 4 2 2 3" xfId="46172" xr:uid="{11FF1E3D-ED92-477C-9DBE-DAEE428E6D41}"/>
    <cellStyle name="Normal 9 2 2 2 4 2 3" xfId="21033" xr:uid="{FCA5D53F-406E-42F1-8EC0-74D11B267F13}"/>
    <cellStyle name="Normal 9 2 2 2 4 2 4" xfId="37792" xr:uid="{AC79AA02-A807-450F-83D5-190CD29B3915}"/>
    <cellStyle name="Normal 9 2 2 2 4 3" xfId="5960" xr:uid="{C16C690D-FCC2-4F77-A926-7B29EABD2A96}"/>
    <cellStyle name="Normal 9 2 2 2 4 3 2" xfId="14340" xr:uid="{D40009DF-3976-4405-8C93-33FA52D5F5B4}"/>
    <cellStyle name="Normal 9 2 2 2 4 3 2 2" xfId="31100" xr:uid="{C474DE59-07EB-4F7D-B8F4-18E2084064F8}"/>
    <cellStyle name="Normal 9 2 2 2 4 3 2 3" xfId="47859" xr:uid="{1670DF6E-874A-4191-9CA8-1112E489C594}"/>
    <cellStyle name="Normal 9 2 2 2 4 3 3" xfId="22720" xr:uid="{37EB7C8A-D4D2-4EDA-8C31-82303F7F3C61}"/>
    <cellStyle name="Normal 9 2 2 2 4 3 4" xfId="39479" xr:uid="{B045E292-F481-4AF1-B1FA-178067F5F4C0}"/>
    <cellStyle name="Normal 9 2 2 2 4 4" xfId="2696" xr:uid="{80050E6F-C2E6-4C7F-9B64-8FC92D3BB200}"/>
    <cellStyle name="Normal 9 2 2 2 4 4 2" xfId="11076" xr:uid="{FEEC30CF-3240-4297-935B-CAB20BDD1384}"/>
    <cellStyle name="Normal 9 2 2 2 4 4 2 2" xfId="27836" xr:uid="{C2B1DE5E-6AA2-4449-96F4-81B955BED85A}"/>
    <cellStyle name="Normal 9 2 2 2 4 4 2 3" xfId="44595" xr:uid="{B2719022-ABB9-439E-BE01-8176F09DBD1B}"/>
    <cellStyle name="Normal 9 2 2 2 4 4 3" xfId="19456" xr:uid="{123C1F8F-AF08-40F3-898F-05F87D9C530E}"/>
    <cellStyle name="Normal 9 2 2 2 4 4 4" xfId="36215" xr:uid="{4BE1CFBC-226C-4CA1-B3B1-F54A4691EDB6}"/>
    <cellStyle name="Normal 9 2 2 2 4 5" xfId="9273" xr:uid="{87FCA5CB-C809-4093-BF10-17E6496A252E}"/>
    <cellStyle name="Normal 9 2 2 2 4 5 2" xfId="26033" xr:uid="{B7A5C624-FC61-4B26-8BCF-C7CA53118358}"/>
    <cellStyle name="Normal 9 2 2 2 4 5 3" xfId="42792" xr:uid="{5F949064-F733-4872-9AF3-54C0E87D22B1}"/>
    <cellStyle name="Normal 9 2 2 2 4 6" xfId="17653" xr:uid="{CC66F0A6-892C-41E4-A7B7-36F6BBF715DE}"/>
    <cellStyle name="Normal 9 2 2 2 4 7" xfId="34412" xr:uid="{603822E2-A194-4830-8ABF-77E6984DAB16}"/>
    <cellStyle name="Normal 9 2 2 2 5" xfId="1312" xr:uid="{5F6D56AA-C523-41DE-A84B-64B4C979E238}"/>
    <cellStyle name="Normal 9 2 2 2 5 2" xfId="4701" xr:uid="{4A942F5A-2D46-42B8-9B6D-D9D5104ACE08}"/>
    <cellStyle name="Normal 9 2 2 2 5 2 2" xfId="13081" xr:uid="{3C33776D-1AE4-44BD-8421-19405B8BFC6E}"/>
    <cellStyle name="Normal 9 2 2 2 5 2 2 2" xfId="29841" xr:uid="{51E98946-0FE1-4A84-BE6B-B439CB882938}"/>
    <cellStyle name="Normal 9 2 2 2 5 2 2 3" xfId="46600" xr:uid="{B858C24F-A5AA-410B-9039-25CC29DC7634}"/>
    <cellStyle name="Normal 9 2 2 2 5 2 3" xfId="21461" xr:uid="{23FC515E-A9ED-446C-A014-517B7FBD450A}"/>
    <cellStyle name="Normal 9 2 2 2 5 2 4" xfId="38220" xr:uid="{8E532604-B463-4621-AE1E-23E429E1566D}"/>
    <cellStyle name="Normal 9 2 2 2 5 3" xfId="6388" xr:uid="{6DAD152D-E6E9-416A-B1DA-52ACC1EA797F}"/>
    <cellStyle name="Normal 9 2 2 2 5 3 2" xfId="14768" xr:uid="{77EA74C1-59B0-46B2-B2CC-96167AC9A207}"/>
    <cellStyle name="Normal 9 2 2 2 5 3 2 2" xfId="31528" xr:uid="{AF936C52-AD3A-4C70-A340-325424B86536}"/>
    <cellStyle name="Normal 9 2 2 2 5 3 2 3" xfId="48287" xr:uid="{55C4931C-B116-45A1-BCAF-21E195FF5AE1}"/>
    <cellStyle name="Normal 9 2 2 2 5 3 3" xfId="23148" xr:uid="{49107C89-C4CE-41B0-9EC6-42A793A9FC1D}"/>
    <cellStyle name="Normal 9 2 2 2 5 3 4" xfId="39907" xr:uid="{65C0BB2B-7FAD-4DD9-AE4E-C40CD2E3D1A2}"/>
    <cellStyle name="Normal 9 2 2 2 5 4" xfId="3124" xr:uid="{46EB6171-B59C-442B-91A0-CEFFDB10A755}"/>
    <cellStyle name="Normal 9 2 2 2 5 4 2" xfId="11504" xr:uid="{7164BAAB-E466-4B95-93B5-2DB971A7D0DF}"/>
    <cellStyle name="Normal 9 2 2 2 5 4 2 2" xfId="28264" xr:uid="{B07F5033-EDB2-4DE9-BAE6-69AC035FC15F}"/>
    <cellStyle name="Normal 9 2 2 2 5 4 2 3" xfId="45023" xr:uid="{B37A21CD-6F11-466B-B1E5-576624157A6D}"/>
    <cellStyle name="Normal 9 2 2 2 5 4 3" xfId="19884" xr:uid="{1935E517-335F-4761-B37F-7AD8627E0DA7}"/>
    <cellStyle name="Normal 9 2 2 2 5 4 4" xfId="36643" xr:uid="{185FB73B-93A0-4F3E-B7F6-EC1FBFF6E872}"/>
    <cellStyle name="Normal 9 2 2 2 5 5" xfId="9701" xr:uid="{14BDF09C-081E-4628-9BFE-271DC8F8B1B7}"/>
    <cellStyle name="Normal 9 2 2 2 5 5 2" xfId="26461" xr:uid="{1ECC5823-9036-4921-9772-07787CB61A7C}"/>
    <cellStyle name="Normal 9 2 2 2 5 5 3" xfId="43220" xr:uid="{447E809C-636E-4F52-8645-ECC7E8A11455}"/>
    <cellStyle name="Normal 9 2 2 2 5 6" xfId="18081" xr:uid="{7FE6F33B-E8C1-483A-B3AA-6F19278F03E9}"/>
    <cellStyle name="Normal 9 2 2 2 5 7" xfId="34840" xr:uid="{CB77F68F-1F75-46FD-8538-B83B097F3A4A}"/>
    <cellStyle name="Normal 9 2 2 2 6" xfId="1732" xr:uid="{FEE4E93A-49CA-4912-A4E4-5850651EAD57}"/>
    <cellStyle name="Normal 9 2 2 2 6 2" xfId="5121" xr:uid="{3DCB07ED-5656-48EA-AAF5-1527C844898C}"/>
    <cellStyle name="Normal 9 2 2 2 6 2 2" xfId="13501" xr:uid="{96CF7751-06DB-426D-AB6D-C0229508FF3C}"/>
    <cellStyle name="Normal 9 2 2 2 6 2 2 2" xfId="30261" xr:uid="{BD7A35A2-F79F-4C25-9B16-466A54C3CB36}"/>
    <cellStyle name="Normal 9 2 2 2 6 2 2 3" xfId="47020" xr:uid="{EBF7F912-4D5F-43B5-8FAF-5C2B64F86A27}"/>
    <cellStyle name="Normal 9 2 2 2 6 2 3" xfId="21881" xr:uid="{6A7C2578-5336-46EE-8402-1F76C0CC58FA}"/>
    <cellStyle name="Normal 9 2 2 2 6 2 4" xfId="38640" xr:uid="{E360B9F2-32EA-4237-90FE-160344764456}"/>
    <cellStyle name="Normal 9 2 2 2 6 3" xfId="6808" xr:uid="{73C22C74-F14A-4C0A-8EA3-D6123454DEA2}"/>
    <cellStyle name="Normal 9 2 2 2 6 3 2" xfId="15188" xr:uid="{AC4EC036-A743-40CC-8B96-C420161D58DF}"/>
    <cellStyle name="Normal 9 2 2 2 6 3 2 2" xfId="31948" xr:uid="{941A7FCC-F443-4532-A059-21DAD4A75CFC}"/>
    <cellStyle name="Normal 9 2 2 2 6 3 2 3" xfId="48707" xr:uid="{63D25CD6-A87C-456E-AB5F-003AA393356A}"/>
    <cellStyle name="Normal 9 2 2 2 6 3 3" xfId="23568" xr:uid="{2C604481-CEAD-45CD-A433-9FFB4E464CE9}"/>
    <cellStyle name="Normal 9 2 2 2 6 3 4" xfId="40327" xr:uid="{33110B49-65EA-4407-AAA9-D1280F6C09DE}"/>
    <cellStyle name="Normal 9 2 2 2 6 4" xfId="3455" xr:uid="{46BF903A-B15F-45F6-91E1-4989B9F6F645}"/>
    <cellStyle name="Normal 9 2 2 2 6 4 2" xfId="11835" xr:uid="{4EB11DE7-EA21-4B8F-9E3B-A235BC03F4CA}"/>
    <cellStyle name="Normal 9 2 2 2 6 4 2 2" xfId="28595" xr:uid="{DC96567F-E0C1-4724-8B91-91C95CBBE6B2}"/>
    <cellStyle name="Normal 9 2 2 2 6 4 2 3" xfId="45354" xr:uid="{0F15AC89-3CB6-4EED-A1A4-DC0D85B2007A}"/>
    <cellStyle name="Normal 9 2 2 2 6 4 3" xfId="20215" xr:uid="{B22C9E61-54B5-45C9-B6EF-E52A76BDFFE7}"/>
    <cellStyle name="Normal 9 2 2 2 6 4 4" xfId="36974" xr:uid="{5250E8E5-042C-4EA7-94F8-1DB18E0A3F0A}"/>
    <cellStyle name="Normal 9 2 2 2 6 5" xfId="10121" xr:uid="{4C5BBD80-715D-46D0-842F-96F5DC8EF1F1}"/>
    <cellStyle name="Normal 9 2 2 2 6 5 2" xfId="26881" xr:uid="{2DAA01E8-F6A0-40FA-A136-049A714F74E9}"/>
    <cellStyle name="Normal 9 2 2 2 6 5 3" xfId="43640" xr:uid="{C4104F4A-2E77-4C3C-B148-310A04272593}"/>
    <cellStyle name="Normal 9 2 2 2 6 6" xfId="18501" xr:uid="{F218ABD6-2C37-4BB5-A41A-ABA3969CAC62}"/>
    <cellStyle name="Normal 9 2 2 2 6 7" xfId="35260" xr:uid="{B136CFA8-ADE4-445B-9BF6-BF9C5D30383B}"/>
    <cellStyle name="Normal 9 2 2 2 7" xfId="3851" xr:uid="{E367A45B-3014-42A5-B991-94289DDD3C9D}"/>
    <cellStyle name="Normal 9 2 2 2 7 2" xfId="12231" xr:uid="{5EB92670-CEA3-4D2C-A120-7C9E41382DBA}"/>
    <cellStyle name="Normal 9 2 2 2 7 2 2" xfId="28991" xr:uid="{68479E08-358D-4FC4-B46D-E0B5A5093C11}"/>
    <cellStyle name="Normal 9 2 2 2 7 2 3" xfId="45750" xr:uid="{287DAC7D-925D-4659-AF3C-6D2D62047301}"/>
    <cellStyle name="Normal 9 2 2 2 7 3" xfId="20611" xr:uid="{1766005A-3898-4359-833E-C1F79A79BFD5}"/>
    <cellStyle name="Normal 9 2 2 2 7 4" xfId="37370" xr:uid="{B67472A1-3917-48CE-BB61-60176D1BEA42}"/>
    <cellStyle name="Normal 9 2 2 2 8" xfId="5534" xr:uid="{6297E04F-878E-4CFC-BE7E-4FEB2DD36965}"/>
    <cellStyle name="Normal 9 2 2 2 8 2" xfId="13914" xr:uid="{4C082009-534C-4745-A476-47C40B040D8D}"/>
    <cellStyle name="Normal 9 2 2 2 8 2 2" xfId="30674" xr:uid="{BB8A3033-6BBA-498F-A7EA-F3DF76138D53}"/>
    <cellStyle name="Normal 9 2 2 2 8 2 3" xfId="47433" xr:uid="{074CB9FB-2143-403A-A05E-FEA1D4EF855C}"/>
    <cellStyle name="Normal 9 2 2 2 8 3" xfId="22294" xr:uid="{2F139E98-784F-4FDD-9E84-12D983C1D31E}"/>
    <cellStyle name="Normal 9 2 2 2 8 4" xfId="39053" xr:uid="{C26C3932-ABEF-4549-819E-6D295A006918}"/>
    <cellStyle name="Normal 9 2 2 2 9" xfId="7214" xr:uid="{8907182A-1E4A-4C4D-88B0-C96B9B99E8AA}"/>
    <cellStyle name="Normal 9 2 2 2 9 2" xfId="15594" xr:uid="{7447CD46-2B17-4236-871E-DAE60ED628D6}"/>
    <cellStyle name="Normal 9 2 2 2 9 2 2" xfId="32354" xr:uid="{CE69F0E6-F9AA-4C6F-8C3F-5AD9BC0B45D6}"/>
    <cellStyle name="Normal 9 2 2 2 9 2 3" xfId="49113" xr:uid="{A1443CAB-D6C9-4CC1-996F-7F0C9B0BD6B4}"/>
    <cellStyle name="Normal 9 2 2 2 9 3" xfId="23974" xr:uid="{21DBFA93-A13D-41F8-B6D2-B2FD01B3BE5C}"/>
    <cellStyle name="Normal 9 2 2 2 9 4" xfId="40733" xr:uid="{F3007DBC-6BDF-4FDC-829A-10DB6B29F613}"/>
    <cellStyle name="Normal 9 2 2 3" xfId="723" xr:uid="{8CBD6018-02A1-4199-88E5-9B5265C39482}"/>
    <cellStyle name="Normal 9 2 2 3 10" xfId="8584" xr:uid="{C5511D01-3ACE-4DAA-8103-CFAC1609F165}"/>
    <cellStyle name="Normal 9 2 2 3 10 2" xfId="16964" xr:uid="{0F24A3CB-CDC1-4351-BCF4-312666074E6E}"/>
    <cellStyle name="Normal 9 2 2 3 10 2 2" xfId="33724" xr:uid="{C00E05B5-52F4-4024-93AE-48634E93CE49}"/>
    <cellStyle name="Normal 9 2 2 3 10 2 3" xfId="50483" xr:uid="{3DB4D3CC-2D75-4DFC-9205-EE362CED7313}"/>
    <cellStyle name="Normal 9 2 2 3 10 3" xfId="25344" xr:uid="{80C2D3A6-95DB-4FF8-BAFF-E310A76F0FFA}"/>
    <cellStyle name="Normal 9 2 2 3 10 4" xfId="42103" xr:uid="{34B81AE5-7884-415C-AFE1-17048850EE87}"/>
    <cellStyle name="Normal 9 2 2 3 11" xfId="2552" xr:uid="{39F9463A-8485-46E2-B3B9-A2CEFC295A08}"/>
    <cellStyle name="Normal 9 2 2 3 11 2" xfId="10934" xr:uid="{3BDEB9D8-F930-43E9-80CF-1CABDD92CA5A}"/>
    <cellStyle name="Normal 9 2 2 3 11 2 2" xfId="27694" xr:uid="{EB38CE63-760C-485A-A184-BD59543A3154}"/>
    <cellStyle name="Normal 9 2 2 3 11 2 3" xfId="44453" xr:uid="{26427458-5731-4E2E-8B33-501E0DE89041}"/>
    <cellStyle name="Normal 9 2 2 3 11 3" xfId="19314" xr:uid="{CDEC33E7-72D1-44AE-9C5C-9EE041A62011}"/>
    <cellStyle name="Normal 9 2 2 3 11 4" xfId="36073" xr:uid="{0EE63C0F-411B-4E2D-A63F-758C3E11BCED}"/>
    <cellStyle name="Normal 9 2 2 3 12" xfId="9131" xr:uid="{96681E32-6420-44F6-924C-84A0916A61DE}"/>
    <cellStyle name="Normal 9 2 2 3 12 2" xfId="25891" xr:uid="{3BC060FF-9549-46C1-A285-DED0D5742F49}"/>
    <cellStyle name="Normal 9 2 2 3 12 3" xfId="42650" xr:uid="{7CFB74C4-BD3C-4D03-A2B4-2A4BED768221}"/>
    <cellStyle name="Normal 9 2 2 3 13" xfId="17511" xr:uid="{FA595459-7262-4B67-9973-37188B664D2E}"/>
    <cellStyle name="Normal 9 2 2 3 14" xfId="34270" xr:uid="{B51366A7-04DD-4D47-B57E-791F52537F42}"/>
    <cellStyle name="Normal 9 2 2 3 2" xfId="1162" xr:uid="{F70A49E0-58B9-4232-AF0F-11643237D122}"/>
    <cellStyle name="Normal 9 2 2 3 2 2" xfId="4557" xr:uid="{4E17F3AE-CA66-4E51-BE8C-24168DAF2140}"/>
    <cellStyle name="Normal 9 2 2 3 2 2 2" xfId="12937" xr:uid="{8E20970E-0A80-4113-B690-33CF9F01A6D1}"/>
    <cellStyle name="Normal 9 2 2 3 2 2 2 2" xfId="29697" xr:uid="{DC81EF90-29C1-4745-8E5D-418659B96128}"/>
    <cellStyle name="Normal 9 2 2 3 2 2 2 3" xfId="46456" xr:uid="{68EC0B48-2984-4031-8C78-88B6D05E1F11}"/>
    <cellStyle name="Normal 9 2 2 3 2 2 3" xfId="21317" xr:uid="{C9A31EF1-9DBD-486F-ADF9-25C5EF1DDD9D}"/>
    <cellStyle name="Normal 9 2 2 3 2 2 4" xfId="38076" xr:uid="{1B270F56-0445-4C62-9A2A-6C9329055A47}"/>
    <cellStyle name="Normal 9 2 2 3 2 3" xfId="6244" xr:uid="{C01A8A56-2B90-4A30-9151-D14964D064E8}"/>
    <cellStyle name="Normal 9 2 2 3 2 3 2" xfId="14624" xr:uid="{9D5E1F3B-05DA-461B-AFF2-AB1580340661}"/>
    <cellStyle name="Normal 9 2 2 3 2 3 2 2" xfId="31384" xr:uid="{2C2044EE-5FBF-4392-83FD-EC98207C3C1D}"/>
    <cellStyle name="Normal 9 2 2 3 2 3 2 3" xfId="48143" xr:uid="{A1A5D4F2-9607-4F0B-9D43-D027F0CE2280}"/>
    <cellStyle name="Normal 9 2 2 3 2 3 3" xfId="23004" xr:uid="{222CE203-A630-4C14-BFFB-ECF9509A49D2}"/>
    <cellStyle name="Normal 9 2 2 3 2 3 4" xfId="39763" xr:uid="{A77FB1B3-3FC3-4915-8E66-8AEEA8232B24}"/>
    <cellStyle name="Normal 9 2 2 3 2 4" xfId="2980" xr:uid="{2C74F56B-E783-4636-B44E-9ED0FC401FFF}"/>
    <cellStyle name="Normal 9 2 2 3 2 4 2" xfId="11360" xr:uid="{1E968D54-C9A7-4889-A06D-6695B87786EF}"/>
    <cellStyle name="Normal 9 2 2 3 2 4 2 2" xfId="28120" xr:uid="{6CFB985B-DEF0-4EE3-AEF4-2FADB53E2AB7}"/>
    <cellStyle name="Normal 9 2 2 3 2 4 2 3" xfId="44879" xr:uid="{0048611E-FC7C-4601-98E7-539DE67CD181}"/>
    <cellStyle name="Normal 9 2 2 3 2 4 3" xfId="19740" xr:uid="{57EAB08D-C020-477B-9F46-B794F29D730F}"/>
    <cellStyle name="Normal 9 2 2 3 2 4 4" xfId="36499" xr:uid="{DBBB42AC-D789-476F-83BD-8904AB4DC0FC}"/>
    <cellStyle name="Normal 9 2 2 3 2 5" xfId="9557" xr:uid="{75CDB87C-3E9A-4888-B9A5-9D00380BC603}"/>
    <cellStyle name="Normal 9 2 2 3 2 5 2" xfId="26317" xr:uid="{820D246C-3E5A-407A-A4A5-EE1B73CAE658}"/>
    <cellStyle name="Normal 9 2 2 3 2 5 3" xfId="43076" xr:uid="{32A5F70E-A536-4757-9118-DF29F0459B90}"/>
    <cellStyle name="Normal 9 2 2 3 2 6" xfId="17937" xr:uid="{33AB128C-258E-45BF-89B5-1315D258C533}"/>
    <cellStyle name="Normal 9 2 2 3 2 7" xfId="34696" xr:uid="{3156D1B4-FAAF-4367-99DA-2AB64DD8835F}"/>
    <cellStyle name="Normal 9 2 2 3 3" xfId="1596" xr:uid="{1A0728F9-00E2-4D2A-91B6-FBBA599846D1}"/>
    <cellStyle name="Normal 9 2 2 3 3 2" xfId="4985" xr:uid="{E9C4E1CC-9D2E-468C-9B9D-608A30847867}"/>
    <cellStyle name="Normal 9 2 2 3 3 2 2" xfId="13365" xr:uid="{D6A75618-EB30-49CC-AF35-C4B66CA3DF4A}"/>
    <cellStyle name="Normal 9 2 2 3 3 2 2 2" xfId="30125" xr:uid="{BA00CDAC-E97B-436F-9795-AEF6AE406709}"/>
    <cellStyle name="Normal 9 2 2 3 3 2 2 3" xfId="46884" xr:uid="{2EBB0E41-249F-4427-AD71-7D13091491C6}"/>
    <cellStyle name="Normal 9 2 2 3 3 2 3" xfId="21745" xr:uid="{99E8C122-7236-4171-BD5C-5C68DE741312}"/>
    <cellStyle name="Normal 9 2 2 3 3 2 4" xfId="38504" xr:uid="{1E85E30D-9153-4867-B259-352F3DE7AD3C}"/>
    <cellStyle name="Normal 9 2 2 3 3 3" xfId="6672" xr:uid="{C9BE7610-DD2A-4ABD-B88E-ADD9064895C5}"/>
    <cellStyle name="Normal 9 2 2 3 3 3 2" xfId="15052" xr:uid="{1868D486-CDAA-4159-A49E-605EFAFE2D99}"/>
    <cellStyle name="Normal 9 2 2 3 3 3 2 2" xfId="31812" xr:uid="{3056D1EC-B2BC-494B-BCE5-C61783F0F876}"/>
    <cellStyle name="Normal 9 2 2 3 3 3 2 3" xfId="48571" xr:uid="{64ADC1E2-1538-4770-96B3-5B70CEEBC2BB}"/>
    <cellStyle name="Normal 9 2 2 3 3 3 3" xfId="23432" xr:uid="{D12E40A1-A00D-4AD4-9952-4F9845C47773}"/>
    <cellStyle name="Normal 9 2 2 3 3 3 4" xfId="40191" xr:uid="{DEB966D1-82D9-431E-8EC8-A190EB55F2DB}"/>
    <cellStyle name="Normal 9 2 2 3 3 4" xfId="3408" xr:uid="{F26F87D0-8C22-4739-87FF-DC70D48B1C0F}"/>
    <cellStyle name="Normal 9 2 2 3 3 4 2" xfId="11788" xr:uid="{D58C04A8-2F63-45E7-BF04-83F7427C5A9D}"/>
    <cellStyle name="Normal 9 2 2 3 3 4 2 2" xfId="28548" xr:uid="{6092B885-585A-48AB-A9A4-948790E457FB}"/>
    <cellStyle name="Normal 9 2 2 3 3 4 2 3" xfId="45307" xr:uid="{CCB8C58D-D0DC-4118-8A9D-F532205323A3}"/>
    <cellStyle name="Normal 9 2 2 3 3 4 3" xfId="20168" xr:uid="{7137534C-EA55-48B2-8712-2F01ED57EAF4}"/>
    <cellStyle name="Normal 9 2 2 3 3 4 4" xfId="36927" xr:uid="{293247A8-1A61-4DC0-B742-C508CC30D9E3}"/>
    <cellStyle name="Normal 9 2 2 3 3 5" xfId="9985" xr:uid="{7D8048E5-7F7A-40A3-B75D-99635D6FAB9A}"/>
    <cellStyle name="Normal 9 2 2 3 3 5 2" xfId="26745" xr:uid="{D61707BB-CD1D-47F0-BF8A-B6753AD190CC}"/>
    <cellStyle name="Normal 9 2 2 3 3 5 3" xfId="43504" xr:uid="{0BFBB103-F08B-4007-B646-D2D9C0D1D0B4}"/>
    <cellStyle name="Normal 9 2 2 3 3 6" xfId="18365" xr:uid="{EADDB5EE-806D-4043-AA14-47C6C8046A4A}"/>
    <cellStyle name="Normal 9 2 2 3 3 7" xfId="35124" xr:uid="{A96822E6-AF5B-4715-892E-D2D2893BAD27}"/>
    <cellStyle name="Normal 9 2 2 3 4" xfId="1884" xr:uid="{C0163292-8A82-4066-B57E-CB4731EE6366}"/>
    <cellStyle name="Normal 9 2 2 3 4 2" xfId="5273" xr:uid="{A6E5AC94-E07F-4182-BA85-7E600EC166B5}"/>
    <cellStyle name="Normal 9 2 2 3 4 2 2" xfId="13653" xr:uid="{9178C9D3-1781-4FEF-B764-4FB66E273733}"/>
    <cellStyle name="Normal 9 2 2 3 4 2 2 2" xfId="30413" xr:uid="{ADF0D05D-A5FE-45FF-94F2-A21DC7B04D58}"/>
    <cellStyle name="Normal 9 2 2 3 4 2 2 3" xfId="47172" xr:uid="{3173A652-5511-4B87-B8C7-F0B053DA5730}"/>
    <cellStyle name="Normal 9 2 2 3 4 2 3" xfId="22033" xr:uid="{69306974-319F-47A2-90FB-C59843CF2C8B}"/>
    <cellStyle name="Normal 9 2 2 3 4 2 4" xfId="38792" xr:uid="{3C7E13D3-7CC0-4A75-9281-E4B4FAA02FE4}"/>
    <cellStyle name="Normal 9 2 2 3 4 3" xfId="6960" xr:uid="{E2DF4E34-E871-4480-8BCA-ACD12E860594}"/>
    <cellStyle name="Normal 9 2 2 3 4 3 2" xfId="15340" xr:uid="{9D8D260F-DC90-47D1-B1AE-B2F8F6895CFE}"/>
    <cellStyle name="Normal 9 2 2 3 4 3 2 2" xfId="32100" xr:uid="{23D32B5A-05DA-4F84-80EB-6CC2CC8223BF}"/>
    <cellStyle name="Normal 9 2 2 3 4 3 2 3" xfId="48859" xr:uid="{7F545908-4144-449E-923A-4912868EF852}"/>
    <cellStyle name="Normal 9 2 2 3 4 3 3" xfId="23720" xr:uid="{AB4280EC-E87E-4817-8F2D-61D8CA93A776}"/>
    <cellStyle name="Normal 9 2 2 3 4 3 4" xfId="40479" xr:uid="{A51115D2-3BE8-4BEA-B28E-F311E8557A77}"/>
    <cellStyle name="Normal 9 2 2 3 4 4" xfId="3583" xr:uid="{2DFCBF68-F01B-4E20-BB36-27836AD01E31}"/>
    <cellStyle name="Normal 9 2 2 3 4 4 2" xfId="11963" xr:uid="{E807D85F-5736-4E7F-9991-A41FBD72885B}"/>
    <cellStyle name="Normal 9 2 2 3 4 4 2 2" xfId="28723" xr:uid="{DDFA0948-CBB4-471C-AE4E-C9346E4E647F}"/>
    <cellStyle name="Normal 9 2 2 3 4 4 2 3" xfId="45482" xr:uid="{746C7D2C-65F0-4460-84C8-481BB9BA7D35}"/>
    <cellStyle name="Normal 9 2 2 3 4 4 3" xfId="20343" xr:uid="{89EF7014-1C4F-4988-B9C3-B06CD6B1E3B3}"/>
    <cellStyle name="Normal 9 2 2 3 4 4 4" xfId="37102" xr:uid="{97A55859-FCE0-42FC-B9C0-2BB7B5C3D46B}"/>
    <cellStyle name="Normal 9 2 2 3 4 5" xfId="10273" xr:uid="{8C9589F1-F7CD-42CB-9DE1-71B39F395ACE}"/>
    <cellStyle name="Normal 9 2 2 3 4 5 2" xfId="27033" xr:uid="{64893331-168E-44C9-841C-01D649741FE5}"/>
    <cellStyle name="Normal 9 2 2 3 4 5 3" xfId="43792" xr:uid="{5B358755-538C-4007-ADBF-204C3EF79C8D}"/>
    <cellStyle name="Normal 9 2 2 3 4 6" xfId="18653" xr:uid="{0D96F22F-C2B9-4832-9407-A393BECD6B93}"/>
    <cellStyle name="Normal 9 2 2 3 4 7" xfId="35412" xr:uid="{9F70F920-7B01-45FD-97C3-7F05AA08C3C2}"/>
    <cellStyle name="Normal 9 2 2 3 5" xfId="4003" xr:uid="{D1637759-B40E-4311-9EB9-F406179C02C1}"/>
    <cellStyle name="Normal 9 2 2 3 5 2" xfId="12383" xr:uid="{C6803517-FB80-4EB3-9980-08425E206513}"/>
    <cellStyle name="Normal 9 2 2 3 5 2 2" xfId="29143" xr:uid="{1D555718-D32B-431D-93E7-E29EE90063B0}"/>
    <cellStyle name="Normal 9 2 2 3 5 2 3" xfId="45902" xr:uid="{406EA4B4-5C8D-4698-A542-9AEDA51F350F}"/>
    <cellStyle name="Normal 9 2 2 3 5 3" xfId="20763" xr:uid="{9B1C1331-DF37-4072-87DC-3CC02777E66E}"/>
    <cellStyle name="Normal 9 2 2 3 5 4" xfId="37522" xr:uid="{0C1DB614-7E72-48E8-A941-48CF4FC31883}"/>
    <cellStyle name="Normal 9 2 2 3 6" xfId="5818" xr:uid="{43C97617-E77E-4FE5-8CF6-808AA96B6302}"/>
    <cellStyle name="Normal 9 2 2 3 6 2" xfId="14198" xr:uid="{8A06A7B0-BE2F-4F6B-A185-38719129270F}"/>
    <cellStyle name="Normal 9 2 2 3 6 2 2" xfId="30958" xr:uid="{DEFDA554-E4BD-4BC6-B81B-12F5553E93B5}"/>
    <cellStyle name="Normal 9 2 2 3 6 2 3" xfId="47717" xr:uid="{B0509DFA-6677-452D-9E61-ACE36F7B6AA1}"/>
    <cellStyle name="Normal 9 2 2 3 6 3" xfId="22578" xr:uid="{043D7FFC-4E82-4959-86AB-42B128D30D6C}"/>
    <cellStyle name="Normal 9 2 2 3 6 4" xfId="39337" xr:uid="{C5CDE497-D3AE-4335-9DBF-DD8495E149FD}"/>
    <cellStyle name="Normal 9 2 2 3 7" xfId="7366" xr:uid="{086FDDB8-74AF-49C4-8C76-53A904DE05E9}"/>
    <cellStyle name="Normal 9 2 2 3 7 2" xfId="15746" xr:uid="{D158C1EF-3C7A-472B-87E7-9B03A0F031B1}"/>
    <cellStyle name="Normal 9 2 2 3 7 2 2" xfId="32506" xr:uid="{EDB81E33-EAFD-4506-A30F-ADCB475EED93}"/>
    <cellStyle name="Normal 9 2 2 3 7 2 3" xfId="49265" xr:uid="{9D5F9FF2-E4E4-40FF-B067-91ABE919240A}"/>
    <cellStyle name="Normal 9 2 2 3 7 3" xfId="24126" xr:uid="{19B6150D-7D6A-4065-9C93-1374BABD0580}"/>
    <cellStyle name="Normal 9 2 2 3 7 4" xfId="40885" xr:uid="{553664FD-F31A-41D3-B2B9-D63D9BC07E09}"/>
    <cellStyle name="Normal 9 2 2 3 8" xfId="7772" xr:uid="{836F7DEA-306E-4F59-BEB3-C14E03DECE5E}"/>
    <cellStyle name="Normal 9 2 2 3 8 2" xfId="16152" xr:uid="{2FA1AFEE-D450-4B3F-AE4B-DC46B86D2019}"/>
    <cellStyle name="Normal 9 2 2 3 8 2 2" xfId="32912" xr:uid="{BB21AEDA-679D-429A-86B9-385E8C5E0ADA}"/>
    <cellStyle name="Normal 9 2 2 3 8 2 3" xfId="49671" xr:uid="{FE96399A-74E4-4DB3-9380-3117FDB94D83}"/>
    <cellStyle name="Normal 9 2 2 3 8 3" xfId="24532" xr:uid="{083FB2DD-E152-4881-A751-602838D4D1A7}"/>
    <cellStyle name="Normal 9 2 2 3 8 4" xfId="41291" xr:uid="{F55E7887-7871-4262-A19A-9D4D824767BA}"/>
    <cellStyle name="Normal 9 2 2 3 9" xfId="8178" xr:uid="{4168A37E-B56B-4465-B4F7-CD48FB47AA7D}"/>
    <cellStyle name="Normal 9 2 2 3 9 2" xfId="16558" xr:uid="{736B14C4-9105-4208-A59C-89C4733E42E4}"/>
    <cellStyle name="Normal 9 2 2 3 9 2 2" xfId="33318" xr:uid="{6E61594B-B0AC-4DD2-90D1-BFF6EE7A1A86}"/>
    <cellStyle name="Normal 9 2 2 3 9 2 3" xfId="50077" xr:uid="{F174EC75-3508-45B5-A4F2-90F899D8243E}"/>
    <cellStyle name="Normal 9 2 2 3 9 3" xfId="24938" xr:uid="{5C00400B-4CE5-45F5-9E27-9B2304198AF3}"/>
    <cellStyle name="Normal 9 2 2 3 9 4" xfId="41697" xr:uid="{A7591820-4CB7-4338-B720-D83970E4BE8B}"/>
    <cellStyle name="Normal 9 2 2 4" xfId="724" xr:uid="{D575AA97-635A-483C-A2A5-33D05E44E5FF}"/>
    <cellStyle name="Normal 9 2 2 4 10" xfId="8680" xr:uid="{0CE35B70-7945-47A8-93E2-CE7B909E292B}"/>
    <cellStyle name="Normal 9 2 2 4 10 2" xfId="17060" xr:uid="{F8E0D7E9-B293-46B7-AF08-572D54CAB5F4}"/>
    <cellStyle name="Normal 9 2 2 4 10 2 2" xfId="33820" xr:uid="{3275EE85-47A2-4AE5-B5C9-F5EEFC867754}"/>
    <cellStyle name="Normal 9 2 2 4 10 2 3" xfId="50579" xr:uid="{D06E35E3-3222-4226-98CE-D215767B9730}"/>
    <cellStyle name="Normal 9 2 2 4 10 3" xfId="25440" xr:uid="{28836480-DDD3-42EB-8E7A-8D9E5D50BC07}"/>
    <cellStyle name="Normal 9 2 2 4 10 4" xfId="42199" xr:uid="{483ADB23-FE65-401C-B3BC-D9085CB1C466}"/>
    <cellStyle name="Normal 9 2 2 4 11" xfId="2553" xr:uid="{40E9A830-863D-4765-9854-F5A5497BB890}"/>
    <cellStyle name="Normal 9 2 2 4 11 2" xfId="10935" xr:uid="{D9EBAFA0-47F1-4C9A-98A6-B66EE0626325}"/>
    <cellStyle name="Normal 9 2 2 4 11 2 2" xfId="27695" xr:uid="{5DA779FF-BBD5-4F1D-8A98-95C944B94BBC}"/>
    <cellStyle name="Normal 9 2 2 4 11 2 3" xfId="44454" xr:uid="{1DB01572-F2C2-4614-AA7F-AC91C968F3AA}"/>
    <cellStyle name="Normal 9 2 2 4 11 3" xfId="19315" xr:uid="{05B7281C-1C1C-4550-9413-17DF717213A9}"/>
    <cellStyle name="Normal 9 2 2 4 11 4" xfId="36074" xr:uid="{CB17DC2D-A9F1-4894-AEAD-B14F86E2EDC5}"/>
    <cellStyle name="Normal 9 2 2 4 12" xfId="9132" xr:uid="{F1610903-3235-4988-8042-C98684604BF1}"/>
    <cellStyle name="Normal 9 2 2 4 12 2" xfId="25892" xr:uid="{8D6E95BB-9A81-48F6-846B-75806F81BF36}"/>
    <cellStyle name="Normal 9 2 2 4 12 3" xfId="42651" xr:uid="{0EEE2C27-7263-4F29-AD9D-72D02F8BC07B}"/>
    <cellStyle name="Normal 9 2 2 4 13" xfId="17512" xr:uid="{BF39171B-FE58-4BE1-A8AF-095CCE89B08F}"/>
    <cellStyle name="Normal 9 2 2 4 14" xfId="34271" xr:uid="{5ADBE781-9179-49F5-A49F-39FD118D1050}"/>
    <cellStyle name="Normal 9 2 2 4 2" xfId="1163" xr:uid="{18739B8F-4E0E-4418-9D16-13DB57E20956}"/>
    <cellStyle name="Normal 9 2 2 4 2 2" xfId="4558" xr:uid="{52CE6DBC-2875-400B-8581-AC8C8968E681}"/>
    <cellStyle name="Normal 9 2 2 4 2 2 2" xfId="12938" xr:uid="{455B95CE-F554-48A2-8645-5148D3F1613E}"/>
    <cellStyle name="Normal 9 2 2 4 2 2 2 2" xfId="29698" xr:uid="{95CBE9BE-83DC-40E7-AE84-B9B50EF41B19}"/>
    <cellStyle name="Normal 9 2 2 4 2 2 2 3" xfId="46457" xr:uid="{34BF2FB2-F32C-4942-8C1F-39198AA0FC18}"/>
    <cellStyle name="Normal 9 2 2 4 2 2 3" xfId="21318" xr:uid="{1080BBAF-BE44-46C9-A635-22B1D069CE0D}"/>
    <cellStyle name="Normal 9 2 2 4 2 2 4" xfId="38077" xr:uid="{975B60FD-5C52-41C5-B656-2F7EC286DD30}"/>
    <cellStyle name="Normal 9 2 2 4 2 3" xfId="6245" xr:uid="{E7807D06-15E1-4BEB-9052-A109BDB6892E}"/>
    <cellStyle name="Normal 9 2 2 4 2 3 2" xfId="14625" xr:uid="{44094E14-25A1-42E5-A530-9F60E8DE2B5A}"/>
    <cellStyle name="Normal 9 2 2 4 2 3 2 2" xfId="31385" xr:uid="{0D2F2224-2853-4494-96B8-CC2E03CBB325}"/>
    <cellStyle name="Normal 9 2 2 4 2 3 2 3" xfId="48144" xr:uid="{43C40E09-9AA3-4989-8118-67097F40FF53}"/>
    <cellStyle name="Normal 9 2 2 4 2 3 3" xfId="23005" xr:uid="{3926F13D-BADA-4744-9BDE-692C9A38BFD5}"/>
    <cellStyle name="Normal 9 2 2 4 2 3 4" xfId="39764" xr:uid="{E6E503F9-E8DC-482D-909D-1F4097DE3BDC}"/>
    <cellStyle name="Normal 9 2 2 4 2 4" xfId="2981" xr:uid="{281D77A2-29B1-42E6-B0BC-B46349199516}"/>
    <cellStyle name="Normal 9 2 2 4 2 4 2" xfId="11361" xr:uid="{80A00A45-A40C-46DE-A986-A464723E716C}"/>
    <cellStyle name="Normal 9 2 2 4 2 4 2 2" xfId="28121" xr:uid="{0A09FE55-AEF5-4BA2-AB01-45F723C89B56}"/>
    <cellStyle name="Normal 9 2 2 4 2 4 2 3" xfId="44880" xr:uid="{DAFB55A7-1AFA-4CFA-8B62-F2CEA1AB29AA}"/>
    <cellStyle name="Normal 9 2 2 4 2 4 3" xfId="19741" xr:uid="{79F67ABC-E30B-4363-93FA-2AE2C8E727C9}"/>
    <cellStyle name="Normal 9 2 2 4 2 4 4" xfId="36500" xr:uid="{7ABBE8FA-3E5F-4A55-8A8D-FF957E1F21A3}"/>
    <cellStyle name="Normal 9 2 2 4 2 5" xfId="9558" xr:uid="{9938AA8D-451C-4B99-ADB2-17108E2217F6}"/>
    <cellStyle name="Normal 9 2 2 4 2 5 2" xfId="26318" xr:uid="{4BB4EBF8-617F-4098-9452-FAAA95A1997D}"/>
    <cellStyle name="Normal 9 2 2 4 2 5 3" xfId="43077" xr:uid="{741C90CA-0223-42B0-A934-849967279914}"/>
    <cellStyle name="Normal 9 2 2 4 2 6" xfId="17938" xr:uid="{805C008C-3D66-4499-A309-5B7AE264C94D}"/>
    <cellStyle name="Normal 9 2 2 4 2 7" xfId="34697" xr:uid="{081FE930-BB32-48D5-8864-44A4518B2E00}"/>
    <cellStyle name="Normal 9 2 2 4 3" xfId="1597" xr:uid="{CB5354D4-DD7F-45CF-9438-472FB9F05B3C}"/>
    <cellStyle name="Normal 9 2 2 4 3 2" xfId="4986" xr:uid="{294C3D4A-FF0C-487C-B6B3-9CFC6C1ADE4C}"/>
    <cellStyle name="Normal 9 2 2 4 3 2 2" xfId="13366" xr:uid="{2995A2DE-D0A4-4F69-8C2E-FC46B5FCA3AE}"/>
    <cellStyle name="Normal 9 2 2 4 3 2 2 2" xfId="30126" xr:uid="{D398FA90-5779-4799-A357-8F05B85EBCA1}"/>
    <cellStyle name="Normal 9 2 2 4 3 2 2 3" xfId="46885" xr:uid="{667CCDBA-1EB6-4C5E-8387-3301E0B62928}"/>
    <cellStyle name="Normal 9 2 2 4 3 2 3" xfId="21746" xr:uid="{8FBDCC55-F722-4D3C-B483-EF1191F9708A}"/>
    <cellStyle name="Normal 9 2 2 4 3 2 4" xfId="38505" xr:uid="{2FF19A5A-5B27-4877-A482-54A6D0DEBFD8}"/>
    <cellStyle name="Normal 9 2 2 4 3 3" xfId="6673" xr:uid="{AACFD562-8288-4840-88CD-E56905703626}"/>
    <cellStyle name="Normal 9 2 2 4 3 3 2" xfId="15053" xr:uid="{D96E767E-8C91-4846-A05B-76CFB93930DD}"/>
    <cellStyle name="Normal 9 2 2 4 3 3 2 2" xfId="31813" xr:uid="{2DF229FD-59C0-4046-8465-F9FE0E28D78C}"/>
    <cellStyle name="Normal 9 2 2 4 3 3 2 3" xfId="48572" xr:uid="{4ABFB2E3-B8C4-479F-8856-271CFEBDCFB1}"/>
    <cellStyle name="Normal 9 2 2 4 3 3 3" xfId="23433" xr:uid="{F2BCA127-F102-4460-ACDB-657AD6C922B1}"/>
    <cellStyle name="Normal 9 2 2 4 3 3 4" xfId="40192" xr:uid="{B062BBE5-4C18-423C-9950-AB0EBC78CD11}"/>
    <cellStyle name="Normal 9 2 2 4 3 4" xfId="3409" xr:uid="{1CB81411-08F9-4733-91D1-8596EF951FA7}"/>
    <cellStyle name="Normal 9 2 2 4 3 4 2" xfId="11789" xr:uid="{B7DA576F-19F3-4E2D-94BE-03458118E6FC}"/>
    <cellStyle name="Normal 9 2 2 4 3 4 2 2" xfId="28549" xr:uid="{9A318019-8AEB-49AC-995D-6842CD10908F}"/>
    <cellStyle name="Normal 9 2 2 4 3 4 2 3" xfId="45308" xr:uid="{89F278D2-862A-46F4-97B2-3896871BEBA1}"/>
    <cellStyle name="Normal 9 2 2 4 3 4 3" xfId="20169" xr:uid="{15E5EF31-0A08-4807-B8FB-152EB7307BDB}"/>
    <cellStyle name="Normal 9 2 2 4 3 4 4" xfId="36928" xr:uid="{79F13212-DAD2-4054-A3F0-FB120DC4C98D}"/>
    <cellStyle name="Normal 9 2 2 4 3 5" xfId="9986" xr:uid="{C0D590B8-26D2-4AE3-ADDB-17F45AE87D88}"/>
    <cellStyle name="Normal 9 2 2 4 3 5 2" xfId="26746" xr:uid="{6FF25811-2279-4528-A89C-DFA1C3A499B3}"/>
    <cellStyle name="Normal 9 2 2 4 3 5 3" xfId="43505" xr:uid="{CE6AA073-9D6E-4EB3-8E53-CF10D56E24E1}"/>
    <cellStyle name="Normal 9 2 2 4 3 6" xfId="18366" xr:uid="{90E541FF-E358-4510-A402-DF7E6E3F311F}"/>
    <cellStyle name="Normal 9 2 2 4 3 7" xfId="35125" xr:uid="{55EFC8EF-7609-4ACB-8C3E-194CA2BA38AA}"/>
    <cellStyle name="Normal 9 2 2 4 4" xfId="1980" xr:uid="{1426BAE6-5E19-4341-BE1F-55E8AC18747D}"/>
    <cellStyle name="Normal 9 2 2 4 4 2" xfId="5369" xr:uid="{B126F4ED-2200-4CDF-A617-BF2E786F31D8}"/>
    <cellStyle name="Normal 9 2 2 4 4 2 2" xfId="13749" xr:uid="{FEA8B760-580C-4029-8F58-94A8D550907E}"/>
    <cellStyle name="Normal 9 2 2 4 4 2 2 2" xfId="30509" xr:uid="{9E71F874-0150-48B1-99D0-8946B3EC1E14}"/>
    <cellStyle name="Normal 9 2 2 4 4 2 2 3" xfId="47268" xr:uid="{DA469239-AE3A-4243-994E-10E168E91EA4}"/>
    <cellStyle name="Normal 9 2 2 4 4 2 3" xfId="22129" xr:uid="{0683CFF2-90E3-4F64-805F-51321EBD681C}"/>
    <cellStyle name="Normal 9 2 2 4 4 2 4" xfId="38888" xr:uid="{170E1E07-C632-429D-95A2-0FB8231FAEB5}"/>
    <cellStyle name="Normal 9 2 2 4 4 3" xfId="7056" xr:uid="{2EE3BFD9-9199-40BC-ACEF-5BCD16C96D56}"/>
    <cellStyle name="Normal 9 2 2 4 4 3 2" xfId="15436" xr:uid="{B6E91417-FF5B-42B7-B5DA-F3B30FEBA534}"/>
    <cellStyle name="Normal 9 2 2 4 4 3 2 2" xfId="32196" xr:uid="{92D1EB15-BECE-41C4-AE36-82BFD9B477C6}"/>
    <cellStyle name="Normal 9 2 2 4 4 3 2 3" xfId="48955" xr:uid="{4B45FD8F-485B-4291-8A90-DF341085055F}"/>
    <cellStyle name="Normal 9 2 2 4 4 3 3" xfId="23816" xr:uid="{D3CC952E-97B9-4052-B570-30D17B3C9CB7}"/>
    <cellStyle name="Normal 9 2 2 4 4 3 4" xfId="40575" xr:uid="{76714A62-B412-4DBF-BFD2-A7FA19E32BA3}"/>
    <cellStyle name="Normal 9 2 2 4 4 4" xfId="3679" xr:uid="{8DBBF1BE-E109-4986-B43F-4AB65388617B}"/>
    <cellStyle name="Normal 9 2 2 4 4 4 2" xfId="12059" xr:uid="{EF763515-4D69-4DB0-B1B6-5E5BEBD25DA3}"/>
    <cellStyle name="Normal 9 2 2 4 4 4 2 2" xfId="28819" xr:uid="{5320D191-E13B-4E3D-B0C5-2DDB6A338226}"/>
    <cellStyle name="Normal 9 2 2 4 4 4 2 3" xfId="45578" xr:uid="{1B8A6BB8-514B-492E-85C0-1E6ACB6DC9BE}"/>
    <cellStyle name="Normal 9 2 2 4 4 4 3" xfId="20439" xr:uid="{76979032-E03C-450B-B3FA-F2C7632DE795}"/>
    <cellStyle name="Normal 9 2 2 4 4 4 4" xfId="37198" xr:uid="{690D219E-D8F3-4126-9B4B-C4CD6F55B748}"/>
    <cellStyle name="Normal 9 2 2 4 4 5" xfId="10369" xr:uid="{5A2DBBE4-B6AE-403A-8805-7764FF446230}"/>
    <cellStyle name="Normal 9 2 2 4 4 5 2" xfId="27129" xr:uid="{DF85ACC4-CCD1-4614-A85C-9DEAEE903853}"/>
    <cellStyle name="Normal 9 2 2 4 4 5 3" xfId="43888" xr:uid="{25563C1D-4E17-4B93-8140-47FF6DE4A56A}"/>
    <cellStyle name="Normal 9 2 2 4 4 6" xfId="18749" xr:uid="{507CEA24-C5D6-4579-B05B-941480DFB149}"/>
    <cellStyle name="Normal 9 2 2 4 4 7" xfId="35508" xr:uid="{B636EA07-DAD8-49DE-A7B0-94331900258D}"/>
    <cellStyle name="Normal 9 2 2 4 5" xfId="4099" xr:uid="{C44B534D-6A8E-4889-8BE8-CB0910DAF7BE}"/>
    <cellStyle name="Normal 9 2 2 4 5 2" xfId="12479" xr:uid="{36735E7E-F8C2-4680-B5A3-01D4C44B3F8C}"/>
    <cellStyle name="Normal 9 2 2 4 5 2 2" xfId="29239" xr:uid="{B4EAD190-73B0-4DBC-B9DA-5909E3141998}"/>
    <cellStyle name="Normal 9 2 2 4 5 2 3" xfId="45998" xr:uid="{163E22A0-21E7-4AEB-9A77-8808B6073CE4}"/>
    <cellStyle name="Normal 9 2 2 4 5 3" xfId="20859" xr:uid="{EB46A65F-C7D2-437B-9FF1-107472BE425A}"/>
    <cellStyle name="Normal 9 2 2 4 5 4" xfId="37618" xr:uid="{3AD0A2A5-2CA7-4A2D-8E1E-681634D9A72C}"/>
    <cellStyle name="Normal 9 2 2 4 6" xfId="5819" xr:uid="{84B42C3D-73AB-4E19-9C2A-0918A91B1F1B}"/>
    <cellStyle name="Normal 9 2 2 4 6 2" xfId="14199" xr:uid="{0F35D322-F6F1-4AA8-8E42-4CB17C998A16}"/>
    <cellStyle name="Normal 9 2 2 4 6 2 2" xfId="30959" xr:uid="{0EF03E57-73E0-4120-9627-C2AF445C05E4}"/>
    <cellStyle name="Normal 9 2 2 4 6 2 3" xfId="47718" xr:uid="{61B74AC5-0AEF-466C-B37F-92751BEAF50A}"/>
    <cellStyle name="Normal 9 2 2 4 6 3" xfId="22579" xr:uid="{353A4477-DB49-4F11-968F-925B7864D8A2}"/>
    <cellStyle name="Normal 9 2 2 4 6 4" xfId="39338" xr:uid="{5CED1956-3E58-4C62-A510-DEA7FA03833C}"/>
    <cellStyle name="Normal 9 2 2 4 7" xfId="7462" xr:uid="{C5FE8120-6E68-4450-9D49-FACA933E1246}"/>
    <cellStyle name="Normal 9 2 2 4 7 2" xfId="15842" xr:uid="{4AC0BC90-2467-45D2-AA8C-6763E6F6E701}"/>
    <cellStyle name="Normal 9 2 2 4 7 2 2" xfId="32602" xr:uid="{26F6B9AF-F189-4B5D-8015-22E6E94C425F}"/>
    <cellStyle name="Normal 9 2 2 4 7 2 3" xfId="49361" xr:uid="{19A27D82-33A3-48E0-9A12-93949235A03E}"/>
    <cellStyle name="Normal 9 2 2 4 7 3" xfId="24222" xr:uid="{36720476-25FA-4CDC-984D-85586B4278BC}"/>
    <cellStyle name="Normal 9 2 2 4 7 4" xfId="40981" xr:uid="{4492669E-8C9C-48B8-BE35-1BFE95CE4413}"/>
    <cellStyle name="Normal 9 2 2 4 8" xfId="7868" xr:uid="{B8FD3D73-B326-4D84-AC5A-7A9CED3342F9}"/>
    <cellStyle name="Normal 9 2 2 4 8 2" xfId="16248" xr:uid="{ED89BA2F-BB3F-4B44-BCF7-7211EDED8613}"/>
    <cellStyle name="Normal 9 2 2 4 8 2 2" xfId="33008" xr:uid="{DCAF928B-F21C-4EE2-B5C4-046BAF810502}"/>
    <cellStyle name="Normal 9 2 2 4 8 2 3" xfId="49767" xr:uid="{AB5C4FBB-5F4C-4633-9F20-547486C7EA97}"/>
    <cellStyle name="Normal 9 2 2 4 8 3" xfId="24628" xr:uid="{D8187F05-0F2C-46B4-8E57-FD58A35D8EE8}"/>
    <cellStyle name="Normal 9 2 2 4 8 4" xfId="41387" xr:uid="{B3F33E41-BD14-433F-9539-0DBC81839CCA}"/>
    <cellStyle name="Normal 9 2 2 4 9" xfId="8274" xr:uid="{C820DC75-6247-4C5C-B8E0-910C5832FB3C}"/>
    <cellStyle name="Normal 9 2 2 4 9 2" xfId="16654" xr:uid="{042281B4-0FA8-42E9-9ADC-D5BFF2491EE9}"/>
    <cellStyle name="Normal 9 2 2 4 9 2 2" xfId="33414" xr:uid="{E79E48D2-219A-42A7-8CC0-29A3D2AC6F3D}"/>
    <cellStyle name="Normal 9 2 2 4 9 2 3" xfId="50173" xr:uid="{5EACA03B-B320-4F30-AEC7-9CC66A717F79}"/>
    <cellStyle name="Normal 9 2 2 4 9 3" xfId="25034" xr:uid="{E317B851-5ED9-43BD-A271-0E13C5E3CAD2}"/>
    <cellStyle name="Normal 9 2 2 4 9 4" xfId="41793" xr:uid="{55EED55A-8C5C-47C7-8C93-3D3BEF30E84B}"/>
    <cellStyle name="Normal 9 2 2 5" xfId="804" xr:uid="{70FFE171-67A4-4210-B8F0-88F362DC4AB2}"/>
    <cellStyle name="Normal 9 2 2 5 2" xfId="4199" xr:uid="{A0A749A9-B929-4AB5-9D1B-635CE6EDDA26}"/>
    <cellStyle name="Normal 9 2 2 5 2 2" xfId="12579" xr:uid="{563ED4DD-4D2D-4E63-B920-21EE85005704}"/>
    <cellStyle name="Normal 9 2 2 5 2 2 2" xfId="29339" xr:uid="{12D7BB7B-EEA8-4627-A508-62FF60B19B28}"/>
    <cellStyle name="Normal 9 2 2 5 2 2 3" xfId="46098" xr:uid="{1C9D3375-3EA3-4DE6-9F2B-EAD010196E89}"/>
    <cellStyle name="Normal 9 2 2 5 2 3" xfId="20959" xr:uid="{21C06ED7-87CE-4C08-93C6-F88BA7A6962E}"/>
    <cellStyle name="Normal 9 2 2 5 2 4" xfId="37718" xr:uid="{6A57157C-9CE0-441C-9C97-A47F31EBFA60}"/>
    <cellStyle name="Normal 9 2 2 5 3" xfId="5886" xr:uid="{2526F019-FD57-4D53-B2DB-F8C95285027E}"/>
    <cellStyle name="Normal 9 2 2 5 3 2" xfId="14266" xr:uid="{B6E036AD-5197-4BB1-B770-5CE1E0F0F960}"/>
    <cellStyle name="Normal 9 2 2 5 3 2 2" xfId="31026" xr:uid="{E13E28A5-A072-448C-B5B1-610C2F5ED2D6}"/>
    <cellStyle name="Normal 9 2 2 5 3 2 3" xfId="47785" xr:uid="{5114A2AF-C7A7-495F-8D0C-0540B3A90982}"/>
    <cellStyle name="Normal 9 2 2 5 3 3" xfId="22646" xr:uid="{F488F00F-A4DE-4023-8EC6-96C32F5FCA6F}"/>
    <cellStyle name="Normal 9 2 2 5 3 4" xfId="39405" xr:uid="{5DC162E6-B65A-4D0B-9518-DCF1EBF70A1C}"/>
    <cellStyle name="Normal 9 2 2 5 4" xfId="2622" xr:uid="{DB4421ED-A04F-4707-AB77-4B6FCB4A5F67}"/>
    <cellStyle name="Normal 9 2 2 5 4 2" xfId="11002" xr:uid="{EB2723CE-29AB-49D0-A2B1-767483F25FF9}"/>
    <cellStyle name="Normal 9 2 2 5 4 2 2" xfId="27762" xr:uid="{3B2D02BE-2106-48BF-8FD4-C65E5E643332}"/>
    <cellStyle name="Normal 9 2 2 5 4 2 3" xfId="44521" xr:uid="{FF86E27B-F28A-4916-A43E-CEF4ED8721B3}"/>
    <cellStyle name="Normal 9 2 2 5 4 3" xfId="19382" xr:uid="{7684CD6B-D9BA-40A3-8379-A22ED00A4480}"/>
    <cellStyle name="Normal 9 2 2 5 4 4" xfId="36141" xr:uid="{F9F1EF8A-C11A-4D0D-A7B9-1F73D5A502C3}"/>
    <cellStyle name="Normal 9 2 2 5 5" xfId="9199" xr:uid="{ECDEC16F-F27D-4407-90B3-219889FE6F6C}"/>
    <cellStyle name="Normal 9 2 2 5 5 2" xfId="25959" xr:uid="{E8F51F90-198F-48CF-8663-E396C6692BDD}"/>
    <cellStyle name="Normal 9 2 2 5 5 3" xfId="42718" xr:uid="{BED2AFB8-CA7C-4676-9625-CF3508908833}"/>
    <cellStyle name="Normal 9 2 2 5 6" xfId="17579" xr:uid="{48759529-94A9-44F4-AF72-3F945A138965}"/>
    <cellStyle name="Normal 9 2 2 5 7" xfId="34338" xr:uid="{64473819-DD0E-438A-A2E4-DFC722F9F932}"/>
    <cellStyle name="Normal 9 2 2 6" xfId="1238" xr:uid="{EED86254-66BD-4CAF-8FD9-C4FA7C96D369}"/>
    <cellStyle name="Normal 9 2 2 6 2" xfId="4627" xr:uid="{7E595A77-A221-4A1D-B91E-C950BB188282}"/>
    <cellStyle name="Normal 9 2 2 6 2 2" xfId="13007" xr:uid="{C1269776-13B9-4E86-842A-0BEBB9BCE486}"/>
    <cellStyle name="Normal 9 2 2 6 2 2 2" xfId="29767" xr:uid="{688DA699-406D-4AC8-B1E8-FC86E7BCD7FD}"/>
    <cellStyle name="Normal 9 2 2 6 2 2 3" xfId="46526" xr:uid="{CC81BAA9-7F9A-4B1D-BDA1-C8F97D051651}"/>
    <cellStyle name="Normal 9 2 2 6 2 3" xfId="21387" xr:uid="{D232B33D-CE18-42F5-BF35-B7A0089970E5}"/>
    <cellStyle name="Normal 9 2 2 6 2 4" xfId="38146" xr:uid="{C828A049-530D-4D3C-9414-D7D1180D9D60}"/>
    <cellStyle name="Normal 9 2 2 6 3" xfId="6314" xr:uid="{EECA813C-9EFB-4E2C-99BE-6869BD14C83B}"/>
    <cellStyle name="Normal 9 2 2 6 3 2" xfId="14694" xr:uid="{F93D2477-54BD-47F5-B017-469828080371}"/>
    <cellStyle name="Normal 9 2 2 6 3 2 2" xfId="31454" xr:uid="{9898C1A3-9462-4502-A8EE-5B6192F268A7}"/>
    <cellStyle name="Normal 9 2 2 6 3 2 3" xfId="48213" xr:uid="{B474724B-1643-4EF0-82A9-E40F5C0B2356}"/>
    <cellStyle name="Normal 9 2 2 6 3 3" xfId="23074" xr:uid="{78041757-D27A-4973-B10F-E35F49D6B45D}"/>
    <cellStyle name="Normal 9 2 2 6 3 4" xfId="39833" xr:uid="{36B626FC-DC19-4406-AFBE-C207CF386593}"/>
    <cellStyle name="Normal 9 2 2 6 4" xfId="3050" xr:uid="{BD32B5F0-B022-4344-B471-0DCFB47880C5}"/>
    <cellStyle name="Normal 9 2 2 6 4 2" xfId="11430" xr:uid="{C09B8E92-F0A4-466C-88CC-F7F550C6817E}"/>
    <cellStyle name="Normal 9 2 2 6 4 2 2" xfId="28190" xr:uid="{40B52511-D8CD-4170-A56D-8737EF7B29A6}"/>
    <cellStyle name="Normal 9 2 2 6 4 2 3" xfId="44949" xr:uid="{98B135EC-3865-452D-821C-3EBB2BA40681}"/>
    <cellStyle name="Normal 9 2 2 6 4 3" xfId="19810" xr:uid="{4490EE2B-A097-43BA-BD2D-98A842D4DAA4}"/>
    <cellStyle name="Normal 9 2 2 6 4 4" xfId="36569" xr:uid="{5583B491-2F32-4C9C-9897-7EF7F093642A}"/>
    <cellStyle name="Normal 9 2 2 6 5" xfId="9627" xr:uid="{8E448648-35DC-4E73-AC7F-7C0058DF09F1}"/>
    <cellStyle name="Normal 9 2 2 6 5 2" xfId="26387" xr:uid="{07FFF329-E577-4B48-93D8-48984AC9426A}"/>
    <cellStyle name="Normal 9 2 2 6 5 3" xfId="43146" xr:uid="{1788E196-F87F-4C31-9CFE-7684B5498686}"/>
    <cellStyle name="Normal 9 2 2 6 6" xfId="18007" xr:uid="{67725219-09EE-417D-9F43-18207DBBE0D9}"/>
    <cellStyle name="Normal 9 2 2 6 7" xfId="34766" xr:uid="{005DA115-669D-4263-84A8-DE5133E83356}"/>
    <cellStyle name="Normal 9 2 2 7" xfId="1709" xr:uid="{D1F706C4-2BB9-4EA8-B918-2D2FB19F0880}"/>
    <cellStyle name="Normal 9 2 2 7 2" xfId="5098" xr:uid="{C76FB014-392C-45C3-B139-4F9691261A80}"/>
    <cellStyle name="Normal 9 2 2 7 2 2" xfId="13478" xr:uid="{8E324208-7BDD-4E32-8097-E8B61BDE906E}"/>
    <cellStyle name="Normal 9 2 2 7 2 2 2" xfId="30238" xr:uid="{4ED57EB3-EE61-4F18-91DE-1DBBE4C149AB}"/>
    <cellStyle name="Normal 9 2 2 7 2 2 3" xfId="46997" xr:uid="{431CB547-796C-41A8-B8FB-8081C25FC253}"/>
    <cellStyle name="Normal 9 2 2 7 2 3" xfId="21858" xr:uid="{1AFC796E-4133-439E-90BA-528C2379A0DD}"/>
    <cellStyle name="Normal 9 2 2 7 2 4" xfId="38617" xr:uid="{7EE4CE7A-8015-4D1D-AA96-F8533A0C2D77}"/>
    <cellStyle name="Normal 9 2 2 7 3" xfId="6785" xr:uid="{0C517BF8-BF11-437F-B325-D6F048652511}"/>
    <cellStyle name="Normal 9 2 2 7 3 2" xfId="15165" xr:uid="{8EC2D2A2-597C-496F-9EB0-C9045EB18203}"/>
    <cellStyle name="Normal 9 2 2 7 3 2 2" xfId="31925" xr:uid="{6EC47C23-0E66-4E9A-A602-E9D526D2D79C}"/>
    <cellStyle name="Normal 9 2 2 7 3 2 3" xfId="48684" xr:uid="{1691DB25-12A1-4B9A-B9C7-198CED4FE40E}"/>
    <cellStyle name="Normal 9 2 2 7 3 3" xfId="23545" xr:uid="{A17D426B-0ACF-46DF-B45A-7D9370A4C571}"/>
    <cellStyle name="Normal 9 2 2 7 3 4" xfId="40304" xr:uid="{DB83DE3C-9619-46BB-93A9-FA9F65D9DD51}"/>
    <cellStyle name="Normal 9 2 2 7 4" xfId="2189" xr:uid="{B8D23F0D-6746-4F2A-BE26-2F97C07A4F56}"/>
    <cellStyle name="Normal 9 2 2 7 4 2" xfId="10576" xr:uid="{EE213700-DEFB-4064-BEE6-E37B2A283B9C}"/>
    <cellStyle name="Normal 9 2 2 7 4 2 2" xfId="27336" xr:uid="{95E7F655-9EFB-40A8-B660-1436A30D26BE}"/>
    <cellStyle name="Normal 9 2 2 7 4 2 3" xfId="44095" xr:uid="{F4CF1C26-6C07-45E8-A528-1C7E3D618753}"/>
    <cellStyle name="Normal 9 2 2 7 4 3" xfId="18956" xr:uid="{0BBAD9AB-F354-4CF2-BD6A-E1B0030A62CC}"/>
    <cellStyle name="Normal 9 2 2 7 4 4" xfId="35715" xr:uid="{7A63AE96-CD8E-4731-B384-06BE839417E3}"/>
    <cellStyle name="Normal 9 2 2 7 5" xfId="10098" xr:uid="{5120F59D-5068-4A3A-8FC6-C54F19AF8D12}"/>
    <cellStyle name="Normal 9 2 2 7 5 2" xfId="26858" xr:uid="{7D3DF4BA-A803-4558-8116-C72627B63737}"/>
    <cellStyle name="Normal 9 2 2 7 5 3" xfId="43617" xr:uid="{E446E499-8555-422A-9432-F23EBED8464C}"/>
    <cellStyle name="Normal 9 2 2 7 6" xfId="18478" xr:uid="{FA16EA3F-1EE6-490A-9CE5-D4522D1E0023}"/>
    <cellStyle name="Normal 9 2 2 7 7" xfId="35237" xr:uid="{45ECD366-193A-4426-862C-1B8A38F75FF7}"/>
    <cellStyle name="Normal 9 2 2 8" xfId="3827" xr:uid="{848AA065-F882-4B63-BE9C-17830C4CA10A}"/>
    <cellStyle name="Normal 9 2 2 8 2" xfId="12207" xr:uid="{DFE959A7-F26F-440D-8281-86EE81DF8E0D}"/>
    <cellStyle name="Normal 9 2 2 8 2 2" xfId="28967" xr:uid="{F0BE7184-724D-4686-8B82-5448D63D4E15}"/>
    <cellStyle name="Normal 9 2 2 8 2 3" xfId="45726" xr:uid="{2B8D26CF-463B-4BB7-9DEC-83A1B489E44F}"/>
    <cellStyle name="Normal 9 2 2 8 3" xfId="20587" xr:uid="{AA57CC50-4969-44FE-8256-DB38768B7FF0}"/>
    <cellStyle name="Normal 9 2 2 8 4" xfId="37346" xr:uid="{21185E37-E9D7-4DD3-A096-340970AA8F8A}"/>
    <cellStyle name="Normal 9 2 2 9" xfId="5460" xr:uid="{26C7CF00-434B-497B-9C4E-F47B9F602FF7}"/>
    <cellStyle name="Normal 9 2 2 9 2" xfId="13840" xr:uid="{EB2A1EB9-C873-4809-80CE-2152226509B1}"/>
    <cellStyle name="Normal 9 2 2 9 2 2" xfId="30600" xr:uid="{5DA17587-E8F3-4B7F-BB8B-3FEC05293BED}"/>
    <cellStyle name="Normal 9 2 2 9 2 3" xfId="47359" xr:uid="{001FB37D-A191-4AFB-A842-29DB7D2095E1}"/>
    <cellStyle name="Normal 9 2 2 9 3" xfId="22220" xr:uid="{F3308561-98C0-4327-A22A-87035665C3BC}"/>
    <cellStyle name="Normal 9 2 2 9 4" xfId="38979" xr:uid="{03769926-F369-4189-A85F-217AA98D1F8E}"/>
    <cellStyle name="Normal 9 2 20" xfId="33884" xr:uid="{89BEB8C4-E0B2-4B82-9806-11E7F11361E7}"/>
    <cellStyle name="Normal 9 2 21" xfId="271" xr:uid="{03A45492-B459-427A-B771-A3EF8487B99A}"/>
    <cellStyle name="Normal 9 2 3" xfId="355" xr:uid="{C86A412E-C8E7-4055-BA70-E50F6730784D}"/>
    <cellStyle name="Normal 9 2 3 10" xfId="7598" xr:uid="{5CD72AB6-0EB0-4AF9-82D4-CB90C4886D49}"/>
    <cellStyle name="Normal 9 2 3 10 2" xfId="15978" xr:uid="{AE86F8F3-8B6A-42DB-91CC-4D2396C9406A}"/>
    <cellStyle name="Normal 9 2 3 10 2 2" xfId="32738" xr:uid="{23C1966F-0A90-4227-87C2-724EC668FE66}"/>
    <cellStyle name="Normal 9 2 3 10 2 3" xfId="49497" xr:uid="{63AB34CA-3BC5-446A-A296-E69885D2060C}"/>
    <cellStyle name="Normal 9 2 3 10 3" xfId="24358" xr:uid="{6FE5BC4D-0B54-4F89-9DEB-111FC227A2BD}"/>
    <cellStyle name="Normal 9 2 3 10 4" xfId="41117" xr:uid="{44921DC0-F0D7-41EF-BB11-248E6DF04B77}"/>
    <cellStyle name="Normal 9 2 3 11" xfId="8004" xr:uid="{A2A08559-5E39-4344-BF94-524EC538152E}"/>
    <cellStyle name="Normal 9 2 3 11 2" xfId="16384" xr:uid="{1B8FA0C5-177B-43B1-B9D1-19D91CE0FE6C}"/>
    <cellStyle name="Normal 9 2 3 11 2 2" xfId="33144" xr:uid="{2EFC8A57-57C7-4A30-BC82-601324613BCD}"/>
    <cellStyle name="Normal 9 2 3 11 2 3" xfId="49903" xr:uid="{5FF373CF-7B8D-4B59-B9B8-CF3AA78F05B1}"/>
    <cellStyle name="Normal 9 2 3 11 3" xfId="24764" xr:uid="{EF1BEF34-61A9-4E6E-9751-D9D973B286EA}"/>
    <cellStyle name="Normal 9 2 3 11 4" xfId="41523" xr:uid="{2A355632-6EF4-49AC-83B9-5723062703D6}"/>
    <cellStyle name="Normal 9 2 3 12" xfId="8410" xr:uid="{DEAB8729-EB93-41B6-AC2A-4CF2D2178D55}"/>
    <cellStyle name="Normal 9 2 3 12 2" xfId="16790" xr:uid="{8E0BF7B1-CF48-4D89-B75F-881CFF536EAC}"/>
    <cellStyle name="Normal 9 2 3 12 2 2" xfId="33550" xr:uid="{0F3B21D4-E22A-440F-BBD2-82BD00A1E646}"/>
    <cellStyle name="Normal 9 2 3 12 2 3" xfId="50309" xr:uid="{A5C02F83-C643-4322-BC33-666FF9549205}"/>
    <cellStyle name="Normal 9 2 3 12 3" xfId="25170" xr:uid="{E2B66C59-365D-44B1-9F4A-03DEC5BA40D0}"/>
    <cellStyle name="Normal 9 2 3 12 4" xfId="41929" xr:uid="{201E3149-4395-4390-BD4E-8814779087AF}"/>
    <cellStyle name="Normal 9 2 3 13" xfId="2085" xr:uid="{1CF03BC7-09AA-4D58-9876-3910A4F2F859}"/>
    <cellStyle name="Normal 9 2 3 13 2" xfId="10473" xr:uid="{AB936BD1-061E-471B-A93D-6854321CDCA7}"/>
    <cellStyle name="Normal 9 2 3 13 2 2" xfId="27233" xr:uid="{B874898B-5067-47A3-A9FE-C7884012A0A1}"/>
    <cellStyle name="Normal 9 2 3 13 2 3" xfId="43992" xr:uid="{1A600FF4-8771-4244-8266-333F732C5D41}"/>
    <cellStyle name="Normal 9 2 3 13 3" xfId="18853" xr:uid="{C573AEF4-3F06-4E29-B617-A0C9772450EC}"/>
    <cellStyle name="Normal 9 2 3 13 4" xfId="35612" xr:uid="{35D08F11-87A2-4DCE-AA5D-DFCF032F2506}"/>
    <cellStyle name="Normal 9 2 3 14" xfId="8819" xr:uid="{989B4C46-9539-4DEA-A2AB-94AF32818841}"/>
    <cellStyle name="Normal 9 2 3 14 2" xfId="25579" xr:uid="{B4CEAEA0-FC6E-4016-B84E-FD659501B6DC}"/>
    <cellStyle name="Normal 9 2 3 14 3" xfId="42338" xr:uid="{FF6A8197-4AD0-4196-A381-CAB8CFEBA36C}"/>
    <cellStyle name="Normal 9 2 3 15" xfId="17199" xr:uid="{1621CF98-2F1E-4A76-91F9-C24D056D66B3}"/>
    <cellStyle name="Normal 9 2 3 16" xfId="33958" xr:uid="{24502A5B-B09A-4ED6-BE4E-12DB9A53763B}"/>
    <cellStyle name="Normal 9 2 3 2" xfId="725" xr:uid="{C7BBCB6C-100B-45BB-B001-61EB5AFC01CC}"/>
    <cellStyle name="Normal 9 2 3 2 10" xfId="8586" xr:uid="{8A701D8D-A669-4084-B3C8-C54A5A9EFCE9}"/>
    <cellStyle name="Normal 9 2 3 2 10 2" xfId="16966" xr:uid="{AFBE6850-776A-451F-A88A-93BBE5EC5821}"/>
    <cellStyle name="Normal 9 2 3 2 10 2 2" xfId="33726" xr:uid="{CA6CF3F9-B60E-480E-8911-CC5177D3A202}"/>
    <cellStyle name="Normal 9 2 3 2 10 2 3" xfId="50485" xr:uid="{F77FFFBC-7154-4FAB-BE47-65DED76C294F}"/>
    <cellStyle name="Normal 9 2 3 2 10 3" xfId="25346" xr:uid="{3586EC34-0483-45E2-8A97-BFBDD1A3E2D3}"/>
    <cellStyle name="Normal 9 2 3 2 10 4" xfId="42105" xr:uid="{05602DE2-B500-40D0-AE1C-E04C38FCA259}"/>
    <cellStyle name="Normal 9 2 3 2 11" xfId="2554" xr:uid="{1483B383-A17F-4026-921A-5D599EDB997A}"/>
    <cellStyle name="Normal 9 2 3 2 11 2" xfId="10936" xr:uid="{148A2E35-D03C-48E6-BCE3-D02178843813}"/>
    <cellStyle name="Normal 9 2 3 2 11 2 2" xfId="27696" xr:uid="{BBC9F58F-BC7E-4054-A0D2-318810B768E5}"/>
    <cellStyle name="Normal 9 2 3 2 11 2 3" xfId="44455" xr:uid="{67CD0602-B9C4-4F86-B963-783FAB5461A9}"/>
    <cellStyle name="Normal 9 2 3 2 11 3" xfId="19316" xr:uid="{24F34A32-281F-40C0-81EA-6C1F94D61840}"/>
    <cellStyle name="Normal 9 2 3 2 11 4" xfId="36075" xr:uid="{FA53DFD9-9D7D-4230-8A76-72A5B654D0AE}"/>
    <cellStyle name="Normal 9 2 3 2 12" xfId="9133" xr:uid="{9B265A55-59A3-457D-BDBC-2F5FAF977CB3}"/>
    <cellStyle name="Normal 9 2 3 2 12 2" xfId="25893" xr:uid="{68D75C34-148C-4121-B81C-0CF5519DFF35}"/>
    <cellStyle name="Normal 9 2 3 2 12 3" xfId="42652" xr:uid="{06E41D05-CAAE-494B-893D-CA1521E5BE15}"/>
    <cellStyle name="Normal 9 2 3 2 13" xfId="17513" xr:uid="{9DA3F473-82C9-4D9E-8AFB-2BA8C06D6F55}"/>
    <cellStyle name="Normal 9 2 3 2 14" xfId="34272" xr:uid="{45583B93-C26F-44BE-8990-B4DEEFCD7A88}"/>
    <cellStyle name="Normal 9 2 3 2 2" xfId="1164" xr:uid="{83936083-0735-4A66-91E5-53DB0811DE70}"/>
    <cellStyle name="Normal 9 2 3 2 2 2" xfId="4559" xr:uid="{1C627600-DD49-48A1-8A8B-2E9938F738C3}"/>
    <cellStyle name="Normal 9 2 3 2 2 2 2" xfId="12939" xr:uid="{907B1239-E9E4-4E8F-8B46-9943DEC46749}"/>
    <cellStyle name="Normal 9 2 3 2 2 2 2 2" xfId="29699" xr:uid="{6D80F6F8-C0CE-4D50-AEE2-227C3B73C49F}"/>
    <cellStyle name="Normal 9 2 3 2 2 2 2 3" xfId="46458" xr:uid="{FF196E94-1970-41FB-886F-DF36D4577642}"/>
    <cellStyle name="Normal 9 2 3 2 2 2 3" xfId="21319" xr:uid="{89BFA53B-1CDC-4498-BB91-F4E2DFC13CA8}"/>
    <cellStyle name="Normal 9 2 3 2 2 2 4" xfId="38078" xr:uid="{D0D8CD51-D0C1-4BA2-8287-D8F2333FE97A}"/>
    <cellStyle name="Normal 9 2 3 2 2 3" xfId="6246" xr:uid="{C8FB41F9-B3AA-4ACC-8575-3D20F994E580}"/>
    <cellStyle name="Normal 9 2 3 2 2 3 2" xfId="14626" xr:uid="{6B9030A2-E193-43FC-BAF5-5423CC5F2614}"/>
    <cellStyle name="Normal 9 2 3 2 2 3 2 2" xfId="31386" xr:uid="{77748C03-B2E9-4C71-B847-2CECAFD73B36}"/>
    <cellStyle name="Normal 9 2 3 2 2 3 2 3" xfId="48145" xr:uid="{9BB8E093-5707-4190-8F15-3816DBDE66AC}"/>
    <cellStyle name="Normal 9 2 3 2 2 3 3" xfId="23006" xr:uid="{F5D1A6EE-2B50-4214-A8E7-EA496D567D62}"/>
    <cellStyle name="Normal 9 2 3 2 2 3 4" xfId="39765" xr:uid="{062F7B6E-614B-4572-8EAD-D4BC8ABEEE35}"/>
    <cellStyle name="Normal 9 2 3 2 2 4" xfId="2982" xr:uid="{2F8800A7-3489-4DD9-93CB-EB0218D8B72A}"/>
    <cellStyle name="Normal 9 2 3 2 2 4 2" xfId="11362" xr:uid="{86C8934B-FD33-400C-ACC0-9AEACE9E58D6}"/>
    <cellStyle name="Normal 9 2 3 2 2 4 2 2" xfId="28122" xr:uid="{9B8DA410-42E2-4D03-A661-682406C28CC0}"/>
    <cellStyle name="Normal 9 2 3 2 2 4 2 3" xfId="44881" xr:uid="{4C2B2B5B-4F02-46BB-BDAC-F6CD54661B6B}"/>
    <cellStyle name="Normal 9 2 3 2 2 4 3" xfId="19742" xr:uid="{F4911EA8-9839-4EC1-A714-D56BD9285D7C}"/>
    <cellStyle name="Normal 9 2 3 2 2 4 4" xfId="36501" xr:uid="{74A6105F-92A7-44D2-9630-A3563D2B3FD9}"/>
    <cellStyle name="Normal 9 2 3 2 2 5" xfId="9559" xr:uid="{C7138D2A-0B2C-451A-943A-792D1D54B1CE}"/>
    <cellStyle name="Normal 9 2 3 2 2 5 2" xfId="26319" xr:uid="{A5A95830-2349-4374-9AAC-F137F0C8C49D}"/>
    <cellStyle name="Normal 9 2 3 2 2 5 3" xfId="43078" xr:uid="{9F53F854-61E1-4665-B65D-563F61B65A28}"/>
    <cellStyle name="Normal 9 2 3 2 2 6" xfId="17939" xr:uid="{A77471DE-3F8E-494D-A0FD-B5AE095ADC29}"/>
    <cellStyle name="Normal 9 2 3 2 2 7" xfId="34698" xr:uid="{C68381AA-8E25-46D7-BF48-38ED6C15BBEE}"/>
    <cellStyle name="Normal 9 2 3 2 3" xfId="1598" xr:uid="{36006A2C-F020-45A2-8175-335F1DC653CA}"/>
    <cellStyle name="Normal 9 2 3 2 3 2" xfId="4987" xr:uid="{25668A6D-A33A-4D14-82FA-7091C96D3F80}"/>
    <cellStyle name="Normal 9 2 3 2 3 2 2" xfId="13367" xr:uid="{965AC17A-8E4B-4963-BC45-37EEF4A2E4F2}"/>
    <cellStyle name="Normal 9 2 3 2 3 2 2 2" xfId="30127" xr:uid="{2EADCDEC-6C87-4506-9CD5-3BCF70CFE615}"/>
    <cellStyle name="Normal 9 2 3 2 3 2 2 3" xfId="46886" xr:uid="{50D7C046-F01F-445E-922F-2A002BBDA87B}"/>
    <cellStyle name="Normal 9 2 3 2 3 2 3" xfId="21747" xr:uid="{72026C4E-7850-4ACD-810B-5BCA955BEFFF}"/>
    <cellStyle name="Normal 9 2 3 2 3 2 4" xfId="38506" xr:uid="{E90C1C07-4D48-43BB-8BD7-0A47C50433F3}"/>
    <cellStyle name="Normal 9 2 3 2 3 3" xfId="6674" xr:uid="{6A96A17D-676D-47EA-9263-E1E82D845768}"/>
    <cellStyle name="Normal 9 2 3 2 3 3 2" xfId="15054" xr:uid="{DE8C2721-FE6C-478B-A95E-E41E4D0A4A31}"/>
    <cellStyle name="Normal 9 2 3 2 3 3 2 2" xfId="31814" xr:uid="{9F46C4A6-8F0B-489C-9AB0-8E0BAD54902F}"/>
    <cellStyle name="Normal 9 2 3 2 3 3 2 3" xfId="48573" xr:uid="{37F43C37-85B1-4187-B0CF-4199ADC63B37}"/>
    <cellStyle name="Normal 9 2 3 2 3 3 3" xfId="23434" xr:uid="{73A1594D-7565-400B-8502-43AA90A9B707}"/>
    <cellStyle name="Normal 9 2 3 2 3 3 4" xfId="40193" xr:uid="{25549C54-D977-4CC0-98E2-ED7B38795C9B}"/>
    <cellStyle name="Normal 9 2 3 2 3 4" xfId="3410" xr:uid="{B91E48EF-F944-4575-8B5D-032B8C28435A}"/>
    <cellStyle name="Normal 9 2 3 2 3 4 2" xfId="11790" xr:uid="{0AF8ED48-4142-4AA9-96B1-56DBAB3218D7}"/>
    <cellStyle name="Normal 9 2 3 2 3 4 2 2" xfId="28550" xr:uid="{5AAB5906-EF20-443E-868E-D8A0C9E55D92}"/>
    <cellStyle name="Normal 9 2 3 2 3 4 2 3" xfId="45309" xr:uid="{A08042F1-7AE2-48C5-8D2A-89D512839120}"/>
    <cellStyle name="Normal 9 2 3 2 3 4 3" xfId="20170" xr:uid="{0114288B-76A5-4355-AD72-242C51C5830D}"/>
    <cellStyle name="Normal 9 2 3 2 3 4 4" xfId="36929" xr:uid="{041DB408-6874-4C90-B07D-DD1F2333EBDA}"/>
    <cellStyle name="Normal 9 2 3 2 3 5" xfId="9987" xr:uid="{0BB90911-ED2A-4F6C-BE55-BFDFA94248E5}"/>
    <cellStyle name="Normal 9 2 3 2 3 5 2" xfId="26747" xr:uid="{3DCE5ACF-A36B-4F92-9FF4-5B4DFD8A4AD2}"/>
    <cellStyle name="Normal 9 2 3 2 3 5 3" xfId="43506" xr:uid="{DE666667-EDEC-4DE8-8230-E646A51B1BCC}"/>
    <cellStyle name="Normal 9 2 3 2 3 6" xfId="18367" xr:uid="{5CDD95C8-CD94-46A5-997E-F15F281FB6BF}"/>
    <cellStyle name="Normal 9 2 3 2 3 7" xfId="35126" xr:uid="{A39D33D7-287F-4957-8491-70304EA5392A}"/>
    <cellStyle name="Normal 9 2 3 2 4" xfId="1886" xr:uid="{5D6DEF4F-9BD4-4466-B677-FEF6969C1DBE}"/>
    <cellStyle name="Normal 9 2 3 2 4 2" xfId="5275" xr:uid="{C3C15694-B3E7-4716-82C4-32D29BC1627E}"/>
    <cellStyle name="Normal 9 2 3 2 4 2 2" xfId="13655" xr:uid="{576766C3-5A9B-4DAD-B3E2-411A575D1BBC}"/>
    <cellStyle name="Normal 9 2 3 2 4 2 2 2" xfId="30415" xr:uid="{BD30F576-7DEF-4418-87B3-5A012312D6B1}"/>
    <cellStyle name="Normal 9 2 3 2 4 2 2 3" xfId="47174" xr:uid="{96AE0243-A2ED-4D6A-95A9-0325FFBAD3B3}"/>
    <cellStyle name="Normal 9 2 3 2 4 2 3" xfId="22035" xr:uid="{B865E7D2-6575-40AC-BD48-C37E0DB1DE1B}"/>
    <cellStyle name="Normal 9 2 3 2 4 2 4" xfId="38794" xr:uid="{F396D54D-C57B-41E8-9326-53134AF477C6}"/>
    <cellStyle name="Normal 9 2 3 2 4 3" xfId="6962" xr:uid="{3FCEF8A5-5DEA-410B-8799-17ED653401AA}"/>
    <cellStyle name="Normal 9 2 3 2 4 3 2" xfId="15342" xr:uid="{5C06C89A-462E-4F6A-B698-B46B94AEBDE1}"/>
    <cellStyle name="Normal 9 2 3 2 4 3 2 2" xfId="32102" xr:uid="{106A7BC6-C028-4F97-BEC8-657C444EDD36}"/>
    <cellStyle name="Normal 9 2 3 2 4 3 2 3" xfId="48861" xr:uid="{8F184B34-2A3C-483B-8B74-3491847DF3C3}"/>
    <cellStyle name="Normal 9 2 3 2 4 3 3" xfId="23722" xr:uid="{02AC161B-D641-4B36-B48B-AF08E27286E7}"/>
    <cellStyle name="Normal 9 2 3 2 4 3 4" xfId="40481" xr:uid="{6BD9A2CD-7294-4A53-927B-E76A9212C8FC}"/>
    <cellStyle name="Normal 9 2 3 2 4 4" xfId="3585" xr:uid="{E5356D63-726D-4F52-A587-603A6C859614}"/>
    <cellStyle name="Normal 9 2 3 2 4 4 2" xfId="11965" xr:uid="{95C8C0E0-17E1-45F0-AD58-F155B47E3400}"/>
    <cellStyle name="Normal 9 2 3 2 4 4 2 2" xfId="28725" xr:uid="{0A255CBD-1C14-4F5E-8D23-60349E66C355}"/>
    <cellStyle name="Normal 9 2 3 2 4 4 2 3" xfId="45484" xr:uid="{FBCD366A-7E48-4A89-84A9-692A7185A5B7}"/>
    <cellStyle name="Normal 9 2 3 2 4 4 3" xfId="20345" xr:uid="{D3DDAA4B-97AA-4252-8A19-DD2ACB7F81A2}"/>
    <cellStyle name="Normal 9 2 3 2 4 4 4" xfId="37104" xr:uid="{7C15CACE-B830-484D-8478-1AE4E9302E19}"/>
    <cellStyle name="Normal 9 2 3 2 4 5" xfId="10275" xr:uid="{ECB34171-399C-41E8-8CC8-AA6ACBBC4ADE}"/>
    <cellStyle name="Normal 9 2 3 2 4 5 2" xfId="27035" xr:uid="{33E86617-911B-4A8B-858D-74AF1CE7EA2D}"/>
    <cellStyle name="Normal 9 2 3 2 4 5 3" xfId="43794" xr:uid="{DE03A07E-351F-4D76-B9C1-606D3601A226}"/>
    <cellStyle name="Normal 9 2 3 2 4 6" xfId="18655" xr:uid="{56249D14-88A4-4FE4-97A8-141F3C33CBC4}"/>
    <cellStyle name="Normal 9 2 3 2 4 7" xfId="35414" xr:uid="{AE28699B-DC13-489D-976C-646ECFEFCC7E}"/>
    <cellStyle name="Normal 9 2 3 2 5" xfId="4005" xr:uid="{71F5D95B-ADD8-42D4-8267-E0C467B65B18}"/>
    <cellStyle name="Normal 9 2 3 2 5 2" xfId="12385" xr:uid="{388AF6D1-E898-4B7C-B67A-2668FD63D837}"/>
    <cellStyle name="Normal 9 2 3 2 5 2 2" xfId="29145" xr:uid="{CA163FB8-2E30-48B9-98B5-EBDD32C27CCC}"/>
    <cellStyle name="Normal 9 2 3 2 5 2 3" xfId="45904" xr:uid="{BB2429DF-F8A0-4E5B-9BFD-4870B2A18323}"/>
    <cellStyle name="Normal 9 2 3 2 5 3" xfId="20765" xr:uid="{5C98D63A-A7B6-4024-B3B8-34BD076D3CE5}"/>
    <cellStyle name="Normal 9 2 3 2 5 4" xfId="37524" xr:uid="{4253002B-50F9-4E2F-BB8E-81165E08C11F}"/>
    <cellStyle name="Normal 9 2 3 2 6" xfId="5820" xr:uid="{FA7BB75C-7803-4950-ABA2-E84818180A29}"/>
    <cellStyle name="Normal 9 2 3 2 6 2" xfId="14200" xr:uid="{2CD0B41B-B061-40A2-840E-DBD78C3DCFEE}"/>
    <cellStyle name="Normal 9 2 3 2 6 2 2" xfId="30960" xr:uid="{3B990F6A-6A7A-4AC3-98CD-37F74D40B670}"/>
    <cellStyle name="Normal 9 2 3 2 6 2 3" xfId="47719" xr:uid="{C5F3B15E-D3D9-4771-8AF6-CAFE4A575916}"/>
    <cellStyle name="Normal 9 2 3 2 6 3" xfId="22580" xr:uid="{008244C4-DC73-41A7-8E76-4862FF41F2A2}"/>
    <cellStyle name="Normal 9 2 3 2 6 4" xfId="39339" xr:uid="{AE4233F0-8232-40A8-931B-A9A9CBB7C606}"/>
    <cellStyle name="Normal 9 2 3 2 7" xfId="7368" xr:uid="{F1524F35-0D17-4CF5-8AB7-F47227FDC1D0}"/>
    <cellStyle name="Normal 9 2 3 2 7 2" xfId="15748" xr:uid="{3FC56E52-CDA0-4584-AA0D-C2AA7CDB7005}"/>
    <cellStyle name="Normal 9 2 3 2 7 2 2" xfId="32508" xr:uid="{17E33A73-FBC3-45B5-950E-2CE45B5F0138}"/>
    <cellStyle name="Normal 9 2 3 2 7 2 3" xfId="49267" xr:uid="{813DF445-298C-419E-BFE8-3CCED2A09278}"/>
    <cellStyle name="Normal 9 2 3 2 7 3" xfId="24128" xr:uid="{EAADA61D-8DEA-4376-B813-F23DC3FD7718}"/>
    <cellStyle name="Normal 9 2 3 2 7 4" xfId="40887" xr:uid="{1A40B7CF-521A-46DA-BF38-BFC28C4BE368}"/>
    <cellStyle name="Normal 9 2 3 2 8" xfId="7774" xr:uid="{EC5899B8-E2C9-4BC5-9DF4-64A26E00401F}"/>
    <cellStyle name="Normal 9 2 3 2 8 2" xfId="16154" xr:uid="{2E0E2321-41F0-4CBC-AFB2-1A6A10B74748}"/>
    <cellStyle name="Normal 9 2 3 2 8 2 2" xfId="32914" xr:uid="{6004FC97-B641-405D-9DCF-7A41BCB3C69B}"/>
    <cellStyle name="Normal 9 2 3 2 8 2 3" xfId="49673" xr:uid="{68B4A7CF-F585-4FB8-9CBD-8D7CA857BB45}"/>
    <cellStyle name="Normal 9 2 3 2 8 3" xfId="24534" xr:uid="{515322D3-5C9B-485C-A2A2-0B2F073304BC}"/>
    <cellStyle name="Normal 9 2 3 2 8 4" xfId="41293" xr:uid="{BE487AEA-E4FF-49C6-8A08-024BC0D463AD}"/>
    <cellStyle name="Normal 9 2 3 2 9" xfId="8180" xr:uid="{44240083-BBC8-41FB-A2A2-447646AA4F54}"/>
    <cellStyle name="Normal 9 2 3 2 9 2" xfId="16560" xr:uid="{626E0849-C719-4E7B-89B8-60772D1EE2F3}"/>
    <cellStyle name="Normal 9 2 3 2 9 2 2" xfId="33320" xr:uid="{81E946C0-5B21-4CAC-9EFC-6368209B56CB}"/>
    <cellStyle name="Normal 9 2 3 2 9 2 3" xfId="50079" xr:uid="{B81721BC-890E-4572-BF1A-E46942FBB953}"/>
    <cellStyle name="Normal 9 2 3 2 9 3" xfId="24940" xr:uid="{ED1C1779-3B23-4BA2-BFA3-EF4F2F3FD11E}"/>
    <cellStyle name="Normal 9 2 3 2 9 4" xfId="41699" xr:uid="{455B1702-B38F-40F5-99A4-C0C4B543B738}"/>
    <cellStyle name="Normal 9 2 3 3" xfId="726" xr:uid="{14519A44-3BC1-413B-A0AC-1B5681226647}"/>
    <cellStyle name="Normal 9 2 3 3 10" xfId="8681" xr:uid="{2FAEAEE4-2070-45B4-8BB1-8D215D773A2E}"/>
    <cellStyle name="Normal 9 2 3 3 10 2" xfId="17061" xr:uid="{26C5AF34-0935-4BEC-81B2-52D08DCF0810}"/>
    <cellStyle name="Normal 9 2 3 3 10 2 2" xfId="33821" xr:uid="{9236FF84-EB2E-495C-9C58-795B48FA8AAC}"/>
    <cellStyle name="Normal 9 2 3 3 10 2 3" xfId="50580" xr:uid="{4D0E9AC4-88B9-4121-91FB-265013857C0C}"/>
    <cellStyle name="Normal 9 2 3 3 10 3" xfId="25441" xr:uid="{F52F4635-32DD-493C-A615-742FAE592AF1}"/>
    <cellStyle name="Normal 9 2 3 3 10 4" xfId="42200" xr:uid="{1E8D5E6B-C25D-4737-A291-8CFB78916A8F}"/>
    <cellStyle name="Normal 9 2 3 3 11" xfId="2555" xr:uid="{238B04BD-5E9A-4B79-8D38-4AA35CB25684}"/>
    <cellStyle name="Normal 9 2 3 3 11 2" xfId="10937" xr:uid="{205D07CE-78AC-4707-BED6-A6FDA8693066}"/>
    <cellStyle name="Normal 9 2 3 3 11 2 2" xfId="27697" xr:uid="{A4842718-77B2-4594-B526-3874B383D1D8}"/>
    <cellStyle name="Normal 9 2 3 3 11 2 3" xfId="44456" xr:uid="{B2812997-8D8C-4547-885C-7FB508CA7899}"/>
    <cellStyle name="Normal 9 2 3 3 11 3" xfId="19317" xr:uid="{5AFB502A-F7EB-42AA-A47B-129814EC6787}"/>
    <cellStyle name="Normal 9 2 3 3 11 4" xfId="36076" xr:uid="{3B149CD0-5AD0-40C0-BC89-D7A6EE6FB097}"/>
    <cellStyle name="Normal 9 2 3 3 12" xfId="9134" xr:uid="{C44A94D8-A00B-4F27-90A8-948CF0BEDED4}"/>
    <cellStyle name="Normal 9 2 3 3 12 2" xfId="25894" xr:uid="{B72CC95A-F028-4DEF-9483-DA03EB229F28}"/>
    <cellStyle name="Normal 9 2 3 3 12 3" xfId="42653" xr:uid="{4A140DF6-1E8D-47F1-BFD9-8CD75FCD9F2D}"/>
    <cellStyle name="Normal 9 2 3 3 13" xfId="17514" xr:uid="{80B7EF9D-1074-47BC-8722-69BB7EBBC91B}"/>
    <cellStyle name="Normal 9 2 3 3 14" xfId="34273" xr:uid="{7ADB9736-2558-434F-B67E-22915059023F}"/>
    <cellStyle name="Normal 9 2 3 3 2" xfId="1165" xr:uid="{CF00822D-EE4F-40EA-ACA8-D7BBDA1A0AFF}"/>
    <cellStyle name="Normal 9 2 3 3 2 2" xfId="4560" xr:uid="{4E0FAB1B-7303-4C4E-A488-54ABF0B637B6}"/>
    <cellStyle name="Normal 9 2 3 3 2 2 2" xfId="12940" xr:uid="{1B39A132-66C7-4189-8789-C390CA18A0F9}"/>
    <cellStyle name="Normal 9 2 3 3 2 2 2 2" xfId="29700" xr:uid="{A0547AFC-9FF0-4373-9234-083A60D6D6B9}"/>
    <cellStyle name="Normal 9 2 3 3 2 2 2 3" xfId="46459" xr:uid="{5830FECA-5262-4AF7-A110-33816EFA234B}"/>
    <cellStyle name="Normal 9 2 3 3 2 2 3" xfId="21320" xr:uid="{1EA0CF43-5023-44E2-8B8B-0FAE5885DD3A}"/>
    <cellStyle name="Normal 9 2 3 3 2 2 4" xfId="38079" xr:uid="{C828D489-1E97-4DE8-8A20-7A7EB8437196}"/>
    <cellStyle name="Normal 9 2 3 3 2 3" xfId="6247" xr:uid="{9282C553-80D7-44DA-8995-4E3E26C8E3DC}"/>
    <cellStyle name="Normal 9 2 3 3 2 3 2" xfId="14627" xr:uid="{E89E288F-5349-4542-9988-48D0876F8EF0}"/>
    <cellStyle name="Normal 9 2 3 3 2 3 2 2" xfId="31387" xr:uid="{DEF989F9-1DA5-4D46-A4AB-544C26E97409}"/>
    <cellStyle name="Normal 9 2 3 3 2 3 2 3" xfId="48146" xr:uid="{85A57E40-0426-4E49-A8EB-994C98F7F275}"/>
    <cellStyle name="Normal 9 2 3 3 2 3 3" xfId="23007" xr:uid="{1052ACCE-1246-4452-A97D-0B57C9C50EFA}"/>
    <cellStyle name="Normal 9 2 3 3 2 3 4" xfId="39766" xr:uid="{5694FA7C-E1D0-427A-A0DD-79D60AE1FEB0}"/>
    <cellStyle name="Normal 9 2 3 3 2 4" xfId="2983" xr:uid="{85D0CCE8-442B-4C4D-9480-EF3D0AFDC9B3}"/>
    <cellStyle name="Normal 9 2 3 3 2 4 2" xfId="11363" xr:uid="{D3C6EB22-CF18-4AD2-AB95-1DE383DB4DB2}"/>
    <cellStyle name="Normal 9 2 3 3 2 4 2 2" xfId="28123" xr:uid="{82AC5C2E-655E-4A4E-9514-713C864E346C}"/>
    <cellStyle name="Normal 9 2 3 3 2 4 2 3" xfId="44882" xr:uid="{E58C00A8-342D-4784-8B1A-4C4DDC1B0A79}"/>
    <cellStyle name="Normal 9 2 3 3 2 4 3" xfId="19743" xr:uid="{70A19F8D-E90B-4726-A091-94808A7751F0}"/>
    <cellStyle name="Normal 9 2 3 3 2 4 4" xfId="36502" xr:uid="{6B4A86FB-E8B3-4A10-A55E-7D3497304C30}"/>
    <cellStyle name="Normal 9 2 3 3 2 5" xfId="9560" xr:uid="{4CF219F4-53DC-4AC6-809F-EC8B90FC2866}"/>
    <cellStyle name="Normal 9 2 3 3 2 5 2" xfId="26320" xr:uid="{C7096ED7-4C7A-4F5D-8C09-F1336B189978}"/>
    <cellStyle name="Normal 9 2 3 3 2 5 3" xfId="43079" xr:uid="{2E23B72E-E0B2-43D3-86BA-9D2CC270FB8D}"/>
    <cellStyle name="Normal 9 2 3 3 2 6" xfId="17940" xr:uid="{551E8C76-76F7-4982-B6EF-45D3066EEA63}"/>
    <cellStyle name="Normal 9 2 3 3 2 7" xfId="34699" xr:uid="{F9E0B520-D1F4-42EB-93EC-F5BD81EA4736}"/>
    <cellStyle name="Normal 9 2 3 3 3" xfId="1599" xr:uid="{2C8539F4-0D27-41F9-AF1D-B15254F6848E}"/>
    <cellStyle name="Normal 9 2 3 3 3 2" xfId="4988" xr:uid="{003002FB-4D6A-48B9-9054-09AB036B67A5}"/>
    <cellStyle name="Normal 9 2 3 3 3 2 2" xfId="13368" xr:uid="{2523CA7C-2F18-42BE-B930-5B2607701A84}"/>
    <cellStyle name="Normal 9 2 3 3 3 2 2 2" xfId="30128" xr:uid="{1D259D2B-7075-41AF-9629-19133AF44C8E}"/>
    <cellStyle name="Normal 9 2 3 3 3 2 2 3" xfId="46887" xr:uid="{74DAFEEB-89F1-4537-A017-B7B8AB042F67}"/>
    <cellStyle name="Normal 9 2 3 3 3 2 3" xfId="21748" xr:uid="{642D9F23-186A-4E07-B9FF-D615F42ED71D}"/>
    <cellStyle name="Normal 9 2 3 3 3 2 4" xfId="38507" xr:uid="{907884AD-9DA9-467E-8990-FBD67161D485}"/>
    <cellStyle name="Normal 9 2 3 3 3 3" xfId="6675" xr:uid="{DF19ACA9-3057-4C50-8DC3-738F77B3528B}"/>
    <cellStyle name="Normal 9 2 3 3 3 3 2" xfId="15055" xr:uid="{1567C8AB-A917-4DFD-8B98-54FC88ED7031}"/>
    <cellStyle name="Normal 9 2 3 3 3 3 2 2" xfId="31815" xr:uid="{291DBB0D-4ED5-4D27-A15C-7D17FEF3C18B}"/>
    <cellStyle name="Normal 9 2 3 3 3 3 2 3" xfId="48574" xr:uid="{23375CDF-9F23-4BA2-B9DA-F449EEEBEB0A}"/>
    <cellStyle name="Normal 9 2 3 3 3 3 3" xfId="23435" xr:uid="{6B87A168-2DE0-476B-942A-29BD36738AEA}"/>
    <cellStyle name="Normal 9 2 3 3 3 3 4" xfId="40194" xr:uid="{F1407594-0267-4E21-B287-EB9AB90579F5}"/>
    <cellStyle name="Normal 9 2 3 3 3 4" xfId="3411" xr:uid="{C6DEE949-B1FA-409F-A8EF-28BEFD4C3F47}"/>
    <cellStyle name="Normal 9 2 3 3 3 4 2" xfId="11791" xr:uid="{2BD646F3-489A-4803-AC0C-BA55436F2445}"/>
    <cellStyle name="Normal 9 2 3 3 3 4 2 2" xfId="28551" xr:uid="{65C296B8-785F-43A1-A0A7-7AA51DBF8136}"/>
    <cellStyle name="Normal 9 2 3 3 3 4 2 3" xfId="45310" xr:uid="{FA558DD1-8185-4ABA-B0FB-8F047586D2B8}"/>
    <cellStyle name="Normal 9 2 3 3 3 4 3" xfId="20171" xr:uid="{7DF8BD00-92C2-4342-83B4-802843DEE1A6}"/>
    <cellStyle name="Normal 9 2 3 3 3 4 4" xfId="36930" xr:uid="{008A8D28-26E0-4F5B-954C-2004B1EE6940}"/>
    <cellStyle name="Normal 9 2 3 3 3 5" xfId="9988" xr:uid="{D3E4AEB2-193D-4DA9-B536-3DEBEEE1A8C6}"/>
    <cellStyle name="Normal 9 2 3 3 3 5 2" xfId="26748" xr:uid="{A7DB7BE6-9A59-4810-84B7-CAFA146D9FBE}"/>
    <cellStyle name="Normal 9 2 3 3 3 5 3" xfId="43507" xr:uid="{DCF9F24C-5EAF-4DE6-96CB-5D2121293516}"/>
    <cellStyle name="Normal 9 2 3 3 3 6" xfId="18368" xr:uid="{B865A6CD-7F84-48E5-93A5-492665A9DC44}"/>
    <cellStyle name="Normal 9 2 3 3 3 7" xfId="35127" xr:uid="{EE3A5574-9A7C-498D-9323-F7ABC7FC02E4}"/>
    <cellStyle name="Normal 9 2 3 3 4" xfId="1981" xr:uid="{C6767041-4B89-46F8-A7D5-F9AE36DDDA16}"/>
    <cellStyle name="Normal 9 2 3 3 4 2" xfId="5370" xr:uid="{C4281A3B-58AB-4A2E-B11B-29D3A924AB2C}"/>
    <cellStyle name="Normal 9 2 3 3 4 2 2" xfId="13750" xr:uid="{27B28B67-F2D8-45B0-A07F-4653D816BF1C}"/>
    <cellStyle name="Normal 9 2 3 3 4 2 2 2" xfId="30510" xr:uid="{A8ACC532-F12D-4342-AB6A-BF547A03029F}"/>
    <cellStyle name="Normal 9 2 3 3 4 2 2 3" xfId="47269" xr:uid="{8E51E251-DC35-4CD6-9117-B86C1A41C6FA}"/>
    <cellStyle name="Normal 9 2 3 3 4 2 3" xfId="22130" xr:uid="{A5F26F56-E8D6-404B-9707-1A087DE7A7AA}"/>
    <cellStyle name="Normal 9 2 3 3 4 2 4" xfId="38889" xr:uid="{9A6CF2AF-E643-4621-8938-5D7BF35A577C}"/>
    <cellStyle name="Normal 9 2 3 3 4 3" xfId="7057" xr:uid="{E895AF40-D413-4CC2-8EB8-0A411A159E5C}"/>
    <cellStyle name="Normal 9 2 3 3 4 3 2" xfId="15437" xr:uid="{342B58F9-BBA4-430F-B5D4-C338E14DE7E4}"/>
    <cellStyle name="Normal 9 2 3 3 4 3 2 2" xfId="32197" xr:uid="{8660EFE0-55F5-42EC-B564-B8675988D89B}"/>
    <cellStyle name="Normal 9 2 3 3 4 3 2 3" xfId="48956" xr:uid="{D76186AD-B2F5-402C-B422-93E8801AAF48}"/>
    <cellStyle name="Normal 9 2 3 3 4 3 3" xfId="23817" xr:uid="{17F74BA1-85BE-47FC-A95C-19B5BAFFFA1A}"/>
    <cellStyle name="Normal 9 2 3 3 4 3 4" xfId="40576" xr:uid="{779E3093-52B7-4890-806E-E7944CD8350E}"/>
    <cellStyle name="Normal 9 2 3 3 4 4" xfId="3680" xr:uid="{C50ADFD2-D8B1-4D17-854E-7CC2866DF2F6}"/>
    <cellStyle name="Normal 9 2 3 3 4 4 2" xfId="12060" xr:uid="{4688DB13-1A97-413F-9939-2DDD919C3DCE}"/>
    <cellStyle name="Normal 9 2 3 3 4 4 2 2" xfId="28820" xr:uid="{C95BE62F-7414-4F43-8BF6-460D39A3EA0D}"/>
    <cellStyle name="Normal 9 2 3 3 4 4 2 3" xfId="45579" xr:uid="{8A88026E-864E-4031-81CC-0178D6C8E8E8}"/>
    <cellStyle name="Normal 9 2 3 3 4 4 3" xfId="20440" xr:uid="{128344AC-D034-4B2A-B1C3-F5F86A43621F}"/>
    <cellStyle name="Normal 9 2 3 3 4 4 4" xfId="37199" xr:uid="{0BE0430D-F2D8-4779-9548-64ED024611C2}"/>
    <cellStyle name="Normal 9 2 3 3 4 5" xfId="10370" xr:uid="{FF0E0B16-55F4-47D1-8FA8-19C3C7BC9ABF}"/>
    <cellStyle name="Normal 9 2 3 3 4 5 2" xfId="27130" xr:uid="{972CE9E2-0289-4FCD-835C-1A4F3857BB52}"/>
    <cellStyle name="Normal 9 2 3 3 4 5 3" xfId="43889" xr:uid="{40AB17A0-1CFA-4A64-AAF2-DE340C03E7AF}"/>
    <cellStyle name="Normal 9 2 3 3 4 6" xfId="18750" xr:uid="{67B5EDAF-B82B-4F17-865C-F2685B2137B0}"/>
    <cellStyle name="Normal 9 2 3 3 4 7" xfId="35509" xr:uid="{6BEF5BF3-1285-44AD-8AB9-624B4A080D8F}"/>
    <cellStyle name="Normal 9 2 3 3 5" xfId="4100" xr:uid="{420748B4-473C-427A-9857-73F98FBE0C76}"/>
    <cellStyle name="Normal 9 2 3 3 5 2" xfId="12480" xr:uid="{88B41019-6C06-43C1-97F2-9671EA7BC0AD}"/>
    <cellStyle name="Normal 9 2 3 3 5 2 2" xfId="29240" xr:uid="{005F1FDB-8B6E-4469-BCE8-80ADFF88D36B}"/>
    <cellStyle name="Normal 9 2 3 3 5 2 3" xfId="45999" xr:uid="{603683CB-A160-42E4-8330-6ED7B5163784}"/>
    <cellStyle name="Normal 9 2 3 3 5 3" xfId="20860" xr:uid="{ACBFDC68-FF2D-4F1E-8BC2-D0C3438CF14F}"/>
    <cellStyle name="Normal 9 2 3 3 5 4" xfId="37619" xr:uid="{A776724D-75A9-4C04-AD5D-831CCF34C8B9}"/>
    <cellStyle name="Normal 9 2 3 3 6" xfId="5821" xr:uid="{FC3AB770-D38F-4766-AEB0-24141192C01A}"/>
    <cellStyle name="Normal 9 2 3 3 6 2" xfId="14201" xr:uid="{7DCBF4FF-3293-48D2-8F0F-4C574EA59BAB}"/>
    <cellStyle name="Normal 9 2 3 3 6 2 2" xfId="30961" xr:uid="{0C80D845-2256-44F1-BFCB-A08F3BEA3109}"/>
    <cellStyle name="Normal 9 2 3 3 6 2 3" xfId="47720" xr:uid="{44F32189-2431-4213-AF04-BD9EF263A671}"/>
    <cellStyle name="Normal 9 2 3 3 6 3" xfId="22581" xr:uid="{4A912C1C-5A20-4AC9-8267-5FFB482C43AD}"/>
    <cellStyle name="Normal 9 2 3 3 6 4" xfId="39340" xr:uid="{9EC1223E-4D1C-4913-9880-B2E332EF0582}"/>
    <cellStyle name="Normal 9 2 3 3 7" xfId="7463" xr:uid="{68BED67E-A79C-46C5-9E0D-2FD83D8550D5}"/>
    <cellStyle name="Normal 9 2 3 3 7 2" xfId="15843" xr:uid="{851FD691-6EE3-4774-8E8D-6D5A7B94F1BF}"/>
    <cellStyle name="Normal 9 2 3 3 7 2 2" xfId="32603" xr:uid="{BAF50048-15DB-4E65-82DD-48AC441552DC}"/>
    <cellStyle name="Normal 9 2 3 3 7 2 3" xfId="49362" xr:uid="{2C6764D5-7F77-4544-9E7C-07A5DE77A8BC}"/>
    <cellStyle name="Normal 9 2 3 3 7 3" xfId="24223" xr:uid="{586F1CA4-E80F-430C-99AD-45D3179CD681}"/>
    <cellStyle name="Normal 9 2 3 3 7 4" xfId="40982" xr:uid="{ED74925F-F33F-436B-A2C0-3C2E440DF602}"/>
    <cellStyle name="Normal 9 2 3 3 8" xfId="7869" xr:uid="{68C7AF4D-F853-4171-A661-6881285B1C07}"/>
    <cellStyle name="Normal 9 2 3 3 8 2" xfId="16249" xr:uid="{24CDA839-2571-48B0-B2DA-A4AD8C4559D2}"/>
    <cellStyle name="Normal 9 2 3 3 8 2 2" xfId="33009" xr:uid="{67FBB788-007F-4223-92C7-385209CE6762}"/>
    <cellStyle name="Normal 9 2 3 3 8 2 3" xfId="49768" xr:uid="{A171CD6F-5BAC-47DD-BD75-C3A35E257666}"/>
    <cellStyle name="Normal 9 2 3 3 8 3" xfId="24629" xr:uid="{34FA00D6-AE3E-4E8D-BFCD-FBE29BD7CCE3}"/>
    <cellStyle name="Normal 9 2 3 3 8 4" xfId="41388" xr:uid="{A2464054-9288-4D27-8B1E-579A69D0E899}"/>
    <cellStyle name="Normal 9 2 3 3 9" xfId="8275" xr:uid="{9740457C-8F1C-4888-BF8B-09CAB6ADAE25}"/>
    <cellStyle name="Normal 9 2 3 3 9 2" xfId="16655" xr:uid="{19186608-5DC6-4DB0-8C03-C185B4CC2EED}"/>
    <cellStyle name="Normal 9 2 3 3 9 2 2" xfId="33415" xr:uid="{893B07D6-E6C2-4B1A-8136-3C22956E62ED}"/>
    <cellStyle name="Normal 9 2 3 3 9 2 3" xfId="50174" xr:uid="{45AD55E0-1045-4B34-ABEA-E4706E3DB9CC}"/>
    <cellStyle name="Normal 9 2 3 3 9 3" xfId="25035" xr:uid="{6F9C22B9-19F5-4D6C-9549-A6240C1D76B3}"/>
    <cellStyle name="Normal 9 2 3 3 9 4" xfId="41794" xr:uid="{6D039C1D-B1F6-4916-BF29-E1862BD12ED5}"/>
    <cellStyle name="Normal 9 2 3 4" xfId="850" xr:uid="{2E20AA0E-2D6E-433D-A175-75F2E58F99DE}"/>
    <cellStyle name="Normal 9 2 3 4 2" xfId="4245" xr:uid="{5E6C62B4-4AAC-4A85-98C4-BDE751D70826}"/>
    <cellStyle name="Normal 9 2 3 4 2 2" xfId="12625" xr:uid="{CD505784-6D54-4789-AABE-39D8F41A720E}"/>
    <cellStyle name="Normal 9 2 3 4 2 2 2" xfId="29385" xr:uid="{64BACF1B-4063-4A84-B963-5307B145BF10}"/>
    <cellStyle name="Normal 9 2 3 4 2 2 3" xfId="46144" xr:uid="{2CA4F76C-929E-4161-9686-25B5677D5AA2}"/>
    <cellStyle name="Normal 9 2 3 4 2 3" xfId="21005" xr:uid="{F42B815B-497F-41A7-AA12-E74D7303755A}"/>
    <cellStyle name="Normal 9 2 3 4 2 4" xfId="37764" xr:uid="{245829E7-003A-4B19-AAD2-23CEA0D3CE05}"/>
    <cellStyle name="Normal 9 2 3 4 3" xfId="5932" xr:uid="{5987A48C-8B3C-4DD5-98B7-68819F67826D}"/>
    <cellStyle name="Normal 9 2 3 4 3 2" xfId="14312" xr:uid="{E7040D4A-8047-41B6-98A8-B3ABEC964E60}"/>
    <cellStyle name="Normal 9 2 3 4 3 2 2" xfId="31072" xr:uid="{3739DB8B-3166-4908-8C2B-83807BEC37B5}"/>
    <cellStyle name="Normal 9 2 3 4 3 2 3" xfId="47831" xr:uid="{6A751CEF-1801-4D42-B2A8-F938B2A220FB}"/>
    <cellStyle name="Normal 9 2 3 4 3 3" xfId="22692" xr:uid="{4BF11F81-99A6-4451-8B3E-E0609AEFB08C}"/>
    <cellStyle name="Normal 9 2 3 4 3 4" xfId="39451" xr:uid="{CDA19018-E03D-4052-A729-A110FA451762}"/>
    <cellStyle name="Normal 9 2 3 4 4" xfId="2668" xr:uid="{35D336AB-1036-4F8C-9A78-789BF7364733}"/>
    <cellStyle name="Normal 9 2 3 4 4 2" xfId="11048" xr:uid="{2FD3C813-A3BD-4D17-AB9A-AACE9557A6E5}"/>
    <cellStyle name="Normal 9 2 3 4 4 2 2" xfId="27808" xr:uid="{86969D52-FB29-45BD-9D90-961FD7DCA68A}"/>
    <cellStyle name="Normal 9 2 3 4 4 2 3" xfId="44567" xr:uid="{E9DFFBBE-D419-4312-AC46-1E758215C77E}"/>
    <cellStyle name="Normal 9 2 3 4 4 3" xfId="19428" xr:uid="{AD5B3F58-8F4D-4D9E-AD59-9AAC1EBD9FDA}"/>
    <cellStyle name="Normal 9 2 3 4 4 4" xfId="36187" xr:uid="{94E73443-06B4-4CD6-AE40-89CFE4226154}"/>
    <cellStyle name="Normal 9 2 3 4 5" xfId="9245" xr:uid="{32AC3E72-26B9-4188-A48C-FBCBCFF0DD8B}"/>
    <cellStyle name="Normal 9 2 3 4 5 2" xfId="26005" xr:uid="{D101BD8D-46D5-4216-B77A-9E1510A13CA1}"/>
    <cellStyle name="Normal 9 2 3 4 5 3" xfId="42764" xr:uid="{A0C36AC5-9C34-4AD3-BBB5-D360D96A814E}"/>
    <cellStyle name="Normal 9 2 3 4 6" xfId="17625" xr:uid="{D50B63B8-45C1-4EDD-92C1-5A6B65C68BFC}"/>
    <cellStyle name="Normal 9 2 3 4 7" xfId="34384" xr:uid="{BFB7F144-F3AC-42DA-90DD-A7EC02FDDB3D}"/>
    <cellStyle name="Normal 9 2 3 5" xfId="1284" xr:uid="{AC3F2847-BA47-4302-94EF-341068316673}"/>
    <cellStyle name="Normal 9 2 3 5 2" xfId="4673" xr:uid="{994AFF87-EF23-4EA1-B464-99E048F7CF10}"/>
    <cellStyle name="Normal 9 2 3 5 2 2" xfId="13053" xr:uid="{031E9D76-AF4A-4AE9-A13D-AB7E8822367F}"/>
    <cellStyle name="Normal 9 2 3 5 2 2 2" xfId="29813" xr:uid="{3005D084-8E01-4FB7-978E-42885D5CB806}"/>
    <cellStyle name="Normal 9 2 3 5 2 2 3" xfId="46572" xr:uid="{A72687F2-4F06-41B5-BE09-3D77B87D48E2}"/>
    <cellStyle name="Normal 9 2 3 5 2 3" xfId="21433" xr:uid="{CECDCB19-0DF0-46CF-A45A-D6EE7971D3FB}"/>
    <cellStyle name="Normal 9 2 3 5 2 4" xfId="38192" xr:uid="{9E02CF7E-5876-4405-A34E-C3EFB5E23705}"/>
    <cellStyle name="Normal 9 2 3 5 3" xfId="6360" xr:uid="{63B9561D-A1EF-4793-B9D8-AA0AA4951659}"/>
    <cellStyle name="Normal 9 2 3 5 3 2" xfId="14740" xr:uid="{2E0FBA98-14FF-4A82-A0B5-B48FE33C6C50}"/>
    <cellStyle name="Normal 9 2 3 5 3 2 2" xfId="31500" xr:uid="{B38F5D2A-CBA0-4FB1-A6A7-669964F4923C}"/>
    <cellStyle name="Normal 9 2 3 5 3 2 3" xfId="48259" xr:uid="{2DF700E7-8047-448A-880E-567D958D35C7}"/>
    <cellStyle name="Normal 9 2 3 5 3 3" xfId="23120" xr:uid="{5AC84A49-0AA1-432B-9F0C-2BEECFA8E108}"/>
    <cellStyle name="Normal 9 2 3 5 3 4" xfId="39879" xr:uid="{3C7572A0-F3A4-4014-9E04-489303BA0F5D}"/>
    <cellStyle name="Normal 9 2 3 5 4" xfId="3096" xr:uid="{D17F53EF-B7C0-4940-9921-1CCA25B0630B}"/>
    <cellStyle name="Normal 9 2 3 5 4 2" xfId="11476" xr:uid="{8440E703-7F61-4F71-B9A1-61877B7D0470}"/>
    <cellStyle name="Normal 9 2 3 5 4 2 2" xfId="28236" xr:uid="{5F99CCB8-CB8B-4B4F-B8E3-803E0C6AD9E6}"/>
    <cellStyle name="Normal 9 2 3 5 4 2 3" xfId="44995" xr:uid="{869D0128-71D6-4549-98A6-133BE8331FC2}"/>
    <cellStyle name="Normal 9 2 3 5 4 3" xfId="19856" xr:uid="{93458010-914A-471A-9492-C8AB27694DF9}"/>
    <cellStyle name="Normal 9 2 3 5 4 4" xfId="36615" xr:uid="{2F34E3E7-5DC8-4073-8B8F-9DA15BBC9624}"/>
    <cellStyle name="Normal 9 2 3 5 5" xfId="9673" xr:uid="{51C1A8A8-E898-478E-A4F3-6FE916BB0D6C}"/>
    <cellStyle name="Normal 9 2 3 5 5 2" xfId="26433" xr:uid="{17259BB2-D2AC-4D07-989B-966C04C35ACE}"/>
    <cellStyle name="Normal 9 2 3 5 5 3" xfId="43192" xr:uid="{608918FB-B454-4746-9D01-77A762926289}"/>
    <cellStyle name="Normal 9 2 3 5 6" xfId="18053" xr:uid="{0571F0E3-0443-4557-A212-44EE1C61EDB8}"/>
    <cellStyle name="Normal 9 2 3 5 7" xfId="34812" xr:uid="{120D16B4-FA19-4DA0-8D48-A05F79CDE7C7}"/>
    <cellStyle name="Normal 9 2 3 6" xfId="1710" xr:uid="{75E56A71-4A2A-43D7-BFB4-FE8E3EDDAFA6}"/>
    <cellStyle name="Normal 9 2 3 6 2" xfId="5099" xr:uid="{5870BCD3-3442-4055-9BD7-B63B77A8EFC4}"/>
    <cellStyle name="Normal 9 2 3 6 2 2" xfId="13479" xr:uid="{DE993C9E-B782-4112-A224-EEC630E76315}"/>
    <cellStyle name="Normal 9 2 3 6 2 2 2" xfId="30239" xr:uid="{30878153-4F2E-4A7B-A470-D6A11CCEB821}"/>
    <cellStyle name="Normal 9 2 3 6 2 2 3" xfId="46998" xr:uid="{8F338FFB-FD60-4DAA-9FEB-622030448EEC}"/>
    <cellStyle name="Normal 9 2 3 6 2 3" xfId="21859" xr:uid="{FB706553-BC14-4345-A5E2-FD116DD14E26}"/>
    <cellStyle name="Normal 9 2 3 6 2 4" xfId="38618" xr:uid="{FB2950EE-5155-4D3B-9BD1-40D2E207ADA2}"/>
    <cellStyle name="Normal 9 2 3 6 3" xfId="6786" xr:uid="{AD3005F6-0586-478C-8FA5-14D13805687A}"/>
    <cellStyle name="Normal 9 2 3 6 3 2" xfId="15166" xr:uid="{6679AFDD-8220-408C-A061-6E2BFC0E46B1}"/>
    <cellStyle name="Normal 9 2 3 6 3 2 2" xfId="31926" xr:uid="{09DA681A-16EC-4872-8825-34A4A981A0ED}"/>
    <cellStyle name="Normal 9 2 3 6 3 2 3" xfId="48685" xr:uid="{77326D68-25FD-493C-922E-682C16B85AC8}"/>
    <cellStyle name="Normal 9 2 3 6 3 3" xfId="23546" xr:uid="{EEAE2671-2719-4016-ADB0-95C775BE8987}"/>
    <cellStyle name="Normal 9 2 3 6 3 4" xfId="40305" xr:uid="{A423F75F-07E1-46AD-B1CB-3C283CE725B8}"/>
    <cellStyle name="Normal 9 2 3 6 4" xfId="2238" xr:uid="{E9FFD276-AED5-49C8-BD6F-C026C425066A}"/>
    <cellStyle name="Normal 9 2 3 6 4 2" xfId="10622" xr:uid="{4980895D-EF80-4291-AB12-86DF027B8E32}"/>
    <cellStyle name="Normal 9 2 3 6 4 2 2" xfId="27382" xr:uid="{A38B2393-122D-46D6-AB23-B907DC3FF359}"/>
    <cellStyle name="Normal 9 2 3 6 4 2 3" xfId="44141" xr:uid="{D26E2E31-ED77-426E-A8DD-8901A3A9F080}"/>
    <cellStyle name="Normal 9 2 3 6 4 3" xfId="19002" xr:uid="{C7218074-E0C3-401C-8766-19013CB53D49}"/>
    <cellStyle name="Normal 9 2 3 6 4 4" xfId="35761" xr:uid="{75206141-3A14-4DA1-B757-C69D295FB532}"/>
    <cellStyle name="Normal 9 2 3 6 5" xfId="10099" xr:uid="{3782E868-3EF1-4F3F-ACE7-CD6E3AFDC91A}"/>
    <cellStyle name="Normal 9 2 3 6 5 2" xfId="26859" xr:uid="{806D1D0F-D914-47AF-8409-A16A940E6D41}"/>
    <cellStyle name="Normal 9 2 3 6 5 3" xfId="43618" xr:uid="{F1CD7291-44CD-4769-936A-EF52F1CD89DC}"/>
    <cellStyle name="Normal 9 2 3 6 6" xfId="18479" xr:uid="{2B045249-1036-4360-A981-1C77F771C988}"/>
    <cellStyle name="Normal 9 2 3 6 7" xfId="35238" xr:uid="{2F47B5CE-075B-4363-853F-8E36C0033F74}"/>
    <cellStyle name="Normal 9 2 3 7" xfId="3828" xr:uid="{108AF28D-39D4-412F-89E0-AE27448B4B07}"/>
    <cellStyle name="Normal 9 2 3 7 2" xfId="12208" xr:uid="{77013876-3643-49A2-9552-0B5CFF548B7B}"/>
    <cellStyle name="Normal 9 2 3 7 2 2" xfId="28968" xr:uid="{34872DE3-6BCC-4347-8334-8E4BCF8046B0}"/>
    <cellStyle name="Normal 9 2 3 7 2 3" xfId="45727" xr:uid="{15240212-BCCF-4ABD-8802-F7F9C42CA50A}"/>
    <cellStyle name="Normal 9 2 3 7 3" xfId="20588" xr:uid="{43030745-3A13-4296-ACE2-68F30ACADDEF}"/>
    <cellStyle name="Normal 9 2 3 7 4" xfId="37347" xr:uid="{6B2D3664-F82B-44D4-84E5-D7A344F9D046}"/>
    <cellStyle name="Normal 9 2 3 8" xfId="5506" xr:uid="{ED5A2F0E-DD8E-439E-AA56-3A618A02414B}"/>
    <cellStyle name="Normal 9 2 3 8 2" xfId="13886" xr:uid="{95089ECB-EEE2-49AF-8CA1-05539359F9CE}"/>
    <cellStyle name="Normal 9 2 3 8 2 2" xfId="30646" xr:uid="{A355B068-75DF-40D3-9D95-6852F583BE5E}"/>
    <cellStyle name="Normal 9 2 3 8 2 3" xfId="47405" xr:uid="{938D1663-7632-4B5A-9C53-A2926F91E9E4}"/>
    <cellStyle name="Normal 9 2 3 8 3" xfId="22266" xr:uid="{216DE29E-AB4D-460C-B4CC-C39342A12929}"/>
    <cellStyle name="Normal 9 2 3 8 4" xfId="39025" xr:uid="{B4FD425B-072B-4CD1-B1ED-85582E7AEBA9}"/>
    <cellStyle name="Normal 9 2 3 9" xfId="7192" xr:uid="{5A44F645-6A66-4FA3-A26E-DF68D8609E9E}"/>
    <cellStyle name="Normal 9 2 3 9 2" xfId="15572" xr:uid="{04D639EF-5AF9-4D92-A116-757E47B5D775}"/>
    <cellStyle name="Normal 9 2 3 9 2 2" xfId="32332" xr:uid="{E5C450A9-4E72-47D5-B71C-94C537F1D4E7}"/>
    <cellStyle name="Normal 9 2 3 9 2 3" xfId="49091" xr:uid="{EC93D983-D5D5-406B-99D3-B7C5E9DCD0F5}"/>
    <cellStyle name="Normal 9 2 3 9 3" xfId="23952" xr:uid="{F7ED8AF5-2B91-4E22-9328-6BF9453DD0DF}"/>
    <cellStyle name="Normal 9 2 3 9 4" xfId="40711" xr:uid="{77921A3C-4C61-4ABB-B959-0DDA2DFBF69D}"/>
    <cellStyle name="Normal 9 2 4" xfId="727" xr:uid="{DA1C7E51-BDA8-4BC4-8262-3D5AB6910E6C}"/>
    <cellStyle name="Normal 9 2 4 10" xfId="7599" xr:uid="{5A1F09DF-33F7-4FFC-829A-D558F0DD2B35}"/>
    <cellStyle name="Normal 9 2 4 10 2" xfId="15979" xr:uid="{38B5BB7D-A311-49C6-A24A-BFA3C00F23DB}"/>
    <cellStyle name="Normal 9 2 4 10 2 2" xfId="32739" xr:uid="{9A0BFFE8-9FF5-4086-84C4-16D0AB0012E5}"/>
    <cellStyle name="Normal 9 2 4 10 2 3" xfId="49498" xr:uid="{935DE695-FF09-4456-BAED-59473C532B28}"/>
    <cellStyle name="Normal 9 2 4 10 3" xfId="24359" xr:uid="{C8CDD8EF-3242-4251-B73E-6FFE0B66423F}"/>
    <cellStyle name="Normal 9 2 4 10 4" xfId="41118" xr:uid="{9DFD7E96-E27B-4016-BA6C-818C0C9F8DDE}"/>
    <cellStyle name="Normal 9 2 4 11" xfId="8005" xr:uid="{031691B0-B7DF-405D-AEA1-829226A2275D}"/>
    <cellStyle name="Normal 9 2 4 11 2" xfId="16385" xr:uid="{D6FB29FE-9739-49DD-AA48-50D793240732}"/>
    <cellStyle name="Normal 9 2 4 11 2 2" xfId="33145" xr:uid="{18E9D9B4-8C75-4A6A-8CE2-DA3DE81332B8}"/>
    <cellStyle name="Normal 9 2 4 11 2 3" xfId="49904" xr:uid="{945FB104-5FC7-41CE-B231-19C4FA725B82}"/>
    <cellStyle name="Normal 9 2 4 11 3" xfId="24765" xr:uid="{1C6D87AF-BE5C-4668-8C05-6C4EB0BB6B48}"/>
    <cellStyle name="Normal 9 2 4 11 4" xfId="41524" xr:uid="{5E854357-5ED8-4111-A994-02ACE374A2C8}"/>
    <cellStyle name="Normal 9 2 4 12" xfId="8411" xr:uid="{45DFA0BA-38E5-4C97-8788-2347A0A206E5}"/>
    <cellStyle name="Normal 9 2 4 12 2" xfId="16791" xr:uid="{D1EB73D6-3648-4A99-B43E-0A8AC8F9B944}"/>
    <cellStyle name="Normal 9 2 4 12 2 2" xfId="33551" xr:uid="{B498584A-844C-451C-A14D-2FB310B080D4}"/>
    <cellStyle name="Normal 9 2 4 12 2 3" xfId="50310" xr:uid="{8C347D43-F9FC-437F-91F9-36D2358134FB}"/>
    <cellStyle name="Normal 9 2 4 12 3" xfId="25171" xr:uid="{80BF131F-0D2C-46E6-B110-F7AD2B54686A}"/>
    <cellStyle name="Normal 9 2 4 12 4" xfId="41930" xr:uid="{14567535-D9EA-4B2C-9F26-D629B6986755}"/>
    <cellStyle name="Normal 9 2 4 13" xfId="2111" xr:uid="{60B3665D-F813-4638-A3F4-F9D7E727809C}"/>
    <cellStyle name="Normal 9 2 4 13 2" xfId="10499" xr:uid="{3C0B3D75-DE5B-4F1F-9F07-88155539083D}"/>
    <cellStyle name="Normal 9 2 4 13 2 2" xfId="27259" xr:uid="{0FD0F5DE-CFC4-4441-AB5D-7E705F0B0CB0}"/>
    <cellStyle name="Normal 9 2 4 13 2 3" xfId="44018" xr:uid="{AEBA11C7-CA20-441F-A917-67D2BEC238AF}"/>
    <cellStyle name="Normal 9 2 4 13 3" xfId="18879" xr:uid="{B2A1AA2C-A8F0-4B7C-9003-EA181F90B4EF}"/>
    <cellStyle name="Normal 9 2 4 13 4" xfId="35638" xr:uid="{A7325746-DE73-4BD5-93E3-4E0426DD51B7}"/>
    <cellStyle name="Normal 9 2 4 14" xfId="9135" xr:uid="{4546C27E-0848-4E8C-967D-2E0CD773FAB5}"/>
    <cellStyle name="Normal 9 2 4 14 2" xfId="25895" xr:uid="{858A126E-409C-46A5-A820-E4380EF75B27}"/>
    <cellStyle name="Normal 9 2 4 14 3" xfId="42654" xr:uid="{55D1E226-DE05-4615-8F0F-6A5378BD0B93}"/>
    <cellStyle name="Normal 9 2 4 15" xfId="17515" xr:uid="{977D8845-1023-43A4-997E-2FE7FFBF74D0}"/>
    <cellStyle name="Normal 9 2 4 16" xfId="34274" xr:uid="{BDED9997-99D6-4F7C-9839-87D65DF3ED4B}"/>
    <cellStyle name="Normal 9 2 4 2" xfId="728" xr:uid="{AB70663C-5656-455C-829B-9FC075940FD8}"/>
    <cellStyle name="Normal 9 2 4 2 10" xfId="8587" xr:uid="{68624D0A-DDC7-4DFE-A893-BD28CD773BDD}"/>
    <cellStyle name="Normal 9 2 4 2 10 2" xfId="16967" xr:uid="{1752BCB9-12A9-4F91-9440-436B7AC608A8}"/>
    <cellStyle name="Normal 9 2 4 2 10 2 2" xfId="33727" xr:uid="{497D0C71-7C69-4610-9066-C4A6038235D7}"/>
    <cellStyle name="Normal 9 2 4 2 10 2 3" xfId="50486" xr:uid="{F112DF48-8010-48A0-8B3E-38E5B25EE97C}"/>
    <cellStyle name="Normal 9 2 4 2 10 3" xfId="25347" xr:uid="{F0397E30-F33C-4286-96CB-15C8901B28AA}"/>
    <cellStyle name="Normal 9 2 4 2 10 4" xfId="42106" xr:uid="{F0BC1561-C61F-45FD-96EA-5C77F54FC750}"/>
    <cellStyle name="Normal 9 2 4 2 11" xfId="2557" xr:uid="{461A4A88-3246-45D1-8307-1D416151B640}"/>
    <cellStyle name="Normal 9 2 4 2 11 2" xfId="10939" xr:uid="{DC3BADC6-07EF-43E1-A2D7-4967EF1002FD}"/>
    <cellStyle name="Normal 9 2 4 2 11 2 2" xfId="27699" xr:uid="{48715310-EA3B-425C-8287-C47E5E95083A}"/>
    <cellStyle name="Normal 9 2 4 2 11 2 3" xfId="44458" xr:uid="{3D4442BF-7741-4ADB-9BB9-5C304B5FFE74}"/>
    <cellStyle name="Normal 9 2 4 2 11 3" xfId="19319" xr:uid="{1F52B57F-D219-4F6A-BCE1-3978DB3ABEDC}"/>
    <cellStyle name="Normal 9 2 4 2 11 4" xfId="36078" xr:uid="{B8CF520E-AECA-4B26-882E-128C68D5962C}"/>
    <cellStyle name="Normal 9 2 4 2 12" xfId="9136" xr:uid="{18AE41BD-95FB-441C-B4AE-7EC2EE1B26D9}"/>
    <cellStyle name="Normal 9 2 4 2 12 2" xfId="25896" xr:uid="{91B4DCF9-4CFA-4507-AE81-0561900EC36B}"/>
    <cellStyle name="Normal 9 2 4 2 12 3" xfId="42655" xr:uid="{CB79B12C-7ABE-40C1-913C-C01B5BE6A67E}"/>
    <cellStyle name="Normal 9 2 4 2 13" xfId="17516" xr:uid="{6FDDAC03-8AC6-4326-A564-D4B27C8FE05A}"/>
    <cellStyle name="Normal 9 2 4 2 14" xfId="34275" xr:uid="{F56056A6-7B92-4AF3-AAA6-B8891D5E0C35}"/>
    <cellStyle name="Normal 9 2 4 2 2" xfId="1167" xr:uid="{5EDD69B0-4711-432D-9359-3AE3B40AA69B}"/>
    <cellStyle name="Normal 9 2 4 2 2 2" xfId="4562" xr:uid="{60808799-C868-4206-A71B-E905E5E034B4}"/>
    <cellStyle name="Normal 9 2 4 2 2 2 2" xfId="12942" xr:uid="{939362FB-CC7B-49EA-82A7-2E1FCD220740}"/>
    <cellStyle name="Normal 9 2 4 2 2 2 2 2" xfId="29702" xr:uid="{B87BB718-F0E0-4887-B85A-6A0B096EF5B8}"/>
    <cellStyle name="Normal 9 2 4 2 2 2 2 3" xfId="46461" xr:uid="{F8248374-AFD3-41D5-9A48-1255C1A676CB}"/>
    <cellStyle name="Normal 9 2 4 2 2 2 3" xfId="21322" xr:uid="{FB805872-2372-45FB-90CF-29B968026C96}"/>
    <cellStyle name="Normal 9 2 4 2 2 2 4" xfId="38081" xr:uid="{E04C5BF0-3049-46F2-8B84-4307B2B67BB2}"/>
    <cellStyle name="Normal 9 2 4 2 2 3" xfId="6249" xr:uid="{A287E869-E0F7-4013-AEC5-976038D61B91}"/>
    <cellStyle name="Normal 9 2 4 2 2 3 2" xfId="14629" xr:uid="{DE0EFE68-541E-4C76-BCF5-653445AD3A54}"/>
    <cellStyle name="Normal 9 2 4 2 2 3 2 2" xfId="31389" xr:uid="{8B2696D9-7E00-48FE-94A5-E6B2C1840ABA}"/>
    <cellStyle name="Normal 9 2 4 2 2 3 2 3" xfId="48148" xr:uid="{83B3150C-49EC-4FF9-B79D-E7CDE32B2E27}"/>
    <cellStyle name="Normal 9 2 4 2 2 3 3" xfId="23009" xr:uid="{5C486FBD-A6FC-4511-A216-C205BF828F6C}"/>
    <cellStyle name="Normal 9 2 4 2 2 3 4" xfId="39768" xr:uid="{470B399E-D6C4-487D-9FF4-6B3D110CCB9D}"/>
    <cellStyle name="Normal 9 2 4 2 2 4" xfId="2985" xr:uid="{9FE54E80-F994-4002-B83B-802D27EF537C}"/>
    <cellStyle name="Normal 9 2 4 2 2 4 2" xfId="11365" xr:uid="{9A65D982-F5FA-4637-9EEF-EA85D94AA568}"/>
    <cellStyle name="Normal 9 2 4 2 2 4 2 2" xfId="28125" xr:uid="{624FE53C-D72E-4ADD-AC5C-358E4A861D9B}"/>
    <cellStyle name="Normal 9 2 4 2 2 4 2 3" xfId="44884" xr:uid="{1447E3E1-08B7-414D-866C-A0F26DA550D6}"/>
    <cellStyle name="Normal 9 2 4 2 2 4 3" xfId="19745" xr:uid="{D1BB4044-9BAD-49D8-B29E-5A67FFB71A9A}"/>
    <cellStyle name="Normal 9 2 4 2 2 4 4" xfId="36504" xr:uid="{075F2327-84A2-4B8B-BDC7-61A1D2C0F3A8}"/>
    <cellStyle name="Normal 9 2 4 2 2 5" xfId="9562" xr:uid="{FDE74FAC-3144-43F0-B8EA-8A5E1C04C7B9}"/>
    <cellStyle name="Normal 9 2 4 2 2 5 2" xfId="26322" xr:uid="{6B9AB24D-EA89-4D00-A59F-36FFA68AF844}"/>
    <cellStyle name="Normal 9 2 4 2 2 5 3" xfId="43081" xr:uid="{05724DC0-BF2E-4B9E-9938-94FF31ACCA31}"/>
    <cellStyle name="Normal 9 2 4 2 2 6" xfId="17942" xr:uid="{7EA77D98-23C4-4323-9A7A-FF35D485456B}"/>
    <cellStyle name="Normal 9 2 4 2 2 7" xfId="34701" xr:uid="{A8571335-8912-47B4-93E5-868D297CF2D7}"/>
    <cellStyle name="Normal 9 2 4 2 3" xfId="1601" xr:uid="{38523FF8-895C-41B6-AE74-32CE1B820D85}"/>
    <cellStyle name="Normal 9 2 4 2 3 2" xfId="4990" xr:uid="{17572D26-B42F-431A-B310-D86E94F78446}"/>
    <cellStyle name="Normal 9 2 4 2 3 2 2" xfId="13370" xr:uid="{39E30BD7-24D6-4553-9765-229BA9D7FD9F}"/>
    <cellStyle name="Normal 9 2 4 2 3 2 2 2" xfId="30130" xr:uid="{77D31B6E-49F0-4362-AC7C-14CB52005F4B}"/>
    <cellStyle name="Normal 9 2 4 2 3 2 2 3" xfId="46889" xr:uid="{E10D3C15-F267-469D-8CA2-53E88372270F}"/>
    <cellStyle name="Normal 9 2 4 2 3 2 3" xfId="21750" xr:uid="{112F9A24-A5D2-40B2-8676-B902C30408C4}"/>
    <cellStyle name="Normal 9 2 4 2 3 2 4" xfId="38509" xr:uid="{349E7DC9-6A54-4F3A-AD90-D983205E0664}"/>
    <cellStyle name="Normal 9 2 4 2 3 3" xfId="6677" xr:uid="{D2300428-E7E7-4B2A-AB25-3E70FBE489D9}"/>
    <cellStyle name="Normal 9 2 4 2 3 3 2" xfId="15057" xr:uid="{A23F13A4-42E0-4FFE-ABA1-51A62EC924C3}"/>
    <cellStyle name="Normal 9 2 4 2 3 3 2 2" xfId="31817" xr:uid="{FC8ACDF8-6E15-4C5C-985F-1431632C6412}"/>
    <cellStyle name="Normal 9 2 4 2 3 3 2 3" xfId="48576" xr:uid="{6059CCEA-AF06-47A8-8798-6E22ED03C9F5}"/>
    <cellStyle name="Normal 9 2 4 2 3 3 3" xfId="23437" xr:uid="{D37CD378-2EA1-4A9F-98E3-E4EADC9DDE20}"/>
    <cellStyle name="Normal 9 2 4 2 3 3 4" xfId="40196" xr:uid="{8BA8EB4B-564D-4FBE-9FA1-E196D84F6069}"/>
    <cellStyle name="Normal 9 2 4 2 3 4" xfId="3413" xr:uid="{4728AD83-1FBC-46FE-A8AA-D966CA55D445}"/>
    <cellStyle name="Normal 9 2 4 2 3 4 2" xfId="11793" xr:uid="{2F60A21A-79E0-4648-B088-103B9ED718F7}"/>
    <cellStyle name="Normal 9 2 4 2 3 4 2 2" xfId="28553" xr:uid="{D6B70D1B-6CB2-485E-A453-9D26FE262660}"/>
    <cellStyle name="Normal 9 2 4 2 3 4 2 3" xfId="45312" xr:uid="{EFF95EC8-BFEE-48CB-8B83-A0BE641421D7}"/>
    <cellStyle name="Normal 9 2 4 2 3 4 3" xfId="20173" xr:uid="{E42F94A2-0F17-4344-969D-054DFF4D8FB6}"/>
    <cellStyle name="Normal 9 2 4 2 3 4 4" xfId="36932" xr:uid="{84D9498A-AE66-435B-B28F-E142E932D4A3}"/>
    <cellStyle name="Normal 9 2 4 2 3 5" xfId="9990" xr:uid="{A862EDC1-7408-464A-8186-4F406F27E1EC}"/>
    <cellStyle name="Normal 9 2 4 2 3 5 2" xfId="26750" xr:uid="{EFEB5435-6A98-45CB-89F3-D8BB149C8676}"/>
    <cellStyle name="Normal 9 2 4 2 3 5 3" xfId="43509" xr:uid="{8AD442D0-524E-49E0-96AB-3489CA400924}"/>
    <cellStyle name="Normal 9 2 4 2 3 6" xfId="18370" xr:uid="{671C0181-B8D2-4EE3-B545-CB67E3A940AF}"/>
    <cellStyle name="Normal 9 2 4 2 3 7" xfId="35129" xr:uid="{D1DBD705-2ABF-4162-84DC-ECFFFA72C085}"/>
    <cellStyle name="Normal 9 2 4 2 4" xfId="1887" xr:uid="{220FCD5A-FFB9-46CA-B431-098A138B159D}"/>
    <cellStyle name="Normal 9 2 4 2 4 2" xfId="5276" xr:uid="{692FE3C9-129F-425B-AE8C-B6F32F89BC4C}"/>
    <cellStyle name="Normal 9 2 4 2 4 2 2" xfId="13656" xr:uid="{162D72A5-9C41-4BB7-B0E2-FE6C2C82078E}"/>
    <cellStyle name="Normal 9 2 4 2 4 2 2 2" xfId="30416" xr:uid="{B8319071-7B03-4771-A6C6-9FAE6D25991C}"/>
    <cellStyle name="Normal 9 2 4 2 4 2 2 3" xfId="47175" xr:uid="{E3C23241-6FCD-42AC-9355-50F2EDF562AE}"/>
    <cellStyle name="Normal 9 2 4 2 4 2 3" xfId="22036" xr:uid="{FFA1D892-D2B7-4E35-803E-11461984CC72}"/>
    <cellStyle name="Normal 9 2 4 2 4 2 4" xfId="38795" xr:uid="{AAC3A9B6-E70F-4272-BA1C-D231EC9BF29B}"/>
    <cellStyle name="Normal 9 2 4 2 4 3" xfId="6963" xr:uid="{86913CC4-61C3-4E93-95D0-661E87253AEE}"/>
    <cellStyle name="Normal 9 2 4 2 4 3 2" xfId="15343" xr:uid="{4C055DF0-5556-4A44-A1F8-E83A3B839C78}"/>
    <cellStyle name="Normal 9 2 4 2 4 3 2 2" xfId="32103" xr:uid="{86F06823-BAD8-47CA-8D6F-6A57A2039D66}"/>
    <cellStyle name="Normal 9 2 4 2 4 3 2 3" xfId="48862" xr:uid="{1D3E56EB-F919-44E5-A833-419A770C96EF}"/>
    <cellStyle name="Normal 9 2 4 2 4 3 3" xfId="23723" xr:uid="{7727637B-8A2E-478E-BE18-B38B1EEE5C43}"/>
    <cellStyle name="Normal 9 2 4 2 4 3 4" xfId="40482" xr:uid="{79A7C5D0-253A-4216-8EE5-B73EC0CEA097}"/>
    <cellStyle name="Normal 9 2 4 2 4 4" xfId="3586" xr:uid="{B7D7D2A1-6FE3-4AC7-A39D-9A7CC67147BC}"/>
    <cellStyle name="Normal 9 2 4 2 4 4 2" xfId="11966" xr:uid="{306807F1-F814-4F91-92FA-616568239B45}"/>
    <cellStyle name="Normal 9 2 4 2 4 4 2 2" xfId="28726" xr:uid="{3B5A30E2-9F48-4A57-9C72-AB5ABEA673D9}"/>
    <cellStyle name="Normal 9 2 4 2 4 4 2 3" xfId="45485" xr:uid="{204AA9C1-DAC9-4873-AC12-0967C943BD08}"/>
    <cellStyle name="Normal 9 2 4 2 4 4 3" xfId="20346" xr:uid="{BFF47A55-2A9A-4008-B5F9-095B039BB40A}"/>
    <cellStyle name="Normal 9 2 4 2 4 4 4" xfId="37105" xr:uid="{B0C331E1-4217-406C-A907-8EA17466868A}"/>
    <cellStyle name="Normal 9 2 4 2 4 5" xfId="10276" xr:uid="{F32944C0-2150-4590-B562-00D5E103C314}"/>
    <cellStyle name="Normal 9 2 4 2 4 5 2" xfId="27036" xr:uid="{FDEF79A2-BBF1-4640-A8E9-F01F6506076A}"/>
    <cellStyle name="Normal 9 2 4 2 4 5 3" xfId="43795" xr:uid="{D3AE69A2-B8FE-4207-B160-DB1AB3ABC5C5}"/>
    <cellStyle name="Normal 9 2 4 2 4 6" xfId="18656" xr:uid="{9408E09E-1EB1-4247-B45C-32EDDE2385A0}"/>
    <cellStyle name="Normal 9 2 4 2 4 7" xfId="35415" xr:uid="{CACA440D-8D7D-4B54-BF43-E849B754E9A5}"/>
    <cellStyle name="Normal 9 2 4 2 5" xfId="4006" xr:uid="{7A1D0418-B9EF-411D-BFA5-3F44392FA8DA}"/>
    <cellStyle name="Normal 9 2 4 2 5 2" xfId="12386" xr:uid="{B7FB272B-D68C-471E-9884-B16A47222FAE}"/>
    <cellStyle name="Normal 9 2 4 2 5 2 2" xfId="29146" xr:uid="{54C534A2-A5D5-4091-A2E8-A07E9CF32E0B}"/>
    <cellStyle name="Normal 9 2 4 2 5 2 3" xfId="45905" xr:uid="{1C580168-E984-479A-A5D2-CD564CD141E0}"/>
    <cellStyle name="Normal 9 2 4 2 5 3" xfId="20766" xr:uid="{519FC161-58FB-4341-9522-B00EC2DFA9F9}"/>
    <cellStyle name="Normal 9 2 4 2 5 4" xfId="37525" xr:uid="{085D5D94-63CF-4E4F-8FD4-0270BF52DEE3}"/>
    <cellStyle name="Normal 9 2 4 2 6" xfId="5823" xr:uid="{E68F219C-43EE-4F68-815F-BD962C8CD789}"/>
    <cellStyle name="Normal 9 2 4 2 6 2" xfId="14203" xr:uid="{09D4CF42-02D5-4256-9D57-DBFA24410083}"/>
    <cellStyle name="Normal 9 2 4 2 6 2 2" xfId="30963" xr:uid="{49C2E797-ADDC-4C8C-9617-4067FD598ACC}"/>
    <cellStyle name="Normal 9 2 4 2 6 2 3" xfId="47722" xr:uid="{34483988-C82B-493E-91AC-4B019A419665}"/>
    <cellStyle name="Normal 9 2 4 2 6 3" xfId="22583" xr:uid="{2073446B-06F7-4505-91AF-48A53BF51F62}"/>
    <cellStyle name="Normal 9 2 4 2 6 4" xfId="39342" xr:uid="{3393A8B4-33F7-4A60-9DD3-6F4481F5849C}"/>
    <cellStyle name="Normal 9 2 4 2 7" xfId="7369" xr:uid="{BB1364A6-9FBF-4569-B484-06CE61B77782}"/>
    <cellStyle name="Normal 9 2 4 2 7 2" xfId="15749" xr:uid="{CB8B4A96-6D93-4FE1-B584-7168308179BC}"/>
    <cellStyle name="Normal 9 2 4 2 7 2 2" xfId="32509" xr:uid="{953CD4B5-663B-4606-A648-8393A4594D41}"/>
    <cellStyle name="Normal 9 2 4 2 7 2 3" xfId="49268" xr:uid="{2802252E-4250-4FCA-9D7D-78630C05CF98}"/>
    <cellStyle name="Normal 9 2 4 2 7 3" xfId="24129" xr:uid="{BDAA6460-3910-4F42-BC27-B32C13198892}"/>
    <cellStyle name="Normal 9 2 4 2 7 4" xfId="40888" xr:uid="{FD680FF2-6003-4A0E-A580-3A5B0B07C4D0}"/>
    <cellStyle name="Normal 9 2 4 2 8" xfId="7775" xr:uid="{B52C3F98-1A09-476B-8B1F-80286BA997B6}"/>
    <cellStyle name="Normal 9 2 4 2 8 2" xfId="16155" xr:uid="{528EF849-1370-48C1-90D1-77C535D7879D}"/>
    <cellStyle name="Normal 9 2 4 2 8 2 2" xfId="32915" xr:uid="{815964BE-D893-4CB9-9419-5CD2F010256F}"/>
    <cellStyle name="Normal 9 2 4 2 8 2 3" xfId="49674" xr:uid="{D049AE13-A948-4A3E-90E2-9747B1AAF2FF}"/>
    <cellStyle name="Normal 9 2 4 2 8 3" xfId="24535" xr:uid="{20DD2A13-D6EC-40CA-B0BC-EBE2249186AF}"/>
    <cellStyle name="Normal 9 2 4 2 8 4" xfId="41294" xr:uid="{F20086A9-CC0C-4514-BBE2-FA9971173F24}"/>
    <cellStyle name="Normal 9 2 4 2 9" xfId="8181" xr:uid="{64CCFF64-B1CE-4D98-B7FE-522E4892CD55}"/>
    <cellStyle name="Normal 9 2 4 2 9 2" xfId="16561" xr:uid="{9D010437-D797-4ED4-95C4-3738DA0FB35F}"/>
    <cellStyle name="Normal 9 2 4 2 9 2 2" xfId="33321" xr:uid="{7D93D25C-1F08-493C-B132-7C517541FD2A}"/>
    <cellStyle name="Normal 9 2 4 2 9 2 3" xfId="50080" xr:uid="{6C7FAF62-E243-4B37-B9D1-23FC76A27DA5}"/>
    <cellStyle name="Normal 9 2 4 2 9 3" xfId="24941" xr:uid="{A4DEBE5D-D274-47AB-A3E9-F2C201E57B9B}"/>
    <cellStyle name="Normal 9 2 4 2 9 4" xfId="41700" xr:uid="{753E3B98-FEB1-4743-9FBB-2E4828F64C5E}"/>
    <cellStyle name="Normal 9 2 4 3" xfId="729" xr:uid="{0CA93888-63E0-4E8F-B074-85C1DCEB5DF7}"/>
    <cellStyle name="Normal 9 2 4 3 10" xfId="8682" xr:uid="{003B212D-BB3D-4DAD-8A2C-8230A47262F8}"/>
    <cellStyle name="Normal 9 2 4 3 10 2" xfId="17062" xr:uid="{E21F1086-FEB6-401B-84F2-05605EC07004}"/>
    <cellStyle name="Normal 9 2 4 3 10 2 2" xfId="33822" xr:uid="{C215FF36-A839-46DF-B51A-0F4451E3EE4E}"/>
    <cellStyle name="Normal 9 2 4 3 10 2 3" xfId="50581" xr:uid="{2C7785B2-6617-43D7-93B3-78723EE43F40}"/>
    <cellStyle name="Normal 9 2 4 3 10 3" xfId="25442" xr:uid="{0AFB620E-CCC5-49A3-97C6-3A9164CF9C76}"/>
    <cellStyle name="Normal 9 2 4 3 10 4" xfId="42201" xr:uid="{3411203F-1918-4212-9406-E588764F3168}"/>
    <cellStyle name="Normal 9 2 4 3 11" xfId="2558" xr:uid="{A1C79751-828E-4ECE-A5DC-4A6DF40E244C}"/>
    <cellStyle name="Normal 9 2 4 3 11 2" xfId="10940" xr:uid="{24F73A06-3345-4B31-899F-4EA5CA455EB5}"/>
    <cellStyle name="Normal 9 2 4 3 11 2 2" xfId="27700" xr:uid="{63709229-2314-4D8D-9473-4590C58A7CB3}"/>
    <cellStyle name="Normal 9 2 4 3 11 2 3" xfId="44459" xr:uid="{45AA3796-2951-4F86-8816-08C9A94D2562}"/>
    <cellStyle name="Normal 9 2 4 3 11 3" xfId="19320" xr:uid="{3024761F-3CD3-498D-BC34-03405663D446}"/>
    <cellStyle name="Normal 9 2 4 3 11 4" xfId="36079" xr:uid="{AE24FC05-3ADC-4F46-837F-3D28A540324A}"/>
    <cellStyle name="Normal 9 2 4 3 12" xfId="9137" xr:uid="{91058F09-7ADC-4B6B-8116-040153C5DDB6}"/>
    <cellStyle name="Normal 9 2 4 3 12 2" xfId="25897" xr:uid="{5A46B9DE-8F9D-4988-887F-829F833CCD5C}"/>
    <cellStyle name="Normal 9 2 4 3 12 3" xfId="42656" xr:uid="{E74CB418-049C-4288-A391-674BB9499A1F}"/>
    <cellStyle name="Normal 9 2 4 3 13" xfId="17517" xr:uid="{59B70700-618D-494A-A4DF-4F36E7A5C23C}"/>
    <cellStyle name="Normal 9 2 4 3 14" xfId="34276" xr:uid="{AE3154B4-9AA7-4D19-B6D5-F20F30A93310}"/>
    <cellStyle name="Normal 9 2 4 3 2" xfId="1168" xr:uid="{C5C2B0EF-6DDD-4154-BF50-F67CD4E91E9B}"/>
    <cellStyle name="Normal 9 2 4 3 2 2" xfId="4563" xr:uid="{2405C808-6D19-4252-8286-36E60A8308E5}"/>
    <cellStyle name="Normal 9 2 4 3 2 2 2" xfId="12943" xr:uid="{299E3D1E-D4E7-4F59-95FB-36B9CD2A84BD}"/>
    <cellStyle name="Normal 9 2 4 3 2 2 2 2" xfId="29703" xr:uid="{90F64FAD-7565-45E0-B229-D4265F0980B8}"/>
    <cellStyle name="Normal 9 2 4 3 2 2 2 3" xfId="46462" xr:uid="{C078B5E0-AC30-459E-BE45-053B6172962F}"/>
    <cellStyle name="Normal 9 2 4 3 2 2 3" xfId="21323" xr:uid="{D69BDE2A-A767-4E70-A450-164D38F31729}"/>
    <cellStyle name="Normal 9 2 4 3 2 2 4" xfId="38082" xr:uid="{902AB8CD-37F8-4A75-9B8E-45CA3659ECDE}"/>
    <cellStyle name="Normal 9 2 4 3 2 3" xfId="6250" xr:uid="{A844B734-B0D4-41FE-BEEF-74ACAF7BAB66}"/>
    <cellStyle name="Normal 9 2 4 3 2 3 2" xfId="14630" xr:uid="{6B0E2B33-46D6-4654-9EB5-38B9E6E2B422}"/>
    <cellStyle name="Normal 9 2 4 3 2 3 2 2" xfId="31390" xr:uid="{FC57F09D-FB13-4698-B430-6B3A5C1B7EC5}"/>
    <cellStyle name="Normal 9 2 4 3 2 3 2 3" xfId="48149" xr:uid="{BC241702-8429-4CAF-A5BA-76C764F57AA0}"/>
    <cellStyle name="Normal 9 2 4 3 2 3 3" xfId="23010" xr:uid="{9B9E2234-C08F-401F-B26C-1975A12F2060}"/>
    <cellStyle name="Normal 9 2 4 3 2 3 4" xfId="39769" xr:uid="{4A69D461-12CD-42B9-8851-68AC67DC401E}"/>
    <cellStyle name="Normal 9 2 4 3 2 4" xfId="2986" xr:uid="{F2B37A23-B296-49B5-8039-AEFF7F62AD2B}"/>
    <cellStyle name="Normal 9 2 4 3 2 4 2" xfId="11366" xr:uid="{231583A9-123C-4DA1-8C9F-D69A039754FE}"/>
    <cellStyle name="Normal 9 2 4 3 2 4 2 2" xfId="28126" xr:uid="{8EB2E212-7165-4DF3-9924-3F90F08F153D}"/>
    <cellStyle name="Normal 9 2 4 3 2 4 2 3" xfId="44885" xr:uid="{07E5D306-7A27-4776-AD9D-D440F65892AD}"/>
    <cellStyle name="Normal 9 2 4 3 2 4 3" xfId="19746" xr:uid="{C14F7894-41E2-4D1A-A074-AE6685976C24}"/>
    <cellStyle name="Normal 9 2 4 3 2 4 4" xfId="36505" xr:uid="{13F4D37C-CD3C-449C-AF74-0EE0842A942F}"/>
    <cellStyle name="Normal 9 2 4 3 2 5" xfId="9563" xr:uid="{653A0364-7D69-4C3B-8B4D-524AFC0DD004}"/>
    <cellStyle name="Normal 9 2 4 3 2 5 2" xfId="26323" xr:uid="{ECBDBBBD-586D-46CA-95DC-843D2CEECA8A}"/>
    <cellStyle name="Normal 9 2 4 3 2 5 3" xfId="43082" xr:uid="{52478F28-6EBA-4605-9AC6-3A0014306BAC}"/>
    <cellStyle name="Normal 9 2 4 3 2 6" xfId="17943" xr:uid="{FBD637D1-198F-4BFB-A2DC-4AB5AD508FDF}"/>
    <cellStyle name="Normal 9 2 4 3 2 7" xfId="34702" xr:uid="{F4CEA7E9-8B61-4128-A2CB-4743DFDB0894}"/>
    <cellStyle name="Normal 9 2 4 3 3" xfId="1602" xr:uid="{1F730827-BD48-4E5A-B8FF-DB922F2A9B52}"/>
    <cellStyle name="Normal 9 2 4 3 3 2" xfId="4991" xr:uid="{AD45CD11-7051-49E6-A0D8-D593E459B3EC}"/>
    <cellStyle name="Normal 9 2 4 3 3 2 2" xfId="13371" xr:uid="{B5A3C577-4ADD-4E7A-9641-6E166574E374}"/>
    <cellStyle name="Normal 9 2 4 3 3 2 2 2" xfId="30131" xr:uid="{1F6B1510-64EC-4F60-90F0-60E8999AEA91}"/>
    <cellStyle name="Normal 9 2 4 3 3 2 2 3" xfId="46890" xr:uid="{6AAF8418-2797-4027-B5C5-6CABA13DE934}"/>
    <cellStyle name="Normal 9 2 4 3 3 2 3" xfId="21751" xr:uid="{E971224C-3C7F-49AB-823E-07B4B073FA0A}"/>
    <cellStyle name="Normal 9 2 4 3 3 2 4" xfId="38510" xr:uid="{A3EDC1FE-9FDF-4B86-9EFE-A246A107F670}"/>
    <cellStyle name="Normal 9 2 4 3 3 3" xfId="6678" xr:uid="{19FE34E6-1D75-44F9-BA9D-0C82B0E5D1C2}"/>
    <cellStyle name="Normal 9 2 4 3 3 3 2" xfId="15058" xr:uid="{F69C3B2A-0BE6-4A95-A9F7-B8626805B02C}"/>
    <cellStyle name="Normal 9 2 4 3 3 3 2 2" xfId="31818" xr:uid="{0F274D5C-1C1A-4A96-AC23-45FEA3C68EC8}"/>
    <cellStyle name="Normal 9 2 4 3 3 3 2 3" xfId="48577" xr:uid="{A0DEF658-5564-47AB-89F8-928E1647E73F}"/>
    <cellStyle name="Normal 9 2 4 3 3 3 3" xfId="23438" xr:uid="{F8A636A1-96E4-411A-8B6A-C44527E7D5A9}"/>
    <cellStyle name="Normal 9 2 4 3 3 3 4" xfId="40197" xr:uid="{840F10A6-FEEE-4070-ABD5-03D3CCF0AC94}"/>
    <cellStyle name="Normal 9 2 4 3 3 4" xfId="3414" xr:uid="{96BA641D-264E-4030-BEE6-C8146008070F}"/>
    <cellStyle name="Normal 9 2 4 3 3 4 2" xfId="11794" xr:uid="{B49B9FB8-7FB1-4F2D-BFA6-EFA24875A4D5}"/>
    <cellStyle name="Normal 9 2 4 3 3 4 2 2" xfId="28554" xr:uid="{294B1DB6-6BC5-4640-B0AD-4DD9911B07C3}"/>
    <cellStyle name="Normal 9 2 4 3 3 4 2 3" xfId="45313" xr:uid="{AA655703-56C7-434E-912A-753E129EA926}"/>
    <cellStyle name="Normal 9 2 4 3 3 4 3" xfId="20174" xr:uid="{C20C9CA0-884D-44A1-97AE-914A6314E852}"/>
    <cellStyle name="Normal 9 2 4 3 3 4 4" xfId="36933" xr:uid="{8798687F-8AB2-4AA1-A6B4-4669147120C2}"/>
    <cellStyle name="Normal 9 2 4 3 3 5" xfId="9991" xr:uid="{E316EC29-3DEF-49D1-BD0B-3EF332BE266F}"/>
    <cellStyle name="Normal 9 2 4 3 3 5 2" xfId="26751" xr:uid="{E2A21731-A498-4465-9014-7B06194B8DEC}"/>
    <cellStyle name="Normal 9 2 4 3 3 5 3" xfId="43510" xr:uid="{955A93F2-43AE-4691-86A2-518D579FF4AC}"/>
    <cellStyle name="Normal 9 2 4 3 3 6" xfId="18371" xr:uid="{F203E562-4129-4296-A618-C4216DB85D3C}"/>
    <cellStyle name="Normal 9 2 4 3 3 7" xfId="35130" xr:uid="{29E51AED-F346-465F-97F6-B79960922574}"/>
    <cellStyle name="Normal 9 2 4 3 4" xfId="1982" xr:uid="{28A7019C-92B4-4B19-A5C8-1515BF0D8D04}"/>
    <cellStyle name="Normal 9 2 4 3 4 2" xfId="5371" xr:uid="{E5DD979A-7A95-498B-80D7-730CA0205750}"/>
    <cellStyle name="Normal 9 2 4 3 4 2 2" xfId="13751" xr:uid="{A0548F35-D4B9-45E6-8AD1-6A50D907FBF1}"/>
    <cellStyle name="Normal 9 2 4 3 4 2 2 2" xfId="30511" xr:uid="{36DF58CF-DF74-41A7-832D-524DA002FFD9}"/>
    <cellStyle name="Normal 9 2 4 3 4 2 2 3" xfId="47270" xr:uid="{7A2206EC-B1F0-454E-9747-AE984A0AD4B0}"/>
    <cellStyle name="Normal 9 2 4 3 4 2 3" xfId="22131" xr:uid="{9FBBA5AF-5461-4589-9B95-B3B6E155F839}"/>
    <cellStyle name="Normal 9 2 4 3 4 2 4" xfId="38890" xr:uid="{6081FB56-1BAF-4FF6-A667-4564175FDC1C}"/>
    <cellStyle name="Normal 9 2 4 3 4 3" xfId="7058" xr:uid="{8148B218-4A51-4047-ADC9-C467A059F2F7}"/>
    <cellStyle name="Normal 9 2 4 3 4 3 2" xfId="15438" xr:uid="{562808FA-6B8E-4EEE-BC3A-F11A943C62C2}"/>
    <cellStyle name="Normal 9 2 4 3 4 3 2 2" xfId="32198" xr:uid="{76AC3C5A-5F26-45A3-AB36-F6CF2A6B335C}"/>
    <cellStyle name="Normal 9 2 4 3 4 3 2 3" xfId="48957" xr:uid="{2BC45A85-EA16-4871-BC6A-A9A9E3270555}"/>
    <cellStyle name="Normal 9 2 4 3 4 3 3" xfId="23818" xr:uid="{FBC3B307-F1B0-4FB0-B7D6-8EEC0433010B}"/>
    <cellStyle name="Normal 9 2 4 3 4 3 4" xfId="40577" xr:uid="{99E8762B-290F-4A32-905E-E1402B95EA00}"/>
    <cellStyle name="Normal 9 2 4 3 4 4" xfId="3681" xr:uid="{50E135F3-D2AA-47D4-930E-E19706431D57}"/>
    <cellStyle name="Normal 9 2 4 3 4 4 2" xfId="12061" xr:uid="{405F8490-527A-4888-A29A-357FE38EF4E9}"/>
    <cellStyle name="Normal 9 2 4 3 4 4 2 2" xfId="28821" xr:uid="{76AAD0F4-B807-4A48-B19F-E08F7DDA6DFE}"/>
    <cellStyle name="Normal 9 2 4 3 4 4 2 3" xfId="45580" xr:uid="{3D3D8B3F-E1D9-4655-8496-9140CBC38CC1}"/>
    <cellStyle name="Normal 9 2 4 3 4 4 3" xfId="20441" xr:uid="{39DAC56A-DAE7-4B6A-A78F-920B35CDF7E4}"/>
    <cellStyle name="Normal 9 2 4 3 4 4 4" xfId="37200" xr:uid="{714CAAE1-1E8F-4D34-9DD0-F33E49FCB0D7}"/>
    <cellStyle name="Normal 9 2 4 3 4 5" xfId="10371" xr:uid="{E4AF119C-AA8D-4167-810E-1B3E0ECB8151}"/>
    <cellStyle name="Normal 9 2 4 3 4 5 2" xfId="27131" xr:uid="{24EE75DB-1427-4C0C-94A1-4F44BF72BC07}"/>
    <cellStyle name="Normal 9 2 4 3 4 5 3" xfId="43890" xr:uid="{99FE37FB-83F5-40AF-834E-1D3AC32B16C1}"/>
    <cellStyle name="Normal 9 2 4 3 4 6" xfId="18751" xr:uid="{04357C3A-80E6-4F41-A3ED-4BA5E6036841}"/>
    <cellStyle name="Normal 9 2 4 3 4 7" xfId="35510" xr:uid="{8258F1C7-F10A-412D-BFCC-E31B4EB881FD}"/>
    <cellStyle name="Normal 9 2 4 3 5" xfId="4101" xr:uid="{F63A1912-53FC-488A-9E24-567962B2DDE2}"/>
    <cellStyle name="Normal 9 2 4 3 5 2" xfId="12481" xr:uid="{8F5BB5AB-7509-4EC4-9BFE-7752F7CCB2FF}"/>
    <cellStyle name="Normal 9 2 4 3 5 2 2" xfId="29241" xr:uid="{776BE60D-7431-48CA-835C-FCBB2DF9FC72}"/>
    <cellStyle name="Normal 9 2 4 3 5 2 3" xfId="46000" xr:uid="{F7F6CC7A-7E2D-4221-853C-2AD54FC5540D}"/>
    <cellStyle name="Normal 9 2 4 3 5 3" xfId="20861" xr:uid="{A931C61D-5B37-4BDA-97BD-43540650B198}"/>
    <cellStyle name="Normal 9 2 4 3 5 4" xfId="37620" xr:uid="{0C2ED4BA-7576-48AD-809C-B710CEEDC842}"/>
    <cellStyle name="Normal 9 2 4 3 6" xfId="5824" xr:uid="{3588A4CA-FE39-4C99-83FB-3626C700914A}"/>
    <cellStyle name="Normal 9 2 4 3 6 2" xfId="14204" xr:uid="{81C973A5-BE12-4EEF-9938-A5F4571B49D3}"/>
    <cellStyle name="Normal 9 2 4 3 6 2 2" xfId="30964" xr:uid="{527BE5F2-17E1-4A9C-BAAF-76CB36A6C7FA}"/>
    <cellStyle name="Normal 9 2 4 3 6 2 3" xfId="47723" xr:uid="{C069FC7D-19E5-4FC7-801E-AF5CB6BAEC75}"/>
    <cellStyle name="Normal 9 2 4 3 6 3" xfId="22584" xr:uid="{B43CF237-5287-4CAB-89E0-C17DC9240EF2}"/>
    <cellStyle name="Normal 9 2 4 3 6 4" xfId="39343" xr:uid="{088D87F6-BDD6-4379-9DBD-FF7B4C1AE3FC}"/>
    <cellStyle name="Normal 9 2 4 3 7" xfId="7464" xr:uid="{3496A65E-6DCC-4513-B915-D91F587774E2}"/>
    <cellStyle name="Normal 9 2 4 3 7 2" xfId="15844" xr:uid="{46B9F869-7A96-4BA7-BF46-BC624F20123B}"/>
    <cellStyle name="Normal 9 2 4 3 7 2 2" xfId="32604" xr:uid="{CCB1E895-55E1-476B-9A83-AA6CC80ADF10}"/>
    <cellStyle name="Normal 9 2 4 3 7 2 3" xfId="49363" xr:uid="{270D3D2C-E108-4018-911C-F5105B41C5E3}"/>
    <cellStyle name="Normal 9 2 4 3 7 3" xfId="24224" xr:uid="{5A1257B9-51B9-428E-A80F-50E88131CB12}"/>
    <cellStyle name="Normal 9 2 4 3 7 4" xfId="40983" xr:uid="{2E9E8B11-B7B6-4B41-BFCB-A189BA4C1AF8}"/>
    <cellStyle name="Normal 9 2 4 3 8" xfId="7870" xr:uid="{DAF1391B-75A5-490F-8379-F55930B53506}"/>
    <cellStyle name="Normal 9 2 4 3 8 2" xfId="16250" xr:uid="{AE83DA99-123E-4F2C-A456-A76EF4AD240D}"/>
    <cellStyle name="Normal 9 2 4 3 8 2 2" xfId="33010" xr:uid="{2ABA8BFF-17D1-4038-95A3-1A3CA65DEC62}"/>
    <cellStyle name="Normal 9 2 4 3 8 2 3" xfId="49769" xr:uid="{A8DB3B3A-BD35-4FF5-8883-CAA937624279}"/>
    <cellStyle name="Normal 9 2 4 3 8 3" xfId="24630" xr:uid="{A9B2061A-13CE-4916-B2AA-63621BF15155}"/>
    <cellStyle name="Normal 9 2 4 3 8 4" xfId="41389" xr:uid="{66C3208F-D7A9-4040-B5BC-83EAB97415C0}"/>
    <cellStyle name="Normal 9 2 4 3 9" xfId="8276" xr:uid="{1BCFFF50-F58E-4372-81FB-961FDE64AFBA}"/>
    <cellStyle name="Normal 9 2 4 3 9 2" xfId="16656" xr:uid="{7EC7C116-76C2-4661-A040-498ACB7A56FC}"/>
    <cellStyle name="Normal 9 2 4 3 9 2 2" xfId="33416" xr:uid="{B3613D38-6236-4957-878D-5442D526D0FC}"/>
    <cellStyle name="Normal 9 2 4 3 9 2 3" xfId="50175" xr:uid="{2E133ADC-6B53-4DD9-92FD-988AE827FA28}"/>
    <cellStyle name="Normal 9 2 4 3 9 3" xfId="25036" xr:uid="{2ED84FBC-80B2-4F23-83C1-7CD6B52F55AE}"/>
    <cellStyle name="Normal 9 2 4 3 9 4" xfId="41795" xr:uid="{68085294-6FDF-4F7F-9DA5-2B6605DC0E94}"/>
    <cellStyle name="Normal 9 2 4 4" xfId="1166" xr:uid="{0CAFEF12-3BB6-437E-8F9E-72A537DEE324}"/>
    <cellStyle name="Normal 9 2 4 4 2" xfId="4561" xr:uid="{B9B8927F-41B8-4574-9483-ED9892A554B6}"/>
    <cellStyle name="Normal 9 2 4 4 2 2" xfId="12941" xr:uid="{4D164F94-3B6E-4EB6-B007-3ABF47841574}"/>
    <cellStyle name="Normal 9 2 4 4 2 2 2" xfId="29701" xr:uid="{6202811F-FF5B-4D1D-9D0E-6E381A38CFEA}"/>
    <cellStyle name="Normal 9 2 4 4 2 2 3" xfId="46460" xr:uid="{58B1A86E-8647-401F-A9D0-0C82B2904997}"/>
    <cellStyle name="Normal 9 2 4 4 2 3" xfId="21321" xr:uid="{32BECA01-5EE8-49F9-9B89-08A180A4A027}"/>
    <cellStyle name="Normal 9 2 4 4 2 4" xfId="38080" xr:uid="{13A7137A-FAD0-4617-8D69-A982FA81C82B}"/>
    <cellStyle name="Normal 9 2 4 4 3" xfId="6248" xr:uid="{B82B29A2-0F03-4218-8E94-C8F86E277A30}"/>
    <cellStyle name="Normal 9 2 4 4 3 2" xfId="14628" xr:uid="{C98C95A7-D1EF-4894-9E94-6AF0910640F9}"/>
    <cellStyle name="Normal 9 2 4 4 3 2 2" xfId="31388" xr:uid="{2C1B02EC-A032-4F7D-99D1-E56AFD6E6248}"/>
    <cellStyle name="Normal 9 2 4 4 3 2 3" xfId="48147" xr:uid="{6F321AB8-24DC-4940-8FB4-1713A1F71600}"/>
    <cellStyle name="Normal 9 2 4 4 3 3" xfId="23008" xr:uid="{51DACB2B-DCB2-4732-98F2-7302D72811B6}"/>
    <cellStyle name="Normal 9 2 4 4 3 4" xfId="39767" xr:uid="{4064A3C5-251B-40E5-B572-F02CC734E875}"/>
    <cellStyle name="Normal 9 2 4 4 4" xfId="2984" xr:uid="{9313270D-E871-45EB-A9D5-0C06A1196D29}"/>
    <cellStyle name="Normal 9 2 4 4 4 2" xfId="11364" xr:uid="{EE580EA4-4F9C-48E1-BF7D-914CA22D674F}"/>
    <cellStyle name="Normal 9 2 4 4 4 2 2" xfId="28124" xr:uid="{1B0B52DB-9FD3-48BC-BDF3-044DB0642425}"/>
    <cellStyle name="Normal 9 2 4 4 4 2 3" xfId="44883" xr:uid="{D9392156-D3C5-4A99-89C4-FF2FD2519A78}"/>
    <cellStyle name="Normal 9 2 4 4 4 3" xfId="19744" xr:uid="{51E2DEEC-842F-4EE0-B6BB-CBE28A6BA6CE}"/>
    <cellStyle name="Normal 9 2 4 4 4 4" xfId="36503" xr:uid="{575ACB5C-2BC2-4771-BB7F-77499008F0A8}"/>
    <cellStyle name="Normal 9 2 4 4 5" xfId="9561" xr:uid="{0966521D-2CC8-4AE4-AFC1-155214E95E6F}"/>
    <cellStyle name="Normal 9 2 4 4 5 2" xfId="26321" xr:uid="{B6B28B1F-AAAA-4DD6-9DD2-CE1A9C3E25A8}"/>
    <cellStyle name="Normal 9 2 4 4 5 3" xfId="43080" xr:uid="{C69CE570-00FF-4F25-95FA-FC5E97C95263}"/>
    <cellStyle name="Normal 9 2 4 4 6" xfId="17941" xr:uid="{17DD13FA-01A3-4D82-93F3-1D3E01A6B488}"/>
    <cellStyle name="Normal 9 2 4 4 7" xfId="34700" xr:uid="{618CB204-47FD-497C-8114-4AB38947D697}"/>
    <cellStyle name="Normal 9 2 4 5" xfId="1600" xr:uid="{858ACCEC-F7F9-46FC-88B4-BECD42AB8D48}"/>
    <cellStyle name="Normal 9 2 4 5 2" xfId="4989" xr:uid="{BDB6DA15-7993-4674-B354-E5D09B1AAE8D}"/>
    <cellStyle name="Normal 9 2 4 5 2 2" xfId="13369" xr:uid="{61C2F8DF-CD2D-4F6C-841F-B07DCF987A9B}"/>
    <cellStyle name="Normal 9 2 4 5 2 2 2" xfId="30129" xr:uid="{BE6C0677-0D20-481D-8B93-6B55619F8D22}"/>
    <cellStyle name="Normal 9 2 4 5 2 2 3" xfId="46888" xr:uid="{6B16AB4B-F5CE-4FA8-B6CE-DBCA455C717D}"/>
    <cellStyle name="Normal 9 2 4 5 2 3" xfId="21749" xr:uid="{26E08484-9652-45F0-8FC9-C0ECEB439DFE}"/>
    <cellStyle name="Normal 9 2 4 5 2 4" xfId="38508" xr:uid="{530BBD50-8E14-4725-B7A9-F6C6D74E8AEB}"/>
    <cellStyle name="Normal 9 2 4 5 3" xfId="6676" xr:uid="{5C9E8E35-B764-43EB-AB14-5426A9C38CBA}"/>
    <cellStyle name="Normal 9 2 4 5 3 2" xfId="15056" xr:uid="{EB14B10D-B419-4B20-9665-2967BCF80B5C}"/>
    <cellStyle name="Normal 9 2 4 5 3 2 2" xfId="31816" xr:uid="{D6505D75-5780-413D-8842-190FD51B5D0A}"/>
    <cellStyle name="Normal 9 2 4 5 3 2 3" xfId="48575" xr:uid="{84772277-B902-41D9-99D7-9C4F81AA1099}"/>
    <cellStyle name="Normal 9 2 4 5 3 3" xfId="23436" xr:uid="{0ED085CF-ADFF-4CD6-BC72-22D4DC680862}"/>
    <cellStyle name="Normal 9 2 4 5 3 4" xfId="40195" xr:uid="{50013FBD-C337-40EA-A733-CE6574684F97}"/>
    <cellStyle name="Normal 9 2 4 5 4" xfId="3412" xr:uid="{18162FF3-BBD3-49A9-B263-3E7D31348B21}"/>
    <cellStyle name="Normal 9 2 4 5 4 2" xfId="11792" xr:uid="{EE3E7E5B-7845-4957-95DD-3ECB7D0D8433}"/>
    <cellStyle name="Normal 9 2 4 5 4 2 2" xfId="28552" xr:uid="{87B7652A-1EDF-465E-B81C-9038131957DD}"/>
    <cellStyle name="Normal 9 2 4 5 4 2 3" xfId="45311" xr:uid="{D6E2BE1A-A6AF-4F5F-8B6D-8EBA0C138E98}"/>
    <cellStyle name="Normal 9 2 4 5 4 3" xfId="20172" xr:uid="{F402ADDC-BB1D-4B9E-90ED-D74C97A04193}"/>
    <cellStyle name="Normal 9 2 4 5 4 4" xfId="36931" xr:uid="{C74D8220-D3CD-44EC-A05B-C0CBFCF408BC}"/>
    <cellStyle name="Normal 9 2 4 5 5" xfId="9989" xr:uid="{E174BFE9-0056-4912-8A56-60104271C988}"/>
    <cellStyle name="Normal 9 2 4 5 5 2" xfId="26749" xr:uid="{2B166C80-35F2-40FA-812F-08C0EC97C8D2}"/>
    <cellStyle name="Normal 9 2 4 5 5 3" xfId="43508" xr:uid="{59AEA56E-E24A-42F9-9B36-360A35D80E0A}"/>
    <cellStyle name="Normal 9 2 4 5 6" xfId="18369" xr:uid="{BB647B72-E38C-4517-8806-F9A7BB3794E1}"/>
    <cellStyle name="Normal 9 2 4 5 7" xfId="35128" xr:uid="{72F850F6-3AC6-46CB-A687-B58C34F4DED2}"/>
    <cellStyle name="Normal 9 2 4 6" xfId="1711" xr:uid="{78CC0E54-12ED-4F31-93A5-3E4F27099D79}"/>
    <cellStyle name="Normal 9 2 4 6 2" xfId="5100" xr:uid="{1229D5C1-C70A-45A5-B3B0-482F7997DEEB}"/>
    <cellStyle name="Normal 9 2 4 6 2 2" xfId="13480" xr:uid="{C7A48288-6D58-4AFD-B634-53EDF18C1EA6}"/>
    <cellStyle name="Normal 9 2 4 6 2 2 2" xfId="30240" xr:uid="{9B85C365-04DE-4266-8FF7-6C55E14E27C3}"/>
    <cellStyle name="Normal 9 2 4 6 2 2 3" xfId="46999" xr:uid="{AFF549F7-C440-4D85-BC02-9FACC8E69C54}"/>
    <cellStyle name="Normal 9 2 4 6 2 3" xfId="21860" xr:uid="{C5FD0D49-6567-4A6E-8393-E7CB76E4C4C6}"/>
    <cellStyle name="Normal 9 2 4 6 2 4" xfId="38619" xr:uid="{514468FA-855C-4D3B-80E9-0210FBDEB2DF}"/>
    <cellStyle name="Normal 9 2 4 6 3" xfId="6787" xr:uid="{91605EFE-372C-417F-92BD-E4B587B31288}"/>
    <cellStyle name="Normal 9 2 4 6 3 2" xfId="15167" xr:uid="{67828EA0-8703-4E85-B61B-935BF542E9C8}"/>
    <cellStyle name="Normal 9 2 4 6 3 2 2" xfId="31927" xr:uid="{C6BB76A6-CA9C-46BD-AFD4-BAAD6BEDDB82}"/>
    <cellStyle name="Normal 9 2 4 6 3 2 3" xfId="48686" xr:uid="{E04C8A8F-7827-46CE-BBE3-0F0536CD2E1F}"/>
    <cellStyle name="Normal 9 2 4 6 3 3" xfId="23547" xr:uid="{58B0FF90-826B-4117-B0F2-7BDE7121DEAF}"/>
    <cellStyle name="Normal 9 2 4 6 3 4" xfId="40306" xr:uid="{0A9F34AB-4EFC-4E5A-8EA2-F931EA325C04}"/>
    <cellStyle name="Normal 9 2 4 6 4" xfId="2556" xr:uid="{C05D5000-15A5-48AB-BEED-8AEEB508D264}"/>
    <cellStyle name="Normal 9 2 4 6 4 2" xfId="10938" xr:uid="{CFBC3726-D28C-40DD-A539-91EF04818618}"/>
    <cellStyle name="Normal 9 2 4 6 4 2 2" xfId="27698" xr:uid="{2A76B15A-D08E-4609-AEC2-AE3EA882F2E6}"/>
    <cellStyle name="Normal 9 2 4 6 4 2 3" xfId="44457" xr:uid="{75CB0E6B-72D0-4B3F-B5BB-EBEAD30A8DDE}"/>
    <cellStyle name="Normal 9 2 4 6 4 3" xfId="19318" xr:uid="{09A34C26-8B9A-400D-B501-32728094F373}"/>
    <cellStyle name="Normal 9 2 4 6 4 4" xfId="36077" xr:uid="{FE513184-3B5F-43AB-90DA-76E40704E4FA}"/>
    <cellStyle name="Normal 9 2 4 6 5" xfId="10100" xr:uid="{EBE8FE10-AF0D-4036-8A50-895156FDCAE0}"/>
    <cellStyle name="Normal 9 2 4 6 5 2" xfId="26860" xr:uid="{F5A95AF7-0D4A-4B62-8544-093064312492}"/>
    <cellStyle name="Normal 9 2 4 6 5 3" xfId="43619" xr:uid="{98A84C35-00B7-41E6-B1A6-DF3B7EEA8E9C}"/>
    <cellStyle name="Normal 9 2 4 6 6" xfId="18480" xr:uid="{1A38FEEF-C8B2-411D-9A44-270B48C941CF}"/>
    <cellStyle name="Normal 9 2 4 6 7" xfId="35239" xr:uid="{1B4A419D-ABC1-409C-A936-FD124FE9FC8A}"/>
    <cellStyle name="Normal 9 2 4 7" xfId="3829" xr:uid="{3EFA31E9-CEA4-466A-889B-5C25B361ABE0}"/>
    <cellStyle name="Normal 9 2 4 7 2" xfId="12209" xr:uid="{20E01E37-2642-45B7-BC4E-08146315AB4A}"/>
    <cellStyle name="Normal 9 2 4 7 2 2" xfId="28969" xr:uid="{57FB3C1A-E9CE-4FAA-8A50-765718599EC4}"/>
    <cellStyle name="Normal 9 2 4 7 2 3" xfId="45728" xr:uid="{BE8E2B06-9EAC-40BB-951A-43BC69D5C35B}"/>
    <cellStyle name="Normal 9 2 4 7 3" xfId="20589" xr:uid="{3D83FC53-46E1-4C50-B605-551151AEB433}"/>
    <cellStyle name="Normal 9 2 4 7 4" xfId="37348" xr:uid="{CE5E337A-E99F-4750-8B5B-CB0156F90294}"/>
    <cellStyle name="Normal 9 2 4 8" xfId="5822" xr:uid="{55D9F823-BDBF-46D1-A399-06DD7794CDA2}"/>
    <cellStyle name="Normal 9 2 4 8 2" xfId="14202" xr:uid="{70334356-9D8F-4EF6-A9F1-AB8B183328CA}"/>
    <cellStyle name="Normal 9 2 4 8 2 2" xfId="30962" xr:uid="{D74600E4-2A58-495C-B6B1-0EE5AC11E5EA}"/>
    <cellStyle name="Normal 9 2 4 8 2 3" xfId="47721" xr:uid="{BAD1EBF0-9E5A-4D26-BC0E-F8D25B0CC3E8}"/>
    <cellStyle name="Normal 9 2 4 8 3" xfId="22582" xr:uid="{FC77DC6F-985A-4880-B6E7-41AE68175356}"/>
    <cellStyle name="Normal 9 2 4 8 4" xfId="39341" xr:uid="{60085593-984B-428F-BA81-9D2A9F4E0C31}"/>
    <cellStyle name="Normal 9 2 4 9" xfId="7193" xr:uid="{13635694-4286-47C3-B7F0-655632D23E03}"/>
    <cellStyle name="Normal 9 2 4 9 2" xfId="15573" xr:uid="{36F9C21B-A54F-44F0-BAEC-4CB194BBAADB}"/>
    <cellStyle name="Normal 9 2 4 9 2 2" xfId="32333" xr:uid="{74C519F0-44D6-4CE4-9C43-6178C87021A5}"/>
    <cellStyle name="Normal 9 2 4 9 2 3" xfId="49092" xr:uid="{C6BAFDEE-89A8-42BA-8B38-5A24D71618E6}"/>
    <cellStyle name="Normal 9 2 4 9 3" xfId="23953" xr:uid="{0E7C82D8-3B7E-4520-97FA-7CAE0546622A}"/>
    <cellStyle name="Normal 9 2 4 9 4" xfId="40712" xr:uid="{04EBB8C1-2F90-4141-9C38-D9E7F4572AAC}"/>
    <cellStyle name="Normal 9 2 5" xfId="730" xr:uid="{1A1C62A6-5E5E-4FCD-A9E8-0E465B153D34}"/>
    <cellStyle name="Normal 9 2 5 10" xfId="7636" xr:uid="{C9EF8A54-AFE5-4E44-9928-1BD4346871CA}"/>
    <cellStyle name="Normal 9 2 5 10 2" xfId="16016" xr:uid="{2FD345FC-04FB-4766-A931-4A2455181266}"/>
    <cellStyle name="Normal 9 2 5 10 2 2" xfId="32776" xr:uid="{FD7502A4-ACC5-43B2-92B1-1C03DD2DF6A2}"/>
    <cellStyle name="Normal 9 2 5 10 2 3" xfId="49535" xr:uid="{018EE8C9-04A5-4856-8200-C99BC4FB9DBF}"/>
    <cellStyle name="Normal 9 2 5 10 3" xfId="24396" xr:uid="{5077A584-3C30-4327-A389-AB3BFA0850CE}"/>
    <cellStyle name="Normal 9 2 5 10 4" xfId="41155" xr:uid="{2ED52556-2B40-42D6-8044-4AF0DD57064B}"/>
    <cellStyle name="Normal 9 2 5 11" xfId="8042" xr:uid="{084CD75F-DEBD-4CEC-B8DD-435F00126A57}"/>
    <cellStyle name="Normal 9 2 5 11 2" xfId="16422" xr:uid="{4D2F857A-692E-43BE-956D-12B8BFE12DC3}"/>
    <cellStyle name="Normal 9 2 5 11 2 2" xfId="33182" xr:uid="{A07B31A6-DFE3-4340-95A0-F90FBBFEF7E7}"/>
    <cellStyle name="Normal 9 2 5 11 2 3" xfId="49941" xr:uid="{93985898-06CD-43BD-9AE8-439A2C5931F4}"/>
    <cellStyle name="Normal 9 2 5 11 3" xfId="24802" xr:uid="{D999B230-B047-47C6-B050-A75537384DFF}"/>
    <cellStyle name="Normal 9 2 5 11 4" xfId="41561" xr:uid="{42B0A347-07E7-447C-A229-CD76B84B8418}"/>
    <cellStyle name="Normal 9 2 5 12" xfId="8448" xr:uid="{95AC6AF6-9B3A-4F97-B4CF-677E87F2C17D}"/>
    <cellStyle name="Normal 9 2 5 12 2" xfId="16828" xr:uid="{638AD847-6A0B-4DA5-96BA-7DADA102940E}"/>
    <cellStyle name="Normal 9 2 5 12 2 2" xfId="33588" xr:uid="{7D20C278-19A8-44EB-A220-0A3FD650A7B4}"/>
    <cellStyle name="Normal 9 2 5 12 2 3" xfId="50347" xr:uid="{F71AEF61-1B67-465F-AE11-8710BF453C42}"/>
    <cellStyle name="Normal 9 2 5 12 3" xfId="25208" xr:uid="{39B293EA-5765-46D4-A151-1B341691A9BF}"/>
    <cellStyle name="Normal 9 2 5 12 4" xfId="41967" xr:uid="{3F9D5112-1EC1-4154-9A67-522E83AFBCBE}"/>
    <cellStyle name="Normal 9 2 5 13" xfId="2135" xr:uid="{AAFF2C8B-4CC1-4226-80D0-C12F43D2F4F3}"/>
    <cellStyle name="Normal 9 2 5 13 2" xfId="10523" xr:uid="{D85C1F89-C228-4392-AF04-FA70546B9A8A}"/>
    <cellStyle name="Normal 9 2 5 13 2 2" xfId="27283" xr:uid="{54D3CF86-4B22-4DBC-8767-C3D29EADAD9C}"/>
    <cellStyle name="Normal 9 2 5 13 2 3" xfId="44042" xr:uid="{32232448-E03D-4FC0-A712-B29BABE9C0A1}"/>
    <cellStyle name="Normal 9 2 5 13 3" xfId="18903" xr:uid="{204AA708-0D86-4BFF-B6E0-D1341717EB92}"/>
    <cellStyle name="Normal 9 2 5 13 4" xfId="35662" xr:uid="{F9BFFABC-8642-4EFB-956B-716892578A52}"/>
    <cellStyle name="Normal 9 2 5 14" xfId="9138" xr:uid="{C254B786-37F1-4221-86E0-37B2C56476E9}"/>
    <cellStyle name="Normal 9 2 5 14 2" xfId="25898" xr:uid="{A219B272-FFA4-42AE-8123-EEB8DF79E9FC}"/>
    <cellStyle name="Normal 9 2 5 14 3" xfId="42657" xr:uid="{CD88DE7D-9FE4-4A98-8E9C-7FED9FADE1F9}"/>
    <cellStyle name="Normal 9 2 5 15" xfId="17518" xr:uid="{F2C0C14D-46CC-4BAC-9B1C-1CEB77993BF0}"/>
    <cellStyle name="Normal 9 2 5 16" xfId="34277" xr:uid="{83D5D17B-6CBE-404E-BC1F-B72F90D1DC3F}"/>
    <cellStyle name="Normal 9 2 5 2" xfId="731" xr:uid="{DC651A51-9621-4EA7-90BB-F1F7689B00EC}"/>
    <cellStyle name="Normal 9 2 5 2 10" xfId="8588" xr:uid="{B2350CBE-F0D1-449C-8755-FEBDF6D78F20}"/>
    <cellStyle name="Normal 9 2 5 2 10 2" xfId="16968" xr:uid="{1C8B3ABA-BD21-4716-9C77-393CE3D5C4D2}"/>
    <cellStyle name="Normal 9 2 5 2 10 2 2" xfId="33728" xr:uid="{D06178F9-0DB4-4CD8-A027-CEEFF65C876B}"/>
    <cellStyle name="Normal 9 2 5 2 10 2 3" xfId="50487" xr:uid="{8E95BE65-CF2C-4E9D-91A4-20AB307EE1D7}"/>
    <cellStyle name="Normal 9 2 5 2 10 3" xfId="25348" xr:uid="{9CC0330D-9495-42AD-88F8-4B4C8AA364C8}"/>
    <cellStyle name="Normal 9 2 5 2 10 4" xfId="42107" xr:uid="{3E8BDB18-1297-4BC1-813F-1FF352359F7A}"/>
    <cellStyle name="Normal 9 2 5 2 11" xfId="2560" xr:uid="{33ACAE5A-3841-4D52-BDB6-6862E143D236}"/>
    <cellStyle name="Normal 9 2 5 2 11 2" xfId="10942" xr:uid="{B8AF4482-1630-430C-9C1B-5B307BFCB6BA}"/>
    <cellStyle name="Normal 9 2 5 2 11 2 2" xfId="27702" xr:uid="{34CE53AD-88C9-4BAF-B60A-DF59A6C83342}"/>
    <cellStyle name="Normal 9 2 5 2 11 2 3" xfId="44461" xr:uid="{9426D7FE-9341-462B-BDA6-17E66EC0A8FE}"/>
    <cellStyle name="Normal 9 2 5 2 11 3" xfId="19322" xr:uid="{82022F74-AA58-4172-9475-E5A22E74D4AE}"/>
    <cellStyle name="Normal 9 2 5 2 11 4" xfId="36081" xr:uid="{01E8F5B2-BF6B-438F-BF24-27E1879A81B4}"/>
    <cellStyle name="Normal 9 2 5 2 12" xfId="9139" xr:uid="{5081ACC3-14F6-4271-9623-4CD53C749614}"/>
    <cellStyle name="Normal 9 2 5 2 12 2" xfId="25899" xr:uid="{EB2E048F-AE11-4B85-BD79-849EE19D3F5D}"/>
    <cellStyle name="Normal 9 2 5 2 12 3" xfId="42658" xr:uid="{813C890F-A0E5-4F41-925C-A1B4D0379553}"/>
    <cellStyle name="Normal 9 2 5 2 13" xfId="17519" xr:uid="{D1FD9358-7A0B-4BED-8DBA-5E4E4123558D}"/>
    <cellStyle name="Normal 9 2 5 2 14" xfId="34278" xr:uid="{852BBD9B-E97B-4A30-AED4-EE6F2FD4583F}"/>
    <cellStyle name="Normal 9 2 5 2 2" xfId="1170" xr:uid="{14EC4DCC-D682-4155-B6FD-7F9DB333897E}"/>
    <cellStyle name="Normal 9 2 5 2 2 2" xfId="4565" xr:uid="{EA745392-CCA6-4EBA-92E2-42C1888B5D83}"/>
    <cellStyle name="Normal 9 2 5 2 2 2 2" xfId="12945" xr:uid="{6E9917C6-B1DE-4A95-A309-571F9BD7F74E}"/>
    <cellStyle name="Normal 9 2 5 2 2 2 2 2" xfId="29705" xr:uid="{0C6002E8-61B5-4B25-8075-8CCDADAFD7FF}"/>
    <cellStyle name="Normal 9 2 5 2 2 2 2 3" xfId="46464" xr:uid="{0697E908-8B87-4DC3-96C2-A449CD1AC652}"/>
    <cellStyle name="Normal 9 2 5 2 2 2 3" xfId="21325" xr:uid="{D54A1ABB-7C3B-4A42-9A66-D6BBD519CD5B}"/>
    <cellStyle name="Normal 9 2 5 2 2 2 4" xfId="38084" xr:uid="{4F2CE031-86E0-4DA4-825E-11367304D9F5}"/>
    <cellStyle name="Normal 9 2 5 2 2 3" xfId="6252" xr:uid="{700EE0D8-0A89-4367-8F37-21857220CAA3}"/>
    <cellStyle name="Normal 9 2 5 2 2 3 2" xfId="14632" xr:uid="{4A2502C7-3FBF-47E7-9FC9-96B82290C073}"/>
    <cellStyle name="Normal 9 2 5 2 2 3 2 2" xfId="31392" xr:uid="{D2D06E26-5ACA-4E90-A2A8-1C5802B9704F}"/>
    <cellStyle name="Normal 9 2 5 2 2 3 2 3" xfId="48151" xr:uid="{333C5933-F623-4D9B-AB67-9CBB0C9B8642}"/>
    <cellStyle name="Normal 9 2 5 2 2 3 3" xfId="23012" xr:uid="{076BA05B-3FB7-42D9-B413-D5860154BBD9}"/>
    <cellStyle name="Normal 9 2 5 2 2 3 4" xfId="39771" xr:uid="{A20E292F-CFEB-46A8-BAD3-A67650E50712}"/>
    <cellStyle name="Normal 9 2 5 2 2 4" xfId="2988" xr:uid="{D9103CC9-FE1E-4B8B-AD68-67578B4977ED}"/>
    <cellStyle name="Normal 9 2 5 2 2 4 2" xfId="11368" xr:uid="{EF1BA6AF-612E-48CC-B871-C7BD6BFEB20C}"/>
    <cellStyle name="Normal 9 2 5 2 2 4 2 2" xfId="28128" xr:uid="{1647D737-46FF-48DB-AA8F-D62713C6F430}"/>
    <cellStyle name="Normal 9 2 5 2 2 4 2 3" xfId="44887" xr:uid="{DBA75A99-E0CC-4BE6-A844-DD7D0EF9D63C}"/>
    <cellStyle name="Normal 9 2 5 2 2 4 3" xfId="19748" xr:uid="{17C1957B-EDCD-4934-AAF7-558B55126763}"/>
    <cellStyle name="Normal 9 2 5 2 2 4 4" xfId="36507" xr:uid="{014500E8-5FE5-4FC9-8FB3-DD81026A4E9C}"/>
    <cellStyle name="Normal 9 2 5 2 2 5" xfId="9565" xr:uid="{282B8E5A-F16E-44B5-8BF7-04C4507660F6}"/>
    <cellStyle name="Normal 9 2 5 2 2 5 2" xfId="26325" xr:uid="{C6EE1EC0-C96C-4B73-9C88-5EB320F5BEF7}"/>
    <cellStyle name="Normal 9 2 5 2 2 5 3" xfId="43084" xr:uid="{C5E02D04-CF35-4EC2-A723-39E24914FDEB}"/>
    <cellStyle name="Normal 9 2 5 2 2 6" xfId="17945" xr:uid="{FF18A777-33C7-447C-B742-ED08B1F0D33A}"/>
    <cellStyle name="Normal 9 2 5 2 2 7" xfId="34704" xr:uid="{FFB32111-546E-426F-8D2A-B1F4B87F841B}"/>
    <cellStyle name="Normal 9 2 5 2 3" xfId="1604" xr:uid="{8EC08506-6D52-46DD-9623-8C8EFA2EE3F8}"/>
    <cellStyle name="Normal 9 2 5 2 3 2" xfId="4993" xr:uid="{1CDE4B54-1C4B-4058-BFB2-FA74F030CF9B}"/>
    <cellStyle name="Normal 9 2 5 2 3 2 2" xfId="13373" xr:uid="{CD3F77E7-5007-484B-93D9-A50F6EA05B9E}"/>
    <cellStyle name="Normal 9 2 5 2 3 2 2 2" xfId="30133" xr:uid="{DBF7ACE5-163F-4701-86FC-4750165CF81F}"/>
    <cellStyle name="Normal 9 2 5 2 3 2 2 3" xfId="46892" xr:uid="{DC2D3B49-9E27-462B-8BE4-44ABDBC87B41}"/>
    <cellStyle name="Normal 9 2 5 2 3 2 3" xfId="21753" xr:uid="{41ECDF06-9EB9-49FA-8D5E-C544F176EFEB}"/>
    <cellStyle name="Normal 9 2 5 2 3 2 4" xfId="38512" xr:uid="{F6AA134C-F64F-4F54-9055-DF0E5E35ACC9}"/>
    <cellStyle name="Normal 9 2 5 2 3 3" xfId="6680" xr:uid="{7DF9CF7F-D901-48D2-916A-90596C07D6AF}"/>
    <cellStyle name="Normal 9 2 5 2 3 3 2" xfId="15060" xr:uid="{51AA031F-0C07-4F85-A3B4-4B56FD3069B3}"/>
    <cellStyle name="Normal 9 2 5 2 3 3 2 2" xfId="31820" xr:uid="{DF696F7C-911B-439C-8C0B-F42FF4583B41}"/>
    <cellStyle name="Normal 9 2 5 2 3 3 2 3" xfId="48579" xr:uid="{FEB4B1FE-03C7-4C22-B2FF-6E40045D495B}"/>
    <cellStyle name="Normal 9 2 5 2 3 3 3" xfId="23440" xr:uid="{4A19D8B5-184E-4353-9001-3E0C1FC3F0CA}"/>
    <cellStyle name="Normal 9 2 5 2 3 3 4" xfId="40199" xr:uid="{F7B4A213-7C96-45EB-A364-D5A11F5F0820}"/>
    <cellStyle name="Normal 9 2 5 2 3 4" xfId="3416" xr:uid="{018620B4-F2D0-41C3-A418-03FAE3F533FD}"/>
    <cellStyle name="Normal 9 2 5 2 3 4 2" xfId="11796" xr:uid="{622B5AF9-2BBC-44E5-9A39-A8BD6D08676C}"/>
    <cellStyle name="Normal 9 2 5 2 3 4 2 2" xfId="28556" xr:uid="{994D6362-31C2-4E9F-B771-34DC5F2CB622}"/>
    <cellStyle name="Normal 9 2 5 2 3 4 2 3" xfId="45315" xr:uid="{451F70CD-CAC7-4A60-8EA0-DABA08941E52}"/>
    <cellStyle name="Normal 9 2 5 2 3 4 3" xfId="20176" xr:uid="{7F1DFC82-7AB4-4F20-8C84-300787512887}"/>
    <cellStyle name="Normal 9 2 5 2 3 4 4" xfId="36935" xr:uid="{F65646F5-7790-4AFA-8094-3B05ADDDBD2A}"/>
    <cellStyle name="Normal 9 2 5 2 3 5" xfId="9993" xr:uid="{9BAE375B-AACF-499B-81F9-6CEBDB657136}"/>
    <cellStyle name="Normal 9 2 5 2 3 5 2" xfId="26753" xr:uid="{69F23053-9150-4ED7-9733-4124F664EE6E}"/>
    <cellStyle name="Normal 9 2 5 2 3 5 3" xfId="43512" xr:uid="{34E8FBF3-E5B9-43E8-91A3-538085ADE9BB}"/>
    <cellStyle name="Normal 9 2 5 2 3 6" xfId="18373" xr:uid="{B9B4C493-05FF-408D-B53E-BA325E6874A6}"/>
    <cellStyle name="Normal 9 2 5 2 3 7" xfId="35132" xr:uid="{F9B8D9ED-649D-47D9-A12F-079927C80A45}"/>
    <cellStyle name="Normal 9 2 5 2 4" xfId="1888" xr:uid="{AD73F997-1B94-4A39-91A9-14337926099A}"/>
    <cellStyle name="Normal 9 2 5 2 4 2" xfId="5277" xr:uid="{1D8CACC4-151A-433F-94F6-64BDE6D0A145}"/>
    <cellStyle name="Normal 9 2 5 2 4 2 2" xfId="13657" xr:uid="{8F3DBB03-BCF7-4161-A084-BEFB21A3456A}"/>
    <cellStyle name="Normal 9 2 5 2 4 2 2 2" xfId="30417" xr:uid="{E968E5E6-6E65-4182-84C9-2834A0D50B6D}"/>
    <cellStyle name="Normal 9 2 5 2 4 2 2 3" xfId="47176" xr:uid="{9F6D83B9-F1E7-439B-82FA-5B2D92B67F1B}"/>
    <cellStyle name="Normal 9 2 5 2 4 2 3" xfId="22037" xr:uid="{177D2D60-B8E6-4087-8D94-BD46F669FCCA}"/>
    <cellStyle name="Normal 9 2 5 2 4 2 4" xfId="38796" xr:uid="{A07E21AB-7E4D-4CE9-9F7E-3793A06B4AC4}"/>
    <cellStyle name="Normal 9 2 5 2 4 3" xfId="6964" xr:uid="{2CCB5BAF-CEC5-42C7-9559-A6005E7B7E08}"/>
    <cellStyle name="Normal 9 2 5 2 4 3 2" xfId="15344" xr:uid="{94702E94-16CD-4F83-A166-ACFAC9B15B27}"/>
    <cellStyle name="Normal 9 2 5 2 4 3 2 2" xfId="32104" xr:uid="{D11DB6DE-14A1-417A-81C8-B3C114952D96}"/>
    <cellStyle name="Normal 9 2 5 2 4 3 2 3" xfId="48863" xr:uid="{33C9572B-4BE2-43EA-81BA-22DDD078FB0D}"/>
    <cellStyle name="Normal 9 2 5 2 4 3 3" xfId="23724" xr:uid="{16EAB8F3-9846-4528-8D18-A5793EE047BF}"/>
    <cellStyle name="Normal 9 2 5 2 4 3 4" xfId="40483" xr:uid="{D96D854C-B398-4D9D-92F9-9277E4691799}"/>
    <cellStyle name="Normal 9 2 5 2 4 4" xfId="3587" xr:uid="{5E7294B9-7643-4657-946D-819EE7AECE89}"/>
    <cellStyle name="Normal 9 2 5 2 4 4 2" xfId="11967" xr:uid="{E391F000-022E-444D-A2C4-F15ACDB3EAAB}"/>
    <cellStyle name="Normal 9 2 5 2 4 4 2 2" xfId="28727" xr:uid="{7D43AE2E-F992-4C69-BEA7-B92F4F2F4D9A}"/>
    <cellStyle name="Normal 9 2 5 2 4 4 2 3" xfId="45486" xr:uid="{7E7FDB81-8C02-4E56-89A6-078ABDE6EE0B}"/>
    <cellStyle name="Normal 9 2 5 2 4 4 3" xfId="20347" xr:uid="{2A432B62-C953-4A6D-B8D9-DF019D4478C8}"/>
    <cellStyle name="Normal 9 2 5 2 4 4 4" xfId="37106" xr:uid="{4DBC8FB8-BCF4-4B2E-852C-5A3175F26F58}"/>
    <cellStyle name="Normal 9 2 5 2 4 5" xfId="10277" xr:uid="{6E3323DB-EE84-436B-A1DC-50BE3B9D15DC}"/>
    <cellStyle name="Normal 9 2 5 2 4 5 2" xfId="27037" xr:uid="{8A812C0E-2681-4B37-8824-74423FC5F9E9}"/>
    <cellStyle name="Normal 9 2 5 2 4 5 3" xfId="43796" xr:uid="{A13C7B01-54BB-4D7A-A1D8-F575B9750942}"/>
    <cellStyle name="Normal 9 2 5 2 4 6" xfId="18657" xr:uid="{D8CEDF65-30AC-4E64-8A16-D139745F1AFD}"/>
    <cellStyle name="Normal 9 2 5 2 4 7" xfId="35416" xr:uid="{5D74B7FE-9A7D-45BB-AA1C-9A479CDA89DC}"/>
    <cellStyle name="Normal 9 2 5 2 5" xfId="4007" xr:uid="{A297F2EC-DEE1-4F9F-A4DF-7B25C9042D1F}"/>
    <cellStyle name="Normal 9 2 5 2 5 2" xfId="12387" xr:uid="{714E8C36-6F9C-41E1-B8F4-7E6D675F2D6D}"/>
    <cellStyle name="Normal 9 2 5 2 5 2 2" xfId="29147" xr:uid="{06B0B65B-4BCE-428A-A341-767949A3A3FB}"/>
    <cellStyle name="Normal 9 2 5 2 5 2 3" xfId="45906" xr:uid="{D78364A0-46B5-49BA-8F1F-1005E9ADACA3}"/>
    <cellStyle name="Normal 9 2 5 2 5 3" xfId="20767" xr:uid="{FC6C1128-3ECA-455A-AE01-6EDF2F56FBD9}"/>
    <cellStyle name="Normal 9 2 5 2 5 4" xfId="37526" xr:uid="{DE10B262-D7BD-406D-8593-5AA19CF8D7D9}"/>
    <cellStyle name="Normal 9 2 5 2 6" xfId="5826" xr:uid="{530CFC3A-A965-4000-8324-30A03AAC79EA}"/>
    <cellStyle name="Normal 9 2 5 2 6 2" xfId="14206" xr:uid="{0FD432DA-F7BB-40D7-AFBC-6A074DF9A8E1}"/>
    <cellStyle name="Normal 9 2 5 2 6 2 2" xfId="30966" xr:uid="{7E4B6D76-AC3B-4EB9-BD1B-B36C54B42C24}"/>
    <cellStyle name="Normal 9 2 5 2 6 2 3" xfId="47725" xr:uid="{EA5D98F9-2CA9-4957-8A5F-F4BC105D5F06}"/>
    <cellStyle name="Normal 9 2 5 2 6 3" xfId="22586" xr:uid="{29451950-1E86-4B93-9048-6A2D2D366ECB}"/>
    <cellStyle name="Normal 9 2 5 2 6 4" xfId="39345" xr:uid="{E0EC0E5B-7905-43A5-AC91-16D828C896B5}"/>
    <cellStyle name="Normal 9 2 5 2 7" xfId="7370" xr:uid="{CB065B72-D68A-4BB4-9827-E8AE8BD8E1F1}"/>
    <cellStyle name="Normal 9 2 5 2 7 2" xfId="15750" xr:uid="{2E6DAF0B-8546-4D3A-A13B-7B07C0193219}"/>
    <cellStyle name="Normal 9 2 5 2 7 2 2" xfId="32510" xr:uid="{259C61F2-FAD7-4803-8E80-9E0E255E7177}"/>
    <cellStyle name="Normal 9 2 5 2 7 2 3" xfId="49269" xr:uid="{5E96C982-1F1C-4343-8B14-EDA2AD4D7790}"/>
    <cellStyle name="Normal 9 2 5 2 7 3" xfId="24130" xr:uid="{30EE41C2-5B70-4B31-BC99-B4480236C745}"/>
    <cellStyle name="Normal 9 2 5 2 7 4" xfId="40889" xr:uid="{87592945-BF9A-4F40-830C-CD09CD76E715}"/>
    <cellStyle name="Normal 9 2 5 2 8" xfId="7776" xr:uid="{D0EA8F29-B1D3-4355-94A1-23BB394085A5}"/>
    <cellStyle name="Normal 9 2 5 2 8 2" xfId="16156" xr:uid="{98F217C2-BE15-4FE7-9820-EA1C5D6712F6}"/>
    <cellStyle name="Normal 9 2 5 2 8 2 2" xfId="32916" xr:uid="{B92B8B06-38F2-44AC-AEDA-CFC85F736BC5}"/>
    <cellStyle name="Normal 9 2 5 2 8 2 3" xfId="49675" xr:uid="{D7BF6F51-5149-4B3C-A37C-F97CED848F50}"/>
    <cellStyle name="Normal 9 2 5 2 8 3" xfId="24536" xr:uid="{62840E01-3EEF-43C0-9CB6-B381D3A4D209}"/>
    <cellStyle name="Normal 9 2 5 2 8 4" xfId="41295" xr:uid="{EE4D944F-4979-4895-A473-AD36653F962B}"/>
    <cellStyle name="Normal 9 2 5 2 9" xfId="8182" xr:uid="{7D52A80E-9244-4124-967C-59BBBA79176C}"/>
    <cellStyle name="Normal 9 2 5 2 9 2" xfId="16562" xr:uid="{FC44CB37-6D0B-4DC8-A6FE-CACACE63DBEC}"/>
    <cellStyle name="Normal 9 2 5 2 9 2 2" xfId="33322" xr:uid="{A461451B-2E20-46EE-A4C0-9D33FA668005}"/>
    <cellStyle name="Normal 9 2 5 2 9 2 3" xfId="50081" xr:uid="{A38AC1E2-9FE9-4397-9BF6-9FB8668CBB76}"/>
    <cellStyle name="Normal 9 2 5 2 9 3" xfId="24942" xr:uid="{1F636BFB-F392-4EB1-BE54-94427FB33A75}"/>
    <cellStyle name="Normal 9 2 5 2 9 4" xfId="41701" xr:uid="{27CB5906-886D-41B9-9A4C-17796802279C}"/>
    <cellStyle name="Normal 9 2 5 3" xfId="732" xr:uid="{DEA70A0D-32FC-48D5-B0CC-6BBD0B22C8C2}"/>
    <cellStyle name="Normal 9 2 5 3 10" xfId="8719" xr:uid="{A846BA34-6F89-4B71-B471-5F92DD2903B6}"/>
    <cellStyle name="Normal 9 2 5 3 10 2" xfId="17099" xr:uid="{8D71F349-ABE1-4900-9BA4-993607467D30}"/>
    <cellStyle name="Normal 9 2 5 3 10 2 2" xfId="33859" xr:uid="{6C22C54D-8D3B-4A31-9080-2CCF693EB28D}"/>
    <cellStyle name="Normal 9 2 5 3 10 2 3" xfId="50618" xr:uid="{7B3F7647-94B4-4FE1-A0B0-BD75498E83F1}"/>
    <cellStyle name="Normal 9 2 5 3 10 3" xfId="25479" xr:uid="{12E9DBEC-66EB-4EAA-8B42-8F71ABB9FBF9}"/>
    <cellStyle name="Normal 9 2 5 3 10 4" xfId="42238" xr:uid="{6E7A5EDF-9343-4BD6-BEAA-E5A8427073CD}"/>
    <cellStyle name="Normal 9 2 5 3 11" xfId="2561" xr:uid="{8016A246-C5C7-4BAE-A8A7-AC0C78D9B216}"/>
    <cellStyle name="Normal 9 2 5 3 11 2" xfId="10943" xr:uid="{3E2C3549-FA9D-4B7A-BAC4-790EF69F853A}"/>
    <cellStyle name="Normal 9 2 5 3 11 2 2" xfId="27703" xr:uid="{518B8E56-46B6-4879-A348-6C4F4AD51ED8}"/>
    <cellStyle name="Normal 9 2 5 3 11 2 3" xfId="44462" xr:uid="{1201A219-F25F-40EC-94F7-5B2C9B519F5F}"/>
    <cellStyle name="Normal 9 2 5 3 11 3" xfId="19323" xr:uid="{128587DC-2CC6-4018-9DFC-E99BC35AC61C}"/>
    <cellStyle name="Normal 9 2 5 3 11 4" xfId="36082" xr:uid="{F6C90AF8-6C0E-431A-BC36-450082C32B6A}"/>
    <cellStyle name="Normal 9 2 5 3 12" xfId="9140" xr:uid="{F2B5E071-40B4-4684-84A7-4D87E2DF8E90}"/>
    <cellStyle name="Normal 9 2 5 3 12 2" xfId="25900" xr:uid="{F1EC21BD-E775-4D17-812B-A4D6986630AB}"/>
    <cellStyle name="Normal 9 2 5 3 12 3" xfId="42659" xr:uid="{6EB1B63E-F9CA-4331-BAA8-308ED6C61118}"/>
    <cellStyle name="Normal 9 2 5 3 13" xfId="17520" xr:uid="{D4EC47EC-1979-4239-B36F-C43C2D1F29BD}"/>
    <cellStyle name="Normal 9 2 5 3 14" xfId="34279" xr:uid="{8828C770-4688-4F32-9960-454552D0970D}"/>
    <cellStyle name="Normal 9 2 5 3 2" xfId="1171" xr:uid="{CCBF5142-B801-4B38-8FFC-C6322E7F2B77}"/>
    <cellStyle name="Normal 9 2 5 3 2 2" xfId="4566" xr:uid="{307F0EC7-88D8-4A2D-A76A-5281A809E01A}"/>
    <cellStyle name="Normal 9 2 5 3 2 2 2" xfId="12946" xr:uid="{20C63440-BA42-42A3-84FE-306254368A1B}"/>
    <cellStyle name="Normal 9 2 5 3 2 2 2 2" xfId="29706" xr:uid="{AF5014CD-79A1-4003-9FDD-FCC0380CD0A1}"/>
    <cellStyle name="Normal 9 2 5 3 2 2 2 3" xfId="46465" xr:uid="{85AEED5C-1F24-4070-B8E4-1EBED87755C6}"/>
    <cellStyle name="Normal 9 2 5 3 2 2 3" xfId="21326" xr:uid="{0635B67C-91DD-47E5-BABF-4D636214E5B6}"/>
    <cellStyle name="Normal 9 2 5 3 2 2 4" xfId="38085" xr:uid="{8179FF59-2E9D-4D7C-B316-4B41FD1513E9}"/>
    <cellStyle name="Normal 9 2 5 3 2 3" xfId="6253" xr:uid="{05F6C49C-5F0D-4635-9011-F3285263E3A0}"/>
    <cellStyle name="Normal 9 2 5 3 2 3 2" xfId="14633" xr:uid="{BAEBBF29-39F8-4565-A23C-1AE3EB969F93}"/>
    <cellStyle name="Normal 9 2 5 3 2 3 2 2" xfId="31393" xr:uid="{4A93A3E8-D321-4CFB-9117-EAFA28F7D06B}"/>
    <cellStyle name="Normal 9 2 5 3 2 3 2 3" xfId="48152" xr:uid="{819F0303-89C0-42E4-88D3-FC824CFA52DC}"/>
    <cellStyle name="Normal 9 2 5 3 2 3 3" xfId="23013" xr:uid="{79BBD859-E025-47CD-AAF9-66EBA9E0D9A8}"/>
    <cellStyle name="Normal 9 2 5 3 2 3 4" xfId="39772" xr:uid="{F5EECDBE-3272-43F3-B325-A7E5B4A01B0E}"/>
    <cellStyle name="Normal 9 2 5 3 2 4" xfId="2989" xr:uid="{51B4595C-880B-4430-B152-2D27C7488116}"/>
    <cellStyle name="Normal 9 2 5 3 2 4 2" xfId="11369" xr:uid="{DA02BC1B-7A87-4BF7-871B-D4D21311310F}"/>
    <cellStyle name="Normal 9 2 5 3 2 4 2 2" xfId="28129" xr:uid="{40F140A9-8EA8-46B1-8E65-F6BC8846C82E}"/>
    <cellStyle name="Normal 9 2 5 3 2 4 2 3" xfId="44888" xr:uid="{0B052AFF-37D0-45CF-9A42-17DF5A9A82F5}"/>
    <cellStyle name="Normal 9 2 5 3 2 4 3" xfId="19749" xr:uid="{436018CF-FDCE-44C8-9F53-79152084B070}"/>
    <cellStyle name="Normal 9 2 5 3 2 4 4" xfId="36508" xr:uid="{D66181DF-34F5-4B80-A7F8-6644EF538BB8}"/>
    <cellStyle name="Normal 9 2 5 3 2 5" xfId="9566" xr:uid="{9A85C463-39C6-40F0-AEC2-47AF0928644F}"/>
    <cellStyle name="Normal 9 2 5 3 2 5 2" xfId="26326" xr:uid="{4F8CFF15-CEA2-4AE1-921E-672106D3B77B}"/>
    <cellStyle name="Normal 9 2 5 3 2 5 3" xfId="43085" xr:uid="{9CFD9182-CBD6-421A-B0B9-FFBE3EE60431}"/>
    <cellStyle name="Normal 9 2 5 3 2 6" xfId="17946" xr:uid="{20DEC4E3-FB87-4D79-99E8-DB70F699D875}"/>
    <cellStyle name="Normal 9 2 5 3 2 7" xfId="34705" xr:uid="{1B523955-E8DC-40DB-B005-91E2AAB8988D}"/>
    <cellStyle name="Normal 9 2 5 3 3" xfId="1605" xr:uid="{D9B755D6-E093-4151-BEE0-B4CAF4FB9309}"/>
    <cellStyle name="Normal 9 2 5 3 3 2" xfId="4994" xr:uid="{F87AEA3F-82A4-453C-80FD-7D031CFA7B46}"/>
    <cellStyle name="Normal 9 2 5 3 3 2 2" xfId="13374" xr:uid="{16614E87-2FF6-49F3-A711-9AE5380D4D2A}"/>
    <cellStyle name="Normal 9 2 5 3 3 2 2 2" xfId="30134" xr:uid="{889ED6F5-F816-4D11-BE88-B6648E99ADD6}"/>
    <cellStyle name="Normal 9 2 5 3 3 2 2 3" xfId="46893" xr:uid="{C8E9D9F5-20D6-4434-BA79-126E52BE8CC7}"/>
    <cellStyle name="Normal 9 2 5 3 3 2 3" xfId="21754" xr:uid="{A0495BF0-DBA7-4124-8FE4-600A649E55B2}"/>
    <cellStyle name="Normal 9 2 5 3 3 2 4" xfId="38513" xr:uid="{43909AC1-6908-489A-9A0B-FE4056ECC3FF}"/>
    <cellStyle name="Normal 9 2 5 3 3 3" xfId="6681" xr:uid="{7535AE72-C0E3-44EB-B618-7A4C497306D4}"/>
    <cellStyle name="Normal 9 2 5 3 3 3 2" xfId="15061" xr:uid="{0176DFA1-47DA-4BD8-9756-DDFE7415023B}"/>
    <cellStyle name="Normal 9 2 5 3 3 3 2 2" xfId="31821" xr:uid="{ECC78FAD-0393-428E-A4D1-DA769B7D92ED}"/>
    <cellStyle name="Normal 9 2 5 3 3 3 2 3" xfId="48580" xr:uid="{CCE11DCA-B398-471B-BE13-F727F1AF712D}"/>
    <cellStyle name="Normal 9 2 5 3 3 3 3" xfId="23441" xr:uid="{99ABE6E9-7059-439B-A2C1-2540DD03FC8D}"/>
    <cellStyle name="Normal 9 2 5 3 3 3 4" xfId="40200" xr:uid="{39488E77-6769-4D16-B9F0-46FD9A3FF4D4}"/>
    <cellStyle name="Normal 9 2 5 3 3 4" xfId="3417" xr:uid="{F5E952CC-B73A-4503-811F-5E9F12D70B0B}"/>
    <cellStyle name="Normal 9 2 5 3 3 4 2" xfId="11797" xr:uid="{99524EF8-18D2-4A20-8E92-A7F4F10D0AAF}"/>
    <cellStyle name="Normal 9 2 5 3 3 4 2 2" xfId="28557" xr:uid="{E6FE75D8-001E-4F06-BBD0-FF97C37A2F55}"/>
    <cellStyle name="Normal 9 2 5 3 3 4 2 3" xfId="45316" xr:uid="{4546BA5F-F3FE-4E4D-8D08-0961674456F7}"/>
    <cellStyle name="Normal 9 2 5 3 3 4 3" xfId="20177" xr:uid="{1F01ADC8-3EDF-40D5-A197-614864195A76}"/>
    <cellStyle name="Normal 9 2 5 3 3 4 4" xfId="36936" xr:uid="{09E57022-957F-40F5-A515-5D2BC44F3D28}"/>
    <cellStyle name="Normal 9 2 5 3 3 5" xfId="9994" xr:uid="{2C65CA45-F6A8-4EDC-8E6E-F9ABF002B7D4}"/>
    <cellStyle name="Normal 9 2 5 3 3 5 2" xfId="26754" xr:uid="{08FA4C4F-DB4B-4464-8266-441A32102031}"/>
    <cellStyle name="Normal 9 2 5 3 3 5 3" xfId="43513" xr:uid="{CB7500D4-110A-4091-AC5F-06A206D034BE}"/>
    <cellStyle name="Normal 9 2 5 3 3 6" xfId="18374" xr:uid="{84E5667C-D699-45D2-9BAE-72E5CA6A53CA}"/>
    <cellStyle name="Normal 9 2 5 3 3 7" xfId="35133" xr:uid="{037FB65C-8CB8-49D2-8E3F-63001C444528}"/>
    <cellStyle name="Normal 9 2 5 3 4" xfId="2019" xr:uid="{6A25D702-B440-4D7A-AED0-9474DA6BB8F7}"/>
    <cellStyle name="Normal 9 2 5 3 4 2" xfId="5408" xr:uid="{08366A17-6FF1-40DA-AAE8-114F47D4E873}"/>
    <cellStyle name="Normal 9 2 5 3 4 2 2" xfId="13788" xr:uid="{59A27B6B-91E3-49C8-883F-BADBB839B7FA}"/>
    <cellStyle name="Normal 9 2 5 3 4 2 2 2" xfId="30548" xr:uid="{572AE12A-59F3-4A7C-A3DB-435B5FA7228C}"/>
    <cellStyle name="Normal 9 2 5 3 4 2 2 3" xfId="47307" xr:uid="{0579FFBD-3F73-4327-A108-47D42A7F16D5}"/>
    <cellStyle name="Normal 9 2 5 3 4 2 3" xfId="22168" xr:uid="{DF6848D9-9B1E-4A7C-99C2-8DFA06AE86BB}"/>
    <cellStyle name="Normal 9 2 5 3 4 2 4" xfId="38927" xr:uid="{0B38E9A9-4D34-4292-91C3-4AB745FC72EC}"/>
    <cellStyle name="Normal 9 2 5 3 4 3" xfId="7095" xr:uid="{3DA64236-3FE5-4430-BF10-4E8B9D306236}"/>
    <cellStyle name="Normal 9 2 5 3 4 3 2" xfId="15475" xr:uid="{8112A5A5-C56F-4A5F-859F-F000DE593B84}"/>
    <cellStyle name="Normal 9 2 5 3 4 3 2 2" xfId="32235" xr:uid="{DDBF7B61-BCF7-4B6B-A43D-A028FF6D11A8}"/>
    <cellStyle name="Normal 9 2 5 3 4 3 2 3" xfId="48994" xr:uid="{A5E562C7-A9AA-43E3-AE80-7D7CD3933D12}"/>
    <cellStyle name="Normal 9 2 5 3 4 3 3" xfId="23855" xr:uid="{52958949-6864-45F0-9742-C9141CEA37D2}"/>
    <cellStyle name="Normal 9 2 5 3 4 3 4" xfId="40614" xr:uid="{6BAFD57F-BA15-414F-A18D-82E2DFD31F67}"/>
    <cellStyle name="Normal 9 2 5 3 4 4" xfId="3718" xr:uid="{84A693E2-96F8-4FC6-AAE8-25DF16327837}"/>
    <cellStyle name="Normal 9 2 5 3 4 4 2" xfId="12098" xr:uid="{D5795E0E-9F7C-4DF8-B23B-AB2F517F7F52}"/>
    <cellStyle name="Normal 9 2 5 3 4 4 2 2" xfId="28858" xr:uid="{275B113B-0386-4345-B8FE-6C159E2FB771}"/>
    <cellStyle name="Normal 9 2 5 3 4 4 2 3" xfId="45617" xr:uid="{CB008224-620C-438B-AF62-2E04DF991B98}"/>
    <cellStyle name="Normal 9 2 5 3 4 4 3" xfId="20478" xr:uid="{11A26B30-FE80-40EF-A378-32FD110B5452}"/>
    <cellStyle name="Normal 9 2 5 3 4 4 4" xfId="37237" xr:uid="{612596A2-5A74-443E-83FF-968BDBBDA4B3}"/>
    <cellStyle name="Normal 9 2 5 3 4 5" xfId="10408" xr:uid="{B5132441-2D9A-4EB4-BF8B-14408BA088B3}"/>
    <cellStyle name="Normal 9 2 5 3 4 5 2" xfId="27168" xr:uid="{E67A2789-F31D-4124-B986-DA35592E1215}"/>
    <cellStyle name="Normal 9 2 5 3 4 5 3" xfId="43927" xr:uid="{B8471455-B77C-4297-AE52-556473B2C4CE}"/>
    <cellStyle name="Normal 9 2 5 3 4 6" xfId="18788" xr:uid="{6EB2F029-FC3B-4FC1-9EED-8EFD91B24289}"/>
    <cellStyle name="Normal 9 2 5 3 4 7" xfId="35547" xr:uid="{357A2882-C77E-4727-9FC3-C340273A8F0D}"/>
    <cellStyle name="Normal 9 2 5 3 5" xfId="4138" xr:uid="{61ADC6CF-8AEC-4A62-8D50-82AD5F301A94}"/>
    <cellStyle name="Normal 9 2 5 3 5 2" xfId="12518" xr:uid="{5B797D18-EE91-4E77-A3F3-8FB1446D962B}"/>
    <cellStyle name="Normal 9 2 5 3 5 2 2" xfId="29278" xr:uid="{4D42B4D8-8EDB-43B6-B19E-565D0DE78B73}"/>
    <cellStyle name="Normal 9 2 5 3 5 2 3" xfId="46037" xr:uid="{9A76B473-6A83-4E56-8185-5FB4AE6C767E}"/>
    <cellStyle name="Normal 9 2 5 3 5 3" xfId="20898" xr:uid="{606A90B0-7205-49A4-8695-CC62BC36EE0E}"/>
    <cellStyle name="Normal 9 2 5 3 5 4" xfId="37657" xr:uid="{D70B48AC-047C-404E-847E-8392B609D8DA}"/>
    <cellStyle name="Normal 9 2 5 3 6" xfId="5827" xr:uid="{9B60F623-F64C-45B4-99E9-6105122891E4}"/>
    <cellStyle name="Normal 9 2 5 3 6 2" xfId="14207" xr:uid="{919FCF5E-A03B-4348-88AF-8997B61AA464}"/>
    <cellStyle name="Normal 9 2 5 3 6 2 2" xfId="30967" xr:uid="{AFF51BAB-0808-4EDA-AF40-E3322F1103BC}"/>
    <cellStyle name="Normal 9 2 5 3 6 2 3" xfId="47726" xr:uid="{71269D05-1A9C-487E-8A7F-4C6943240F39}"/>
    <cellStyle name="Normal 9 2 5 3 6 3" xfId="22587" xr:uid="{4771E606-ADF6-421C-9D46-C3D595B919B9}"/>
    <cellStyle name="Normal 9 2 5 3 6 4" xfId="39346" xr:uid="{31B63BE8-7D37-489C-89EC-C47A9607E7F4}"/>
    <cellStyle name="Normal 9 2 5 3 7" xfId="7501" xr:uid="{395304EB-3ACC-4D05-A785-71CBC0CFADD6}"/>
    <cellStyle name="Normal 9 2 5 3 7 2" xfId="15881" xr:uid="{963E4F99-C0E7-4784-9DE8-319B45EB5BA6}"/>
    <cellStyle name="Normal 9 2 5 3 7 2 2" xfId="32641" xr:uid="{E1DE71FC-FBDF-4DE3-BA5F-B1FF1338B911}"/>
    <cellStyle name="Normal 9 2 5 3 7 2 3" xfId="49400" xr:uid="{444ADE91-68CB-49E6-89B4-F3F8AC784773}"/>
    <cellStyle name="Normal 9 2 5 3 7 3" xfId="24261" xr:uid="{C87BCB13-FB36-47FD-9764-1912EFC121EF}"/>
    <cellStyle name="Normal 9 2 5 3 7 4" xfId="41020" xr:uid="{864B7859-4B4E-47FD-8BD5-30EABE5435D7}"/>
    <cellStyle name="Normal 9 2 5 3 8" xfId="7907" xr:uid="{7588338A-6F4C-4750-9BFF-70A93D08158D}"/>
    <cellStyle name="Normal 9 2 5 3 8 2" xfId="16287" xr:uid="{6B8996F4-B24B-4800-AC17-447789741110}"/>
    <cellStyle name="Normal 9 2 5 3 8 2 2" xfId="33047" xr:uid="{9FF7EBB4-9812-4F31-BC33-DBCBEC53CD03}"/>
    <cellStyle name="Normal 9 2 5 3 8 2 3" xfId="49806" xr:uid="{2B32BF3C-354A-41ED-AA5C-63FBD415DD06}"/>
    <cellStyle name="Normal 9 2 5 3 8 3" xfId="24667" xr:uid="{32AF7B5C-C053-43C8-9D65-BE77B152B6B6}"/>
    <cellStyle name="Normal 9 2 5 3 8 4" xfId="41426" xr:uid="{9146035E-A339-4B9B-BC2F-D641FD4066FB}"/>
    <cellStyle name="Normal 9 2 5 3 9" xfId="8313" xr:uid="{1D11BC2E-FB29-4094-BCA9-A1C847B37A47}"/>
    <cellStyle name="Normal 9 2 5 3 9 2" xfId="16693" xr:uid="{01E814DF-FCE7-40F4-B561-8CF5C35361C8}"/>
    <cellStyle name="Normal 9 2 5 3 9 2 2" xfId="33453" xr:uid="{140BD35A-906C-4C8E-A028-8427062B5ED7}"/>
    <cellStyle name="Normal 9 2 5 3 9 2 3" xfId="50212" xr:uid="{4700E303-2C03-46C1-8EDD-5FE683D008C3}"/>
    <cellStyle name="Normal 9 2 5 3 9 3" xfId="25073" xr:uid="{B4C3F06C-8DF9-4760-B649-DE53259E7172}"/>
    <cellStyle name="Normal 9 2 5 3 9 4" xfId="41832" xr:uid="{F2BD03FD-B7D5-4F3F-9E5B-DDB710AB566B}"/>
    <cellStyle name="Normal 9 2 5 4" xfId="1169" xr:uid="{28AA3704-BA5B-40F7-BFBA-CBD8E07DF1FE}"/>
    <cellStyle name="Normal 9 2 5 4 2" xfId="4564" xr:uid="{A87E1BBC-5853-4B27-A5D4-F704549F7DD4}"/>
    <cellStyle name="Normal 9 2 5 4 2 2" xfId="12944" xr:uid="{00244AC7-8096-4873-9495-9B281A26C2E0}"/>
    <cellStyle name="Normal 9 2 5 4 2 2 2" xfId="29704" xr:uid="{DB5B6A2C-627B-486C-A57C-190EED7100D4}"/>
    <cellStyle name="Normal 9 2 5 4 2 2 3" xfId="46463" xr:uid="{02DD205C-6D69-4D82-B655-F0BF1E11542D}"/>
    <cellStyle name="Normal 9 2 5 4 2 3" xfId="21324" xr:uid="{6D4E9281-CB77-468F-BAE1-64A1D04176A3}"/>
    <cellStyle name="Normal 9 2 5 4 2 4" xfId="38083" xr:uid="{17099F93-212A-49C1-B5A1-E1D06D8E9723}"/>
    <cellStyle name="Normal 9 2 5 4 3" xfId="6251" xr:uid="{F0889D45-6D30-4E3A-A0F7-F372A6374F71}"/>
    <cellStyle name="Normal 9 2 5 4 3 2" xfId="14631" xr:uid="{4F4FE022-3346-4AE4-8A9A-1B5B5E4604B2}"/>
    <cellStyle name="Normal 9 2 5 4 3 2 2" xfId="31391" xr:uid="{DEF4F3DB-D0E6-4C4C-BFE4-72DF452C9CF7}"/>
    <cellStyle name="Normal 9 2 5 4 3 2 3" xfId="48150" xr:uid="{FC629749-4A24-4116-9403-917F1D9CDE60}"/>
    <cellStyle name="Normal 9 2 5 4 3 3" xfId="23011" xr:uid="{FC127777-E025-4271-88F0-A81250C80374}"/>
    <cellStyle name="Normal 9 2 5 4 3 4" xfId="39770" xr:uid="{39039A10-5A06-4197-9DFC-814A027CEBF5}"/>
    <cellStyle name="Normal 9 2 5 4 4" xfId="2987" xr:uid="{17459A9E-6610-40A5-A8B6-988E4191A869}"/>
    <cellStyle name="Normal 9 2 5 4 4 2" xfId="11367" xr:uid="{9492C840-EFAB-4D95-82D4-3EBB07AFD0FA}"/>
    <cellStyle name="Normal 9 2 5 4 4 2 2" xfId="28127" xr:uid="{8AFF76E0-9D0A-4D08-BC3F-69BEFE1DB0F1}"/>
    <cellStyle name="Normal 9 2 5 4 4 2 3" xfId="44886" xr:uid="{F3BBB77A-8D7B-48BB-B5F7-F81516B2BD40}"/>
    <cellStyle name="Normal 9 2 5 4 4 3" xfId="19747" xr:uid="{C829C7A6-F3B0-4322-9949-13D76EBE8C69}"/>
    <cellStyle name="Normal 9 2 5 4 4 4" xfId="36506" xr:uid="{F4F80165-9269-4146-BF5A-26ED21F237B6}"/>
    <cellStyle name="Normal 9 2 5 4 5" xfId="9564" xr:uid="{8F2785B5-0D98-45BE-9496-7A9BD7CEE119}"/>
    <cellStyle name="Normal 9 2 5 4 5 2" xfId="26324" xr:uid="{DA82D42E-0802-4A73-BE9C-63063BB3D815}"/>
    <cellStyle name="Normal 9 2 5 4 5 3" xfId="43083" xr:uid="{57A7AB69-BE37-49D1-AFCC-2E3238577981}"/>
    <cellStyle name="Normal 9 2 5 4 6" xfId="17944" xr:uid="{42592C0E-4EFF-43C1-88B4-FEAAAD14CF7B}"/>
    <cellStyle name="Normal 9 2 5 4 7" xfId="34703" xr:uid="{0F6BFD36-F8A9-4344-BC5D-E2ABF22CF4EA}"/>
    <cellStyle name="Normal 9 2 5 5" xfId="1603" xr:uid="{F5BE2558-35A6-40C3-946C-E569BA09A1D3}"/>
    <cellStyle name="Normal 9 2 5 5 2" xfId="4992" xr:uid="{7B00C163-CE68-403F-83CB-440D2C0EE56F}"/>
    <cellStyle name="Normal 9 2 5 5 2 2" xfId="13372" xr:uid="{2E6847F6-ECA4-4F0A-9F99-F5518B74AD3E}"/>
    <cellStyle name="Normal 9 2 5 5 2 2 2" xfId="30132" xr:uid="{445875E4-309A-432E-928D-C1A8436A2D8B}"/>
    <cellStyle name="Normal 9 2 5 5 2 2 3" xfId="46891" xr:uid="{164C2159-6962-4F38-94E7-72E17EDB2478}"/>
    <cellStyle name="Normal 9 2 5 5 2 3" xfId="21752" xr:uid="{F10CBABC-2726-4909-85A5-D658D0244D0F}"/>
    <cellStyle name="Normal 9 2 5 5 2 4" xfId="38511" xr:uid="{33E36723-F15F-4261-9F1C-79F9F6B0F292}"/>
    <cellStyle name="Normal 9 2 5 5 3" xfId="6679" xr:uid="{31216085-D646-412B-8FBD-5AC60728CE56}"/>
    <cellStyle name="Normal 9 2 5 5 3 2" xfId="15059" xr:uid="{E6B80EA1-5EF2-43BA-80DE-B7AF884BADFB}"/>
    <cellStyle name="Normal 9 2 5 5 3 2 2" xfId="31819" xr:uid="{22104E32-C6CE-4B10-86A7-F1E18BC53276}"/>
    <cellStyle name="Normal 9 2 5 5 3 2 3" xfId="48578" xr:uid="{FD6F5F9F-7D73-4D06-9B77-8A50112595D4}"/>
    <cellStyle name="Normal 9 2 5 5 3 3" xfId="23439" xr:uid="{94AC9ABF-F920-4F01-A6C5-B21C8601AFEA}"/>
    <cellStyle name="Normal 9 2 5 5 3 4" xfId="40198" xr:uid="{7BFBD35D-5C35-4416-98CB-3A0A8A2578F2}"/>
    <cellStyle name="Normal 9 2 5 5 4" xfId="3415" xr:uid="{D10F40E6-5143-4DB7-97B5-F756DB2D2E2E}"/>
    <cellStyle name="Normal 9 2 5 5 4 2" xfId="11795" xr:uid="{BF644DFA-6B6A-4EC3-8D13-293BB5A9678A}"/>
    <cellStyle name="Normal 9 2 5 5 4 2 2" xfId="28555" xr:uid="{5B0EFB57-33C7-4FA2-96F1-AFD5E49525E9}"/>
    <cellStyle name="Normal 9 2 5 5 4 2 3" xfId="45314" xr:uid="{65E962FA-93AD-4A0A-9251-3299DA1D769C}"/>
    <cellStyle name="Normal 9 2 5 5 4 3" xfId="20175" xr:uid="{C2C5147D-4C4C-4160-BF2C-F3227260E9AE}"/>
    <cellStyle name="Normal 9 2 5 5 4 4" xfId="36934" xr:uid="{0A94EB6E-9172-4346-A083-92C5E15363C7}"/>
    <cellStyle name="Normal 9 2 5 5 5" xfId="9992" xr:uid="{F034151A-8C41-4B0B-AA2A-1EC4384A22C3}"/>
    <cellStyle name="Normal 9 2 5 5 5 2" xfId="26752" xr:uid="{7558E29B-A1A5-4C5C-ADFA-1EA01273FBB1}"/>
    <cellStyle name="Normal 9 2 5 5 5 3" xfId="43511" xr:uid="{8046247C-9728-47DC-8974-33F5EC2DB13F}"/>
    <cellStyle name="Normal 9 2 5 5 6" xfId="18372" xr:uid="{DF07C1A5-5F46-422D-A24F-97DC177BA0C9}"/>
    <cellStyle name="Normal 9 2 5 5 7" xfId="35131" xr:uid="{CA74FA7A-0749-4737-98ED-73134DC17574}"/>
    <cellStyle name="Normal 9 2 5 6" xfId="1748" xr:uid="{DE9DEEA2-731B-4729-8701-5F3F86919173}"/>
    <cellStyle name="Normal 9 2 5 6 2" xfId="5137" xr:uid="{68AEAA83-E43D-41AC-85EB-2FC0C99CEAEF}"/>
    <cellStyle name="Normal 9 2 5 6 2 2" xfId="13517" xr:uid="{BC80A0BC-251E-428A-9DEA-D1D55F849148}"/>
    <cellStyle name="Normal 9 2 5 6 2 2 2" xfId="30277" xr:uid="{732F5E8C-78EC-41EF-AB93-6D1D743A2CA0}"/>
    <cellStyle name="Normal 9 2 5 6 2 2 3" xfId="47036" xr:uid="{95AD681D-B7FB-4E84-87B3-F21C25993C54}"/>
    <cellStyle name="Normal 9 2 5 6 2 3" xfId="21897" xr:uid="{78C27CF2-F270-43CD-8C85-A5FBA660A446}"/>
    <cellStyle name="Normal 9 2 5 6 2 4" xfId="38656" xr:uid="{24B39A8F-B8F5-4643-B4FE-D16A5497CA56}"/>
    <cellStyle name="Normal 9 2 5 6 3" xfId="6824" xr:uid="{D5CB2B28-F49A-4736-97E4-3944B61C6453}"/>
    <cellStyle name="Normal 9 2 5 6 3 2" xfId="15204" xr:uid="{06BD5F6B-9960-4C99-999C-69026C44CF74}"/>
    <cellStyle name="Normal 9 2 5 6 3 2 2" xfId="31964" xr:uid="{C76816DE-03C9-4BE1-9773-0F188CA9E81C}"/>
    <cellStyle name="Normal 9 2 5 6 3 2 3" xfId="48723" xr:uid="{19420D14-7967-4AC8-8D61-0B4D21717A99}"/>
    <cellStyle name="Normal 9 2 5 6 3 3" xfId="23584" xr:uid="{EC7A5791-EF0F-4CF6-86B4-8955DBEFC102}"/>
    <cellStyle name="Normal 9 2 5 6 3 4" xfId="40343" xr:uid="{64CF70AA-C271-4CE1-A55C-5B27BCA4AF5D}"/>
    <cellStyle name="Normal 9 2 5 6 4" xfId="2559" xr:uid="{96C8A6CB-0E8D-4091-AD7F-EA130117C624}"/>
    <cellStyle name="Normal 9 2 5 6 4 2" xfId="10941" xr:uid="{1074D412-35CB-4500-B96E-8621B61B8167}"/>
    <cellStyle name="Normal 9 2 5 6 4 2 2" xfId="27701" xr:uid="{AF95EB90-0D99-4C59-9630-DEBEDD7D9F56}"/>
    <cellStyle name="Normal 9 2 5 6 4 2 3" xfId="44460" xr:uid="{6E5EB192-10D5-433B-9742-8B0191F89B5C}"/>
    <cellStyle name="Normal 9 2 5 6 4 3" xfId="19321" xr:uid="{307AC293-18E6-448B-8F4C-A88E12702C86}"/>
    <cellStyle name="Normal 9 2 5 6 4 4" xfId="36080" xr:uid="{CFB4FA15-2983-44E8-A9A2-CA147DEF469D}"/>
    <cellStyle name="Normal 9 2 5 6 5" xfId="10137" xr:uid="{1DF6BEC1-EC9A-40C7-9019-E5BBCA4222C9}"/>
    <cellStyle name="Normal 9 2 5 6 5 2" xfId="26897" xr:uid="{139ADE60-F464-438D-84C4-E408575C1C08}"/>
    <cellStyle name="Normal 9 2 5 6 5 3" xfId="43656" xr:uid="{7714A006-EAA9-44AE-844A-B2907B82D8B5}"/>
    <cellStyle name="Normal 9 2 5 6 6" xfId="18517" xr:uid="{7A46FE75-D395-49B4-B535-56C55B46FDD1}"/>
    <cellStyle name="Normal 9 2 5 6 7" xfId="35276" xr:uid="{9AB4AD3B-3087-4FB8-8A7C-36AB87318ED1}"/>
    <cellStyle name="Normal 9 2 5 7" xfId="3867" xr:uid="{2E7FF558-EAE7-4910-9D69-981380ED0CDC}"/>
    <cellStyle name="Normal 9 2 5 7 2" xfId="12247" xr:uid="{83768A72-D4FA-4271-8EC4-1A0C0F7359FF}"/>
    <cellStyle name="Normal 9 2 5 7 2 2" xfId="29007" xr:uid="{461E25ED-6887-48D6-A04A-2BDFCEE2B7B6}"/>
    <cellStyle name="Normal 9 2 5 7 2 3" xfId="45766" xr:uid="{C175245D-CDA5-46C8-A4D0-CC138585BE6C}"/>
    <cellStyle name="Normal 9 2 5 7 3" xfId="20627" xr:uid="{98ABDE4B-F861-4283-B4ED-7AA1F9A8D71D}"/>
    <cellStyle name="Normal 9 2 5 7 4" xfId="37386" xr:uid="{E2F50875-941F-4985-AC2E-AB6E7FF8A1A6}"/>
    <cellStyle name="Normal 9 2 5 8" xfId="5825" xr:uid="{0B30FD8A-6557-447D-85BD-B56FDA8F7E2E}"/>
    <cellStyle name="Normal 9 2 5 8 2" xfId="14205" xr:uid="{547041FA-ADDA-4A03-99A2-271D5D2A8F47}"/>
    <cellStyle name="Normal 9 2 5 8 2 2" xfId="30965" xr:uid="{CA5A757E-3EB8-4206-9C8B-AF15571761B0}"/>
    <cellStyle name="Normal 9 2 5 8 2 3" xfId="47724" xr:uid="{FC1BE91C-4BB2-4D40-9CBB-ED5A2B09E16A}"/>
    <cellStyle name="Normal 9 2 5 8 3" xfId="22585" xr:uid="{05A81A96-C1E3-4383-8184-2A90E1C51035}"/>
    <cellStyle name="Normal 9 2 5 8 4" xfId="39344" xr:uid="{B0B078D4-9B3F-4D3D-B0F8-2F8690F217F5}"/>
    <cellStyle name="Normal 9 2 5 9" xfId="7230" xr:uid="{09D5CE0A-DD67-4E77-A1C9-A8DCF7589C9A}"/>
    <cellStyle name="Normal 9 2 5 9 2" xfId="15610" xr:uid="{D7234D7F-773E-4518-AB16-9DA81D643B3F}"/>
    <cellStyle name="Normal 9 2 5 9 2 2" xfId="32370" xr:uid="{823ECDC5-FEA0-40A2-A93B-A6EA5C4F5242}"/>
    <cellStyle name="Normal 9 2 5 9 2 3" xfId="49129" xr:uid="{91188D88-3AD0-4A6A-A577-2C4D8FCF4715}"/>
    <cellStyle name="Normal 9 2 5 9 3" xfId="23990" xr:uid="{EA706C56-1AA1-4B93-9187-7E021E697E26}"/>
    <cellStyle name="Normal 9 2 5 9 4" xfId="40749" xr:uid="{C41F8382-B69F-4500-A0BF-02361A8A7A08}"/>
    <cellStyle name="Normal 9 2 6" xfId="733" xr:uid="{BB32EA93-F954-4B72-8EB9-9BF5CC86F9C2}"/>
    <cellStyle name="Normal 9 2 6 10" xfId="8583" xr:uid="{31FD7664-F6C5-4B70-B2B7-7F0BBB3E577A}"/>
    <cellStyle name="Normal 9 2 6 10 2" xfId="16963" xr:uid="{BE2467FA-9AB2-4F64-B27D-B6B574B4A858}"/>
    <cellStyle name="Normal 9 2 6 10 2 2" xfId="33723" xr:uid="{9A1D1FC7-B641-4D25-AAF2-89EC9D015662}"/>
    <cellStyle name="Normal 9 2 6 10 2 3" xfId="50482" xr:uid="{499DF3FA-D4E1-40ED-AAF3-EA5C0A922A46}"/>
    <cellStyle name="Normal 9 2 6 10 3" xfId="25343" xr:uid="{301E514C-E160-4EA0-8F20-16D23E3AAA86}"/>
    <cellStyle name="Normal 9 2 6 10 4" xfId="42102" xr:uid="{DAA05859-C856-4F56-9B1C-9E3FB86578ED}"/>
    <cellStyle name="Normal 9 2 6 11" xfId="2562" xr:uid="{EA2CF189-8710-475A-A67E-FFF99EDC75E2}"/>
    <cellStyle name="Normal 9 2 6 11 2" xfId="10944" xr:uid="{256F9EE6-E9E9-492E-A416-303C3E97E48C}"/>
    <cellStyle name="Normal 9 2 6 11 2 2" xfId="27704" xr:uid="{04B74898-9F42-4BEE-BB2F-876E4E8E1C2F}"/>
    <cellStyle name="Normal 9 2 6 11 2 3" xfId="44463" xr:uid="{4B727467-12CB-408B-8265-2AB9FBEAF38D}"/>
    <cellStyle name="Normal 9 2 6 11 3" xfId="19324" xr:uid="{24D04BC8-B702-4F42-B1B0-815D37DE4F0C}"/>
    <cellStyle name="Normal 9 2 6 11 4" xfId="36083" xr:uid="{D2545DD2-A5EA-4F9C-8B38-EAEA9508232C}"/>
    <cellStyle name="Normal 9 2 6 12" xfId="9141" xr:uid="{E5C48D01-12CB-4760-9B51-9A1BA7357B14}"/>
    <cellStyle name="Normal 9 2 6 12 2" xfId="25901" xr:uid="{4430FBFC-010A-429B-B9A5-D02987D0D9F4}"/>
    <cellStyle name="Normal 9 2 6 12 3" xfId="42660" xr:uid="{26C616DD-F529-4EE7-A663-2C9856F0B19C}"/>
    <cellStyle name="Normal 9 2 6 13" xfId="17521" xr:uid="{FD97D883-AF53-46AD-B7EB-9D899F168862}"/>
    <cellStyle name="Normal 9 2 6 14" xfId="34280" xr:uid="{128D343C-43ED-4110-9031-6E0B40BAB063}"/>
    <cellStyle name="Normal 9 2 6 2" xfId="1172" xr:uid="{8A0DCBAA-F367-4671-B3EB-A58FCE683176}"/>
    <cellStyle name="Normal 9 2 6 2 2" xfId="4567" xr:uid="{9467D6AE-73E1-47F6-A31A-A109376A178E}"/>
    <cellStyle name="Normal 9 2 6 2 2 2" xfId="12947" xr:uid="{AB948884-F863-4A24-A8E8-C332BAE219E9}"/>
    <cellStyle name="Normal 9 2 6 2 2 2 2" xfId="29707" xr:uid="{2050AA28-DFC7-4627-A62F-60F8B9A782BC}"/>
    <cellStyle name="Normal 9 2 6 2 2 2 3" xfId="46466" xr:uid="{6937C24D-77A3-4EEA-8E24-3873A03CADAB}"/>
    <cellStyle name="Normal 9 2 6 2 2 3" xfId="21327" xr:uid="{FF947EA6-A271-4F81-A401-22AF4A44A2BC}"/>
    <cellStyle name="Normal 9 2 6 2 2 4" xfId="38086" xr:uid="{2E242122-DB6D-472F-99BC-E58DA36A1DE6}"/>
    <cellStyle name="Normal 9 2 6 2 3" xfId="6254" xr:uid="{40AE3EE1-1559-4ACD-A595-A25FDA115039}"/>
    <cellStyle name="Normal 9 2 6 2 3 2" xfId="14634" xr:uid="{D656F6DE-A0C3-4188-AC9C-811BF357B499}"/>
    <cellStyle name="Normal 9 2 6 2 3 2 2" xfId="31394" xr:uid="{EB4EDF57-440C-4C5A-AFAC-E0591FF2D7C1}"/>
    <cellStyle name="Normal 9 2 6 2 3 2 3" xfId="48153" xr:uid="{B66D5322-34EC-4235-A0D7-D181FFA373C2}"/>
    <cellStyle name="Normal 9 2 6 2 3 3" xfId="23014" xr:uid="{2AF552F2-0F38-40C1-8EA6-90B9C0140D17}"/>
    <cellStyle name="Normal 9 2 6 2 3 4" xfId="39773" xr:uid="{D816F0C8-7A43-4E92-A6EE-B1074981034B}"/>
    <cellStyle name="Normal 9 2 6 2 4" xfId="2990" xr:uid="{A1F76073-EE41-44BC-AFEC-746596B07FD2}"/>
    <cellStyle name="Normal 9 2 6 2 4 2" xfId="11370" xr:uid="{CC5AEC01-E12F-4C81-9C68-EFCBC969186A}"/>
    <cellStyle name="Normal 9 2 6 2 4 2 2" xfId="28130" xr:uid="{B1B403AD-B0AE-48FB-AC4C-62BA9F19FB81}"/>
    <cellStyle name="Normal 9 2 6 2 4 2 3" xfId="44889" xr:uid="{68DA799A-23D9-4802-A194-80076D8F953D}"/>
    <cellStyle name="Normal 9 2 6 2 4 3" xfId="19750" xr:uid="{DF36D886-3276-41F2-AF45-B711F3630728}"/>
    <cellStyle name="Normal 9 2 6 2 4 4" xfId="36509" xr:uid="{9C82CB3E-E8D0-4433-945A-5BBBBE836F40}"/>
    <cellStyle name="Normal 9 2 6 2 5" xfId="9567" xr:uid="{68C16FEC-C63E-415F-B3CD-CBBF92F2507D}"/>
    <cellStyle name="Normal 9 2 6 2 5 2" xfId="26327" xr:uid="{3A852871-1944-4318-8F0C-C2A67AF4B36B}"/>
    <cellStyle name="Normal 9 2 6 2 5 3" xfId="43086" xr:uid="{FD0D047E-6505-410E-B312-24E0DA759856}"/>
    <cellStyle name="Normal 9 2 6 2 6" xfId="17947" xr:uid="{108FD21C-8019-4D4A-9198-840BFFD12F42}"/>
    <cellStyle name="Normal 9 2 6 2 7" xfId="34706" xr:uid="{C5D7699A-F5D4-4FAB-8FE6-384B882A8CDA}"/>
    <cellStyle name="Normal 9 2 6 3" xfId="1606" xr:uid="{994E1212-0FCD-4164-AFA5-22F991561E32}"/>
    <cellStyle name="Normal 9 2 6 3 2" xfId="4995" xr:uid="{87EE918D-23B5-4750-B406-C33859ED9166}"/>
    <cellStyle name="Normal 9 2 6 3 2 2" xfId="13375" xr:uid="{30EFCF46-9C7E-45FC-AE0C-94C85573D525}"/>
    <cellStyle name="Normal 9 2 6 3 2 2 2" xfId="30135" xr:uid="{D42EB50D-EA85-4CB3-B2B3-EFA98BB77FE8}"/>
    <cellStyle name="Normal 9 2 6 3 2 2 3" xfId="46894" xr:uid="{D04BA5B9-C28B-43CF-ACFB-0A07098E987A}"/>
    <cellStyle name="Normal 9 2 6 3 2 3" xfId="21755" xr:uid="{AC78D5EA-EAE8-4077-A18C-3914604E8342}"/>
    <cellStyle name="Normal 9 2 6 3 2 4" xfId="38514" xr:uid="{9FD248FD-4697-44C8-99CD-D5C4A1035894}"/>
    <cellStyle name="Normal 9 2 6 3 3" xfId="6682" xr:uid="{08737A21-9E20-41B0-B45E-A1DA36C4A64D}"/>
    <cellStyle name="Normal 9 2 6 3 3 2" xfId="15062" xr:uid="{E4A6768A-6742-41E8-B0DB-844B4D1C97BC}"/>
    <cellStyle name="Normal 9 2 6 3 3 2 2" xfId="31822" xr:uid="{FA7E1F2C-D5C9-48A3-9669-9DE83D3AD773}"/>
    <cellStyle name="Normal 9 2 6 3 3 2 3" xfId="48581" xr:uid="{16E3105A-EAD9-40EF-9964-096A829B5A17}"/>
    <cellStyle name="Normal 9 2 6 3 3 3" xfId="23442" xr:uid="{C983D2FA-3A4C-461C-8E9D-67A59DC742E8}"/>
    <cellStyle name="Normal 9 2 6 3 3 4" xfId="40201" xr:uid="{DFE46ECD-729A-48E2-8FA3-CC213394F144}"/>
    <cellStyle name="Normal 9 2 6 3 4" xfId="3418" xr:uid="{7441B5C1-550E-4A45-9CA8-883F5FA50D61}"/>
    <cellStyle name="Normal 9 2 6 3 4 2" xfId="11798" xr:uid="{A667523B-D5E2-46D7-A632-5E94F6120438}"/>
    <cellStyle name="Normal 9 2 6 3 4 2 2" xfId="28558" xr:uid="{6E4079F0-BF74-4964-8C72-2F14A36F3A25}"/>
    <cellStyle name="Normal 9 2 6 3 4 2 3" xfId="45317" xr:uid="{7D52C9FF-7991-45BA-93BE-1E636D284C2B}"/>
    <cellStyle name="Normal 9 2 6 3 4 3" xfId="20178" xr:uid="{C4780913-46C2-435E-9AE6-D0B6E624D7C6}"/>
    <cellStyle name="Normal 9 2 6 3 4 4" xfId="36937" xr:uid="{2772DAC2-B805-4A88-A825-DA7FC365EA00}"/>
    <cellStyle name="Normal 9 2 6 3 5" xfId="9995" xr:uid="{5DE28697-745D-43B5-92AF-853D32A52061}"/>
    <cellStyle name="Normal 9 2 6 3 5 2" xfId="26755" xr:uid="{59C0D20F-8E1A-4B29-80B5-326548BC959C}"/>
    <cellStyle name="Normal 9 2 6 3 5 3" xfId="43514" xr:uid="{EFDD7247-DEA9-4F05-9B49-C2177D86F826}"/>
    <cellStyle name="Normal 9 2 6 3 6" xfId="18375" xr:uid="{91847315-D01B-4D34-BA02-1FA7B37F01FD}"/>
    <cellStyle name="Normal 9 2 6 3 7" xfId="35134" xr:uid="{4C116015-203A-4682-ADAB-12BD35F33DE5}"/>
    <cellStyle name="Normal 9 2 6 4" xfId="1883" xr:uid="{C8A8669B-382A-4127-A6A0-F85534513060}"/>
    <cellStyle name="Normal 9 2 6 4 2" xfId="5272" xr:uid="{A23E0D84-DD4E-4F2C-84E6-4DAE0016A994}"/>
    <cellStyle name="Normal 9 2 6 4 2 2" xfId="13652" xr:uid="{3D5A61DC-BFC6-468A-842A-1F0083FE95CB}"/>
    <cellStyle name="Normal 9 2 6 4 2 2 2" xfId="30412" xr:uid="{DDC1119E-4216-49FB-AA7A-C4129D9888C6}"/>
    <cellStyle name="Normal 9 2 6 4 2 2 3" xfId="47171" xr:uid="{4B9EE339-3991-414D-9690-A000D1BD6978}"/>
    <cellStyle name="Normal 9 2 6 4 2 3" xfId="22032" xr:uid="{02F1F1AD-B9B0-4D0B-BDC0-826B6DE87FC3}"/>
    <cellStyle name="Normal 9 2 6 4 2 4" xfId="38791" xr:uid="{471962F5-5190-4F83-B69C-0B0CB6B6AB4D}"/>
    <cellStyle name="Normal 9 2 6 4 3" xfId="6959" xr:uid="{6DB7B390-332E-4B85-A345-D0176D89766E}"/>
    <cellStyle name="Normal 9 2 6 4 3 2" xfId="15339" xr:uid="{DD6A9DD9-7390-411A-B996-20CB0788BCCF}"/>
    <cellStyle name="Normal 9 2 6 4 3 2 2" xfId="32099" xr:uid="{EE640BB5-11EF-4E61-9954-C9FE88A61D33}"/>
    <cellStyle name="Normal 9 2 6 4 3 2 3" xfId="48858" xr:uid="{F09E9C12-4834-4405-A6DF-D555EA65942C}"/>
    <cellStyle name="Normal 9 2 6 4 3 3" xfId="23719" xr:uid="{42B8C18B-6DE2-44C5-92FE-A9E03D890329}"/>
    <cellStyle name="Normal 9 2 6 4 3 4" xfId="40478" xr:uid="{D7B251CA-F1FA-4A87-BD27-76808ACD89DB}"/>
    <cellStyle name="Normal 9 2 6 4 4" xfId="3582" xr:uid="{A1A9D5A0-A88F-4569-9E76-2D1499255F53}"/>
    <cellStyle name="Normal 9 2 6 4 4 2" xfId="11962" xr:uid="{B56B1A9A-8A79-4E3E-BF33-90B8A2FE64CB}"/>
    <cellStyle name="Normal 9 2 6 4 4 2 2" xfId="28722" xr:uid="{27844107-C376-41EA-8C44-09B7D74D59E4}"/>
    <cellStyle name="Normal 9 2 6 4 4 2 3" xfId="45481" xr:uid="{43387C3C-8BBF-403B-9A4E-B2B8B3A9ACAE}"/>
    <cellStyle name="Normal 9 2 6 4 4 3" xfId="20342" xr:uid="{AE3D4A06-2867-4603-BC97-45CE718C0553}"/>
    <cellStyle name="Normal 9 2 6 4 4 4" xfId="37101" xr:uid="{3786128B-0C13-4586-BB95-0FA75ADB434B}"/>
    <cellStyle name="Normal 9 2 6 4 5" xfId="10272" xr:uid="{F249136D-8CAD-4688-B49B-5EC8B597D291}"/>
    <cellStyle name="Normal 9 2 6 4 5 2" xfId="27032" xr:uid="{5EB7E36E-2002-4022-B16C-BACDFFF89D0A}"/>
    <cellStyle name="Normal 9 2 6 4 5 3" xfId="43791" xr:uid="{F0732076-865C-4858-9AEB-8F491648BB6E}"/>
    <cellStyle name="Normal 9 2 6 4 6" xfId="18652" xr:uid="{63DA1D7E-518C-49FB-9A73-F83FAB7BB3EC}"/>
    <cellStyle name="Normal 9 2 6 4 7" xfId="35411" xr:uid="{9AE1BAA5-610F-45BD-AA3A-8A32F7AE1956}"/>
    <cellStyle name="Normal 9 2 6 5" xfId="4002" xr:uid="{39169088-EBFF-4099-8F49-BE112C3F3B4C}"/>
    <cellStyle name="Normal 9 2 6 5 2" xfId="12382" xr:uid="{00E8E675-A84A-4A97-96D1-815FED6AD744}"/>
    <cellStyle name="Normal 9 2 6 5 2 2" xfId="29142" xr:uid="{5FC721F5-8402-41F0-9152-0BDA2BAA328F}"/>
    <cellStyle name="Normal 9 2 6 5 2 3" xfId="45901" xr:uid="{7DB7E21E-B4D5-468B-93E1-2A7814DBDDB3}"/>
    <cellStyle name="Normal 9 2 6 5 3" xfId="20762" xr:uid="{DA914912-A17F-473B-8938-11A0B146EDBA}"/>
    <cellStyle name="Normal 9 2 6 5 4" xfId="37521" xr:uid="{E64F491A-098F-4D1C-AC34-663A8A8618D5}"/>
    <cellStyle name="Normal 9 2 6 6" xfId="5828" xr:uid="{E9FB2650-83FE-4A32-8774-133355EE72B1}"/>
    <cellStyle name="Normal 9 2 6 6 2" xfId="14208" xr:uid="{4F5E2700-97DE-49BB-8D8D-D2E64E25FBBF}"/>
    <cellStyle name="Normal 9 2 6 6 2 2" xfId="30968" xr:uid="{DA30AFA6-4321-4197-83E1-382290A0FC44}"/>
    <cellStyle name="Normal 9 2 6 6 2 3" xfId="47727" xr:uid="{6F7F0E1A-3826-448C-A685-047A612350FD}"/>
    <cellStyle name="Normal 9 2 6 6 3" xfId="22588" xr:uid="{03036D2A-9451-4192-B43A-2E8031B9A47B}"/>
    <cellStyle name="Normal 9 2 6 6 4" xfId="39347" xr:uid="{AA6AA690-51BE-4A4A-9499-A6829C4A909E}"/>
    <cellStyle name="Normal 9 2 6 7" xfId="7365" xr:uid="{1EE9ED8C-1420-4654-B4FB-3D01172199A1}"/>
    <cellStyle name="Normal 9 2 6 7 2" xfId="15745" xr:uid="{65550DB3-B6F6-4895-9945-A3937BDA4A77}"/>
    <cellStyle name="Normal 9 2 6 7 2 2" xfId="32505" xr:uid="{E2559AF9-D6FE-459B-B58B-8A50314A84BB}"/>
    <cellStyle name="Normal 9 2 6 7 2 3" xfId="49264" xr:uid="{6185FBF2-8AF6-4766-ADAD-9E3A5CC7A837}"/>
    <cellStyle name="Normal 9 2 6 7 3" xfId="24125" xr:uid="{819C716A-E459-46E3-BA97-874772C90D08}"/>
    <cellStyle name="Normal 9 2 6 7 4" xfId="40884" xr:uid="{4F67C532-E86C-4723-8F89-B087C280A811}"/>
    <cellStyle name="Normal 9 2 6 8" xfId="7771" xr:uid="{62399AB3-46F6-484E-A217-9CA973086C30}"/>
    <cellStyle name="Normal 9 2 6 8 2" xfId="16151" xr:uid="{4D4EF013-C7A5-4D70-99B5-CD5E8513D5CB}"/>
    <cellStyle name="Normal 9 2 6 8 2 2" xfId="32911" xr:uid="{36F7B4F4-3373-43E8-9338-D963632063EB}"/>
    <cellStyle name="Normal 9 2 6 8 2 3" xfId="49670" xr:uid="{CB20D3DE-8FCA-4E78-89DD-EB93B4DA3BEC}"/>
    <cellStyle name="Normal 9 2 6 8 3" xfId="24531" xr:uid="{B33B7237-7319-4FFC-8602-C9DE09B85878}"/>
    <cellStyle name="Normal 9 2 6 8 4" xfId="41290" xr:uid="{175BCA18-7EB2-4125-AC30-B5EE5D471C27}"/>
    <cellStyle name="Normal 9 2 6 9" xfId="8177" xr:uid="{997FD9A3-7919-4CC7-855A-43618569AFC4}"/>
    <cellStyle name="Normal 9 2 6 9 2" xfId="16557" xr:uid="{9DC9A934-3C50-4B61-A626-6867301D5515}"/>
    <cellStyle name="Normal 9 2 6 9 2 2" xfId="33317" xr:uid="{B3473707-9A43-4562-BB55-16649E563743}"/>
    <cellStyle name="Normal 9 2 6 9 2 3" xfId="50076" xr:uid="{BF54FCFA-2316-40FE-907E-FE44FAA42D90}"/>
    <cellStyle name="Normal 9 2 6 9 3" xfId="24937" xr:uid="{55B9F148-4F41-4C9B-AB9C-E9E493ECB540}"/>
    <cellStyle name="Normal 9 2 6 9 4" xfId="41696" xr:uid="{50EB48D1-59E8-4E22-849A-99EF78F427FC}"/>
    <cellStyle name="Normal 9 2 7" xfId="734" xr:uid="{BFAC1531-61A0-4E2F-8422-B355411163C5}"/>
    <cellStyle name="Normal 9 2 7 10" xfId="8618" xr:uid="{FBADF8E9-97D8-4110-AFC7-81D79A39C93F}"/>
    <cellStyle name="Normal 9 2 7 10 2" xfId="16998" xr:uid="{392EA35F-B1A5-488E-AB29-7D9EF2F5D368}"/>
    <cellStyle name="Normal 9 2 7 10 2 2" xfId="33758" xr:uid="{D2BF66BF-167A-4D59-A524-4F6AB7201334}"/>
    <cellStyle name="Normal 9 2 7 10 2 3" xfId="50517" xr:uid="{607F0733-66DE-4CE4-B705-B5D5790BFA09}"/>
    <cellStyle name="Normal 9 2 7 10 3" xfId="25378" xr:uid="{B563EB82-8A7A-4CD5-83E1-ED6E6A2C0D3D}"/>
    <cellStyle name="Normal 9 2 7 10 4" xfId="42137" xr:uid="{DD7D31CC-184B-4ABA-A315-A40A2585FBC5}"/>
    <cellStyle name="Normal 9 2 7 11" xfId="2563" xr:uid="{627B288B-C233-4AF2-99EF-A6D44C3194CF}"/>
    <cellStyle name="Normal 9 2 7 11 2" xfId="10945" xr:uid="{34A38E25-2990-4FC4-A5C8-EDA6BE5C9D62}"/>
    <cellStyle name="Normal 9 2 7 11 2 2" xfId="27705" xr:uid="{4FAFAD0C-1EC3-4DCF-AAD9-0119B8EEE752}"/>
    <cellStyle name="Normal 9 2 7 11 2 3" xfId="44464" xr:uid="{77AFA727-0F76-42CB-81CE-EA70C48DB69F}"/>
    <cellStyle name="Normal 9 2 7 11 3" xfId="19325" xr:uid="{497C1FB0-785A-481C-9364-26FA8C03EB89}"/>
    <cellStyle name="Normal 9 2 7 11 4" xfId="36084" xr:uid="{A7014EB4-22F9-497E-A37A-512E204BC4B3}"/>
    <cellStyle name="Normal 9 2 7 12" xfId="9142" xr:uid="{CA6C2AA0-CE34-400A-B531-448A1D30F147}"/>
    <cellStyle name="Normal 9 2 7 12 2" xfId="25902" xr:uid="{33DAF721-767B-45E9-9B5F-2902D1F0DF7E}"/>
    <cellStyle name="Normal 9 2 7 12 3" xfId="42661" xr:uid="{8A1D55FE-E989-447A-A07D-C40B85C68554}"/>
    <cellStyle name="Normal 9 2 7 13" xfId="17522" xr:uid="{D57A03D5-F3F2-4A66-AF8E-EF5E2B469D67}"/>
    <cellStyle name="Normal 9 2 7 14" xfId="34281" xr:uid="{CDA36FC7-B7FC-4D35-83F4-423A5B014651}"/>
    <cellStyle name="Normal 9 2 7 2" xfId="1173" xr:uid="{86CBD319-795D-48A9-B306-7079C0E32940}"/>
    <cellStyle name="Normal 9 2 7 2 2" xfId="4568" xr:uid="{C4DD38B2-EF05-44F5-9F1B-14E14A255A28}"/>
    <cellStyle name="Normal 9 2 7 2 2 2" xfId="12948" xr:uid="{FB827DDD-3D23-4DF4-B595-E930545D1192}"/>
    <cellStyle name="Normal 9 2 7 2 2 2 2" xfId="29708" xr:uid="{2B1B87DC-F5BD-4F16-B8B5-99E1257F3AA6}"/>
    <cellStyle name="Normal 9 2 7 2 2 2 3" xfId="46467" xr:uid="{CC9EF1BC-4AE2-47A7-AB2D-51CCC9EF0832}"/>
    <cellStyle name="Normal 9 2 7 2 2 3" xfId="21328" xr:uid="{01103D23-E9FD-450C-828C-580E01D1F8F8}"/>
    <cellStyle name="Normal 9 2 7 2 2 4" xfId="38087" xr:uid="{A730B090-467F-4A79-AED5-AA9BC72AF737}"/>
    <cellStyle name="Normal 9 2 7 2 3" xfId="6255" xr:uid="{E48A8CEF-F65F-4737-B05C-BD98B1DAE43C}"/>
    <cellStyle name="Normal 9 2 7 2 3 2" xfId="14635" xr:uid="{3ABDF02A-70CB-46D1-AB45-B5614EA646C6}"/>
    <cellStyle name="Normal 9 2 7 2 3 2 2" xfId="31395" xr:uid="{6E9FC49D-9BB5-4D37-A671-C15401C379FF}"/>
    <cellStyle name="Normal 9 2 7 2 3 2 3" xfId="48154" xr:uid="{3DAA056A-AF2C-4FFE-8947-10175B64EA7E}"/>
    <cellStyle name="Normal 9 2 7 2 3 3" xfId="23015" xr:uid="{FD480A42-2DDE-46E0-9C5F-EDC2D5B3808F}"/>
    <cellStyle name="Normal 9 2 7 2 3 4" xfId="39774" xr:uid="{6CF4CA46-551B-4004-A71A-28FFBB0CDA6D}"/>
    <cellStyle name="Normal 9 2 7 2 4" xfId="2991" xr:uid="{3A017A0A-2D44-466D-90FE-EF1F5E20F80D}"/>
    <cellStyle name="Normal 9 2 7 2 4 2" xfId="11371" xr:uid="{8ADB646B-C2FD-4736-80E0-99311A57DBED}"/>
    <cellStyle name="Normal 9 2 7 2 4 2 2" xfId="28131" xr:uid="{5F55901D-A7F5-41FA-9159-9902A0502942}"/>
    <cellStyle name="Normal 9 2 7 2 4 2 3" xfId="44890" xr:uid="{58F999B7-F585-443C-9ABD-E226D52AF02A}"/>
    <cellStyle name="Normal 9 2 7 2 4 3" xfId="19751" xr:uid="{09095F3E-920F-424B-A037-0D6F87ACBB19}"/>
    <cellStyle name="Normal 9 2 7 2 4 4" xfId="36510" xr:uid="{9246DE45-0866-440A-A0E0-4F1E2CB16DB4}"/>
    <cellStyle name="Normal 9 2 7 2 5" xfId="9568" xr:uid="{76F860EC-260E-4623-BDDA-3A85CA35643C}"/>
    <cellStyle name="Normal 9 2 7 2 5 2" xfId="26328" xr:uid="{136D8E3C-B9CC-409C-A481-61459C7392AB}"/>
    <cellStyle name="Normal 9 2 7 2 5 3" xfId="43087" xr:uid="{82FFAE08-E7AC-4A3F-8780-384E175401A8}"/>
    <cellStyle name="Normal 9 2 7 2 6" xfId="17948" xr:uid="{F7B10856-F916-412B-8EAB-A4223440BC10}"/>
    <cellStyle name="Normal 9 2 7 2 7" xfId="34707" xr:uid="{85CF41E7-41E4-4FB4-80F2-5AB029273E37}"/>
    <cellStyle name="Normal 9 2 7 3" xfId="1607" xr:uid="{2547DFB0-F0F4-446A-B2E9-811C179C70D3}"/>
    <cellStyle name="Normal 9 2 7 3 2" xfId="4996" xr:uid="{9595E480-E694-46C8-84BA-ABF6C227BD8A}"/>
    <cellStyle name="Normal 9 2 7 3 2 2" xfId="13376" xr:uid="{A97FF5AF-2C86-43C7-BFA5-C9C2E99CA213}"/>
    <cellStyle name="Normal 9 2 7 3 2 2 2" xfId="30136" xr:uid="{D61E793A-7275-4886-B38C-F4EC7F39B135}"/>
    <cellStyle name="Normal 9 2 7 3 2 2 3" xfId="46895" xr:uid="{EDF3C61B-59F3-446D-AD59-D2BD454EA212}"/>
    <cellStyle name="Normal 9 2 7 3 2 3" xfId="21756" xr:uid="{E42A1848-8863-440E-8781-3DB6147A585A}"/>
    <cellStyle name="Normal 9 2 7 3 2 4" xfId="38515" xr:uid="{28E3A239-538F-449E-BEFD-9C45590B9C0F}"/>
    <cellStyle name="Normal 9 2 7 3 3" xfId="6683" xr:uid="{91256AB6-65D6-484E-97CC-A295CF7F1EBB}"/>
    <cellStyle name="Normal 9 2 7 3 3 2" xfId="15063" xr:uid="{45623AFB-676E-48A3-BD6F-8FF3EE08353D}"/>
    <cellStyle name="Normal 9 2 7 3 3 2 2" xfId="31823" xr:uid="{FFBFEC45-FE29-4C26-BA16-B24E53B1C4F7}"/>
    <cellStyle name="Normal 9 2 7 3 3 2 3" xfId="48582" xr:uid="{6AC1DFF8-F06A-45E9-9B40-2689CA943698}"/>
    <cellStyle name="Normal 9 2 7 3 3 3" xfId="23443" xr:uid="{B58E3EAF-4ADE-4C42-BB62-B47D5999E329}"/>
    <cellStyle name="Normal 9 2 7 3 3 4" xfId="40202" xr:uid="{9AD22DFC-24BB-4B2F-91E3-C7E063C98E9E}"/>
    <cellStyle name="Normal 9 2 7 3 4" xfId="3419" xr:uid="{DC305209-8D62-4276-B875-0F935376B57A}"/>
    <cellStyle name="Normal 9 2 7 3 4 2" xfId="11799" xr:uid="{19F0EB6B-C9D5-4D22-8303-1FAA9368D699}"/>
    <cellStyle name="Normal 9 2 7 3 4 2 2" xfId="28559" xr:uid="{E2E7ED48-7445-47A0-99DF-87B37C970F40}"/>
    <cellStyle name="Normal 9 2 7 3 4 2 3" xfId="45318" xr:uid="{1784148A-4BBB-475E-BE1C-E5C9118934CD}"/>
    <cellStyle name="Normal 9 2 7 3 4 3" xfId="20179" xr:uid="{6109C934-1E8A-4A41-966A-3B7A1DFFEF85}"/>
    <cellStyle name="Normal 9 2 7 3 4 4" xfId="36938" xr:uid="{BDD33479-E910-4D32-8AC8-59A09F41BCA7}"/>
    <cellStyle name="Normal 9 2 7 3 5" xfId="9996" xr:uid="{E5902287-B5E9-4522-A6D2-0C3379231D6B}"/>
    <cellStyle name="Normal 9 2 7 3 5 2" xfId="26756" xr:uid="{C4098926-CC4A-4C6D-BB8B-C992DED00F98}"/>
    <cellStyle name="Normal 9 2 7 3 5 3" xfId="43515" xr:uid="{991902D0-ADF2-4BD1-BA95-3C15F617C777}"/>
    <cellStyle name="Normal 9 2 7 3 6" xfId="18376" xr:uid="{EED2F601-641D-421B-ADF1-1834975E7B2A}"/>
    <cellStyle name="Normal 9 2 7 3 7" xfId="35135" xr:uid="{6AF163CF-F6F1-46B6-85C9-D3A3A2FCE719}"/>
    <cellStyle name="Normal 9 2 7 4" xfId="1918" xr:uid="{D9F3813D-3D3C-44E7-A681-B9317F07CD63}"/>
    <cellStyle name="Normal 9 2 7 4 2" xfId="5307" xr:uid="{7F226AA1-A0E3-4AD9-B8BC-60D9B8B6083D}"/>
    <cellStyle name="Normal 9 2 7 4 2 2" xfId="13687" xr:uid="{53DEB091-0F01-4FDB-820D-8FE8F46DE3E2}"/>
    <cellStyle name="Normal 9 2 7 4 2 2 2" xfId="30447" xr:uid="{B5ACB45D-8A95-4CEE-BC4A-1EE8D1AAAD98}"/>
    <cellStyle name="Normal 9 2 7 4 2 2 3" xfId="47206" xr:uid="{73B3F53D-4722-4937-8106-65AF6E46F76A}"/>
    <cellStyle name="Normal 9 2 7 4 2 3" xfId="22067" xr:uid="{51D260F5-C774-4408-890F-E802A4025D38}"/>
    <cellStyle name="Normal 9 2 7 4 2 4" xfId="38826" xr:uid="{0D3976A0-51C1-4533-B188-DF032DFD390E}"/>
    <cellStyle name="Normal 9 2 7 4 3" xfId="6994" xr:uid="{65DCAED1-21C8-4312-8C22-3C625A5FB8F3}"/>
    <cellStyle name="Normal 9 2 7 4 3 2" xfId="15374" xr:uid="{BF94693F-DE76-4C93-A282-FDDAD6782ACE}"/>
    <cellStyle name="Normal 9 2 7 4 3 2 2" xfId="32134" xr:uid="{A4AF28CD-C187-424F-A2CE-85E29D1846B7}"/>
    <cellStyle name="Normal 9 2 7 4 3 2 3" xfId="48893" xr:uid="{466D64CA-73A4-427F-93A8-287FB1BE692C}"/>
    <cellStyle name="Normal 9 2 7 4 3 3" xfId="23754" xr:uid="{3767F22F-31AE-4376-A20A-38058E0BC57E}"/>
    <cellStyle name="Normal 9 2 7 4 3 4" xfId="40513" xr:uid="{8CD2E6F2-56D5-45F1-8336-48EE28250CDF}"/>
    <cellStyle name="Normal 9 2 7 4 4" xfId="3617" xr:uid="{FE72E0A3-51BE-4C55-BC1F-47D1694E14C0}"/>
    <cellStyle name="Normal 9 2 7 4 4 2" xfId="11997" xr:uid="{76D85166-A746-4349-BEF2-68547216D04C}"/>
    <cellStyle name="Normal 9 2 7 4 4 2 2" xfId="28757" xr:uid="{18CFBE21-4C2F-4DFC-A575-C463779B1C36}"/>
    <cellStyle name="Normal 9 2 7 4 4 2 3" xfId="45516" xr:uid="{2E8D0A60-754A-4115-9CBD-1BD23951291C}"/>
    <cellStyle name="Normal 9 2 7 4 4 3" xfId="20377" xr:uid="{D20DE545-AEC3-44B6-8818-19E83B19E56D}"/>
    <cellStyle name="Normal 9 2 7 4 4 4" xfId="37136" xr:uid="{3A5C5B6A-5F86-4D8A-9A3A-1547861F3858}"/>
    <cellStyle name="Normal 9 2 7 4 5" xfId="10307" xr:uid="{10AA6693-1D96-42A8-B616-140BD8A3909B}"/>
    <cellStyle name="Normal 9 2 7 4 5 2" xfId="27067" xr:uid="{AF4C601F-6A62-44AA-8265-EAAADFDE4561}"/>
    <cellStyle name="Normal 9 2 7 4 5 3" xfId="43826" xr:uid="{56FC9794-FC5E-4D2E-8197-FB29529A1AA7}"/>
    <cellStyle name="Normal 9 2 7 4 6" xfId="18687" xr:uid="{5C8EECE2-BA2B-4C8E-910D-E74801F1F346}"/>
    <cellStyle name="Normal 9 2 7 4 7" xfId="35446" xr:uid="{196969B9-83C5-43C8-B38B-4570DB3AF78A}"/>
    <cellStyle name="Normal 9 2 7 5" xfId="4037" xr:uid="{4DD40F24-828D-4B02-9842-9363EBB52143}"/>
    <cellStyle name="Normal 9 2 7 5 2" xfId="12417" xr:uid="{6F263C55-DD1F-451A-8371-D9327EFE9268}"/>
    <cellStyle name="Normal 9 2 7 5 2 2" xfId="29177" xr:uid="{EF408F35-A842-48D8-B80E-A4A16A681C44}"/>
    <cellStyle name="Normal 9 2 7 5 2 3" xfId="45936" xr:uid="{6A42FCB8-A086-42EC-908D-FD3F847F419F}"/>
    <cellStyle name="Normal 9 2 7 5 3" xfId="20797" xr:uid="{4855F576-A09C-4F83-B3BF-CCA76F7B8739}"/>
    <cellStyle name="Normal 9 2 7 5 4" xfId="37556" xr:uid="{1E78F346-5A20-4DCA-95CA-CED44A2E1D67}"/>
    <cellStyle name="Normal 9 2 7 6" xfId="5829" xr:uid="{26BCC439-B89A-486A-9767-A4AB6105264F}"/>
    <cellStyle name="Normal 9 2 7 6 2" xfId="14209" xr:uid="{E18AD775-FB5E-4810-944F-6E9EF9ED43FD}"/>
    <cellStyle name="Normal 9 2 7 6 2 2" xfId="30969" xr:uid="{69287F93-AD6C-45BC-A037-5AEC446B7F67}"/>
    <cellStyle name="Normal 9 2 7 6 2 3" xfId="47728" xr:uid="{A36F1B45-1325-46EB-AF8B-E31734306C77}"/>
    <cellStyle name="Normal 9 2 7 6 3" xfId="22589" xr:uid="{2FA0C9FB-1DB6-4C52-8DBA-B8CD69782A8C}"/>
    <cellStyle name="Normal 9 2 7 6 4" xfId="39348" xr:uid="{F1527426-7C0B-47A5-84C5-1FE2C7AA2FE8}"/>
    <cellStyle name="Normal 9 2 7 7" xfId="7400" xr:uid="{CC71FE3A-AC2A-4419-95E1-62BA7B028E2D}"/>
    <cellStyle name="Normal 9 2 7 7 2" xfId="15780" xr:uid="{672D9BD9-F61E-4AC7-8C82-545AE7F3113A}"/>
    <cellStyle name="Normal 9 2 7 7 2 2" xfId="32540" xr:uid="{DBEADAC7-0152-4BDD-962A-A83D7CD99CF6}"/>
    <cellStyle name="Normal 9 2 7 7 2 3" xfId="49299" xr:uid="{59B8682E-D785-4FCD-BC1F-C5B39AD418AD}"/>
    <cellStyle name="Normal 9 2 7 7 3" xfId="24160" xr:uid="{622C83B4-D44A-4DC3-AFD3-17998761EBA2}"/>
    <cellStyle name="Normal 9 2 7 7 4" xfId="40919" xr:uid="{98F424CC-1724-438B-9100-8F69B6C1995E}"/>
    <cellStyle name="Normal 9 2 7 8" xfId="7806" xr:uid="{ABAE9E2E-92EF-4DE1-A9EC-7853770D7D8F}"/>
    <cellStyle name="Normal 9 2 7 8 2" xfId="16186" xr:uid="{402FC851-15B9-48BE-B87F-D0369CA9380F}"/>
    <cellStyle name="Normal 9 2 7 8 2 2" xfId="32946" xr:uid="{BD36A732-3BFD-4784-AB22-4889631CA1A4}"/>
    <cellStyle name="Normal 9 2 7 8 2 3" xfId="49705" xr:uid="{7B557375-5CFE-4588-AFE6-B2567131471F}"/>
    <cellStyle name="Normal 9 2 7 8 3" xfId="24566" xr:uid="{663D925A-C819-4FC9-B4E8-6A5D638F52E2}"/>
    <cellStyle name="Normal 9 2 7 8 4" xfId="41325" xr:uid="{C8186656-E644-4D71-8970-6BEC4964BA16}"/>
    <cellStyle name="Normal 9 2 7 9" xfId="8212" xr:uid="{B4733826-B39A-40D8-AADA-C0494DC36360}"/>
    <cellStyle name="Normal 9 2 7 9 2" xfId="16592" xr:uid="{53FEA481-9B2D-4ACA-A784-FA2A2973B68B}"/>
    <cellStyle name="Normal 9 2 7 9 2 2" xfId="33352" xr:uid="{F4AF5F6B-1346-4019-B533-A21455F9D8DE}"/>
    <cellStyle name="Normal 9 2 7 9 2 3" xfId="50111" xr:uid="{102D054B-F220-4CBD-BCE9-D1280B991BE9}"/>
    <cellStyle name="Normal 9 2 7 9 3" xfId="24972" xr:uid="{E1004578-423C-4F2D-A035-CD3D7E3FBD90}"/>
    <cellStyle name="Normal 9 2 7 9 4" xfId="41731" xr:uid="{99738A1F-9CA3-4015-959F-0123EBD93632}"/>
    <cellStyle name="Normal 9 2 8" xfId="776" xr:uid="{3F524F4D-0BC1-4744-8C51-A0DC44747B95}"/>
    <cellStyle name="Normal 9 2 8 2" xfId="4171" xr:uid="{E70DC75D-282B-4FCC-B789-2B2A69E8E6F4}"/>
    <cellStyle name="Normal 9 2 8 2 2" xfId="12551" xr:uid="{FC427844-CF32-442D-B293-1268916BE086}"/>
    <cellStyle name="Normal 9 2 8 2 2 2" xfId="29311" xr:uid="{5D3205FB-D83A-469C-84D0-BE26404FB451}"/>
    <cellStyle name="Normal 9 2 8 2 2 3" xfId="46070" xr:uid="{FE370ED0-C894-48E2-A5E0-90D79ED2C34B}"/>
    <cellStyle name="Normal 9 2 8 2 3" xfId="20931" xr:uid="{41B57CC7-2ACB-45C8-B723-856A83C6D575}"/>
    <cellStyle name="Normal 9 2 8 2 4" xfId="37690" xr:uid="{46BA72D8-9285-40C2-BCC4-3460C1CF6611}"/>
    <cellStyle name="Normal 9 2 8 3" xfId="5858" xr:uid="{8027BD39-EF9C-4A3A-82DE-BC43B33798CB}"/>
    <cellStyle name="Normal 9 2 8 3 2" xfId="14238" xr:uid="{6D0D3495-49E5-4DFB-9368-F24D81CA2398}"/>
    <cellStyle name="Normal 9 2 8 3 2 2" xfId="30998" xr:uid="{FE014379-FA4E-4525-8B68-949EE3C42BD6}"/>
    <cellStyle name="Normal 9 2 8 3 2 3" xfId="47757" xr:uid="{EB3653FF-3ACD-43FF-A13B-F2BAAB089C09}"/>
    <cellStyle name="Normal 9 2 8 3 3" xfId="22618" xr:uid="{70CB7A0B-8C9D-4563-8D73-B8AC6A5991FD}"/>
    <cellStyle name="Normal 9 2 8 3 4" xfId="39377" xr:uid="{8F1F3706-F108-4E88-8706-1E422BFC9DB5}"/>
    <cellStyle name="Normal 9 2 8 4" xfId="2594" xr:uid="{31AAA210-B7E9-4516-9C7A-F20072D0A9D2}"/>
    <cellStyle name="Normal 9 2 8 4 2" xfId="10974" xr:uid="{C198AC18-44CB-4576-B9E6-0CFBD9AFB00E}"/>
    <cellStyle name="Normal 9 2 8 4 2 2" xfId="27734" xr:uid="{2E5A712D-0649-41AE-B4D7-5FB6F8B6F8A5}"/>
    <cellStyle name="Normal 9 2 8 4 2 3" xfId="44493" xr:uid="{229E060F-BFEC-4064-A55D-85A18084C5FA}"/>
    <cellStyle name="Normal 9 2 8 4 3" xfId="19354" xr:uid="{0D2593F8-C820-4A53-AD3F-8769DDEDBF62}"/>
    <cellStyle name="Normal 9 2 8 4 4" xfId="36113" xr:uid="{EC138E6A-48BF-494A-8D87-F22D5B3FE003}"/>
    <cellStyle name="Normal 9 2 8 5" xfId="9171" xr:uid="{077DED68-A743-4849-8C6C-332994D0482D}"/>
    <cellStyle name="Normal 9 2 8 5 2" xfId="25931" xr:uid="{C6BA46D6-2255-4D3A-84E1-CCDA207FA597}"/>
    <cellStyle name="Normal 9 2 8 5 3" xfId="42690" xr:uid="{E65D82BE-8833-4D55-BD01-38E503672100}"/>
    <cellStyle name="Normal 9 2 8 6" xfId="17551" xr:uid="{E191E852-E67B-499A-AC1A-A44B09645FAF}"/>
    <cellStyle name="Normal 9 2 8 7" xfId="34310" xr:uid="{4DA50E42-C17B-47F9-A7D1-CAAFD1B545DE}"/>
    <cellStyle name="Normal 9 2 9" xfId="1210" xr:uid="{DA60E1F3-6611-4FD6-8B94-74F6930C97A2}"/>
    <cellStyle name="Normal 9 2 9 2" xfId="4599" xr:uid="{A8B6CF7B-59CB-41F5-8E39-6436A31776F9}"/>
    <cellStyle name="Normal 9 2 9 2 2" xfId="12979" xr:uid="{96EF65C1-9632-4C99-9217-CD2E1BDACD11}"/>
    <cellStyle name="Normal 9 2 9 2 2 2" xfId="29739" xr:uid="{3D80B1BE-9349-4AF7-8071-F4BA3D9E3828}"/>
    <cellStyle name="Normal 9 2 9 2 2 3" xfId="46498" xr:uid="{BF814755-3987-42C2-8849-8FBDDDEB17AF}"/>
    <cellStyle name="Normal 9 2 9 2 3" xfId="21359" xr:uid="{32B68DD4-0C82-402D-AF9E-C182E4561AE3}"/>
    <cellStyle name="Normal 9 2 9 2 4" xfId="38118" xr:uid="{77771522-459D-4DB7-A33A-DC7542B8033E}"/>
    <cellStyle name="Normal 9 2 9 3" xfId="6286" xr:uid="{601180FD-34E9-4E13-AED1-D97BC4EB21B4}"/>
    <cellStyle name="Normal 9 2 9 3 2" xfId="14666" xr:uid="{FA736394-DBB5-4615-AC56-D8DEE07823DB}"/>
    <cellStyle name="Normal 9 2 9 3 2 2" xfId="31426" xr:uid="{662291FB-AD72-4F23-9074-FF7A1EB98C6F}"/>
    <cellStyle name="Normal 9 2 9 3 2 3" xfId="48185" xr:uid="{333F0B08-8A40-4DC0-926B-81743A5413AE}"/>
    <cellStyle name="Normal 9 2 9 3 3" xfId="23046" xr:uid="{77A8DA81-D6E5-4D5E-8E01-A1C13A2C65CD}"/>
    <cellStyle name="Normal 9 2 9 3 4" xfId="39805" xr:uid="{F5A77AD1-AA55-4297-8EB6-3D1553757FDE}"/>
    <cellStyle name="Normal 9 2 9 4" xfId="3022" xr:uid="{C7182627-1B5B-470B-803D-3FA5B1653B86}"/>
    <cellStyle name="Normal 9 2 9 4 2" xfId="11402" xr:uid="{86654C19-0FDF-452D-B09E-782ADA5C7B88}"/>
    <cellStyle name="Normal 9 2 9 4 2 2" xfId="28162" xr:uid="{ABD2F49B-A683-4F89-8558-17D26AFA28C5}"/>
    <cellStyle name="Normal 9 2 9 4 2 3" xfId="44921" xr:uid="{13E5130F-2834-41A0-8A59-63E52D1B2031}"/>
    <cellStyle name="Normal 9 2 9 4 3" xfId="19782" xr:uid="{359A8679-0401-4F4F-8D33-D21B60C7FE5E}"/>
    <cellStyle name="Normal 9 2 9 4 4" xfId="36541" xr:uid="{0E059602-C552-4276-BC0F-4BA397E76BE7}"/>
    <cellStyle name="Normal 9 2 9 5" xfId="9599" xr:uid="{2BCF02F1-5769-4929-9A7E-2FCEB083BFE0}"/>
    <cellStyle name="Normal 9 2 9 5 2" xfId="26359" xr:uid="{09159CDE-C8EA-4529-BD9A-D3E42FA714A5}"/>
    <cellStyle name="Normal 9 2 9 5 3" xfId="43118" xr:uid="{DEB3B04E-81D5-4D35-8892-688D443B2ED2}"/>
    <cellStyle name="Normal 9 2 9 6" xfId="17979" xr:uid="{6D8A8AAA-E8F3-48BB-A07C-BF51A0AF5F22}"/>
    <cellStyle name="Normal 9 2 9 7" xfId="34738" xr:uid="{FC6E9AA1-02D0-4E02-AFF6-457B446D0F59}"/>
    <cellStyle name="Normal 9 20" xfId="17118" xr:uid="{6C85E4F5-731B-486E-AC88-C5AEB7E41101}"/>
    <cellStyle name="Normal 9 21" xfId="33877" xr:uid="{69490B22-53B6-4DE7-A511-6BABEFD66888}"/>
    <cellStyle name="Normal 9 22" xfId="50950" xr:uid="{B1B8E3BB-1B8E-4C35-928F-2C50A2DC4403}"/>
    <cellStyle name="Normal 9 3" xfId="293" xr:uid="{DCAECE1B-66F8-4438-AB0C-99D9DFCE8CEB}"/>
    <cellStyle name="Normal 9 3 10" xfId="7194" xr:uid="{94BAA809-7E89-4ECE-8FFD-6B7F9C19B288}"/>
    <cellStyle name="Normal 9 3 10 2" xfId="15574" xr:uid="{A1E10FC9-016E-4345-989D-26F01AE2E6F9}"/>
    <cellStyle name="Normal 9 3 10 2 2" xfId="32334" xr:uid="{10CF233B-AD2F-4ADD-BA38-8C937C9CBF02}"/>
    <cellStyle name="Normal 9 3 10 2 3" xfId="49093" xr:uid="{FA847C06-F8CF-429F-9984-CAB60A8F011F}"/>
    <cellStyle name="Normal 9 3 10 3" xfId="23954" xr:uid="{4D47E00C-1806-43BC-85B0-BE870CDCB541}"/>
    <cellStyle name="Normal 9 3 10 4" xfId="40713" xr:uid="{804A0A71-BE60-48A5-B916-BB3438D9885B}"/>
    <cellStyle name="Normal 9 3 11" xfId="7600" xr:uid="{9D805701-547C-4069-84C8-D9CD58D9A052}"/>
    <cellStyle name="Normal 9 3 11 2" xfId="15980" xr:uid="{97B7164A-ADF4-4A5D-A83B-3774355145CC}"/>
    <cellStyle name="Normal 9 3 11 2 2" xfId="32740" xr:uid="{31EB6785-9526-4670-AA2A-35768D9CEE2E}"/>
    <cellStyle name="Normal 9 3 11 2 3" xfId="49499" xr:uid="{575BE7B4-4DAF-4101-9C8C-AB2184BD2B62}"/>
    <cellStyle name="Normal 9 3 11 3" xfId="24360" xr:uid="{A5B50EBB-E908-47D0-A274-046AAB5EDDFC}"/>
    <cellStyle name="Normal 9 3 11 4" xfId="41119" xr:uid="{5DB45522-DB25-4486-A389-8DABB065CB44}"/>
    <cellStyle name="Normal 9 3 12" xfId="8006" xr:uid="{9413A6DD-CDB6-4EC3-9B13-2EEFE122992E}"/>
    <cellStyle name="Normal 9 3 12 2" xfId="16386" xr:uid="{AD046B0F-C036-4116-90E9-29131C9CEBE7}"/>
    <cellStyle name="Normal 9 3 12 2 2" xfId="33146" xr:uid="{B6F84627-20DF-46E6-8197-F657F6046217}"/>
    <cellStyle name="Normal 9 3 12 2 3" xfId="49905" xr:uid="{CC7293F8-B903-4693-B283-661589E2B072}"/>
    <cellStyle name="Normal 9 3 12 3" xfId="24766" xr:uid="{F6B6456C-3CF8-4B8B-8EB5-AB19F4646E67}"/>
    <cellStyle name="Normal 9 3 12 4" xfId="41525" xr:uid="{9EA6859B-BED9-43CA-8542-C5802FB2F96F}"/>
    <cellStyle name="Normal 9 3 13" xfId="8412" xr:uid="{7C6BCA3D-AEA5-4127-BE8B-40E4F1CF222E}"/>
    <cellStyle name="Normal 9 3 13 2" xfId="16792" xr:uid="{C2FFAD19-B14D-4C83-86C7-DEC81C102901}"/>
    <cellStyle name="Normal 9 3 13 2 2" xfId="33552" xr:uid="{FB222D34-C615-40DD-A7FA-2E3CE3B7E308}"/>
    <cellStyle name="Normal 9 3 13 2 3" xfId="50311" xr:uid="{929AB853-3106-4A71-ABC5-B1C5C417A5B7}"/>
    <cellStyle name="Normal 9 3 13 3" xfId="25172" xr:uid="{86D9F451-F5CE-4E7A-B623-1618C70C208A}"/>
    <cellStyle name="Normal 9 3 13 4" xfId="41931" xr:uid="{84C8E394-4BC6-46DA-8504-B2DE2A29BC8F}"/>
    <cellStyle name="Normal 9 3 14" xfId="2059" xr:uid="{55A90B36-AD3C-4315-9513-63E80EA9A466}"/>
    <cellStyle name="Normal 9 3 14 2" xfId="10447" xr:uid="{C94BB647-A466-476D-BFEC-BA46912B3412}"/>
    <cellStyle name="Normal 9 3 14 2 2" xfId="27207" xr:uid="{B8B0C639-A88A-4826-916F-834F5AB33546}"/>
    <cellStyle name="Normal 9 3 14 2 3" xfId="43966" xr:uid="{D865054D-9D61-4B70-86F7-C39A9B752D6F}"/>
    <cellStyle name="Normal 9 3 14 3" xfId="18827" xr:uid="{C9F179EB-B6FB-4D91-94C3-8B61582025D9}"/>
    <cellStyle name="Normal 9 3 14 4" xfId="35586" xr:uid="{CB3408E8-832B-4AD7-8A45-839C5E605ED5}"/>
    <cellStyle name="Normal 9 3 15" xfId="8766" xr:uid="{13B53EB5-1838-45B3-BD16-91A314F1B563}"/>
    <cellStyle name="Normal 9 3 15 2" xfId="25526" xr:uid="{6749A87F-C057-4A28-8C39-2CE681269BFA}"/>
    <cellStyle name="Normal 9 3 15 3" xfId="42285" xr:uid="{3151E37F-FD71-4941-B8CA-63885389E934}"/>
    <cellStyle name="Normal 9 3 16" xfId="17146" xr:uid="{2F9AB0AD-616A-4BF4-B6BB-192E7803028E}"/>
    <cellStyle name="Normal 9 3 17" xfId="33905" xr:uid="{FECD7AE2-825D-4927-9D81-4A75EAF03EDC}"/>
    <cellStyle name="Normal 9 3 2" xfId="376" xr:uid="{567EE0D0-2CFB-4A68-9E93-D4CC5B9EBE2C}"/>
    <cellStyle name="Normal 9 3 2 10" xfId="7621" xr:uid="{9A0DE96F-9A04-46B2-8F30-2D04B35F7838}"/>
    <cellStyle name="Normal 9 3 2 10 2" xfId="16001" xr:uid="{C823DF00-FCE1-4F09-9847-BBE7D7A8A59F}"/>
    <cellStyle name="Normal 9 3 2 10 2 2" xfId="32761" xr:uid="{90013536-0BEC-4B18-8EA1-55625B5AF851}"/>
    <cellStyle name="Normal 9 3 2 10 2 3" xfId="49520" xr:uid="{C02F18B0-5DB0-460E-BCD7-7AC45A7C94FE}"/>
    <cellStyle name="Normal 9 3 2 10 3" xfId="24381" xr:uid="{E27A8BE5-7EBE-4F3D-9262-C69BA199C14A}"/>
    <cellStyle name="Normal 9 3 2 10 4" xfId="41140" xr:uid="{0965B56C-503B-4C01-865D-40C65370B5D6}"/>
    <cellStyle name="Normal 9 3 2 11" xfId="8027" xr:uid="{365FF02D-382A-4F0A-915A-F3F635C02402}"/>
    <cellStyle name="Normal 9 3 2 11 2" xfId="16407" xr:uid="{8A1785A6-6343-4B4F-A402-C6BAC49A61E9}"/>
    <cellStyle name="Normal 9 3 2 11 2 2" xfId="33167" xr:uid="{694E739F-0AB9-44D6-AFEF-D9E157789316}"/>
    <cellStyle name="Normal 9 3 2 11 2 3" xfId="49926" xr:uid="{8E952378-4337-48D3-860C-1203A8688DDC}"/>
    <cellStyle name="Normal 9 3 2 11 3" xfId="24787" xr:uid="{37BFD8A3-F491-48AA-A422-80DCB0D3F2CE}"/>
    <cellStyle name="Normal 9 3 2 11 4" xfId="41546" xr:uid="{36B24178-8A44-44CD-86ED-D866D0A5D021}"/>
    <cellStyle name="Normal 9 3 2 12" xfId="8433" xr:uid="{85D2C2F0-09C4-41D4-8F77-A1C2921F597E}"/>
    <cellStyle name="Normal 9 3 2 12 2" xfId="16813" xr:uid="{93820D97-E671-4393-8968-53C2A8A399DD}"/>
    <cellStyle name="Normal 9 3 2 12 2 2" xfId="33573" xr:uid="{B4415965-D6FD-41E5-A8CA-1D51B89DD826}"/>
    <cellStyle name="Normal 9 3 2 12 2 3" xfId="50332" xr:uid="{74B83907-A0E8-44F4-B870-3DDF256A54C8}"/>
    <cellStyle name="Normal 9 3 2 12 3" xfId="25193" xr:uid="{0976D5CF-02E4-45CD-81C8-24DF7F1E7C25}"/>
    <cellStyle name="Normal 9 3 2 12 4" xfId="41952" xr:uid="{238818FA-FB11-4BF0-8380-0686AB896592}"/>
    <cellStyle name="Normal 9 3 2 13" xfId="2259" xr:uid="{B29D60D5-5F3B-4B29-871B-F7584DD9950F}"/>
    <cellStyle name="Normal 9 3 2 13 2" xfId="10643" xr:uid="{2E4B7093-73F7-4FEA-923E-1F04FF2F0391}"/>
    <cellStyle name="Normal 9 3 2 13 2 2" xfId="27403" xr:uid="{F9775222-492B-4092-A53E-F4A300F8774B}"/>
    <cellStyle name="Normal 9 3 2 13 2 3" xfId="44162" xr:uid="{DEC61512-5EE7-4B6B-90D3-B8647EE0CE82}"/>
    <cellStyle name="Normal 9 3 2 13 3" xfId="19023" xr:uid="{25B44933-7C41-48F5-A03C-8F70CC2DEA00}"/>
    <cellStyle name="Normal 9 3 2 13 4" xfId="35782" xr:uid="{9B6FF048-72D3-4DEB-AC82-B0C24AB07732}"/>
    <cellStyle name="Normal 9 3 2 14" xfId="8840" xr:uid="{7BE693C3-60F5-40B4-8952-0ADFAF6E4C90}"/>
    <cellStyle name="Normal 9 3 2 14 2" xfId="25600" xr:uid="{DB7FC95D-88EB-4F4C-81DB-EE39C7912131}"/>
    <cellStyle name="Normal 9 3 2 14 3" xfId="42359" xr:uid="{342B21F7-DE76-4403-8D6F-A08A93325314}"/>
    <cellStyle name="Normal 9 3 2 15" xfId="17220" xr:uid="{B48356B4-0066-4A8C-B09E-ACFCB3075613}"/>
    <cellStyle name="Normal 9 3 2 16" xfId="33979" xr:uid="{0AFBECB5-83D9-46F2-84B4-73079335E350}"/>
    <cellStyle name="Normal 9 3 2 2" xfId="735" xr:uid="{FC514AC7-57CA-456D-8FB3-192AF143367D}"/>
    <cellStyle name="Normal 9 3 2 2 10" xfId="8590" xr:uid="{35F7702C-5391-404F-8F5B-4EAA8CC23D6C}"/>
    <cellStyle name="Normal 9 3 2 2 10 2" xfId="16970" xr:uid="{6F128B40-350B-487C-A2D5-0DC073BA0F06}"/>
    <cellStyle name="Normal 9 3 2 2 10 2 2" xfId="33730" xr:uid="{BE7CE86B-CA82-4B4C-A3BC-CFE8D4900934}"/>
    <cellStyle name="Normal 9 3 2 2 10 2 3" xfId="50489" xr:uid="{30611C97-5407-4718-82B3-16A0BB04AA01}"/>
    <cellStyle name="Normal 9 3 2 2 10 3" xfId="25350" xr:uid="{33C3C95C-2C64-4BDE-8B5A-834F9A959312}"/>
    <cellStyle name="Normal 9 3 2 2 10 4" xfId="42109" xr:uid="{3DEB6076-C90B-4E60-8D05-191CC3609F33}"/>
    <cellStyle name="Normal 9 3 2 2 11" xfId="2564" xr:uid="{E148E155-846A-4B9E-B762-40BD530F409A}"/>
    <cellStyle name="Normal 9 3 2 2 11 2" xfId="10946" xr:uid="{E5115583-36C6-418E-900E-8D7B660EB073}"/>
    <cellStyle name="Normal 9 3 2 2 11 2 2" xfId="27706" xr:uid="{9D8E96C6-2721-4966-AF1D-E3C22FDC7FC0}"/>
    <cellStyle name="Normal 9 3 2 2 11 2 3" xfId="44465" xr:uid="{81D943ED-F3FC-4CA8-8F2F-17E151DABFEB}"/>
    <cellStyle name="Normal 9 3 2 2 11 3" xfId="19326" xr:uid="{DAFE936A-2444-47A2-B4FA-E58B542856CD}"/>
    <cellStyle name="Normal 9 3 2 2 11 4" xfId="36085" xr:uid="{4D48CF9C-4032-4E13-B5E1-84260858E937}"/>
    <cellStyle name="Normal 9 3 2 2 12" xfId="9143" xr:uid="{B72FD2FA-B48F-49FE-8688-2BC138482B24}"/>
    <cellStyle name="Normal 9 3 2 2 12 2" xfId="25903" xr:uid="{23B503E5-0DAC-4464-8E00-516848E59B94}"/>
    <cellStyle name="Normal 9 3 2 2 12 3" xfId="42662" xr:uid="{285BE51E-0CF7-4FAF-9DDE-51590ED9A0C8}"/>
    <cellStyle name="Normal 9 3 2 2 13" xfId="17523" xr:uid="{367C40C3-975A-4181-9F5F-003265A683A6}"/>
    <cellStyle name="Normal 9 3 2 2 14" xfId="34282" xr:uid="{D142187E-574E-4C69-A1EA-47C89DCF6C4E}"/>
    <cellStyle name="Normal 9 3 2 2 2" xfId="1174" xr:uid="{FDFFE586-5DDE-4554-934B-1E73FE7979D6}"/>
    <cellStyle name="Normal 9 3 2 2 2 2" xfId="4569" xr:uid="{6E3EDE46-D228-4710-B2C1-DCAA270230A6}"/>
    <cellStyle name="Normal 9 3 2 2 2 2 2" xfId="12949" xr:uid="{EF254E25-1DFD-445D-B8A8-588C33144CAB}"/>
    <cellStyle name="Normal 9 3 2 2 2 2 2 2" xfId="29709" xr:uid="{758CCEB7-39ED-4A28-8A2B-BFEBC0C820CD}"/>
    <cellStyle name="Normal 9 3 2 2 2 2 2 3" xfId="46468" xr:uid="{20B6362B-1C18-4E0A-A3A7-2C7AC05E927E}"/>
    <cellStyle name="Normal 9 3 2 2 2 2 3" xfId="21329" xr:uid="{3A6E449B-81D4-4310-B394-334A40B315FF}"/>
    <cellStyle name="Normal 9 3 2 2 2 2 4" xfId="38088" xr:uid="{6BE1233A-FABB-4DB8-A8D6-580E4E57BD7F}"/>
    <cellStyle name="Normal 9 3 2 2 2 3" xfId="6256" xr:uid="{87268B28-AB76-41A6-91DB-37D1B91D281B}"/>
    <cellStyle name="Normal 9 3 2 2 2 3 2" xfId="14636" xr:uid="{D2C42E38-8BDA-4F77-A6F7-97AF327CB5D2}"/>
    <cellStyle name="Normal 9 3 2 2 2 3 2 2" xfId="31396" xr:uid="{5CC40963-35E8-4C4E-BD70-0692D8428035}"/>
    <cellStyle name="Normal 9 3 2 2 2 3 2 3" xfId="48155" xr:uid="{06FF5F2B-444E-401E-948C-162819CE9D79}"/>
    <cellStyle name="Normal 9 3 2 2 2 3 3" xfId="23016" xr:uid="{292D20C6-8139-4A02-A782-17EB15C62E16}"/>
    <cellStyle name="Normal 9 3 2 2 2 3 4" xfId="39775" xr:uid="{32EAD2B9-D87F-4057-9060-BCDF014BEA43}"/>
    <cellStyle name="Normal 9 3 2 2 2 4" xfId="2992" xr:uid="{12CA8EC7-B871-4D63-A662-89381FA8F6A6}"/>
    <cellStyle name="Normal 9 3 2 2 2 4 2" xfId="11372" xr:uid="{6E74D627-A8C6-4140-A5A7-5DA21243121F}"/>
    <cellStyle name="Normal 9 3 2 2 2 4 2 2" xfId="28132" xr:uid="{B80F5A73-9AED-4922-887F-B65170AFF965}"/>
    <cellStyle name="Normal 9 3 2 2 2 4 2 3" xfId="44891" xr:uid="{8EF2323A-9FEF-4A0E-99AC-CE1B5D5B048C}"/>
    <cellStyle name="Normal 9 3 2 2 2 4 3" xfId="19752" xr:uid="{E41B131D-E4CF-4AAE-83B4-A05FB83A41AB}"/>
    <cellStyle name="Normal 9 3 2 2 2 4 4" xfId="36511" xr:uid="{FD185839-34AA-4B01-AA87-10D0E5CC2182}"/>
    <cellStyle name="Normal 9 3 2 2 2 5" xfId="9569" xr:uid="{8F72B5AA-A55E-4971-9CAB-E36CC15A2AC9}"/>
    <cellStyle name="Normal 9 3 2 2 2 5 2" xfId="26329" xr:uid="{9C61553C-84DF-482B-A6EE-B40B1D29744B}"/>
    <cellStyle name="Normal 9 3 2 2 2 5 3" xfId="43088" xr:uid="{357D74F1-2B38-4BF4-876E-D36E7CEF25A0}"/>
    <cellStyle name="Normal 9 3 2 2 2 6" xfId="17949" xr:uid="{82EADC83-78DF-43D1-97DC-2D3CCF790155}"/>
    <cellStyle name="Normal 9 3 2 2 2 7" xfId="34708" xr:uid="{8573E7D5-3350-45A2-96D5-E9279D875995}"/>
    <cellStyle name="Normal 9 3 2 2 3" xfId="1608" xr:uid="{3FD192D9-1843-4675-9CCE-71EAE87C59B5}"/>
    <cellStyle name="Normal 9 3 2 2 3 2" xfId="4997" xr:uid="{D53A9C22-ED93-43C7-8C26-B989C56EAD22}"/>
    <cellStyle name="Normal 9 3 2 2 3 2 2" xfId="13377" xr:uid="{720A1A02-9A48-46DE-B2C2-34BE26CE30E8}"/>
    <cellStyle name="Normal 9 3 2 2 3 2 2 2" xfId="30137" xr:uid="{69B1DBA1-C42C-4ECE-8FB0-3991D8E461BF}"/>
    <cellStyle name="Normal 9 3 2 2 3 2 2 3" xfId="46896" xr:uid="{3E7EA3E2-F45F-4E18-9A30-50411A480B41}"/>
    <cellStyle name="Normal 9 3 2 2 3 2 3" xfId="21757" xr:uid="{0E1238B1-A862-4B5B-8444-50DA3CCCFC3B}"/>
    <cellStyle name="Normal 9 3 2 2 3 2 4" xfId="38516" xr:uid="{757EC35B-F2CA-4FDA-B2F9-C88CEC462633}"/>
    <cellStyle name="Normal 9 3 2 2 3 3" xfId="6684" xr:uid="{DA8433F2-784C-4560-BC10-84F2D8B4E1F6}"/>
    <cellStyle name="Normal 9 3 2 2 3 3 2" xfId="15064" xr:uid="{7DF08FDA-3AEA-4356-B8F0-0DA5F4B499E9}"/>
    <cellStyle name="Normal 9 3 2 2 3 3 2 2" xfId="31824" xr:uid="{BB2FCA90-CFCC-4EA9-B734-4F3DEF4C400D}"/>
    <cellStyle name="Normal 9 3 2 2 3 3 2 3" xfId="48583" xr:uid="{BDB341BB-7175-4C61-A184-F3AFBC625996}"/>
    <cellStyle name="Normal 9 3 2 2 3 3 3" xfId="23444" xr:uid="{B1B2D35D-91FC-46F4-9BD3-4FD6EEBAF7F7}"/>
    <cellStyle name="Normal 9 3 2 2 3 3 4" xfId="40203" xr:uid="{EC61D902-4DE3-46C3-AC3B-8EA86181232A}"/>
    <cellStyle name="Normal 9 3 2 2 3 4" xfId="3420" xr:uid="{17344E81-8F6D-4088-93BD-1CA7BD43D722}"/>
    <cellStyle name="Normal 9 3 2 2 3 4 2" xfId="11800" xr:uid="{037EE59D-29FE-4BFE-B129-31B4A9AA52BC}"/>
    <cellStyle name="Normal 9 3 2 2 3 4 2 2" xfId="28560" xr:uid="{F6D00C8F-2111-4F75-9240-8B516A6CE770}"/>
    <cellStyle name="Normal 9 3 2 2 3 4 2 3" xfId="45319" xr:uid="{10B77F66-3B1D-43E1-A258-B8F595BFE801}"/>
    <cellStyle name="Normal 9 3 2 2 3 4 3" xfId="20180" xr:uid="{9E1C746A-2AC4-47B4-99C2-0C371618D341}"/>
    <cellStyle name="Normal 9 3 2 2 3 4 4" xfId="36939" xr:uid="{3C096BCB-8C55-4E1D-8D5E-94CC8D780FBA}"/>
    <cellStyle name="Normal 9 3 2 2 3 5" xfId="9997" xr:uid="{FE7C285C-B681-4378-A8C4-F5357F627574}"/>
    <cellStyle name="Normal 9 3 2 2 3 5 2" xfId="26757" xr:uid="{9A68337C-E4F7-4CA0-8B8D-D42C39FECA53}"/>
    <cellStyle name="Normal 9 3 2 2 3 5 3" xfId="43516" xr:uid="{2C994F22-1432-429F-9E90-23E7C9304B40}"/>
    <cellStyle name="Normal 9 3 2 2 3 6" xfId="18377" xr:uid="{956D17CA-7137-40C4-9218-0F232D18AB72}"/>
    <cellStyle name="Normal 9 3 2 2 3 7" xfId="35136" xr:uid="{B81063DF-3603-4732-A9B4-DAAA6DBF1751}"/>
    <cellStyle name="Normal 9 3 2 2 4" xfId="1890" xr:uid="{9E857D40-893D-42CC-AC54-F071967E3005}"/>
    <cellStyle name="Normal 9 3 2 2 4 2" xfId="5279" xr:uid="{4BFA1DE4-0FF5-49FC-BA86-91810C1DB8EB}"/>
    <cellStyle name="Normal 9 3 2 2 4 2 2" xfId="13659" xr:uid="{21CAA7DF-74ED-4D6E-BFB8-B87FC777063C}"/>
    <cellStyle name="Normal 9 3 2 2 4 2 2 2" xfId="30419" xr:uid="{E4F340D9-3913-4B47-9060-BF35B85F52E3}"/>
    <cellStyle name="Normal 9 3 2 2 4 2 2 3" xfId="47178" xr:uid="{B8A09F0A-CE80-44C1-B19B-163BCA075C03}"/>
    <cellStyle name="Normal 9 3 2 2 4 2 3" xfId="22039" xr:uid="{C41C7FB4-9DD7-436B-83A9-4D0D7EDFC720}"/>
    <cellStyle name="Normal 9 3 2 2 4 2 4" xfId="38798" xr:uid="{3FF50B5F-DB5D-451E-A855-5EB3A976156C}"/>
    <cellStyle name="Normal 9 3 2 2 4 3" xfId="6966" xr:uid="{DA26ADD0-3128-494E-814C-0993B8C6C0EB}"/>
    <cellStyle name="Normal 9 3 2 2 4 3 2" xfId="15346" xr:uid="{441D6A3E-BB62-4FE4-AD1B-EFFB00F69444}"/>
    <cellStyle name="Normal 9 3 2 2 4 3 2 2" xfId="32106" xr:uid="{1EA83442-F65A-4EB6-B895-9BB271C46D9E}"/>
    <cellStyle name="Normal 9 3 2 2 4 3 2 3" xfId="48865" xr:uid="{71764FF9-28C4-4646-9610-8AD9C0B64B52}"/>
    <cellStyle name="Normal 9 3 2 2 4 3 3" xfId="23726" xr:uid="{63DF5F58-F32C-417F-8D6B-47C9D75C7E07}"/>
    <cellStyle name="Normal 9 3 2 2 4 3 4" xfId="40485" xr:uid="{D64DFED2-6FBF-4D85-A281-2076A8627A56}"/>
    <cellStyle name="Normal 9 3 2 2 4 4" xfId="3589" xr:uid="{994B4D7C-493E-4A72-97D0-7E33A2A4731E}"/>
    <cellStyle name="Normal 9 3 2 2 4 4 2" xfId="11969" xr:uid="{220302C7-F33F-492F-9E6C-372361E4093D}"/>
    <cellStyle name="Normal 9 3 2 2 4 4 2 2" xfId="28729" xr:uid="{EDA377FC-9E1D-49C9-9941-779151C1979B}"/>
    <cellStyle name="Normal 9 3 2 2 4 4 2 3" xfId="45488" xr:uid="{67162BCF-4711-4572-9B84-3C849B63870D}"/>
    <cellStyle name="Normal 9 3 2 2 4 4 3" xfId="20349" xr:uid="{74A28119-DD0F-4997-B462-630FC9FBEB67}"/>
    <cellStyle name="Normal 9 3 2 2 4 4 4" xfId="37108" xr:uid="{E77CAF11-0FEF-401B-ACE4-7DE40C5920D0}"/>
    <cellStyle name="Normal 9 3 2 2 4 5" xfId="10279" xr:uid="{B0325934-3605-488F-85DE-69FBC6A57607}"/>
    <cellStyle name="Normal 9 3 2 2 4 5 2" xfId="27039" xr:uid="{30EF84EF-E7A7-4EE0-8BE7-EC83686AD214}"/>
    <cellStyle name="Normal 9 3 2 2 4 5 3" xfId="43798" xr:uid="{E6BAE390-6A46-4E0E-B29B-EEE6AA66E585}"/>
    <cellStyle name="Normal 9 3 2 2 4 6" xfId="18659" xr:uid="{57FD9C6D-79BD-4DB3-907B-D8B9810D867F}"/>
    <cellStyle name="Normal 9 3 2 2 4 7" xfId="35418" xr:uid="{3597BEB9-EB7D-4369-B35B-D78B147300BB}"/>
    <cellStyle name="Normal 9 3 2 2 5" xfId="4009" xr:uid="{43880998-5B97-4677-911D-E7D110107BB1}"/>
    <cellStyle name="Normal 9 3 2 2 5 2" xfId="12389" xr:uid="{D611FE43-238C-4AAF-A5F9-DDA1FFFB1C79}"/>
    <cellStyle name="Normal 9 3 2 2 5 2 2" xfId="29149" xr:uid="{CB9EBF30-BF4E-4E1C-BE90-5C4D891E934B}"/>
    <cellStyle name="Normal 9 3 2 2 5 2 3" xfId="45908" xr:uid="{83804015-48FE-494A-85F0-C14DE4CE1EE7}"/>
    <cellStyle name="Normal 9 3 2 2 5 3" xfId="20769" xr:uid="{DD79AECF-0B43-4539-A27F-806A0DB882DC}"/>
    <cellStyle name="Normal 9 3 2 2 5 4" xfId="37528" xr:uid="{DD822A36-2645-4C1F-813A-4F46AC9F4A74}"/>
    <cellStyle name="Normal 9 3 2 2 6" xfId="5830" xr:uid="{DF7BB6A0-F767-46CB-A3FA-4D1131B3C9F3}"/>
    <cellStyle name="Normal 9 3 2 2 6 2" xfId="14210" xr:uid="{B81BF0A1-5D6B-4FA9-A0D6-61D8F859D5D3}"/>
    <cellStyle name="Normal 9 3 2 2 6 2 2" xfId="30970" xr:uid="{A17183BD-B644-4C74-B02F-F28C7BF817EC}"/>
    <cellStyle name="Normal 9 3 2 2 6 2 3" xfId="47729" xr:uid="{164BE3A7-231A-4456-95C8-96C740FADFC3}"/>
    <cellStyle name="Normal 9 3 2 2 6 3" xfId="22590" xr:uid="{C3E8074D-D79F-4E18-90C7-48AE2F7BE9DB}"/>
    <cellStyle name="Normal 9 3 2 2 6 4" xfId="39349" xr:uid="{25C5D620-CFAE-4704-ADD8-829F9A10CFB2}"/>
    <cellStyle name="Normal 9 3 2 2 7" xfId="7372" xr:uid="{9463711C-A91D-4C53-B284-596E8898E851}"/>
    <cellStyle name="Normal 9 3 2 2 7 2" xfId="15752" xr:uid="{E3689735-FBCF-4D9E-84E2-151D95FD63DC}"/>
    <cellStyle name="Normal 9 3 2 2 7 2 2" xfId="32512" xr:uid="{8102AA44-7D66-43E5-9A9A-20A1E4B1C6E1}"/>
    <cellStyle name="Normal 9 3 2 2 7 2 3" xfId="49271" xr:uid="{FC9F1FB1-4E25-47EE-953B-8DB7D73A3E57}"/>
    <cellStyle name="Normal 9 3 2 2 7 3" xfId="24132" xr:uid="{22D0797A-3AF9-4846-A77F-A47CC0C68430}"/>
    <cellStyle name="Normal 9 3 2 2 7 4" xfId="40891" xr:uid="{CB307B0F-20BF-4235-A20F-12A9E6C6B841}"/>
    <cellStyle name="Normal 9 3 2 2 8" xfId="7778" xr:uid="{B1B29578-C98C-486F-8283-E5D26CBE2A25}"/>
    <cellStyle name="Normal 9 3 2 2 8 2" xfId="16158" xr:uid="{127E7C77-B774-4E74-902E-BDD8A1DCFC89}"/>
    <cellStyle name="Normal 9 3 2 2 8 2 2" xfId="32918" xr:uid="{41AF8699-C24E-44BA-8C22-D7DFC2809E65}"/>
    <cellStyle name="Normal 9 3 2 2 8 2 3" xfId="49677" xr:uid="{67057848-0A3F-4E77-A266-198049BB7E34}"/>
    <cellStyle name="Normal 9 3 2 2 8 3" xfId="24538" xr:uid="{350187A6-7C54-43EB-A2AB-F20A6774995A}"/>
    <cellStyle name="Normal 9 3 2 2 8 4" xfId="41297" xr:uid="{D11CA96B-4411-4FF0-B667-C499718B48FB}"/>
    <cellStyle name="Normal 9 3 2 2 9" xfId="8184" xr:uid="{AB727354-9171-4D75-8215-638A0C6026FE}"/>
    <cellStyle name="Normal 9 3 2 2 9 2" xfId="16564" xr:uid="{259856FE-E0BE-40C6-BC9D-68FFD407C7C5}"/>
    <cellStyle name="Normal 9 3 2 2 9 2 2" xfId="33324" xr:uid="{B2A19135-6851-42B3-8CAE-E1CDFECF8EB4}"/>
    <cellStyle name="Normal 9 3 2 2 9 2 3" xfId="50083" xr:uid="{BA68B345-7369-48F6-9888-4DC685EADB0E}"/>
    <cellStyle name="Normal 9 3 2 2 9 3" xfId="24944" xr:uid="{D71E3D5F-3647-42D3-84EA-CA8A01F81D50}"/>
    <cellStyle name="Normal 9 3 2 2 9 4" xfId="41703" xr:uid="{80A5E4BD-CAB3-4A95-BE0A-D67F011D43F8}"/>
    <cellStyle name="Normal 9 3 2 3" xfId="736" xr:uid="{D7CCFAAA-C0B4-4D2C-B875-CF67F7883CA7}"/>
    <cellStyle name="Normal 9 3 2 3 10" xfId="8704" xr:uid="{E1BD3311-41CB-4F5C-A853-DB0EDDF7D362}"/>
    <cellStyle name="Normal 9 3 2 3 10 2" xfId="17084" xr:uid="{EC672145-EA16-496A-B8E5-087619D27C62}"/>
    <cellStyle name="Normal 9 3 2 3 10 2 2" xfId="33844" xr:uid="{3150280B-8F93-47C4-BC2F-FAFA65E5F6E1}"/>
    <cellStyle name="Normal 9 3 2 3 10 2 3" xfId="50603" xr:uid="{D30FAFDA-E0B7-4BE3-ACD7-6F28A487CA50}"/>
    <cellStyle name="Normal 9 3 2 3 10 3" xfId="25464" xr:uid="{6808F448-F09A-4983-B4E5-2C3F0B4E2DB1}"/>
    <cellStyle name="Normal 9 3 2 3 10 4" xfId="42223" xr:uid="{78B3F3FD-1CA8-41A1-A0B3-166F4D4CC291}"/>
    <cellStyle name="Normal 9 3 2 3 11" xfId="2565" xr:uid="{B7AC75F2-56B3-4F61-B77B-5278241099F6}"/>
    <cellStyle name="Normal 9 3 2 3 11 2" xfId="10947" xr:uid="{6D2A1B7D-4FC6-4577-9AE1-800201E33AF0}"/>
    <cellStyle name="Normal 9 3 2 3 11 2 2" xfId="27707" xr:uid="{6C0BA6F2-CD5D-4E9A-9653-46046C2DC27D}"/>
    <cellStyle name="Normal 9 3 2 3 11 2 3" xfId="44466" xr:uid="{AFCCEFD9-3858-445D-886C-E615A2555AC7}"/>
    <cellStyle name="Normal 9 3 2 3 11 3" xfId="19327" xr:uid="{9E4C42C3-C00C-426E-B47A-C1824603CAC8}"/>
    <cellStyle name="Normal 9 3 2 3 11 4" xfId="36086" xr:uid="{9653670A-2131-4105-A070-C0109D83D9B5}"/>
    <cellStyle name="Normal 9 3 2 3 12" xfId="9144" xr:uid="{A47AD2E2-B334-482B-B453-9BE2ABAEDFE0}"/>
    <cellStyle name="Normal 9 3 2 3 12 2" xfId="25904" xr:uid="{9F73A775-D399-47F9-97DD-61397CE58A9F}"/>
    <cellStyle name="Normal 9 3 2 3 12 3" xfId="42663" xr:uid="{6D4D7109-E947-4D57-A066-19F9FCD5DC8D}"/>
    <cellStyle name="Normal 9 3 2 3 13" xfId="17524" xr:uid="{4177A492-12C4-4010-8E66-A64587C214BE}"/>
    <cellStyle name="Normal 9 3 2 3 14" xfId="34283" xr:uid="{CA4187B7-D95D-4577-9E12-1013BF40E002}"/>
    <cellStyle name="Normal 9 3 2 3 2" xfId="1175" xr:uid="{E0C6F283-A6E2-40A1-827F-A24D87AD35FD}"/>
    <cellStyle name="Normal 9 3 2 3 2 2" xfId="4570" xr:uid="{234C6CED-1A11-40E4-8622-B858250F04A3}"/>
    <cellStyle name="Normal 9 3 2 3 2 2 2" xfId="12950" xr:uid="{E620335C-688E-41C9-A90F-0347621CDEA8}"/>
    <cellStyle name="Normal 9 3 2 3 2 2 2 2" xfId="29710" xr:uid="{8F71698B-32FE-48D3-8538-61977C7FB1AA}"/>
    <cellStyle name="Normal 9 3 2 3 2 2 2 3" xfId="46469" xr:uid="{5C8F49AF-4924-43E5-AF5A-40E232CB16B9}"/>
    <cellStyle name="Normal 9 3 2 3 2 2 3" xfId="21330" xr:uid="{26DF8028-F725-4941-8FD5-FE442FAAFE11}"/>
    <cellStyle name="Normal 9 3 2 3 2 2 4" xfId="38089" xr:uid="{5556B98A-1CDF-42BA-ADF5-7D2667C451E9}"/>
    <cellStyle name="Normal 9 3 2 3 2 3" xfId="6257" xr:uid="{1D20C336-444A-44B2-90F1-63905D4CEF66}"/>
    <cellStyle name="Normal 9 3 2 3 2 3 2" xfId="14637" xr:uid="{CEE5FB60-0817-4357-856B-CABBE55B15A2}"/>
    <cellStyle name="Normal 9 3 2 3 2 3 2 2" xfId="31397" xr:uid="{A8F58EA4-1F35-46AE-BAA1-9B1F6E56EF06}"/>
    <cellStyle name="Normal 9 3 2 3 2 3 2 3" xfId="48156" xr:uid="{4407C8D2-26A5-4F24-B9B7-F568EF185632}"/>
    <cellStyle name="Normal 9 3 2 3 2 3 3" xfId="23017" xr:uid="{7A991819-0F50-4DF3-BDA4-D172AD17791C}"/>
    <cellStyle name="Normal 9 3 2 3 2 3 4" xfId="39776" xr:uid="{F8C2A373-0EEC-43CD-8BCC-4A3CB5C1A732}"/>
    <cellStyle name="Normal 9 3 2 3 2 4" xfId="2993" xr:uid="{B8EF7376-DBF1-4386-B711-4AD5075AAA9E}"/>
    <cellStyle name="Normal 9 3 2 3 2 4 2" xfId="11373" xr:uid="{61777E07-1A14-415F-897F-7FF4275057D8}"/>
    <cellStyle name="Normal 9 3 2 3 2 4 2 2" xfId="28133" xr:uid="{812A683B-BF52-4B00-A80E-E7A154F1BB34}"/>
    <cellStyle name="Normal 9 3 2 3 2 4 2 3" xfId="44892" xr:uid="{A97F0497-FCAA-48F0-B686-95B70B986022}"/>
    <cellStyle name="Normal 9 3 2 3 2 4 3" xfId="19753" xr:uid="{0E27A741-BFE9-49AE-97F2-1967B2C7A563}"/>
    <cellStyle name="Normal 9 3 2 3 2 4 4" xfId="36512" xr:uid="{0A4E6F24-614A-438F-91DD-91F60A108FE5}"/>
    <cellStyle name="Normal 9 3 2 3 2 5" xfId="9570" xr:uid="{3C7AE8D7-06C6-4C7E-A53B-2482E97566F2}"/>
    <cellStyle name="Normal 9 3 2 3 2 5 2" xfId="26330" xr:uid="{044B2524-D479-4B3B-91D5-12D8F579D37B}"/>
    <cellStyle name="Normal 9 3 2 3 2 5 3" xfId="43089" xr:uid="{A4C4A715-118C-44E5-9BCD-83E9F6A13B7A}"/>
    <cellStyle name="Normal 9 3 2 3 2 6" xfId="17950" xr:uid="{90D4D92A-9E55-4556-BBDA-2E4B9A9D9EBE}"/>
    <cellStyle name="Normal 9 3 2 3 2 7" xfId="34709" xr:uid="{1B6A5832-C67A-48EB-9307-CE3609DF2228}"/>
    <cellStyle name="Normal 9 3 2 3 3" xfId="1609" xr:uid="{8A666B02-5A4D-43C7-B161-6D0F8D76CC13}"/>
    <cellStyle name="Normal 9 3 2 3 3 2" xfId="4998" xr:uid="{F798FA6A-BEE2-439D-8048-E0CFF1904E44}"/>
    <cellStyle name="Normal 9 3 2 3 3 2 2" xfId="13378" xr:uid="{8283AD53-DC67-4308-B9CF-DAB46845A66C}"/>
    <cellStyle name="Normal 9 3 2 3 3 2 2 2" xfId="30138" xr:uid="{000AE155-1595-4DDE-BE60-0DF6D90FDEC2}"/>
    <cellStyle name="Normal 9 3 2 3 3 2 2 3" xfId="46897" xr:uid="{ABC9B177-48FD-4366-8F47-2221948BFE09}"/>
    <cellStyle name="Normal 9 3 2 3 3 2 3" xfId="21758" xr:uid="{9DA14217-2E23-4C30-A298-DF906C823CBC}"/>
    <cellStyle name="Normal 9 3 2 3 3 2 4" xfId="38517" xr:uid="{5209EDC8-3648-4B09-AF4B-C7E94F6DA554}"/>
    <cellStyle name="Normal 9 3 2 3 3 3" xfId="6685" xr:uid="{35290565-A911-42DB-91BC-85F89D29B62A}"/>
    <cellStyle name="Normal 9 3 2 3 3 3 2" xfId="15065" xr:uid="{F88EF20B-F122-4485-BFB5-8B1744D7DF0D}"/>
    <cellStyle name="Normal 9 3 2 3 3 3 2 2" xfId="31825" xr:uid="{6780AD17-5354-4308-94AD-38969532FE17}"/>
    <cellStyle name="Normal 9 3 2 3 3 3 2 3" xfId="48584" xr:uid="{EA16B7AF-7A23-4CF9-8050-D9A5E26D1A24}"/>
    <cellStyle name="Normal 9 3 2 3 3 3 3" xfId="23445" xr:uid="{055418CE-8ABC-4E50-9812-34CCA68881EA}"/>
    <cellStyle name="Normal 9 3 2 3 3 3 4" xfId="40204" xr:uid="{D7CB93BD-F74E-47A2-B8AE-6CC004542A74}"/>
    <cellStyle name="Normal 9 3 2 3 3 4" xfId="3421" xr:uid="{20133719-5709-4D7E-95EB-923A6FA88471}"/>
    <cellStyle name="Normal 9 3 2 3 3 4 2" xfId="11801" xr:uid="{C04E61A2-9CEE-4F96-9B82-02ACC8F86B22}"/>
    <cellStyle name="Normal 9 3 2 3 3 4 2 2" xfId="28561" xr:uid="{1717E3CB-5767-46BB-B430-7983512E3838}"/>
    <cellStyle name="Normal 9 3 2 3 3 4 2 3" xfId="45320" xr:uid="{462D4C22-4A1A-41BF-A1D7-A15B29EBE67B}"/>
    <cellStyle name="Normal 9 3 2 3 3 4 3" xfId="20181" xr:uid="{879A313D-82D1-461D-BFE2-325E90FCA496}"/>
    <cellStyle name="Normal 9 3 2 3 3 4 4" xfId="36940" xr:uid="{C99E3452-E445-479F-8CC3-E073CB360915}"/>
    <cellStyle name="Normal 9 3 2 3 3 5" xfId="9998" xr:uid="{A2F9EFF9-E3C4-4196-BD03-58ACEA99CC6C}"/>
    <cellStyle name="Normal 9 3 2 3 3 5 2" xfId="26758" xr:uid="{359FDC8C-52CA-4DB4-B905-98E7BAFA0701}"/>
    <cellStyle name="Normal 9 3 2 3 3 5 3" xfId="43517" xr:uid="{0BC368FE-A7AB-4E5E-80A0-75510E503C6A}"/>
    <cellStyle name="Normal 9 3 2 3 3 6" xfId="18378" xr:uid="{253EE1E5-ACC4-4C1D-A527-4C78489FC019}"/>
    <cellStyle name="Normal 9 3 2 3 3 7" xfId="35137" xr:uid="{C0729941-4753-4E70-AEBF-F4EE5C96F3C0}"/>
    <cellStyle name="Normal 9 3 2 3 4" xfId="2004" xr:uid="{D4E62E78-BFC4-42F6-B34E-EC5A58267B22}"/>
    <cellStyle name="Normal 9 3 2 3 4 2" xfId="5393" xr:uid="{A8215967-6667-470C-A03C-397D90A9E280}"/>
    <cellStyle name="Normal 9 3 2 3 4 2 2" xfId="13773" xr:uid="{9FBA699D-C46E-4F9C-BF94-FE150F8E35AF}"/>
    <cellStyle name="Normal 9 3 2 3 4 2 2 2" xfId="30533" xr:uid="{73EE2D60-4339-4F95-AEAE-CFCAE65D45B5}"/>
    <cellStyle name="Normal 9 3 2 3 4 2 2 3" xfId="47292" xr:uid="{DB278877-9ED2-4CED-960D-07FC022E7D35}"/>
    <cellStyle name="Normal 9 3 2 3 4 2 3" xfId="22153" xr:uid="{A8AB5B5E-48E5-4023-AB4F-57ADBC6C29DC}"/>
    <cellStyle name="Normal 9 3 2 3 4 2 4" xfId="38912" xr:uid="{72028AF0-8EDE-4733-99C4-71444F4C9212}"/>
    <cellStyle name="Normal 9 3 2 3 4 3" xfId="7080" xr:uid="{492AB1F6-3DFC-4B17-808B-E5186FA014D3}"/>
    <cellStyle name="Normal 9 3 2 3 4 3 2" xfId="15460" xr:uid="{CDAB34F1-9FBD-4D78-A33C-754FBE743677}"/>
    <cellStyle name="Normal 9 3 2 3 4 3 2 2" xfId="32220" xr:uid="{C9B384F4-DCEE-44CE-B493-F125DF2CDB3B}"/>
    <cellStyle name="Normal 9 3 2 3 4 3 2 3" xfId="48979" xr:uid="{64A60004-E16D-4480-8458-D0B5B42A9C40}"/>
    <cellStyle name="Normal 9 3 2 3 4 3 3" xfId="23840" xr:uid="{7FD891D5-997A-4CF5-8545-78B5CBCE9152}"/>
    <cellStyle name="Normal 9 3 2 3 4 3 4" xfId="40599" xr:uid="{FD5ED4BF-E64F-440B-A11A-22B08A6C17E3}"/>
    <cellStyle name="Normal 9 3 2 3 4 4" xfId="3703" xr:uid="{88F2A0DA-44EB-4AEB-A43B-F04090AFB20F}"/>
    <cellStyle name="Normal 9 3 2 3 4 4 2" xfId="12083" xr:uid="{88085963-B410-4312-98B7-87A6BAB26A9D}"/>
    <cellStyle name="Normal 9 3 2 3 4 4 2 2" xfId="28843" xr:uid="{4361CBC9-9F7E-402C-9897-6F162B410587}"/>
    <cellStyle name="Normal 9 3 2 3 4 4 2 3" xfId="45602" xr:uid="{5337C334-AA0F-4B3B-9929-CD37E2BC21FF}"/>
    <cellStyle name="Normal 9 3 2 3 4 4 3" xfId="20463" xr:uid="{CAB3F77B-5495-4624-9944-F05F0B8C1B5C}"/>
    <cellStyle name="Normal 9 3 2 3 4 4 4" xfId="37222" xr:uid="{CE52D4B7-6940-4488-9AE4-7C828AE4F969}"/>
    <cellStyle name="Normal 9 3 2 3 4 5" xfId="10393" xr:uid="{809EDE55-651E-40BC-B47C-1589D1483305}"/>
    <cellStyle name="Normal 9 3 2 3 4 5 2" xfId="27153" xr:uid="{98CC16DC-02CD-427C-B7A1-3D01B3925622}"/>
    <cellStyle name="Normal 9 3 2 3 4 5 3" xfId="43912" xr:uid="{DB8BE63D-264A-4176-97A8-EFA842AEA87C}"/>
    <cellStyle name="Normal 9 3 2 3 4 6" xfId="18773" xr:uid="{EBAEB4EB-3540-4894-B299-58476FA1F349}"/>
    <cellStyle name="Normal 9 3 2 3 4 7" xfId="35532" xr:uid="{415F1717-3C3C-479B-A8FC-999B47EFC69F}"/>
    <cellStyle name="Normal 9 3 2 3 5" xfId="4123" xr:uid="{2912C12A-A651-462C-9B52-8EFEE0D52339}"/>
    <cellStyle name="Normal 9 3 2 3 5 2" xfId="12503" xr:uid="{47FA0D49-95E1-41E0-B98F-E9864AD07EBB}"/>
    <cellStyle name="Normal 9 3 2 3 5 2 2" xfId="29263" xr:uid="{73705C13-D96D-4E3C-BCE4-E06F2D2E3BE0}"/>
    <cellStyle name="Normal 9 3 2 3 5 2 3" xfId="46022" xr:uid="{9930C7D9-C275-47C4-9A18-927FBD586719}"/>
    <cellStyle name="Normal 9 3 2 3 5 3" xfId="20883" xr:uid="{747DA584-B30C-4879-87D2-1E6F0549A6E2}"/>
    <cellStyle name="Normal 9 3 2 3 5 4" xfId="37642" xr:uid="{D67F9EE5-3E65-4170-835D-2C230EFF74B3}"/>
    <cellStyle name="Normal 9 3 2 3 6" xfId="5831" xr:uid="{84B702B2-5D67-479A-9A9D-5555955AB0BF}"/>
    <cellStyle name="Normal 9 3 2 3 6 2" xfId="14211" xr:uid="{06006877-6B21-4C1F-8F58-953E8D6C9690}"/>
    <cellStyle name="Normal 9 3 2 3 6 2 2" xfId="30971" xr:uid="{4AC5EF3F-1AD9-4F45-B8BF-0F463278D68A}"/>
    <cellStyle name="Normal 9 3 2 3 6 2 3" xfId="47730" xr:uid="{A873EBFF-A776-4BFB-BD82-363043F4982E}"/>
    <cellStyle name="Normal 9 3 2 3 6 3" xfId="22591" xr:uid="{D617F2AF-6B72-41E5-8EEA-4D614A042F3F}"/>
    <cellStyle name="Normal 9 3 2 3 6 4" xfId="39350" xr:uid="{ED6F6082-408E-4A11-B2F2-F09D3978FD4C}"/>
    <cellStyle name="Normal 9 3 2 3 7" xfId="7486" xr:uid="{40DC664F-C104-485D-ABF4-BC9575E19982}"/>
    <cellStyle name="Normal 9 3 2 3 7 2" xfId="15866" xr:uid="{0D6241AF-4EB6-48A5-B41A-32C47030D6D8}"/>
    <cellStyle name="Normal 9 3 2 3 7 2 2" xfId="32626" xr:uid="{1126715A-382D-4BF4-AF36-8E5CB019C12B}"/>
    <cellStyle name="Normal 9 3 2 3 7 2 3" xfId="49385" xr:uid="{BEAD2227-74D1-4529-B974-A43F3BE64B5F}"/>
    <cellStyle name="Normal 9 3 2 3 7 3" xfId="24246" xr:uid="{65AA1903-9859-4E96-B590-58FEE252DA7B}"/>
    <cellStyle name="Normal 9 3 2 3 7 4" xfId="41005" xr:uid="{A9917B75-9EBC-467D-A844-F8D5170F7233}"/>
    <cellStyle name="Normal 9 3 2 3 8" xfId="7892" xr:uid="{E49A9E9E-93A1-477A-96D7-66D4AA83E457}"/>
    <cellStyle name="Normal 9 3 2 3 8 2" xfId="16272" xr:uid="{9A07D64B-B187-4EFF-B7C9-6E4DD3CC6AD9}"/>
    <cellStyle name="Normal 9 3 2 3 8 2 2" xfId="33032" xr:uid="{82562A58-1C9A-4D5F-81F5-A524EF99F4FA}"/>
    <cellStyle name="Normal 9 3 2 3 8 2 3" xfId="49791" xr:uid="{A9068394-64A9-4E50-88E6-223EDF2D5543}"/>
    <cellStyle name="Normal 9 3 2 3 8 3" xfId="24652" xr:uid="{6167B782-3503-4E42-A36E-D415FDC3C9CC}"/>
    <cellStyle name="Normal 9 3 2 3 8 4" xfId="41411" xr:uid="{4CEBEECF-BD39-4395-A60E-713D4C990EEF}"/>
    <cellStyle name="Normal 9 3 2 3 9" xfId="8298" xr:uid="{663FA4B7-3D76-4374-87BB-EBED0E59361B}"/>
    <cellStyle name="Normal 9 3 2 3 9 2" xfId="16678" xr:uid="{A58EEBD8-AC31-478B-9F8D-C5B9D2E400C8}"/>
    <cellStyle name="Normal 9 3 2 3 9 2 2" xfId="33438" xr:uid="{FC8028AE-2DF5-4E80-8488-D3DA2F10A2CB}"/>
    <cellStyle name="Normal 9 3 2 3 9 2 3" xfId="50197" xr:uid="{C2F5B1E8-6D23-4F0F-AA3D-5C931F305D8C}"/>
    <cellStyle name="Normal 9 3 2 3 9 3" xfId="25058" xr:uid="{C612783E-5448-4B88-9146-DBE914F1A4E6}"/>
    <cellStyle name="Normal 9 3 2 3 9 4" xfId="41817" xr:uid="{B2E32EBC-35FB-41D0-801F-5EAF73008AC6}"/>
    <cellStyle name="Normal 9 3 2 4" xfId="871" xr:uid="{EE353D68-88F0-423C-84DD-88A4B3BA4E58}"/>
    <cellStyle name="Normal 9 3 2 4 2" xfId="4266" xr:uid="{F5D87FF2-EC03-4323-A7C3-DF2BD9A814C3}"/>
    <cellStyle name="Normal 9 3 2 4 2 2" xfId="12646" xr:uid="{E8407F55-1078-494B-AEED-6A0734D19376}"/>
    <cellStyle name="Normal 9 3 2 4 2 2 2" xfId="29406" xr:uid="{686A38D8-CBAB-4C6C-B80B-C76DF39FB751}"/>
    <cellStyle name="Normal 9 3 2 4 2 2 3" xfId="46165" xr:uid="{A30D48B4-6C97-4AB4-B45A-4BB8215D2A65}"/>
    <cellStyle name="Normal 9 3 2 4 2 3" xfId="21026" xr:uid="{8320285E-C82F-42E0-B65D-B4E1B6B23AD9}"/>
    <cellStyle name="Normal 9 3 2 4 2 4" xfId="37785" xr:uid="{D5B0FFF8-1DE5-4DF2-91CB-917E5BB32440}"/>
    <cellStyle name="Normal 9 3 2 4 3" xfId="5953" xr:uid="{2B3A05C7-9AC9-4D94-B868-2E24B19F4EF9}"/>
    <cellStyle name="Normal 9 3 2 4 3 2" xfId="14333" xr:uid="{D0AABCA3-5251-46FD-A4FF-680A490015BA}"/>
    <cellStyle name="Normal 9 3 2 4 3 2 2" xfId="31093" xr:uid="{998760B3-8E62-4C42-9D75-4C485572FD71}"/>
    <cellStyle name="Normal 9 3 2 4 3 2 3" xfId="47852" xr:uid="{A5E1DDD4-3EB1-4BC0-8462-A7B6C47CBAFE}"/>
    <cellStyle name="Normal 9 3 2 4 3 3" xfId="22713" xr:uid="{5E00FA55-2F91-4C39-B5B4-9E8A3C7049DF}"/>
    <cellStyle name="Normal 9 3 2 4 3 4" xfId="39472" xr:uid="{37CA79F7-0C98-4032-8E69-58E75A160177}"/>
    <cellStyle name="Normal 9 3 2 4 4" xfId="2689" xr:uid="{73585525-829A-41CF-948D-0CB6C60513F7}"/>
    <cellStyle name="Normal 9 3 2 4 4 2" xfId="11069" xr:uid="{1B20B038-AF32-4071-B3D3-B1FFBB503550}"/>
    <cellStyle name="Normal 9 3 2 4 4 2 2" xfId="27829" xr:uid="{53A9B570-DCA8-4BC8-AE0B-6352AEB97CE4}"/>
    <cellStyle name="Normal 9 3 2 4 4 2 3" xfId="44588" xr:uid="{90840B5B-127F-42E4-945E-8C3DAA242627}"/>
    <cellStyle name="Normal 9 3 2 4 4 3" xfId="19449" xr:uid="{68205E92-8C92-4506-AA62-6746E2699D12}"/>
    <cellStyle name="Normal 9 3 2 4 4 4" xfId="36208" xr:uid="{760A6771-D6A3-4F38-AB84-0832F13EDAEF}"/>
    <cellStyle name="Normal 9 3 2 4 5" xfId="9266" xr:uid="{A377BF37-BC67-4444-8A34-1F08D00F9167}"/>
    <cellStyle name="Normal 9 3 2 4 5 2" xfId="26026" xr:uid="{A0BED1BD-FEF3-4C64-B80A-39F042559221}"/>
    <cellStyle name="Normal 9 3 2 4 5 3" xfId="42785" xr:uid="{112D7D3A-6D83-46B1-8032-A004A1C19EB2}"/>
    <cellStyle name="Normal 9 3 2 4 6" xfId="17646" xr:uid="{8255D9F6-B158-431C-9220-A1DE30671B7E}"/>
    <cellStyle name="Normal 9 3 2 4 7" xfId="34405" xr:uid="{15F76482-1025-4D89-B295-61E5E1FB068A}"/>
    <cellStyle name="Normal 9 3 2 5" xfId="1305" xr:uid="{D28D6CE3-54F9-4C90-8485-648B9C9B3A3D}"/>
    <cellStyle name="Normal 9 3 2 5 2" xfId="4694" xr:uid="{331F59D6-F935-4B31-9130-AF6C7CF8E258}"/>
    <cellStyle name="Normal 9 3 2 5 2 2" xfId="13074" xr:uid="{CB19D09B-C756-4931-98E4-DD09754E6FA3}"/>
    <cellStyle name="Normal 9 3 2 5 2 2 2" xfId="29834" xr:uid="{9DD7A0B4-FAC9-44C6-9CAA-9BE9A10FEB5E}"/>
    <cellStyle name="Normal 9 3 2 5 2 2 3" xfId="46593" xr:uid="{E3477D28-9E71-4592-BFF3-2051001876C2}"/>
    <cellStyle name="Normal 9 3 2 5 2 3" xfId="21454" xr:uid="{F1849D72-D846-40D0-9E08-ADDB29E8B755}"/>
    <cellStyle name="Normal 9 3 2 5 2 4" xfId="38213" xr:uid="{626E9529-D2BE-49D9-AE24-50E8F75F1A8B}"/>
    <cellStyle name="Normal 9 3 2 5 3" xfId="6381" xr:uid="{119975EF-2AA2-4E2C-AB96-BBA19AB9FB6E}"/>
    <cellStyle name="Normal 9 3 2 5 3 2" xfId="14761" xr:uid="{1D8FF938-3B20-4C04-959C-EA4FB48F1EFE}"/>
    <cellStyle name="Normal 9 3 2 5 3 2 2" xfId="31521" xr:uid="{E431B96B-0DD6-4890-9339-44522A7C3842}"/>
    <cellStyle name="Normal 9 3 2 5 3 2 3" xfId="48280" xr:uid="{1E790802-E7C5-4C47-9843-C3ED433F9D39}"/>
    <cellStyle name="Normal 9 3 2 5 3 3" xfId="23141" xr:uid="{29C70C26-D066-4DD8-91E3-E2CB7749BFED}"/>
    <cellStyle name="Normal 9 3 2 5 3 4" xfId="39900" xr:uid="{21795283-92F5-4DC5-8BB4-56EF7CEA282C}"/>
    <cellStyle name="Normal 9 3 2 5 4" xfId="3117" xr:uid="{B701AFB2-7B03-4F36-BAC2-58293114ADA7}"/>
    <cellStyle name="Normal 9 3 2 5 4 2" xfId="11497" xr:uid="{F09C8F1A-7B46-4018-960C-FB70D3E6D6D1}"/>
    <cellStyle name="Normal 9 3 2 5 4 2 2" xfId="28257" xr:uid="{AE2E8C18-12B4-42B2-A3D8-33FF85E54FDC}"/>
    <cellStyle name="Normal 9 3 2 5 4 2 3" xfId="45016" xr:uid="{A49B017B-2387-4A13-B5B5-EB21EB90E31F}"/>
    <cellStyle name="Normal 9 3 2 5 4 3" xfId="19877" xr:uid="{285C28AA-B6A8-4BA4-B022-744ADDAF514D}"/>
    <cellStyle name="Normal 9 3 2 5 4 4" xfId="36636" xr:uid="{ED7D25C2-9C01-4AE7-B359-4B14B5255CB7}"/>
    <cellStyle name="Normal 9 3 2 5 5" xfId="9694" xr:uid="{E57FA020-B079-4BEE-AFCA-4E7C9D53E9B4}"/>
    <cellStyle name="Normal 9 3 2 5 5 2" xfId="26454" xr:uid="{7CDDC5B8-D9D7-40E5-8012-DB449E33B2EE}"/>
    <cellStyle name="Normal 9 3 2 5 5 3" xfId="43213" xr:uid="{9B222E80-DA4C-4AD2-8EBA-C2DF0BE09128}"/>
    <cellStyle name="Normal 9 3 2 5 6" xfId="18074" xr:uid="{835B530F-533D-4D5D-A729-7F5772CD9F37}"/>
    <cellStyle name="Normal 9 3 2 5 7" xfId="34833" xr:uid="{35938438-C9CE-44E4-B7FC-998E0D300F19}"/>
    <cellStyle name="Normal 9 3 2 6" xfId="1733" xr:uid="{F7C94298-E72A-4EEA-9B90-A47C920A7C09}"/>
    <cellStyle name="Normal 9 3 2 6 2" xfId="5122" xr:uid="{8596845D-F8FF-4779-9A09-79AE7D7B5CB7}"/>
    <cellStyle name="Normal 9 3 2 6 2 2" xfId="13502" xr:uid="{41603A7A-EE72-4250-8ACD-87511B898EB9}"/>
    <cellStyle name="Normal 9 3 2 6 2 2 2" xfId="30262" xr:uid="{ED1B15FB-06BE-4CD6-8897-01B32C67C964}"/>
    <cellStyle name="Normal 9 3 2 6 2 2 3" xfId="47021" xr:uid="{384E2274-A668-44C3-962B-29BAC41649EC}"/>
    <cellStyle name="Normal 9 3 2 6 2 3" xfId="21882" xr:uid="{BF843CC5-B38B-49D9-B68A-C2AEED59B523}"/>
    <cellStyle name="Normal 9 3 2 6 2 4" xfId="38641" xr:uid="{A1628DFF-1A80-43E2-9650-62B01D07BC52}"/>
    <cellStyle name="Normal 9 3 2 6 3" xfId="6809" xr:uid="{BDCE216B-FA92-4BF5-BBA5-C6ABA1B41E94}"/>
    <cellStyle name="Normal 9 3 2 6 3 2" xfId="15189" xr:uid="{BD4C46A1-0C20-45E9-8C2C-0C485E58FC5F}"/>
    <cellStyle name="Normal 9 3 2 6 3 2 2" xfId="31949" xr:uid="{1B5E716E-D3AB-4611-AB25-2A05822F7C55}"/>
    <cellStyle name="Normal 9 3 2 6 3 2 3" xfId="48708" xr:uid="{C1949D5F-CADC-40F4-8AD6-B2D53C55ADAC}"/>
    <cellStyle name="Normal 9 3 2 6 3 3" xfId="23569" xr:uid="{F539C8F3-36E7-4DFB-819F-0BA99CF0C705}"/>
    <cellStyle name="Normal 9 3 2 6 3 4" xfId="40328" xr:uid="{98232926-7FFB-4415-94FE-CF7CEA3387CB}"/>
    <cellStyle name="Normal 9 3 2 6 4" xfId="3456" xr:uid="{D28D6BF1-A533-4A03-8243-2C0E9D76F480}"/>
    <cellStyle name="Normal 9 3 2 6 4 2" xfId="11836" xr:uid="{247C37CA-69F9-4809-883A-747FE53127D6}"/>
    <cellStyle name="Normal 9 3 2 6 4 2 2" xfId="28596" xr:uid="{87148EF3-18A9-4A2D-BA13-7789F8E928EA}"/>
    <cellStyle name="Normal 9 3 2 6 4 2 3" xfId="45355" xr:uid="{377C2519-94DD-461F-A51E-0DCE909FAEDB}"/>
    <cellStyle name="Normal 9 3 2 6 4 3" xfId="20216" xr:uid="{E5B510F6-EE3E-4836-B4FE-8FA5CC009D36}"/>
    <cellStyle name="Normal 9 3 2 6 4 4" xfId="36975" xr:uid="{2A6394A3-FFD0-4C02-954A-9C0D12A92D5B}"/>
    <cellStyle name="Normal 9 3 2 6 5" xfId="10122" xr:uid="{ED8EF5BC-95B1-4A9A-B3C3-C08BC05202C0}"/>
    <cellStyle name="Normal 9 3 2 6 5 2" xfId="26882" xr:uid="{798A1DB1-F320-44C7-8BF4-7AD14A331D29}"/>
    <cellStyle name="Normal 9 3 2 6 5 3" xfId="43641" xr:uid="{DB3855A8-2B29-4D9A-940E-4280C96B4681}"/>
    <cellStyle name="Normal 9 3 2 6 6" xfId="18502" xr:uid="{3290042C-C1A9-47EB-B046-88936D53BC26}"/>
    <cellStyle name="Normal 9 3 2 6 7" xfId="35261" xr:uid="{7571780F-8D07-4683-9C72-998AA940FEE3}"/>
    <cellStyle name="Normal 9 3 2 7" xfId="3852" xr:uid="{447A0BEB-F739-44BA-B788-9670688CC59C}"/>
    <cellStyle name="Normal 9 3 2 7 2" xfId="12232" xr:uid="{C9769BFD-C801-4EA1-9F48-DD35C19352C3}"/>
    <cellStyle name="Normal 9 3 2 7 2 2" xfId="28992" xr:uid="{2FF549E4-E756-4658-97E9-687C3D5FEBC5}"/>
    <cellStyle name="Normal 9 3 2 7 2 3" xfId="45751" xr:uid="{417D763E-84FE-49F5-B6A0-DDE54D1CF4BF}"/>
    <cellStyle name="Normal 9 3 2 7 3" xfId="20612" xr:uid="{1BB94641-DA25-43D4-A254-FFBD301CD411}"/>
    <cellStyle name="Normal 9 3 2 7 4" xfId="37371" xr:uid="{B30AFE1B-B5D0-4EE1-AC3C-ECA16BCD21F1}"/>
    <cellStyle name="Normal 9 3 2 8" xfId="5527" xr:uid="{15F6D23E-60A6-4F5A-8AF2-EC59896B8F7B}"/>
    <cellStyle name="Normal 9 3 2 8 2" xfId="13907" xr:uid="{28EBDE83-A575-4188-AA28-C6C12581D492}"/>
    <cellStyle name="Normal 9 3 2 8 2 2" xfId="30667" xr:uid="{C71AAE01-E28C-448A-BE9C-86DC20DF1651}"/>
    <cellStyle name="Normal 9 3 2 8 2 3" xfId="47426" xr:uid="{D812ACE4-681A-494A-B645-177B794D7450}"/>
    <cellStyle name="Normal 9 3 2 8 3" xfId="22287" xr:uid="{3E1B023C-0FB6-4F63-ACAE-3E47570D25BC}"/>
    <cellStyle name="Normal 9 3 2 8 4" xfId="39046" xr:uid="{34F6C3A5-4821-41E7-AA40-7242085733F8}"/>
    <cellStyle name="Normal 9 3 2 9" xfId="7215" xr:uid="{1A50B78A-D892-4192-B201-4A4AA8F8643A}"/>
    <cellStyle name="Normal 9 3 2 9 2" xfId="15595" xr:uid="{BBBF22C2-5DA7-45E3-9CAD-714FD0880E0E}"/>
    <cellStyle name="Normal 9 3 2 9 2 2" xfId="32355" xr:uid="{8A7EDCB6-943A-477D-87CD-EB9FC2AE7BD3}"/>
    <cellStyle name="Normal 9 3 2 9 2 3" xfId="49114" xr:uid="{85997FC3-E4D1-4A97-AB9E-FC63D44B89EB}"/>
    <cellStyle name="Normal 9 3 2 9 3" xfId="23975" xr:uid="{2CA5110D-D58F-4149-A3C2-9DB2D4BFD511}"/>
    <cellStyle name="Normal 9 3 2 9 4" xfId="40734" xr:uid="{352B3C40-500A-4951-9DBE-5CA17F353626}"/>
    <cellStyle name="Normal 9 3 3" xfId="737" xr:uid="{820CC41F-2203-4A5B-9A15-44C407560039}"/>
    <cellStyle name="Normal 9 3 3 10" xfId="8589" xr:uid="{00A9DFB9-BCC0-4781-BC56-77E570BAA34D}"/>
    <cellStyle name="Normal 9 3 3 10 2" xfId="16969" xr:uid="{1E849B83-FB7C-40E4-A098-E6D05B155809}"/>
    <cellStyle name="Normal 9 3 3 10 2 2" xfId="33729" xr:uid="{B58A95E8-F6F9-4308-B7D0-C81F7C5E2738}"/>
    <cellStyle name="Normal 9 3 3 10 2 3" xfId="50488" xr:uid="{CBA7286F-36D4-4FF1-8A42-02A92785F969}"/>
    <cellStyle name="Normal 9 3 3 10 3" xfId="25349" xr:uid="{B70CF8CF-CA5A-444B-9C64-D04FAD3083D2}"/>
    <cellStyle name="Normal 9 3 3 10 4" xfId="42108" xr:uid="{1B5A1F9B-8BD6-44DA-8BBC-1F536A684B98}"/>
    <cellStyle name="Normal 9 3 3 11" xfId="2566" xr:uid="{E71A9977-B4A0-443F-941A-906A2772C45F}"/>
    <cellStyle name="Normal 9 3 3 11 2" xfId="10948" xr:uid="{B086519E-4BA4-4C5C-A85E-7B62919C9567}"/>
    <cellStyle name="Normal 9 3 3 11 2 2" xfId="27708" xr:uid="{27DC511B-EABC-46E5-BE1C-2ECF6978A4D4}"/>
    <cellStyle name="Normal 9 3 3 11 2 3" xfId="44467" xr:uid="{0C65C604-0EEB-4B31-B389-5BBC4CD3B1EE}"/>
    <cellStyle name="Normal 9 3 3 11 3" xfId="19328" xr:uid="{866BEBF9-FF23-482D-A9DC-E66A1AB2589D}"/>
    <cellStyle name="Normal 9 3 3 11 4" xfId="36087" xr:uid="{DBB90CAF-BEE6-4F25-95C0-3CE3F8A6BBB9}"/>
    <cellStyle name="Normal 9 3 3 12" xfId="9145" xr:uid="{F0EDDEA9-F0CC-476E-9CEE-B4B2B2CCA292}"/>
    <cellStyle name="Normal 9 3 3 12 2" xfId="25905" xr:uid="{2FE587B8-42E2-4064-975A-6CB3D85D9E4D}"/>
    <cellStyle name="Normal 9 3 3 12 3" xfId="42664" xr:uid="{6D1AF542-3D5C-4C0C-B4FE-A1CC7C69238A}"/>
    <cellStyle name="Normal 9 3 3 13" xfId="17525" xr:uid="{9E27CCBB-1505-4C27-9F59-A8730B27EA2B}"/>
    <cellStyle name="Normal 9 3 3 14" xfId="34284" xr:uid="{BC0FD227-A5B1-4D2B-A6CD-EAA62BA531B3}"/>
    <cellStyle name="Normal 9 3 3 2" xfId="1176" xr:uid="{5869F290-4C8A-435D-BAA1-0F473C47DBFF}"/>
    <cellStyle name="Normal 9 3 3 2 2" xfId="4571" xr:uid="{DEBAA068-BE2D-421E-867B-ADB71752812B}"/>
    <cellStyle name="Normal 9 3 3 2 2 2" xfId="12951" xr:uid="{3F4BD99D-A6EC-4F27-A604-8E8436FD509A}"/>
    <cellStyle name="Normal 9 3 3 2 2 2 2" xfId="29711" xr:uid="{BB3853EF-5A98-4E60-9908-2052B13B257D}"/>
    <cellStyle name="Normal 9 3 3 2 2 2 3" xfId="46470" xr:uid="{92FDD7ED-24DD-450A-A21C-B5EE00C5C5F2}"/>
    <cellStyle name="Normal 9 3 3 2 2 3" xfId="21331" xr:uid="{79D3DFC7-1673-42DE-BFA4-4E2708B27EE7}"/>
    <cellStyle name="Normal 9 3 3 2 2 4" xfId="38090" xr:uid="{1E3EC7DC-B5A8-4052-BCCB-1ADCB3C06D87}"/>
    <cellStyle name="Normal 9 3 3 2 3" xfId="6258" xr:uid="{FC1E6254-540D-4B7F-AC91-EA8159133115}"/>
    <cellStyle name="Normal 9 3 3 2 3 2" xfId="14638" xr:uid="{D488678C-5F00-4B32-8306-7ED6D3FE7883}"/>
    <cellStyle name="Normal 9 3 3 2 3 2 2" xfId="31398" xr:uid="{3D509B2F-1557-491C-B5FD-1BE91CA7BFD9}"/>
    <cellStyle name="Normal 9 3 3 2 3 2 3" xfId="48157" xr:uid="{C199F9C7-A52E-4329-9E68-476D80CD7F07}"/>
    <cellStyle name="Normal 9 3 3 2 3 3" xfId="23018" xr:uid="{2BDA644D-6962-402D-9A6A-0C42C1B8AEF6}"/>
    <cellStyle name="Normal 9 3 3 2 3 4" xfId="39777" xr:uid="{E60AD3A9-78BA-49E0-B3F7-50EC803A8F64}"/>
    <cellStyle name="Normal 9 3 3 2 4" xfId="2994" xr:uid="{B26FB465-F8C7-43FB-A995-69635F404C8E}"/>
    <cellStyle name="Normal 9 3 3 2 4 2" xfId="11374" xr:uid="{9F7CCEB6-A5C2-420F-91C6-8458944BD9BA}"/>
    <cellStyle name="Normal 9 3 3 2 4 2 2" xfId="28134" xr:uid="{23EC97D3-BFF5-4F33-B9CA-E9D69ACC93D1}"/>
    <cellStyle name="Normal 9 3 3 2 4 2 3" xfId="44893" xr:uid="{0AFC4B56-7CCC-4981-823F-D96344150570}"/>
    <cellStyle name="Normal 9 3 3 2 4 3" xfId="19754" xr:uid="{18C03CC6-8C0A-4220-8410-1507A918E58F}"/>
    <cellStyle name="Normal 9 3 3 2 4 4" xfId="36513" xr:uid="{C37A975E-105D-4B25-9106-A162862DFDFE}"/>
    <cellStyle name="Normal 9 3 3 2 5" xfId="9571" xr:uid="{4FA2F0F7-77A9-4AD9-9EA3-45462D38C10F}"/>
    <cellStyle name="Normal 9 3 3 2 5 2" xfId="26331" xr:uid="{AC3B9663-AF3A-46E9-8C20-4AAC2877793D}"/>
    <cellStyle name="Normal 9 3 3 2 5 3" xfId="43090" xr:uid="{58504A6C-9B6C-404C-845F-81E3E7130EE4}"/>
    <cellStyle name="Normal 9 3 3 2 6" xfId="17951" xr:uid="{F198A97B-8988-4B78-9CE1-22B8DA99F9C1}"/>
    <cellStyle name="Normal 9 3 3 2 7" xfId="34710" xr:uid="{E19D8CBC-2486-4455-89EE-314355B30103}"/>
    <cellStyle name="Normal 9 3 3 3" xfId="1610" xr:uid="{54A78229-2B20-4638-98E7-7AB033B0E2A5}"/>
    <cellStyle name="Normal 9 3 3 3 2" xfId="4999" xr:uid="{E6D1065C-5C66-420F-8658-EB4612EBFD3D}"/>
    <cellStyle name="Normal 9 3 3 3 2 2" xfId="13379" xr:uid="{D79CFBF4-B196-4A99-B114-5C3B067DDEA3}"/>
    <cellStyle name="Normal 9 3 3 3 2 2 2" xfId="30139" xr:uid="{D74B92D6-571A-41C7-82A9-C83D0E73B9DD}"/>
    <cellStyle name="Normal 9 3 3 3 2 2 3" xfId="46898" xr:uid="{EE25EEEA-8963-4EF5-A3EA-035468DC4181}"/>
    <cellStyle name="Normal 9 3 3 3 2 3" xfId="21759" xr:uid="{69FEC3D7-D5E8-4BE3-8209-3584F9E75828}"/>
    <cellStyle name="Normal 9 3 3 3 2 4" xfId="38518" xr:uid="{CD14C14C-EC89-48BB-BC16-9290796DD1B9}"/>
    <cellStyle name="Normal 9 3 3 3 3" xfId="6686" xr:uid="{386E4FF3-992C-4BF6-BA51-B1A92069AD53}"/>
    <cellStyle name="Normal 9 3 3 3 3 2" xfId="15066" xr:uid="{548DB3D9-66AF-4231-A3BD-EF1CBC101DF8}"/>
    <cellStyle name="Normal 9 3 3 3 3 2 2" xfId="31826" xr:uid="{5E6677FC-6862-40F9-9CC6-29438952F8D8}"/>
    <cellStyle name="Normal 9 3 3 3 3 2 3" xfId="48585" xr:uid="{7C174607-45D3-4573-A88A-C6A6C359DB1E}"/>
    <cellStyle name="Normal 9 3 3 3 3 3" xfId="23446" xr:uid="{AADEFB3E-AC60-4A57-B915-57979AA91EDC}"/>
    <cellStyle name="Normal 9 3 3 3 3 4" xfId="40205" xr:uid="{19CC9D4D-EDA8-4326-9608-6F8656FC9F91}"/>
    <cellStyle name="Normal 9 3 3 3 4" xfId="3422" xr:uid="{357243CC-270D-462D-A637-8C2DB4647771}"/>
    <cellStyle name="Normal 9 3 3 3 4 2" xfId="11802" xr:uid="{E5A8BFD5-0F92-47A4-856E-81CEC995E762}"/>
    <cellStyle name="Normal 9 3 3 3 4 2 2" xfId="28562" xr:uid="{7E0B83FC-E697-4D71-950E-ADD9A01DC717}"/>
    <cellStyle name="Normal 9 3 3 3 4 2 3" xfId="45321" xr:uid="{178CD386-457E-44D6-9C1C-432E23F47FF2}"/>
    <cellStyle name="Normal 9 3 3 3 4 3" xfId="20182" xr:uid="{A3516D16-1FC2-433D-9011-47B3A36B4EA9}"/>
    <cellStyle name="Normal 9 3 3 3 4 4" xfId="36941" xr:uid="{71F537F3-4B1F-41AE-BD37-B4A8BA1AFD40}"/>
    <cellStyle name="Normal 9 3 3 3 5" xfId="9999" xr:uid="{4AB79F64-17A8-4612-8C13-586784F1D1DD}"/>
    <cellStyle name="Normal 9 3 3 3 5 2" xfId="26759" xr:uid="{280AAABC-C33E-42C9-85F3-D62B42E4C68E}"/>
    <cellStyle name="Normal 9 3 3 3 5 3" xfId="43518" xr:uid="{95771F77-1A18-4DC0-AA1F-CCFC29E8973C}"/>
    <cellStyle name="Normal 9 3 3 3 6" xfId="18379" xr:uid="{FB1B7BF9-062C-4301-8817-BCC7EDFB69E4}"/>
    <cellStyle name="Normal 9 3 3 3 7" xfId="35138" xr:uid="{383FC6F5-7A49-4DCE-817D-F7BA21A2A48B}"/>
    <cellStyle name="Normal 9 3 3 4" xfId="1889" xr:uid="{AF6B7BD2-2FD8-4033-91A7-9D420585E081}"/>
    <cellStyle name="Normal 9 3 3 4 2" xfId="5278" xr:uid="{2EB038BD-5A7E-4964-BB42-10E67C7A0141}"/>
    <cellStyle name="Normal 9 3 3 4 2 2" xfId="13658" xr:uid="{29AA41E0-073C-4489-B71E-BAE9D2E0720F}"/>
    <cellStyle name="Normal 9 3 3 4 2 2 2" xfId="30418" xr:uid="{8C174477-4A3E-4CE2-8692-7E62B695542B}"/>
    <cellStyle name="Normal 9 3 3 4 2 2 3" xfId="47177" xr:uid="{439DD05B-FD1B-48B2-9698-9D8A780A61EC}"/>
    <cellStyle name="Normal 9 3 3 4 2 3" xfId="22038" xr:uid="{CFF0FF72-1AA6-4688-B8FC-8680E496FB95}"/>
    <cellStyle name="Normal 9 3 3 4 2 4" xfId="38797" xr:uid="{14E1106E-1FF7-424E-9AD8-90CEA4D99AC2}"/>
    <cellStyle name="Normal 9 3 3 4 3" xfId="6965" xr:uid="{8BD99893-E971-4BEB-B7E0-1D413BA2ABBB}"/>
    <cellStyle name="Normal 9 3 3 4 3 2" xfId="15345" xr:uid="{D605949A-1FF2-4812-8524-731EDC14D8E8}"/>
    <cellStyle name="Normal 9 3 3 4 3 2 2" xfId="32105" xr:uid="{145164DF-50C5-4C69-8002-D011AAF0A654}"/>
    <cellStyle name="Normal 9 3 3 4 3 2 3" xfId="48864" xr:uid="{BCCD7990-6E5A-4936-A684-5C1B30FCDF9D}"/>
    <cellStyle name="Normal 9 3 3 4 3 3" xfId="23725" xr:uid="{EE38DE22-8D75-487A-9102-26AA67550403}"/>
    <cellStyle name="Normal 9 3 3 4 3 4" xfId="40484" xr:uid="{968126A2-8A3A-47F6-8308-3B95BDA24D97}"/>
    <cellStyle name="Normal 9 3 3 4 4" xfId="3588" xr:uid="{C71E8D90-CD70-4C87-BE9B-0B8F95B74C5F}"/>
    <cellStyle name="Normal 9 3 3 4 4 2" xfId="11968" xr:uid="{B1C783DF-109D-44C6-B34D-E84EF0993097}"/>
    <cellStyle name="Normal 9 3 3 4 4 2 2" xfId="28728" xr:uid="{8F601295-4ABE-4E7E-9A91-A687037EFDC4}"/>
    <cellStyle name="Normal 9 3 3 4 4 2 3" xfId="45487" xr:uid="{883B8849-40DD-4ADB-B852-2286FBA00D07}"/>
    <cellStyle name="Normal 9 3 3 4 4 3" xfId="20348" xr:uid="{19DE8D4E-6CFE-4257-89D0-FC8A95674388}"/>
    <cellStyle name="Normal 9 3 3 4 4 4" xfId="37107" xr:uid="{3C2BA39D-5B2B-4951-8307-0E6601E8AD8F}"/>
    <cellStyle name="Normal 9 3 3 4 5" xfId="10278" xr:uid="{0ACF7535-7AAC-4948-B696-E7A1BD06A364}"/>
    <cellStyle name="Normal 9 3 3 4 5 2" xfId="27038" xr:uid="{B6EC02E9-F387-4F00-9728-9AECEFA8C166}"/>
    <cellStyle name="Normal 9 3 3 4 5 3" xfId="43797" xr:uid="{DE4BD718-7C13-414D-8995-6E436789DAAF}"/>
    <cellStyle name="Normal 9 3 3 4 6" xfId="18658" xr:uid="{C2F293B9-5F4D-4998-A645-8D423924D5DF}"/>
    <cellStyle name="Normal 9 3 3 4 7" xfId="35417" xr:uid="{C7F615FF-53EB-4C72-B175-C67A225C8C8C}"/>
    <cellStyle name="Normal 9 3 3 5" xfId="4008" xr:uid="{5EFE3CB6-F705-4600-A1A7-750CC3CB4791}"/>
    <cellStyle name="Normal 9 3 3 5 2" xfId="12388" xr:uid="{F2EAD44A-26FA-43B9-B330-321B1173300B}"/>
    <cellStyle name="Normal 9 3 3 5 2 2" xfId="29148" xr:uid="{8418F36A-22F0-449C-9835-1F940EF33586}"/>
    <cellStyle name="Normal 9 3 3 5 2 3" xfId="45907" xr:uid="{DA3B0F55-C976-4C83-A285-2996CDD2E58B}"/>
    <cellStyle name="Normal 9 3 3 5 3" xfId="20768" xr:uid="{A643CCDE-27A0-41F8-8DEE-BF7E85818193}"/>
    <cellStyle name="Normal 9 3 3 5 4" xfId="37527" xr:uid="{A3FF48BF-5CB9-4165-A707-8C9689E5AB56}"/>
    <cellStyle name="Normal 9 3 3 6" xfId="5832" xr:uid="{8EBB83D8-A80D-4CF0-809F-6D8BB19BAC5F}"/>
    <cellStyle name="Normal 9 3 3 6 2" xfId="14212" xr:uid="{9C1734A4-DDA7-4980-8AA2-BD0C55934BA6}"/>
    <cellStyle name="Normal 9 3 3 6 2 2" xfId="30972" xr:uid="{8A7F27EC-08A5-4624-9A26-2860FFCEA3E1}"/>
    <cellStyle name="Normal 9 3 3 6 2 3" xfId="47731" xr:uid="{5238BFDF-05A5-4D90-AB52-129AFD203E75}"/>
    <cellStyle name="Normal 9 3 3 6 3" xfId="22592" xr:uid="{3ACA0640-BC6F-4DBB-B006-F417F85CD605}"/>
    <cellStyle name="Normal 9 3 3 6 4" xfId="39351" xr:uid="{54E090FF-478E-43E2-B6EC-AE322AFBD729}"/>
    <cellStyle name="Normal 9 3 3 7" xfId="7371" xr:uid="{8CC1044A-8A49-470B-9D18-ADF862166C70}"/>
    <cellStyle name="Normal 9 3 3 7 2" xfId="15751" xr:uid="{BE039062-B269-4E21-AB70-FF4C647F9195}"/>
    <cellStyle name="Normal 9 3 3 7 2 2" xfId="32511" xr:uid="{6026EC4A-946E-4777-9328-F3CE66AD94B1}"/>
    <cellStyle name="Normal 9 3 3 7 2 3" xfId="49270" xr:uid="{1A0165C1-6899-4E38-97E7-FAEFAB2725A4}"/>
    <cellStyle name="Normal 9 3 3 7 3" xfId="24131" xr:uid="{F1A45B19-2A32-4F9F-BF95-04BB36463F20}"/>
    <cellStyle name="Normal 9 3 3 7 4" xfId="40890" xr:uid="{5CA66E00-3A6A-4F70-9F91-D50CF2D9E084}"/>
    <cellStyle name="Normal 9 3 3 8" xfId="7777" xr:uid="{8D26FD6C-48F5-4789-B485-5ACC01341E10}"/>
    <cellStyle name="Normal 9 3 3 8 2" xfId="16157" xr:uid="{9D3CC501-78E6-475E-9A1F-8862BFC9A23B}"/>
    <cellStyle name="Normal 9 3 3 8 2 2" xfId="32917" xr:uid="{790BDC18-200F-4293-A4E5-93C13236A245}"/>
    <cellStyle name="Normal 9 3 3 8 2 3" xfId="49676" xr:uid="{6F0570AF-DB38-4F7B-B780-5DC9D79491E4}"/>
    <cellStyle name="Normal 9 3 3 8 3" xfId="24537" xr:uid="{677D89D4-D3CA-48BF-A826-B71347423DE0}"/>
    <cellStyle name="Normal 9 3 3 8 4" xfId="41296" xr:uid="{BE170779-3840-4D13-8827-8EC8E8EBB692}"/>
    <cellStyle name="Normal 9 3 3 9" xfId="8183" xr:uid="{0CBC88EC-86D7-4660-B0C5-1A6499CA42A3}"/>
    <cellStyle name="Normal 9 3 3 9 2" xfId="16563" xr:uid="{6B963BC0-3EDB-405C-920C-C9A6A20256E2}"/>
    <cellStyle name="Normal 9 3 3 9 2 2" xfId="33323" xr:uid="{9A3A56F0-0DC1-4352-BD00-71441BB233AA}"/>
    <cellStyle name="Normal 9 3 3 9 2 3" xfId="50082" xr:uid="{D13094E0-7923-439F-ABAB-DE0F37AEFF2A}"/>
    <cellStyle name="Normal 9 3 3 9 3" xfId="24943" xr:uid="{E26AC6AB-51B0-49A6-87C7-58E66EE51037}"/>
    <cellStyle name="Normal 9 3 3 9 4" xfId="41702" xr:uid="{A8270183-2C51-4C4F-B551-E66098F3A9D5}"/>
    <cellStyle name="Normal 9 3 4" xfId="738" xr:uid="{057DEF8D-D45E-4804-87A1-4E10B57B2900}"/>
    <cellStyle name="Normal 9 3 4 10" xfId="8683" xr:uid="{26E89EED-26E5-4510-9C12-93B34E6D86E7}"/>
    <cellStyle name="Normal 9 3 4 10 2" xfId="17063" xr:uid="{5C28DE1A-F8FE-4058-BEC0-1354B12D9DAC}"/>
    <cellStyle name="Normal 9 3 4 10 2 2" xfId="33823" xr:uid="{0EE961F8-E8DA-4106-9B0A-6725C669A19D}"/>
    <cellStyle name="Normal 9 3 4 10 2 3" xfId="50582" xr:uid="{B7CE9844-6DBD-4965-8D58-C4842B05386E}"/>
    <cellStyle name="Normal 9 3 4 10 3" xfId="25443" xr:uid="{2E47A670-77CA-43DB-93F9-CADC49E3CB31}"/>
    <cellStyle name="Normal 9 3 4 10 4" xfId="42202" xr:uid="{52A73EE9-0B9E-46BF-B08E-D63AC88B1D5C}"/>
    <cellStyle name="Normal 9 3 4 11" xfId="2567" xr:uid="{63E71281-5C09-4EF5-9C30-29AEDD488C93}"/>
    <cellStyle name="Normal 9 3 4 11 2" xfId="10949" xr:uid="{D154B3EF-5F2E-4087-8AFC-00BE7FD91DDD}"/>
    <cellStyle name="Normal 9 3 4 11 2 2" xfId="27709" xr:uid="{A8FFDD48-36EB-4E42-8C56-7CC0C8F68FCC}"/>
    <cellStyle name="Normal 9 3 4 11 2 3" xfId="44468" xr:uid="{85B19C93-A190-462F-AFA1-D62870A0AD22}"/>
    <cellStyle name="Normal 9 3 4 11 3" xfId="19329" xr:uid="{2F007B9F-C4EC-4331-A868-3AC02EC5672A}"/>
    <cellStyle name="Normal 9 3 4 11 4" xfId="36088" xr:uid="{433C744D-D654-413E-A950-483225C3A386}"/>
    <cellStyle name="Normal 9 3 4 12" xfId="9146" xr:uid="{B3582523-6073-4957-864E-28615567C7D5}"/>
    <cellStyle name="Normal 9 3 4 12 2" xfId="25906" xr:uid="{5007261F-33A8-4EDD-B729-6BEA262E2241}"/>
    <cellStyle name="Normal 9 3 4 12 3" xfId="42665" xr:uid="{B9CE2089-9D2C-432D-A1D1-414981CD30CE}"/>
    <cellStyle name="Normal 9 3 4 13" xfId="17526" xr:uid="{BF92818B-3298-4E6D-A90E-194BCAAD5FFA}"/>
    <cellStyle name="Normal 9 3 4 14" xfId="34285" xr:uid="{14B5BB78-701D-4457-A592-6CBCBE86608E}"/>
    <cellStyle name="Normal 9 3 4 2" xfId="1177" xr:uid="{E25E579F-6CEC-4E18-B2DA-38E2C7C51EBA}"/>
    <cellStyle name="Normal 9 3 4 2 2" xfId="4572" xr:uid="{17EE1612-B917-4301-B2D7-AD0353162219}"/>
    <cellStyle name="Normal 9 3 4 2 2 2" xfId="12952" xr:uid="{090811BD-C0FB-48CF-811E-72D43C2796A4}"/>
    <cellStyle name="Normal 9 3 4 2 2 2 2" xfId="29712" xr:uid="{BF689002-4420-480F-ACC6-8324F398B944}"/>
    <cellStyle name="Normal 9 3 4 2 2 2 3" xfId="46471" xr:uid="{086FB9D0-46E2-4CC0-B91C-1A62FE5B3661}"/>
    <cellStyle name="Normal 9 3 4 2 2 3" xfId="21332" xr:uid="{6309A8CF-FAE8-468B-BC47-EEB5493CDE72}"/>
    <cellStyle name="Normal 9 3 4 2 2 4" xfId="38091" xr:uid="{CA726B3C-257C-45D3-B0EC-F8EDB6247CF8}"/>
    <cellStyle name="Normal 9 3 4 2 3" xfId="6259" xr:uid="{5B6CCED7-56E7-47E5-8540-38EA9EB67DA4}"/>
    <cellStyle name="Normal 9 3 4 2 3 2" xfId="14639" xr:uid="{B7A5DACE-1301-4270-9D3F-AD39AD62D2D1}"/>
    <cellStyle name="Normal 9 3 4 2 3 2 2" xfId="31399" xr:uid="{C3F14E5E-4F18-4965-8431-0B2914892B43}"/>
    <cellStyle name="Normal 9 3 4 2 3 2 3" xfId="48158" xr:uid="{30232F25-0E7E-409E-A173-74FB815C5A9A}"/>
    <cellStyle name="Normal 9 3 4 2 3 3" xfId="23019" xr:uid="{39778F61-F14B-4E2D-B975-77DC87C9DC95}"/>
    <cellStyle name="Normal 9 3 4 2 3 4" xfId="39778" xr:uid="{B0C50962-35A0-47C0-AFE6-B3EF3EEEF34B}"/>
    <cellStyle name="Normal 9 3 4 2 4" xfId="2995" xr:uid="{5FD1CC94-4E74-47B1-8DED-03F58343A8C0}"/>
    <cellStyle name="Normal 9 3 4 2 4 2" xfId="11375" xr:uid="{CAF39026-B010-45CA-AB05-C67CE937ADB2}"/>
    <cellStyle name="Normal 9 3 4 2 4 2 2" xfId="28135" xr:uid="{CC03C1EA-7320-433A-BB97-71D02A524D5A}"/>
    <cellStyle name="Normal 9 3 4 2 4 2 3" xfId="44894" xr:uid="{61652559-93CB-42F2-B801-1A722EF471CC}"/>
    <cellStyle name="Normal 9 3 4 2 4 3" xfId="19755" xr:uid="{78E30DFB-FF83-43C4-A82F-ADE1202DAAB8}"/>
    <cellStyle name="Normal 9 3 4 2 4 4" xfId="36514" xr:uid="{3CFCAD79-67B3-46C2-80D2-34EFFBFC68F5}"/>
    <cellStyle name="Normal 9 3 4 2 5" xfId="9572" xr:uid="{5CB54BD3-F6A5-4F1C-B725-199BE0AD2605}"/>
    <cellStyle name="Normal 9 3 4 2 5 2" xfId="26332" xr:uid="{991EFAEB-05A3-4024-96DE-8F9A64E78380}"/>
    <cellStyle name="Normal 9 3 4 2 5 3" xfId="43091" xr:uid="{613B3DC0-7C4B-400F-BD6C-41E5C559F3B2}"/>
    <cellStyle name="Normal 9 3 4 2 6" xfId="17952" xr:uid="{A0B7B6B2-3D64-44F0-B09C-E3F9F2A9E683}"/>
    <cellStyle name="Normal 9 3 4 2 7" xfId="34711" xr:uid="{6A0D6E83-6F82-4243-9135-CCEFD53EAB63}"/>
    <cellStyle name="Normal 9 3 4 3" xfId="1611" xr:uid="{5765E2D9-C46B-4345-84D8-C52C07AE3DF9}"/>
    <cellStyle name="Normal 9 3 4 3 2" xfId="5000" xr:uid="{9C10C567-B4F5-4CFD-A288-D7B76ECE1848}"/>
    <cellStyle name="Normal 9 3 4 3 2 2" xfId="13380" xr:uid="{86A1412A-3E34-4A1F-990C-F5F8097F6A60}"/>
    <cellStyle name="Normal 9 3 4 3 2 2 2" xfId="30140" xr:uid="{E3A27E50-F9D7-4A96-86F0-43367B978CAC}"/>
    <cellStyle name="Normal 9 3 4 3 2 2 3" xfId="46899" xr:uid="{8D2AD455-1A2A-4432-85EE-B5BE59BE8E36}"/>
    <cellStyle name="Normal 9 3 4 3 2 3" xfId="21760" xr:uid="{11A45FC7-10C5-4EFA-BF09-3312EC1E9E43}"/>
    <cellStyle name="Normal 9 3 4 3 2 4" xfId="38519" xr:uid="{1DA7832A-1A18-4F8E-B9A7-E4CD48DD6046}"/>
    <cellStyle name="Normal 9 3 4 3 3" xfId="6687" xr:uid="{1A8F6F5E-6D65-4F8F-B22C-B0F27E17D9C8}"/>
    <cellStyle name="Normal 9 3 4 3 3 2" xfId="15067" xr:uid="{0EB29684-16E8-481F-8327-1407F1282282}"/>
    <cellStyle name="Normal 9 3 4 3 3 2 2" xfId="31827" xr:uid="{8493A201-B59B-4E54-B535-7C5A9E6DFDF6}"/>
    <cellStyle name="Normal 9 3 4 3 3 2 3" xfId="48586" xr:uid="{BE19F790-C9ED-4F92-9BFA-3F7B33C95A93}"/>
    <cellStyle name="Normal 9 3 4 3 3 3" xfId="23447" xr:uid="{F371F2D7-C48E-45A0-9CF4-B1C34EB6D29D}"/>
    <cellStyle name="Normal 9 3 4 3 3 4" xfId="40206" xr:uid="{3FB3BE91-3471-4280-BF1D-31FBD2A801DE}"/>
    <cellStyle name="Normal 9 3 4 3 4" xfId="3423" xr:uid="{1EE38787-E7DE-47AD-96FA-DE1D9E26D066}"/>
    <cellStyle name="Normal 9 3 4 3 4 2" xfId="11803" xr:uid="{61C5E436-DF1D-43E7-82DF-B9545E523883}"/>
    <cellStyle name="Normal 9 3 4 3 4 2 2" xfId="28563" xr:uid="{2E97DB9A-E64D-4C3C-A01E-89994B50E3FE}"/>
    <cellStyle name="Normal 9 3 4 3 4 2 3" xfId="45322" xr:uid="{C8547F59-6735-4ECE-A5CF-E9414E7E42E6}"/>
    <cellStyle name="Normal 9 3 4 3 4 3" xfId="20183" xr:uid="{03363A83-430A-4230-A1FB-8CDCB60ADD4A}"/>
    <cellStyle name="Normal 9 3 4 3 4 4" xfId="36942" xr:uid="{EB1EE87F-3DBF-4948-8115-DFBB9FCFD2B2}"/>
    <cellStyle name="Normal 9 3 4 3 5" xfId="10000" xr:uid="{C51F098C-858E-4DD4-ABB2-7E1EABF5513E}"/>
    <cellStyle name="Normal 9 3 4 3 5 2" xfId="26760" xr:uid="{53769011-ECD1-4F8A-8163-F457CECD9189}"/>
    <cellStyle name="Normal 9 3 4 3 5 3" xfId="43519" xr:uid="{EAAD6D1A-1BFD-473D-888A-A24D005CFE51}"/>
    <cellStyle name="Normal 9 3 4 3 6" xfId="18380" xr:uid="{0565A640-6FF9-4FCD-86FC-A8D794DBFE04}"/>
    <cellStyle name="Normal 9 3 4 3 7" xfId="35139" xr:uid="{5AA104F7-42E5-404D-8A3E-934EC7AFBBF6}"/>
    <cellStyle name="Normal 9 3 4 4" xfId="1983" xr:uid="{31226465-F8D3-46F9-AED8-940F714FF577}"/>
    <cellStyle name="Normal 9 3 4 4 2" xfId="5372" xr:uid="{39426E25-EF91-414F-8A55-9318946AF222}"/>
    <cellStyle name="Normal 9 3 4 4 2 2" xfId="13752" xr:uid="{38DD7CB3-0D9B-4787-9A6E-0F4881C2939C}"/>
    <cellStyle name="Normal 9 3 4 4 2 2 2" xfId="30512" xr:uid="{2D46248C-26FC-4FA3-997B-036BE605DF1A}"/>
    <cellStyle name="Normal 9 3 4 4 2 2 3" xfId="47271" xr:uid="{87883D94-52A3-46D6-BA03-1C366A0A94B0}"/>
    <cellStyle name="Normal 9 3 4 4 2 3" xfId="22132" xr:uid="{16116218-E5CD-47EB-AD7E-1CD34FB13919}"/>
    <cellStyle name="Normal 9 3 4 4 2 4" xfId="38891" xr:uid="{F68DE31C-118A-4667-9F66-E7C7281B5F9F}"/>
    <cellStyle name="Normal 9 3 4 4 3" xfId="7059" xr:uid="{5E0067A8-84E4-4E2C-9A7F-B2B992820929}"/>
    <cellStyle name="Normal 9 3 4 4 3 2" xfId="15439" xr:uid="{36CAF7E6-4880-4C9D-9373-C047A4D0259E}"/>
    <cellStyle name="Normal 9 3 4 4 3 2 2" xfId="32199" xr:uid="{DC13BE02-0015-480E-A253-83CE91F33B98}"/>
    <cellStyle name="Normal 9 3 4 4 3 2 3" xfId="48958" xr:uid="{07763D9F-CD65-41B6-BB2A-EE3E774A6769}"/>
    <cellStyle name="Normal 9 3 4 4 3 3" xfId="23819" xr:uid="{65B9B638-9300-47BB-818B-852BC7A37FA6}"/>
    <cellStyle name="Normal 9 3 4 4 3 4" xfId="40578" xr:uid="{2088ED18-E989-4C2B-AE5F-494F5D761F74}"/>
    <cellStyle name="Normal 9 3 4 4 4" xfId="3682" xr:uid="{129D33FF-ECA4-480F-BF1B-60304A822E38}"/>
    <cellStyle name="Normal 9 3 4 4 4 2" xfId="12062" xr:uid="{C427A13B-0563-4C7B-B6F8-5972B95FFFF6}"/>
    <cellStyle name="Normal 9 3 4 4 4 2 2" xfId="28822" xr:uid="{B8D971FD-D5C5-4232-99CF-7C33CEEA4A5A}"/>
    <cellStyle name="Normal 9 3 4 4 4 2 3" xfId="45581" xr:uid="{81C63A2A-4C27-4EBF-8470-EC1C93253FB2}"/>
    <cellStyle name="Normal 9 3 4 4 4 3" xfId="20442" xr:uid="{3162829E-5ED2-4547-9897-1C896E803EA1}"/>
    <cellStyle name="Normal 9 3 4 4 4 4" xfId="37201" xr:uid="{6BCEF7C0-5D78-4748-A780-A3D5691788A0}"/>
    <cellStyle name="Normal 9 3 4 4 5" xfId="10372" xr:uid="{ADAAD88C-F8B0-4CF7-93C3-93857DC02E24}"/>
    <cellStyle name="Normal 9 3 4 4 5 2" xfId="27132" xr:uid="{96C71ECB-A4D6-42EC-AC76-721FEA44CA2D}"/>
    <cellStyle name="Normal 9 3 4 4 5 3" xfId="43891" xr:uid="{49A93ABB-5022-413C-87CA-4E1E76E028DA}"/>
    <cellStyle name="Normal 9 3 4 4 6" xfId="18752" xr:uid="{9C7F302B-E513-4899-B163-74F32CD0938A}"/>
    <cellStyle name="Normal 9 3 4 4 7" xfId="35511" xr:uid="{E0825EE3-CBE6-4B9C-A5D5-258DC9925760}"/>
    <cellStyle name="Normal 9 3 4 5" xfId="4102" xr:uid="{5E5C6D21-77B4-4A8D-8733-45D16A4B0DF1}"/>
    <cellStyle name="Normal 9 3 4 5 2" xfId="12482" xr:uid="{8D7F64BB-99CD-437D-A8C8-2D23700F1775}"/>
    <cellStyle name="Normal 9 3 4 5 2 2" xfId="29242" xr:uid="{85C30EBE-987B-4161-9E77-52074B2DBD09}"/>
    <cellStyle name="Normal 9 3 4 5 2 3" xfId="46001" xr:uid="{679BB9DF-A89C-4AA4-BB2A-399134F717E7}"/>
    <cellStyle name="Normal 9 3 4 5 3" xfId="20862" xr:uid="{E10BBDA6-5DD6-4720-8F76-C30E75D86F88}"/>
    <cellStyle name="Normal 9 3 4 5 4" xfId="37621" xr:uid="{2DF6B9D7-28C7-46D6-9B12-E504525F2262}"/>
    <cellStyle name="Normal 9 3 4 6" xfId="5833" xr:uid="{D1757F59-3ED0-45F9-B2F9-6F94BA7F67B4}"/>
    <cellStyle name="Normal 9 3 4 6 2" xfId="14213" xr:uid="{A0B7A7DF-E948-46CD-81DF-CC64AF257B27}"/>
    <cellStyle name="Normal 9 3 4 6 2 2" xfId="30973" xr:uid="{41AD0914-49B0-48C6-8AB0-56BCC8D4F917}"/>
    <cellStyle name="Normal 9 3 4 6 2 3" xfId="47732" xr:uid="{3B0026B6-31D4-4A7D-B0C2-4492206E7FDD}"/>
    <cellStyle name="Normal 9 3 4 6 3" xfId="22593" xr:uid="{9922B76E-7AD0-454E-BBA6-1923C1C68F63}"/>
    <cellStyle name="Normal 9 3 4 6 4" xfId="39352" xr:uid="{6E1F8186-A3B8-4C49-AB95-EE1F735BA164}"/>
    <cellStyle name="Normal 9 3 4 7" xfId="7465" xr:uid="{AAD2AA69-4D02-4FD6-A571-741D25AD1ECD}"/>
    <cellStyle name="Normal 9 3 4 7 2" xfId="15845" xr:uid="{44F2E956-6006-4FF8-9D58-966BAA232CA6}"/>
    <cellStyle name="Normal 9 3 4 7 2 2" xfId="32605" xr:uid="{EBA09AEF-D32F-4FC9-8301-36C796CCE1A5}"/>
    <cellStyle name="Normal 9 3 4 7 2 3" xfId="49364" xr:uid="{6056C690-0279-434D-A6D0-9F4E3B7048E4}"/>
    <cellStyle name="Normal 9 3 4 7 3" xfId="24225" xr:uid="{48C2F313-B49F-4F4E-BF1C-0F2393B60614}"/>
    <cellStyle name="Normal 9 3 4 7 4" xfId="40984" xr:uid="{DC478C40-563C-4421-9A0B-5A81438D0517}"/>
    <cellStyle name="Normal 9 3 4 8" xfId="7871" xr:uid="{DDE34C08-2F80-4CFE-9765-847B1A5C3982}"/>
    <cellStyle name="Normal 9 3 4 8 2" xfId="16251" xr:uid="{BDF1050B-56A4-4718-9A29-239302A0FBC7}"/>
    <cellStyle name="Normal 9 3 4 8 2 2" xfId="33011" xr:uid="{FFCFACAE-91EA-495F-95DB-98C66DEF241B}"/>
    <cellStyle name="Normal 9 3 4 8 2 3" xfId="49770" xr:uid="{08BAD919-1453-43F5-A94B-7AE994FB26D4}"/>
    <cellStyle name="Normal 9 3 4 8 3" xfId="24631" xr:uid="{25B8382C-3B5A-47BA-9211-CC45281BE2DA}"/>
    <cellStyle name="Normal 9 3 4 8 4" xfId="41390" xr:uid="{E5734A71-1966-4713-9C40-5F4C388A7B99}"/>
    <cellStyle name="Normal 9 3 4 9" xfId="8277" xr:uid="{A3E56B17-3851-4E15-9613-7CE0221367CA}"/>
    <cellStyle name="Normal 9 3 4 9 2" xfId="16657" xr:uid="{27266BA3-6C68-488E-8D79-CCC2E7C78C0A}"/>
    <cellStyle name="Normal 9 3 4 9 2 2" xfId="33417" xr:uid="{B0F17E4F-C6C9-497C-8EDE-7E5A564FC25F}"/>
    <cellStyle name="Normal 9 3 4 9 2 3" xfId="50176" xr:uid="{64E5E513-4E61-461E-AD18-82A7AA8E0AE6}"/>
    <cellStyle name="Normal 9 3 4 9 3" xfId="25037" xr:uid="{3C5E2AB1-4A12-4B8B-8204-838FC947DC6C}"/>
    <cellStyle name="Normal 9 3 4 9 4" xfId="41796" xr:uid="{4BE8D62E-7BED-438E-9B58-2B97B692CAFC}"/>
    <cellStyle name="Normal 9 3 5" xfId="797" xr:uid="{B0EB1378-7151-42D3-87DC-B1FDF6FF2C18}"/>
    <cellStyle name="Normal 9 3 5 2" xfId="4192" xr:uid="{FA4BF130-12C5-4EE0-A6A4-741CFCD92CA8}"/>
    <cellStyle name="Normal 9 3 5 2 2" xfId="12572" xr:uid="{842C6751-0203-440F-882D-B51EC216500D}"/>
    <cellStyle name="Normal 9 3 5 2 2 2" xfId="29332" xr:uid="{81E7051B-D29A-44A0-8524-AC7184D00CB2}"/>
    <cellStyle name="Normal 9 3 5 2 2 3" xfId="46091" xr:uid="{FAA99A97-2257-42E5-9219-DF41DB6DB246}"/>
    <cellStyle name="Normal 9 3 5 2 3" xfId="20952" xr:uid="{60F6E388-4E7F-472D-AB15-3335FB8884C1}"/>
    <cellStyle name="Normal 9 3 5 2 4" xfId="37711" xr:uid="{F80158B3-F053-4F8D-9D20-59A376B276CC}"/>
    <cellStyle name="Normal 9 3 5 3" xfId="5879" xr:uid="{E202B0BD-93AC-4DA8-9089-10346FC214CE}"/>
    <cellStyle name="Normal 9 3 5 3 2" xfId="14259" xr:uid="{C26DEC8D-2D65-4C1A-979C-D5BB4491B2FA}"/>
    <cellStyle name="Normal 9 3 5 3 2 2" xfId="31019" xr:uid="{3E59040F-82E1-4A7E-93B9-FFEBAFBE1142}"/>
    <cellStyle name="Normal 9 3 5 3 2 3" xfId="47778" xr:uid="{390463E7-1CA1-4A72-94D6-A26A16FD2D69}"/>
    <cellStyle name="Normal 9 3 5 3 3" xfId="22639" xr:uid="{774CED79-F7BE-4269-89C3-292B06237C33}"/>
    <cellStyle name="Normal 9 3 5 3 4" xfId="39398" xr:uid="{FA8FFB3F-CE3C-405B-A99B-2E2FDDC46633}"/>
    <cellStyle name="Normal 9 3 5 4" xfId="2615" xr:uid="{02EB5F0A-544E-4332-8183-6C7C9E619917}"/>
    <cellStyle name="Normal 9 3 5 4 2" xfId="10995" xr:uid="{8E84B625-B111-48F0-98A6-D9B2B5E6750D}"/>
    <cellStyle name="Normal 9 3 5 4 2 2" xfId="27755" xr:uid="{A9DD9F2C-98CA-4B21-9AD1-07B8A2AB0D35}"/>
    <cellStyle name="Normal 9 3 5 4 2 3" xfId="44514" xr:uid="{A7A8D6B7-8DF3-418D-B108-DB901736FA8A}"/>
    <cellStyle name="Normal 9 3 5 4 3" xfId="19375" xr:uid="{56BADC0E-3FF4-4D5E-810A-CA33EF83DCDB}"/>
    <cellStyle name="Normal 9 3 5 4 4" xfId="36134" xr:uid="{22E1B088-1C34-46EE-9918-09FEADA86F07}"/>
    <cellStyle name="Normal 9 3 5 5" xfId="9192" xr:uid="{53E8B7A6-EF12-4E08-AD5E-01133DB787D3}"/>
    <cellStyle name="Normal 9 3 5 5 2" xfId="25952" xr:uid="{F612CBBC-9051-4142-83E1-6532CE159062}"/>
    <cellStyle name="Normal 9 3 5 5 3" xfId="42711" xr:uid="{F05CA6A9-8DFE-4A6F-88EE-E731585C0B99}"/>
    <cellStyle name="Normal 9 3 5 6" xfId="17572" xr:uid="{F138A4F1-DA4D-4D94-AA17-E0FCF6AC2AB8}"/>
    <cellStyle name="Normal 9 3 5 7" xfId="34331" xr:uid="{AC412D88-629A-4487-84C0-FAC268081849}"/>
    <cellStyle name="Normal 9 3 6" xfId="1231" xr:uid="{9D4E0E9C-B565-49B8-8157-D8968964955F}"/>
    <cellStyle name="Normal 9 3 6 2" xfId="4620" xr:uid="{3C7E757B-E903-44B2-9609-5A87DEDCD2DF}"/>
    <cellStyle name="Normal 9 3 6 2 2" xfId="13000" xr:uid="{67A8C4A3-74B1-4F5A-BBA2-E26D811AE7F4}"/>
    <cellStyle name="Normal 9 3 6 2 2 2" xfId="29760" xr:uid="{BAAEBFDA-AC90-4BF8-99B4-07137FD20262}"/>
    <cellStyle name="Normal 9 3 6 2 2 3" xfId="46519" xr:uid="{BE4E3B7A-16B3-45A0-9B27-F6743E1A2F4C}"/>
    <cellStyle name="Normal 9 3 6 2 3" xfId="21380" xr:uid="{5D5BEFC7-3382-42C7-997E-B9DC931BCCF0}"/>
    <cellStyle name="Normal 9 3 6 2 4" xfId="38139" xr:uid="{7A3FE41E-FE64-46B0-BFD2-283E4CB769CF}"/>
    <cellStyle name="Normal 9 3 6 3" xfId="6307" xr:uid="{4B81B38B-24BF-43B0-911C-FC7AB528EA92}"/>
    <cellStyle name="Normal 9 3 6 3 2" xfId="14687" xr:uid="{61E80E95-6F3B-4E86-A69F-19DE2E78B8E1}"/>
    <cellStyle name="Normal 9 3 6 3 2 2" xfId="31447" xr:uid="{1E742CC3-7DD8-4647-B32F-3920882770D9}"/>
    <cellStyle name="Normal 9 3 6 3 2 3" xfId="48206" xr:uid="{57DF4DC9-2B1E-4064-9603-AF32166FB620}"/>
    <cellStyle name="Normal 9 3 6 3 3" xfId="23067" xr:uid="{CDD8C08A-A85B-4440-BF22-4F2FF3FAEFBF}"/>
    <cellStyle name="Normal 9 3 6 3 4" xfId="39826" xr:uid="{22B846AC-DB2E-4E5B-82C1-7B9BA5A19D3F}"/>
    <cellStyle name="Normal 9 3 6 4" xfId="3043" xr:uid="{9C0FBEDB-A96A-4BA0-ACEF-E5EB968DFE8D}"/>
    <cellStyle name="Normal 9 3 6 4 2" xfId="11423" xr:uid="{6AF3DB83-5493-4933-B224-E7AD04EDE3E3}"/>
    <cellStyle name="Normal 9 3 6 4 2 2" xfId="28183" xr:uid="{7C54BA88-5339-40D5-8D86-BAA0D739DF2C}"/>
    <cellStyle name="Normal 9 3 6 4 2 3" xfId="44942" xr:uid="{6CFED3FF-B83A-463E-9935-A86AA70615F2}"/>
    <cellStyle name="Normal 9 3 6 4 3" xfId="19803" xr:uid="{06B83167-11CF-4897-BAC9-57469909C4FB}"/>
    <cellStyle name="Normal 9 3 6 4 4" xfId="36562" xr:uid="{CB07CD20-F49A-4A96-994A-334FC56F2A28}"/>
    <cellStyle name="Normal 9 3 6 5" xfId="9620" xr:uid="{F3EFFCFC-1CCB-46D4-AC87-1BE0AF3BBE2D}"/>
    <cellStyle name="Normal 9 3 6 5 2" xfId="26380" xr:uid="{52E7CE93-6CBF-4302-BD36-74CDD28E67E0}"/>
    <cellStyle name="Normal 9 3 6 5 3" xfId="43139" xr:uid="{CBE41B88-F785-4225-A7C4-62485F326901}"/>
    <cellStyle name="Normal 9 3 6 6" xfId="18000" xr:uid="{FE836AB6-FFD5-42BB-A42F-61832B56DEE5}"/>
    <cellStyle name="Normal 9 3 6 7" xfId="34759" xr:uid="{602A670A-0107-44C3-9406-F4B69C1A4A93}"/>
    <cellStyle name="Normal 9 3 7" xfId="1712" xr:uid="{37744893-179C-4428-95FE-46963ED345B6}"/>
    <cellStyle name="Normal 9 3 7 2" xfId="5101" xr:uid="{8AE41158-9953-44CB-9D2E-DB3DC997738D}"/>
    <cellStyle name="Normal 9 3 7 2 2" xfId="13481" xr:uid="{69423868-83E7-4923-805A-C9205ED7E1ED}"/>
    <cellStyle name="Normal 9 3 7 2 2 2" xfId="30241" xr:uid="{82D82146-355B-4EE3-8246-773DF13CB30D}"/>
    <cellStyle name="Normal 9 3 7 2 2 3" xfId="47000" xr:uid="{5A8A7D8E-8753-4A8D-B02B-B5247CA48091}"/>
    <cellStyle name="Normal 9 3 7 2 3" xfId="21861" xr:uid="{BE32BB7C-C9D5-41CD-B41E-5CE3F5FEBADC}"/>
    <cellStyle name="Normal 9 3 7 2 4" xfId="38620" xr:uid="{34DD5408-445D-43D8-AD2E-FF5AD8B24C45}"/>
    <cellStyle name="Normal 9 3 7 3" xfId="6788" xr:uid="{66B64E46-24D5-4476-AC25-03F19B35E3A4}"/>
    <cellStyle name="Normal 9 3 7 3 2" xfId="15168" xr:uid="{566EBA66-E210-4D66-940E-3CF22BB7CBAA}"/>
    <cellStyle name="Normal 9 3 7 3 2 2" xfId="31928" xr:uid="{2987887A-7718-4A7B-A349-6530181D21AF}"/>
    <cellStyle name="Normal 9 3 7 3 2 3" xfId="48687" xr:uid="{FD4D5A36-B095-4F28-9373-C187B8848ECC}"/>
    <cellStyle name="Normal 9 3 7 3 3" xfId="23548" xr:uid="{F05F35B2-DD0E-4658-BF80-D3D84AF21540}"/>
    <cellStyle name="Normal 9 3 7 3 4" xfId="40307" xr:uid="{FFE8368D-39C6-4240-B626-D28B4B5C4DB2}"/>
    <cellStyle name="Normal 9 3 7 4" xfId="2182" xr:uid="{F9EAD0D2-4343-4F21-A683-85A8430EA24D}"/>
    <cellStyle name="Normal 9 3 7 4 2" xfId="10569" xr:uid="{6EAA55A9-DFD7-4CDC-B93A-F81113138E56}"/>
    <cellStyle name="Normal 9 3 7 4 2 2" xfId="27329" xr:uid="{B672E404-E9C9-4199-AFE9-2EB662445D4E}"/>
    <cellStyle name="Normal 9 3 7 4 2 3" xfId="44088" xr:uid="{1C075064-834D-4A66-9AF6-88E2BDAF3345}"/>
    <cellStyle name="Normal 9 3 7 4 3" xfId="18949" xr:uid="{6771BBED-E2ED-4DF9-B24D-707A193CBE70}"/>
    <cellStyle name="Normal 9 3 7 4 4" xfId="35708" xr:uid="{46E22FDF-0D41-4A2E-9D4A-EB91D33C53AB}"/>
    <cellStyle name="Normal 9 3 7 5" xfId="10101" xr:uid="{8D1CB795-FED8-4CC4-A17C-AC9AEECA9E53}"/>
    <cellStyle name="Normal 9 3 7 5 2" xfId="26861" xr:uid="{5B771EE2-B680-444C-A1D0-5561486EDE2C}"/>
    <cellStyle name="Normal 9 3 7 5 3" xfId="43620" xr:uid="{98871CF3-605E-4BB0-AF92-8A600F2DADF7}"/>
    <cellStyle name="Normal 9 3 7 6" xfId="18481" xr:uid="{4C79168C-AC84-426F-98CB-47ACE79050D2}"/>
    <cellStyle name="Normal 9 3 7 7" xfId="35240" xr:uid="{C92AC8C5-3A43-4D1C-9A8A-F2C900231598}"/>
    <cellStyle name="Normal 9 3 8" xfId="3830" xr:uid="{151D69CE-42E0-477F-B9FD-2CBA0EFE29C4}"/>
    <cellStyle name="Normal 9 3 8 2" xfId="12210" xr:uid="{D6BF1C87-0FF6-422C-AE4E-62D33E0E1D45}"/>
    <cellStyle name="Normal 9 3 8 2 2" xfId="28970" xr:uid="{04FEDBEB-1372-42FC-BFF9-BCE38FB02229}"/>
    <cellStyle name="Normal 9 3 8 2 3" xfId="45729" xr:uid="{94F92642-2978-458D-BA65-F94D96F7B708}"/>
    <cellStyle name="Normal 9 3 8 3" xfId="20590" xr:uid="{A1BD6DF0-30A4-4E30-930A-F50EB9623217}"/>
    <cellStyle name="Normal 9 3 8 4" xfId="37349" xr:uid="{9EEFF874-70E6-46DD-9292-DBF54D241B39}"/>
    <cellStyle name="Normal 9 3 9" xfId="5453" xr:uid="{58605E44-8B54-436A-8E5C-CFFBCF257A80}"/>
    <cellStyle name="Normal 9 3 9 2" xfId="13833" xr:uid="{C6AA52A9-0F67-444C-8E09-AF4E51057ABC}"/>
    <cellStyle name="Normal 9 3 9 2 2" xfId="30593" xr:uid="{499582DC-45D3-4D5F-957E-FB1A5498ABE6}"/>
    <cellStyle name="Normal 9 3 9 2 3" xfId="47352" xr:uid="{969B9618-A08A-4CB9-ABFF-A3952BB9DECE}"/>
    <cellStyle name="Normal 9 3 9 3" xfId="22213" xr:uid="{D1A601AD-6E09-4E0F-A92F-A905B08488FB}"/>
    <cellStyle name="Normal 9 3 9 4" xfId="38972" xr:uid="{E7B58050-B63C-4BBD-AA94-5745484FFD08}"/>
    <cellStyle name="Normal 9 4" xfId="348" xr:uid="{87058A9F-A223-4840-B41A-FB98945226BF}"/>
    <cellStyle name="Normal 9 4 10" xfId="7601" xr:uid="{A4615D12-AB2F-4071-9D74-53A37669BF00}"/>
    <cellStyle name="Normal 9 4 10 2" xfId="15981" xr:uid="{E1D7005E-E228-4B44-BA7E-82C1C15B8A90}"/>
    <cellStyle name="Normal 9 4 10 2 2" xfId="32741" xr:uid="{3C41B08D-6293-41A1-BE76-95DE910D5457}"/>
    <cellStyle name="Normal 9 4 10 2 3" xfId="49500" xr:uid="{8702FAB4-0789-44C1-985C-B8A482B2D946}"/>
    <cellStyle name="Normal 9 4 10 3" xfId="24361" xr:uid="{97661F76-2479-4937-B79F-25AF4AE2059B}"/>
    <cellStyle name="Normal 9 4 10 4" xfId="41120" xr:uid="{920259EC-9B72-431D-A47C-6A4586605197}"/>
    <cellStyle name="Normal 9 4 11" xfId="8007" xr:uid="{6F7DD5CC-B668-4E6A-B760-DC00DB63D0EC}"/>
    <cellStyle name="Normal 9 4 11 2" xfId="16387" xr:uid="{F3FC6D3E-CEBE-438A-8796-A987C5AEB0C9}"/>
    <cellStyle name="Normal 9 4 11 2 2" xfId="33147" xr:uid="{933581C9-261A-42C3-B11E-459DEDD92D8B}"/>
    <cellStyle name="Normal 9 4 11 2 3" xfId="49906" xr:uid="{8A5CF8F1-32E4-4C6E-994F-C8CA7A92DCD7}"/>
    <cellStyle name="Normal 9 4 11 3" xfId="24767" xr:uid="{6D618D16-97A9-4308-9BC9-F4779313C857}"/>
    <cellStyle name="Normal 9 4 11 4" xfId="41526" xr:uid="{AE70ADC7-EAB8-4B93-BA99-F90A54F8135E}"/>
    <cellStyle name="Normal 9 4 12" xfId="8413" xr:uid="{1BA8C1CA-A367-41E1-94EF-624108D1EF50}"/>
    <cellStyle name="Normal 9 4 12 2" xfId="16793" xr:uid="{1063CFAB-74CC-477A-9D25-037890420EE9}"/>
    <cellStyle name="Normal 9 4 12 2 2" xfId="33553" xr:uid="{8D025A0E-6A36-42F6-9878-A5306ACD32CB}"/>
    <cellStyle name="Normal 9 4 12 2 3" xfId="50312" xr:uid="{10E0D519-10E1-4312-B308-99ACEF5E9AA1}"/>
    <cellStyle name="Normal 9 4 12 3" xfId="25173" xr:uid="{045E704B-CFFE-4A8B-9F62-D5DFDC7F3A97}"/>
    <cellStyle name="Normal 9 4 12 4" xfId="41932" xr:uid="{6E173F21-37E3-4883-B16A-B3F08AB0F245}"/>
    <cellStyle name="Normal 9 4 13" xfId="2078" xr:uid="{A8DA4894-D64E-4998-B6B1-33AE76B35D66}"/>
    <cellStyle name="Normal 9 4 13 2" xfId="10466" xr:uid="{6484850B-551D-4154-AAE4-AB433CC34FFE}"/>
    <cellStyle name="Normal 9 4 13 2 2" xfId="27226" xr:uid="{21430253-D186-44F1-8C4D-B81418B1AC68}"/>
    <cellStyle name="Normal 9 4 13 2 3" xfId="43985" xr:uid="{02A935AF-7F8A-4925-9A90-D934D14355FA}"/>
    <cellStyle name="Normal 9 4 13 3" xfId="18846" xr:uid="{1B1F3708-9538-40F9-A843-A5BAEE0F1E89}"/>
    <cellStyle name="Normal 9 4 13 4" xfId="35605" xr:uid="{12859000-0380-4949-8822-81AEAC47619D}"/>
    <cellStyle name="Normal 9 4 14" xfId="8812" xr:uid="{8C6AE385-3992-4B53-A914-927032F1258A}"/>
    <cellStyle name="Normal 9 4 14 2" xfId="25572" xr:uid="{36253841-C6D5-4971-815B-226C09004CCA}"/>
    <cellStyle name="Normal 9 4 14 3" xfId="42331" xr:uid="{3F1E4E86-0F10-498E-BE88-927572CEFC85}"/>
    <cellStyle name="Normal 9 4 15" xfId="17192" xr:uid="{80E5C202-F477-48D4-AF83-B1AE194A7A33}"/>
    <cellStyle name="Normal 9 4 16" xfId="33951" xr:uid="{CA697F15-4551-4ADC-A6DB-EDDBE76A5123}"/>
    <cellStyle name="Normal 9 4 2" xfId="739" xr:uid="{21E4EEC3-636D-4216-8773-25198C62DAE8}"/>
    <cellStyle name="Normal 9 4 2 10" xfId="8591" xr:uid="{ADD1002C-760A-46C0-B496-F141EAEF5C11}"/>
    <cellStyle name="Normal 9 4 2 10 2" xfId="16971" xr:uid="{C31D81AE-14B8-48A6-B71D-F82B1E8CC24E}"/>
    <cellStyle name="Normal 9 4 2 10 2 2" xfId="33731" xr:uid="{987A6A98-E628-433C-B5CB-CDBF488CD987}"/>
    <cellStyle name="Normal 9 4 2 10 2 3" xfId="50490" xr:uid="{A6605206-E125-41A0-965C-795D61477331}"/>
    <cellStyle name="Normal 9 4 2 10 3" xfId="25351" xr:uid="{77EA7316-08EB-4891-90C5-EDEF93629E68}"/>
    <cellStyle name="Normal 9 4 2 10 4" xfId="42110" xr:uid="{B8F47FDA-9D2E-4C2E-B6BD-9C9F30EEFF45}"/>
    <cellStyle name="Normal 9 4 2 11" xfId="2568" xr:uid="{4EBDD493-E739-41D6-AB2F-4C7F4A03B82B}"/>
    <cellStyle name="Normal 9 4 2 11 2" xfId="10950" xr:uid="{D0B8EC6E-5DA4-404D-BB45-2446C1B90514}"/>
    <cellStyle name="Normal 9 4 2 11 2 2" xfId="27710" xr:uid="{F60F5B3C-DA04-44C9-A992-223DEBA94485}"/>
    <cellStyle name="Normal 9 4 2 11 2 3" xfId="44469" xr:uid="{D8E1BD9C-E1D5-4E48-AA27-8E4D76B7C52B}"/>
    <cellStyle name="Normal 9 4 2 11 3" xfId="19330" xr:uid="{19F5739F-C038-434D-95F2-E15F3B72F8D9}"/>
    <cellStyle name="Normal 9 4 2 11 4" xfId="36089" xr:uid="{F9D3AFE5-E3F0-4BCB-942E-E5D79B9BE5EE}"/>
    <cellStyle name="Normal 9 4 2 12" xfId="9147" xr:uid="{D210AC9B-B940-4EB4-B88C-40388A9A06DE}"/>
    <cellStyle name="Normal 9 4 2 12 2" xfId="25907" xr:uid="{BC82CBE3-E838-4201-BD67-ECB3CA824B72}"/>
    <cellStyle name="Normal 9 4 2 12 3" xfId="42666" xr:uid="{D2054CCD-F8E5-4789-AD5C-2BFF12A15A4B}"/>
    <cellStyle name="Normal 9 4 2 13" xfId="17527" xr:uid="{4882C55B-E73D-4434-847D-B96FAB891E5B}"/>
    <cellStyle name="Normal 9 4 2 14" xfId="34286" xr:uid="{AC90479F-1E43-49A6-A168-86536DAC0131}"/>
    <cellStyle name="Normal 9 4 2 2" xfId="1178" xr:uid="{DB756C87-B2B8-437E-9AEC-03C3A9BDE5EE}"/>
    <cellStyle name="Normal 9 4 2 2 2" xfId="4573" xr:uid="{8D325489-9671-44F3-AB32-86E5808E194E}"/>
    <cellStyle name="Normal 9 4 2 2 2 2" xfId="12953" xr:uid="{37E124A7-8899-4AD3-B063-8E7C1405AC80}"/>
    <cellStyle name="Normal 9 4 2 2 2 2 2" xfId="29713" xr:uid="{2906C5BB-34CF-4554-8092-4A839FCC7E11}"/>
    <cellStyle name="Normal 9 4 2 2 2 2 3" xfId="46472" xr:uid="{BD95CD57-5816-4C79-8847-7C82CDC56FBB}"/>
    <cellStyle name="Normal 9 4 2 2 2 3" xfId="21333" xr:uid="{772F790F-0975-4262-B9CE-06394C49EB95}"/>
    <cellStyle name="Normal 9 4 2 2 2 4" xfId="38092" xr:uid="{31934438-1080-4FCF-8BEB-0BA1F5AD43AF}"/>
    <cellStyle name="Normal 9 4 2 2 3" xfId="6260" xr:uid="{467C7551-0455-4A3A-9E6D-CB21668C264B}"/>
    <cellStyle name="Normal 9 4 2 2 3 2" xfId="14640" xr:uid="{6FAA2F90-33BD-49D9-97C9-C4B50CA16F55}"/>
    <cellStyle name="Normal 9 4 2 2 3 2 2" xfId="31400" xr:uid="{8CF81EB2-A8C6-4E38-BFFF-C442FF5BF322}"/>
    <cellStyle name="Normal 9 4 2 2 3 2 3" xfId="48159" xr:uid="{CC9CA281-FA58-43E3-8EC7-57265AECECB4}"/>
    <cellStyle name="Normal 9 4 2 2 3 3" xfId="23020" xr:uid="{EB707680-FB9F-459A-9214-8FDD388AF9B4}"/>
    <cellStyle name="Normal 9 4 2 2 3 4" xfId="39779" xr:uid="{F8DC5099-E28B-4A29-A0FD-3CA58440F132}"/>
    <cellStyle name="Normal 9 4 2 2 4" xfId="2996" xr:uid="{F97C8F1E-9BE6-4819-9B8D-8F936DA92AED}"/>
    <cellStyle name="Normal 9 4 2 2 4 2" xfId="11376" xr:uid="{E40F7C58-1D01-4B7E-ADA8-5325CF498CF7}"/>
    <cellStyle name="Normal 9 4 2 2 4 2 2" xfId="28136" xr:uid="{37003E4D-BD77-4561-93AE-2F1750A1F3EE}"/>
    <cellStyle name="Normal 9 4 2 2 4 2 3" xfId="44895" xr:uid="{A016EABA-95BB-46FB-BE40-CDCE94CF0898}"/>
    <cellStyle name="Normal 9 4 2 2 4 3" xfId="19756" xr:uid="{60C05FF0-2314-4028-8689-DFC825822D5F}"/>
    <cellStyle name="Normal 9 4 2 2 4 4" xfId="36515" xr:uid="{53B45248-4DDF-46C5-BB9F-2D5A936A736C}"/>
    <cellStyle name="Normal 9 4 2 2 5" xfId="9573" xr:uid="{1D06899B-9ECE-4F38-95B5-0BD17E580045}"/>
    <cellStyle name="Normal 9 4 2 2 5 2" xfId="26333" xr:uid="{D2B332EE-AEB6-46D3-A098-C4ECBE450C2D}"/>
    <cellStyle name="Normal 9 4 2 2 5 3" xfId="43092" xr:uid="{56C0372E-D96A-4B2E-AD70-89CE56A4B5CB}"/>
    <cellStyle name="Normal 9 4 2 2 6" xfId="17953" xr:uid="{137B8C79-6C14-4382-8B4D-7F5AC0B5400F}"/>
    <cellStyle name="Normal 9 4 2 2 7" xfId="34712" xr:uid="{079B21F5-EF2F-405A-93B6-F9EB07769465}"/>
    <cellStyle name="Normal 9 4 2 3" xfId="1612" xr:uid="{3B77C074-F11B-43D7-89C1-22292FE090B6}"/>
    <cellStyle name="Normal 9 4 2 3 2" xfId="5001" xr:uid="{87563DB5-A323-4DD2-B974-8CFBF14A0B0D}"/>
    <cellStyle name="Normal 9 4 2 3 2 2" xfId="13381" xr:uid="{8F870E5F-B026-4F72-B3DC-B6FE74D978FE}"/>
    <cellStyle name="Normal 9 4 2 3 2 2 2" xfId="30141" xr:uid="{B76A5066-E2EC-45B5-8917-49F2503086C4}"/>
    <cellStyle name="Normal 9 4 2 3 2 2 3" xfId="46900" xr:uid="{69764AF6-9CF3-49DF-9E70-906D190C29BC}"/>
    <cellStyle name="Normal 9 4 2 3 2 3" xfId="21761" xr:uid="{B96D5552-E02B-443E-BB3D-76EECBB38FD9}"/>
    <cellStyle name="Normal 9 4 2 3 2 4" xfId="38520" xr:uid="{62564BA8-52DA-4FCE-B144-6B7CA511E292}"/>
    <cellStyle name="Normal 9 4 2 3 3" xfId="6688" xr:uid="{A8DF9751-C89C-478D-9E02-F56BB6D62574}"/>
    <cellStyle name="Normal 9 4 2 3 3 2" xfId="15068" xr:uid="{0D8B5A95-887E-405F-B1D6-C126F700CDE0}"/>
    <cellStyle name="Normal 9 4 2 3 3 2 2" xfId="31828" xr:uid="{C7846B14-E34D-4578-8308-B0E1155B4F9E}"/>
    <cellStyle name="Normal 9 4 2 3 3 2 3" xfId="48587" xr:uid="{1A865A35-D5D9-41EE-8964-0154F9278077}"/>
    <cellStyle name="Normal 9 4 2 3 3 3" xfId="23448" xr:uid="{D1D05D26-C09E-401D-A6CD-6EFCE312EC17}"/>
    <cellStyle name="Normal 9 4 2 3 3 4" xfId="40207" xr:uid="{992A2B74-06AF-41EF-8417-E4296A50FFD7}"/>
    <cellStyle name="Normal 9 4 2 3 4" xfId="3424" xr:uid="{BDCFBC55-55B5-4050-8114-3C809CE6B430}"/>
    <cellStyle name="Normal 9 4 2 3 4 2" xfId="11804" xr:uid="{E23CCEBC-A0AA-4FE5-AC78-5DE163B11B40}"/>
    <cellStyle name="Normal 9 4 2 3 4 2 2" xfId="28564" xr:uid="{8BC4F00C-3CF3-4637-8B20-514EFECB07B5}"/>
    <cellStyle name="Normal 9 4 2 3 4 2 3" xfId="45323" xr:uid="{363C9EAC-98CF-4FF7-B711-34E8B571350B}"/>
    <cellStyle name="Normal 9 4 2 3 4 3" xfId="20184" xr:uid="{F166916F-1912-44AD-9372-6013D9EA5A63}"/>
    <cellStyle name="Normal 9 4 2 3 4 4" xfId="36943" xr:uid="{C2FC08FF-1378-4A45-B21B-90047BFAC096}"/>
    <cellStyle name="Normal 9 4 2 3 5" xfId="10001" xr:uid="{7EE2A217-C1E6-45A7-95CE-E91394524D67}"/>
    <cellStyle name="Normal 9 4 2 3 5 2" xfId="26761" xr:uid="{F377828B-C45D-4535-A6D1-59F36F208489}"/>
    <cellStyle name="Normal 9 4 2 3 5 3" xfId="43520" xr:uid="{DFB052CF-DBE1-4293-B62B-73EF1208A737}"/>
    <cellStyle name="Normal 9 4 2 3 6" xfId="18381" xr:uid="{13CB936A-B4CF-4E4C-B6E7-ADEA85210157}"/>
    <cellStyle name="Normal 9 4 2 3 7" xfId="35140" xr:uid="{F93F0946-A28A-4C37-AFA7-EA1ED84323AF}"/>
    <cellStyle name="Normal 9 4 2 4" xfId="1891" xr:uid="{68949E8D-8F67-48E7-AB7B-7AC87CB2FC65}"/>
    <cellStyle name="Normal 9 4 2 4 2" xfId="5280" xr:uid="{29B264B6-9EAC-460A-BD68-D2911689EE74}"/>
    <cellStyle name="Normal 9 4 2 4 2 2" xfId="13660" xr:uid="{20467CB1-B57A-4AA9-B972-786063FAC461}"/>
    <cellStyle name="Normal 9 4 2 4 2 2 2" xfId="30420" xr:uid="{3D4E3929-7590-42E7-84E3-361C1B0C1206}"/>
    <cellStyle name="Normal 9 4 2 4 2 2 3" xfId="47179" xr:uid="{E5D62AD1-B87E-47BF-8E58-06C6700BFC0B}"/>
    <cellStyle name="Normal 9 4 2 4 2 3" xfId="22040" xr:uid="{89D19004-5D52-45AB-9375-6211359EB446}"/>
    <cellStyle name="Normal 9 4 2 4 2 4" xfId="38799" xr:uid="{C80974EC-B0C8-483E-AB4C-D8C9FC7CC62A}"/>
    <cellStyle name="Normal 9 4 2 4 3" xfId="6967" xr:uid="{47DD2FD9-C090-46F0-A5FA-9FF02F79B6E8}"/>
    <cellStyle name="Normal 9 4 2 4 3 2" xfId="15347" xr:uid="{76096714-2673-4676-B448-79D0D6F5452C}"/>
    <cellStyle name="Normal 9 4 2 4 3 2 2" xfId="32107" xr:uid="{F686467B-8062-4709-A526-AA759BB3B7E0}"/>
    <cellStyle name="Normal 9 4 2 4 3 2 3" xfId="48866" xr:uid="{D030B347-6386-4BD2-9EAE-15B048AB164D}"/>
    <cellStyle name="Normal 9 4 2 4 3 3" xfId="23727" xr:uid="{F250F8FC-45BE-422C-B6F4-71EA1D1F79B1}"/>
    <cellStyle name="Normal 9 4 2 4 3 4" xfId="40486" xr:uid="{8F1D578C-B55C-483A-9DCC-37F10823A415}"/>
    <cellStyle name="Normal 9 4 2 4 4" xfId="3590" xr:uid="{BF4C8F93-420E-41E3-9DE6-AFE7D5EEBC89}"/>
    <cellStyle name="Normal 9 4 2 4 4 2" xfId="11970" xr:uid="{932ABA11-D984-46E3-95B6-06AE180379AD}"/>
    <cellStyle name="Normal 9 4 2 4 4 2 2" xfId="28730" xr:uid="{895661D5-18D3-44D2-815C-9AAD8C914E48}"/>
    <cellStyle name="Normal 9 4 2 4 4 2 3" xfId="45489" xr:uid="{82791183-148B-40C3-885F-510C685E70F0}"/>
    <cellStyle name="Normal 9 4 2 4 4 3" xfId="20350" xr:uid="{FB0C9DB3-D13A-4043-95AE-AD3B1A8A0757}"/>
    <cellStyle name="Normal 9 4 2 4 4 4" xfId="37109" xr:uid="{1DA0EDB7-237C-4FEC-8757-CFC2793B35DD}"/>
    <cellStyle name="Normal 9 4 2 4 5" xfId="10280" xr:uid="{70E5C812-F73E-48A3-8F7C-58E010E32E38}"/>
    <cellStyle name="Normal 9 4 2 4 5 2" xfId="27040" xr:uid="{EC348C8E-F0F6-4285-B095-C8CFF409B5BB}"/>
    <cellStyle name="Normal 9 4 2 4 5 3" xfId="43799" xr:uid="{ECE08195-8FF4-425E-9C79-93795D47B25C}"/>
    <cellStyle name="Normal 9 4 2 4 6" xfId="18660" xr:uid="{088801A4-E112-4695-B089-CD7D3562EE96}"/>
    <cellStyle name="Normal 9 4 2 4 7" xfId="35419" xr:uid="{F03304FA-13FA-414E-8DEF-3EB047162C79}"/>
    <cellStyle name="Normal 9 4 2 5" xfId="4010" xr:uid="{FDCC7BE3-F4B2-4DFF-897A-86A96DD1D8AF}"/>
    <cellStyle name="Normal 9 4 2 5 2" xfId="12390" xr:uid="{C7BF6DB6-C95C-4AF5-AEB5-AEF043C746BD}"/>
    <cellStyle name="Normal 9 4 2 5 2 2" xfId="29150" xr:uid="{9458B395-89DE-4D62-A345-E94F963241D4}"/>
    <cellStyle name="Normal 9 4 2 5 2 3" xfId="45909" xr:uid="{46EEE91E-EC22-4813-8D28-9F72F603D891}"/>
    <cellStyle name="Normal 9 4 2 5 3" xfId="20770" xr:uid="{831E425B-3EFC-4A78-B7A0-D7ACFEF1F734}"/>
    <cellStyle name="Normal 9 4 2 5 4" xfId="37529" xr:uid="{64F1AB95-7C57-4B6A-9EAF-3CAF212384F2}"/>
    <cellStyle name="Normal 9 4 2 6" xfId="5834" xr:uid="{5E05B0C5-B506-42C3-9181-F517E57380C0}"/>
    <cellStyle name="Normal 9 4 2 6 2" xfId="14214" xr:uid="{C82AE228-A085-43D8-9ABF-24AA3D12F0A3}"/>
    <cellStyle name="Normal 9 4 2 6 2 2" xfId="30974" xr:uid="{FB5801A7-639E-41CC-B2F8-D222E84A2CFA}"/>
    <cellStyle name="Normal 9 4 2 6 2 3" xfId="47733" xr:uid="{C21094E5-8542-4AC4-81CD-EEE38722997A}"/>
    <cellStyle name="Normal 9 4 2 6 3" xfId="22594" xr:uid="{5FE2A7F8-5179-441E-BEDB-DD43D51A9D0E}"/>
    <cellStyle name="Normal 9 4 2 6 4" xfId="39353" xr:uid="{19F2545F-13B4-4962-93F4-228A491D612C}"/>
    <cellStyle name="Normal 9 4 2 7" xfId="7373" xr:uid="{EAE60596-1CE1-40A7-9B8D-A32EE5B01706}"/>
    <cellStyle name="Normal 9 4 2 7 2" xfId="15753" xr:uid="{229E3F70-2955-4082-A9C3-6D0312B21463}"/>
    <cellStyle name="Normal 9 4 2 7 2 2" xfId="32513" xr:uid="{E4F51363-EC53-42B3-9D5B-A40608DC9404}"/>
    <cellStyle name="Normal 9 4 2 7 2 3" xfId="49272" xr:uid="{C5666986-0255-494C-84DD-BBEDEDD8D518}"/>
    <cellStyle name="Normal 9 4 2 7 3" xfId="24133" xr:uid="{53912C35-BBCB-4CBB-A796-007AA27916C3}"/>
    <cellStyle name="Normal 9 4 2 7 4" xfId="40892" xr:uid="{73839E11-6F81-49F2-805C-4BA4C69AC8F0}"/>
    <cellStyle name="Normal 9 4 2 8" xfId="7779" xr:uid="{E1C3D1DB-E437-4FCC-BE7F-4C069F47D1C8}"/>
    <cellStyle name="Normal 9 4 2 8 2" xfId="16159" xr:uid="{C565F1AA-B4A3-4F6B-A016-6A5EB2909CA6}"/>
    <cellStyle name="Normal 9 4 2 8 2 2" xfId="32919" xr:uid="{DF7A765C-9AFE-4EBC-BAEE-FFE13625EBBB}"/>
    <cellStyle name="Normal 9 4 2 8 2 3" xfId="49678" xr:uid="{C24B6F7C-1488-4E09-99E3-F67FE5957460}"/>
    <cellStyle name="Normal 9 4 2 8 3" xfId="24539" xr:uid="{B5D18A2B-E913-4287-9775-FB8C155AA421}"/>
    <cellStyle name="Normal 9 4 2 8 4" xfId="41298" xr:uid="{17E01A58-950C-448D-809C-4E471EF17D4D}"/>
    <cellStyle name="Normal 9 4 2 9" xfId="8185" xr:uid="{8D08BCAD-71A4-46C1-B762-8EBE80605EF3}"/>
    <cellStyle name="Normal 9 4 2 9 2" xfId="16565" xr:uid="{DEABF1B9-6738-41C7-A047-7F87E63D75FB}"/>
    <cellStyle name="Normal 9 4 2 9 2 2" xfId="33325" xr:uid="{E9B1DEF8-5199-4939-8EB9-7AA55BD26E3A}"/>
    <cellStyle name="Normal 9 4 2 9 2 3" xfId="50084" xr:uid="{4CB01351-F2A7-4248-9704-24A9E95A47E2}"/>
    <cellStyle name="Normal 9 4 2 9 3" xfId="24945" xr:uid="{9390CEA7-9B2E-4ED7-8C77-4E7DE144DB60}"/>
    <cellStyle name="Normal 9 4 2 9 4" xfId="41704" xr:uid="{55C383DC-C163-4CFB-8775-A4D1ACF5501E}"/>
    <cellStyle name="Normal 9 4 3" xfId="740" xr:uid="{A57563C7-FE31-453B-A751-7C7C2EB72030}"/>
    <cellStyle name="Normal 9 4 3 10" xfId="8684" xr:uid="{54F85EAF-08EE-45C1-9BE0-8847D4F28B4D}"/>
    <cellStyle name="Normal 9 4 3 10 2" xfId="17064" xr:uid="{E77F7800-CA9C-4938-8925-39E82F555BE7}"/>
    <cellStyle name="Normal 9 4 3 10 2 2" xfId="33824" xr:uid="{6D6D4C48-9320-4936-97B0-29442D2C1998}"/>
    <cellStyle name="Normal 9 4 3 10 2 3" xfId="50583" xr:uid="{7F4F4D76-8BC3-458A-8762-CC5B1A3F7BEF}"/>
    <cellStyle name="Normal 9 4 3 10 3" xfId="25444" xr:uid="{783D07D0-1405-4648-84B6-3FF5A0657034}"/>
    <cellStyle name="Normal 9 4 3 10 4" xfId="42203" xr:uid="{E5DF86B6-08F6-44A9-8FA0-795109365845}"/>
    <cellStyle name="Normal 9 4 3 11" xfId="2569" xr:uid="{AD55D319-46E9-4678-8788-DECC12559C8F}"/>
    <cellStyle name="Normal 9 4 3 11 2" xfId="10951" xr:uid="{E63CF90B-3A5D-47B6-AECB-B2AECD3E85EE}"/>
    <cellStyle name="Normal 9 4 3 11 2 2" xfId="27711" xr:uid="{D46A3B59-C9D0-4295-8B15-57B3BC8EBAAC}"/>
    <cellStyle name="Normal 9 4 3 11 2 3" xfId="44470" xr:uid="{F8B470D8-7C31-435B-86B3-E43D0BBC5861}"/>
    <cellStyle name="Normal 9 4 3 11 3" xfId="19331" xr:uid="{96FB1C1C-21B5-4337-8463-A527C597594B}"/>
    <cellStyle name="Normal 9 4 3 11 4" xfId="36090" xr:uid="{F0E54DF4-902E-4074-A82F-2308CB8ED012}"/>
    <cellStyle name="Normal 9 4 3 12" xfId="9148" xr:uid="{B8188311-DBAC-44D6-A327-B6E2E7B9CDA7}"/>
    <cellStyle name="Normal 9 4 3 12 2" xfId="25908" xr:uid="{D0947643-6FC9-4ED0-93FE-7D1B6A953BFA}"/>
    <cellStyle name="Normal 9 4 3 12 3" xfId="42667" xr:uid="{9D61FEF3-BE7C-4E38-8006-68C96A603632}"/>
    <cellStyle name="Normal 9 4 3 13" xfId="17528" xr:uid="{4FB77084-375C-41CE-9E2C-CA92385B8E70}"/>
    <cellStyle name="Normal 9 4 3 14" xfId="34287" xr:uid="{71A2EFF4-E1DB-4529-8B49-8831BA67F873}"/>
    <cellStyle name="Normal 9 4 3 2" xfId="1179" xr:uid="{7169B796-F8EF-43A9-8673-4C5C9DC53F4F}"/>
    <cellStyle name="Normal 9 4 3 2 2" xfId="4574" xr:uid="{64532BE4-D3FD-4717-BC88-1FEC28840D3F}"/>
    <cellStyle name="Normal 9 4 3 2 2 2" xfId="12954" xr:uid="{12F9A41E-90D2-4B48-9FCC-2F29D767708C}"/>
    <cellStyle name="Normal 9 4 3 2 2 2 2" xfId="29714" xr:uid="{0E2CC498-E2AE-4E6D-A694-E811B2FF619A}"/>
    <cellStyle name="Normal 9 4 3 2 2 2 3" xfId="46473" xr:uid="{D7BCAF73-7189-4286-9D65-81959B0EBB49}"/>
    <cellStyle name="Normal 9 4 3 2 2 3" xfId="21334" xr:uid="{E619B922-63AC-4CF5-BF5A-ABACECE73A16}"/>
    <cellStyle name="Normal 9 4 3 2 2 4" xfId="38093" xr:uid="{AF86AAEC-8377-4AC5-9D9C-8A11CF8B57C9}"/>
    <cellStyle name="Normal 9 4 3 2 3" xfId="6261" xr:uid="{B3687B31-02AA-4DA3-B1BE-5FDA494E1C47}"/>
    <cellStyle name="Normal 9 4 3 2 3 2" xfId="14641" xr:uid="{811B2F6D-FFDC-4F22-9335-DE9EB4854184}"/>
    <cellStyle name="Normal 9 4 3 2 3 2 2" xfId="31401" xr:uid="{40214B6A-A792-4EC4-9C0F-BC6F85439E4C}"/>
    <cellStyle name="Normal 9 4 3 2 3 2 3" xfId="48160" xr:uid="{A6B0D60B-734F-40E3-A906-E52E5DFA9D3C}"/>
    <cellStyle name="Normal 9 4 3 2 3 3" xfId="23021" xr:uid="{84789D9C-26BB-46A1-85B2-5C0DBC42194C}"/>
    <cellStyle name="Normal 9 4 3 2 3 4" xfId="39780" xr:uid="{AAF3AF5A-780E-4385-BDCB-A2AC59BB6074}"/>
    <cellStyle name="Normal 9 4 3 2 4" xfId="2997" xr:uid="{D2AD9B74-7211-447B-BF6F-8551C26CB0C3}"/>
    <cellStyle name="Normal 9 4 3 2 4 2" xfId="11377" xr:uid="{4AE5FA9F-4171-4762-A20B-5B1584941464}"/>
    <cellStyle name="Normal 9 4 3 2 4 2 2" xfId="28137" xr:uid="{315F5C85-311B-4D46-B3FA-ACE3EA8263EA}"/>
    <cellStyle name="Normal 9 4 3 2 4 2 3" xfId="44896" xr:uid="{15C31D1D-1CEA-4025-9293-E21A67814F4A}"/>
    <cellStyle name="Normal 9 4 3 2 4 3" xfId="19757" xr:uid="{53E0901E-3E2F-40B6-BFBE-746D240CA667}"/>
    <cellStyle name="Normal 9 4 3 2 4 4" xfId="36516" xr:uid="{A09E9AB3-1C08-4D3F-8556-9F8E8FE08820}"/>
    <cellStyle name="Normal 9 4 3 2 5" xfId="9574" xr:uid="{930124EB-7033-4B7F-B1A9-9795FC45A958}"/>
    <cellStyle name="Normal 9 4 3 2 5 2" xfId="26334" xr:uid="{40EA41CF-4F48-4615-802F-07BB634AB63D}"/>
    <cellStyle name="Normal 9 4 3 2 5 3" xfId="43093" xr:uid="{6FCC2E5A-DC3D-4059-8141-00EFEA6AA965}"/>
    <cellStyle name="Normal 9 4 3 2 6" xfId="17954" xr:uid="{12844B29-2E0B-4FFF-B580-028F2D2B3A6F}"/>
    <cellStyle name="Normal 9 4 3 2 7" xfId="34713" xr:uid="{BE6389B2-47FB-4208-AA5A-9DA3EE779F99}"/>
    <cellStyle name="Normal 9 4 3 3" xfId="1613" xr:uid="{0AF311B9-72C2-4393-8EAB-D0421E1CB8D9}"/>
    <cellStyle name="Normal 9 4 3 3 2" xfId="5002" xr:uid="{BA0B35D9-ADEC-4835-AE02-7E9835170961}"/>
    <cellStyle name="Normal 9 4 3 3 2 2" xfId="13382" xr:uid="{2EC9E83E-AB01-49FA-96B0-BD3DEF810955}"/>
    <cellStyle name="Normal 9 4 3 3 2 2 2" xfId="30142" xr:uid="{611C6AEC-85D2-4AB5-A8FC-DDAF0CDA7B62}"/>
    <cellStyle name="Normal 9 4 3 3 2 2 3" xfId="46901" xr:uid="{20B676A8-9A44-4B32-94EE-4404B585EBA0}"/>
    <cellStyle name="Normal 9 4 3 3 2 3" xfId="21762" xr:uid="{5ADBBE8F-34C6-4EAA-B0B8-64C1B8E46747}"/>
    <cellStyle name="Normal 9 4 3 3 2 4" xfId="38521" xr:uid="{E9A0C2D6-4B08-4BB1-9FC1-8A2B45667DFB}"/>
    <cellStyle name="Normal 9 4 3 3 3" xfId="6689" xr:uid="{6BC65D69-8BA2-4492-946B-7F542509F6B1}"/>
    <cellStyle name="Normal 9 4 3 3 3 2" xfId="15069" xr:uid="{24CE78C3-A2E8-41EF-AAC7-84FA68545AE8}"/>
    <cellStyle name="Normal 9 4 3 3 3 2 2" xfId="31829" xr:uid="{97268099-9F1E-499A-A7C7-2F81C1AFE519}"/>
    <cellStyle name="Normal 9 4 3 3 3 2 3" xfId="48588" xr:uid="{EB916671-E4B2-4471-95B8-01867C9D1E5C}"/>
    <cellStyle name="Normal 9 4 3 3 3 3" xfId="23449" xr:uid="{CD99DC58-65F8-49C1-9F51-46E9C81CFA14}"/>
    <cellStyle name="Normal 9 4 3 3 3 4" xfId="40208" xr:uid="{F4DE3C7D-EA22-4CC2-B219-867C3B648FDC}"/>
    <cellStyle name="Normal 9 4 3 3 4" xfId="3425" xr:uid="{4EC50C66-A913-425D-8850-DFFB9E521903}"/>
    <cellStyle name="Normal 9 4 3 3 4 2" xfId="11805" xr:uid="{993298F1-D862-41ED-AA45-8488B9771B32}"/>
    <cellStyle name="Normal 9 4 3 3 4 2 2" xfId="28565" xr:uid="{C9CB26C0-5A8B-431B-A5D7-6B0852CA06BA}"/>
    <cellStyle name="Normal 9 4 3 3 4 2 3" xfId="45324" xr:uid="{2C059906-721F-4C57-8038-318904B61341}"/>
    <cellStyle name="Normal 9 4 3 3 4 3" xfId="20185" xr:uid="{2482297C-DF75-466B-AF2E-AFBA3CC47D08}"/>
    <cellStyle name="Normal 9 4 3 3 4 4" xfId="36944" xr:uid="{20759077-6C98-4B6E-AF25-15EDBC2B09F3}"/>
    <cellStyle name="Normal 9 4 3 3 5" xfId="10002" xr:uid="{777F6BA1-8D0E-437A-B889-059F3D19A584}"/>
    <cellStyle name="Normal 9 4 3 3 5 2" xfId="26762" xr:uid="{0A886746-22EA-49E5-A09F-69AF3D9227B5}"/>
    <cellStyle name="Normal 9 4 3 3 5 3" xfId="43521" xr:uid="{731A143F-DB58-498E-9868-8EEBC948A1C5}"/>
    <cellStyle name="Normal 9 4 3 3 6" xfId="18382" xr:uid="{6DC7AAFF-0A55-4399-9398-4AFB8C60C239}"/>
    <cellStyle name="Normal 9 4 3 3 7" xfId="35141" xr:uid="{D30E0CBB-3EFE-489C-B12B-10136204FB56}"/>
    <cellStyle name="Normal 9 4 3 4" xfId="1984" xr:uid="{4B430AE4-77FE-4D6E-9E49-9314AC8F362B}"/>
    <cellStyle name="Normal 9 4 3 4 2" xfId="5373" xr:uid="{0ECEE9D9-193A-4400-904D-5ACA1D15D536}"/>
    <cellStyle name="Normal 9 4 3 4 2 2" xfId="13753" xr:uid="{95437F1D-D440-4245-A86F-C361ECB60899}"/>
    <cellStyle name="Normal 9 4 3 4 2 2 2" xfId="30513" xr:uid="{BADA8953-A21C-4364-8B96-F8DF2D02AA8E}"/>
    <cellStyle name="Normal 9 4 3 4 2 2 3" xfId="47272" xr:uid="{DC22CB18-4858-4D04-A640-1D4CBE8D4F16}"/>
    <cellStyle name="Normal 9 4 3 4 2 3" xfId="22133" xr:uid="{3737098F-E540-492A-8387-D7337045EFE7}"/>
    <cellStyle name="Normal 9 4 3 4 2 4" xfId="38892" xr:uid="{02E43732-4435-40A1-8AF3-63A08C5E22FF}"/>
    <cellStyle name="Normal 9 4 3 4 3" xfId="7060" xr:uid="{D128F624-F367-4BC8-B780-627A70FFDF78}"/>
    <cellStyle name="Normal 9 4 3 4 3 2" xfId="15440" xr:uid="{37A12BC9-623A-418C-BA4D-6DBDF5F1034C}"/>
    <cellStyle name="Normal 9 4 3 4 3 2 2" xfId="32200" xr:uid="{5F795D2C-E524-4587-AA15-5B6F56834D30}"/>
    <cellStyle name="Normal 9 4 3 4 3 2 3" xfId="48959" xr:uid="{6BF8688D-E885-4825-BAB7-E228C7DCDD6C}"/>
    <cellStyle name="Normal 9 4 3 4 3 3" xfId="23820" xr:uid="{6AFF2686-7DF5-4423-9DB8-E0F39DF21724}"/>
    <cellStyle name="Normal 9 4 3 4 3 4" xfId="40579" xr:uid="{4AD84564-2F04-47DE-B9BD-062F642F4A4E}"/>
    <cellStyle name="Normal 9 4 3 4 4" xfId="3683" xr:uid="{FB2681A7-EBB5-4AFD-9DDF-BFD2B7FD63B8}"/>
    <cellStyle name="Normal 9 4 3 4 4 2" xfId="12063" xr:uid="{BFBF3096-A97E-49F3-8D89-9E6D905835DB}"/>
    <cellStyle name="Normal 9 4 3 4 4 2 2" xfId="28823" xr:uid="{502B1229-C938-497F-B129-8045930315A7}"/>
    <cellStyle name="Normal 9 4 3 4 4 2 3" xfId="45582" xr:uid="{03CB85B3-D853-410E-968B-DC004B0F6719}"/>
    <cellStyle name="Normal 9 4 3 4 4 3" xfId="20443" xr:uid="{00EF54C5-63BB-4C46-9A48-2E8D5DB8A2A2}"/>
    <cellStyle name="Normal 9 4 3 4 4 4" xfId="37202" xr:uid="{BBDC2A4E-6C40-487A-A2E7-367E773460E2}"/>
    <cellStyle name="Normal 9 4 3 4 5" xfId="10373" xr:uid="{9C43EADF-24CD-453F-8912-E894F1320EDF}"/>
    <cellStyle name="Normal 9 4 3 4 5 2" xfId="27133" xr:uid="{EC532C25-6630-416D-AF31-250874947196}"/>
    <cellStyle name="Normal 9 4 3 4 5 3" xfId="43892" xr:uid="{F0246FD4-8280-48A4-8422-87556C6A160A}"/>
    <cellStyle name="Normal 9 4 3 4 6" xfId="18753" xr:uid="{6275E05E-B65B-4FBC-868F-68F0480FAD14}"/>
    <cellStyle name="Normal 9 4 3 4 7" xfId="35512" xr:uid="{FBE7B97B-3B70-4B23-923A-27EAB4C49B98}"/>
    <cellStyle name="Normal 9 4 3 5" xfId="4103" xr:uid="{FC79B4C0-D6D9-408B-8572-3E408FC5EBB8}"/>
    <cellStyle name="Normal 9 4 3 5 2" xfId="12483" xr:uid="{6829087C-F3B5-429B-9E0F-1BA04F1F3455}"/>
    <cellStyle name="Normal 9 4 3 5 2 2" xfId="29243" xr:uid="{DEB0E35B-F7E0-421A-9649-E9909E2BB2CD}"/>
    <cellStyle name="Normal 9 4 3 5 2 3" xfId="46002" xr:uid="{7C58CD09-5605-488E-BE3D-AAFF35AA2D0B}"/>
    <cellStyle name="Normal 9 4 3 5 3" xfId="20863" xr:uid="{A0F4CDB8-70D7-49A9-8055-74C7414B8EA8}"/>
    <cellStyle name="Normal 9 4 3 5 4" xfId="37622" xr:uid="{AB98F0E8-1B84-4E7B-BD99-45B8948DE554}"/>
    <cellStyle name="Normal 9 4 3 6" xfId="5835" xr:uid="{D35C33F6-673A-4C70-81EE-524D31CC49F0}"/>
    <cellStyle name="Normal 9 4 3 6 2" xfId="14215" xr:uid="{92617054-6B76-41F5-9713-3ACEBDFEAE94}"/>
    <cellStyle name="Normal 9 4 3 6 2 2" xfId="30975" xr:uid="{E70B75E1-D465-4BE8-B505-31654830E411}"/>
    <cellStyle name="Normal 9 4 3 6 2 3" xfId="47734" xr:uid="{CEF96E94-2FC4-45A9-8966-ABC7D0F01B42}"/>
    <cellStyle name="Normal 9 4 3 6 3" xfId="22595" xr:uid="{F8C57C55-A6E5-48A9-B1E1-3BE4165D5F9D}"/>
    <cellStyle name="Normal 9 4 3 6 4" xfId="39354" xr:uid="{54646812-1B42-449F-A373-EEDE4AAA5B3C}"/>
    <cellStyle name="Normal 9 4 3 7" xfId="7466" xr:uid="{77254F23-3F3E-410E-B12C-623569823436}"/>
    <cellStyle name="Normal 9 4 3 7 2" xfId="15846" xr:uid="{8A91FC75-4B1A-4C45-B4AD-1838C57BD195}"/>
    <cellStyle name="Normal 9 4 3 7 2 2" xfId="32606" xr:uid="{FD669268-5D67-41A2-B4E9-45FD0A460B17}"/>
    <cellStyle name="Normal 9 4 3 7 2 3" xfId="49365" xr:uid="{E26FACED-637F-4B14-AC26-BC4F43828C76}"/>
    <cellStyle name="Normal 9 4 3 7 3" xfId="24226" xr:uid="{B6942DAE-79C8-4336-9CF9-00A32E72277F}"/>
    <cellStyle name="Normal 9 4 3 7 4" xfId="40985" xr:uid="{2C519935-DBF1-46EA-A559-5A71DB91FF69}"/>
    <cellStyle name="Normal 9 4 3 8" xfId="7872" xr:uid="{88A281F9-3376-4C93-B9E3-648DD6F000F4}"/>
    <cellStyle name="Normal 9 4 3 8 2" xfId="16252" xr:uid="{A2E97D09-3F95-420C-8847-4EEEAEA15E2B}"/>
    <cellStyle name="Normal 9 4 3 8 2 2" xfId="33012" xr:uid="{6C4AFE6C-50CA-499E-A272-50942501FF9B}"/>
    <cellStyle name="Normal 9 4 3 8 2 3" xfId="49771" xr:uid="{53959A59-CCD9-4EAA-9D8C-C890D9C95EC0}"/>
    <cellStyle name="Normal 9 4 3 8 3" xfId="24632" xr:uid="{C55D2645-702E-405C-BFB9-280555D15C73}"/>
    <cellStyle name="Normal 9 4 3 8 4" xfId="41391" xr:uid="{2FDB418F-A930-4823-94CD-42F7BCB0CD3E}"/>
    <cellStyle name="Normal 9 4 3 9" xfId="8278" xr:uid="{5E1679F1-71D2-4261-80FE-313F5D0D4DCE}"/>
    <cellStyle name="Normal 9 4 3 9 2" xfId="16658" xr:uid="{74A0475B-8488-48F7-9D16-857858276BF5}"/>
    <cellStyle name="Normal 9 4 3 9 2 2" xfId="33418" xr:uid="{CC79A881-DA59-4C7F-B0C6-28F66437F3EE}"/>
    <cellStyle name="Normal 9 4 3 9 2 3" xfId="50177" xr:uid="{7007ED31-7EA6-404B-89A9-B6D7637648B7}"/>
    <cellStyle name="Normal 9 4 3 9 3" xfId="25038" xr:uid="{592AEE47-F4CA-400F-B93F-578862B7C56D}"/>
    <cellStyle name="Normal 9 4 3 9 4" xfId="41797" xr:uid="{5CA5260A-4095-4441-952A-D56B139BF970}"/>
    <cellStyle name="Normal 9 4 4" xfId="843" xr:uid="{2256DC34-4FF7-49A2-83B1-B3281E26CF82}"/>
    <cellStyle name="Normal 9 4 4 2" xfId="4238" xr:uid="{C9923CCD-1944-42A7-B15F-FE7E014834D3}"/>
    <cellStyle name="Normal 9 4 4 2 2" xfId="12618" xr:uid="{0F6FFCA9-5A55-427A-89E5-5DA0AA93C2BD}"/>
    <cellStyle name="Normal 9 4 4 2 2 2" xfId="29378" xr:uid="{0670B16E-2003-4F63-8807-55FF87F42CC6}"/>
    <cellStyle name="Normal 9 4 4 2 2 3" xfId="46137" xr:uid="{93135A92-E579-4156-957A-05D5B3D8FC55}"/>
    <cellStyle name="Normal 9 4 4 2 3" xfId="20998" xr:uid="{7475F582-D678-4C8C-B371-09AC81690507}"/>
    <cellStyle name="Normal 9 4 4 2 4" xfId="37757" xr:uid="{BEDD8539-959D-4F6E-A0E5-C49559F84E43}"/>
    <cellStyle name="Normal 9 4 4 3" xfId="5925" xr:uid="{63AC68E9-C027-4758-A9B1-179159472C50}"/>
    <cellStyle name="Normal 9 4 4 3 2" xfId="14305" xr:uid="{82522879-7FF8-4C1D-9989-3E115D4248BA}"/>
    <cellStyle name="Normal 9 4 4 3 2 2" xfId="31065" xr:uid="{67BD1C15-CFBF-4586-92CB-A28D02B4F9D4}"/>
    <cellStyle name="Normal 9 4 4 3 2 3" xfId="47824" xr:uid="{CCEC4EF4-99FE-4E57-A725-A1EF4BBC01A2}"/>
    <cellStyle name="Normal 9 4 4 3 3" xfId="22685" xr:uid="{2E506CF6-6B78-43D2-8384-13F37394AB93}"/>
    <cellStyle name="Normal 9 4 4 3 4" xfId="39444" xr:uid="{B4CCE2C6-EEDC-416D-848B-E164701D7DDF}"/>
    <cellStyle name="Normal 9 4 4 4" xfId="2661" xr:uid="{2CC0CDC8-B299-4CD8-BB8B-366B0CC12C11}"/>
    <cellStyle name="Normal 9 4 4 4 2" xfId="11041" xr:uid="{9CE68F52-9562-42F4-AF42-6E96ABAA4242}"/>
    <cellStyle name="Normal 9 4 4 4 2 2" xfId="27801" xr:uid="{52CDDA0E-38BA-47DE-9B06-FB8FD235A8B4}"/>
    <cellStyle name="Normal 9 4 4 4 2 3" xfId="44560" xr:uid="{9853E1C5-046D-46F7-B5D4-F5B2B713F4BE}"/>
    <cellStyle name="Normal 9 4 4 4 3" xfId="19421" xr:uid="{6147E449-59CD-44C5-B321-32980A337769}"/>
    <cellStyle name="Normal 9 4 4 4 4" xfId="36180" xr:uid="{B37D9FE4-3EE0-46CD-8CC3-B27083E1C0A3}"/>
    <cellStyle name="Normal 9 4 4 5" xfId="9238" xr:uid="{EA1A4B70-4322-47F1-8CB8-731D4A731332}"/>
    <cellStyle name="Normal 9 4 4 5 2" xfId="25998" xr:uid="{DB60E9EA-EA61-47F0-B161-331D6532890D}"/>
    <cellStyle name="Normal 9 4 4 5 3" xfId="42757" xr:uid="{C8F2C2E0-7ED4-4C77-9E14-7AFB5CA870D3}"/>
    <cellStyle name="Normal 9 4 4 6" xfId="17618" xr:uid="{1343982D-C45F-49F1-BD33-DF477CD03C01}"/>
    <cellStyle name="Normal 9 4 4 7" xfId="34377" xr:uid="{135C9671-0913-466F-BF68-63294B14AF04}"/>
    <cellStyle name="Normal 9 4 5" xfId="1277" xr:uid="{28A25CA3-91FE-4F01-95DF-FD54548435F0}"/>
    <cellStyle name="Normal 9 4 5 2" xfId="4666" xr:uid="{FA3EA7AD-B3C6-45AB-8062-EFA445910245}"/>
    <cellStyle name="Normal 9 4 5 2 2" xfId="13046" xr:uid="{DFDBF1EB-A8E1-45AC-B2C7-7A9D0E72C306}"/>
    <cellStyle name="Normal 9 4 5 2 2 2" xfId="29806" xr:uid="{80820E2C-E1C8-42CE-8023-E90AA0548EF4}"/>
    <cellStyle name="Normal 9 4 5 2 2 3" xfId="46565" xr:uid="{AEDA5CC6-953D-429D-8342-BAF27BD42039}"/>
    <cellStyle name="Normal 9 4 5 2 3" xfId="21426" xr:uid="{11A793BF-B1C3-4A6D-AAAB-2109641FCD64}"/>
    <cellStyle name="Normal 9 4 5 2 4" xfId="38185" xr:uid="{CB2BF1A2-5390-4382-B38E-66DD1AA60330}"/>
    <cellStyle name="Normal 9 4 5 3" xfId="6353" xr:uid="{91E177F5-0EC6-4C73-98DD-5DEF927FECEC}"/>
    <cellStyle name="Normal 9 4 5 3 2" xfId="14733" xr:uid="{4F9EBFCB-0505-4BCB-ADCB-FA8B9B806331}"/>
    <cellStyle name="Normal 9 4 5 3 2 2" xfId="31493" xr:uid="{20B37D5B-1930-41A7-A548-6E99ACBF44DD}"/>
    <cellStyle name="Normal 9 4 5 3 2 3" xfId="48252" xr:uid="{60CE25B7-46D1-4854-881F-BB31361E32A2}"/>
    <cellStyle name="Normal 9 4 5 3 3" xfId="23113" xr:uid="{F903AD96-3D51-4A2B-B5C0-592683A0A6F1}"/>
    <cellStyle name="Normal 9 4 5 3 4" xfId="39872" xr:uid="{8B6BFBF9-BEA9-45E6-9F4F-C9F9A5F87BD0}"/>
    <cellStyle name="Normal 9 4 5 4" xfId="3089" xr:uid="{E6034636-969E-4427-8929-B725E85700A8}"/>
    <cellStyle name="Normal 9 4 5 4 2" xfId="11469" xr:uid="{46A639BA-625E-4EB3-8DFA-AC96F3201618}"/>
    <cellStyle name="Normal 9 4 5 4 2 2" xfId="28229" xr:uid="{7BC29025-349E-440B-A8EF-292CD27AF446}"/>
    <cellStyle name="Normal 9 4 5 4 2 3" xfId="44988" xr:uid="{912575F4-A245-48D1-A8BF-21E42E1E37B3}"/>
    <cellStyle name="Normal 9 4 5 4 3" xfId="19849" xr:uid="{F591422C-C3F5-4C7F-81CC-963CB3FDAF2F}"/>
    <cellStyle name="Normal 9 4 5 4 4" xfId="36608" xr:uid="{D1609B2E-15B0-4A18-84B0-A59CA4C4A46A}"/>
    <cellStyle name="Normal 9 4 5 5" xfId="9666" xr:uid="{716205D8-3DC8-40DD-A0D0-D5376AE5E2B5}"/>
    <cellStyle name="Normal 9 4 5 5 2" xfId="26426" xr:uid="{E3643481-0678-4CA6-909E-0F8FCAF081CD}"/>
    <cellStyle name="Normal 9 4 5 5 3" xfId="43185" xr:uid="{CB24DB47-EE9E-40B4-8507-5DAA1DED1648}"/>
    <cellStyle name="Normal 9 4 5 6" xfId="18046" xr:uid="{5A124B34-F31B-464B-899D-CD5247A27794}"/>
    <cellStyle name="Normal 9 4 5 7" xfId="34805" xr:uid="{3075FDEC-235F-410B-A1F0-E65C89F453E8}"/>
    <cellStyle name="Normal 9 4 6" xfId="1713" xr:uid="{8737A0C5-9541-4C32-8740-2BEABFAFEB46}"/>
    <cellStyle name="Normal 9 4 6 2" xfId="5102" xr:uid="{CB742F90-8D46-487F-8D6D-21E92673BE96}"/>
    <cellStyle name="Normal 9 4 6 2 2" xfId="13482" xr:uid="{0F369C8B-D63E-4AF9-B5B5-E18C1EAE8A80}"/>
    <cellStyle name="Normal 9 4 6 2 2 2" xfId="30242" xr:uid="{54499122-7F7A-4575-845B-829626B8F0A9}"/>
    <cellStyle name="Normal 9 4 6 2 2 3" xfId="47001" xr:uid="{13D2D0C1-34A6-4439-A6B0-CBC55D0F2F01}"/>
    <cellStyle name="Normal 9 4 6 2 3" xfId="21862" xr:uid="{41C4456D-E885-4171-95B4-BB0AC2283FA6}"/>
    <cellStyle name="Normal 9 4 6 2 4" xfId="38621" xr:uid="{C82AB86B-6D85-4DCD-8795-5A8CCBB02913}"/>
    <cellStyle name="Normal 9 4 6 3" xfId="6789" xr:uid="{FBB96D68-C8EA-4519-8301-5C71A9890D69}"/>
    <cellStyle name="Normal 9 4 6 3 2" xfId="15169" xr:uid="{2D25863E-C999-449A-9975-48BEAC2E1EDE}"/>
    <cellStyle name="Normal 9 4 6 3 2 2" xfId="31929" xr:uid="{214E4BDB-641F-4114-BAE2-DBBF73713BEC}"/>
    <cellStyle name="Normal 9 4 6 3 2 3" xfId="48688" xr:uid="{366AEED1-7B35-4D3A-8EEC-AFBA976F7522}"/>
    <cellStyle name="Normal 9 4 6 3 3" xfId="23549" xr:uid="{007A33AC-20FF-4570-A5B1-E0DD0FE5863E}"/>
    <cellStyle name="Normal 9 4 6 3 4" xfId="40308" xr:uid="{DFFD10A5-6E1F-416E-93EC-900A1336B64E}"/>
    <cellStyle name="Normal 9 4 6 4" xfId="2231" xr:uid="{CD6232CF-2276-4AC0-A4A5-257F2F8A6739}"/>
    <cellStyle name="Normal 9 4 6 4 2" xfId="10615" xr:uid="{FC4FD8E7-B958-42E2-83B9-85C957700C0A}"/>
    <cellStyle name="Normal 9 4 6 4 2 2" xfId="27375" xr:uid="{5116308C-0006-4DD4-9AF4-A3EAD168EB52}"/>
    <cellStyle name="Normal 9 4 6 4 2 3" xfId="44134" xr:uid="{509BC9C0-633D-40A2-A1BF-6EA1B3EC9F1A}"/>
    <cellStyle name="Normal 9 4 6 4 3" xfId="18995" xr:uid="{3AE5B543-7404-42AE-9607-F5DC01D64AAF}"/>
    <cellStyle name="Normal 9 4 6 4 4" xfId="35754" xr:uid="{41941215-CFFC-45A0-BB45-2080103DB35A}"/>
    <cellStyle name="Normal 9 4 6 5" xfId="10102" xr:uid="{C4A45B8E-A058-43E4-A337-B7621AE6FC20}"/>
    <cellStyle name="Normal 9 4 6 5 2" xfId="26862" xr:uid="{E0D8F43D-F59C-4B19-889C-7AFA7EF43EE1}"/>
    <cellStyle name="Normal 9 4 6 5 3" xfId="43621" xr:uid="{7D163BA2-3B03-436F-8C9E-3A1CF0A00412}"/>
    <cellStyle name="Normal 9 4 6 6" xfId="18482" xr:uid="{5829E334-5033-4DE1-9509-DF61D2AB7ADE}"/>
    <cellStyle name="Normal 9 4 6 7" xfId="35241" xr:uid="{27D691DA-8E3D-4479-B2E8-213E02E96658}"/>
    <cellStyle name="Normal 9 4 7" xfId="3831" xr:uid="{1E965663-1908-4ACE-9FC2-059A71982331}"/>
    <cellStyle name="Normal 9 4 7 2" xfId="12211" xr:uid="{F324B5A7-6974-4B7D-99D7-6507BF8D084C}"/>
    <cellStyle name="Normal 9 4 7 2 2" xfId="28971" xr:uid="{DF9F9F73-D5D1-4E0D-AF6B-75735810F4D8}"/>
    <cellStyle name="Normal 9 4 7 2 3" xfId="45730" xr:uid="{E020E574-2C03-47F5-A43F-AC679B215A90}"/>
    <cellStyle name="Normal 9 4 7 3" xfId="20591" xr:uid="{1782D5BF-537A-40D3-9B9B-615E553A9B59}"/>
    <cellStyle name="Normal 9 4 7 4" xfId="37350" xr:uid="{66ABAA4B-9A25-4D42-AA46-2D1438A320B5}"/>
    <cellStyle name="Normal 9 4 8" xfId="5499" xr:uid="{AD7C6815-3653-4D63-9786-14D50BA8C0C9}"/>
    <cellStyle name="Normal 9 4 8 2" xfId="13879" xr:uid="{FC0F152A-9346-45F6-88F1-8BE6D13E6033}"/>
    <cellStyle name="Normal 9 4 8 2 2" xfId="30639" xr:uid="{DE05659D-FFAB-406A-9F44-6FF2B65A2331}"/>
    <cellStyle name="Normal 9 4 8 2 3" xfId="47398" xr:uid="{89E4C786-B863-472A-931A-A1359098F3B3}"/>
    <cellStyle name="Normal 9 4 8 3" xfId="22259" xr:uid="{73C227D5-2A8B-4E0E-AFFE-8089D5A71E37}"/>
    <cellStyle name="Normal 9 4 8 4" xfId="39018" xr:uid="{3D47A4D7-73C3-44D9-96C1-E1D8FA327432}"/>
    <cellStyle name="Normal 9 4 9" xfId="7195" xr:uid="{98E30FD0-932C-43E0-B42B-29E9633D0772}"/>
    <cellStyle name="Normal 9 4 9 2" xfId="15575" xr:uid="{795A0A39-1BEC-4E68-873B-1B2C9F1892D7}"/>
    <cellStyle name="Normal 9 4 9 2 2" xfId="32335" xr:uid="{FBB6E4FB-5EAF-45B7-893C-6F5A92739868}"/>
    <cellStyle name="Normal 9 4 9 2 3" xfId="49094" xr:uid="{F4485987-06A4-4349-8048-B979CBAAB3D2}"/>
    <cellStyle name="Normal 9 4 9 3" xfId="23955" xr:uid="{E226D52B-4B6C-4898-9B86-5D4B289AF883}"/>
    <cellStyle name="Normal 9 4 9 4" xfId="40714" xr:uid="{72B6730B-DD99-4935-8CB0-5EE561ACAD1D}"/>
    <cellStyle name="Normal 9 5" xfId="333" xr:uid="{775ABEEB-1FED-4831-8631-94812F9FB9BF}"/>
    <cellStyle name="Normal 9 5 10" xfId="7602" xr:uid="{6105FCF1-CFA6-4B2A-9A89-2A656DF7CFB7}"/>
    <cellStyle name="Normal 9 5 10 2" xfId="15982" xr:uid="{9CA16108-7BFA-41C3-8ED2-D5DBD6649B2F}"/>
    <cellStyle name="Normal 9 5 10 2 2" xfId="32742" xr:uid="{92A82F0E-27FD-4FFC-81C9-711D66B8EAC8}"/>
    <cellStyle name="Normal 9 5 10 2 3" xfId="49501" xr:uid="{4E6395DB-111E-4EFF-A5FD-678C3E4C5581}"/>
    <cellStyle name="Normal 9 5 10 3" xfId="24362" xr:uid="{1362C37F-B4D0-4B11-B158-7B3C04DD0536}"/>
    <cellStyle name="Normal 9 5 10 4" xfId="41121" xr:uid="{A76B8323-DE98-4DCA-9DA2-5EB7B5912D14}"/>
    <cellStyle name="Normal 9 5 11" xfId="8008" xr:uid="{D28B9905-BDB1-4C31-AE81-65C3B6BED4B5}"/>
    <cellStyle name="Normal 9 5 11 2" xfId="16388" xr:uid="{16A104E9-6C4C-462E-8552-C082C430A62D}"/>
    <cellStyle name="Normal 9 5 11 2 2" xfId="33148" xr:uid="{A726CAC9-2A1D-4E0F-949C-62AC8D7A97C3}"/>
    <cellStyle name="Normal 9 5 11 2 3" xfId="49907" xr:uid="{13682FD0-8E2A-46FA-8863-B215967AB253}"/>
    <cellStyle name="Normal 9 5 11 3" xfId="24768" xr:uid="{B39405E9-0E6E-426C-A6C0-7F19CFCE635C}"/>
    <cellStyle name="Normal 9 5 11 4" xfId="41527" xr:uid="{CAA747F2-BE04-4B72-890E-7EB2AC3252B7}"/>
    <cellStyle name="Normal 9 5 12" xfId="8414" xr:uid="{32007441-9F52-424F-8508-E4AE4B13933E}"/>
    <cellStyle name="Normal 9 5 12 2" xfId="16794" xr:uid="{D262927A-F280-471E-8370-E438DBFBC452}"/>
    <cellStyle name="Normal 9 5 12 2 2" xfId="33554" xr:uid="{F119CCF4-2813-4D91-84DA-BB06C1A495DE}"/>
    <cellStyle name="Normal 9 5 12 2 3" xfId="50313" xr:uid="{892ADA2C-F382-4F3C-8291-C32E6EB7CA6C}"/>
    <cellStyle name="Normal 9 5 12 3" xfId="25174" xr:uid="{72B17C64-0A5F-481F-8D67-4D571837642B}"/>
    <cellStyle name="Normal 9 5 12 4" xfId="41933" xr:uid="{9ECB6B7D-12AE-49C6-A810-A7BA9582B9ED}"/>
    <cellStyle name="Normal 9 5 13" xfId="2106" xr:uid="{311BEE89-2AEE-498D-BA2A-AB31B26FC29F}"/>
    <cellStyle name="Normal 9 5 13 2" xfId="10494" xr:uid="{0F1BEDFF-4C85-490B-B1FD-8FE2915DC5E8}"/>
    <cellStyle name="Normal 9 5 13 2 2" xfId="27254" xr:uid="{F13B08FF-2DAE-49C9-B998-D3F7C78F2EF4}"/>
    <cellStyle name="Normal 9 5 13 2 3" xfId="44013" xr:uid="{724D3B8A-0C38-4431-9171-A55D0115A3E4}"/>
    <cellStyle name="Normal 9 5 13 3" xfId="18874" xr:uid="{83A423AD-25F9-4567-826C-3B2F8F659291}"/>
    <cellStyle name="Normal 9 5 13 4" xfId="35633" xr:uid="{EE033272-B423-4A9A-BC09-B586D11B5DCF}"/>
    <cellStyle name="Normal 9 5 14" xfId="8802" xr:uid="{D610F0E9-7134-4A52-94AF-7E7AF12991AB}"/>
    <cellStyle name="Normal 9 5 14 2" xfId="25562" xr:uid="{F718E9F6-4F01-4372-8508-DDEA93BB6340}"/>
    <cellStyle name="Normal 9 5 14 3" xfId="42321" xr:uid="{35DB6AD0-0917-4B3F-A3D8-1F9FF6D6D796}"/>
    <cellStyle name="Normal 9 5 15" xfId="17182" xr:uid="{F7301876-CE9D-47FD-8C84-445092414049}"/>
    <cellStyle name="Normal 9 5 16" xfId="33941" xr:uid="{E5C95F4F-5345-4F1D-851C-90C75848FAFF}"/>
    <cellStyle name="Normal 9 5 2" xfId="741" xr:uid="{984FC9ED-5799-4D49-876A-89D9E8ECD15E}"/>
    <cellStyle name="Normal 9 5 2 10" xfId="8592" xr:uid="{8391F12E-447A-44F1-9B43-14ABBC6B8327}"/>
    <cellStyle name="Normal 9 5 2 10 2" xfId="16972" xr:uid="{15EBFD37-F2F0-4938-8BF7-2B2AD690C3FA}"/>
    <cellStyle name="Normal 9 5 2 10 2 2" xfId="33732" xr:uid="{2549C745-E821-47AF-AD7D-81DF8D3B8B8C}"/>
    <cellStyle name="Normal 9 5 2 10 2 3" xfId="50491" xr:uid="{5772E9E5-E29A-44BF-802F-A3139CDE9C9F}"/>
    <cellStyle name="Normal 9 5 2 10 3" xfId="25352" xr:uid="{520125EB-E693-4026-8FA4-B2D879EC45CB}"/>
    <cellStyle name="Normal 9 5 2 10 4" xfId="42111" xr:uid="{3EC90139-1FBA-40B3-9FD0-ADAD4DC6D02A}"/>
    <cellStyle name="Normal 9 5 2 11" xfId="2570" xr:uid="{DA955860-A28D-4977-8486-77CAC356355D}"/>
    <cellStyle name="Normal 9 5 2 11 2" xfId="10952" xr:uid="{DB0D7D8B-D50C-41EF-BC35-24029E107F18}"/>
    <cellStyle name="Normal 9 5 2 11 2 2" xfId="27712" xr:uid="{F680A8ED-5A37-4BD1-9A01-89D7E465245F}"/>
    <cellStyle name="Normal 9 5 2 11 2 3" xfId="44471" xr:uid="{2F0C7F7F-F7EB-4DC5-B779-D9358C082B4D}"/>
    <cellStyle name="Normal 9 5 2 11 3" xfId="19332" xr:uid="{11CF4FCA-D352-4972-8467-4ED71F73B0F2}"/>
    <cellStyle name="Normal 9 5 2 11 4" xfId="36091" xr:uid="{8EDF74CF-D9AF-4C90-8D97-8E7C07844E81}"/>
    <cellStyle name="Normal 9 5 2 12" xfId="9149" xr:uid="{677B99DF-AB61-43E6-A464-8C11E886D81C}"/>
    <cellStyle name="Normal 9 5 2 12 2" xfId="25909" xr:uid="{8713E5CE-84A5-4E5C-94D1-9D2EF88D98D5}"/>
    <cellStyle name="Normal 9 5 2 12 3" xfId="42668" xr:uid="{D057EE96-C2B0-42F2-961A-F30F90B15FFA}"/>
    <cellStyle name="Normal 9 5 2 13" xfId="17529" xr:uid="{11312806-FD7B-4C56-82BE-FACC0DCBA4BF}"/>
    <cellStyle name="Normal 9 5 2 14" xfId="34288" xr:uid="{E94EFB2B-097A-492D-93B5-B07A074FE505}"/>
    <cellStyle name="Normal 9 5 2 2" xfId="1180" xr:uid="{807818DC-328A-4EE7-B68C-7B3719020BAA}"/>
    <cellStyle name="Normal 9 5 2 2 2" xfId="4575" xr:uid="{CF828E64-CA3C-41C4-B85B-9BFB682827F8}"/>
    <cellStyle name="Normal 9 5 2 2 2 2" xfId="12955" xr:uid="{F4AD94C6-1EA8-4E69-9C35-DB0711354B05}"/>
    <cellStyle name="Normal 9 5 2 2 2 2 2" xfId="29715" xr:uid="{AC95892A-6380-4720-8EDF-7F3FAA1FFD77}"/>
    <cellStyle name="Normal 9 5 2 2 2 2 3" xfId="46474" xr:uid="{1DE5428E-9B54-42AA-8974-3411F916FA51}"/>
    <cellStyle name="Normal 9 5 2 2 2 3" xfId="21335" xr:uid="{2F76B013-0332-41FA-AD12-F8C86A6BFE62}"/>
    <cellStyle name="Normal 9 5 2 2 2 4" xfId="38094" xr:uid="{A57E46FC-612B-44B1-97A2-83C071B1339C}"/>
    <cellStyle name="Normal 9 5 2 2 3" xfId="6262" xr:uid="{0133FBCA-8BCC-4A97-AC3D-AD066F17C212}"/>
    <cellStyle name="Normal 9 5 2 2 3 2" xfId="14642" xr:uid="{0FB8F2C4-4F18-4901-9367-E1D9A7A7CF5F}"/>
    <cellStyle name="Normal 9 5 2 2 3 2 2" xfId="31402" xr:uid="{F93B77D2-8B58-4810-AC01-C9AAECB6B66F}"/>
    <cellStyle name="Normal 9 5 2 2 3 2 3" xfId="48161" xr:uid="{183B3690-DCBD-418B-B6F9-835F5349BA30}"/>
    <cellStyle name="Normal 9 5 2 2 3 3" xfId="23022" xr:uid="{8FFB0AC9-70B7-4D9D-A095-B468668F3C35}"/>
    <cellStyle name="Normal 9 5 2 2 3 4" xfId="39781" xr:uid="{4857F3BA-25B0-4AFF-867C-F09DDAECBCED}"/>
    <cellStyle name="Normal 9 5 2 2 4" xfId="2998" xr:uid="{1E48BF9B-F0B7-4B33-BFA8-93AB2E645511}"/>
    <cellStyle name="Normal 9 5 2 2 4 2" xfId="11378" xr:uid="{2E49877F-1CE4-4DD2-B620-75D61CDC083D}"/>
    <cellStyle name="Normal 9 5 2 2 4 2 2" xfId="28138" xr:uid="{77CA3EF7-158E-4BB1-B67D-259C6E025E50}"/>
    <cellStyle name="Normal 9 5 2 2 4 2 3" xfId="44897" xr:uid="{7390D187-6389-4A03-B4DD-9934DFE9D0EF}"/>
    <cellStyle name="Normal 9 5 2 2 4 3" xfId="19758" xr:uid="{7EE588E7-281D-41CA-B5E0-E42A13893ABA}"/>
    <cellStyle name="Normal 9 5 2 2 4 4" xfId="36517" xr:uid="{D10DEC41-5844-441F-B7D9-AD2EB3F6B152}"/>
    <cellStyle name="Normal 9 5 2 2 5" xfId="9575" xr:uid="{0CD52256-5998-4F47-B873-65ED4CA4E541}"/>
    <cellStyle name="Normal 9 5 2 2 5 2" xfId="26335" xr:uid="{03A23267-4925-4ED3-B0D8-F6D32DDFB4A3}"/>
    <cellStyle name="Normal 9 5 2 2 5 3" xfId="43094" xr:uid="{8BF2AD6C-0BD9-4457-89AA-0E2134C01DD5}"/>
    <cellStyle name="Normal 9 5 2 2 6" xfId="17955" xr:uid="{781378EB-BCA8-45A4-A7EC-8016F14F0589}"/>
    <cellStyle name="Normal 9 5 2 2 7" xfId="34714" xr:uid="{25A1C318-10A2-47EE-B696-168D81C3A441}"/>
    <cellStyle name="Normal 9 5 2 3" xfId="1614" xr:uid="{45EFBCBE-20DD-4047-99EE-BFF9453CB46D}"/>
    <cellStyle name="Normal 9 5 2 3 2" xfId="5003" xr:uid="{0D7F4561-C882-4ADD-8AE5-B721DE8FDE87}"/>
    <cellStyle name="Normal 9 5 2 3 2 2" xfId="13383" xr:uid="{88862C51-0F81-4A8D-80D2-5B1A26ECFF28}"/>
    <cellStyle name="Normal 9 5 2 3 2 2 2" xfId="30143" xr:uid="{DC37C1A8-1BB8-445E-B707-E6AF5727DF89}"/>
    <cellStyle name="Normal 9 5 2 3 2 2 3" xfId="46902" xr:uid="{DFFBBDA7-8E92-46BE-AA5F-A4A474327BBE}"/>
    <cellStyle name="Normal 9 5 2 3 2 3" xfId="21763" xr:uid="{4EBE85FE-6FFA-48B4-BB5A-284C2F2AECB3}"/>
    <cellStyle name="Normal 9 5 2 3 2 4" xfId="38522" xr:uid="{D24C5BE1-6340-43FA-B259-86B66C869FD1}"/>
    <cellStyle name="Normal 9 5 2 3 3" xfId="6690" xr:uid="{2D10C6C3-2302-4268-A214-063B8137852E}"/>
    <cellStyle name="Normal 9 5 2 3 3 2" xfId="15070" xr:uid="{D37F60BB-F9C5-4DC8-801D-958A1EEAB0E2}"/>
    <cellStyle name="Normal 9 5 2 3 3 2 2" xfId="31830" xr:uid="{C3A1F5FB-B58C-4569-9455-35B308C722D7}"/>
    <cellStyle name="Normal 9 5 2 3 3 2 3" xfId="48589" xr:uid="{EA1D6AEA-4D7E-4512-A115-B252CF0A6280}"/>
    <cellStyle name="Normal 9 5 2 3 3 3" xfId="23450" xr:uid="{B57A55DD-BF46-4E3E-97ED-02B36F7CC27C}"/>
    <cellStyle name="Normal 9 5 2 3 3 4" xfId="40209" xr:uid="{8256E264-04D2-4045-92D6-C4DE68775F22}"/>
    <cellStyle name="Normal 9 5 2 3 4" xfId="3426" xr:uid="{0A9287A8-78CF-44E9-8537-63926748CFF4}"/>
    <cellStyle name="Normal 9 5 2 3 4 2" xfId="11806" xr:uid="{2E278E2C-9796-42A0-910A-64E904EC8127}"/>
    <cellStyle name="Normal 9 5 2 3 4 2 2" xfId="28566" xr:uid="{34CA51B3-E0FD-4981-A6E9-015CD5633997}"/>
    <cellStyle name="Normal 9 5 2 3 4 2 3" xfId="45325" xr:uid="{C79977F8-A853-4392-B2EB-CE45E205A75A}"/>
    <cellStyle name="Normal 9 5 2 3 4 3" xfId="20186" xr:uid="{D2AB1618-AF26-4FD6-806F-F7FA646C4FA2}"/>
    <cellStyle name="Normal 9 5 2 3 4 4" xfId="36945" xr:uid="{44B9845D-DB66-4E8A-B6D3-74F9DD6C771B}"/>
    <cellStyle name="Normal 9 5 2 3 5" xfId="10003" xr:uid="{B1C48D33-555C-4A31-88DA-A3654B3050FF}"/>
    <cellStyle name="Normal 9 5 2 3 5 2" xfId="26763" xr:uid="{F6FABD4D-2A66-4EF4-8303-4BB420C8109F}"/>
    <cellStyle name="Normal 9 5 2 3 5 3" xfId="43522" xr:uid="{00D72633-218F-46F4-BE4D-37AAB19F29A0}"/>
    <cellStyle name="Normal 9 5 2 3 6" xfId="18383" xr:uid="{9703F6E1-A6C2-449C-9EE3-4612655D285C}"/>
    <cellStyle name="Normal 9 5 2 3 7" xfId="35142" xr:uid="{498C4C97-0440-41FB-9999-ABEDAC2FF864}"/>
    <cellStyle name="Normal 9 5 2 4" xfId="1892" xr:uid="{21F67321-9047-4E0C-9459-FF073B72AD9E}"/>
    <cellStyle name="Normal 9 5 2 4 2" xfId="5281" xr:uid="{0613C049-4A00-48EB-BDAF-05B490279ACC}"/>
    <cellStyle name="Normal 9 5 2 4 2 2" xfId="13661" xr:uid="{C1C73D76-FB51-4FD4-B7F3-427AE08DB0D0}"/>
    <cellStyle name="Normal 9 5 2 4 2 2 2" xfId="30421" xr:uid="{E3891D51-E528-4954-BF2B-A62886955A38}"/>
    <cellStyle name="Normal 9 5 2 4 2 2 3" xfId="47180" xr:uid="{80EC6778-DE22-4FDA-8455-F4CC48E5A027}"/>
    <cellStyle name="Normal 9 5 2 4 2 3" xfId="22041" xr:uid="{38CA7970-9245-4441-894D-A3BE7C3B257A}"/>
    <cellStyle name="Normal 9 5 2 4 2 4" xfId="38800" xr:uid="{34FE5AB8-2DC7-49D4-ABF2-4AD611B6C5C2}"/>
    <cellStyle name="Normal 9 5 2 4 3" xfId="6968" xr:uid="{FB56595B-924F-4C5B-ABD6-803B6F6C8187}"/>
    <cellStyle name="Normal 9 5 2 4 3 2" xfId="15348" xr:uid="{CC105845-27B8-435B-973F-2D325F7625B3}"/>
    <cellStyle name="Normal 9 5 2 4 3 2 2" xfId="32108" xr:uid="{D38D5292-0BD1-4678-8874-9CBC1054F226}"/>
    <cellStyle name="Normal 9 5 2 4 3 2 3" xfId="48867" xr:uid="{64B59AC6-F6DC-485F-9626-FC431547CFAA}"/>
    <cellStyle name="Normal 9 5 2 4 3 3" xfId="23728" xr:uid="{F93E110D-CB07-4145-81FB-44A01C854C8C}"/>
    <cellStyle name="Normal 9 5 2 4 3 4" xfId="40487" xr:uid="{B92ACBE7-B7E3-4403-B110-FDE2A44AF0C2}"/>
    <cellStyle name="Normal 9 5 2 4 4" xfId="3591" xr:uid="{BE6BB288-4923-452F-9302-00601090591F}"/>
    <cellStyle name="Normal 9 5 2 4 4 2" xfId="11971" xr:uid="{3F6B7421-F7F0-4D71-B1E6-16EE3DBE0F3E}"/>
    <cellStyle name="Normal 9 5 2 4 4 2 2" xfId="28731" xr:uid="{1060F920-C2D8-45BE-A154-2C12BCAA6064}"/>
    <cellStyle name="Normal 9 5 2 4 4 2 3" xfId="45490" xr:uid="{29C5CCDB-7D97-46D6-8671-5C12DC7C2F05}"/>
    <cellStyle name="Normal 9 5 2 4 4 3" xfId="20351" xr:uid="{570E33E3-1024-4E3D-B8CD-FCF1F4115290}"/>
    <cellStyle name="Normal 9 5 2 4 4 4" xfId="37110" xr:uid="{6E2E206D-D6BE-43C5-8668-2C7BEC02A5EE}"/>
    <cellStyle name="Normal 9 5 2 4 5" xfId="10281" xr:uid="{59301E7E-504C-4559-A4D9-F27503307C65}"/>
    <cellStyle name="Normal 9 5 2 4 5 2" xfId="27041" xr:uid="{57E0800C-6A76-45AC-B656-5741FFCCE299}"/>
    <cellStyle name="Normal 9 5 2 4 5 3" xfId="43800" xr:uid="{5F8CA2EF-23AE-41C1-A1E7-0F0354D6371F}"/>
    <cellStyle name="Normal 9 5 2 4 6" xfId="18661" xr:uid="{639681F6-7F6A-4B9A-BB8A-AF7222B6E0C5}"/>
    <cellStyle name="Normal 9 5 2 4 7" xfId="35420" xr:uid="{6E73AE11-43A4-4055-BD6C-A4D7008038DA}"/>
    <cellStyle name="Normal 9 5 2 5" xfId="4011" xr:uid="{4E95A50A-1E00-4351-83EC-0F2E5E07D337}"/>
    <cellStyle name="Normal 9 5 2 5 2" xfId="12391" xr:uid="{53C34210-F56C-47A4-923D-9F2246019B5F}"/>
    <cellStyle name="Normal 9 5 2 5 2 2" xfId="29151" xr:uid="{B4C59A7D-F32C-4E63-BD17-169532599480}"/>
    <cellStyle name="Normal 9 5 2 5 2 3" xfId="45910" xr:uid="{C5A709CA-DC03-4AFF-938F-238BCA6844E0}"/>
    <cellStyle name="Normal 9 5 2 5 3" xfId="20771" xr:uid="{D72C478A-B269-4C3A-9948-6B4F43AF5F07}"/>
    <cellStyle name="Normal 9 5 2 5 4" xfId="37530" xr:uid="{88606569-2B89-4C45-8227-3572416EBF1E}"/>
    <cellStyle name="Normal 9 5 2 6" xfId="5836" xr:uid="{6A20CFAA-BABC-497A-837D-EC3EB2BA652A}"/>
    <cellStyle name="Normal 9 5 2 6 2" xfId="14216" xr:uid="{ED8ABAA8-B355-4EDE-8062-DDFED62F0E8E}"/>
    <cellStyle name="Normal 9 5 2 6 2 2" xfId="30976" xr:uid="{CFA01150-FD9D-4B20-B923-B3E8C433D8E4}"/>
    <cellStyle name="Normal 9 5 2 6 2 3" xfId="47735" xr:uid="{34C63D87-E622-4A36-9196-6B2EB76BA2DE}"/>
    <cellStyle name="Normal 9 5 2 6 3" xfId="22596" xr:uid="{33DD3C19-7873-4465-98C9-7E7059D7CCB0}"/>
    <cellStyle name="Normal 9 5 2 6 4" xfId="39355" xr:uid="{CA0779A5-F545-4A7E-A68F-9917208E524D}"/>
    <cellStyle name="Normal 9 5 2 7" xfId="7374" xr:uid="{EBC12736-3EE8-4AEA-B70E-A3E838C7759E}"/>
    <cellStyle name="Normal 9 5 2 7 2" xfId="15754" xr:uid="{742E8BDC-3B8C-4E68-9BB6-F3CD47A3B694}"/>
    <cellStyle name="Normal 9 5 2 7 2 2" xfId="32514" xr:uid="{DBBEE2D6-3D3D-44BE-A506-2FE93FDB8B34}"/>
    <cellStyle name="Normal 9 5 2 7 2 3" xfId="49273" xr:uid="{257DE68C-1D01-47BD-8557-C151FEA6762E}"/>
    <cellStyle name="Normal 9 5 2 7 3" xfId="24134" xr:uid="{029EC321-1674-4609-B20E-EBD8EF80BA44}"/>
    <cellStyle name="Normal 9 5 2 7 4" xfId="40893" xr:uid="{2E32D8BF-4FB8-4173-8B58-69B9FA235ECA}"/>
    <cellStyle name="Normal 9 5 2 8" xfId="7780" xr:uid="{32A8881B-48EC-42BF-9E20-5B8EA9CFE869}"/>
    <cellStyle name="Normal 9 5 2 8 2" xfId="16160" xr:uid="{AD600225-32F1-4306-835E-B194FAD2154D}"/>
    <cellStyle name="Normal 9 5 2 8 2 2" xfId="32920" xr:uid="{87A3FED7-6640-4C25-BF7C-F48E3D188DB6}"/>
    <cellStyle name="Normal 9 5 2 8 2 3" xfId="49679" xr:uid="{983DC1FB-533F-4264-BFA8-C61788400284}"/>
    <cellStyle name="Normal 9 5 2 8 3" xfId="24540" xr:uid="{63314621-F3DE-40AC-879F-8B53192790C7}"/>
    <cellStyle name="Normal 9 5 2 8 4" xfId="41299" xr:uid="{12F1C6E6-D834-4DA4-8497-310B2598888A}"/>
    <cellStyle name="Normal 9 5 2 9" xfId="8186" xr:uid="{86C76674-CEAE-4F12-A235-BE804A12970F}"/>
    <cellStyle name="Normal 9 5 2 9 2" xfId="16566" xr:uid="{067E5CBA-7843-4D1A-A9A3-DE74D306C447}"/>
    <cellStyle name="Normal 9 5 2 9 2 2" xfId="33326" xr:uid="{4BA433D3-4C20-4409-B1E0-4CC1404624E1}"/>
    <cellStyle name="Normal 9 5 2 9 2 3" xfId="50085" xr:uid="{CDBE04C9-66E8-45DB-A581-B69D0E7E972F}"/>
    <cellStyle name="Normal 9 5 2 9 3" xfId="24946" xr:uid="{48618709-A4E0-4AD6-B2C6-91B40C50EEAB}"/>
    <cellStyle name="Normal 9 5 2 9 4" xfId="41705" xr:uid="{297174BA-C3EE-4F61-8065-FB9BB7645AB7}"/>
    <cellStyle name="Normal 9 5 3" xfId="742" xr:uid="{AFF3BA44-0E0D-4D2F-9F5B-05046E364412}"/>
    <cellStyle name="Normal 9 5 3 10" xfId="8685" xr:uid="{F7073CB1-051F-4748-8584-4B417BBB547F}"/>
    <cellStyle name="Normal 9 5 3 10 2" xfId="17065" xr:uid="{4D475DC6-E92C-40AD-96C7-FEC263BB9E2C}"/>
    <cellStyle name="Normal 9 5 3 10 2 2" xfId="33825" xr:uid="{135F94E8-0182-467B-90D2-731FABE3202D}"/>
    <cellStyle name="Normal 9 5 3 10 2 3" xfId="50584" xr:uid="{DF47675D-AC02-4490-9393-6DDB788F90F5}"/>
    <cellStyle name="Normal 9 5 3 10 3" xfId="25445" xr:uid="{B00CF951-5AD8-430D-BAA6-21E7E0314D3A}"/>
    <cellStyle name="Normal 9 5 3 10 4" xfId="42204" xr:uid="{A8D731FA-0031-4E0A-9336-BD45997D2543}"/>
    <cellStyle name="Normal 9 5 3 11" xfId="2571" xr:uid="{5E985003-2D04-4285-AD91-8343EC069897}"/>
    <cellStyle name="Normal 9 5 3 11 2" xfId="10953" xr:uid="{8CF8C1EE-FBC2-47BC-B038-C70606256113}"/>
    <cellStyle name="Normal 9 5 3 11 2 2" xfId="27713" xr:uid="{5A9700AD-11DE-4C8E-AAEF-A6602B453047}"/>
    <cellStyle name="Normal 9 5 3 11 2 3" xfId="44472" xr:uid="{2F41E0AA-8123-4E08-B1F2-8BF85F4EC580}"/>
    <cellStyle name="Normal 9 5 3 11 3" xfId="19333" xr:uid="{10E8A1ED-C908-4119-8B5A-B2F94B02C5F0}"/>
    <cellStyle name="Normal 9 5 3 11 4" xfId="36092" xr:uid="{D894501A-B723-460D-95ED-CA03D427689F}"/>
    <cellStyle name="Normal 9 5 3 12" xfId="9150" xr:uid="{E85D975D-4612-4AC4-9EB6-DDD90E4C6456}"/>
    <cellStyle name="Normal 9 5 3 12 2" xfId="25910" xr:uid="{C1955BEC-55B3-4D02-96D5-8533517D3431}"/>
    <cellStyle name="Normal 9 5 3 12 3" xfId="42669" xr:uid="{E4A62085-366E-425A-805E-BB0131471D49}"/>
    <cellStyle name="Normal 9 5 3 13" xfId="17530" xr:uid="{3F6787ED-F000-42AB-9FFB-AADCD594BCD9}"/>
    <cellStyle name="Normal 9 5 3 14" xfId="34289" xr:uid="{8B4918E9-51D6-42EA-926D-A893350B8887}"/>
    <cellStyle name="Normal 9 5 3 2" xfId="1181" xr:uid="{D1CC3873-198E-448C-A7DF-C0F100A4B332}"/>
    <cellStyle name="Normal 9 5 3 2 2" xfId="4576" xr:uid="{A9BC0445-D1E9-43D1-B3BE-7176C387BA3C}"/>
    <cellStyle name="Normal 9 5 3 2 2 2" xfId="12956" xr:uid="{9C843B5D-C748-425C-A7F0-CE259E5794A2}"/>
    <cellStyle name="Normal 9 5 3 2 2 2 2" xfId="29716" xr:uid="{C2C8C78C-25E3-487F-94A4-0E6B4E3B7BD3}"/>
    <cellStyle name="Normal 9 5 3 2 2 2 3" xfId="46475" xr:uid="{7B2164B3-DE4D-4C26-A854-1013197FC9C1}"/>
    <cellStyle name="Normal 9 5 3 2 2 3" xfId="21336" xr:uid="{41679001-D440-428F-98A3-6188A9171401}"/>
    <cellStyle name="Normal 9 5 3 2 2 4" xfId="38095" xr:uid="{D1696C14-D502-4A76-B6F3-7EB3A192D2D9}"/>
    <cellStyle name="Normal 9 5 3 2 3" xfId="6263" xr:uid="{2331AB6A-204C-49B8-A028-9B0D24DB7B92}"/>
    <cellStyle name="Normal 9 5 3 2 3 2" xfId="14643" xr:uid="{284B145A-5B95-465C-88CF-C3C2875004D1}"/>
    <cellStyle name="Normal 9 5 3 2 3 2 2" xfId="31403" xr:uid="{397E975B-72F9-4457-969A-5AC2254ED9D3}"/>
    <cellStyle name="Normal 9 5 3 2 3 2 3" xfId="48162" xr:uid="{C030F1B2-30D7-4286-8D1B-542D4D57C6A7}"/>
    <cellStyle name="Normal 9 5 3 2 3 3" xfId="23023" xr:uid="{E1F4E6C1-35EF-4FDD-AFFC-7AF87E1C383E}"/>
    <cellStyle name="Normal 9 5 3 2 3 4" xfId="39782" xr:uid="{41573D30-C9CC-48B8-B9FC-6B56FC0FB0A2}"/>
    <cellStyle name="Normal 9 5 3 2 4" xfId="2999" xr:uid="{825A8626-0FAF-4149-A359-8C5AAEB36AEA}"/>
    <cellStyle name="Normal 9 5 3 2 4 2" xfId="11379" xr:uid="{4A6012D1-9F08-441E-968E-B75442BE8094}"/>
    <cellStyle name="Normal 9 5 3 2 4 2 2" xfId="28139" xr:uid="{2305CC20-43F3-4512-948D-31A3434AD54B}"/>
    <cellStyle name="Normal 9 5 3 2 4 2 3" xfId="44898" xr:uid="{D849162F-A379-4D22-83A9-5ABF95D49F43}"/>
    <cellStyle name="Normal 9 5 3 2 4 3" xfId="19759" xr:uid="{9951E0ED-FB71-4088-8E3E-9E4C7FFD6A3A}"/>
    <cellStyle name="Normal 9 5 3 2 4 4" xfId="36518" xr:uid="{A8AC67BF-F7B5-44E8-8BAB-C32792681A5F}"/>
    <cellStyle name="Normal 9 5 3 2 5" xfId="9576" xr:uid="{EF256FC4-4277-4223-918A-0473510A4082}"/>
    <cellStyle name="Normal 9 5 3 2 5 2" xfId="26336" xr:uid="{4C42D51E-4F03-4EC0-9565-A70645C70FDE}"/>
    <cellStyle name="Normal 9 5 3 2 5 3" xfId="43095" xr:uid="{AC006E39-1401-475A-B7D7-D902E50A4DCC}"/>
    <cellStyle name="Normal 9 5 3 2 6" xfId="17956" xr:uid="{F2C05820-AD16-491B-8E1A-5840173204FC}"/>
    <cellStyle name="Normal 9 5 3 2 7" xfId="34715" xr:uid="{07D5901E-0F43-45BC-93AA-DDC0E38051B6}"/>
    <cellStyle name="Normal 9 5 3 3" xfId="1615" xr:uid="{1459AAFB-0314-42B7-AD39-1D6BA914D3B9}"/>
    <cellStyle name="Normal 9 5 3 3 2" xfId="5004" xr:uid="{7043D1AC-8601-4641-B490-C831239B9F9D}"/>
    <cellStyle name="Normal 9 5 3 3 2 2" xfId="13384" xr:uid="{D29325C2-97DB-42CC-9395-D9FF3E20C521}"/>
    <cellStyle name="Normal 9 5 3 3 2 2 2" xfId="30144" xr:uid="{8ECE0269-6585-42A9-A1F8-4DBE0E06DA01}"/>
    <cellStyle name="Normal 9 5 3 3 2 2 3" xfId="46903" xr:uid="{430ADD51-FEEC-40AB-8BDF-EBA08AA2ED68}"/>
    <cellStyle name="Normal 9 5 3 3 2 3" xfId="21764" xr:uid="{EFD7D05A-6340-4174-AA04-3BEBB60CA1AF}"/>
    <cellStyle name="Normal 9 5 3 3 2 4" xfId="38523" xr:uid="{A8AFEE14-50E0-421A-96CA-43CC7C364977}"/>
    <cellStyle name="Normal 9 5 3 3 3" xfId="6691" xr:uid="{402402D3-DCFB-4545-BB42-194D76E64443}"/>
    <cellStyle name="Normal 9 5 3 3 3 2" xfId="15071" xr:uid="{D0D0613E-F2FC-48AF-B1C9-D892B8801E8C}"/>
    <cellStyle name="Normal 9 5 3 3 3 2 2" xfId="31831" xr:uid="{9EA08A57-ED02-4A77-93A2-3CFB8CF284A0}"/>
    <cellStyle name="Normal 9 5 3 3 3 2 3" xfId="48590" xr:uid="{44EBF329-7D3B-4ED6-B93D-0EE43B73EE05}"/>
    <cellStyle name="Normal 9 5 3 3 3 3" xfId="23451" xr:uid="{60799B12-A382-429E-9606-F113CEE399C8}"/>
    <cellStyle name="Normal 9 5 3 3 3 4" xfId="40210" xr:uid="{5F5A503E-53DF-42DD-9C36-F73FC788DF53}"/>
    <cellStyle name="Normal 9 5 3 3 4" xfId="3427" xr:uid="{733B5A1A-2BF2-4121-88C9-1D80370A28A3}"/>
    <cellStyle name="Normal 9 5 3 3 4 2" xfId="11807" xr:uid="{F194C586-6263-46AD-8DE1-B48B16BC65F3}"/>
    <cellStyle name="Normal 9 5 3 3 4 2 2" xfId="28567" xr:uid="{360BA67D-2FB7-46C6-83A6-829070BFD283}"/>
    <cellStyle name="Normal 9 5 3 3 4 2 3" xfId="45326" xr:uid="{D37A7FF7-89DB-4EB3-88A7-CC3A2992E844}"/>
    <cellStyle name="Normal 9 5 3 3 4 3" xfId="20187" xr:uid="{DBCC6ADF-F114-4F18-A4F1-FC57E65E7017}"/>
    <cellStyle name="Normal 9 5 3 3 4 4" xfId="36946" xr:uid="{DF1445C5-2852-4B69-AB39-521A0D4A659A}"/>
    <cellStyle name="Normal 9 5 3 3 5" xfId="10004" xr:uid="{996D8C64-B963-42C9-B5D3-B115A037D001}"/>
    <cellStyle name="Normal 9 5 3 3 5 2" xfId="26764" xr:uid="{D88BCF77-8E0F-48DB-BA31-5BC9B51679F5}"/>
    <cellStyle name="Normal 9 5 3 3 5 3" xfId="43523" xr:uid="{1477288B-239F-4F00-942F-CD5F099D921D}"/>
    <cellStyle name="Normal 9 5 3 3 6" xfId="18384" xr:uid="{70A054D2-D1E7-476B-8889-FC5EC585FF6B}"/>
    <cellStyle name="Normal 9 5 3 3 7" xfId="35143" xr:uid="{4100597A-78F6-470D-83C2-5A61821A707A}"/>
    <cellStyle name="Normal 9 5 3 4" xfId="1985" xr:uid="{5785097E-DE69-45E2-BCFE-40ECD05344F0}"/>
    <cellStyle name="Normal 9 5 3 4 2" xfId="5374" xr:uid="{208638D6-8C1A-43F8-971D-B958C22AFF04}"/>
    <cellStyle name="Normal 9 5 3 4 2 2" xfId="13754" xr:uid="{A99C2DD0-0A05-43B0-BAD1-4607477AEFA0}"/>
    <cellStyle name="Normal 9 5 3 4 2 2 2" xfId="30514" xr:uid="{9837BD8B-8C0B-4926-9DFD-B76001C6EEBE}"/>
    <cellStyle name="Normal 9 5 3 4 2 2 3" xfId="47273" xr:uid="{2F8C8415-8933-4389-9B74-6B2262B4FF9C}"/>
    <cellStyle name="Normal 9 5 3 4 2 3" xfId="22134" xr:uid="{4796AB47-6CF7-4203-9031-94469766C664}"/>
    <cellStyle name="Normal 9 5 3 4 2 4" xfId="38893" xr:uid="{06FAC11F-D5C1-4F52-9A2E-A35D6C024657}"/>
    <cellStyle name="Normal 9 5 3 4 3" xfId="7061" xr:uid="{1B9F1A8E-D137-4A85-BDEB-430C76EC5133}"/>
    <cellStyle name="Normal 9 5 3 4 3 2" xfId="15441" xr:uid="{62783F09-1341-46F6-A928-F2E3AA892F74}"/>
    <cellStyle name="Normal 9 5 3 4 3 2 2" xfId="32201" xr:uid="{0AE4C2DD-1490-4773-B54F-A651E2FE5843}"/>
    <cellStyle name="Normal 9 5 3 4 3 2 3" xfId="48960" xr:uid="{6D36FA67-DB9A-44D5-B8F7-38E339353C2D}"/>
    <cellStyle name="Normal 9 5 3 4 3 3" xfId="23821" xr:uid="{52305723-DA02-4601-8716-D6C03AE4C406}"/>
    <cellStyle name="Normal 9 5 3 4 3 4" xfId="40580" xr:uid="{3EE2C10E-8B13-42A4-97EB-C558AB2F889B}"/>
    <cellStyle name="Normal 9 5 3 4 4" xfId="3684" xr:uid="{0345E0E0-B8B3-46EB-A2C9-884AA370003C}"/>
    <cellStyle name="Normal 9 5 3 4 4 2" xfId="12064" xr:uid="{673D646D-6551-433A-AEAF-57DF0264A811}"/>
    <cellStyle name="Normal 9 5 3 4 4 2 2" xfId="28824" xr:uid="{6619DA3D-AB62-4D37-993A-BB361FE391DF}"/>
    <cellStyle name="Normal 9 5 3 4 4 2 3" xfId="45583" xr:uid="{77AF64F3-864D-470A-A215-CBBBB0F15E5E}"/>
    <cellStyle name="Normal 9 5 3 4 4 3" xfId="20444" xr:uid="{1DF40756-818B-41C3-BFF2-06BA7505117B}"/>
    <cellStyle name="Normal 9 5 3 4 4 4" xfId="37203" xr:uid="{0024EBDD-165D-40EF-B1D4-14583A4056C5}"/>
    <cellStyle name="Normal 9 5 3 4 5" xfId="10374" xr:uid="{3376E200-859A-4148-A6B3-3BD82134B00E}"/>
    <cellStyle name="Normal 9 5 3 4 5 2" xfId="27134" xr:uid="{DFC4F34C-E0D0-48CD-A19D-BE42B2F153DC}"/>
    <cellStyle name="Normal 9 5 3 4 5 3" xfId="43893" xr:uid="{3FD279D2-C265-4659-99D7-DBEBBBE624E5}"/>
    <cellStyle name="Normal 9 5 3 4 6" xfId="18754" xr:uid="{87D1B382-9342-450B-BF5C-C8B2828C6826}"/>
    <cellStyle name="Normal 9 5 3 4 7" xfId="35513" xr:uid="{6A9FBAEA-A604-4360-9C6B-1D8340670111}"/>
    <cellStyle name="Normal 9 5 3 5" xfId="4104" xr:uid="{AA7C0B94-96A8-4613-9B74-29FB742040B7}"/>
    <cellStyle name="Normal 9 5 3 5 2" xfId="12484" xr:uid="{79EA24E4-49A1-4CB2-89BF-207BD5B3A173}"/>
    <cellStyle name="Normal 9 5 3 5 2 2" xfId="29244" xr:uid="{4BFA6918-C4AC-4303-B9BE-49121C017D6D}"/>
    <cellStyle name="Normal 9 5 3 5 2 3" xfId="46003" xr:uid="{CA9DD02C-1C65-41B4-A2F6-3B57AFC89233}"/>
    <cellStyle name="Normal 9 5 3 5 3" xfId="20864" xr:uid="{03959B71-E003-4DF6-B9F1-B550113EE091}"/>
    <cellStyle name="Normal 9 5 3 5 4" xfId="37623" xr:uid="{F18C43BC-3477-4497-8C23-AB5D6BB2F5B7}"/>
    <cellStyle name="Normal 9 5 3 6" xfId="5837" xr:uid="{51661B15-E982-47E7-9683-2D75AB1844BC}"/>
    <cellStyle name="Normal 9 5 3 6 2" xfId="14217" xr:uid="{B0F8ECFC-2328-4310-8794-5A0DFFBA802A}"/>
    <cellStyle name="Normal 9 5 3 6 2 2" xfId="30977" xr:uid="{5755A432-743B-4C2B-98E2-2F8B83B53511}"/>
    <cellStyle name="Normal 9 5 3 6 2 3" xfId="47736" xr:uid="{32FBF3D3-71BB-4FE4-AE73-9ED29797A086}"/>
    <cellStyle name="Normal 9 5 3 6 3" xfId="22597" xr:uid="{C79CF1A3-C38F-4054-A386-05AF4EE769C7}"/>
    <cellStyle name="Normal 9 5 3 6 4" xfId="39356" xr:uid="{83CF4460-1FD2-4FB0-BC71-FF9ECEDBCB62}"/>
    <cellStyle name="Normal 9 5 3 7" xfId="7467" xr:uid="{E6C641DC-E3A7-42D9-BA5A-291B6B16FDAC}"/>
    <cellStyle name="Normal 9 5 3 7 2" xfId="15847" xr:uid="{6169C725-26D8-4CB3-9004-76A45D9C4092}"/>
    <cellStyle name="Normal 9 5 3 7 2 2" xfId="32607" xr:uid="{3A791D16-7803-4213-815C-F1D8C12B9DA7}"/>
    <cellStyle name="Normal 9 5 3 7 2 3" xfId="49366" xr:uid="{19A4B81F-CBF7-4B46-A7D7-D1042C67B586}"/>
    <cellStyle name="Normal 9 5 3 7 3" xfId="24227" xr:uid="{7F26D5CB-E5BA-45E7-8B05-3E3E3EE803F3}"/>
    <cellStyle name="Normal 9 5 3 7 4" xfId="40986" xr:uid="{50A088B9-96C7-459B-9E08-016AFC24E4FB}"/>
    <cellStyle name="Normal 9 5 3 8" xfId="7873" xr:uid="{86DFF283-4FAD-4343-935B-81BAA0C581CC}"/>
    <cellStyle name="Normal 9 5 3 8 2" xfId="16253" xr:uid="{82D8FD26-1AFE-4BE8-9CFB-221B1E5E2803}"/>
    <cellStyle name="Normal 9 5 3 8 2 2" xfId="33013" xr:uid="{FB9C3756-9F62-45C0-9947-A6B9253EB845}"/>
    <cellStyle name="Normal 9 5 3 8 2 3" xfId="49772" xr:uid="{C8914991-566A-4163-830C-D026CEA06990}"/>
    <cellStyle name="Normal 9 5 3 8 3" xfId="24633" xr:uid="{3A11C084-FD5E-4876-AF74-7E52B8FBA083}"/>
    <cellStyle name="Normal 9 5 3 8 4" xfId="41392" xr:uid="{0BC7CA8C-F301-40D0-9AFE-92F7F622902A}"/>
    <cellStyle name="Normal 9 5 3 9" xfId="8279" xr:uid="{F89DAA4D-A43D-4A4E-A8AC-CD1946AA064C}"/>
    <cellStyle name="Normal 9 5 3 9 2" xfId="16659" xr:uid="{1495AACD-E884-4684-89B3-AF33E6825184}"/>
    <cellStyle name="Normal 9 5 3 9 2 2" xfId="33419" xr:uid="{C0FA84B2-D914-4035-BD32-62B7F5328D11}"/>
    <cellStyle name="Normal 9 5 3 9 2 3" xfId="50178" xr:uid="{59B132DE-73CB-446F-A4F3-F78BFCE32D8E}"/>
    <cellStyle name="Normal 9 5 3 9 3" xfId="25039" xr:uid="{DF3AA53F-6C8C-41A6-9839-866DF90C5A79}"/>
    <cellStyle name="Normal 9 5 3 9 4" xfId="41798" xr:uid="{635912E6-0078-487A-A9E6-12E3CD144F17}"/>
    <cellStyle name="Normal 9 5 4" xfId="833" xr:uid="{755490ED-B011-44E0-AA7E-A1B7473D633E}"/>
    <cellStyle name="Normal 9 5 4 2" xfId="4228" xr:uid="{454356FD-CD83-47C5-8BCB-9007A332B93E}"/>
    <cellStyle name="Normal 9 5 4 2 2" xfId="12608" xr:uid="{A6818FB2-6DE9-477E-BEE8-572D55F19008}"/>
    <cellStyle name="Normal 9 5 4 2 2 2" xfId="29368" xr:uid="{D9EBC52B-DA03-4C95-A666-B23129C61ED3}"/>
    <cellStyle name="Normal 9 5 4 2 2 3" xfId="46127" xr:uid="{844B2A64-1DA2-49CB-B3CB-22CA9F4C660B}"/>
    <cellStyle name="Normal 9 5 4 2 3" xfId="20988" xr:uid="{FFA44E1E-17B4-4131-BCC2-4438D10BB276}"/>
    <cellStyle name="Normal 9 5 4 2 4" xfId="37747" xr:uid="{1786EB99-4230-4068-A595-10D3C7DF289F}"/>
    <cellStyle name="Normal 9 5 4 3" xfId="5915" xr:uid="{FA94607A-0BD5-4CDB-BBAA-DEE49D52A221}"/>
    <cellStyle name="Normal 9 5 4 3 2" xfId="14295" xr:uid="{AAD24BB0-61D7-4071-BBF8-56DED20C4427}"/>
    <cellStyle name="Normal 9 5 4 3 2 2" xfId="31055" xr:uid="{A65110A6-2A4E-49A0-B0F1-E158E5D7BC7A}"/>
    <cellStyle name="Normal 9 5 4 3 2 3" xfId="47814" xr:uid="{76B7F840-199D-4A4E-866D-28C712A7455E}"/>
    <cellStyle name="Normal 9 5 4 3 3" xfId="22675" xr:uid="{26708032-277E-4C79-B54A-E7C09D16501E}"/>
    <cellStyle name="Normal 9 5 4 3 4" xfId="39434" xr:uid="{4415E8B5-24CB-4638-ADC2-E3B3E032E3EE}"/>
    <cellStyle name="Normal 9 5 4 4" xfId="2651" xr:uid="{85AB879A-87C8-4E2C-ACED-8ED87E523A9B}"/>
    <cellStyle name="Normal 9 5 4 4 2" xfId="11031" xr:uid="{57F3F66A-C189-4955-8159-40899AD9CC6E}"/>
    <cellStyle name="Normal 9 5 4 4 2 2" xfId="27791" xr:uid="{085F3FA4-F4B5-4147-9659-D73DC0DC1BEA}"/>
    <cellStyle name="Normal 9 5 4 4 2 3" xfId="44550" xr:uid="{CD470E22-FEE8-4C6D-A2D9-93ACF53E7EEA}"/>
    <cellStyle name="Normal 9 5 4 4 3" xfId="19411" xr:uid="{EB598B6E-EF96-4A29-A241-E697C440CED9}"/>
    <cellStyle name="Normal 9 5 4 4 4" xfId="36170" xr:uid="{6B364BFB-6984-4EF5-BFBF-BF07F29ECE39}"/>
    <cellStyle name="Normal 9 5 4 5" xfId="9228" xr:uid="{0DBAE429-F544-4EA7-9913-BA60507EF677}"/>
    <cellStyle name="Normal 9 5 4 5 2" xfId="25988" xr:uid="{44AB27C3-5E74-4800-8E8D-77D8434BB9F2}"/>
    <cellStyle name="Normal 9 5 4 5 3" xfId="42747" xr:uid="{012EF97F-FBD1-4B2D-8795-7B556904AA06}"/>
    <cellStyle name="Normal 9 5 4 6" xfId="17608" xr:uid="{A742F360-0C50-4CB9-B508-F1718B8B848C}"/>
    <cellStyle name="Normal 9 5 4 7" xfId="34367" xr:uid="{D3294C2C-7BC0-4C1A-895E-A532CE69E635}"/>
    <cellStyle name="Normal 9 5 5" xfId="1267" xr:uid="{151D0BC3-1FCD-4C2A-9EAC-B0627931ED59}"/>
    <cellStyle name="Normal 9 5 5 2" xfId="4656" xr:uid="{DF67A3A5-DA6B-4B31-8AE4-CBEFCBF713F7}"/>
    <cellStyle name="Normal 9 5 5 2 2" xfId="13036" xr:uid="{8C175845-42AD-405B-811E-EDFB7891E758}"/>
    <cellStyle name="Normal 9 5 5 2 2 2" xfId="29796" xr:uid="{F8E481C5-3C83-4B13-8E7F-BC4176D5C19B}"/>
    <cellStyle name="Normal 9 5 5 2 2 3" xfId="46555" xr:uid="{88199DA5-692D-48E8-88F2-F21D88B6923E}"/>
    <cellStyle name="Normal 9 5 5 2 3" xfId="21416" xr:uid="{000A3C8C-7AE7-4331-BA08-72B356D6E504}"/>
    <cellStyle name="Normal 9 5 5 2 4" xfId="38175" xr:uid="{15D6B31B-E6E8-4D20-8CE5-C88A36F143A7}"/>
    <cellStyle name="Normal 9 5 5 3" xfId="6343" xr:uid="{F221BEAE-2839-4F1D-9BBB-0D85EAA75031}"/>
    <cellStyle name="Normal 9 5 5 3 2" xfId="14723" xr:uid="{D9AEDDC4-191C-43E1-AAD8-8CDEC4F029DC}"/>
    <cellStyle name="Normal 9 5 5 3 2 2" xfId="31483" xr:uid="{34FFCF9B-72C4-4DCA-92AB-F8A3A38FEE25}"/>
    <cellStyle name="Normal 9 5 5 3 2 3" xfId="48242" xr:uid="{BC44AB66-0A5D-47A5-99CB-0AA343E5931E}"/>
    <cellStyle name="Normal 9 5 5 3 3" xfId="23103" xr:uid="{29257D3D-A810-4621-A49E-DDA3CD0814EF}"/>
    <cellStyle name="Normal 9 5 5 3 4" xfId="39862" xr:uid="{4A1BDD16-CCFA-41F7-A04D-81D26D0A397E}"/>
    <cellStyle name="Normal 9 5 5 4" xfId="3079" xr:uid="{673044CE-EBA6-4761-B226-088B3934064A}"/>
    <cellStyle name="Normal 9 5 5 4 2" xfId="11459" xr:uid="{45A5E702-99FB-468E-9B88-C8C84423B75D}"/>
    <cellStyle name="Normal 9 5 5 4 2 2" xfId="28219" xr:uid="{72560DDA-DC72-4A0B-821D-1F3EDB131084}"/>
    <cellStyle name="Normal 9 5 5 4 2 3" xfId="44978" xr:uid="{7482BBA6-F61C-4A44-B41F-A33A4C713686}"/>
    <cellStyle name="Normal 9 5 5 4 3" xfId="19839" xr:uid="{A2FC417B-99DF-4D06-AD46-35B0FD8403A8}"/>
    <cellStyle name="Normal 9 5 5 4 4" xfId="36598" xr:uid="{BE8FC457-3171-4896-B616-B99181CC4C73}"/>
    <cellStyle name="Normal 9 5 5 5" xfId="9656" xr:uid="{70D65D10-5062-4EE2-AD2D-CCE4C0011F8D}"/>
    <cellStyle name="Normal 9 5 5 5 2" xfId="26416" xr:uid="{12335AF4-D176-47E6-AA45-4ABEDC62DCBC}"/>
    <cellStyle name="Normal 9 5 5 5 3" xfId="43175" xr:uid="{2A0C2514-F06B-4B5A-933F-6A960683E2ED}"/>
    <cellStyle name="Normal 9 5 5 6" xfId="18036" xr:uid="{75665750-8EED-47DC-A6EF-36F9DECD587A}"/>
    <cellStyle name="Normal 9 5 5 7" xfId="34795" xr:uid="{48FCF0D1-EEE3-48D9-9030-35235E7992B6}"/>
    <cellStyle name="Normal 9 5 6" xfId="1714" xr:uid="{76079ABE-76C7-4639-9CF1-34DFFA9F567F}"/>
    <cellStyle name="Normal 9 5 6 2" xfId="5103" xr:uid="{E7DAB884-2A7B-48E4-8B51-48DD8C1EA13F}"/>
    <cellStyle name="Normal 9 5 6 2 2" xfId="13483" xr:uid="{DE084D03-6270-4979-9865-4717657BB47B}"/>
    <cellStyle name="Normal 9 5 6 2 2 2" xfId="30243" xr:uid="{5B72977D-B620-41DF-A204-2CE7B94DC6B6}"/>
    <cellStyle name="Normal 9 5 6 2 2 3" xfId="47002" xr:uid="{8E2C1E2D-6EBC-4B3B-8ABB-7BFE9BAA0DF3}"/>
    <cellStyle name="Normal 9 5 6 2 3" xfId="21863" xr:uid="{0868EF2B-5CCC-44F8-B2A8-3218FC2828F7}"/>
    <cellStyle name="Normal 9 5 6 2 4" xfId="38622" xr:uid="{C7B63A62-7009-4AD1-A164-F2DE00CF15FA}"/>
    <cellStyle name="Normal 9 5 6 3" xfId="6790" xr:uid="{C859649A-72D3-489D-864B-7109B74BC36C}"/>
    <cellStyle name="Normal 9 5 6 3 2" xfId="15170" xr:uid="{DA7DCEA8-415A-4D23-86D8-4C9761652C98}"/>
    <cellStyle name="Normal 9 5 6 3 2 2" xfId="31930" xr:uid="{5FFB52D8-A845-44F4-9A49-ECA7809A2A93}"/>
    <cellStyle name="Normal 9 5 6 3 2 3" xfId="48689" xr:uid="{34BB199C-0629-4A63-90EE-556FE2551A08}"/>
    <cellStyle name="Normal 9 5 6 3 3" xfId="23550" xr:uid="{171FB1EE-C146-4095-A7FF-F0E1940A0053}"/>
    <cellStyle name="Normal 9 5 6 3 4" xfId="40309" xr:uid="{6DCED5B1-F84D-4AE6-B5FC-C778D4F00620}"/>
    <cellStyle name="Normal 9 5 6 4" xfId="2221" xr:uid="{C2C754BE-2CB7-4905-979C-0A48A2DF1191}"/>
    <cellStyle name="Normal 9 5 6 4 2" xfId="10605" xr:uid="{97160C7E-5447-427D-92E7-915128698F2B}"/>
    <cellStyle name="Normal 9 5 6 4 2 2" xfId="27365" xr:uid="{3B20C378-3A37-4809-B000-E106D4F8215D}"/>
    <cellStyle name="Normal 9 5 6 4 2 3" xfId="44124" xr:uid="{B59DE817-C85B-490F-AE89-96B321437434}"/>
    <cellStyle name="Normal 9 5 6 4 3" xfId="18985" xr:uid="{6192E0A2-9586-42B1-A6A8-D57F8EF3B9C0}"/>
    <cellStyle name="Normal 9 5 6 4 4" xfId="35744" xr:uid="{0963FDF3-7D83-403D-B3F1-7E4AB9CA01DD}"/>
    <cellStyle name="Normal 9 5 6 5" xfId="10103" xr:uid="{8A63AC24-CC33-4254-9D6B-EC45FE3DA311}"/>
    <cellStyle name="Normal 9 5 6 5 2" xfId="26863" xr:uid="{8ED5772A-088E-4344-A75C-C3266C4FFC9F}"/>
    <cellStyle name="Normal 9 5 6 5 3" xfId="43622" xr:uid="{C79C5447-A51B-4A7B-9825-3379B95A74EC}"/>
    <cellStyle name="Normal 9 5 6 6" xfId="18483" xr:uid="{6D855CF4-3746-4E82-BEE1-35A4788C29E8}"/>
    <cellStyle name="Normal 9 5 6 7" xfId="35242" xr:uid="{076ACA89-FB7B-482D-9817-9F79A1BC2245}"/>
    <cellStyle name="Normal 9 5 7" xfId="3832" xr:uid="{65BD148B-128A-4649-9F83-1242231DB41F}"/>
    <cellStyle name="Normal 9 5 7 2" xfId="12212" xr:uid="{BBBDD26F-181D-46FA-83DC-AB43CA57EE8F}"/>
    <cellStyle name="Normal 9 5 7 2 2" xfId="28972" xr:uid="{1606D82B-6B20-4243-8C31-197ECEEE1F05}"/>
    <cellStyle name="Normal 9 5 7 2 3" xfId="45731" xr:uid="{DECA7766-9AA1-416F-85E5-0E3F1E1CF721}"/>
    <cellStyle name="Normal 9 5 7 3" xfId="20592" xr:uid="{62341160-DA64-4472-B42E-5B976A4E284A}"/>
    <cellStyle name="Normal 9 5 7 4" xfId="37351" xr:uid="{C3C22F43-C8BA-408E-9132-CADDFD8D786F}"/>
    <cellStyle name="Normal 9 5 8" xfId="5489" xr:uid="{42FA374D-453F-490C-A39E-3D692274CEEB}"/>
    <cellStyle name="Normal 9 5 8 2" xfId="13869" xr:uid="{06938152-D6E6-4A3C-AF00-2A370BCE7E48}"/>
    <cellStyle name="Normal 9 5 8 2 2" xfId="30629" xr:uid="{7CF1BB08-1F8F-4562-8183-57FF473F9151}"/>
    <cellStyle name="Normal 9 5 8 2 3" xfId="47388" xr:uid="{51E1E6B1-9801-4C30-ACFA-EE58BA4094C2}"/>
    <cellStyle name="Normal 9 5 8 3" xfId="22249" xr:uid="{CA2C0889-A7B3-4D04-AA28-F7F582F919D2}"/>
    <cellStyle name="Normal 9 5 8 4" xfId="39008" xr:uid="{24923983-5135-4E32-B334-6AA79D856382}"/>
    <cellStyle name="Normal 9 5 9" xfId="7196" xr:uid="{ECF64962-EE45-4656-B1BC-33B09F2B4422}"/>
    <cellStyle name="Normal 9 5 9 2" xfId="15576" xr:uid="{B0771DA1-205E-4A56-9781-BB585C06A8B8}"/>
    <cellStyle name="Normal 9 5 9 2 2" xfId="32336" xr:uid="{C0511164-B7C4-4F43-AF7E-E0BBD7C21F54}"/>
    <cellStyle name="Normal 9 5 9 2 3" xfId="49095" xr:uid="{2B8F2A2B-3735-42BE-A15C-699354566AD2}"/>
    <cellStyle name="Normal 9 5 9 3" xfId="23956" xr:uid="{33032D71-5C53-4457-87BE-8964917B0BB8}"/>
    <cellStyle name="Normal 9 5 9 4" xfId="40715" xr:uid="{0526BA46-0C43-4380-8766-9B5BEB968831}"/>
    <cellStyle name="Normal 9 6" xfId="743" xr:uid="{7167C689-5359-445E-B715-60A5D375A127}"/>
    <cellStyle name="Normal 9 6 10" xfId="7629" xr:uid="{D825D297-3DBD-4D55-B660-29260907515D}"/>
    <cellStyle name="Normal 9 6 10 2" xfId="16009" xr:uid="{A26D722D-2183-4A7F-B273-408BFAD8C6FD}"/>
    <cellStyle name="Normal 9 6 10 2 2" xfId="32769" xr:uid="{D22276C0-52A4-4F68-870B-5FB44D3E4675}"/>
    <cellStyle name="Normal 9 6 10 2 3" xfId="49528" xr:uid="{D15ADF27-EE9C-4138-8EB1-E131B38E7E0A}"/>
    <cellStyle name="Normal 9 6 10 3" xfId="24389" xr:uid="{E366E59C-B687-42CD-AEA5-DD53671A22EC}"/>
    <cellStyle name="Normal 9 6 10 4" xfId="41148" xr:uid="{5970052F-EA26-4835-833A-DC479A097B97}"/>
    <cellStyle name="Normal 9 6 11" xfId="8035" xr:uid="{19E8FA38-E09F-4161-86F5-770D9DCDF81A}"/>
    <cellStyle name="Normal 9 6 11 2" xfId="16415" xr:uid="{E8BFBF23-9237-43D3-996C-AFC0334791C7}"/>
    <cellStyle name="Normal 9 6 11 2 2" xfId="33175" xr:uid="{2854D604-C5BA-4673-8255-50FE24A95BFE}"/>
    <cellStyle name="Normal 9 6 11 2 3" xfId="49934" xr:uid="{DF8F0932-4D08-44E0-9830-298C4F00B304}"/>
    <cellStyle name="Normal 9 6 11 3" xfId="24795" xr:uid="{4FA4DD17-1550-4624-83FA-08458CAA585C}"/>
    <cellStyle name="Normal 9 6 11 4" xfId="41554" xr:uid="{0CD28B3D-F753-41B4-92C1-990ED32E8D62}"/>
    <cellStyle name="Normal 9 6 12" xfId="8441" xr:uid="{FCBFBBD0-7C54-419C-9A41-58C1DA3BD026}"/>
    <cellStyle name="Normal 9 6 12 2" xfId="16821" xr:uid="{1E451B39-F9AF-4BEC-ADCD-688C8D7D1A48}"/>
    <cellStyle name="Normal 9 6 12 2 2" xfId="33581" xr:uid="{3236072B-7F7E-4DEB-81D0-BF3147D68D18}"/>
    <cellStyle name="Normal 9 6 12 2 3" xfId="50340" xr:uid="{639A84EA-3D9B-4904-8A43-4121B297FA0D}"/>
    <cellStyle name="Normal 9 6 12 3" xfId="25201" xr:uid="{DAE4290B-4344-4A42-BE4D-C70EC1063240}"/>
    <cellStyle name="Normal 9 6 12 4" xfId="41960" xr:uid="{225A5867-2401-4069-9F64-FC3BDA5EEF1B}"/>
    <cellStyle name="Normal 9 6 13" xfId="2128" xr:uid="{063DA3D1-1654-4AC2-AFA4-12A5B38EAA90}"/>
    <cellStyle name="Normal 9 6 13 2" xfId="10516" xr:uid="{2984F7D3-9D74-4742-8DD6-59210CFC60E6}"/>
    <cellStyle name="Normal 9 6 13 2 2" xfId="27276" xr:uid="{15414967-E019-4515-B5A2-BB51275A1FE6}"/>
    <cellStyle name="Normal 9 6 13 2 3" xfId="44035" xr:uid="{9E1B8EA1-C006-4EB7-9FA2-287D8DBC1651}"/>
    <cellStyle name="Normal 9 6 13 3" xfId="18896" xr:uid="{29310961-2FA6-49E8-9774-4727B1441885}"/>
    <cellStyle name="Normal 9 6 13 4" xfId="35655" xr:uid="{1BD162CA-CFC2-4347-B298-2211F787A538}"/>
    <cellStyle name="Normal 9 6 14" xfId="9151" xr:uid="{9A13A627-1D69-42F2-AC08-0924AF3E4C6B}"/>
    <cellStyle name="Normal 9 6 14 2" xfId="25911" xr:uid="{CA8226D2-37F4-4E49-856D-5B29FA3E7D5B}"/>
    <cellStyle name="Normal 9 6 14 3" xfId="42670" xr:uid="{9FD9925A-293C-4997-AD02-363F54E45F5E}"/>
    <cellStyle name="Normal 9 6 15" xfId="17531" xr:uid="{103A6B96-57C8-4E88-B2F1-C7120865E3C7}"/>
    <cellStyle name="Normal 9 6 16" xfId="34290" xr:uid="{2E68B20D-9727-4119-83CB-335A29751E8A}"/>
    <cellStyle name="Normal 9 6 2" xfId="744" xr:uid="{B905A36E-7A69-4078-9D15-681E7DCDEBED}"/>
    <cellStyle name="Normal 9 6 2 10" xfId="8593" xr:uid="{5DC33E2B-D154-4894-B926-1621CB9570C2}"/>
    <cellStyle name="Normal 9 6 2 10 2" xfId="16973" xr:uid="{E78FDA62-5A4E-4CC1-8570-D1DCC8685AA4}"/>
    <cellStyle name="Normal 9 6 2 10 2 2" xfId="33733" xr:uid="{0C72F039-5676-4573-BDCF-250C4CD4A7B5}"/>
    <cellStyle name="Normal 9 6 2 10 2 3" xfId="50492" xr:uid="{EF4C5FD4-36BA-4A1E-A677-FAC6EE0B1218}"/>
    <cellStyle name="Normal 9 6 2 10 3" xfId="25353" xr:uid="{365CDC16-D612-4919-9152-BB07B5C76D44}"/>
    <cellStyle name="Normal 9 6 2 10 4" xfId="42112" xr:uid="{96A4CA9A-1258-4351-A30A-A214A69211F2}"/>
    <cellStyle name="Normal 9 6 2 11" xfId="2573" xr:uid="{A414663A-C551-4B13-A4F6-757C5CDD883F}"/>
    <cellStyle name="Normal 9 6 2 11 2" xfId="10955" xr:uid="{F6966329-FB16-4740-BF8C-71C32550FFD3}"/>
    <cellStyle name="Normal 9 6 2 11 2 2" xfId="27715" xr:uid="{356F5C88-88B5-4E93-BC2D-1C47C6D288B5}"/>
    <cellStyle name="Normal 9 6 2 11 2 3" xfId="44474" xr:uid="{6B7703DC-67FA-461B-9F7F-19D403BC360B}"/>
    <cellStyle name="Normal 9 6 2 11 3" xfId="19335" xr:uid="{F835458E-4FF4-4AE4-83C2-E11A42EC06A8}"/>
    <cellStyle name="Normal 9 6 2 11 4" xfId="36094" xr:uid="{8A1E75F1-91F7-4EA9-B13B-966584D98C78}"/>
    <cellStyle name="Normal 9 6 2 12" xfId="9152" xr:uid="{B0B792FC-D698-4540-8A12-5CB3E519470E}"/>
    <cellStyle name="Normal 9 6 2 12 2" xfId="25912" xr:uid="{CC0EB424-92DE-4A51-B9E8-3D5387592F29}"/>
    <cellStyle name="Normal 9 6 2 12 3" xfId="42671" xr:uid="{84147F61-1DD8-4C26-BE39-D2AEE9754ED6}"/>
    <cellStyle name="Normal 9 6 2 13" xfId="17532" xr:uid="{53C1B24C-7358-4EAD-94F4-71810A2D95FE}"/>
    <cellStyle name="Normal 9 6 2 14" xfId="34291" xr:uid="{1913D93A-3D6F-40DF-8B6F-35E6240CF9B8}"/>
    <cellStyle name="Normal 9 6 2 2" xfId="1183" xr:uid="{8A86C9B9-ED09-4D4C-BBAA-B4B3E0C74FA3}"/>
    <cellStyle name="Normal 9 6 2 2 2" xfId="4578" xr:uid="{E8C71A86-286F-4593-98BF-B8398BC14898}"/>
    <cellStyle name="Normal 9 6 2 2 2 2" xfId="12958" xr:uid="{0AC46847-3C35-40C3-95FF-F7DF2010B72A}"/>
    <cellStyle name="Normal 9 6 2 2 2 2 2" xfId="29718" xr:uid="{0A3F7511-DFCB-436E-8286-536DAEF7001A}"/>
    <cellStyle name="Normal 9 6 2 2 2 2 3" xfId="46477" xr:uid="{62E82EDE-7ACC-4D42-86B7-76652609DF2D}"/>
    <cellStyle name="Normal 9 6 2 2 2 3" xfId="21338" xr:uid="{5520BF7F-97F2-4F7D-A016-98A5E5A573F0}"/>
    <cellStyle name="Normal 9 6 2 2 2 4" xfId="38097" xr:uid="{589C1E69-7AE0-44AD-B17A-BE234DE517E9}"/>
    <cellStyle name="Normal 9 6 2 2 3" xfId="6265" xr:uid="{60B2AAC4-C350-4FF0-9E85-B1AC81B6D3FD}"/>
    <cellStyle name="Normal 9 6 2 2 3 2" xfId="14645" xr:uid="{CAF70083-A913-45F1-ADAC-3B04C2616E2E}"/>
    <cellStyle name="Normal 9 6 2 2 3 2 2" xfId="31405" xr:uid="{3C277F44-E03D-44F4-AB68-2DA4F045D4BB}"/>
    <cellStyle name="Normal 9 6 2 2 3 2 3" xfId="48164" xr:uid="{F4D2B630-2B06-413C-B9C2-A559A52F87DF}"/>
    <cellStyle name="Normal 9 6 2 2 3 3" xfId="23025" xr:uid="{7315F24F-E3C9-494E-9336-2F2BE3263EC9}"/>
    <cellStyle name="Normal 9 6 2 2 3 4" xfId="39784" xr:uid="{DA7BB9C2-1D9A-4902-A309-8F140BB46FB8}"/>
    <cellStyle name="Normal 9 6 2 2 4" xfId="3001" xr:uid="{9465CAC6-A533-4E59-A2A1-BE252C878970}"/>
    <cellStyle name="Normal 9 6 2 2 4 2" xfId="11381" xr:uid="{4F64218A-C879-4D02-8471-7D374251568F}"/>
    <cellStyle name="Normal 9 6 2 2 4 2 2" xfId="28141" xr:uid="{EF6F6749-C9D7-4364-87A2-1DE2A48CAEB5}"/>
    <cellStyle name="Normal 9 6 2 2 4 2 3" xfId="44900" xr:uid="{7A3BC4D9-8EE0-4A8F-AF6D-B19EF7E0E8F5}"/>
    <cellStyle name="Normal 9 6 2 2 4 3" xfId="19761" xr:uid="{191CA457-B0C1-4116-8DAC-5042FE41FA2A}"/>
    <cellStyle name="Normal 9 6 2 2 4 4" xfId="36520" xr:uid="{6DD43D6A-1D2D-4DC0-A227-2139A8999E02}"/>
    <cellStyle name="Normal 9 6 2 2 5" xfId="9578" xr:uid="{4E5DB1F0-B7D5-4624-96BD-9A1980D4F49A}"/>
    <cellStyle name="Normal 9 6 2 2 5 2" xfId="26338" xr:uid="{3A183771-FA06-433A-9BC1-DE331319C119}"/>
    <cellStyle name="Normal 9 6 2 2 5 3" xfId="43097" xr:uid="{469C8137-3DB8-4AC9-B133-6FC0147DD3FA}"/>
    <cellStyle name="Normal 9 6 2 2 6" xfId="17958" xr:uid="{E3F479C5-B3BE-45B9-8F83-082B22B6F878}"/>
    <cellStyle name="Normal 9 6 2 2 7" xfId="34717" xr:uid="{BE26A3BB-F193-4867-8D3D-701C25F2E146}"/>
    <cellStyle name="Normal 9 6 2 3" xfId="1617" xr:uid="{E9738221-EDED-4E36-85FB-B4B8C12DAA29}"/>
    <cellStyle name="Normal 9 6 2 3 2" xfId="5006" xr:uid="{B7A470D2-0A98-4060-899A-3EB9AF66973D}"/>
    <cellStyle name="Normal 9 6 2 3 2 2" xfId="13386" xr:uid="{136071FD-B380-4603-82D4-BE5CF3EBD25E}"/>
    <cellStyle name="Normal 9 6 2 3 2 2 2" xfId="30146" xr:uid="{82A24022-C047-40CA-B298-E012E5B5F019}"/>
    <cellStyle name="Normal 9 6 2 3 2 2 3" xfId="46905" xr:uid="{9778695F-AFA9-4660-85E8-E198D0448922}"/>
    <cellStyle name="Normal 9 6 2 3 2 3" xfId="21766" xr:uid="{BFED6A8E-4A5B-424D-9191-5DFC4E351B9B}"/>
    <cellStyle name="Normal 9 6 2 3 2 4" xfId="38525" xr:uid="{C6F2B724-B3DF-4E3A-8D56-91FE915E7A59}"/>
    <cellStyle name="Normal 9 6 2 3 3" xfId="6693" xr:uid="{F8923061-DB53-49E1-8050-1161159D471F}"/>
    <cellStyle name="Normal 9 6 2 3 3 2" xfId="15073" xr:uid="{997BAB38-A23A-489D-8B9D-B23CA0A6B346}"/>
    <cellStyle name="Normal 9 6 2 3 3 2 2" xfId="31833" xr:uid="{C021BBE8-F190-4F75-8E11-07B7EEC0A000}"/>
    <cellStyle name="Normal 9 6 2 3 3 2 3" xfId="48592" xr:uid="{354AF691-629B-4AC6-87F0-44954113CCBE}"/>
    <cellStyle name="Normal 9 6 2 3 3 3" xfId="23453" xr:uid="{37F1F1C8-053B-496B-A7C5-8E533184137C}"/>
    <cellStyle name="Normal 9 6 2 3 3 4" xfId="40212" xr:uid="{60C78BA5-62A1-4F41-A4C5-52C5EA7383EF}"/>
    <cellStyle name="Normal 9 6 2 3 4" xfId="3429" xr:uid="{9EA07FD6-5B8D-4460-ABEA-45B19B269A3D}"/>
    <cellStyle name="Normal 9 6 2 3 4 2" xfId="11809" xr:uid="{11954E86-AE2B-4B92-8319-7D2D11F9DF88}"/>
    <cellStyle name="Normal 9 6 2 3 4 2 2" xfId="28569" xr:uid="{663547A2-0F73-4DDF-98F6-71A595B86788}"/>
    <cellStyle name="Normal 9 6 2 3 4 2 3" xfId="45328" xr:uid="{5DBE8129-43FD-4ED7-B02F-4AF79C2D5446}"/>
    <cellStyle name="Normal 9 6 2 3 4 3" xfId="20189" xr:uid="{5FED2FE6-5D19-4B1B-BC4F-069065AF6AC1}"/>
    <cellStyle name="Normal 9 6 2 3 4 4" xfId="36948" xr:uid="{D5F7D6D0-4567-4A58-9309-461AB04D78D0}"/>
    <cellStyle name="Normal 9 6 2 3 5" xfId="10006" xr:uid="{9DFD0AC0-4C77-4636-A6FF-F4BF02D58050}"/>
    <cellStyle name="Normal 9 6 2 3 5 2" xfId="26766" xr:uid="{15DDDCDF-A9DA-4D29-A8B0-39AAFE16A08C}"/>
    <cellStyle name="Normal 9 6 2 3 5 3" xfId="43525" xr:uid="{70F55CC9-DB85-4112-B334-6F7302CEAFE9}"/>
    <cellStyle name="Normal 9 6 2 3 6" xfId="18386" xr:uid="{923D794A-7FAA-4903-A309-3E1888A05E33}"/>
    <cellStyle name="Normal 9 6 2 3 7" xfId="35145" xr:uid="{C4A3284F-6C04-4129-9EE1-56226A43A152}"/>
    <cellStyle name="Normal 9 6 2 4" xfId="1893" xr:uid="{7BF08691-5733-4D72-8331-972D05C26982}"/>
    <cellStyle name="Normal 9 6 2 4 2" xfId="5282" xr:uid="{761DC897-E1E9-42D5-BF24-0E347AEB88AC}"/>
    <cellStyle name="Normal 9 6 2 4 2 2" xfId="13662" xr:uid="{1B0426FF-454E-4709-AA20-79C98AD15B09}"/>
    <cellStyle name="Normal 9 6 2 4 2 2 2" xfId="30422" xr:uid="{E2948514-E932-48EC-8DB1-99E7D6F56BB1}"/>
    <cellStyle name="Normal 9 6 2 4 2 2 3" xfId="47181" xr:uid="{EA93B5DA-4C05-410C-992F-3B2939047F58}"/>
    <cellStyle name="Normal 9 6 2 4 2 3" xfId="22042" xr:uid="{BB331388-D794-4F0C-8055-DB556179E186}"/>
    <cellStyle name="Normal 9 6 2 4 2 4" xfId="38801" xr:uid="{F6AE556F-F981-4869-AA39-E45B82E42FAA}"/>
    <cellStyle name="Normal 9 6 2 4 3" xfId="6969" xr:uid="{F79D6CF0-A66E-445F-A17A-F34876965F58}"/>
    <cellStyle name="Normal 9 6 2 4 3 2" xfId="15349" xr:uid="{4193D7E6-7978-442D-ADAF-DF0E3ED83B15}"/>
    <cellStyle name="Normal 9 6 2 4 3 2 2" xfId="32109" xr:uid="{B110470B-50F2-42A7-9AEC-5FA03265C2F2}"/>
    <cellStyle name="Normal 9 6 2 4 3 2 3" xfId="48868" xr:uid="{B1609C50-DAD9-46CB-B99D-77E8F04CDE23}"/>
    <cellStyle name="Normal 9 6 2 4 3 3" xfId="23729" xr:uid="{5BBC1B98-0DF5-4197-9368-E9BF0A315C8C}"/>
    <cellStyle name="Normal 9 6 2 4 3 4" xfId="40488" xr:uid="{5BEC322D-1EDA-4355-8333-69A4D2CB34D3}"/>
    <cellStyle name="Normal 9 6 2 4 4" xfId="3592" xr:uid="{47415263-F702-483D-9C91-39C5C7A1B982}"/>
    <cellStyle name="Normal 9 6 2 4 4 2" xfId="11972" xr:uid="{B3D388AF-EB0E-40FB-A8B1-BBCB3D7DE0BC}"/>
    <cellStyle name="Normal 9 6 2 4 4 2 2" xfId="28732" xr:uid="{75C6FE1E-F099-42CB-A21D-A7F5DED1C009}"/>
    <cellStyle name="Normal 9 6 2 4 4 2 3" xfId="45491" xr:uid="{532CD8DA-D281-4F30-BEC1-A39523CF4B08}"/>
    <cellStyle name="Normal 9 6 2 4 4 3" xfId="20352" xr:uid="{2B8416C9-CFCB-4470-B409-485A739FFC52}"/>
    <cellStyle name="Normal 9 6 2 4 4 4" xfId="37111" xr:uid="{36FB6014-FE57-4F4E-9301-CA73BBF5C390}"/>
    <cellStyle name="Normal 9 6 2 4 5" xfId="10282" xr:uid="{53974AE7-27E9-4E47-B7F0-6D55AD639C23}"/>
    <cellStyle name="Normal 9 6 2 4 5 2" xfId="27042" xr:uid="{C1F5D301-E5DD-4286-A321-3F5CDB29F66C}"/>
    <cellStyle name="Normal 9 6 2 4 5 3" xfId="43801" xr:uid="{F2C9FD4D-32AC-49F5-BA8A-73FE62C32B1D}"/>
    <cellStyle name="Normal 9 6 2 4 6" xfId="18662" xr:uid="{55256FF4-E849-40F4-A29D-E2CCA430F026}"/>
    <cellStyle name="Normal 9 6 2 4 7" xfId="35421" xr:uid="{A0C546BE-FFE2-4785-831C-A77C868868DA}"/>
    <cellStyle name="Normal 9 6 2 5" xfId="4012" xr:uid="{C0964CF4-5097-4F09-928E-E017087EB8B5}"/>
    <cellStyle name="Normal 9 6 2 5 2" xfId="12392" xr:uid="{2E7B7A64-922E-40A6-8E42-A567D9B0E5BE}"/>
    <cellStyle name="Normal 9 6 2 5 2 2" xfId="29152" xr:uid="{955B72C8-6E4B-4BB9-AA06-216AC5F554FE}"/>
    <cellStyle name="Normal 9 6 2 5 2 3" xfId="45911" xr:uid="{E0B95618-253D-4673-A962-CEFC751CD846}"/>
    <cellStyle name="Normal 9 6 2 5 3" xfId="20772" xr:uid="{4D108224-110C-4C84-9BD2-ACDEA47D7A74}"/>
    <cellStyle name="Normal 9 6 2 5 4" xfId="37531" xr:uid="{EE5BAE19-66B1-4830-BCA6-7E46FD0A3DD6}"/>
    <cellStyle name="Normal 9 6 2 6" xfId="5839" xr:uid="{7F170390-AC62-4609-A4F9-87A6B7821202}"/>
    <cellStyle name="Normal 9 6 2 6 2" xfId="14219" xr:uid="{1C92BB03-5D45-45CD-A106-F925C00AE35B}"/>
    <cellStyle name="Normal 9 6 2 6 2 2" xfId="30979" xr:uid="{73D90F36-53D9-4036-B6EC-F03956F724BE}"/>
    <cellStyle name="Normal 9 6 2 6 2 3" xfId="47738" xr:uid="{4CA18265-0F64-4394-BA34-60027AEA08BD}"/>
    <cellStyle name="Normal 9 6 2 6 3" xfId="22599" xr:uid="{90C4F80C-39F5-4F3B-AC9A-E2DA8A7EE647}"/>
    <cellStyle name="Normal 9 6 2 6 4" xfId="39358" xr:uid="{B84878C4-7FAC-44A3-8E2B-B12F6CA3D6DF}"/>
    <cellStyle name="Normal 9 6 2 7" xfId="7375" xr:uid="{F0A7A431-A1B9-4C37-9B4A-068D9756A82C}"/>
    <cellStyle name="Normal 9 6 2 7 2" xfId="15755" xr:uid="{7BC82E23-8735-41FF-B01C-385723B8BFA1}"/>
    <cellStyle name="Normal 9 6 2 7 2 2" xfId="32515" xr:uid="{5081CB93-BBD0-4455-A588-0F05160BB913}"/>
    <cellStyle name="Normal 9 6 2 7 2 3" xfId="49274" xr:uid="{F1FFB4FC-FB77-4B77-AA9F-32AD804A984F}"/>
    <cellStyle name="Normal 9 6 2 7 3" xfId="24135" xr:uid="{50541730-E2EA-4013-99AD-2E171DE65F8C}"/>
    <cellStyle name="Normal 9 6 2 7 4" xfId="40894" xr:uid="{E850146A-C185-4C33-B721-89618D6777D4}"/>
    <cellStyle name="Normal 9 6 2 8" xfId="7781" xr:uid="{9B2ACD3E-3280-4C87-A916-43EBF5722FD1}"/>
    <cellStyle name="Normal 9 6 2 8 2" xfId="16161" xr:uid="{85629430-8BC3-4A0C-B1E3-6457B773FDB3}"/>
    <cellStyle name="Normal 9 6 2 8 2 2" xfId="32921" xr:uid="{79833E52-1D4B-47B2-B496-F78D50365FC4}"/>
    <cellStyle name="Normal 9 6 2 8 2 3" xfId="49680" xr:uid="{430926AD-9FAC-4628-96DC-6E60BBD121FB}"/>
    <cellStyle name="Normal 9 6 2 8 3" xfId="24541" xr:uid="{308ABDB0-6B92-4B15-ACAC-CF93B94D2453}"/>
    <cellStyle name="Normal 9 6 2 8 4" xfId="41300" xr:uid="{4C3196BA-4199-4838-BAD7-E4B5049DFA4E}"/>
    <cellStyle name="Normal 9 6 2 9" xfId="8187" xr:uid="{50C74523-6152-4358-85BD-100CB676DD98}"/>
    <cellStyle name="Normal 9 6 2 9 2" xfId="16567" xr:uid="{B7A18039-9B9B-44D7-9F1C-724ABB9FCCF0}"/>
    <cellStyle name="Normal 9 6 2 9 2 2" xfId="33327" xr:uid="{706DC7AD-402C-473D-9D09-65371F1C1FE6}"/>
    <cellStyle name="Normal 9 6 2 9 2 3" xfId="50086" xr:uid="{1E7B61A2-8A88-4ED5-A5D6-DBDC028C8183}"/>
    <cellStyle name="Normal 9 6 2 9 3" xfId="24947" xr:uid="{7EF78B40-435F-468D-85D0-92AF1EE3C6BE}"/>
    <cellStyle name="Normal 9 6 2 9 4" xfId="41706" xr:uid="{5830A8D6-3B92-46DD-866B-A843F7049C4D}"/>
    <cellStyle name="Normal 9 6 3" xfId="745" xr:uid="{76734B48-FF26-4321-B1EE-D80685A3FEEB}"/>
    <cellStyle name="Normal 9 6 3 10" xfId="8712" xr:uid="{392CC754-A64F-47B8-83DD-79FDC6573FB9}"/>
    <cellStyle name="Normal 9 6 3 10 2" xfId="17092" xr:uid="{0E697D36-F4E4-4666-A681-C16FE8744123}"/>
    <cellStyle name="Normal 9 6 3 10 2 2" xfId="33852" xr:uid="{AA3A9885-0F90-4516-AF8A-F7F24787888F}"/>
    <cellStyle name="Normal 9 6 3 10 2 3" xfId="50611" xr:uid="{216B7749-5C9A-4F0B-B3AA-827DF33CB1B7}"/>
    <cellStyle name="Normal 9 6 3 10 3" xfId="25472" xr:uid="{4574547A-52DB-4639-ABC3-1E7F34FAA6A3}"/>
    <cellStyle name="Normal 9 6 3 10 4" xfId="42231" xr:uid="{F2420414-DF16-4117-938D-842F9DA55D44}"/>
    <cellStyle name="Normal 9 6 3 11" xfId="2574" xr:uid="{E06AE5B3-2991-442A-BCB0-F5D0CA8E61C5}"/>
    <cellStyle name="Normal 9 6 3 11 2" xfId="10956" xr:uid="{CEC22BD7-3608-427C-910C-DDF56AD7C23D}"/>
    <cellStyle name="Normal 9 6 3 11 2 2" xfId="27716" xr:uid="{8ECCDA4D-5646-4CEA-92F4-6E385D07554A}"/>
    <cellStyle name="Normal 9 6 3 11 2 3" xfId="44475" xr:uid="{7141A977-B088-4A57-BA6D-ADF5ECF3C471}"/>
    <cellStyle name="Normal 9 6 3 11 3" xfId="19336" xr:uid="{126C97D3-6087-4C2D-8A38-B6E4E1688035}"/>
    <cellStyle name="Normal 9 6 3 11 4" xfId="36095" xr:uid="{410D76FA-9957-4128-B8B3-CB8E6ED44B69}"/>
    <cellStyle name="Normal 9 6 3 12" xfId="9153" xr:uid="{F751E3C9-F276-4B5D-AF72-4DA00F3463F5}"/>
    <cellStyle name="Normal 9 6 3 12 2" xfId="25913" xr:uid="{85C72906-B840-45A4-BA93-C22D2A3D6748}"/>
    <cellStyle name="Normal 9 6 3 12 3" xfId="42672" xr:uid="{1EB8E714-F512-40EE-8E79-03836BB078C9}"/>
    <cellStyle name="Normal 9 6 3 13" xfId="17533" xr:uid="{374318AB-8FA9-4E8E-B0C9-B5D9C4D6BC75}"/>
    <cellStyle name="Normal 9 6 3 14" xfId="34292" xr:uid="{BDCB3A05-D210-418C-A8E9-068CF6A369B4}"/>
    <cellStyle name="Normal 9 6 3 2" xfId="1184" xr:uid="{C0A4EE78-3EFD-4126-BB3F-7021C87AC125}"/>
    <cellStyle name="Normal 9 6 3 2 2" xfId="4579" xr:uid="{20602F64-A93B-4D0B-9A0B-5CA6D0A63A73}"/>
    <cellStyle name="Normal 9 6 3 2 2 2" xfId="12959" xr:uid="{AA8AE0F3-B426-4E3E-8D15-1C633DED0F35}"/>
    <cellStyle name="Normal 9 6 3 2 2 2 2" xfId="29719" xr:uid="{55EA21DB-3AEF-46C9-A683-30CD0D8F7033}"/>
    <cellStyle name="Normal 9 6 3 2 2 2 3" xfId="46478" xr:uid="{D3CF9356-6E36-4026-9205-BF165145DCDA}"/>
    <cellStyle name="Normal 9 6 3 2 2 3" xfId="21339" xr:uid="{95150B6D-3E2A-496D-991B-BAFA4CF851EE}"/>
    <cellStyle name="Normal 9 6 3 2 2 4" xfId="38098" xr:uid="{EAB3A5B7-276E-4574-A937-B718BB19206A}"/>
    <cellStyle name="Normal 9 6 3 2 3" xfId="6266" xr:uid="{B29FF092-B06C-4321-8015-D6FA1EEB8EFD}"/>
    <cellStyle name="Normal 9 6 3 2 3 2" xfId="14646" xr:uid="{15CF6362-F264-4C20-90AA-3F3736D97113}"/>
    <cellStyle name="Normal 9 6 3 2 3 2 2" xfId="31406" xr:uid="{2C658EE4-B070-4A30-A993-562A521332BC}"/>
    <cellStyle name="Normal 9 6 3 2 3 2 3" xfId="48165" xr:uid="{796C9DFE-4BF0-4C2A-8545-39791ECAE33F}"/>
    <cellStyle name="Normal 9 6 3 2 3 3" xfId="23026" xr:uid="{942E2C67-601A-435E-9AE5-CFADA8E72FEC}"/>
    <cellStyle name="Normal 9 6 3 2 3 4" xfId="39785" xr:uid="{912D6C93-FD7C-42BF-AEE1-70209D704F5D}"/>
    <cellStyle name="Normal 9 6 3 2 4" xfId="3002" xr:uid="{22C6D286-D9C7-4AE0-B37D-94E57BAEF642}"/>
    <cellStyle name="Normal 9 6 3 2 4 2" xfId="11382" xr:uid="{3944E3ED-9A81-49A8-A2E4-D79CFCEFC357}"/>
    <cellStyle name="Normal 9 6 3 2 4 2 2" xfId="28142" xr:uid="{B35448CA-C805-402D-B0C1-2E9CE85C91E0}"/>
    <cellStyle name="Normal 9 6 3 2 4 2 3" xfId="44901" xr:uid="{0DF8E2DB-B2CA-4945-87C0-CA7D7E6261BC}"/>
    <cellStyle name="Normal 9 6 3 2 4 3" xfId="19762" xr:uid="{C86F28DA-364B-47DD-9E25-59CA5BDE397F}"/>
    <cellStyle name="Normal 9 6 3 2 4 4" xfId="36521" xr:uid="{A02B7EB1-DFC3-4709-8F8E-FE3CB73BC6B3}"/>
    <cellStyle name="Normal 9 6 3 2 5" xfId="9579" xr:uid="{481150BD-F905-409F-B1B3-50DDCEAADAEB}"/>
    <cellStyle name="Normal 9 6 3 2 5 2" xfId="26339" xr:uid="{5704060B-30A3-4FD5-8013-D61703521E92}"/>
    <cellStyle name="Normal 9 6 3 2 5 3" xfId="43098" xr:uid="{C7B7C1B9-A26D-42E8-9233-8290134CA25F}"/>
    <cellStyle name="Normal 9 6 3 2 6" xfId="17959" xr:uid="{2AE0DA1B-DB97-425E-A82A-8E18BE1D84D4}"/>
    <cellStyle name="Normal 9 6 3 2 7" xfId="34718" xr:uid="{C36F140B-7103-4873-92C0-E6AB9B2A106E}"/>
    <cellStyle name="Normal 9 6 3 3" xfId="1618" xr:uid="{44981FA4-B951-4D40-9DCD-3666A8624F24}"/>
    <cellStyle name="Normal 9 6 3 3 2" xfId="5007" xr:uid="{9242B48C-8E77-475C-BD09-5D3EB8B196E2}"/>
    <cellStyle name="Normal 9 6 3 3 2 2" xfId="13387" xr:uid="{0035E9B8-B840-40FF-BF9B-0AC69768582C}"/>
    <cellStyle name="Normal 9 6 3 3 2 2 2" xfId="30147" xr:uid="{4E802230-3AEC-4E4C-A1C2-B7E55DA51F05}"/>
    <cellStyle name="Normal 9 6 3 3 2 2 3" xfId="46906" xr:uid="{62BB2741-62A0-4AF5-8BC9-456D96291BA4}"/>
    <cellStyle name="Normal 9 6 3 3 2 3" xfId="21767" xr:uid="{62EFFC4E-69A0-4CF1-9B72-017AEE340DEC}"/>
    <cellStyle name="Normal 9 6 3 3 2 4" xfId="38526" xr:uid="{58F4619E-A0AD-4D6C-B505-C7F5A26903D2}"/>
    <cellStyle name="Normal 9 6 3 3 3" xfId="6694" xr:uid="{C39FF4FA-C67F-4496-A6ED-EF5CF203DF41}"/>
    <cellStyle name="Normal 9 6 3 3 3 2" xfId="15074" xr:uid="{C296EC8A-4DCD-45FD-893C-8EF89F783CF8}"/>
    <cellStyle name="Normal 9 6 3 3 3 2 2" xfId="31834" xr:uid="{8AE7518E-C1A1-40A0-889F-E4EA07AAA504}"/>
    <cellStyle name="Normal 9 6 3 3 3 2 3" xfId="48593" xr:uid="{93FA9D57-39B1-4C3D-8E0E-6FB24B83BFD7}"/>
    <cellStyle name="Normal 9 6 3 3 3 3" xfId="23454" xr:uid="{80269CBC-480B-4920-A810-2AB592FBDE0B}"/>
    <cellStyle name="Normal 9 6 3 3 3 4" xfId="40213" xr:uid="{AD24662A-7C55-4C01-8B12-6A55C526A506}"/>
    <cellStyle name="Normal 9 6 3 3 4" xfId="3430" xr:uid="{ED0C7906-00E7-4982-83A8-DA5CA76E3F28}"/>
    <cellStyle name="Normal 9 6 3 3 4 2" xfId="11810" xr:uid="{9A846E25-4E4F-402A-9F81-9AF9E23BC40F}"/>
    <cellStyle name="Normal 9 6 3 3 4 2 2" xfId="28570" xr:uid="{6DCEAEC0-F75D-43FF-A76D-A11D3E6D3226}"/>
    <cellStyle name="Normal 9 6 3 3 4 2 3" xfId="45329" xr:uid="{0633C8F3-54C1-4089-B0E8-2DA9BE72F953}"/>
    <cellStyle name="Normal 9 6 3 3 4 3" xfId="20190" xr:uid="{9B403D49-1209-42B1-BA5F-372B74F6B895}"/>
    <cellStyle name="Normal 9 6 3 3 4 4" xfId="36949" xr:uid="{AD90E70A-C602-431D-B851-5F06A4ABCB96}"/>
    <cellStyle name="Normal 9 6 3 3 5" xfId="10007" xr:uid="{1C2EE97D-5C63-4485-B487-EE70D04D3662}"/>
    <cellStyle name="Normal 9 6 3 3 5 2" xfId="26767" xr:uid="{DD6717D8-4C1F-40DA-8D4D-71523F225E5D}"/>
    <cellStyle name="Normal 9 6 3 3 5 3" xfId="43526" xr:uid="{27F60809-FA86-4E68-A4CA-FFDCB73068E0}"/>
    <cellStyle name="Normal 9 6 3 3 6" xfId="18387" xr:uid="{196D1EA5-2B97-49FC-A6F7-DC8584E52BA8}"/>
    <cellStyle name="Normal 9 6 3 3 7" xfId="35146" xr:uid="{99714703-8DBA-4E31-8F04-07889FA4BA79}"/>
    <cellStyle name="Normal 9 6 3 4" xfId="2012" xr:uid="{DADF4F37-2346-47D1-AFAD-BFC7C6AB930D}"/>
    <cellStyle name="Normal 9 6 3 4 2" xfId="5401" xr:uid="{81542120-68DA-4EEB-A950-010CD7A7CC52}"/>
    <cellStyle name="Normal 9 6 3 4 2 2" xfId="13781" xr:uid="{FC0272CF-7C3B-49AD-93ED-81A78F5A0647}"/>
    <cellStyle name="Normal 9 6 3 4 2 2 2" xfId="30541" xr:uid="{8B070651-82E8-4621-B7AF-FA2CEA93605C}"/>
    <cellStyle name="Normal 9 6 3 4 2 2 3" xfId="47300" xr:uid="{093010ED-AC54-41F1-A6C2-D8707AC1CB16}"/>
    <cellStyle name="Normal 9 6 3 4 2 3" xfId="22161" xr:uid="{8EA8D186-0C65-4707-8085-7356E7398955}"/>
    <cellStyle name="Normal 9 6 3 4 2 4" xfId="38920" xr:uid="{93081F6D-DD2A-4BA0-AC54-3B4D46ED77F9}"/>
    <cellStyle name="Normal 9 6 3 4 3" xfId="7088" xr:uid="{2B63BA0E-AD2D-4199-B9FB-96C81F6F5F93}"/>
    <cellStyle name="Normal 9 6 3 4 3 2" xfId="15468" xr:uid="{D03CF6D2-D0D2-41EE-AD43-3F27F9906BC2}"/>
    <cellStyle name="Normal 9 6 3 4 3 2 2" xfId="32228" xr:uid="{7AD9A547-1C75-4575-BC3D-33C2519A39E3}"/>
    <cellStyle name="Normal 9 6 3 4 3 2 3" xfId="48987" xr:uid="{492A9E61-9DB6-4BD9-B67F-7E9D4E9E37C1}"/>
    <cellStyle name="Normal 9 6 3 4 3 3" xfId="23848" xr:uid="{9CC879D6-DDFC-4F6D-A206-0C4E79A23BCB}"/>
    <cellStyle name="Normal 9 6 3 4 3 4" xfId="40607" xr:uid="{E29693E7-58A7-42A8-94AF-3D904A60C619}"/>
    <cellStyle name="Normal 9 6 3 4 4" xfId="3711" xr:uid="{F72DA202-0899-4313-9A92-CD38901554DE}"/>
    <cellStyle name="Normal 9 6 3 4 4 2" xfId="12091" xr:uid="{44A576B7-85F3-41DB-BDD6-3460D6A9ECAC}"/>
    <cellStyle name="Normal 9 6 3 4 4 2 2" xfId="28851" xr:uid="{2D16B82A-EE96-4EB1-ABD3-D2D8F760B0F2}"/>
    <cellStyle name="Normal 9 6 3 4 4 2 3" xfId="45610" xr:uid="{B98978E3-77AE-4549-93A1-03FE69FBAD4F}"/>
    <cellStyle name="Normal 9 6 3 4 4 3" xfId="20471" xr:uid="{87160B59-66D1-429D-9BF5-E1F5AA901997}"/>
    <cellStyle name="Normal 9 6 3 4 4 4" xfId="37230" xr:uid="{F99B2916-8AEB-4263-868E-E149F55415AE}"/>
    <cellStyle name="Normal 9 6 3 4 5" xfId="10401" xr:uid="{AE5C2C8C-C715-4B01-ABF3-2B7BF4984782}"/>
    <cellStyle name="Normal 9 6 3 4 5 2" xfId="27161" xr:uid="{557A1180-05EA-4A2A-A105-C0D78277FFA3}"/>
    <cellStyle name="Normal 9 6 3 4 5 3" xfId="43920" xr:uid="{3C2CEAB8-E7A4-4624-93F0-3A3C7A815C05}"/>
    <cellStyle name="Normal 9 6 3 4 6" xfId="18781" xr:uid="{5AF0EFFA-0FE9-4891-A352-86607DD56B6B}"/>
    <cellStyle name="Normal 9 6 3 4 7" xfId="35540" xr:uid="{39055AC6-2CC4-4A49-8A45-0B08CE50C60C}"/>
    <cellStyle name="Normal 9 6 3 5" xfId="4131" xr:uid="{A6F754A1-B1D5-4D33-854D-43B886D47584}"/>
    <cellStyle name="Normal 9 6 3 5 2" xfId="12511" xr:uid="{4D710267-62A7-41D0-AA57-D763BAC788E7}"/>
    <cellStyle name="Normal 9 6 3 5 2 2" xfId="29271" xr:uid="{50AF97DF-41D3-43C0-97C8-8B07CE2603D5}"/>
    <cellStyle name="Normal 9 6 3 5 2 3" xfId="46030" xr:uid="{ADDC99B2-9817-43EA-9845-D1E97B7F1510}"/>
    <cellStyle name="Normal 9 6 3 5 3" xfId="20891" xr:uid="{7EE58085-65EE-469E-B6D2-56E7C3C346A4}"/>
    <cellStyle name="Normal 9 6 3 5 4" xfId="37650" xr:uid="{625ADCBC-A9C0-4092-BD5D-F351FB611568}"/>
    <cellStyle name="Normal 9 6 3 6" xfId="5840" xr:uid="{C32550B2-453A-4471-8938-61972BE08804}"/>
    <cellStyle name="Normal 9 6 3 6 2" xfId="14220" xr:uid="{23C7B363-F3BF-4D6C-A281-AD3CA678D33F}"/>
    <cellStyle name="Normal 9 6 3 6 2 2" xfId="30980" xr:uid="{13674BBF-E41D-43AA-87B6-DE15E4364ADA}"/>
    <cellStyle name="Normal 9 6 3 6 2 3" xfId="47739" xr:uid="{393640BF-DAE3-4C3C-9E8E-842A35B95A44}"/>
    <cellStyle name="Normal 9 6 3 6 3" xfId="22600" xr:uid="{982B980C-3F37-4654-81A1-1DDB75D92D9A}"/>
    <cellStyle name="Normal 9 6 3 6 4" xfId="39359" xr:uid="{37167D6C-25E0-4235-8803-47A8C3A1F712}"/>
    <cellStyle name="Normal 9 6 3 7" xfId="7494" xr:uid="{8F84CDED-176B-41D3-9C4B-93278930B906}"/>
    <cellStyle name="Normal 9 6 3 7 2" xfId="15874" xr:uid="{4A1E499C-CB42-4EEE-892E-E3443C0D621B}"/>
    <cellStyle name="Normal 9 6 3 7 2 2" xfId="32634" xr:uid="{767C8245-C75C-45BD-A10D-56BBCBF06DBC}"/>
    <cellStyle name="Normal 9 6 3 7 2 3" xfId="49393" xr:uid="{0CD9B3AA-9C8D-4CCF-8FC8-E4424870D201}"/>
    <cellStyle name="Normal 9 6 3 7 3" xfId="24254" xr:uid="{12B246E9-72E6-43DF-9797-80D8A64D795C}"/>
    <cellStyle name="Normal 9 6 3 7 4" xfId="41013" xr:uid="{25BD0BF3-13F1-458C-BFEB-7669202D21DC}"/>
    <cellStyle name="Normal 9 6 3 8" xfId="7900" xr:uid="{CBC40983-34CF-41D2-B5C7-A08A50197B09}"/>
    <cellStyle name="Normal 9 6 3 8 2" xfId="16280" xr:uid="{8089370B-47C3-45AD-9B1D-ADBC33A86BDB}"/>
    <cellStyle name="Normal 9 6 3 8 2 2" xfId="33040" xr:uid="{82400D74-DEEA-47BA-BAB8-658A70578BBA}"/>
    <cellStyle name="Normal 9 6 3 8 2 3" xfId="49799" xr:uid="{E7420E9D-2DFC-458E-9E5C-A827844D1BBF}"/>
    <cellStyle name="Normal 9 6 3 8 3" xfId="24660" xr:uid="{87FFA545-7D48-46DC-B3A8-648754B066E5}"/>
    <cellStyle name="Normal 9 6 3 8 4" xfId="41419" xr:uid="{F823FC2A-60E8-41CB-8755-AEEF2D5D863C}"/>
    <cellStyle name="Normal 9 6 3 9" xfId="8306" xr:uid="{B0627CE6-A267-4979-880C-C66A63B3FCE1}"/>
    <cellStyle name="Normal 9 6 3 9 2" xfId="16686" xr:uid="{15784307-8BAD-407A-BA23-A2472A16DF94}"/>
    <cellStyle name="Normal 9 6 3 9 2 2" xfId="33446" xr:uid="{F618C391-AA04-4672-9784-8FF684FBDA3A}"/>
    <cellStyle name="Normal 9 6 3 9 2 3" xfId="50205" xr:uid="{8874CA30-04EE-4191-8D58-5635D729C239}"/>
    <cellStyle name="Normal 9 6 3 9 3" xfId="25066" xr:uid="{38F825DF-2573-482B-95C4-4193F8E70DDA}"/>
    <cellStyle name="Normal 9 6 3 9 4" xfId="41825" xr:uid="{F31A6904-8196-46FC-A515-96F45DB5C3A7}"/>
    <cellStyle name="Normal 9 6 4" xfId="1182" xr:uid="{6EFAEAD5-3819-400E-BA5B-4109A2CD36C9}"/>
    <cellStyle name="Normal 9 6 4 2" xfId="4577" xr:uid="{24960DD1-5ED0-4CDC-8F76-5B3543E3991C}"/>
    <cellStyle name="Normal 9 6 4 2 2" xfId="12957" xr:uid="{EB299F54-7FFD-4AC7-8385-DF189A244A7D}"/>
    <cellStyle name="Normal 9 6 4 2 2 2" xfId="29717" xr:uid="{D626D885-F3B0-4BB3-9FE0-FF0F69682B2D}"/>
    <cellStyle name="Normal 9 6 4 2 2 3" xfId="46476" xr:uid="{AE9C56D0-BFEF-499C-9330-976A6C4AA554}"/>
    <cellStyle name="Normal 9 6 4 2 3" xfId="21337" xr:uid="{7CB127B6-4EAB-414E-B476-35F3E9FCD62E}"/>
    <cellStyle name="Normal 9 6 4 2 4" xfId="38096" xr:uid="{220B17B0-D7E1-4791-A66A-63D3D8E079BC}"/>
    <cellStyle name="Normal 9 6 4 3" xfId="6264" xr:uid="{DA9E056A-8045-459B-948D-8154F448276F}"/>
    <cellStyle name="Normal 9 6 4 3 2" xfId="14644" xr:uid="{D36CA89A-7E16-4656-9343-7E36E29CDE8B}"/>
    <cellStyle name="Normal 9 6 4 3 2 2" xfId="31404" xr:uid="{B0342C55-3D12-4B01-8430-D39863101D31}"/>
    <cellStyle name="Normal 9 6 4 3 2 3" xfId="48163" xr:uid="{CF1E07BD-2AE7-46F7-BC69-2CDD49ED9E18}"/>
    <cellStyle name="Normal 9 6 4 3 3" xfId="23024" xr:uid="{DB578851-9F05-4883-86EF-6E622A44EA6A}"/>
    <cellStyle name="Normal 9 6 4 3 4" xfId="39783" xr:uid="{322DABAD-F0DD-4734-AB27-8920A02DF7B5}"/>
    <cellStyle name="Normal 9 6 4 4" xfId="3000" xr:uid="{6A938B79-109D-49B6-B71D-8B2B0764A341}"/>
    <cellStyle name="Normal 9 6 4 4 2" xfId="11380" xr:uid="{2668CBA7-034F-4F76-A952-DA41EB372381}"/>
    <cellStyle name="Normal 9 6 4 4 2 2" xfId="28140" xr:uid="{F479FF22-4A5C-4AD7-A1E2-8A12F219103F}"/>
    <cellStyle name="Normal 9 6 4 4 2 3" xfId="44899" xr:uid="{DD8D9BA8-A6DE-44E1-A8AB-CAADC637B6A2}"/>
    <cellStyle name="Normal 9 6 4 4 3" xfId="19760" xr:uid="{C443082B-5BDB-422C-A1FF-7531BE87D574}"/>
    <cellStyle name="Normal 9 6 4 4 4" xfId="36519" xr:uid="{695A6614-4C6A-405B-8B08-6A78541E8996}"/>
    <cellStyle name="Normal 9 6 4 5" xfId="9577" xr:uid="{D5E84955-9FBD-48F0-8274-5948A5141F18}"/>
    <cellStyle name="Normal 9 6 4 5 2" xfId="26337" xr:uid="{F8CB3312-C857-4BB4-8219-2E91A7C5C027}"/>
    <cellStyle name="Normal 9 6 4 5 3" xfId="43096" xr:uid="{26CFFC28-8942-4E28-9DF0-06FB6E1407AC}"/>
    <cellStyle name="Normal 9 6 4 6" xfId="17957" xr:uid="{2F3D6512-95F0-4770-975D-554F90C2354E}"/>
    <cellStyle name="Normal 9 6 4 7" xfId="34716" xr:uid="{707C18D2-0BFA-4334-9802-F11182479A71}"/>
    <cellStyle name="Normal 9 6 5" xfId="1616" xr:uid="{19199E0E-3FEF-4485-8DDC-3E90555E5784}"/>
    <cellStyle name="Normal 9 6 5 2" xfId="5005" xr:uid="{45143BC0-9374-411E-924D-1AB76169EB0B}"/>
    <cellStyle name="Normal 9 6 5 2 2" xfId="13385" xr:uid="{A0AE5BD8-B079-469A-BFF8-1A49B59196B4}"/>
    <cellStyle name="Normal 9 6 5 2 2 2" xfId="30145" xr:uid="{A0A54702-1976-436C-A994-6E0B01CB39C5}"/>
    <cellStyle name="Normal 9 6 5 2 2 3" xfId="46904" xr:uid="{7CE85150-1516-471F-8360-8D966DA3D4CF}"/>
    <cellStyle name="Normal 9 6 5 2 3" xfId="21765" xr:uid="{B2AE8371-B8FE-4AB3-B853-1B8629DFB7BB}"/>
    <cellStyle name="Normal 9 6 5 2 4" xfId="38524" xr:uid="{4459217D-71F9-4E20-88D1-7CFE2FAA8540}"/>
    <cellStyle name="Normal 9 6 5 3" xfId="6692" xr:uid="{EBB70937-EA4E-4666-82E9-DD8272FC82A6}"/>
    <cellStyle name="Normal 9 6 5 3 2" xfId="15072" xr:uid="{E182BA20-9D68-4BFD-8F3F-2E652F4F4BC8}"/>
    <cellStyle name="Normal 9 6 5 3 2 2" xfId="31832" xr:uid="{14AC9AA7-6A10-4611-AFE2-DAF827E2FF94}"/>
    <cellStyle name="Normal 9 6 5 3 2 3" xfId="48591" xr:uid="{01A8479A-E0B6-4DC8-BF46-0E358F239576}"/>
    <cellStyle name="Normal 9 6 5 3 3" xfId="23452" xr:uid="{FCD36448-B677-459E-BB68-7FB705B34103}"/>
    <cellStyle name="Normal 9 6 5 3 4" xfId="40211" xr:uid="{932FD98A-DF68-478B-BD18-DE8D90E12812}"/>
    <cellStyle name="Normal 9 6 5 4" xfId="3428" xr:uid="{87B78862-FC28-4B0C-B196-81C020314E8B}"/>
    <cellStyle name="Normal 9 6 5 4 2" xfId="11808" xr:uid="{68CCE9D7-92D3-47D2-8AE6-E9F46B87865B}"/>
    <cellStyle name="Normal 9 6 5 4 2 2" xfId="28568" xr:uid="{5F3BD757-D6D9-4EDC-A5BA-95DCF2BE5289}"/>
    <cellStyle name="Normal 9 6 5 4 2 3" xfId="45327" xr:uid="{797BDEC2-E354-4B59-BC98-760CA884E965}"/>
    <cellStyle name="Normal 9 6 5 4 3" xfId="20188" xr:uid="{ACCC12B0-B1F5-4A86-A33B-D03550158385}"/>
    <cellStyle name="Normal 9 6 5 4 4" xfId="36947" xr:uid="{7CFC27F8-74F3-411E-BDAB-9A80DE74B222}"/>
    <cellStyle name="Normal 9 6 5 5" xfId="10005" xr:uid="{CFC1C2E5-11CB-4D9B-924F-0C3E050A2416}"/>
    <cellStyle name="Normal 9 6 5 5 2" xfId="26765" xr:uid="{CC63D7A1-2110-4B1D-8662-B742B03B2968}"/>
    <cellStyle name="Normal 9 6 5 5 3" xfId="43524" xr:uid="{7D57C6C7-8556-4253-9DC9-06FB9EC97DDE}"/>
    <cellStyle name="Normal 9 6 5 6" xfId="18385" xr:uid="{44522578-0281-4531-BA56-E1B8232E3C67}"/>
    <cellStyle name="Normal 9 6 5 7" xfId="35144" xr:uid="{3D96CC9E-F981-4698-89E0-BB40C8D471B8}"/>
    <cellStyle name="Normal 9 6 6" xfId="1741" xr:uid="{33B787C0-153C-414C-BB51-7E6758B3FAE9}"/>
    <cellStyle name="Normal 9 6 6 2" xfId="5130" xr:uid="{33BD5BBB-0B01-4840-896E-523789AE97CE}"/>
    <cellStyle name="Normal 9 6 6 2 2" xfId="13510" xr:uid="{4E3F4DFA-BE2D-4AAB-8EB9-0C08B499EE4C}"/>
    <cellStyle name="Normal 9 6 6 2 2 2" xfId="30270" xr:uid="{5DEF5431-A716-4D84-83DC-96836AC0D3DD}"/>
    <cellStyle name="Normal 9 6 6 2 2 3" xfId="47029" xr:uid="{90B9ECB1-9D94-4553-B469-766AA55A717A}"/>
    <cellStyle name="Normal 9 6 6 2 3" xfId="21890" xr:uid="{4A76075D-3CB2-4F6E-AC17-FC6FB2EADDF5}"/>
    <cellStyle name="Normal 9 6 6 2 4" xfId="38649" xr:uid="{62937A57-8056-4E0A-9D8E-E4132EAE7B46}"/>
    <cellStyle name="Normal 9 6 6 3" xfId="6817" xr:uid="{48B719FE-62B5-433C-B470-85EB6A9EE475}"/>
    <cellStyle name="Normal 9 6 6 3 2" xfId="15197" xr:uid="{2B2CA58C-1D1B-453F-83DB-542956211A25}"/>
    <cellStyle name="Normal 9 6 6 3 2 2" xfId="31957" xr:uid="{C4214B22-B04E-4328-8902-6671EEB6CA44}"/>
    <cellStyle name="Normal 9 6 6 3 2 3" xfId="48716" xr:uid="{59A8B9FF-4E9E-4B1F-A02E-C972D9EDEA11}"/>
    <cellStyle name="Normal 9 6 6 3 3" xfId="23577" xr:uid="{D6AF34CB-0D77-433A-93D2-C57B86CBF269}"/>
    <cellStyle name="Normal 9 6 6 3 4" xfId="40336" xr:uid="{F737D82D-7428-41DF-BD43-EF7F135F9B99}"/>
    <cellStyle name="Normal 9 6 6 4" xfId="2572" xr:uid="{83F7C53D-21B7-42EF-AD32-1CA98AC6C62D}"/>
    <cellStyle name="Normal 9 6 6 4 2" xfId="10954" xr:uid="{609B656E-1E42-420F-AC96-63AE4F5FB619}"/>
    <cellStyle name="Normal 9 6 6 4 2 2" xfId="27714" xr:uid="{2EC481AF-688F-4362-9CF0-C1FBEA723F38}"/>
    <cellStyle name="Normal 9 6 6 4 2 3" xfId="44473" xr:uid="{5B5D95C0-3145-4C45-A7E1-36AE4F7CC298}"/>
    <cellStyle name="Normal 9 6 6 4 3" xfId="19334" xr:uid="{5E72AFC2-D16A-4B79-9C1D-4087710BF3A3}"/>
    <cellStyle name="Normal 9 6 6 4 4" xfId="36093" xr:uid="{4E72670E-E6F1-4148-AA4A-D512275AA5BB}"/>
    <cellStyle name="Normal 9 6 6 5" xfId="10130" xr:uid="{79ADFFA5-073F-452F-B66B-D97D5E7E270B}"/>
    <cellStyle name="Normal 9 6 6 5 2" xfId="26890" xr:uid="{459D0B45-C474-4BEA-9A49-03BE4DB5BB0C}"/>
    <cellStyle name="Normal 9 6 6 5 3" xfId="43649" xr:uid="{CC8FA5B0-5C90-4B7C-B268-7B6FF04F3604}"/>
    <cellStyle name="Normal 9 6 6 6" xfId="18510" xr:uid="{87E83412-0EC1-441E-AA5E-2F92BC30B055}"/>
    <cellStyle name="Normal 9 6 6 7" xfId="35269" xr:uid="{560FDAC0-BD6F-4EE1-8DF2-B2DAE1A6D996}"/>
    <cellStyle name="Normal 9 6 7" xfId="3860" xr:uid="{47F64247-1095-4CC2-ABF2-570959695CB1}"/>
    <cellStyle name="Normal 9 6 7 2" xfId="12240" xr:uid="{6D62484B-F7D7-4058-BC0C-4B4D345A1B8C}"/>
    <cellStyle name="Normal 9 6 7 2 2" xfId="29000" xr:uid="{D0891620-47AA-4418-B5F4-59F3E7155A37}"/>
    <cellStyle name="Normal 9 6 7 2 3" xfId="45759" xr:uid="{C5308B7C-6DC3-4FDB-B31D-767C57BD7262}"/>
    <cellStyle name="Normal 9 6 7 3" xfId="20620" xr:uid="{4BFDDAD6-3E42-40B8-8255-B59C9092AF26}"/>
    <cellStyle name="Normal 9 6 7 4" xfId="37379" xr:uid="{96EDF9F5-A18A-42D8-8A62-243D935A2904}"/>
    <cellStyle name="Normal 9 6 8" xfId="5838" xr:uid="{75C326EE-8554-45F7-BC6F-5D4F19704677}"/>
    <cellStyle name="Normal 9 6 8 2" xfId="14218" xr:uid="{6C17F902-69A3-4004-AE07-7CBBAA67FE41}"/>
    <cellStyle name="Normal 9 6 8 2 2" xfId="30978" xr:uid="{044FCA46-3D33-4F15-A29B-94564E55E444}"/>
    <cellStyle name="Normal 9 6 8 2 3" xfId="47737" xr:uid="{D150F88D-6F4C-419B-B1C6-84B5016F8C1E}"/>
    <cellStyle name="Normal 9 6 8 3" xfId="22598" xr:uid="{2AA38719-6FA4-47D5-B63E-9F6724A434B1}"/>
    <cellStyle name="Normal 9 6 8 4" xfId="39357" xr:uid="{57798BAD-EB72-42E4-A3FC-ACA005FDB887}"/>
    <cellStyle name="Normal 9 6 9" xfId="7223" xr:uid="{BC5D72DF-8875-4D21-BB44-16BAFC236DE9}"/>
    <cellStyle name="Normal 9 6 9 2" xfId="15603" xr:uid="{A5A4B440-0220-4E74-9AB9-7B5977B53A1A}"/>
    <cellStyle name="Normal 9 6 9 2 2" xfId="32363" xr:uid="{8E2D740D-EDF9-4FB6-A89C-BA7F64D293BB}"/>
    <cellStyle name="Normal 9 6 9 2 3" xfId="49122" xr:uid="{BFB8DE79-B81A-420B-A807-00EFF5FC75F7}"/>
    <cellStyle name="Normal 9 6 9 3" xfId="23983" xr:uid="{E233DD84-2B39-4FF1-B54F-0E6E333D10DE}"/>
    <cellStyle name="Normal 9 6 9 4" xfId="40742" xr:uid="{E59414A3-78C0-4989-8105-2097C88CDB85}"/>
    <cellStyle name="Normal 9 7" xfId="746" xr:uid="{F24B0C9D-4C93-4C9B-A9AB-8A4AE434E4AA}"/>
    <cellStyle name="Normal 9 7 10" xfId="8582" xr:uid="{542046CD-54BF-428C-9C76-1620E57C1E9C}"/>
    <cellStyle name="Normal 9 7 10 2" xfId="16962" xr:uid="{CE4172EF-C8D1-4B2A-9C0C-D1F97A0872BF}"/>
    <cellStyle name="Normal 9 7 10 2 2" xfId="33722" xr:uid="{CFACB91F-9B30-47A6-81E0-45A406BDE8D7}"/>
    <cellStyle name="Normal 9 7 10 2 3" xfId="50481" xr:uid="{4584BE4D-77A4-48C2-9E51-09DF5D3DD1AD}"/>
    <cellStyle name="Normal 9 7 10 3" xfId="25342" xr:uid="{DC6AB2F6-B863-4B08-833A-BCF68AF75602}"/>
    <cellStyle name="Normal 9 7 10 4" xfId="42101" xr:uid="{5EA2EE50-7848-440F-8419-06F3F11CA6F5}"/>
    <cellStyle name="Normal 9 7 11" xfId="2575" xr:uid="{0088232C-9D13-4D19-987B-E361D976C43A}"/>
    <cellStyle name="Normal 9 7 11 2" xfId="10957" xr:uid="{FBA80E75-4101-4AAA-AF10-0B132BAB16D3}"/>
    <cellStyle name="Normal 9 7 11 2 2" xfId="27717" xr:uid="{4092B7E9-8C55-49F3-B61F-9B26B104AEFB}"/>
    <cellStyle name="Normal 9 7 11 2 3" xfId="44476" xr:uid="{F7F135D8-17F2-438F-9B6B-71ADCC7A4CBC}"/>
    <cellStyle name="Normal 9 7 11 3" xfId="19337" xr:uid="{A1843CB8-8070-442A-B007-B0FF50CD6E1A}"/>
    <cellStyle name="Normal 9 7 11 4" xfId="36096" xr:uid="{AA45F497-6F2D-4F61-8060-3E2AD30756C4}"/>
    <cellStyle name="Normal 9 7 12" xfId="9154" xr:uid="{437E136A-8024-4FEE-8883-43218B429961}"/>
    <cellStyle name="Normal 9 7 12 2" xfId="25914" xr:uid="{79007179-00E2-4FD6-A956-A35F4BF4C14B}"/>
    <cellStyle name="Normal 9 7 12 3" xfId="42673" xr:uid="{50ACDBC2-3B30-4A96-9984-AFF4AC098E68}"/>
    <cellStyle name="Normal 9 7 13" xfId="17534" xr:uid="{C33F51D0-9075-4F6B-8B6F-70E9A19743A7}"/>
    <cellStyle name="Normal 9 7 14" xfId="34293" xr:uid="{1A1410C8-1622-4704-81E5-A799CB089757}"/>
    <cellStyle name="Normal 9 7 2" xfId="1185" xr:uid="{513EEC68-AF1B-43C9-9329-4B45B6E3E554}"/>
    <cellStyle name="Normal 9 7 2 2" xfId="4580" xr:uid="{463138C5-D728-403F-B142-EB382AE7A2C8}"/>
    <cellStyle name="Normal 9 7 2 2 2" xfId="12960" xr:uid="{93BC8867-CB91-4455-A26F-6458B6708DD3}"/>
    <cellStyle name="Normal 9 7 2 2 2 2" xfId="29720" xr:uid="{0831A74E-FC32-4D16-B0DA-F94CEFEC3531}"/>
    <cellStyle name="Normal 9 7 2 2 2 3" xfId="46479" xr:uid="{26199FFE-C34B-4DCC-9DF3-85A100DA44A8}"/>
    <cellStyle name="Normal 9 7 2 2 3" xfId="21340" xr:uid="{A0F414D8-9817-4626-8544-2F62DAD458F5}"/>
    <cellStyle name="Normal 9 7 2 2 4" xfId="38099" xr:uid="{393CB1D2-9EC1-448C-93C5-29B0780B68EF}"/>
    <cellStyle name="Normal 9 7 2 3" xfId="6267" xr:uid="{7AB20820-0EED-4AF4-A96D-775DA32AC616}"/>
    <cellStyle name="Normal 9 7 2 3 2" xfId="14647" xr:uid="{AB261722-6BAB-46EF-B9AB-561D05527767}"/>
    <cellStyle name="Normal 9 7 2 3 2 2" xfId="31407" xr:uid="{B4E9DA40-D1CE-49BA-8CED-8D7EFED03142}"/>
    <cellStyle name="Normal 9 7 2 3 2 3" xfId="48166" xr:uid="{C5266FAA-557E-4E45-9CF4-BF0DDF37CA7F}"/>
    <cellStyle name="Normal 9 7 2 3 3" xfId="23027" xr:uid="{7006B802-FCFE-4D9A-9A7C-BCB4D192D9EC}"/>
    <cellStyle name="Normal 9 7 2 3 4" xfId="39786" xr:uid="{EE76058A-F105-4405-9B6F-35B9032B4503}"/>
    <cellStyle name="Normal 9 7 2 4" xfId="3003" xr:uid="{C38FB3AD-D7B9-4F2C-A04B-511432DF333D}"/>
    <cellStyle name="Normal 9 7 2 4 2" xfId="11383" xr:uid="{A089F17D-CF66-4142-9624-2DDFA2263501}"/>
    <cellStyle name="Normal 9 7 2 4 2 2" xfId="28143" xr:uid="{AD89D39E-FB79-45FF-A8DE-6EE940E6460C}"/>
    <cellStyle name="Normal 9 7 2 4 2 3" xfId="44902" xr:uid="{27A885FE-8880-4E29-83B0-1FAB320521C1}"/>
    <cellStyle name="Normal 9 7 2 4 3" xfId="19763" xr:uid="{B4CA6530-EF5E-420F-BC11-E7EDB06F5FDE}"/>
    <cellStyle name="Normal 9 7 2 4 4" xfId="36522" xr:uid="{BEA3D43E-7C56-49A7-B05B-81ADAC54FBBE}"/>
    <cellStyle name="Normal 9 7 2 5" xfId="9580" xr:uid="{F55CF32F-6935-498A-B25B-087556E942E8}"/>
    <cellStyle name="Normal 9 7 2 5 2" xfId="26340" xr:uid="{34005E16-E71F-4C99-B0C4-97606A40384D}"/>
    <cellStyle name="Normal 9 7 2 5 3" xfId="43099" xr:uid="{C58AAF4B-BB9C-4F59-A1B8-3FA3528B5BBA}"/>
    <cellStyle name="Normal 9 7 2 6" xfId="17960" xr:uid="{088F8EB5-7ECA-4785-8AE1-A6CC0AB0CE89}"/>
    <cellStyle name="Normal 9 7 2 7" xfId="34719" xr:uid="{6AAA8959-10B5-4C85-8657-04E6CB168DD9}"/>
    <cellStyle name="Normal 9 7 3" xfId="1619" xr:uid="{5BAC32BC-4335-4BFD-A4AE-0DD6253A1875}"/>
    <cellStyle name="Normal 9 7 3 2" xfId="5008" xr:uid="{8FBB572D-1E05-4E66-AB78-84F81EACB812}"/>
    <cellStyle name="Normal 9 7 3 2 2" xfId="13388" xr:uid="{9D1579CB-C6CD-4D05-9593-205B9CF5C3B9}"/>
    <cellStyle name="Normal 9 7 3 2 2 2" xfId="30148" xr:uid="{6B1E3F7A-1D77-439A-9B94-839D626D2EF6}"/>
    <cellStyle name="Normal 9 7 3 2 2 3" xfId="46907" xr:uid="{7C59E9B6-A3D1-4D93-BEAC-303EF4E4A934}"/>
    <cellStyle name="Normal 9 7 3 2 3" xfId="21768" xr:uid="{A0EAE423-421B-4C26-B0BE-E483E814FD59}"/>
    <cellStyle name="Normal 9 7 3 2 4" xfId="38527" xr:uid="{3C6660B2-FD18-47BE-A12B-F38A209B1AED}"/>
    <cellStyle name="Normal 9 7 3 3" xfId="6695" xr:uid="{09EF2001-282A-442B-A9EC-B0FA96D38811}"/>
    <cellStyle name="Normal 9 7 3 3 2" xfId="15075" xr:uid="{9169122E-19AF-403C-95C5-ECA37E842180}"/>
    <cellStyle name="Normal 9 7 3 3 2 2" xfId="31835" xr:uid="{78ACD1D6-5B94-42C5-BAE2-3622727F862A}"/>
    <cellStyle name="Normal 9 7 3 3 2 3" xfId="48594" xr:uid="{DE190CD5-E2DA-41FD-9A01-54C8CF4BA08A}"/>
    <cellStyle name="Normal 9 7 3 3 3" xfId="23455" xr:uid="{F1E411F0-4005-4398-BA50-35490086C7A5}"/>
    <cellStyle name="Normal 9 7 3 3 4" xfId="40214" xr:uid="{352F095F-78E4-4598-9EA5-D298EEA14DA6}"/>
    <cellStyle name="Normal 9 7 3 4" xfId="3431" xr:uid="{0B993DCD-D535-4377-B233-6A133430EBF5}"/>
    <cellStyle name="Normal 9 7 3 4 2" xfId="11811" xr:uid="{5A9DAEF4-5314-46A9-A91B-7E5784EF686B}"/>
    <cellStyle name="Normal 9 7 3 4 2 2" xfId="28571" xr:uid="{6921874E-33BE-41D4-9F08-4ABD3C175597}"/>
    <cellStyle name="Normal 9 7 3 4 2 3" xfId="45330" xr:uid="{9A771737-9FF7-4566-BECB-00268B7C93F3}"/>
    <cellStyle name="Normal 9 7 3 4 3" xfId="20191" xr:uid="{760F5A82-BF1E-4625-B27C-0C8F125AD4DC}"/>
    <cellStyle name="Normal 9 7 3 4 4" xfId="36950" xr:uid="{E5D96C8D-EF5C-4B75-9B33-0C6E3D0F7B18}"/>
    <cellStyle name="Normal 9 7 3 5" xfId="10008" xr:uid="{24A58119-5525-436B-997E-A3B5FA979EFA}"/>
    <cellStyle name="Normal 9 7 3 5 2" xfId="26768" xr:uid="{7DD44AD9-1F92-4D58-B33C-EC8BE59BB916}"/>
    <cellStyle name="Normal 9 7 3 5 3" xfId="43527" xr:uid="{A335349C-D7BD-48AF-B03C-ECEA0898CFC3}"/>
    <cellStyle name="Normal 9 7 3 6" xfId="18388" xr:uid="{748E1B96-5056-4BA9-ACC0-B6BD36366910}"/>
    <cellStyle name="Normal 9 7 3 7" xfId="35147" xr:uid="{FD2F80BE-E426-4C9E-A318-9CCC9A07E941}"/>
    <cellStyle name="Normal 9 7 4" xfId="1882" xr:uid="{9C7A4A3E-9332-4034-AA3F-7F17406E6A55}"/>
    <cellStyle name="Normal 9 7 4 2" xfId="5271" xr:uid="{58EC398D-244A-4E49-9DCF-220B009866A0}"/>
    <cellStyle name="Normal 9 7 4 2 2" xfId="13651" xr:uid="{8E8D8CF3-96AF-4907-AC9C-75EAFC54164A}"/>
    <cellStyle name="Normal 9 7 4 2 2 2" xfId="30411" xr:uid="{F9DDEA43-FF29-40E5-92C4-FB9BC39D5448}"/>
    <cellStyle name="Normal 9 7 4 2 2 3" xfId="47170" xr:uid="{1E6BBC28-1407-4CA5-B32D-1B7BE5CB4807}"/>
    <cellStyle name="Normal 9 7 4 2 3" xfId="22031" xr:uid="{97695BD7-9C13-46DE-ADBD-45A139DFEB47}"/>
    <cellStyle name="Normal 9 7 4 2 4" xfId="38790" xr:uid="{EBBE8F6C-B772-420E-8678-A74D5FF2130F}"/>
    <cellStyle name="Normal 9 7 4 3" xfId="6958" xr:uid="{7A0F3568-16D9-4ABE-81C7-14E5612A2C7E}"/>
    <cellStyle name="Normal 9 7 4 3 2" xfId="15338" xr:uid="{887DCFED-FAF2-45C1-98FE-DE3F702C3FA0}"/>
    <cellStyle name="Normal 9 7 4 3 2 2" xfId="32098" xr:uid="{1F996ABA-1195-4FB9-8782-376CE3E4EE5B}"/>
    <cellStyle name="Normal 9 7 4 3 2 3" xfId="48857" xr:uid="{46D029C6-A772-4750-B73F-092F4D663A1A}"/>
    <cellStyle name="Normal 9 7 4 3 3" xfId="23718" xr:uid="{1F841F36-3BD0-44C0-88C6-8CA1FDBFAECB}"/>
    <cellStyle name="Normal 9 7 4 3 4" xfId="40477" xr:uid="{E47E92A1-13F2-4DFA-A2E4-A744D0A95001}"/>
    <cellStyle name="Normal 9 7 4 4" xfId="3581" xr:uid="{3306416D-25D8-4E42-A382-F7860E71A514}"/>
    <cellStyle name="Normal 9 7 4 4 2" xfId="11961" xr:uid="{45CBC333-2A62-44FB-A80A-864037BDEC08}"/>
    <cellStyle name="Normal 9 7 4 4 2 2" xfId="28721" xr:uid="{F4626714-C172-4A40-8F19-7BEFCBB82083}"/>
    <cellStyle name="Normal 9 7 4 4 2 3" xfId="45480" xr:uid="{5C0AACA7-26ED-495C-854C-BE295604C634}"/>
    <cellStyle name="Normal 9 7 4 4 3" xfId="20341" xr:uid="{9EDE409B-8510-4F7A-9AEA-7EB6A986CDA1}"/>
    <cellStyle name="Normal 9 7 4 4 4" xfId="37100" xr:uid="{2582AD4D-E017-4E52-B95B-7C1065F87A96}"/>
    <cellStyle name="Normal 9 7 4 5" xfId="10271" xr:uid="{7CFA0529-3257-41CB-9456-B3F21B13A158}"/>
    <cellStyle name="Normal 9 7 4 5 2" xfId="27031" xr:uid="{B37954B0-ECE0-47D9-8AF2-40B00C6325A2}"/>
    <cellStyle name="Normal 9 7 4 5 3" xfId="43790" xr:uid="{F75A1D2F-F14F-4E91-9227-3B9FBAE36D27}"/>
    <cellStyle name="Normal 9 7 4 6" xfId="18651" xr:uid="{BA4CD4BD-DB82-49E3-897A-140B0FD69EB8}"/>
    <cellStyle name="Normal 9 7 4 7" xfId="35410" xr:uid="{C8240F7A-9267-439D-B183-A9413642BD0A}"/>
    <cellStyle name="Normal 9 7 5" xfId="4001" xr:uid="{AA1F3E10-732B-4F0F-982A-D6EB14EC7DE8}"/>
    <cellStyle name="Normal 9 7 5 2" xfId="12381" xr:uid="{5A7EE643-4FB4-4EF5-90FC-1AD6FE949478}"/>
    <cellStyle name="Normal 9 7 5 2 2" xfId="29141" xr:uid="{6325AE5C-1F9D-415E-A2B6-C90EAA600216}"/>
    <cellStyle name="Normal 9 7 5 2 3" xfId="45900" xr:uid="{C8695065-03D6-42C7-86A1-62B6C4644EBA}"/>
    <cellStyle name="Normal 9 7 5 3" xfId="20761" xr:uid="{5E92030C-AF8B-4C3F-99EF-CDDEFB18252B}"/>
    <cellStyle name="Normal 9 7 5 4" xfId="37520" xr:uid="{145518EA-7662-469C-A0DD-1AEFF91660B4}"/>
    <cellStyle name="Normal 9 7 6" xfId="5841" xr:uid="{B8624F4E-1C70-49BC-83E9-61F892C008EB}"/>
    <cellStyle name="Normal 9 7 6 2" xfId="14221" xr:uid="{F0F28C55-5303-461C-8463-3474463DE6E0}"/>
    <cellStyle name="Normal 9 7 6 2 2" xfId="30981" xr:uid="{92EE1221-AA68-411A-90FD-B4E3F35F95A7}"/>
    <cellStyle name="Normal 9 7 6 2 3" xfId="47740" xr:uid="{77661230-B211-430F-94F4-F7501AD55A4A}"/>
    <cellStyle name="Normal 9 7 6 3" xfId="22601" xr:uid="{30507F33-8C9E-470F-9427-25D41EB93FB9}"/>
    <cellStyle name="Normal 9 7 6 4" xfId="39360" xr:uid="{EC36985F-8EA1-44BC-9066-071CAAA59226}"/>
    <cellStyle name="Normal 9 7 7" xfId="7364" xr:uid="{04756422-4F79-4BA7-9418-BE0753584B5B}"/>
    <cellStyle name="Normal 9 7 7 2" xfId="15744" xr:uid="{80797D9B-DFEB-427C-BDBF-1A0CE4BA0EE9}"/>
    <cellStyle name="Normal 9 7 7 2 2" xfId="32504" xr:uid="{0F380002-8102-4D2C-A889-19AC09DED399}"/>
    <cellStyle name="Normal 9 7 7 2 3" xfId="49263" xr:uid="{C1BB2A50-A432-4534-B7E7-84495028A597}"/>
    <cellStyle name="Normal 9 7 7 3" xfId="24124" xr:uid="{969E6628-E329-4D61-935D-B4A18BE49B34}"/>
    <cellStyle name="Normal 9 7 7 4" xfId="40883" xr:uid="{448DDD75-28B3-45EA-A5F4-910BB2773724}"/>
    <cellStyle name="Normal 9 7 8" xfId="7770" xr:uid="{66112DC1-8466-465A-AD35-424E3AB97A92}"/>
    <cellStyle name="Normal 9 7 8 2" xfId="16150" xr:uid="{498F16E2-89E3-4994-9C7F-F39F927A706B}"/>
    <cellStyle name="Normal 9 7 8 2 2" xfId="32910" xr:uid="{C96267D9-95EA-4C90-A6F5-5D17BEA83778}"/>
    <cellStyle name="Normal 9 7 8 2 3" xfId="49669" xr:uid="{CE849947-E4D4-4E36-AF35-C220991CD1A3}"/>
    <cellStyle name="Normal 9 7 8 3" xfId="24530" xr:uid="{96316644-6FE2-45A3-B1DA-555AACF68872}"/>
    <cellStyle name="Normal 9 7 8 4" xfId="41289" xr:uid="{880406F7-2EEA-43D0-B646-4BA31862E7D7}"/>
    <cellStyle name="Normal 9 7 9" xfId="8176" xr:uid="{DAAEFCAB-7807-42F6-A064-E36F785957CA}"/>
    <cellStyle name="Normal 9 7 9 2" xfId="16556" xr:uid="{C89485DC-BFD1-44CB-8F60-0ED8862BE0FD}"/>
    <cellStyle name="Normal 9 7 9 2 2" xfId="33316" xr:uid="{D60CC6E2-92FA-4930-B67C-EB416400B31E}"/>
    <cellStyle name="Normal 9 7 9 2 3" xfId="50075" xr:uid="{58B83D97-6BF9-496B-9544-D4531391F616}"/>
    <cellStyle name="Normal 9 7 9 3" xfId="24936" xr:uid="{52833585-ADCD-4C7D-847F-800B7DB550E5}"/>
    <cellStyle name="Normal 9 7 9 4" xfId="41695" xr:uid="{4182D358-0179-45A1-832A-144DDDDEDC1D}"/>
    <cellStyle name="Normal 9 8" xfId="747" xr:uid="{1DC3984B-B74A-4078-B30E-874ADFF90AFF}"/>
    <cellStyle name="Normal 9 8 10" xfId="8617" xr:uid="{D0DB8850-0456-4B71-880D-68D5FFFBA026}"/>
    <cellStyle name="Normal 9 8 10 2" xfId="16997" xr:uid="{FE1271BF-6D04-49A0-B2D7-9E093B11D82D}"/>
    <cellStyle name="Normal 9 8 10 2 2" xfId="33757" xr:uid="{4172A251-33E5-4BB8-84CF-22E3C8C41E55}"/>
    <cellStyle name="Normal 9 8 10 2 3" xfId="50516" xr:uid="{C27F3D84-3865-4744-A7B9-DC7B8D1BEA6E}"/>
    <cellStyle name="Normal 9 8 10 3" xfId="25377" xr:uid="{8AB2CD81-D02F-4F71-8F6A-C15DCCDA9039}"/>
    <cellStyle name="Normal 9 8 10 4" xfId="42136" xr:uid="{D6E19C3F-9D89-4EAA-A94A-60229947F8AE}"/>
    <cellStyle name="Normal 9 8 11" xfId="2576" xr:uid="{A50244E6-A6AA-4ECE-9038-03100F1A7977}"/>
    <cellStyle name="Normal 9 8 11 2" xfId="10958" xr:uid="{D6D67157-F824-4A1F-8D6A-DCF69651FCC7}"/>
    <cellStyle name="Normal 9 8 11 2 2" xfId="27718" xr:uid="{C1D62DC5-EA2A-4DE0-AFC5-16401E0CC973}"/>
    <cellStyle name="Normal 9 8 11 2 3" xfId="44477" xr:uid="{91B231DB-509F-4E03-A84E-739593C7CE2F}"/>
    <cellStyle name="Normal 9 8 11 3" xfId="19338" xr:uid="{182DD7C6-95C4-41D7-9348-96C21F3C2058}"/>
    <cellStyle name="Normal 9 8 11 4" xfId="36097" xr:uid="{A7E6A6A4-DD28-40F4-9667-2AEB9653BD62}"/>
    <cellStyle name="Normal 9 8 12" xfId="9155" xr:uid="{FBAEA653-A81E-4B0D-8DA7-C35004CA8C75}"/>
    <cellStyle name="Normal 9 8 12 2" xfId="25915" xr:uid="{F48A2325-C455-4720-8A4C-1429964DA27E}"/>
    <cellStyle name="Normal 9 8 12 3" xfId="42674" xr:uid="{03427C87-9EE5-4BC0-829C-E0BE31135307}"/>
    <cellStyle name="Normal 9 8 13" xfId="17535" xr:uid="{72842CB0-62C9-40C8-941E-2722C8132BE5}"/>
    <cellStyle name="Normal 9 8 14" xfId="34294" xr:uid="{73F10475-62B0-4965-A63E-B6208FC10501}"/>
    <cellStyle name="Normal 9 8 2" xfId="1186" xr:uid="{E03043E1-4910-4191-BC3C-63CF42660C78}"/>
    <cellStyle name="Normal 9 8 2 2" xfId="4581" xr:uid="{E264F8FF-8052-4276-97A4-81C078596FE3}"/>
    <cellStyle name="Normal 9 8 2 2 2" xfId="12961" xr:uid="{D56D34DA-AF0B-478A-A3BE-88030CEEAB74}"/>
    <cellStyle name="Normal 9 8 2 2 2 2" xfId="29721" xr:uid="{39613C2F-5F61-4B43-9AC6-4D778E4F3C91}"/>
    <cellStyle name="Normal 9 8 2 2 2 3" xfId="46480" xr:uid="{63BD5B01-5217-4D8D-B9F3-9206E1FFB576}"/>
    <cellStyle name="Normal 9 8 2 2 3" xfId="21341" xr:uid="{01927133-456D-4154-AEAF-09C45FF0411D}"/>
    <cellStyle name="Normal 9 8 2 2 4" xfId="38100" xr:uid="{12785A87-A108-4362-8D02-B737F28EAD55}"/>
    <cellStyle name="Normal 9 8 2 3" xfId="6268" xr:uid="{4C622D32-013F-470E-B424-EC70F462D30D}"/>
    <cellStyle name="Normal 9 8 2 3 2" xfId="14648" xr:uid="{F9700F7B-B6F7-461C-8AFE-07EF8840A765}"/>
    <cellStyle name="Normal 9 8 2 3 2 2" xfId="31408" xr:uid="{1BFA6D26-2B9F-4941-B83E-A648F55E07E6}"/>
    <cellStyle name="Normal 9 8 2 3 2 3" xfId="48167" xr:uid="{0F885D24-6AE9-46E6-B9A1-9CE6D8958FC3}"/>
    <cellStyle name="Normal 9 8 2 3 3" xfId="23028" xr:uid="{6AF97709-F648-47CE-9C24-512055F638C4}"/>
    <cellStyle name="Normal 9 8 2 3 4" xfId="39787" xr:uid="{C69F0203-F7C5-445A-9176-CFE6884A217C}"/>
    <cellStyle name="Normal 9 8 2 4" xfId="3004" xr:uid="{0FF02CFF-3F4A-4410-A068-8FE928BD3B41}"/>
    <cellStyle name="Normal 9 8 2 4 2" xfId="11384" xr:uid="{57D31B46-522C-4F65-B7AD-3A580B90E4A4}"/>
    <cellStyle name="Normal 9 8 2 4 2 2" xfId="28144" xr:uid="{315C95BD-5900-48A8-8E2C-D5C1525834E8}"/>
    <cellStyle name="Normal 9 8 2 4 2 3" xfId="44903" xr:uid="{3791F016-BF30-43B7-90F3-14F17A5A97B0}"/>
    <cellStyle name="Normal 9 8 2 4 3" xfId="19764" xr:uid="{B84CD41B-1ABC-4F53-9F24-BDD6D4BEDB00}"/>
    <cellStyle name="Normal 9 8 2 4 4" xfId="36523" xr:uid="{BA2557AA-8727-4E9B-B379-F42CD86810F4}"/>
    <cellStyle name="Normal 9 8 2 5" xfId="9581" xr:uid="{4F4556CF-B4C9-4DA7-ADB4-11882E81A26E}"/>
    <cellStyle name="Normal 9 8 2 5 2" xfId="26341" xr:uid="{35855BCB-FC2E-4A87-A41E-9E72E7DE4AF6}"/>
    <cellStyle name="Normal 9 8 2 5 3" xfId="43100" xr:uid="{8210A080-BDAB-4A18-B668-3517814CEAD9}"/>
    <cellStyle name="Normal 9 8 2 6" xfId="17961" xr:uid="{A53576FF-4F93-4D13-A7A8-18133EF779D5}"/>
    <cellStyle name="Normal 9 8 2 7" xfId="34720" xr:uid="{A9EA409D-15D4-4965-B470-A690B1238427}"/>
    <cellStyle name="Normal 9 8 3" xfId="1620" xr:uid="{DFF884B9-9D70-41D2-9388-AA0E64C0FD45}"/>
    <cellStyle name="Normal 9 8 3 2" xfId="5009" xr:uid="{471BA001-0EE8-40A9-98AC-CD464E52300D}"/>
    <cellStyle name="Normal 9 8 3 2 2" xfId="13389" xr:uid="{FFAE9EE1-B0AA-449A-ACAA-B050AFBC5BF6}"/>
    <cellStyle name="Normal 9 8 3 2 2 2" xfId="30149" xr:uid="{3F26C126-AE70-4E6E-9555-25F918D1431C}"/>
    <cellStyle name="Normal 9 8 3 2 2 3" xfId="46908" xr:uid="{4A893E29-C538-4040-BAE3-4A25B73236AA}"/>
    <cellStyle name="Normal 9 8 3 2 3" xfId="21769" xr:uid="{7B99E39B-978E-48F0-86C8-390883ED4378}"/>
    <cellStyle name="Normal 9 8 3 2 4" xfId="38528" xr:uid="{0FAE3AA7-EC1E-4DD5-AA6C-8302932180DE}"/>
    <cellStyle name="Normal 9 8 3 3" xfId="6696" xr:uid="{73A4EFDF-ED02-4FDE-B578-A78028503284}"/>
    <cellStyle name="Normal 9 8 3 3 2" xfId="15076" xr:uid="{6052854A-3A40-46B5-8B9D-91B9B2B2928F}"/>
    <cellStyle name="Normal 9 8 3 3 2 2" xfId="31836" xr:uid="{E65CBF52-8C2C-49CA-A818-6405F093A98B}"/>
    <cellStyle name="Normal 9 8 3 3 2 3" xfId="48595" xr:uid="{BD5EB19C-FF18-4575-B395-C7035A1226CE}"/>
    <cellStyle name="Normal 9 8 3 3 3" xfId="23456" xr:uid="{9686807A-850B-4A33-B489-94B21449644A}"/>
    <cellStyle name="Normal 9 8 3 3 4" xfId="40215" xr:uid="{FD376DF3-635F-4047-BABD-8FA4880D8F20}"/>
    <cellStyle name="Normal 9 8 3 4" xfId="3432" xr:uid="{ED7F4162-3DA5-4133-8F34-3C059BBA7812}"/>
    <cellStyle name="Normal 9 8 3 4 2" xfId="11812" xr:uid="{1D66DF81-D0A8-4A5C-8CD3-AAE833E3B14E}"/>
    <cellStyle name="Normal 9 8 3 4 2 2" xfId="28572" xr:uid="{ABE352D1-E17C-489C-9B2C-292E2551A837}"/>
    <cellStyle name="Normal 9 8 3 4 2 3" xfId="45331" xr:uid="{AE5D35CE-1A77-44FF-B60F-66330F96DE65}"/>
    <cellStyle name="Normal 9 8 3 4 3" xfId="20192" xr:uid="{CE427EC6-35E7-427B-94E5-EE8C589B6049}"/>
    <cellStyle name="Normal 9 8 3 4 4" xfId="36951" xr:uid="{CBE418B4-A5AB-45E0-B612-D40651C7E1F9}"/>
    <cellStyle name="Normal 9 8 3 5" xfId="10009" xr:uid="{E9191DCE-EA48-4C7A-AA44-6CD640DADD77}"/>
    <cellStyle name="Normal 9 8 3 5 2" xfId="26769" xr:uid="{9F698F09-E200-4B70-9B12-471A23661589}"/>
    <cellStyle name="Normal 9 8 3 5 3" xfId="43528" xr:uid="{53733AF4-BC95-4A6C-B650-F1FA14B30105}"/>
    <cellStyle name="Normal 9 8 3 6" xfId="18389" xr:uid="{3CA4E1FF-D73C-498C-8126-4245592A62CE}"/>
    <cellStyle name="Normal 9 8 3 7" xfId="35148" xr:uid="{C81C2E65-12B6-4E7C-B64E-CB1E2313263D}"/>
    <cellStyle name="Normal 9 8 4" xfId="1917" xr:uid="{B76B247F-A0A4-4374-A075-0AB63903BA1D}"/>
    <cellStyle name="Normal 9 8 4 2" xfId="5306" xr:uid="{D732A58A-F794-4466-8723-FF61F37CB692}"/>
    <cellStyle name="Normal 9 8 4 2 2" xfId="13686" xr:uid="{92AAE1F6-D3E5-4804-9693-2B447FFCC01F}"/>
    <cellStyle name="Normal 9 8 4 2 2 2" xfId="30446" xr:uid="{68284593-B472-4AC1-B172-44BCF50B2070}"/>
    <cellStyle name="Normal 9 8 4 2 2 3" xfId="47205" xr:uid="{FD20A545-57E6-4201-8FD2-EBC92501E33A}"/>
    <cellStyle name="Normal 9 8 4 2 3" xfId="22066" xr:uid="{F751EB7C-3E7E-419C-B44B-A3484A7C0579}"/>
    <cellStyle name="Normal 9 8 4 2 4" xfId="38825" xr:uid="{35824749-4E28-43E3-AF1E-A59775633567}"/>
    <cellStyle name="Normal 9 8 4 3" xfId="6993" xr:uid="{4307A3FE-ABAE-4AD2-9842-5204C6959801}"/>
    <cellStyle name="Normal 9 8 4 3 2" xfId="15373" xr:uid="{4871F5A0-DD81-47E9-A160-B4A4ACE2D99A}"/>
    <cellStyle name="Normal 9 8 4 3 2 2" xfId="32133" xr:uid="{8ADF3727-3DC0-40EE-8FBA-7550734C30D6}"/>
    <cellStyle name="Normal 9 8 4 3 2 3" xfId="48892" xr:uid="{6946B033-364D-4FE7-ADB8-129995E19DEF}"/>
    <cellStyle name="Normal 9 8 4 3 3" xfId="23753" xr:uid="{FA5E0077-B1D1-4DF2-920B-AB8881711B3C}"/>
    <cellStyle name="Normal 9 8 4 3 4" xfId="40512" xr:uid="{FFBB2DAB-CCAB-4BE1-B368-3B323D155CCC}"/>
    <cellStyle name="Normal 9 8 4 4" xfId="3616" xr:uid="{6EF1EB62-3848-4FB3-BD5E-F78881C4C269}"/>
    <cellStyle name="Normal 9 8 4 4 2" xfId="11996" xr:uid="{1C8769C9-75D5-490E-9ADE-3A47177A8D61}"/>
    <cellStyle name="Normal 9 8 4 4 2 2" xfId="28756" xr:uid="{534BE26A-A8C9-47C1-AE46-63F70AEB045D}"/>
    <cellStyle name="Normal 9 8 4 4 2 3" xfId="45515" xr:uid="{36B22B8E-6A9D-4410-A1F2-D979AF012BB6}"/>
    <cellStyle name="Normal 9 8 4 4 3" xfId="20376" xr:uid="{8F371DBA-6E66-4261-98FB-3F49F010B141}"/>
    <cellStyle name="Normal 9 8 4 4 4" xfId="37135" xr:uid="{ED8BCF62-CC96-4BAA-8610-F5B99B1B14BC}"/>
    <cellStyle name="Normal 9 8 4 5" xfId="10306" xr:uid="{57D538F2-C622-4E00-B443-D6A61FCFA1FE}"/>
    <cellStyle name="Normal 9 8 4 5 2" xfId="27066" xr:uid="{54A03980-1113-45F4-9943-F8C4E073BF39}"/>
    <cellStyle name="Normal 9 8 4 5 3" xfId="43825" xr:uid="{733A1ECD-046C-4987-A5B8-DC10EFF7B391}"/>
    <cellStyle name="Normal 9 8 4 6" xfId="18686" xr:uid="{F915D369-68B4-42FD-89A1-C8C49FDCEA04}"/>
    <cellStyle name="Normal 9 8 4 7" xfId="35445" xr:uid="{AC8C8774-CE32-4E34-8F73-9BD5BEB452A9}"/>
    <cellStyle name="Normal 9 8 5" xfId="4036" xr:uid="{7161CF1B-D7F7-4D77-B136-3C1FE1E09271}"/>
    <cellStyle name="Normal 9 8 5 2" xfId="12416" xr:uid="{270F3380-07B4-4385-A7C7-C120CD4098E1}"/>
    <cellStyle name="Normal 9 8 5 2 2" xfId="29176" xr:uid="{D1A968E1-45C2-4450-BA10-1E3739B07F0A}"/>
    <cellStyle name="Normal 9 8 5 2 3" xfId="45935" xr:uid="{3E7DBDD8-886F-4B30-9E09-49BFF4319A01}"/>
    <cellStyle name="Normal 9 8 5 3" xfId="20796" xr:uid="{96C4FF55-868E-46AB-B3C5-D718D19C9391}"/>
    <cellStyle name="Normal 9 8 5 4" xfId="37555" xr:uid="{924E3362-015C-4E68-8219-7810DF2E5714}"/>
    <cellStyle name="Normal 9 8 6" xfId="5842" xr:uid="{F3266D50-78F3-4315-80F9-C4888368D7B3}"/>
    <cellStyle name="Normal 9 8 6 2" xfId="14222" xr:uid="{E3B780F6-48ED-4B70-A97E-C6B9D53342E2}"/>
    <cellStyle name="Normal 9 8 6 2 2" xfId="30982" xr:uid="{1EE9821B-94AF-4175-8A6B-A145C793AB79}"/>
    <cellStyle name="Normal 9 8 6 2 3" xfId="47741" xr:uid="{697461F9-235A-4534-B5D4-2021F74B9FA1}"/>
    <cellStyle name="Normal 9 8 6 3" xfId="22602" xr:uid="{AF7B7F03-D9B8-4E4F-80B4-375E5D9BC131}"/>
    <cellStyle name="Normal 9 8 6 4" xfId="39361" xr:uid="{BFFDFE88-6FAF-4218-89F6-0BE4C03B4260}"/>
    <cellStyle name="Normal 9 8 7" xfId="7399" xr:uid="{CE8C66C6-B13B-4E32-A417-ED080FA7444C}"/>
    <cellStyle name="Normal 9 8 7 2" xfId="15779" xr:uid="{3D4BCD00-2B38-4080-9FB7-B60AADDE34B6}"/>
    <cellStyle name="Normal 9 8 7 2 2" xfId="32539" xr:uid="{741B01E7-518E-4483-B05D-7C68124808C0}"/>
    <cellStyle name="Normal 9 8 7 2 3" xfId="49298" xr:uid="{F05B0534-2EDB-4B7D-9B47-D2FE7EB6029A}"/>
    <cellStyle name="Normal 9 8 7 3" xfId="24159" xr:uid="{6DB19929-A65B-49B0-B3A6-A3763481CA10}"/>
    <cellStyle name="Normal 9 8 7 4" xfId="40918" xr:uid="{E3FC221F-5072-4C87-88BF-5D151AD7B4F5}"/>
    <cellStyle name="Normal 9 8 8" xfId="7805" xr:uid="{C0DB51FE-8CB6-440A-9DF5-679F1B359717}"/>
    <cellStyle name="Normal 9 8 8 2" xfId="16185" xr:uid="{BAD425FA-E7EF-4C68-8CAE-D2228BEA491F}"/>
    <cellStyle name="Normal 9 8 8 2 2" xfId="32945" xr:uid="{3C79DE81-E69C-4746-AA4E-97D56576AD1A}"/>
    <cellStyle name="Normal 9 8 8 2 3" xfId="49704" xr:uid="{CAA9D0A3-7717-4B34-96B7-A78A587E10C5}"/>
    <cellStyle name="Normal 9 8 8 3" xfId="24565" xr:uid="{6C495026-54A1-4774-A72D-ADE9DCB211C7}"/>
    <cellStyle name="Normal 9 8 8 4" xfId="41324" xr:uid="{0FCCB509-4FE5-4344-82B0-6CEBCEDF054D}"/>
    <cellStyle name="Normal 9 8 9" xfId="8211" xr:uid="{2CD44950-9A0B-4E5B-9477-5DBF32FCB10D}"/>
    <cellStyle name="Normal 9 8 9 2" xfId="16591" xr:uid="{79062CEB-79AF-4786-9D54-99B530D07FE9}"/>
    <cellStyle name="Normal 9 8 9 2 2" xfId="33351" xr:uid="{2053DE7E-B7DA-4BC7-95CC-9ABC3B2CF838}"/>
    <cellStyle name="Normal 9 8 9 2 3" xfId="50110" xr:uid="{D97F6132-9135-4AEB-BC46-8A62DC8B64CC}"/>
    <cellStyle name="Normal 9 8 9 3" xfId="24971" xr:uid="{CA9C6214-6EC6-4650-97F9-3C31A4883C80}"/>
    <cellStyle name="Normal 9 8 9 4" xfId="41730" xr:uid="{06A552FC-1472-4260-AEF4-FFE6029DF727}"/>
    <cellStyle name="Normal 9 9" xfId="769" xr:uid="{F0C5C700-1DC4-4DE8-BF18-2B089AD356C3}"/>
    <cellStyle name="Normal 9 9 2" xfId="4164" xr:uid="{3E043814-7371-4A87-AE34-68148A3FDEC8}"/>
    <cellStyle name="Normal 9 9 2 2" xfId="12544" xr:uid="{D015E0E7-E6EC-4496-9DAF-09B822DEC160}"/>
    <cellStyle name="Normal 9 9 2 2 2" xfId="29304" xr:uid="{66E043EA-0DD7-4F83-A311-D8912613F2CD}"/>
    <cellStyle name="Normal 9 9 2 2 3" xfId="46063" xr:uid="{859F3438-191F-41F1-9A38-947F36D1B454}"/>
    <cellStyle name="Normal 9 9 2 3" xfId="20924" xr:uid="{ECF9407C-72E8-4DAA-BE0B-D02D5F1B69E7}"/>
    <cellStyle name="Normal 9 9 2 4" xfId="37683" xr:uid="{BFAA4727-53F0-4878-86F5-D6EDEB5C63F2}"/>
    <cellStyle name="Normal 9 9 3" xfId="5851" xr:uid="{8F4CF54C-440E-4B56-A38D-A375CA6BE58A}"/>
    <cellStyle name="Normal 9 9 3 2" xfId="14231" xr:uid="{875940C9-84AE-4415-96C3-7553B853DE62}"/>
    <cellStyle name="Normal 9 9 3 2 2" xfId="30991" xr:uid="{28BF4FCF-CF34-4FEE-BC9B-485BB43BA3ED}"/>
    <cellStyle name="Normal 9 9 3 2 3" xfId="47750" xr:uid="{2FF9B684-5CFA-4326-9AE7-37FE3469924B}"/>
    <cellStyle name="Normal 9 9 3 3" xfId="22611" xr:uid="{820E3DA6-34A4-4FA5-91CC-5DC962293764}"/>
    <cellStyle name="Normal 9 9 3 4" xfId="39370" xr:uid="{59A6E483-E0CC-4B8D-9472-D3C7D49E236C}"/>
    <cellStyle name="Normal 9 9 4" xfId="2587" xr:uid="{3E6A82D0-764F-421C-9699-8348E5343C0B}"/>
    <cellStyle name="Normal 9 9 4 2" xfId="10967" xr:uid="{A7C18132-404B-423C-BFB2-B04C9655969E}"/>
    <cellStyle name="Normal 9 9 4 2 2" xfId="27727" xr:uid="{45946FED-4E29-4DBE-9697-CEC9B5988B6C}"/>
    <cellStyle name="Normal 9 9 4 2 3" xfId="44486" xr:uid="{DA2BCC43-2B2A-4654-AC73-E0F73FB04740}"/>
    <cellStyle name="Normal 9 9 4 3" xfId="19347" xr:uid="{33F7BC2E-B54F-4534-A807-05BDF0F1ECFC}"/>
    <cellStyle name="Normal 9 9 4 4" xfId="36106" xr:uid="{8ABD3B39-27F1-4C75-8840-092D2085E316}"/>
    <cellStyle name="Normal 9 9 5" xfId="9164" xr:uid="{EC083FB7-DDC9-447C-BE59-270177A03F8F}"/>
    <cellStyle name="Normal 9 9 5 2" xfId="25924" xr:uid="{77C9B202-CB1B-44D9-AF9F-B252D388840D}"/>
    <cellStyle name="Normal 9 9 5 3" xfId="42683" xr:uid="{4A4947DE-805E-490E-B7C8-4962D2BC9A99}"/>
    <cellStyle name="Normal 9 9 6" xfId="17544" xr:uid="{E9A6B01B-A3D6-47E6-9058-53AE7CBFF26F}"/>
    <cellStyle name="Normal 9 9 7" xfId="34303" xr:uid="{3F5D3D19-6590-412B-ABEE-98218E35E105}"/>
    <cellStyle name="Normal_B-6 2007" xfId="52222" xr:uid="{613AEF44-908B-4642-A630-21A540923CFE}"/>
    <cellStyle name="Normal_Copy of B-03 2007-08-09" xfId="52220" xr:uid="{2BC456AF-DD12-4354-8B79-B7F9095C7399}"/>
    <cellStyle name="Normal_MFR_2008 Actual" xfId="3" xr:uid="{F7218459-5964-4E1C-8AD7-34BF46BDDB4A}"/>
    <cellStyle name="Normal_Sheet1" xfId="4" xr:uid="{311699A7-3553-4DCD-97A0-F5BD160A0096}"/>
    <cellStyle name="Normal_Sheet1 2" xfId="52221" xr:uid="{FC4ECBF9-C9CE-4B49-93E2-2DF767B58FD5}"/>
    <cellStyle name="Note" xfId="24" builtinId="10" customBuiltin="1"/>
    <cellStyle name="Note 2" xfId="748" xr:uid="{579F89B8-0DE8-4709-B637-52A99A0A434F}"/>
    <cellStyle name="Note 2 2" xfId="50876" xr:uid="{174CFDFD-B9F4-40F7-B126-DB31DB64E69D}"/>
    <cellStyle name="Note 2 2 2" xfId="51140" xr:uid="{4517882F-6345-4B2F-88CF-E83ABE8387B1}"/>
    <cellStyle name="Note 2 2 2 2" xfId="51614" xr:uid="{BEE11CD1-8A38-46A2-8EC9-A8BF02DC273C}"/>
    <cellStyle name="Note 2 2 2 3" xfId="52092" xr:uid="{9C19AFFE-030E-4CB4-A0DB-0913E9B79209}"/>
    <cellStyle name="Note 2 2 3" xfId="51379" xr:uid="{4542BF3B-601F-4E64-A511-20D35ED72E7D}"/>
    <cellStyle name="Note 2 2 4" xfId="51893" xr:uid="{03418DF9-4FCF-4ECA-B4BC-69C66363FEE8}"/>
    <cellStyle name="Note 2 3" xfId="50929" xr:uid="{34497A3F-FD18-4D5B-AEA0-F879A5A4F3B3}"/>
    <cellStyle name="Note 2 3 2" xfId="51192" xr:uid="{5C64ADCE-440B-4197-B063-7903F5F16AFB}"/>
    <cellStyle name="Note 2 3 2 2" xfId="51666" xr:uid="{69BBFFEB-147F-48CA-A25C-33D87AE35544}"/>
    <cellStyle name="Note 2 3 2 3" xfId="52142" xr:uid="{2D672912-A6C4-42EE-B065-814F49F62729}"/>
    <cellStyle name="Note 2 3 3" xfId="51431" xr:uid="{ED1ADD1F-67A9-411C-BDF5-85E9EED863E9}"/>
    <cellStyle name="Note 2 3 4" xfId="51945" xr:uid="{F3EF60AB-C745-4C7B-B357-399B8ECF7BE8}"/>
    <cellStyle name="Note 2 4" xfId="50968" xr:uid="{04132B9E-BF3E-4CDB-A8A3-54B5C1332763}"/>
    <cellStyle name="Note 2 4 2" xfId="51212" xr:uid="{FB8CEC88-7640-4ECB-8B79-8B940F6349F9}"/>
    <cellStyle name="Note 2 4 2 2" xfId="51685" xr:uid="{B2EC6404-65BC-46C1-8D73-5BDEBBC1FD1D}"/>
    <cellStyle name="Note 2 4 2 3" xfId="52161" xr:uid="{C6B3B881-8926-4650-A141-5393B08E8EFD}"/>
    <cellStyle name="Note 2 4 3" xfId="51450" xr:uid="{95D788EE-D3AD-4204-B959-5FFF32DE3C34}"/>
    <cellStyle name="Note 2 4 4" xfId="51964" xr:uid="{CCB022FF-D245-4BEE-809E-249D408235A7}"/>
    <cellStyle name="Note 2 5" xfId="51084" xr:uid="{F8AE02E2-56A1-4160-B7A1-AAEAA3B1BAFE}"/>
    <cellStyle name="Note 2 5 2" xfId="51558" xr:uid="{9436EECF-8DAD-4D8F-A889-2C05C5EF2A5F}"/>
    <cellStyle name="Note 2 5 3" xfId="52036" xr:uid="{19A8F2E4-5150-4C99-B667-BEB803DEEAF5}"/>
    <cellStyle name="Note 2 6" xfId="50820" xr:uid="{40FB312C-7B1F-4D4D-B996-F7278D846254}"/>
    <cellStyle name="Note 2 7" xfId="51323" xr:uid="{3342A45C-8878-495E-A9F8-62D5C11998AF}"/>
    <cellStyle name="Note 2 8" xfId="51835" xr:uid="{963F4D50-12C5-46C6-AECE-875B078D9DEA}"/>
    <cellStyle name="Note 3" xfId="749" xr:uid="{D0894993-73D1-4349-AC74-BA2A690D63BE}"/>
    <cellStyle name="Note 3 2" xfId="50877" xr:uid="{742512AD-13E1-4B21-96D5-4704E181AA5B}"/>
    <cellStyle name="Note 3 2 2" xfId="51141" xr:uid="{37917AA2-50C5-4538-BA94-FE38874DB058}"/>
    <cellStyle name="Note 3 2 2 2" xfId="51615" xr:uid="{B1601589-7DE2-4A22-8056-07D1A4DE1426}"/>
    <cellStyle name="Note 3 2 2 3" xfId="52093" xr:uid="{B88CAB2F-F4E3-4D1E-8A5B-C2D6CBBC777A}"/>
    <cellStyle name="Note 3 2 3" xfId="51380" xr:uid="{9E66DF7A-E0B8-4DC8-BB3C-927DE6719041}"/>
    <cellStyle name="Note 3 2 4" xfId="51894" xr:uid="{A5D7F669-FAA3-4490-ABCA-1B52F9BD3C03}"/>
    <cellStyle name="Note 3 3" xfId="50969" xr:uid="{1A049E1C-4619-441C-850D-E7B2B80D1D3E}"/>
    <cellStyle name="Note 3 3 2" xfId="51213" xr:uid="{ED50A18E-B85F-44AF-97E3-CF63A0BBD4E2}"/>
    <cellStyle name="Note 3 3 2 2" xfId="51686" xr:uid="{D8618130-5C99-40E2-9808-D165035EFDCC}"/>
    <cellStyle name="Note 3 3 2 3" xfId="52162" xr:uid="{6709B5F0-107E-45CB-9EA9-88F638302A6B}"/>
    <cellStyle name="Note 3 3 3" xfId="51451" xr:uid="{E14C6A37-8A88-425E-BD16-A6961B5EE0EF}"/>
    <cellStyle name="Note 3 3 4" xfId="51965" xr:uid="{DBD3E049-CEB1-4EA5-9D5A-CEA76D70A9E7}"/>
    <cellStyle name="Note 3 4" xfId="51085" xr:uid="{A6B1DC5F-B235-40D0-ACAD-D7637F86BD63}"/>
    <cellStyle name="Note 3 4 2" xfId="51559" xr:uid="{7ACC7852-49E1-4114-9B26-FF2CC41D8536}"/>
    <cellStyle name="Note 3 4 3" xfId="52037" xr:uid="{DF2BEDB8-C39D-44E7-8EC4-2E02A71E47DE}"/>
    <cellStyle name="Note 3 5" xfId="50822" xr:uid="{AA9AD718-DF37-4302-820F-1E317F09A45C}"/>
    <cellStyle name="Note 3 6" xfId="51324" xr:uid="{8175A1D3-4BD4-4275-969D-5BFB6209EE3D}"/>
    <cellStyle name="Note 3 7" xfId="51838" xr:uid="{2ABC56C2-6554-4644-90EE-AFA80EF1A238}"/>
    <cellStyle name="Note 4" xfId="50835" xr:uid="{C121ABFB-1B72-439A-A835-4FD7802F96EB}"/>
    <cellStyle name="Note 4 2" xfId="50890" xr:uid="{20E266F4-4858-40ED-AD85-8C11ABB418C3}"/>
    <cellStyle name="Note 4 2 2" xfId="51154" xr:uid="{E13F5660-CB12-44A2-8CA0-36E4B80A85CF}"/>
    <cellStyle name="Note 4 2 2 2" xfId="51628" xr:uid="{AEE94597-2A90-43B4-8646-CF3CA3D1A17D}"/>
    <cellStyle name="Note 4 2 2 3" xfId="52106" xr:uid="{2353CF8A-0BDC-4499-BBBF-E8189B63D1AB}"/>
    <cellStyle name="Note 4 2 3" xfId="51393" xr:uid="{FA1CF714-429E-4C44-B5C2-C74BC9311A56}"/>
    <cellStyle name="Note 4 2 4" xfId="51907" xr:uid="{953BA6AF-9B08-484A-85B3-58EDD2359484}"/>
    <cellStyle name="Note 4 3" xfId="50982" xr:uid="{56BCE0F2-5B01-4EC8-ADDD-05F5B355DB92}"/>
    <cellStyle name="Note 4 3 2" xfId="51226" xr:uid="{0D6D7998-4093-4BB7-BC25-CBF8CBFF5B75}"/>
    <cellStyle name="Note 4 3 2 2" xfId="51699" xr:uid="{017D6F36-B402-4FC6-81AC-ACE669173066}"/>
    <cellStyle name="Note 4 3 2 3" xfId="52175" xr:uid="{CDB6F878-F23E-4469-8AE5-769CCD7759CD}"/>
    <cellStyle name="Note 4 3 3" xfId="51464" xr:uid="{DEFF6F62-0B4A-43ED-B2CD-77B85253B28D}"/>
    <cellStyle name="Note 4 3 4" xfId="51978" xr:uid="{5FA5F464-A4A1-41DD-B5C6-61526E5441C8}"/>
    <cellStyle name="Note 4 4" xfId="51098" xr:uid="{767EB149-83E1-42E3-9222-DD53863B2652}"/>
    <cellStyle name="Note 4 4 2" xfId="51572" xr:uid="{02983C10-4ACA-4E7F-B368-4B225A088120}"/>
    <cellStyle name="Note 4 4 3" xfId="52050" xr:uid="{8C8913CD-CDE8-4D13-A06E-E94929A2B15B}"/>
    <cellStyle name="Note 4 5" xfId="51337" xr:uid="{0FC13BD7-FA45-4F8B-91CB-390A8CAF2FDA}"/>
    <cellStyle name="Note 4 6" xfId="51851" xr:uid="{01CB34ED-6035-4447-8F57-AE1D10280183}"/>
    <cellStyle name="Note 5" xfId="50848" xr:uid="{8AD301C5-DFA6-4A46-BD6E-055B16E8E930}"/>
    <cellStyle name="Note 5 2" xfId="50903" xr:uid="{8C28A643-8637-45B8-8234-9767C29D57F5}"/>
    <cellStyle name="Note 5 2 2" xfId="51167" xr:uid="{93ED950F-ABD5-44D6-8876-D83981D12841}"/>
    <cellStyle name="Note 5 2 2 2" xfId="51641" xr:uid="{12B1CEEA-C351-4CAE-BAE3-6BC790F1E492}"/>
    <cellStyle name="Note 5 2 2 3" xfId="52119" xr:uid="{C8D4EEB6-69E0-47C5-AB5B-D348D6EC8099}"/>
    <cellStyle name="Note 5 2 3" xfId="51406" xr:uid="{D2699D7E-0419-44B2-8581-309B74A660F8}"/>
    <cellStyle name="Note 5 2 4" xfId="51920" xr:uid="{25ED79E0-7856-4DC1-88C9-77128DDCE033}"/>
    <cellStyle name="Note 5 3" xfId="50995" xr:uid="{309EA408-2519-4AEE-9DCB-6E0658C057E9}"/>
    <cellStyle name="Note 5 3 2" xfId="51239" xr:uid="{35D97EED-497F-4D59-B1AB-22830FD7786A}"/>
    <cellStyle name="Note 5 3 2 2" xfId="51712" xr:uid="{CF7FCDC6-C444-45DC-B356-5AFC08FA9AF1}"/>
    <cellStyle name="Note 5 3 2 3" xfId="52188" xr:uid="{B4EBF02F-7F34-4E28-9650-5A4AF25C061C}"/>
    <cellStyle name="Note 5 3 3" xfId="51477" xr:uid="{94468EEC-31E5-4D8F-A064-6B73AA9F4CF7}"/>
    <cellStyle name="Note 5 3 4" xfId="51991" xr:uid="{BE9F1068-BBD3-42A9-945B-E51782F50B42}"/>
    <cellStyle name="Note 5 4" xfId="51111" xr:uid="{D5BCEE14-5D86-46BB-A2D5-ADFE1B9090CB}"/>
    <cellStyle name="Note 5 4 2" xfId="51585" xr:uid="{68648599-4B2B-4CAB-8156-5AF735B5977F}"/>
    <cellStyle name="Note 5 4 3" xfId="52063" xr:uid="{91014059-B57E-404E-B05E-7EF19F765776}"/>
    <cellStyle name="Note 5 5" xfId="51350" xr:uid="{1890615B-CACC-41C4-865D-5B370412E7CF}"/>
    <cellStyle name="Note 5 6" xfId="51864" xr:uid="{AE4C4A8B-F11F-46E0-A35F-F622AA8764DF}"/>
    <cellStyle name="Note 6" xfId="51016" xr:uid="{F02E58A6-B6C2-4DC1-9D5B-7B1D4A5FC0B9}"/>
    <cellStyle name="Note 6 2" xfId="51254" xr:uid="{3A0667C6-16B7-4A5F-8CBA-85AF79326BA8}"/>
    <cellStyle name="Note 6 2 2" xfId="51727" xr:uid="{25451B38-E442-4934-932A-6E0F3B4213A7}"/>
    <cellStyle name="Note 6 2 3" xfId="52203" xr:uid="{42E6F2DF-62CF-4C83-BDDF-0FA52EF6DD97}"/>
    <cellStyle name="Note 6 3" xfId="51492" xr:uid="{6D0FBCB3-FF1E-4B62-869E-251FA30BFE26}"/>
    <cellStyle name="Note 6 4" xfId="52006" xr:uid="{B87DB626-C4BF-4A85-AFB3-A6C91EC3EF91}"/>
    <cellStyle name="Output" xfId="19" builtinId="21" customBuiltin="1"/>
    <cellStyle name="Output 2" xfId="750" xr:uid="{B8ADF694-75F6-4AB6-93C4-62BFE1D64169}"/>
    <cellStyle name="Output Amounts" xfId="164" xr:uid="{C1946136-E79B-4E27-A029-67B0EFBE7190}"/>
    <cellStyle name="Output Column Headings" xfId="165" xr:uid="{9D927A28-8AC5-4A7B-8D9E-4830E3983F8F}"/>
    <cellStyle name="Output Line Items" xfId="166" xr:uid="{F741ED00-CB94-4FAD-8EBF-4A9B893DEB9A}"/>
    <cellStyle name="Output Report Heading" xfId="167" xr:uid="{763D41B1-8F51-48AB-9871-3EF0B842A849}"/>
    <cellStyle name="Output Report Title" xfId="168" xr:uid="{73F77EEE-15B4-4AA8-B260-CCBA9CA8A520}"/>
    <cellStyle name="PageTitle" xfId="169" xr:uid="{F9B1EFE7-CA0D-4E12-ACA1-93FB38DB406E}"/>
    <cellStyle name="Percent" xfId="52223" builtinId="5"/>
    <cellStyle name="Percent [2]" xfId="170" xr:uid="{9E247221-EC66-4370-9D71-65B3C9D2CE9B}"/>
    <cellStyle name="Percent 2" xfId="60" xr:uid="{89C36085-3C55-4E93-BE57-536A6AF31346}"/>
    <cellStyle name="Percent 2 2" xfId="238" xr:uid="{7491B8AD-2CAD-4A53-98C4-A4B822B4375B}"/>
    <cellStyle name="Percent 2 2 10" xfId="8594" xr:uid="{2E9DE21F-4051-4C75-82D2-73616D66CFA7}"/>
    <cellStyle name="Percent 2 2 10 2" xfId="16974" xr:uid="{BC6D6C82-34F5-4D9A-BEC3-83CA82B795F0}"/>
    <cellStyle name="Percent 2 2 10 2 2" xfId="33734" xr:uid="{169B63BF-C84B-485A-ACAB-1F8D3E010C7B}"/>
    <cellStyle name="Percent 2 2 10 2 3" xfId="50493" xr:uid="{7927B46B-376C-468D-BCCD-B2990B478E0F}"/>
    <cellStyle name="Percent 2 2 10 3" xfId="25354" xr:uid="{DBB2637A-BC93-419B-8039-ECE6D2423223}"/>
    <cellStyle name="Percent 2 2 10 4" xfId="42113" xr:uid="{DCFF6690-B69E-4E67-AA61-0991E8203D58}"/>
    <cellStyle name="Percent 2 2 11" xfId="2577" xr:uid="{712F0277-834A-42E4-B4FE-AC683CB15A7D}"/>
    <cellStyle name="Percent 2 2 11 2" xfId="10959" xr:uid="{23DEEB37-97AE-4291-90EB-8B9859411EC3}"/>
    <cellStyle name="Percent 2 2 11 2 2" xfId="27719" xr:uid="{7A749F4E-A9EF-48EF-A357-B87656547ED9}"/>
    <cellStyle name="Percent 2 2 11 2 3" xfId="44478" xr:uid="{39B19A45-9C60-4DA2-8DE9-EF5148B966CE}"/>
    <cellStyle name="Percent 2 2 11 3" xfId="19339" xr:uid="{0CB9F190-3718-4F63-A546-8B2FE72872B1}"/>
    <cellStyle name="Percent 2 2 11 4" xfId="36098" xr:uid="{D5C21382-66E3-43D6-A47A-1849BDB800B6}"/>
    <cellStyle name="Percent 2 2 12" xfId="9156" xr:uid="{3C92157C-E75B-4904-A81D-5827081B2192}"/>
    <cellStyle name="Percent 2 2 12 2" xfId="25916" xr:uid="{42424A1D-2066-4589-BAF1-395E2C975651}"/>
    <cellStyle name="Percent 2 2 12 3" xfId="42675" xr:uid="{3F442356-48AD-4DD2-8F1A-357DCD34AC6C}"/>
    <cellStyle name="Percent 2 2 13" xfId="17536" xr:uid="{F6FC4EA6-28FA-40C4-A13D-AFB2BFEA95C3}"/>
    <cellStyle name="Percent 2 2 14" xfId="34295" xr:uid="{ED0CB2D5-3CB7-416B-8D35-9D1DF29E4672}"/>
    <cellStyle name="Percent 2 2 15" xfId="751" xr:uid="{B0FE0223-8221-4998-AE4C-4734BEC91C45}"/>
    <cellStyle name="Percent 2 2 2" xfId="1187" xr:uid="{2C182186-AE9D-4E7E-AAB5-FF9A82EA89F7}"/>
    <cellStyle name="Percent 2 2 2 2" xfId="4582" xr:uid="{B56F0A0F-9C73-4B7B-91C4-C31A5AE3821C}"/>
    <cellStyle name="Percent 2 2 2 2 2" xfId="12962" xr:uid="{FD5AE4E0-0969-4AFD-AB83-52FDD36E00A8}"/>
    <cellStyle name="Percent 2 2 2 2 2 2" xfId="29722" xr:uid="{7AA45ABB-BE7E-41B7-895B-80F180415524}"/>
    <cellStyle name="Percent 2 2 2 2 2 3" xfId="46481" xr:uid="{1E7E6E89-421E-450A-81DC-98ADA84F46EA}"/>
    <cellStyle name="Percent 2 2 2 2 3" xfId="21342" xr:uid="{EBE35E08-3D8B-4D61-91E4-20142230747A}"/>
    <cellStyle name="Percent 2 2 2 2 4" xfId="38101" xr:uid="{F27BC234-371C-4CCB-86E1-E874192F6E9F}"/>
    <cellStyle name="Percent 2 2 2 3" xfId="6269" xr:uid="{3D429F22-7344-4C3A-90EE-1D4A74D9F83C}"/>
    <cellStyle name="Percent 2 2 2 3 2" xfId="14649" xr:uid="{10E26C35-54DD-4B1A-8E6F-8BA830EA27A1}"/>
    <cellStyle name="Percent 2 2 2 3 2 2" xfId="31409" xr:uid="{34F614C5-6E3F-4884-B13D-27C0E2BE6B1E}"/>
    <cellStyle name="Percent 2 2 2 3 2 3" xfId="48168" xr:uid="{4291B742-092C-48A4-817A-CDDAB5D76491}"/>
    <cellStyle name="Percent 2 2 2 3 3" xfId="23029" xr:uid="{7EA35460-2794-4DB2-BCF9-F19A615E63CF}"/>
    <cellStyle name="Percent 2 2 2 3 4" xfId="39788" xr:uid="{74891C9D-ABB5-4119-A76A-F36AF5515B58}"/>
    <cellStyle name="Percent 2 2 2 4" xfId="3005" xr:uid="{09F563E2-147F-4854-ACD9-1DD0145C5605}"/>
    <cellStyle name="Percent 2 2 2 4 2" xfId="11385" xr:uid="{FE4BAB11-259B-458A-87FC-A883B0E9F622}"/>
    <cellStyle name="Percent 2 2 2 4 2 2" xfId="28145" xr:uid="{0DAC8331-4301-404C-B6EF-2DA6A9F3D663}"/>
    <cellStyle name="Percent 2 2 2 4 2 3" xfId="44904" xr:uid="{BEB42A06-DF35-4479-BC24-3E7A114614D8}"/>
    <cellStyle name="Percent 2 2 2 4 3" xfId="19765" xr:uid="{8FF41A73-773F-4FC0-B06B-C0E00A71EC13}"/>
    <cellStyle name="Percent 2 2 2 4 4" xfId="36524" xr:uid="{03CB8B73-0650-4C18-86DC-89CCC9803144}"/>
    <cellStyle name="Percent 2 2 2 5" xfId="9582" xr:uid="{43A367D5-96C2-4155-A3B8-13E18855379A}"/>
    <cellStyle name="Percent 2 2 2 5 2" xfId="26342" xr:uid="{563C5EF1-991B-40DF-9173-06BD840ADA84}"/>
    <cellStyle name="Percent 2 2 2 5 3" xfId="43101" xr:uid="{E3D1FBFB-ACF0-468F-94A4-F348BD8E6366}"/>
    <cellStyle name="Percent 2 2 2 6" xfId="17962" xr:uid="{7BF3A8A8-4975-468F-858B-713041C1607B}"/>
    <cellStyle name="Percent 2 2 2 7" xfId="34721" xr:uid="{61128BF2-C7A1-4FCE-808F-FA87243EC141}"/>
    <cellStyle name="Percent 2 2 3" xfId="1621" xr:uid="{BBB250DA-2B84-4460-A41B-10A5E1F181E6}"/>
    <cellStyle name="Percent 2 2 3 2" xfId="5010" xr:uid="{CDEDA500-7B28-40F9-B1EB-FF2E808C04BC}"/>
    <cellStyle name="Percent 2 2 3 2 2" xfId="13390" xr:uid="{23065D2F-67EF-4175-8F5D-3BA8CEE3B251}"/>
    <cellStyle name="Percent 2 2 3 2 2 2" xfId="30150" xr:uid="{A2B3998F-139E-48CE-837A-175F5A7FDD28}"/>
    <cellStyle name="Percent 2 2 3 2 2 3" xfId="46909" xr:uid="{AF6695C6-B26C-4492-8B26-F420B5A4B3C6}"/>
    <cellStyle name="Percent 2 2 3 2 3" xfId="21770" xr:uid="{34D1424A-FCD6-4CF0-8123-67E103E2822E}"/>
    <cellStyle name="Percent 2 2 3 2 4" xfId="38529" xr:uid="{A285FFAD-C40F-46F4-A3A2-BEED3FB385D5}"/>
    <cellStyle name="Percent 2 2 3 3" xfId="6697" xr:uid="{972D75EE-667C-4A97-BDFF-1EC1E6C5028C}"/>
    <cellStyle name="Percent 2 2 3 3 2" xfId="15077" xr:uid="{DB161358-5731-4084-BADF-D16CC7B75705}"/>
    <cellStyle name="Percent 2 2 3 3 2 2" xfId="31837" xr:uid="{C9BF38FB-16C6-4879-82AA-2CFB9D6D6752}"/>
    <cellStyle name="Percent 2 2 3 3 2 3" xfId="48596" xr:uid="{623698F6-BFAC-4866-9DDF-C21E9CD50CC3}"/>
    <cellStyle name="Percent 2 2 3 3 3" xfId="23457" xr:uid="{195DD957-D01F-403F-AC34-9BA868CF34B4}"/>
    <cellStyle name="Percent 2 2 3 3 4" xfId="40216" xr:uid="{30D6E78D-2FD9-41B4-85C3-79D0766713E6}"/>
    <cellStyle name="Percent 2 2 3 4" xfId="3433" xr:uid="{A10EBA4D-B43B-49B6-808C-9E33CE2479D5}"/>
    <cellStyle name="Percent 2 2 3 4 2" xfId="11813" xr:uid="{A679141E-6491-41C3-AE35-4D0B2443F8C6}"/>
    <cellStyle name="Percent 2 2 3 4 2 2" xfId="28573" xr:uid="{50C1EB91-0457-4D8A-A0E2-E83F2FC74146}"/>
    <cellStyle name="Percent 2 2 3 4 2 3" xfId="45332" xr:uid="{187D5316-4635-42B9-995A-8FC33F9C7EFC}"/>
    <cellStyle name="Percent 2 2 3 4 3" xfId="20193" xr:uid="{2468F805-333F-44A6-A4E2-4FADA85B59AB}"/>
    <cellStyle name="Percent 2 2 3 4 4" xfId="36952" xr:uid="{F09B0564-B333-42AA-B677-6B90D66B7E77}"/>
    <cellStyle name="Percent 2 2 3 5" xfId="10010" xr:uid="{0CA3841D-6C63-46DC-9F51-42C1272B5326}"/>
    <cellStyle name="Percent 2 2 3 5 2" xfId="26770" xr:uid="{242F177E-A07B-444E-8F2F-8051E5BF09D3}"/>
    <cellStyle name="Percent 2 2 3 5 3" xfId="43529" xr:uid="{7C58EC88-39BC-431E-B596-FB9E573F4074}"/>
    <cellStyle name="Percent 2 2 3 6" xfId="18390" xr:uid="{85A052EC-7ABD-47BE-A8AC-5262A2CA67E1}"/>
    <cellStyle name="Percent 2 2 3 7" xfId="35149" xr:uid="{5701AAA7-5E9E-4918-B569-4CF256EBDF3E}"/>
    <cellStyle name="Percent 2 2 4" xfId="1894" xr:uid="{BFE536AE-06AC-4DE0-9038-23296391AC65}"/>
    <cellStyle name="Percent 2 2 4 2" xfId="5283" xr:uid="{3A4D896C-1644-470E-9015-CF94BEAB812C}"/>
    <cellStyle name="Percent 2 2 4 2 2" xfId="13663" xr:uid="{9654113D-0D64-4042-AAD8-7AA7F5778510}"/>
    <cellStyle name="Percent 2 2 4 2 2 2" xfId="30423" xr:uid="{5E71F521-0933-4963-B2FD-3041A6456627}"/>
    <cellStyle name="Percent 2 2 4 2 2 3" xfId="47182" xr:uid="{2C123EE4-E4D7-415B-A1FE-3978D8D77ADE}"/>
    <cellStyle name="Percent 2 2 4 2 3" xfId="22043" xr:uid="{DF06C87D-394D-4338-8F4C-AE829890251A}"/>
    <cellStyle name="Percent 2 2 4 2 4" xfId="38802" xr:uid="{D806B44A-4580-4467-8589-E00F214DBBA0}"/>
    <cellStyle name="Percent 2 2 4 3" xfId="6970" xr:uid="{D426F634-E110-4E43-9457-CD977D8BDD9C}"/>
    <cellStyle name="Percent 2 2 4 3 2" xfId="15350" xr:uid="{CF36CDE9-D6C5-447C-94D8-DBC982337D88}"/>
    <cellStyle name="Percent 2 2 4 3 2 2" xfId="32110" xr:uid="{A47279B7-C411-4040-A7CB-DC353A959A4C}"/>
    <cellStyle name="Percent 2 2 4 3 2 3" xfId="48869" xr:uid="{2699FA9D-1BBD-4F50-8FD0-CA840ACE85C7}"/>
    <cellStyle name="Percent 2 2 4 3 3" xfId="23730" xr:uid="{6C3D4C5A-A8FF-4F11-A5A9-DD056DD41366}"/>
    <cellStyle name="Percent 2 2 4 3 4" xfId="40489" xr:uid="{E5D5CB1D-0D3D-4896-89B8-E6B134FC7B66}"/>
    <cellStyle name="Percent 2 2 4 4" xfId="3593" xr:uid="{9C36A5B6-00F8-4286-BED7-D07B38303ADE}"/>
    <cellStyle name="Percent 2 2 4 4 2" xfId="11973" xr:uid="{B958C4E4-F963-409C-B291-FB8D4D2D0866}"/>
    <cellStyle name="Percent 2 2 4 4 2 2" xfId="28733" xr:uid="{5F0DE5C0-212E-4A95-91D1-3DE959218B97}"/>
    <cellStyle name="Percent 2 2 4 4 2 3" xfId="45492" xr:uid="{752C4024-6F53-4A03-8015-79264818ECD6}"/>
    <cellStyle name="Percent 2 2 4 4 3" xfId="20353" xr:uid="{72A957A5-507E-40B8-92FB-4BEB326AE075}"/>
    <cellStyle name="Percent 2 2 4 4 4" xfId="37112" xr:uid="{3709250D-D593-435A-BCB6-C1E871620593}"/>
    <cellStyle name="Percent 2 2 4 5" xfId="10283" xr:uid="{05B368D6-48DC-449C-9A01-B853FE5D04A7}"/>
    <cellStyle name="Percent 2 2 4 5 2" xfId="27043" xr:uid="{CBE33311-E4AD-455D-A796-E10EADC5794A}"/>
    <cellStyle name="Percent 2 2 4 5 3" xfId="43802" xr:uid="{C9D8E2F7-FF79-4842-ADF1-469ED80152A4}"/>
    <cellStyle name="Percent 2 2 4 6" xfId="18663" xr:uid="{8A31B638-01BD-4127-BCC0-DB75082B1D79}"/>
    <cellStyle name="Percent 2 2 4 7" xfId="35422" xr:uid="{DEB5E063-BF20-4CAF-A776-69BC50C2E769}"/>
    <cellStyle name="Percent 2 2 5" xfId="4013" xr:uid="{1D7512A0-196D-4D4E-A7D2-194B4609981C}"/>
    <cellStyle name="Percent 2 2 5 2" xfId="12393" xr:uid="{7C2BA757-F42F-4BD1-A57C-951CA43ED111}"/>
    <cellStyle name="Percent 2 2 5 2 2" xfId="29153" xr:uid="{4CEB6BF1-4429-4164-A0C2-CB6CB1F96585}"/>
    <cellStyle name="Percent 2 2 5 2 3" xfId="45912" xr:uid="{F10821AE-FB05-40E7-8B55-FD5F84E72239}"/>
    <cellStyle name="Percent 2 2 5 3" xfId="20773" xr:uid="{B3175362-DC40-4228-B314-CC42F4077625}"/>
    <cellStyle name="Percent 2 2 5 4" xfId="37532" xr:uid="{F04013C1-F4A9-48DC-87EA-1EEB3994BFC0}"/>
    <cellStyle name="Percent 2 2 6" xfId="5843" xr:uid="{8E27A1D2-5963-432F-BAF8-9F170D34B15B}"/>
    <cellStyle name="Percent 2 2 6 2" xfId="14223" xr:uid="{2F3693CD-48E9-45EE-AF38-0B24E36C0289}"/>
    <cellStyle name="Percent 2 2 6 2 2" xfId="30983" xr:uid="{1F7F8BC8-D01D-4B3C-9407-46717FE2841F}"/>
    <cellStyle name="Percent 2 2 6 2 3" xfId="47742" xr:uid="{D702727C-00AD-4561-8117-A241747A8A86}"/>
    <cellStyle name="Percent 2 2 6 3" xfId="22603" xr:uid="{7F72707A-26B5-4DEA-A1D9-D274436921BA}"/>
    <cellStyle name="Percent 2 2 6 4" xfId="39362" xr:uid="{11601D8E-4056-4DA1-A763-C0423A3BBA98}"/>
    <cellStyle name="Percent 2 2 7" xfId="7376" xr:uid="{B19C2A19-25DB-4574-82E0-120B542BD36C}"/>
    <cellStyle name="Percent 2 2 7 2" xfId="15756" xr:uid="{0037D8A2-377C-437D-945C-C6B4801DA309}"/>
    <cellStyle name="Percent 2 2 7 2 2" xfId="32516" xr:uid="{2942CC00-1F50-415E-A1D3-7286B5CE7594}"/>
    <cellStyle name="Percent 2 2 7 2 3" xfId="49275" xr:uid="{776DAA81-317C-4861-8616-BF75C0A14AD1}"/>
    <cellStyle name="Percent 2 2 7 3" xfId="24136" xr:uid="{3A967219-B9E9-4698-AA21-6786AC7672F0}"/>
    <cellStyle name="Percent 2 2 7 4" xfId="40895" xr:uid="{5C08BB7F-C87A-4C35-B14B-266FE4359575}"/>
    <cellStyle name="Percent 2 2 8" xfId="7782" xr:uid="{2E75F9C6-7B62-4F26-A2DE-78D71CE3B027}"/>
    <cellStyle name="Percent 2 2 8 2" xfId="16162" xr:uid="{86370AF7-E5DE-4875-A8C0-5454A8550624}"/>
    <cellStyle name="Percent 2 2 8 2 2" xfId="32922" xr:uid="{B767E9DF-BB2D-43A8-B86E-45509AA1D83B}"/>
    <cellStyle name="Percent 2 2 8 2 3" xfId="49681" xr:uid="{ACA3D9F0-19AE-4524-AC51-B2EF36686100}"/>
    <cellStyle name="Percent 2 2 8 3" xfId="24542" xr:uid="{F9CE9C45-6469-4E72-BD53-14BB18838D1E}"/>
    <cellStyle name="Percent 2 2 8 4" xfId="41301" xr:uid="{AB1D0476-44F9-41E5-9E0C-9E60DC0FF312}"/>
    <cellStyle name="Percent 2 2 9" xfId="8188" xr:uid="{DE2E91CE-56F6-4AAA-8DB9-1F687B3FBE47}"/>
    <cellStyle name="Percent 2 2 9 2" xfId="16568" xr:uid="{5C1E9E51-480F-4D3C-918D-C57B7387DDC9}"/>
    <cellStyle name="Percent 2 2 9 2 2" xfId="33328" xr:uid="{93034730-AB06-47B5-9622-88047C2E6047}"/>
    <cellStyle name="Percent 2 2 9 2 3" xfId="50087" xr:uid="{2BCDC03C-DD26-4351-A98F-B3A4C9F8F35E}"/>
    <cellStyle name="Percent 2 2 9 3" xfId="24948" xr:uid="{C2CE090E-4670-415D-BEEB-706B2A21C8E3}"/>
    <cellStyle name="Percent 2 2 9 4" xfId="41707" xr:uid="{77335D16-567C-4B02-993E-5E6F281CCF5A}"/>
    <cellStyle name="Percent 2 3" xfId="171" xr:uid="{304F8A34-14E3-4C70-865C-88CF3D7C1976}"/>
    <cellStyle name="Percent 2 3 10" xfId="8595" xr:uid="{833DCF89-7D5F-45D0-A15D-A9504CB29125}"/>
    <cellStyle name="Percent 2 3 10 2" xfId="16975" xr:uid="{7229EEE7-C9F4-45CE-85C5-439264E69F62}"/>
    <cellStyle name="Percent 2 3 10 2 2" xfId="33735" xr:uid="{1C05D18F-C559-40B9-ACF8-0FC439B8CE5E}"/>
    <cellStyle name="Percent 2 3 10 2 3" xfId="50494" xr:uid="{B3DD9E2F-0C5A-4823-95D4-559B212C05BA}"/>
    <cellStyle name="Percent 2 3 10 3" xfId="25355" xr:uid="{A0BA8ECD-6129-4B69-91B8-04FF2890DF47}"/>
    <cellStyle name="Percent 2 3 10 4" xfId="42114" xr:uid="{FDD4C001-15D4-48E3-97E1-D1C8A4C9F557}"/>
    <cellStyle name="Percent 2 3 11" xfId="2578" xr:uid="{98B4BBC4-4E4B-4DF8-B9C6-B494EBB59BED}"/>
    <cellStyle name="Percent 2 3 11 2" xfId="10960" xr:uid="{B5A4DB76-163A-4F2C-BBA7-85DB23C87943}"/>
    <cellStyle name="Percent 2 3 11 2 2" xfId="27720" xr:uid="{851C23E3-496C-43AE-9B03-EA29793862D7}"/>
    <cellStyle name="Percent 2 3 11 2 3" xfId="44479" xr:uid="{EBDDB5E4-AA9F-42D3-896D-740C14522C4C}"/>
    <cellStyle name="Percent 2 3 11 3" xfId="19340" xr:uid="{582488CD-4BA8-477B-BEA0-F9FAA5D73DC7}"/>
    <cellStyle name="Percent 2 3 11 4" xfId="36099" xr:uid="{82CE531F-6248-4591-872A-B50AEE945BF0}"/>
    <cellStyle name="Percent 2 3 12" xfId="9157" xr:uid="{DFB9ADD0-49DD-4E21-9609-D0A56A79BAE3}"/>
    <cellStyle name="Percent 2 3 12 2" xfId="25917" xr:uid="{19D42681-46C8-47A1-B571-9099F23C096D}"/>
    <cellStyle name="Percent 2 3 12 3" xfId="42676" xr:uid="{40266B9E-0F33-4DBC-B606-C42DA8FBFF38}"/>
    <cellStyle name="Percent 2 3 13" xfId="17537" xr:uid="{CDBF3CF0-F597-47F5-8CCC-59386793B4AA}"/>
    <cellStyle name="Percent 2 3 14" xfId="34296" xr:uid="{C70C070A-44ED-444F-8148-234FB9F48DE6}"/>
    <cellStyle name="Percent 2 3 15" xfId="752" xr:uid="{126928DF-BA96-4C45-AE56-13B6E857A196}"/>
    <cellStyle name="Percent 2 3 2" xfId="1188" xr:uid="{FE512877-E7F5-49C0-9BB9-ED0D7EF7197C}"/>
    <cellStyle name="Percent 2 3 2 2" xfId="4583" xr:uid="{0EF508C5-8CEA-403D-AE8D-B7F2E896EC0A}"/>
    <cellStyle name="Percent 2 3 2 2 2" xfId="12963" xr:uid="{B20042A6-24DB-4F9C-B373-569D81D28937}"/>
    <cellStyle name="Percent 2 3 2 2 2 2" xfId="29723" xr:uid="{61D674EA-2F73-4200-A90E-00BA2525D188}"/>
    <cellStyle name="Percent 2 3 2 2 2 3" xfId="46482" xr:uid="{D85671DA-3BF2-4925-A16C-2BE4FC07D43B}"/>
    <cellStyle name="Percent 2 3 2 2 3" xfId="21343" xr:uid="{9E849F64-8B21-4951-A890-3904767D513F}"/>
    <cellStyle name="Percent 2 3 2 2 4" xfId="38102" xr:uid="{A2A0F96E-E00C-4722-8D1B-010F005AEC94}"/>
    <cellStyle name="Percent 2 3 2 3" xfId="6270" xr:uid="{4BEC8924-9657-44B4-8BC9-32842D5E000F}"/>
    <cellStyle name="Percent 2 3 2 3 2" xfId="14650" xr:uid="{51491965-D510-43C3-B439-747B8764A1E8}"/>
    <cellStyle name="Percent 2 3 2 3 2 2" xfId="31410" xr:uid="{B09C4F3F-971C-461F-997E-E19994D72754}"/>
    <cellStyle name="Percent 2 3 2 3 2 3" xfId="48169" xr:uid="{01C84003-75DE-43D8-B57B-C36DEC0EFBC0}"/>
    <cellStyle name="Percent 2 3 2 3 3" xfId="23030" xr:uid="{59AE85BC-9FB0-4B4A-B755-CC4AFFF412A3}"/>
    <cellStyle name="Percent 2 3 2 3 4" xfId="39789" xr:uid="{67633514-CA28-45A6-A7B6-637FADB7E2EB}"/>
    <cellStyle name="Percent 2 3 2 4" xfId="3006" xr:uid="{98FB1165-E304-4CB5-8A3E-93C51E0C18D8}"/>
    <cellStyle name="Percent 2 3 2 4 2" xfId="11386" xr:uid="{BE1ED36B-91FA-4859-9915-3C3430DF1EC0}"/>
    <cellStyle name="Percent 2 3 2 4 2 2" xfId="28146" xr:uid="{80ED33E9-7FD2-406A-84EC-B4801DEF813E}"/>
    <cellStyle name="Percent 2 3 2 4 2 3" xfId="44905" xr:uid="{71EDFA5A-009B-458B-828A-6F8A1ED0995F}"/>
    <cellStyle name="Percent 2 3 2 4 3" xfId="19766" xr:uid="{CD046379-0BAA-4FFD-BCAA-C5250D3E838A}"/>
    <cellStyle name="Percent 2 3 2 4 4" xfId="36525" xr:uid="{8AE1511B-6259-47E7-9D42-CB5068A1CE00}"/>
    <cellStyle name="Percent 2 3 2 5" xfId="9583" xr:uid="{0380FC46-7DFF-4FFD-87AF-BBDD1B6651DB}"/>
    <cellStyle name="Percent 2 3 2 5 2" xfId="26343" xr:uid="{6963DA3F-01BD-4BBC-A2B0-5883E0E8E937}"/>
    <cellStyle name="Percent 2 3 2 5 3" xfId="43102" xr:uid="{52313B84-E4A7-41E5-B2D9-EA1888A4CDCE}"/>
    <cellStyle name="Percent 2 3 2 6" xfId="17963" xr:uid="{9F72E3A6-BBEC-4F0F-9753-A09C8C404EF9}"/>
    <cellStyle name="Percent 2 3 2 7" xfId="34722" xr:uid="{0ED30C68-47A6-4C76-B6FB-94E774095217}"/>
    <cellStyle name="Percent 2 3 3" xfId="1622" xr:uid="{047AEE9F-2204-4DC8-8ACA-F7A44B21D47C}"/>
    <cellStyle name="Percent 2 3 3 2" xfId="5011" xr:uid="{4414EE66-646D-4FFA-9649-A82605ADF2D3}"/>
    <cellStyle name="Percent 2 3 3 2 2" xfId="13391" xr:uid="{1925D4E2-CE76-4573-AFEA-DE0A5A00ED7F}"/>
    <cellStyle name="Percent 2 3 3 2 2 2" xfId="30151" xr:uid="{527F1A4F-16B1-4988-845B-7AD4910D8B22}"/>
    <cellStyle name="Percent 2 3 3 2 2 3" xfId="46910" xr:uid="{2B88D7F2-7CB3-4D41-92E7-E93B14E7CAE9}"/>
    <cellStyle name="Percent 2 3 3 2 3" xfId="21771" xr:uid="{24B87DCA-8D73-4390-A608-B2FE10F83095}"/>
    <cellStyle name="Percent 2 3 3 2 4" xfId="38530" xr:uid="{D886439D-9CDD-4C79-8C0B-05A3B3AAB898}"/>
    <cellStyle name="Percent 2 3 3 3" xfId="6698" xr:uid="{9079FE48-AAB5-4C24-9DF1-B4FB3908093D}"/>
    <cellStyle name="Percent 2 3 3 3 2" xfId="15078" xr:uid="{2DE08D3F-6E02-4F23-89D4-974E2545B735}"/>
    <cellStyle name="Percent 2 3 3 3 2 2" xfId="31838" xr:uid="{E5366F1B-5142-4875-9286-0C809F798EBA}"/>
    <cellStyle name="Percent 2 3 3 3 2 3" xfId="48597" xr:uid="{AD7707F3-90D3-4E57-B154-EB33663484A2}"/>
    <cellStyle name="Percent 2 3 3 3 3" xfId="23458" xr:uid="{87E35756-D9AE-4E48-B012-DF4A10C51247}"/>
    <cellStyle name="Percent 2 3 3 3 4" xfId="40217" xr:uid="{85E7E4F5-220C-4E51-A77F-CB1A6B5073F7}"/>
    <cellStyle name="Percent 2 3 3 4" xfId="3434" xr:uid="{2EE7F5D7-0A21-4973-9A60-C76DD8DB14DE}"/>
    <cellStyle name="Percent 2 3 3 4 2" xfId="11814" xr:uid="{590661E5-D05F-48E3-ACE5-BCFCACE72FF3}"/>
    <cellStyle name="Percent 2 3 3 4 2 2" xfId="28574" xr:uid="{3B38FCEF-9D57-4716-9836-0F1B52B53834}"/>
    <cellStyle name="Percent 2 3 3 4 2 3" xfId="45333" xr:uid="{3AAF886A-ED86-437B-AD80-F87A46D5BDCF}"/>
    <cellStyle name="Percent 2 3 3 4 3" xfId="20194" xr:uid="{134C9058-FE30-4721-9D4C-8ED37C5C7E0D}"/>
    <cellStyle name="Percent 2 3 3 4 4" xfId="36953" xr:uid="{B7503DAF-9658-4407-9C6D-E1B3CD4D97A1}"/>
    <cellStyle name="Percent 2 3 3 5" xfId="10011" xr:uid="{1D8C02DE-62D2-46CF-BD38-5EA57B26B0FE}"/>
    <cellStyle name="Percent 2 3 3 5 2" xfId="26771" xr:uid="{798AA075-6A4B-43E4-B23A-3C8E8B51C026}"/>
    <cellStyle name="Percent 2 3 3 5 3" xfId="43530" xr:uid="{049C6289-B83E-4BC0-92D0-3C1803B4401E}"/>
    <cellStyle name="Percent 2 3 3 6" xfId="18391" xr:uid="{3B648276-DE9D-45FA-A751-5F3D9C8C5E78}"/>
    <cellStyle name="Percent 2 3 3 7" xfId="35150" xr:uid="{AF26A4EB-4E49-4CB3-8E6B-606C3ABAA0AA}"/>
    <cellStyle name="Percent 2 3 4" xfId="1895" xr:uid="{5E63BE72-0C1C-40F5-A66E-EB38980B0E46}"/>
    <cellStyle name="Percent 2 3 4 2" xfId="5284" xr:uid="{D0058338-56FB-4A8C-AFE7-449572C5B21B}"/>
    <cellStyle name="Percent 2 3 4 2 2" xfId="13664" xr:uid="{32770514-B3AA-4882-A585-176444ADB789}"/>
    <cellStyle name="Percent 2 3 4 2 2 2" xfId="30424" xr:uid="{0AEFD14D-D2D4-4D96-B9E9-1DD812884B1B}"/>
    <cellStyle name="Percent 2 3 4 2 2 3" xfId="47183" xr:uid="{E063855F-72B9-41DE-9643-8DE812C99EEC}"/>
    <cellStyle name="Percent 2 3 4 2 3" xfId="22044" xr:uid="{3A515249-B54F-4934-BB8A-6D7DF64E5DBC}"/>
    <cellStyle name="Percent 2 3 4 2 4" xfId="38803" xr:uid="{58F19455-7369-4D1B-8E79-A7B0F894A79E}"/>
    <cellStyle name="Percent 2 3 4 3" xfId="6971" xr:uid="{B1F86F7B-A39B-4BE6-B55D-8E4AF150BE79}"/>
    <cellStyle name="Percent 2 3 4 3 2" xfId="15351" xr:uid="{68AA36B9-278F-4C3C-839D-273F401D5ABA}"/>
    <cellStyle name="Percent 2 3 4 3 2 2" xfId="32111" xr:uid="{ABB807FC-2F6E-42EC-ACDF-A8B529E57122}"/>
    <cellStyle name="Percent 2 3 4 3 2 3" xfId="48870" xr:uid="{58A7FD5F-CC3E-4F33-B413-1DFD5992B4AD}"/>
    <cellStyle name="Percent 2 3 4 3 3" xfId="23731" xr:uid="{BA689135-6044-4312-BBDE-7D5A1F41FF6C}"/>
    <cellStyle name="Percent 2 3 4 3 4" xfId="40490" xr:uid="{F71FAB9A-D8C4-43B7-9577-EA0F1C2F01FD}"/>
    <cellStyle name="Percent 2 3 4 4" xfId="3594" xr:uid="{111A6557-282B-40BE-AAF2-C350478D362A}"/>
    <cellStyle name="Percent 2 3 4 4 2" xfId="11974" xr:uid="{60230E69-F753-4181-9D32-EA2C69437B53}"/>
    <cellStyle name="Percent 2 3 4 4 2 2" xfId="28734" xr:uid="{9D438B8A-684C-4AD5-9AD1-53B578CF52A8}"/>
    <cellStyle name="Percent 2 3 4 4 2 3" xfId="45493" xr:uid="{3865D32F-FF84-4029-9091-EA39F21A1B5A}"/>
    <cellStyle name="Percent 2 3 4 4 3" xfId="20354" xr:uid="{CCBB6109-58D5-46D4-93AA-3092AA18B4B4}"/>
    <cellStyle name="Percent 2 3 4 4 4" xfId="37113" xr:uid="{61631D2B-9525-4CC9-A4C0-6716734C8289}"/>
    <cellStyle name="Percent 2 3 4 5" xfId="10284" xr:uid="{E0A92F8A-16D8-4FD0-BD9E-6A033B1B88CF}"/>
    <cellStyle name="Percent 2 3 4 5 2" xfId="27044" xr:uid="{6A00A63F-313F-40A6-9FBC-F472BBA89D8F}"/>
    <cellStyle name="Percent 2 3 4 5 3" xfId="43803" xr:uid="{2C588A19-0B72-4867-9F1E-FDA4E121ACF8}"/>
    <cellStyle name="Percent 2 3 4 6" xfId="18664" xr:uid="{BA1C9BE9-9BA0-4550-846B-A48102F20B1E}"/>
    <cellStyle name="Percent 2 3 4 7" xfId="35423" xr:uid="{E2FC41B3-73DD-4F18-91EB-4A9A0F886A39}"/>
    <cellStyle name="Percent 2 3 5" xfId="4014" xr:uid="{4AECE0D5-002E-4CB1-804C-704660878959}"/>
    <cellStyle name="Percent 2 3 5 2" xfId="12394" xr:uid="{48CC22F8-01ED-4C6E-BA8B-32A2B60880AB}"/>
    <cellStyle name="Percent 2 3 5 2 2" xfId="29154" xr:uid="{B984E2A5-2AB0-436A-8474-96F3981063B3}"/>
    <cellStyle name="Percent 2 3 5 2 3" xfId="45913" xr:uid="{D703C20C-A342-4FD9-A55D-8A86751F95E6}"/>
    <cellStyle name="Percent 2 3 5 3" xfId="20774" xr:uid="{B8B82E34-A769-43B7-AEBA-08DBBD8CD215}"/>
    <cellStyle name="Percent 2 3 5 4" xfId="37533" xr:uid="{381CAD4E-352E-4190-8F03-944CCE99CDF9}"/>
    <cellStyle name="Percent 2 3 6" xfId="5844" xr:uid="{1A7C310B-694A-4825-A9EB-FE5572746FDE}"/>
    <cellStyle name="Percent 2 3 6 2" xfId="14224" xr:uid="{E74C217B-0925-4521-89FD-89C733C635CB}"/>
    <cellStyle name="Percent 2 3 6 2 2" xfId="30984" xr:uid="{963B8FEF-4ADD-445F-AB97-F33D387ACFCA}"/>
    <cellStyle name="Percent 2 3 6 2 3" xfId="47743" xr:uid="{FF0D61F7-CD66-498C-A446-20253290CAF5}"/>
    <cellStyle name="Percent 2 3 6 3" xfId="22604" xr:uid="{1878535D-8286-483F-8469-8F8235F3ECE1}"/>
    <cellStyle name="Percent 2 3 6 4" xfId="39363" xr:uid="{E5627397-AA2D-4158-81C7-C54B88A87993}"/>
    <cellStyle name="Percent 2 3 7" xfId="7377" xr:uid="{35DB62D8-9B72-4E27-90CC-3EBFAAACA613}"/>
    <cellStyle name="Percent 2 3 7 2" xfId="15757" xr:uid="{9D0B1679-3364-4B20-8B64-E4C2E48E2A17}"/>
    <cellStyle name="Percent 2 3 7 2 2" xfId="32517" xr:uid="{E1C19AFF-2781-46E6-B9F2-D585D3EF451E}"/>
    <cellStyle name="Percent 2 3 7 2 3" xfId="49276" xr:uid="{E8A73203-144B-408D-AE5C-5B4AFDEF7BE1}"/>
    <cellStyle name="Percent 2 3 7 3" xfId="24137" xr:uid="{A2F9670E-A65E-4A70-A30D-FA46E480D5CE}"/>
    <cellStyle name="Percent 2 3 7 4" xfId="40896" xr:uid="{C6E906F9-73DE-42BC-A3A5-BCA8CFDD21CB}"/>
    <cellStyle name="Percent 2 3 8" xfId="7783" xr:uid="{FAC23C4A-6AC4-408B-A894-2D39D304FCED}"/>
    <cellStyle name="Percent 2 3 8 2" xfId="16163" xr:uid="{16FD8513-F82D-4970-8B89-7AD8F132C0AF}"/>
    <cellStyle name="Percent 2 3 8 2 2" xfId="32923" xr:uid="{96686F16-23B8-491E-9A8C-5601CF757EF1}"/>
    <cellStyle name="Percent 2 3 8 2 3" xfId="49682" xr:uid="{CE267F2D-252E-455D-BB68-6321C1732BBA}"/>
    <cellStyle name="Percent 2 3 8 3" xfId="24543" xr:uid="{F4A15E34-0A9B-4820-82BF-78EC0F511535}"/>
    <cellStyle name="Percent 2 3 8 4" xfId="41302" xr:uid="{100F635E-41D0-4F18-AA8B-D2EC14F34020}"/>
    <cellStyle name="Percent 2 3 9" xfId="8189" xr:uid="{AE0E3A28-9782-4A32-A6B6-6BC0D235E3A3}"/>
    <cellStyle name="Percent 2 3 9 2" xfId="16569" xr:uid="{C8CD9512-8EFA-41E7-9776-65CE4A1357B8}"/>
    <cellStyle name="Percent 2 3 9 2 2" xfId="33329" xr:uid="{B6C16C28-3F18-4B71-97F4-3130C3D08566}"/>
    <cellStyle name="Percent 2 3 9 2 3" xfId="50088" xr:uid="{16CB32EB-DAD1-449A-A7BF-2BCC5A6A486B}"/>
    <cellStyle name="Percent 2 3 9 3" xfId="24949" xr:uid="{DF02FCFF-7C60-4AA4-9BAA-282357B1EB28}"/>
    <cellStyle name="Percent 2 3 9 4" xfId="41708" xr:uid="{E6AD5943-47F8-4021-8300-A3E70E910800}"/>
    <cellStyle name="Percent 2 4" xfId="1624" xr:uid="{0D0E04A5-94F7-423E-9EF1-1AB4BBD8F461}"/>
    <cellStyle name="Percent 2 4 2" xfId="5013" xr:uid="{5216673E-F4E9-4F25-87D9-409559906403}"/>
    <cellStyle name="Percent 2 4 2 2" xfId="13393" xr:uid="{AF135849-A12F-446D-B48E-B1ACE9350AE1}"/>
    <cellStyle name="Percent 2 4 2 2 2" xfId="30153" xr:uid="{E32894C9-8C07-4195-857E-F3E1713CFFA0}"/>
    <cellStyle name="Percent 2 4 2 2 3" xfId="46912" xr:uid="{D366665E-83D0-4520-B22E-0B4C358D2AB3}"/>
    <cellStyle name="Percent 2 4 2 3" xfId="21773" xr:uid="{A061A9EF-D6EF-4D95-8037-102E634DE73E}"/>
    <cellStyle name="Percent 2 4 2 4" xfId="38532" xr:uid="{0388F365-5201-40D8-B2BD-138032D5A42C}"/>
    <cellStyle name="Percent 2 4 3" xfId="6700" xr:uid="{400F61D6-D0FA-429B-B2FB-E9242C754D1E}"/>
    <cellStyle name="Percent 2 4 3 2" xfId="15080" xr:uid="{68039C76-8281-4B7E-BBF3-5A21B1E3B3A3}"/>
    <cellStyle name="Percent 2 4 3 2 2" xfId="31840" xr:uid="{3D39CF88-A10F-4D77-AE2E-C4BF3F4BF811}"/>
    <cellStyle name="Percent 2 4 3 2 3" xfId="48599" xr:uid="{F1EF5709-3462-403D-9448-FD7932586704}"/>
    <cellStyle name="Percent 2 4 3 3" xfId="23460" xr:uid="{56B350A0-F719-404E-8356-F96721CAFE7D}"/>
    <cellStyle name="Percent 2 4 3 4" xfId="40219" xr:uid="{44FE1601-7033-4CF0-82F9-789459FB5A68}"/>
    <cellStyle name="Percent 2 4 4" xfId="3436" xr:uid="{ACE2A02D-973B-4571-BD6E-A75F3D39F2EF}"/>
    <cellStyle name="Percent 2 4 4 2" xfId="11816" xr:uid="{DD658A29-393B-4517-B198-E452BAC68B4D}"/>
    <cellStyle name="Percent 2 4 4 2 2" xfId="28576" xr:uid="{C3C818D9-0625-4E09-976A-FFA365BD6F21}"/>
    <cellStyle name="Percent 2 4 4 2 3" xfId="45335" xr:uid="{C1F6271B-85C2-499E-9D44-32653B8CDF0B}"/>
    <cellStyle name="Percent 2 4 4 3" xfId="20196" xr:uid="{B92B8BDF-2649-4546-B281-7A2B4D3080DD}"/>
    <cellStyle name="Percent 2 4 4 4" xfId="36955" xr:uid="{53B5738B-7FCE-42F3-9EF1-23587212B7AF}"/>
    <cellStyle name="Percent 2 4 5" xfId="10013" xr:uid="{82A3FAF6-94E0-4434-9962-CEC39CEBC8C3}"/>
    <cellStyle name="Percent 2 4 5 2" xfId="26773" xr:uid="{EB8DADC3-A150-4FB3-907E-F20917FC08D7}"/>
    <cellStyle name="Percent 2 4 5 3" xfId="43532" xr:uid="{58F4C9EA-62C7-4761-9029-3486729E7C9E}"/>
    <cellStyle name="Percent 2 4 6" xfId="18393" xr:uid="{6039AF00-C61A-4610-A868-FD84AA0CE6F3}"/>
    <cellStyle name="Percent 2 4 7" xfId="35152" xr:uid="{4EA7175E-3BDC-48AF-83D8-300A539AA56D}"/>
    <cellStyle name="Percent 2 5" xfId="3729" xr:uid="{16852E22-048F-4D19-9013-601E7BA53556}"/>
    <cellStyle name="Percent 2 5 2" xfId="12109" xr:uid="{59DD58F4-CAB3-42B8-8739-13C8152CE58F}"/>
    <cellStyle name="Percent 2 5 2 2" xfId="28869" xr:uid="{FC824D90-C2D9-4461-A2B3-FDF066EB79DA}"/>
    <cellStyle name="Percent 2 5 2 3" xfId="45628" xr:uid="{27DA4962-680F-4B3E-960E-C36919F9C6E9}"/>
    <cellStyle name="Percent 2 5 3" xfId="20489" xr:uid="{576A9963-953B-463B-863F-A2D21D88693D}"/>
    <cellStyle name="Percent 2 5 4" xfId="37248" xr:uid="{C6693EC3-3F6E-456D-A46A-662CF4EE4812}"/>
    <cellStyle name="Percent 2 6" xfId="7106" xr:uid="{D8CEE686-8AE5-4CC2-834D-3274BA4C1A4B}"/>
    <cellStyle name="Percent 2 6 2" xfId="15486" xr:uid="{642D3BA4-C7CB-4822-8B03-BC436AC2479F}"/>
    <cellStyle name="Percent 2 6 2 2" xfId="32246" xr:uid="{CD97014C-5311-4F43-9121-A566AF6F44D0}"/>
    <cellStyle name="Percent 2 6 2 3" xfId="49005" xr:uid="{FAD181C6-8364-4931-86DF-780E86352E51}"/>
    <cellStyle name="Percent 2 6 3" xfId="23866" xr:uid="{3D7ABA53-3612-4F0E-B4CC-0DAE6C2917D5}"/>
    <cellStyle name="Percent 2 6 4" xfId="40625" xr:uid="{BF26A324-3162-4BE6-870D-7407FEDCA862}"/>
    <cellStyle name="Percent 2 7" xfId="7512" xr:uid="{33B3A487-217C-4D36-8BCD-B6096534D5C7}"/>
    <cellStyle name="Percent 2 7 2" xfId="15892" xr:uid="{0821573C-C0DC-4BAC-88A7-24368C0C2E65}"/>
    <cellStyle name="Percent 2 7 2 2" xfId="32652" xr:uid="{82F2EA39-AC02-4F8D-8B8C-971E1520C3BB}"/>
    <cellStyle name="Percent 2 7 2 3" xfId="49411" xr:uid="{3D2703F8-8598-4626-BAE2-688AF67A75F0}"/>
    <cellStyle name="Percent 2 7 3" xfId="24272" xr:uid="{E586283F-A68F-414F-8913-41E78295ACDD}"/>
    <cellStyle name="Percent 2 7 4" xfId="41031" xr:uid="{8B32ED81-8598-478A-BD29-EAB46C76A322}"/>
    <cellStyle name="Percent 2 8" xfId="7918" xr:uid="{45DA45FE-FF09-4845-9437-C5CD1779A122}"/>
    <cellStyle name="Percent 2 8 2" xfId="16298" xr:uid="{D96E71F8-A090-4D4C-8583-5D74D65A24C2}"/>
    <cellStyle name="Percent 2 8 2 2" xfId="33058" xr:uid="{0CE7E028-3EDB-4488-9CD4-F74F27A8CFFF}"/>
    <cellStyle name="Percent 2 8 2 3" xfId="49817" xr:uid="{C2C6EA28-5B5F-47A2-94A7-C74390EC03EE}"/>
    <cellStyle name="Percent 2 8 3" xfId="24678" xr:uid="{EB7E8EAF-EFAE-4487-8607-C159061AA4FB}"/>
    <cellStyle name="Percent 2 8 4" xfId="41437" xr:uid="{00D9CE0C-A015-475F-84BA-2FA115934862}"/>
    <cellStyle name="Percent 2 9" xfId="8324" xr:uid="{8B043DE0-C747-4A8E-93A1-598EC5C109EC}"/>
    <cellStyle name="Percent 2 9 2" xfId="16704" xr:uid="{B6C2B1AB-BFFE-4EFD-A0E0-435F093D1EC7}"/>
    <cellStyle name="Percent 2 9 2 2" xfId="33464" xr:uid="{AA73E09A-A233-4531-8A75-D4018599E658}"/>
    <cellStyle name="Percent 2 9 2 3" xfId="50223" xr:uid="{A1A50456-BD73-4A15-AB1A-BB0C49027BF2}"/>
    <cellStyle name="Percent 2 9 3" xfId="25084" xr:uid="{C030F871-20D3-4F9E-BE1A-16B15B402732}"/>
    <cellStyle name="Percent 2 9 4" xfId="41843" xr:uid="{5E14AA7E-6097-4334-ACCC-9730C5BB94A2}"/>
    <cellStyle name="Percent 3" xfId="68" xr:uid="{281B86D9-4117-4E83-AC81-21979F324661}"/>
    <cellStyle name="Percent 3 2" xfId="754" xr:uid="{6C9F73A5-A932-45A0-B4C4-67A4797CDCD8}"/>
    <cellStyle name="Percent 3 3" xfId="755" xr:uid="{AC409C24-E468-4CA1-9DA9-23B158BC0FDF}"/>
    <cellStyle name="Percent 3 4" xfId="753" xr:uid="{BF48D119-AF96-4A99-ACA1-98C833BA06E3}"/>
    <cellStyle name="Percent 3 5" xfId="172" xr:uid="{D2F97338-1719-418B-B243-D5910498B168}"/>
    <cellStyle name="Percent 4" xfId="173" xr:uid="{D3B904D4-B9CE-45F9-A04E-0F019065775D}"/>
    <cellStyle name="Percent 4 2" xfId="51030" xr:uid="{D589F4B6-8C12-46ED-8751-06793838EB14}"/>
    <cellStyle name="Percent 4 2 2" xfId="51268" xr:uid="{1B2A5B7E-3CCD-4FAB-902E-6EE584A8E701}"/>
    <cellStyle name="Percent 4 2 2 2" xfId="51741" xr:uid="{78B3E2F4-04EC-4596-AF0A-6C31E22F8317}"/>
    <cellStyle name="Percent 4 2 2 3" xfId="52217" xr:uid="{54BB8BF5-A305-4CD8-B6C1-BC0D63159F00}"/>
    <cellStyle name="Percent 4 2 3" xfId="51505" xr:uid="{5E51ADD9-70C5-45B4-A480-A59B165111A8}"/>
    <cellStyle name="Percent 4 2 4" xfId="52020" xr:uid="{36979B80-D5C8-4251-BE1B-D47B0E2B59BE}"/>
    <cellStyle name="Percent 4 3" xfId="51253" xr:uid="{39677FAE-0121-4D92-875B-9DE56DD51A5E}"/>
    <cellStyle name="Percent 4 3 2" xfId="51726" xr:uid="{97C97D7D-598C-4AED-B3E3-00FB09A0B25F}"/>
    <cellStyle name="Percent 4 3 3" xfId="52202" xr:uid="{5390C8AB-D3C2-4F22-BE66-4BFDE7551934}"/>
    <cellStyle name="Percent 4 4" xfId="51014" xr:uid="{41583530-1788-4F06-995F-5F7A47E89C6C}"/>
    <cellStyle name="Percent 4 5" xfId="51491" xr:uid="{41322BC2-F249-4CFB-9F29-F271C07311BB}"/>
    <cellStyle name="Percent 4 6" xfId="52005" xr:uid="{66D61553-16BB-4A46-B957-E26D9E9FEEDD}"/>
    <cellStyle name="Percent 4 7" xfId="756" xr:uid="{30750987-BADB-45F8-8EC5-04894A08337B}"/>
    <cellStyle name="Percent 5" xfId="174" xr:uid="{2C665F50-1C8B-48C3-9FD4-504BD33671B3}"/>
    <cellStyle name="Percent 6" xfId="175" xr:uid="{A5ACAD09-3AD2-44A9-968C-AB3D09897C1D}"/>
    <cellStyle name="Percent 7" xfId="52232" xr:uid="{5C1CD211-D95F-4DA7-91CF-47D85A40AC66}"/>
    <cellStyle name="Percent 8" xfId="52229" xr:uid="{13503A84-0558-4882-937A-11F14D9AE046}"/>
    <cellStyle name="Percent0Decimals" xfId="176" xr:uid="{0568EE88-67B9-4163-B474-C2058FC8F0EF}"/>
    <cellStyle name="Percent2Decimals" xfId="177" xr:uid="{5C0F9674-19D8-4195-B902-E2EA25BC0DA0}"/>
    <cellStyle name="PercentBoldwBorders" xfId="178" xr:uid="{4C023345-BEB0-41C3-83D3-F0623809F171}"/>
    <cellStyle name="PercentSS" xfId="179" xr:uid="{75472759-8F48-464F-9E33-CE02B2D81E0D}"/>
    <cellStyle name="PercentSSBoldwBorders" xfId="180" xr:uid="{1B02E715-DC7D-49C4-A6DD-0532D823A229}"/>
    <cellStyle name="PercentSSBoldwOutBorders" xfId="181" xr:uid="{F6CB30F9-C77D-4AF6-B3D0-5753EF0F7E7A}"/>
    <cellStyle name="Plain0Decimals" xfId="182" xr:uid="{E362FB10-4101-4994-AF5B-81F9F07897DD}"/>
    <cellStyle name="Plain1Decimals" xfId="183" xr:uid="{AFBF287B-BFF8-413B-A124-30FA1BE08A85}"/>
    <cellStyle name="Plain2Decimals" xfId="184" xr:uid="{2FCD17C2-2202-4890-8990-6E027C831FE0}"/>
    <cellStyle name="Plain3Decimals" xfId="185" xr:uid="{FCFFF295-FFCB-40FE-B00D-B381C60A4EFA}"/>
    <cellStyle name="Plain4Decimals" xfId="186" xr:uid="{468BF9D6-807D-45F3-9C4C-8C58192B2401}"/>
    <cellStyle name="PlainDollar" xfId="187" xr:uid="{77C4876C-16F5-475D-B405-64E2704BFC7E}"/>
    <cellStyle name="PlainDollarBoldwBorders" xfId="188" xr:uid="{A97168A3-32F7-479B-AD47-527743CAF6D8}"/>
    <cellStyle name="PlainDollarBoldwOutBorders" xfId="189" xr:uid="{6AAEE124-18E9-4557-94BC-0D5ADF4720E0}"/>
    <cellStyle name="PlainDollardBLUndLine" xfId="190" xr:uid="{6F3CC886-54BE-4D1A-B394-9E0B0ADC63E8}"/>
    <cellStyle name="PlainDollarSS" xfId="191" xr:uid="{85C2825B-63AC-4885-94A5-38102007F08E}"/>
    <cellStyle name="PlainDollarSSwBorders" xfId="192" xr:uid="{CED2B12D-F5D1-4A60-A145-CCB5FDB24A59}"/>
    <cellStyle name="PlainDollarUndLine" xfId="193" xr:uid="{408CB6E5-0873-45AE-90C5-30D70FDABE1C}"/>
    <cellStyle name="PlainPercent" xfId="194" xr:uid="{33C36DAA-3692-4348-8D52-71139D8AE7C7}"/>
    <cellStyle name="Product Title" xfId="195" xr:uid="{A2E5BAA0-64E6-497A-930B-BFE3A8F28D1B}"/>
    <cellStyle name="PropertyHeaderStyle" xfId="196" xr:uid="{3634CFD5-7134-47DE-B742-0729F0E1C59B}"/>
    <cellStyle name="PropertyValueStyle" xfId="197" xr:uid="{410C6C5B-695F-4879-BF1E-5153B6744102}"/>
    <cellStyle name="PSChar" xfId="198" xr:uid="{D7B2B5CB-C245-4D6A-8184-DBC31A15BC55}"/>
    <cellStyle name="ScratchPad" xfId="199" xr:uid="{3D819AFF-9B73-4835-8B14-6000679C85DD}"/>
    <cellStyle name="sectionHeader" xfId="200" xr:uid="{2DB8D988-149F-4D66-802F-D2A2A81B8B8A}"/>
    <cellStyle name="SectionTitleRow" xfId="201" xr:uid="{AE312D9C-A9C3-49BF-A937-6E5E8F7F17D5}"/>
    <cellStyle name="SSComma0" xfId="202" xr:uid="{7B9121CC-CF7D-4475-9B11-080186FE3636}"/>
    <cellStyle name="SSComma2" xfId="203" xr:uid="{D17B48E0-6F98-4B0A-819F-F030F6CB1641}"/>
    <cellStyle name="SSDecs3" xfId="204" xr:uid="{30C92C15-7E29-4F3A-BE10-B925CA9FABE9}"/>
    <cellStyle name="SSDflt" xfId="205" xr:uid="{A141C2CD-FEEA-48AD-9FDF-2E8EBF789866}"/>
    <cellStyle name="SSDfltPct" xfId="206" xr:uid="{5108CD6D-773F-42AD-9108-226EBD746DBF}"/>
    <cellStyle name="SSDfltPct0" xfId="207" xr:uid="{52156585-C692-4CE1-B05B-8C6ED6E5E6A1}"/>
    <cellStyle name="SSFixed2" xfId="208" xr:uid="{E4FD43B0-EC31-4390-AF86-57EA5400A030}"/>
    <cellStyle name="Style 1" xfId="261" xr:uid="{D3DD7258-E580-4025-8C5F-2EBCE141394B}"/>
    <cellStyle name="Style 1 2" xfId="757" xr:uid="{8A861486-A1DB-4098-9805-194C8151166E}"/>
    <cellStyle name="Style 1 2 2" xfId="2579" xr:uid="{57625C00-F091-41F3-9EF2-C5101635B06F}"/>
    <cellStyle name="Style 1 3" xfId="758" xr:uid="{F25055D0-E10F-4DE1-9659-5C39B6A0DDA4}"/>
    <cellStyle name="Style 1 3 2" xfId="2580" xr:uid="{06C992A0-1C61-470F-A5D0-596563142526}"/>
    <cellStyle name="STYLE1" xfId="254" xr:uid="{D10EF72B-510D-4C94-856B-D4CD21578B7C}"/>
    <cellStyle name="STYLE3" xfId="263" xr:uid="{807D8FB3-2117-4FDA-AFFA-9E7E4D65E1C7}"/>
    <cellStyle name="SystemDefaultHead" xfId="209" xr:uid="{CB0EA6A3-0009-46D5-8022-453A7AC77F3A}"/>
    <cellStyle name="SystemDefaultValue" xfId="210" xr:uid="{E8616F8A-54AA-4BFA-A20C-66F980AF4EFE}"/>
    <cellStyle name="Text" xfId="211" xr:uid="{B6DFFB48-2E7C-4D14-A726-2556488F2443}"/>
    <cellStyle name="Title" xfId="10" builtinId="15" customBuiltin="1"/>
    <cellStyle name="Title 2" xfId="759" xr:uid="{F671462D-CA9C-4EAC-A6C3-0CCE6AA03C13}"/>
    <cellStyle name="Title 3" xfId="50767" xr:uid="{A658F9C1-81B7-4755-9548-BDDC0FBDA7CD}"/>
    <cellStyle name="Total" xfId="26" builtinId="25" customBuiltin="1"/>
    <cellStyle name="Total 2" xfId="760" xr:uid="{17DEADD0-5EC7-4F31-A6D8-FAFAB099D0AD}"/>
    <cellStyle name="Total 2 2" xfId="50666" xr:uid="{462A5A55-AD14-4B82-9D71-EB7C9115A3EB}"/>
    <cellStyle name="Total 2 2 2" xfId="51836" xr:uid="{8BE8D804-96C7-4D0E-B354-E46F5D06769B}"/>
    <cellStyle name="Total 2 3" xfId="50821" xr:uid="{DF91207F-3BF2-4F12-AD56-E92F601AFE87}"/>
    <cellStyle name="Warning Text" xfId="23" builtinId="11" customBuiltin="1"/>
    <cellStyle name="Warning Text 2" xfId="761" xr:uid="{43577D67-3571-4763-A9FE-B529B87CFC49}"/>
  </cellStyles>
  <dxfs count="0"/>
  <tableStyles count="1" defaultTableStyle="TableStyleMedium2" defaultPivotStyle="PivotStyleLight16">
    <tableStyle name="Invisible" pivot="0" table="0" count="0" xr9:uid="{06538EFE-8396-4610-B06F-6083528A54DC}"/>
  </tableStyles>
  <colors>
    <mruColors>
      <color rgb="FFFF00FF"/>
      <color rgb="FFCC00FF"/>
      <color rgb="FF00FFFF"/>
      <color rgb="FFE1FFE1"/>
      <color rgb="FFAFFFFF"/>
      <color rgb="FFFFE8B9"/>
      <color rgb="FFFFCC66"/>
      <color rgb="FF008080"/>
      <color rgb="FFD1FF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9.png"/><Relationship Id="rId5" Type="http://schemas.openxmlformats.org/officeDocument/2006/relationships/image" Target="../media/image4.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20</xdr:col>
      <xdr:colOff>326159</xdr:colOff>
      <xdr:row>119</xdr:row>
      <xdr:rowOff>105352</xdr:rowOff>
    </xdr:from>
    <xdr:to>
      <xdr:col>22</xdr:col>
      <xdr:colOff>267855</xdr:colOff>
      <xdr:row>125</xdr:row>
      <xdr:rowOff>139987</xdr:rowOff>
    </xdr:to>
    <xdr:sp macro="" textlink="">
      <xdr:nvSpPr>
        <xdr:cNvPr id="2" name="TextBox 1">
          <a:extLst>
            <a:ext uri="{FF2B5EF4-FFF2-40B4-BE49-F238E27FC236}">
              <a16:creationId xmlns:a16="http://schemas.microsoft.com/office/drawing/2014/main" id="{DFC77868-7218-4481-8367-AF6261FA1DEA}"/>
            </a:ext>
          </a:extLst>
        </xdr:cNvPr>
        <xdr:cNvSpPr txBox="1"/>
      </xdr:nvSpPr>
      <xdr:spPr>
        <a:xfrm>
          <a:off x="14346959" y="19383952"/>
          <a:ext cx="2008621" cy="100618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THIS</a:t>
          </a:r>
          <a:r>
            <a:rPr lang="en-US" sz="1100" b="1" baseline="0"/>
            <a:t> IS THE WC ADJUSTMENT ON THE TOP LEFT OF SCH 2-3-3</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357903</xdr:colOff>
      <xdr:row>6</xdr:row>
      <xdr:rowOff>25400</xdr:rowOff>
    </xdr:from>
    <xdr:to>
      <xdr:col>40</xdr:col>
      <xdr:colOff>38100</xdr:colOff>
      <xdr:row>38</xdr:row>
      <xdr:rowOff>172427</xdr:rowOff>
    </xdr:to>
    <xdr:pic>
      <xdr:nvPicPr>
        <xdr:cNvPr id="2" name="Picture 1">
          <a:extLst>
            <a:ext uri="{FF2B5EF4-FFF2-40B4-BE49-F238E27FC236}">
              <a16:creationId xmlns:a16="http://schemas.microsoft.com/office/drawing/2014/main" id="{EB7CD00C-3008-488A-B7C3-E3B1B92ADEAD}"/>
            </a:ext>
          </a:extLst>
        </xdr:cNvPr>
        <xdr:cNvPicPr>
          <a:picLocks noChangeAspect="1"/>
        </xdr:cNvPicPr>
      </xdr:nvPicPr>
      <xdr:blipFill>
        <a:blip xmlns:r="http://schemas.openxmlformats.org/officeDocument/2006/relationships" r:embed="rId1"/>
        <a:stretch>
          <a:fillRect/>
        </a:stretch>
      </xdr:blipFill>
      <xdr:spPr>
        <a:xfrm>
          <a:off x="27815303" y="904875"/>
          <a:ext cx="5169772" cy="593505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40</xdr:col>
      <xdr:colOff>504824</xdr:colOff>
      <xdr:row>3</xdr:row>
      <xdr:rowOff>35719</xdr:rowOff>
    </xdr:from>
    <xdr:to>
      <xdr:col>50</xdr:col>
      <xdr:colOff>488725</xdr:colOff>
      <xdr:row>41</xdr:row>
      <xdr:rowOff>0</xdr:rowOff>
    </xdr:to>
    <xdr:pic>
      <xdr:nvPicPr>
        <xdr:cNvPr id="3" name="Picture 2">
          <a:extLst>
            <a:ext uri="{FF2B5EF4-FFF2-40B4-BE49-F238E27FC236}">
              <a16:creationId xmlns:a16="http://schemas.microsoft.com/office/drawing/2014/main" id="{69B7C370-3CB4-46F2-B26A-64DECD6E15D9}"/>
            </a:ext>
          </a:extLst>
        </xdr:cNvPr>
        <xdr:cNvPicPr>
          <a:picLocks noChangeAspect="1"/>
        </xdr:cNvPicPr>
      </xdr:nvPicPr>
      <xdr:blipFill>
        <a:blip xmlns:r="http://schemas.openxmlformats.org/officeDocument/2006/relationships" r:embed="rId2"/>
        <a:stretch>
          <a:fillRect/>
        </a:stretch>
      </xdr:blipFill>
      <xdr:spPr>
        <a:xfrm>
          <a:off x="33454974" y="578644"/>
          <a:ext cx="6076726" cy="68413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32</xdr:col>
      <xdr:colOff>165117</xdr:colOff>
      <xdr:row>60</xdr:row>
      <xdr:rowOff>119484</xdr:rowOff>
    </xdr:from>
    <xdr:to>
      <xdr:col>37</xdr:col>
      <xdr:colOff>177817</xdr:colOff>
      <xdr:row>68</xdr:row>
      <xdr:rowOff>17884</xdr:rowOff>
    </xdr:to>
    <xdr:sp macro="" textlink="">
      <xdr:nvSpPr>
        <xdr:cNvPr id="4" name="Callout: Line 3">
          <a:extLst>
            <a:ext uri="{FF2B5EF4-FFF2-40B4-BE49-F238E27FC236}">
              <a16:creationId xmlns:a16="http://schemas.microsoft.com/office/drawing/2014/main" id="{7084DAC4-EEE8-4112-B7DE-B5F4127F78DD}"/>
            </a:ext>
          </a:extLst>
        </xdr:cNvPr>
        <xdr:cNvSpPr/>
      </xdr:nvSpPr>
      <xdr:spPr>
        <a:xfrm>
          <a:off x="28232117" y="7542634"/>
          <a:ext cx="3067050" cy="1343025"/>
        </a:xfrm>
        <a:prstGeom prst="borderCallout1">
          <a:avLst>
            <a:gd name="adj1" fmla="val 49226"/>
            <a:gd name="adj2" fmla="val -545"/>
            <a:gd name="adj3" fmla="val -69750"/>
            <a:gd name="adj4" fmla="val -51417"/>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US" sz="1100"/>
            <a:t>The prior</a:t>
          </a:r>
          <a:r>
            <a:rPr lang="en-US" sz="1100" baseline="0"/>
            <a:t> quarter columns </a:t>
          </a:r>
          <a:r>
            <a:rPr lang="en-US" sz="1100"/>
            <a:t>need to stay the same for the entire year.  Each quarter when we receive a new version of the PDF</a:t>
          </a:r>
          <a:r>
            <a:rPr lang="en-US" sz="1100" baseline="0"/>
            <a:t> file, make sure the prior quarters have not changed. </a:t>
          </a:r>
          <a:endParaRPr lang="en-US" sz="1100"/>
        </a:p>
      </xdr:txBody>
    </xdr:sp>
    <xdr:clientData/>
  </xdr:twoCellAnchor>
  <xdr:twoCellAnchor editAs="oneCell">
    <xdr:from>
      <xdr:col>31</xdr:col>
      <xdr:colOff>111092</xdr:colOff>
      <xdr:row>69</xdr:row>
      <xdr:rowOff>161100</xdr:rowOff>
    </xdr:from>
    <xdr:to>
      <xdr:col>42</xdr:col>
      <xdr:colOff>409595</xdr:colOff>
      <xdr:row>116</xdr:row>
      <xdr:rowOff>17065</xdr:rowOff>
    </xdr:to>
    <xdr:pic>
      <xdr:nvPicPr>
        <xdr:cNvPr id="6" name="Picture 5">
          <a:extLst>
            <a:ext uri="{FF2B5EF4-FFF2-40B4-BE49-F238E27FC236}">
              <a16:creationId xmlns:a16="http://schemas.microsoft.com/office/drawing/2014/main" id="{5DA7768E-95AF-455C-97CD-CE1283E5C04A}"/>
            </a:ext>
          </a:extLst>
        </xdr:cNvPr>
        <xdr:cNvPicPr>
          <a:picLocks noChangeAspect="1"/>
        </xdr:cNvPicPr>
      </xdr:nvPicPr>
      <xdr:blipFill>
        <a:blip xmlns:r="http://schemas.openxmlformats.org/officeDocument/2006/relationships" r:embed="rId3"/>
        <a:stretch>
          <a:fillRect/>
        </a:stretch>
      </xdr:blipFill>
      <xdr:spPr>
        <a:xfrm>
          <a:off x="27568492" y="9213025"/>
          <a:ext cx="7007278" cy="835861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44</xdr:col>
      <xdr:colOff>0</xdr:colOff>
      <xdr:row>70</xdr:row>
      <xdr:rowOff>0</xdr:rowOff>
    </xdr:from>
    <xdr:to>
      <xdr:col>52</xdr:col>
      <xdr:colOff>454297</xdr:colOff>
      <xdr:row>102</xdr:row>
      <xdr:rowOff>103857</xdr:rowOff>
    </xdr:to>
    <xdr:pic>
      <xdr:nvPicPr>
        <xdr:cNvPr id="7" name="Picture 6">
          <a:extLst>
            <a:ext uri="{FF2B5EF4-FFF2-40B4-BE49-F238E27FC236}">
              <a16:creationId xmlns:a16="http://schemas.microsoft.com/office/drawing/2014/main" id="{C3154C10-3020-4FC8-A0A5-56F8DD17A994}"/>
            </a:ext>
          </a:extLst>
        </xdr:cNvPr>
        <xdr:cNvPicPr>
          <a:picLocks noChangeAspect="1"/>
        </xdr:cNvPicPr>
      </xdr:nvPicPr>
      <xdr:blipFill>
        <a:blip xmlns:r="http://schemas.openxmlformats.org/officeDocument/2006/relationships" r:embed="rId4"/>
        <a:stretch>
          <a:fillRect/>
        </a:stretch>
      </xdr:blipFill>
      <xdr:spPr>
        <a:xfrm>
          <a:off x="35385375" y="9229725"/>
          <a:ext cx="5331097" cy="5895057"/>
        </a:xfrm>
        <a:prstGeom prst="rect">
          <a:avLst/>
        </a:prstGeom>
        <a:ln w="381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33</xdr:col>
      <xdr:colOff>226934</xdr:colOff>
      <xdr:row>4</xdr:row>
      <xdr:rowOff>28575</xdr:rowOff>
    </xdr:from>
    <xdr:to>
      <xdr:col>41</xdr:col>
      <xdr:colOff>514350</xdr:colOff>
      <xdr:row>36</xdr:row>
      <xdr:rowOff>169252</xdr:rowOff>
    </xdr:to>
    <xdr:pic>
      <xdr:nvPicPr>
        <xdr:cNvPr id="10" name="Picture 9">
          <a:extLst>
            <a:ext uri="{FF2B5EF4-FFF2-40B4-BE49-F238E27FC236}">
              <a16:creationId xmlns:a16="http://schemas.microsoft.com/office/drawing/2014/main" id="{A0E156A1-F43D-4691-A91F-F51A0A2FA0CB}"/>
            </a:ext>
          </a:extLst>
        </xdr:cNvPr>
        <xdr:cNvPicPr>
          <a:picLocks noChangeAspect="1"/>
        </xdr:cNvPicPr>
      </xdr:nvPicPr>
      <xdr:blipFill>
        <a:blip xmlns:r="http://schemas.openxmlformats.org/officeDocument/2006/relationships" r:embed="rId1"/>
        <a:stretch>
          <a:fillRect/>
        </a:stretch>
      </xdr:blipFill>
      <xdr:spPr>
        <a:xfrm>
          <a:off x="28659059" y="749300"/>
          <a:ext cx="5164216" cy="593505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45</xdr:col>
      <xdr:colOff>361949</xdr:colOff>
      <xdr:row>3</xdr:row>
      <xdr:rowOff>0</xdr:rowOff>
    </xdr:from>
    <xdr:to>
      <xdr:col>55</xdr:col>
      <xdr:colOff>345849</xdr:colOff>
      <xdr:row>40</xdr:row>
      <xdr:rowOff>139700</xdr:rowOff>
    </xdr:to>
    <xdr:pic>
      <xdr:nvPicPr>
        <xdr:cNvPr id="11" name="Picture 10">
          <a:extLst>
            <a:ext uri="{FF2B5EF4-FFF2-40B4-BE49-F238E27FC236}">
              <a16:creationId xmlns:a16="http://schemas.microsoft.com/office/drawing/2014/main" id="{3A2246A7-52F1-461C-AA10-8CF71BCC8741}"/>
            </a:ext>
          </a:extLst>
        </xdr:cNvPr>
        <xdr:cNvPicPr>
          <a:picLocks noChangeAspect="1"/>
        </xdr:cNvPicPr>
      </xdr:nvPicPr>
      <xdr:blipFill>
        <a:blip xmlns:r="http://schemas.openxmlformats.org/officeDocument/2006/relationships" r:embed="rId2"/>
        <a:stretch>
          <a:fillRect/>
        </a:stretch>
      </xdr:blipFill>
      <xdr:spPr>
        <a:xfrm>
          <a:off x="36109274" y="542925"/>
          <a:ext cx="6079901" cy="68389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32</xdr:col>
      <xdr:colOff>165117</xdr:colOff>
      <xdr:row>43</xdr:row>
      <xdr:rowOff>119484</xdr:rowOff>
    </xdr:from>
    <xdr:to>
      <xdr:col>37</xdr:col>
      <xdr:colOff>177817</xdr:colOff>
      <xdr:row>51</xdr:row>
      <xdr:rowOff>17884</xdr:rowOff>
    </xdr:to>
    <xdr:sp macro="" textlink="">
      <xdr:nvSpPr>
        <xdr:cNvPr id="12" name="Callout: Line 11">
          <a:extLst>
            <a:ext uri="{FF2B5EF4-FFF2-40B4-BE49-F238E27FC236}">
              <a16:creationId xmlns:a16="http://schemas.microsoft.com/office/drawing/2014/main" id="{880CF94D-9470-421E-B805-230E2D563F2C}"/>
            </a:ext>
          </a:extLst>
        </xdr:cNvPr>
        <xdr:cNvSpPr/>
      </xdr:nvSpPr>
      <xdr:spPr>
        <a:xfrm>
          <a:off x="27984467" y="8085559"/>
          <a:ext cx="3067050" cy="1343025"/>
        </a:xfrm>
        <a:prstGeom prst="borderCallout1">
          <a:avLst>
            <a:gd name="adj1" fmla="val 49226"/>
            <a:gd name="adj2" fmla="val -545"/>
            <a:gd name="adj3" fmla="val -69750"/>
            <a:gd name="adj4" fmla="val -51417"/>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US" sz="1100"/>
            <a:t>The prior</a:t>
          </a:r>
          <a:r>
            <a:rPr lang="en-US" sz="1100" baseline="0"/>
            <a:t> quarter columns </a:t>
          </a:r>
          <a:r>
            <a:rPr lang="en-US" sz="1100"/>
            <a:t>need to stay the same for the entire year.  Each quarter when we receive a new version of the PDF</a:t>
          </a:r>
          <a:r>
            <a:rPr lang="en-US" sz="1100" baseline="0"/>
            <a:t> file, make sure the prior quarters have not changed. </a:t>
          </a:r>
          <a:endParaRPr lang="en-US" sz="1100"/>
        </a:p>
      </xdr:txBody>
    </xdr:sp>
    <xdr:clientData/>
  </xdr:twoCellAnchor>
  <xdr:twoCellAnchor editAs="oneCell">
    <xdr:from>
      <xdr:col>32</xdr:col>
      <xdr:colOff>133350</xdr:colOff>
      <xdr:row>2</xdr:row>
      <xdr:rowOff>142875</xdr:rowOff>
    </xdr:from>
    <xdr:to>
      <xdr:col>43</xdr:col>
      <xdr:colOff>10730</xdr:colOff>
      <xdr:row>51</xdr:row>
      <xdr:rowOff>38734</xdr:rowOff>
    </xdr:to>
    <xdr:pic>
      <xdr:nvPicPr>
        <xdr:cNvPr id="13" name="Picture 12">
          <a:extLst>
            <a:ext uri="{FF2B5EF4-FFF2-40B4-BE49-F238E27FC236}">
              <a16:creationId xmlns:a16="http://schemas.microsoft.com/office/drawing/2014/main" id="{D15A6577-0B33-48A9-B680-662819F1AAB9}"/>
            </a:ext>
          </a:extLst>
        </xdr:cNvPr>
        <xdr:cNvPicPr>
          <a:picLocks noChangeAspect="1"/>
        </xdr:cNvPicPr>
      </xdr:nvPicPr>
      <xdr:blipFill>
        <a:blip xmlns:r="http://schemas.openxmlformats.org/officeDocument/2006/relationships" r:embed="rId5"/>
        <a:stretch>
          <a:fillRect/>
        </a:stretch>
      </xdr:blipFill>
      <xdr:spPr>
        <a:xfrm>
          <a:off x="27955875" y="501650"/>
          <a:ext cx="6579805" cy="731900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20</xdr:col>
      <xdr:colOff>152400</xdr:colOff>
      <xdr:row>53</xdr:row>
      <xdr:rowOff>9525</xdr:rowOff>
    </xdr:from>
    <xdr:to>
      <xdr:col>30</xdr:col>
      <xdr:colOff>239712</xdr:colOff>
      <xdr:row>90</xdr:row>
      <xdr:rowOff>9464</xdr:rowOff>
    </xdr:to>
    <xdr:pic>
      <xdr:nvPicPr>
        <xdr:cNvPr id="14" name="Picture 13">
          <a:extLst>
            <a:ext uri="{FF2B5EF4-FFF2-40B4-BE49-F238E27FC236}">
              <a16:creationId xmlns:a16="http://schemas.microsoft.com/office/drawing/2014/main" id="{797EF875-D953-47F3-B727-19E290AFC9B4}"/>
            </a:ext>
          </a:extLst>
        </xdr:cNvPr>
        <xdr:cNvPicPr>
          <a:picLocks noChangeAspect="1"/>
        </xdr:cNvPicPr>
      </xdr:nvPicPr>
      <xdr:blipFill>
        <a:blip xmlns:r="http://schemas.openxmlformats.org/officeDocument/2006/relationships" r:embed="rId6"/>
        <a:stretch>
          <a:fillRect/>
        </a:stretch>
      </xdr:blipFill>
      <xdr:spPr>
        <a:xfrm>
          <a:off x="20659725" y="9779000"/>
          <a:ext cx="6180137" cy="670236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20</xdr:col>
      <xdr:colOff>97343</xdr:colOff>
      <xdr:row>3</xdr:row>
      <xdr:rowOff>38099</xdr:rowOff>
    </xdr:from>
    <xdr:to>
      <xdr:col>31</xdr:col>
      <xdr:colOff>322136</xdr:colOff>
      <xdr:row>43</xdr:row>
      <xdr:rowOff>0</xdr:rowOff>
    </xdr:to>
    <xdr:pic>
      <xdr:nvPicPr>
        <xdr:cNvPr id="15" name="Picture 14">
          <a:extLst>
            <a:ext uri="{FF2B5EF4-FFF2-40B4-BE49-F238E27FC236}">
              <a16:creationId xmlns:a16="http://schemas.microsoft.com/office/drawing/2014/main" id="{F9879208-3BE6-473D-885A-DDC46D7867D2}"/>
            </a:ext>
          </a:extLst>
        </xdr:cNvPr>
        <xdr:cNvPicPr>
          <a:picLocks noChangeAspect="1"/>
        </xdr:cNvPicPr>
      </xdr:nvPicPr>
      <xdr:blipFill>
        <a:blip xmlns:r="http://schemas.openxmlformats.org/officeDocument/2006/relationships" r:embed="rId7"/>
        <a:stretch>
          <a:fillRect/>
        </a:stretch>
      </xdr:blipFill>
      <xdr:spPr>
        <a:xfrm>
          <a:off x="20604668" y="581024"/>
          <a:ext cx="6930393" cy="72136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31</xdr:col>
      <xdr:colOff>111092</xdr:colOff>
      <xdr:row>52</xdr:row>
      <xdr:rowOff>161100</xdr:rowOff>
    </xdr:from>
    <xdr:to>
      <xdr:col>42</xdr:col>
      <xdr:colOff>409595</xdr:colOff>
      <xdr:row>99</xdr:row>
      <xdr:rowOff>17065</xdr:rowOff>
    </xdr:to>
    <xdr:pic>
      <xdr:nvPicPr>
        <xdr:cNvPr id="16" name="Picture 15">
          <a:extLst>
            <a:ext uri="{FF2B5EF4-FFF2-40B4-BE49-F238E27FC236}">
              <a16:creationId xmlns:a16="http://schemas.microsoft.com/office/drawing/2014/main" id="{96312269-2BD5-4285-A971-519D58038F30}"/>
            </a:ext>
          </a:extLst>
        </xdr:cNvPr>
        <xdr:cNvPicPr>
          <a:picLocks noChangeAspect="1"/>
        </xdr:cNvPicPr>
      </xdr:nvPicPr>
      <xdr:blipFill>
        <a:blip xmlns:r="http://schemas.openxmlformats.org/officeDocument/2006/relationships" r:embed="rId3"/>
        <a:stretch>
          <a:fillRect/>
        </a:stretch>
      </xdr:blipFill>
      <xdr:spPr>
        <a:xfrm>
          <a:off x="27320842" y="9755950"/>
          <a:ext cx="7004103" cy="835861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44</xdr:col>
      <xdr:colOff>0</xdr:colOff>
      <xdr:row>53</xdr:row>
      <xdr:rowOff>0</xdr:rowOff>
    </xdr:from>
    <xdr:to>
      <xdr:col>52</xdr:col>
      <xdr:colOff>454297</xdr:colOff>
      <xdr:row>85</xdr:row>
      <xdr:rowOff>103857</xdr:rowOff>
    </xdr:to>
    <xdr:pic>
      <xdr:nvPicPr>
        <xdr:cNvPr id="17" name="Picture 16">
          <a:extLst>
            <a:ext uri="{FF2B5EF4-FFF2-40B4-BE49-F238E27FC236}">
              <a16:creationId xmlns:a16="http://schemas.microsoft.com/office/drawing/2014/main" id="{5642564F-E94B-4D64-8F02-FF32FF1CD061}"/>
            </a:ext>
          </a:extLst>
        </xdr:cNvPr>
        <xdr:cNvPicPr>
          <a:picLocks noChangeAspect="1"/>
        </xdr:cNvPicPr>
      </xdr:nvPicPr>
      <xdr:blipFill>
        <a:blip xmlns:r="http://schemas.openxmlformats.org/officeDocument/2006/relationships" r:embed="rId4"/>
        <a:stretch>
          <a:fillRect/>
        </a:stretch>
      </xdr:blipFill>
      <xdr:spPr>
        <a:xfrm>
          <a:off x="35137725" y="9772650"/>
          <a:ext cx="5331097" cy="5898232"/>
        </a:xfrm>
        <a:prstGeom prst="rect">
          <a:avLst/>
        </a:prstGeom>
        <a:ln w="381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7</xdr:col>
      <xdr:colOff>0</xdr:colOff>
      <xdr:row>22</xdr:row>
      <xdr:rowOff>0</xdr:rowOff>
    </xdr:from>
    <xdr:to>
      <xdr:col>13</xdr:col>
      <xdr:colOff>812088</xdr:colOff>
      <xdr:row>67</xdr:row>
      <xdr:rowOff>151501</xdr:rowOff>
    </xdr:to>
    <xdr:pic>
      <xdr:nvPicPr>
        <xdr:cNvPr id="18" name="Picture 17">
          <a:extLst>
            <a:ext uri="{FF2B5EF4-FFF2-40B4-BE49-F238E27FC236}">
              <a16:creationId xmlns:a16="http://schemas.microsoft.com/office/drawing/2014/main" id="{B1E4E466-1F77-4F73-A07D-1F67BE794A7D}"/>
            </a:ext>
          </a:extLst>
        </xdr:cNvPr>
        <xdr:cNvPicPr>
          <a:picLocks noChangeAspect="1"/>
        </xdr:cNvPicPr>
      </xdr:nvPicPr>
      <xdr:blipFill>
        <a:blip xmlns:r="http://schemas.openxmlformats.org/officeDocument/2006/relationships" r:embed="rId8"/>
        <a:stretch>
          <a:fillRect/>
        </a:stretch>
      </xdr:blipFill>
      <xdr:spPr>
        <a:xfrm>
          <a:off x="7781925" y="4162425"/>
          <a:ext cx="6854907" cy="684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357903</xdr:colOff>
      <xdr:row>6</xdr:row>
      <xdr:rowOff>25400</xdr:rowOff>
    </xdr:from>
    <xdr:to>
      <xdr:col>40</xdr:col>
      <xdr:colOff>38100</xdr:colOff>
      <xdr:row>57</xdr:row>
      <xdr:rowOff>143852</xdr:rowOff>
    </xdr:to>
    <xdr:pic>
      <xdr:nvPicPr>
        <xdr:cNvPr id="3" name="Picture 2">
          <a:extLst>
            <a:ext uri="{FF2B5EF4-FFF2-40B4-BE49-F238E27FC236}">
              <a16:creationId xmlns:a16="http://schemas.microsoft.com/office/drawing/2014/main" id="{01B06F6B-864E-4510-8AA3-96255D1D9594}"/>
            </a:ext>
          </a:extLst>
        </xdr:cNvPr>
        <xdr:cNvPicPr>
          <a:picLocks noChangeAspect="1"/>
        </xdr:cNvPicPr>
      </xdr:nvPicPr>
      <xdr:blipFill>
        <a:blip xmlns:r="http://schemas.openxmlformats.org/officeDocument/2006/relationships" r:embed="rId1"/>
        <a:stretch>
          <a:fillRect/>
        </a:stretch>
      </xdr:blipFill>
      <xdr:spPr>
        <a:xfrm>
          <a:off x="27815303" y="1114425"/>
          <a:ext cx="5169772" cy="593187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40</xdr:col>
      <xdr:colOff>504824</xdr:colOff>
      <xdr:row>3</xdr:row>
      <xdr:rowOff>35719</xdr:rowOff>
    </xdr:from>
    <xdr:to>
      <xdr:col>50</xdr:col>
      <xdr:colOff>488725</xdr:colOff>
      <xdr:row>61</xdr:row>
      <xdr:rowOff>0</xdr:rowOff>
    </xdr:to>
    <xdr:pic>
      <xdr:nvPicPr>
        <xdr:cNvPr id="4" name="Picture 3">
          <a:extLst>
            <a:ext uri="{FF2B5EF4-FFF2-40B4-BE49-F238E27FC236}">
              <a16:creationId xmlns:a16="http://schemas.microsoft.com/office/drawing/2014/main" id="{B32B1B18-C01B-4DFF-803D-F7454B4DCABA}"/>
            </a:ext>
          </a:extLst>
        </xdr:cNvPr>
        <xdr:cNvPicPr>
          <a:picLocks noChangeAspect="1"/>
        </xdr:cNvPicPr>
      </xdr:nvPicPr>
      <xdr:blipFill>
        <a:blip xmlns:r="http://schemas.openxmlformats.org/officeDocument/2006/relationships" r:embed="rId2"/>
        <a:stretch>
          <a:fillRect/>
        </a:stretch>
      </xdr:blipFill>
      <xdr:spPr>
        <a:xfrm>
          <a:off x="33454974" y="578644"/>
          <a:ext cx="6073551" cy="68413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32</xdr:col>
      <xdr:colOff>165117</xdr:colOff>
      <xdr:row>61</xdr:row>
      <xdr:rowOff>119484</xdr:rowOff>
    </xdr:from>
    <xdr:to>
      <xdr:col>37</xdr:col>
      <xdr:colOff>177817</xdr:colOff>
      <xdr:row>69</xdr:row>
      <xdr:rowOff>17884</xdr:rowOff>
    </xdr:to>
    <xdr:sp macro="" textlink="">
      <xdr:nvSpPr>
        <xdr:cNvPr id="5" name="Callout: Line 4">
          <a:extLst>
            <a:ext uri="{FF2B5EF4-FFF2-40B4-BE49-F238E27FC236}">
              <a16:creationId xmlns:a16="http://schemas.microsoft.com/office/drawing/2014/main" id="{A770484A-027F-4C5D-829F-6DB35C7034C4}"/>
            </a:ext>
          </a:extLst>
        </xdr:cNvPr>
        <xdr:cNvSpPr/>
      </xdr:nvSpPr>
      <xdr:spPr>
        <a:xfrm>
          <a:off x="28232117" y="11162134"/>
          <a:ext cx="3067050" cy="1343025"/>
        </a:xfrm>
        <a:prstGeom prst="borderCallout1">
          <a:avLst>
            <a:gd name="adj1" fmla="val 49226"/>
            <a:gd name="adj2" fmla="val -545"/>
            <a:gd name="adj3" fmla="val -69750"/>
            <a:gd name="adj4" fmla="val -51417"/>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US" sz="1100"/>
            <a:t>The prior</a:t>
          </a:r>
          <a:r>
            <a:rPr lang="en-US" sz="1100" baseline="0"/>
            <a:t> quarter columns </a:t>
          </a:r>
          <a:r>
            <a:rPr lang="en-US" sz="1100"/>
            <a:t>need to stay the same for the entire year.  Each quarter when we receive a new version of the PDF</a:t>
          </a:r>
          <a:r>
            <a:rPr lang="en-US" sz="1100" baseline="0"/>
            <a:t> file, make sure the prior quarters have not changed. </a:t>
          </a:r>
          <a:endParaRPr lang="en-US" sz="1100"/>
        </a:p>
      </xdr:txBody>
    </xdr:sp>
    <xdr:clientData/>
  </xdr:twoCellAnchor>
  <xdr:twoCellAnchor editAs="oneCell">
    <xdr:from>
      <xdr:col>19</xdr:col>
      <xdr:colOff>487363</xdr:colOff>
      <xdr:row>2</xdr:row>
      <xdr:rowOff>178220</xdr:rowOff>
    </xdr:from>
    <xdr:to>
      <xdr:col>30</xdr:col>
      <xdr:colOff>425451</xdr:colOff>
      <xdr:row>63</xdr:row>
      <xdr:rowOff>145319</xdr:rowOff>
    </xdr:to>
    <xdr:pic>
      <xdr:nvPicPr>
        <xdr:cNvPr id="6" name="Picture 5">
          <a:extLst>
            <a:ext uri="{FF2B5EF4-FFF2-40B4-BE49-F238E27FC236}">
              <a16:creationId xmlns:a16="http://schemas.microsoft.com/office/drawing/2014/main" id="{C16DF5C5-7829-419E-9495-2DA7EF47B025}"/>
            </a:ext>
          </a:extLst>
        </xdr:cNvPr>
        <xdr:cNvPicPr>
          <a:picLocks noChangeAspect="1"/>
        </xdr:cNvPicPr>
      </xdr:nvPicPr>
      <xdr:blipFill>
        <a:blip xmlns:r="http://schemas.openxmlformats.org/officeDocument/2006/relationships" r:embed="rId3"/>
        <a:stretch>
          <a:fillRect/>
        </a:stretch>
      </xdr:blipFill>
      <xdr:spPr>
        <a:xfrm>
          <a:off x="20629563" y="543345"/>
          <a:ext cx="6650038" cy="738072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31</xdr:col>
      <xdr:colOff>111092</xdr:colOff>
      <xdr:row>70</xdr:row>
      <xdr:rowOff>161100</xdr:rowOff>
    </xdr:from>
    <xdr:to>
      <xdr:col>42</xdr:col>
      <xdr:colOff>409595</xdr:colOff>
      <xdr:row>117</xdr:row>
      <xdr:rowOff>17065</xdr:rowOff>
    </xdr:to>
    <xdr:pic>
      <xdr:nvPicPr>
        <xdr:cNvPr id="7" name="Picture 6">
          <a:extLst>
            <a:ext uri="{FF2B5EF4-FFF2-40B4-BE49-F238E27FC236}">
              <a16:creationId xmlns:a16="http://schemas.microsoft.com/office/drawing/2014/main" id="{E32373FA-C68E-469D-9785-A95E2812D0F8}"/>
            </a:ext>
          </a:extLst>
        </xdr:cNvPr>
        <xdr:cNvPicPr>
          <a:picLocks noChangeAspect="1"/>
        </xdr:cNvPicPr>
      </xdr:nvPicPr>
      <xdr:blipFill>
        <a:blip xmlns:r="http://schemas.openxmlformats.org/officeDocument/2006/relationships" r:embed="rId4"/>
        <a:stretch>
          <a:fillRect/>
        </a:stretch>
      </xdr:blipFill>
      <xdr:spPr>
        <a:xfrm>
          <a:off x="27568492" y="12832525"/>
          <a:ext cx="7004103" cy="835861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44</xdr:col>
      <xdr:colOff>0</xdr:colOff>
      <xdr:row>71</xdr:row>
      <xdr:rowOff>0</xdr:rowOff>
    </xdr:from>
    <xdr:to>
      <xdr:col>52</xdr:col>
      <xdr:colOff>454297</xdr:colOff>
      <xdr:row>103</xdr:row>
      <xdr:rowOff>103857</xdr:rowOff>
    </xdr:to>
    <xdr:pic>
      <xdr:nvPicPr>
        <xdr:cNvPr id="8" name="Picture 7">
          <a:extLst>
            <a:ext uri="{FF2B5EF4-FFF2-40B4-BE49-F238E27FC236}">
              <a16:creationId xmlns:a16="http://schemas.microsoft.com/office/drawing/2014/main" id="{7A9B2943-BE08-4919-A467-441524D4A539}"/>
            </a:ext>
          </a:extLst>
        </xdr:cNvPr>
        <xdr:cNvPicPr>
          <a:picLocks noChangeAspect="1"/>
        </xdr:cNvPicPr>
      </xdr:nvPicPr>
      <xdr:blipFill>
        <a:blip xmlns:r="http://schemas.openxmlformats.org/officeDocument/2006/relationships" r:embed="rId5"/>
        <a:stretch>
          <a:fillRect/>
        </a:stretch>
      </xdr:blipFill>
      <xdr:spPr>
        <a:xfrm>
          <a:off x="35385375" y="12849225"/>
          <a:ext cx="5331097" cy="5898232"/>
        </a:xfrm>
        <a:prstGeom prst="rect">
          <a:avLst/>
        </a:prstGeom>
        <a:ln w="381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4</xdr:col>
      <xdr:colOff>780256</xdr:colOff>
      <xdr:row>52</xdr:row>
      <xdr:rowOff>95252</xdr:rowOff>
    </xdr:from>
    <xdr:to>
      <xdr:col>10</xdr:col>
      <xdr:colOff>312022</xdr:colOff>
      <xdr:row>87</xdr:row>
      <xdr:rowOff>154786</xdr:rowOff>
    </xdr:to>
    <xdr:pic>
      <xdr:nvPicPr>
        <xdr:cNvPr id="9" name="Picture 8">
          <a:extLst>
            <a:ext uri="{FF2B5EF4-FFF2-40B4-BE49-F238E27FC236}">
              <a16:creationId xmlns:a16="http://schemas.microsoft.com/office/drawing/2014/main" id="{A505CE10-F113-42D6-BE72-D8C1451FE0A6}"/>
            </a:ext>
          </a:extLst>
        </xdr:cNvPr>
        <xdr:cNvPicPr>
          <a:picLocks noChangeAspect="1"/>
        </xdr:cNvPicPr>
      </xdr:nvPicPr>
      <xdr:blipFill>
        <a:blip xmlns:r="http://schemas.openxmlformats.org/officeDocument/2006/relationships" r:embed="rId6"/>
        <a:stretch>
          <a:fillRect/>
        </a:stretch>
      </xdr:blipFill>
      <xdr:spPr>
        <a:xfrm>
          <a:off x="5435600" y="5810252"/>
          <a:ext cx="5726191" cy="6310315"/>
        </a:xfrm>
        <a:prstGeom prst="rect">
          <a:avLst/>
        </a:prstGeom>
      </xdr:spPr>
    </xdr:pic>
    <xdr:clientData/>
  </xdr:twoCellAnchor>
  <xdr:twoCellAnchor editAs="oneCell">
    <xdr:from>
      <xdr:col>11</xdr:col>
      <xdr:colOff>478631</xdr:colOff>
      <xdr:row>52</xdr:row>
      <xdr:rowOff>71438</xdr:rowOff>
    </xdr:from>
    <xdr:to>
      <xdr:col>16</xdr:col>
      <xdr:colOff>764829</xdr:colOff>
      <xdr:row>86</xdr:row>
      <xdr:rowOff>141920</xdr:rowOff>
    </xdr:to>
    <xdr:pic>
      <xdr:nvPicPr>
        <xdr:cNvPr id="10" name="Picture 9">
          <a:extLst>
            <a:ext uri="{FF2B5EF4-FFF2-40B4-BE49-F238E27FC236}">
              <a16:creationId xmlns:a16="http://schemas.microsoft.com/office/drawing/2014/main" id="{E76C30E2-AEC8-4929-AAFB-8CDAC35B1BD7}"/>
            </a:ext>
          </a:extLst>
        </xdr:cNvPr>
        <xdr:cNvPicPr>
          <a:picLocks noChangeAspect="1"/>
        </xdr:cNvPicPr>
      </xdr:nvPicPr>
      <xdr:blipFill>
        <a:blip xmlns:r="http://schemas.openxmlformats.org/officeDocument/2006/relationships" r:embed="rId7"/>
        <a:stretch>
          <a:fillRect/>
        </a:stretch>
      </xdr:blipFill>
      <xdr:spPr>
        <a:xfrm>
          <a:off x="12265819" y="5786438"/>
          <a:ext cx="6394104" cy="6145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35719</xdr:colOff>
      <xdr:row>53</xdr:row>
      <xdr:rowOff>11906</xdr:rowOff>
    </xdr:from>
    <xdr:to>
      <xdr:col>11</xdr:col>
      <xdr:colOff>846768</xdr:colOff>
      <xdr:row>98</xdr:row>
      <xdr:rowOff>115596</xdr:rowOff>
    </xdr:to>
    <xdr:pic>
      <xdr:nvPicPr>
        <xdr:cNvPr id="2" name="Picture 1" descr="A screenshot of a document&#10;&#10;Description automatically generated">
          <a:extLst>
            <a:ext uri="{FF2B5EF4-FFF2-40B4-BE49-F238E27FC236}">
              <a16:creationId xmlns:a16="http://schemas.microsoft.com/office/drawing/2014/main" id="{829A8143-E774-400E-93B1-CA26D2D60888}"/>
            </a:ext>
          </a:extLst>
        </xdr:cNvPr>
        <xdr:cNvPicPr>
          <a:picLocks noChangeAspect="1"/>
        </xdr:cNvPicPr>
      </xdr:nvPicPr>
      <xdr:blipFill>
        <a:blip xmlns:r="http://schemas.openxmlformats.org/officeDocument/2006/relationships" r:embed="rId1"/>
        <a:stretch>
          <a:fillRect/>
        </a:stretch>
      </xdr:blipFill>
      <xdr:spPr>
        <a:xfrm>
          <a:off x="4483894" y="8152606"/>
          <a:ext cx="7996074" cy="8250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523875</xdr:colOff>
      <xdr:row>54</xdr:row>
      <xdr:rowOff>130968</xdr:rowOff>
    </xdr:from>
    <xdr:to>
      <xdr:col>8</xdr:col>
      <xdr:colOff>177800</xdr:colOff>
      <xdr:row>101</xdr:row>
      <xdr:rowOff>84940</xdr:rowOff>
    </xdr:to>
    <xdr:pic>
      <xdr:nvPicPr>
        <xdr:cNvPr id="3" name="Picture 2">
          <a:extLst>
            <a:ext uri="{FF2B5EF4-FFF2-40B4-BE49-F238E27FC236}">
              <a16:creationId xmlns:a16="http://schemas.microsoft.com/office/drawing/2014/main" id="{06BF0DB7-A808-49F8-891E-6F8DF4A41D14}"/>
            </a:ext>
          </a:extLst>
        </xdr:cNvPr>
        <xdr:cNvPicPr>
          <a:picLocks noChangeAspect="1"/>
        </xdr:cNvPicPr>
      </xdr:nvPicPr>
      <xdr:blipFill>
        <a:blip xmlns:r="http://schemas.openxmlformats.org/officeDocument/2006/relationships" r:embed="rId1"/>
        <a:stretch>
          <a:fillRect/>
        </a:stretch>
      </xdr:blipFill>
      <xdr:spPr>
        <a:xfrm>
          <a:off x="1607344" y="8346281"/>
          <a:ext cx="7404894" cy="8347878"/>
        </a:xfrm>
        <a:prstGeom prst="rect">
          <a:avLst/>
        </a:prstGeom>
      </xdr:spPr>
    </xdr:pic>
    <xdr:clientData/>
  </xdr:twoCellAnchor>
  <xdr:twoCellAnchor editAs="oneCell">
    <xdr:from>
      <xdr:col>8</xdr:col>
      <xdr:colOff>547687</xdr:colOff>
      <xdr:row>55</xdr:row>
      <xdr:rowOff>26987</xdr:rowOff>
    </xdr:from>
    <xdr:to>
      <xdr:col>15</xdr:col>
      <xdr:colOff>370530</xdr:colOff>
      <xdr:row>101</xdr:row>
      <xdr:rowOff>141833</xdr:rowOff>
    </xdr:to>
    <xdr:pic>
      <xdr:nvPicPr>
        <xdr:cNvPr id="4" name="Picture 3">
          <a:extLst>
            <a:ext uri="{FF2B5EF4-FFF2-40B4-BE49-F238E27FC236}">
              <a16:creationId xmlns:a16="http://schemas.microsoft.com/office/drawing/2014/main" id="{0C718D38-573A-40C1-B400-0D3DEA3536D2}"/>
            </a:ext>
          </a:extLst>
        </xdr:cNvPr>
        <xdr:cNvPicPr>
          <a:picLocks noChangeAspect="1"/>
        </xdr:cNvPicPr>
      </xdr:nvPicPr>
      <xdr:blipFill>
        <a:blip xmlns:r="http://schemas.openxmlformats.org/officeDocument/2006/relationships" r:embed="rId2"/>
        <a:stretch>
          <a:fillRect/>
        </a:stretch>
      </xdr:blipFill>
      <xdr:spPr>
        <a:xfrm>
          <a:off x="9382125" y="8420893"/>
          <a:ext cx="7568255" cy="83301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borfs\PLZAFP1V\CLOSEOUT\PAGES\2006\JAN%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borfs.tec.net\PLZAFP1V\GF&amp;P%20Change\2007GF&amp;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eslh/Desktop/Book%20of%20Tabs%20Review/xSurv-2020%20MAR%20-%20Final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borfs.tec.net\PLZAFP1V\Users\jeslh\Desktop\Book%20of%20Tabs%20Review\xSurv-2020%20MAR%20-%20Final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FIN_REPT\REG_ACCT\SURV\BUDGET\2021%20SR%20BUDGET\2021%20SR%20Final%20for%20BP.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yborfs\PLZAFP1V\FIN_REPT\FIN_REPT\RATE%20CASE%20TRIAL%20RUN\MFRTest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jfjxp/Desktop/DEC%202005%20New%20format%20tri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Consolidations\2018\06%2018\Emera%20HFM\BPC%20reports%20that%20tie%20to%20Emera\Energy%20Consol%20Detail%20YTD%20IS%20_BS_Emera%20Hierarchy_Jun%202018.xlt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FWHW/My%20Documents/2003%20Budget/Final%20Files%20for%202003%20Budget/SOP%20for%20Final%20Budget%20-%2005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cujls/AppData/Local/Microsoft/Windows/INetCache/Content.Outlook/S5LPI66L/Test%20Budget%20%20Forecast%20Workbook.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yborfs\PLZAFP1V\USERS\JKLAS\Plant%20Accting\OOR%201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borfs\PLAZA7\Documents%20and%20Settings\updxt\My%20Documents\elimj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LT_ACCT/Data%20&amp;%20Apps/DATA/2003%20Monthly%20Reports/May_ja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FIN_REPT\REG_ACCT\SURV\2021%20Rate%20Case\MFR_All%20Template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FIN_REPT\REG_ACCT\SURV\ACTUAL\2019%20S.R\xSurv-2019%20SE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FIN_REPT\REG_ACCT\SURV\ACTUAL\2020%20S.R\xSurv-2020%20DEC%20-%20DRAFT%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TECACTG/SHARDATA/PLANT/4%20FORECAST/Monthly%20Forecast/SOP-Forecast/PGS/2018/2+10/CAPEX/REV%20CIBS%20DRAFT3_02+10%20PGS%20Capital%20Foreca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SHARDATA\ELECTRIC\2018\Tax%20Accounting\18Budget%20&amp;%20Forecast%20Workbook.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JE%2090767%2005_31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wmxt/AppData/Local/Microsoft/Windows/Temporary%20Internet%20Files/Content.Outlook/RPCK79KB/2012_7_RECON%20July.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borfs.tec.net\PLZAFP1V\Users\swmxt\AppData\Local\Microsoft\Windows\Temporary%20Internet%20Files\Content.Outlook\RPCK79KB\2012_7_RECON%20July.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borfs\PLZAFP1V\CLOSEOUT\PAGES\2006\Cash%20Flows\Cash%20Flow%20Presentation%20&amp;%20Detail\CASH_FLOW_%20DETAIL_05_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borfs\PLZAFP1V\FIN_REPT\FIN_REPT\Phil\CASH_FLOW_DETAIL_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borfs\PLZAFP1V\CLOSEOUT\PAGES\2006\Cash%20Flows\2006%20Budget%20FINAL%20for%20CASH%20FLO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S"/>
      <sheetName val=" VEHICLE DEPREC"/>
      <sheetName val="Download"/>
      <sheetName val="Reformat Cons"/>
      <sheetName val="New Template Consolidation"/>
      <sheetName val="DOWNLOAD05"/>
      <sheetName val="Consolidated BS"/>
      <sheetName val="Consolidated IS"/>
      <sheetName val="PEC Income Stmt"/>
      <sheetName val="IS Worksheet"/>
      <sheetName val="PEC Budg IS WKT"/>
      <sheetName val="BS Worksheet"/>
      <sheetName val="&quot;other&quot; RECON"/>
      <sheetName val="181 query"/>
      <sheetName val="CF-RANDY"/>
      <sheetName val="New CF Pres"/>
      <sheetName val="Page 3"/>
      <sheetName val="CONSOL. CF"/>
      <sheetName val="CF Template"/>
      <sheetName val="NEW CF"/>
      <sheetName val="REG. A. L."/>
      <sheetName val="Reg A.L. ST-LT"/>
      <sheetName val="Estimate"/>
      <sheetName val="Page 1"/>
      <sheetName val="Page 2"/>
      <sheetName val="Page 4"/>
      <sheetName val="Page 5"/>
      <sheetName val="Page 6"/>
      <sheetName val="Page 7"/>
      <sheetName val="Page 8"/>
      <sheetName val="Page 9"/>
      <sheetName val="Page 10"/>
      <sheetName val="Detail of Int Expense"/>
      <sheetName val="BUDGET"/>
      <sheetName val="ESOP GOALS"/>
      <sheetName val="2005 cash flow goal"/>
      <sheetName val="Page RE"/>
      <sheetName val="download03"/>
      <sheetName val="PEC Budget IS"/>
      <sheetName val="CJ 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Manual Data"/>
      <sheetName val="OR Info"/>
      <sheetName val="Sheet1"/>
      <sheetName val="JAN"/>
      <sheetName val="FEB"/>
      <sheetName val="MAR"/>
      <sheetName val="APR"/>
      <sheetName val="MAY"/>
      <sheetName val="JUN"/>
      <sheetName val="JUL"/>
      <sheetName val="AUG"/>
      <sheetName val="SEP"/>
      <sheetName val="OCT"/>
      <sheetName val="NOV"/>
      <sheetName val="DEC"/>
      <sheetName val="ANNUAL"/>
      <sheetName val="Surplus MWH"/>
      <sheetName val="Polk 1 Gasifier EAF"/>
      <sheetName val="Jan - Sep"/>
      <sheetName val="Oct - Dec"/>
      <sheetName val="Com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 ACCOUNTS"/>
      <sheetName val="SURV ACCOUNTS"/>
      <sheetName val="T.O.C."/>
      <sheetName val="SURV INPUTS"/>
      <sheetName val="WC INPUTS"/>
      <sheetName val="WC"/>
      <sheetName val="SURV REPORT"/>
      <sheetName val="SR Sch 2-3-3"/>
      <sheetName val="cap struc adj"/>
      <sheetName val="cap struc adj yr end"/>
      <sheetName val="Cap struc avg"/>
      <sheetName val="Cap struc yer-end"/>
      <sheetName val="RB vs CAP"/>
      <sheetName val="TRANS SEP"/>
      <sheetName val="PRINTING"/>
      <sheetName val="2018-2019Jun"/>
      <sheetName val="COMP to Act"/>
      <sheetName val="COMP to monthly"/>
      <sheetName val="COMP to Budget"/>
      <sheetName val="COMP to forecast"/>
      <sheetName val="ROE Recon Actual"/>
      <sheetName val="ROE Recon Forecast"/>
      <sheetName val="ROE Recon Budget"/>
      <sheetName val="ROE Ratios"/>
      <sheetName val="ROR Adjustments"/>
      <sheetName val="Equity Adjustments"/>
      <sheetName val="ROE Detail"/>
      <sheetName val="Misc Adj's tab N"/>
      <sheetName val="OCI and Adj's Tab MC"/>
      <sheetName val="Cash Flow tab W"/>
      <sheetName val="NOTE"/>
      <sheetName val="Doc Re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 ACCOUNTS"/>
      <sheetName val="SURV ACCOUNTS"/>
      <sheetName val="T.O.C."/>
      <sheetName val="SURV INPUTS"/>
      <sheetName val="WC INPUTS"/>
      <sheetName val="WC"/>
      <sheetName val="SURV REPORT"/>
      <sheetName val="SR Sch 2-3-3"/>
      <sheetName val="cap struc adj"/>
      <sheetName val="cap struc adj yr end"/>
      <sheetName val="Cap struc avg"/>
      <sheetName val="Cap struc yer-end"/>
      <sheetName val="RB vs CAP"/>
      <sheetName val="TRANS SEP"/>
      <sheetName val="PRINTING"/>
      <sheetName val="2018-2019Jun"/>
      <sheetName val="COMP to Act"/>
      <sheetName val="COMP to monthly"/>
      <sheetName val="COMP to Budget"/>
      <sheetName val="COMP to forecast"/>
      <sheetName val="ROE Recon Actual"/>
      <sheetName val="ROE Recon Forecast"/>
      <sheetName val="ROE Recon Budget"/>
      <sheetName val="ROE Ratios"/>
      <sheetName val="ROR Adjustments"/>
      <sheetName val="Equity Adjustments"/>
      <sheetName val="ROE Detail"/>
      <sheetName val="Misc Adj's tab N"/>
      <sheetName val="OCI and Adj's Tab MC"/>
      <sheetName val="Cash Flow tab W"/>
      <sheetName val="NOTE"/>
      <sheetName val="Doc Re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ACCTS"/>
      <sheetName val="IS ACCTS"/>
      <sheetName val="DAT ACCOUNTS"/>
      <sheetName val="T.O.C."/>
      <sheetName val="SURV INPUTS"/>
      <sheetName val="WC"/>
      <sheetName val="WC INPUTS"/>
      <sheetName val="SURV REPORT"/>
      <sheetName val="Sch 2-3-3"/>
      <sheetName val="cap struc adj"/>
      <sheetName val="cap struc adj yr end"/>
      <sheetName val="Cap struc yer-end"/>
      <sheetName val="Cap struc avg"/>
      <sheetName val="RB vs CAP"/>
      <sheetName val="TRANS SEP"/>
      <sheetName val="PRINTING"/>
      <sheetName val="COMP Actual"/>
      <sheetName val="COMP Bud (filed)"/>
      <sheetName val="COMP Forecast"/>
      <sheetName val="COMP Forecast (2)"/>
      <sheetName val="ROE Recon Actual"/>
      <sheetName val="ROE Recon Forecast"/>
      <sheetName val="ROE Budget (FILED)"/>
      <sheetName val="ROE Recon Forecast (2)"/>
      <sheetName val="COMP TEMPLATE"/>
      <sheetName val="ROR Adjustments"/>
      <sheetName val="ROE Ratios"/>
      <sheetName val="ROE Recon (Presentation)"/>
      <sheetName val="Equity Adjustments"/>
      <sheetName val="OCI"/>
      <sheetName val="NOTE"/>
      <sheetName val="Doc Re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1"/>
      <sheetName val="A-2"/>
      <sheetName val="A-3"/>
      <sheetName val="A-4"/>
      <sheetName val="A-5"/>
      <sheetName val="B-1"/>
      <sheetName val="B-2"/>
      <sheetName val="B-3"/>
      <sheetName val="B-4"/>
      <sheetName val="B-5"/>
      <sheetName val="B-6"/>
      <sheetName val="B-7"/>
      <sheetName val="B-8"/>
      <sheetName val="B-9"/>
      <sheetName val="B-10"/>
      <sheetName val="B-11"/>
      <sheetName val="B-12"/>
      <sheetName val="B-13"/>
      <sheetName val="B-14"/>
      <sheetName val="B-15"/>
      <sheetName val="B-16"/>
      <sheetName val="B-17"/>
      <sheetName val="B-18"/>
      <sheetName val="B-19"/>
      <sheetName val="B-20"/>
      <sheetName val="B-21"/>
      <sheetName val="B-22"/>
      <sheetName val="B-23"/>
      <sheetName val="B-24"/>
      <sheetName val="B-25"/>
      <sheetName val="C-1"/>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C-22"/>
      <sheetName val="C-23"/>
      <sheetName val="C-24"/>
      <sheetName val="C-25"/>
      <sheetName val="C-26"/>
      <sheetName val="C-27"/>
      <sheetName val="C-28"/>
      <sheetName val="C-29"/>
      <sheetName val="C-30"/>
      <sheetName val="C-31"/>
      <sheetName val="C-32"/>
      <sheetName val="C-33"/>
      <sheetName val="C-34"/>
      <sheetName val="C-35"/>
      <sheetName val="C-36"/>
      <sheetName val="C-37"/>
      <sheetName val="C-38"/>
      <sheetName val="C-39"/>
      <sheetName val="C-40"/>
      <sheetName val="C-41"/>
      <sheetName val="C-42"/>
      <sheetName val="C-43"/>
      <sheetName val="C-44"/>
      <sheetName val="D-1a"/>
      <sheetName val="D-1b"/>
      <sheetName val="D-2"/>
      <sheetName val="D-3"/>
      <sheetName val="D-4a"/>
      <sheetName val="D-4b"/>
      <sheetName val="D-5"/>
      <sheetName val="D-6"/>
      <sheetName val="D-7"/>
      <sheetName val="D-8"/>
      <sheetName val="D-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S"/>
      <sheetName val="Download"/>
      <sheetName val=" VEHICLE DEPREC"/>
      <sheetName val="Reformat Cons"/>
      <sheetName val="New Template Consolidation"/>
      <sheetName val="DOWNLOAD04"/>
      <sheetName val="Consolidated BS"/>
      <sheetName val="Consolidated IS"/>
      <sheetName val="PEC Income Stmt"/>
      <sheetName val="IS Worksheet"/>
      <sheetName val="PEC Budg IS WKT"/>
      <sheetName val="BS Worksheet"/>
      <sheetName val="&quot;other&quot; RECON"/>
      <sheetName val="181 query"/>
      <sheetName val="CF-RANDY"/>
      <sheetName val="New CF Pres"/>
      <sheetName val="Page 3"/>
      <sheetName val="CF Template"/>
      <sheetName val="CONSOL. CF"/>
      <sheetName val="NEW CF"/>
      <sheetName val="REG. A. L."/>
      <sheetName val="Reg A.L. ST-LT"/>
      <sheetName val="Estimate"/>
      <sheetName val="Page 1"/>
      <sheetName val="Page 2"/>
      <sheetName val="Page 4"/>
      <sheetName val="Page 5"/>
      <sheetName val="Page 6"/>
      <sheetName val="Page 7"/>
      <sheetName val="Page 8"/>
      <sheetName val="Page 9"/>
      <sheetName val="Page 10"/>
      <sheetName val="Detail of Int Expense"/>
      <sheetName val="BUDGET"/>
      <sheetName val="ESOP GOALS"/>
      <sheetName val="2005 cash flow goal"/>
      <sheetName val="Page RE"/>
      <sheetName val="download03"/>
      <sheetName val="PEC Budget IS"/>
      <sheetName val="CJ 002"/>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sheetData sheetId="17" refreshError="1"/>
      <sheetData sheetId="18"/>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refreshError="1"/>
      <sheetData sheetId="38"/>
      <sheetData sheetId="3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Energy Consol_Emera Jun-18"/>
      <sheetName val="BS Energy Consol_Emera Jun-18"/>
      <sheetName val="BS Energy Consol_Emera Jun- (2)"/>
      <sheetName val="BS Energy Consol_Emera Jun- (3)"/>
      <sheetName val="April-18 IS Subconsol Values"/>
      <sheetName val="TECO_FORMAT"/>
      <sheetName val="EVDRE_VALUE"/>
    </sheetNames>
    <sheetDataSet>
      <sheetData sheetId="0"/>
      <sheetData sheetId="1" refreshError="1"/>
      <sheetData sheetId="2" refreshError="1"/>
      <sheetData sheetId="3"/>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A Spare Parts"/>
      <sheetName val="Rev Accts"/>
      <sheetName val="Procedures"/>
      <sheetName val="UPDATES"/>
      <sheetName val="2002 WS ACTUAL"/>
      <sheetName val="STMT OF PLT"/>
      <sheetName val="STMT OF PLT (Round)"/>
      <sheetName val="Page 34A"/>
      <sheetName val="Page 34B"/>
      <sheetName val="RWIP"/>
      <sheetName val="Trans Depr Clr"/>
      <sheetName val="105 Transfers"/>
      <sheetName val="BUDGET VS FORECAST"/>
      <sheetName val="CWIP 13mosDec"/>
      <sheetName val="CWIP 13mosMonthly"/>
      <sheetName val="AFUDC 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FORECAST"/>
      <sheetName val="BPC IS Accounts"/>
      <sheetName val="BPC BS Accounts"/>
      <sheetName val="TAX ACCOUNTS"/>
      <sheetName val="TAX PAYMENTS"/>
      <sheetName val="Income Tax BS Accts for Coal"/>
      <sheetName val="Income Tax Exp Accts for Coal"/>
      <sheetName val="Adjustment Months"/>
      <sheetName val="51014"/>
      <sheetName val="51004 Non Oper"/>
      <sheetName val="51014 Copy"/>
      <sheetName val="51013 FL"/>
      <sheetName val="51024"/>
      <sheetName val="51024 Copy"/>
      <sheetName val="51040"/>
      <sheetName val="51052"/>
      <sheetName val="51052 Copy"/>
      <sheetName val="545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OR VP Assumptions"/>
      <sheetName val="PROCEDURES"/>
      <sheetName val="Dist List"/>
      <sheetName val="UPDATES"/>
      <sheetName val="DOWNLOAD"/>
      <sheetName val="TO for RESID."/>
      <sheetName val="MISC SRV REV BACKUP"/>
      <sheetName val="MISC SRV DATA"/>
      <sheetName val="OOR PKG"/>
      <sheetName val="MISC SRV PKG"/>
      <sheetName val="OOR PRESENT."/>
      <sheetName val="RENT REV PRESEN"/>
      <sheetName val="MISC SRV PRESEN"/>
      <sheetName val="OOR BACKUP"/>
      <sheetName val="Monthly Detail by VP "/>
      <sheetName val="Detail by VP"/>
      <sheetName val="Detail by Component"/>
      <sheetName val="Summary by VP"/>
      <sheetName val="Executive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ULTRAUS"/>
      <sheetName val="ULTCONSOL"/>
      <sheetName val="TCAEUS"/>
      <sheetName val="TCAEUS-QTR"/>
      <sheetName val="GOCONSOL"/>
      <sheetName val="SJCONSOL"/>
      <sheetName val="IPCONSOL"/>
      <sheetName val="TEJASCONSOL"/>
      <sheetName val="PVCONSOL"/>
      <sheetName val="TPSPVCONSO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A Spare Parts"/>
      <sheetName val="Rev Accts"/>
      <sheetName val="Procedures"/>
      <sheetName val="UPDATES"/>
      <sheetName val="2002 WS ACTUAL"/>
      <sheetName val="STMT OF PLT"/>
      <sheetName val="STMT OF PLT (Round)"/>
      <sheetName val="Page 34A"/>
      <sheetName val="Page 34B"/>
      <sheetName val="RWIP"/>
      <sheetName val="Trans Depr Clr"/>
      <sheetName val="105 Transfers"/>
      <sheetName val="BUDGET VS FORECAST"/>
      <sheetName val="CWIP 13mosDec"/>
      <sheetName val="CWIP 13mosMonthly"/>
      <sheetName val="AFUDC Month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Data"/>
      <sheetName val="Schedules"/>
      <sheetName val="A-1"/>
      <sheetName val="A-2"/>
      <sheetName val="A-3"/>
      <sheetName val="A-4"/>
      <sheetName val="A-5"/>
      <sheetName val="BalDat"/>
      <sheetName val="BsWksHY"/>
      <sheetName val="B-1"/>
      <sheetName val="B-2"/>
      <sheetName val="B-3"/>
      <sheetName val="B-4"/>
      <sheetName val="B-5"/>
      <sheetName val="B-6"/>
      <sheetName val="B-7"/>
      <sheetName val="B-8"/>
      <sheetName val="B-9"/>
      <sheetName val="B-10"/>
      <sheetName val="B-11"/>
      <sheetName val="B-12"/>
      <sheetName val="B-13"/>
      <sheetName val="B-14"/>
      <sheetName val="B-15"/>
      <sheetName val="B-16"/>
      <sheetName val="B-17"/>
      <sheetName val="B-18"/>
      <sheetName val="B-19"/>
      <sheetName val="B-20"/>
      <sheetName val="B-21"/>
      <sheetName val="B-22"/>
      <sheetName val="B-23"/>
      <sheetName val="B-24"/>
      <sheetName val="B-25"/>
      <sheetName val="C-1"/>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C-22"/>
      <sheetName val="C-23"/>
      <sheetName val="C-24"/>
      <sheetName val="C-25"/>
      <sheetName val="C-26"/>
      <sheetName val="C-27"/>
      <sheetName val="C-28"/>
      <sheetName val="C-29"/>
      <sheetName val="C-30"/>
      <sheetName val="C-31"/>
      <sheetName val="C-32"/>
      <sheetName val="C-33"/>
      <sheetName val="C-34"/>
      <sheetName val="C-35"/>
      <sheetName val="C-36"/>
      <sheetName val="C-37"/>
      <sheetName val="C-38"/>
      <sheetName val="C-39"/>
      <sheetName val="C-40"/>
      <sheetName val="C-41"/>
      <sheetName val="C-42"/>
      <sheetName val="C-43"/>
      <sheetName val="C-44"/>
      <sheetName val="D-1a"/>
      <sheetName val="D-4a"/>
      <sheetName val="D-4b"/>
      <sheetName val="D-5"/>
      <sheetName val="D-6"/>
      <sheetName val="D-7"/>
      <sheetName val="D-8"/>
      <sheetName val="D-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 ACCOUNTS"/>
      <sheetName val="SURV ACCOUNTS"/>
      <sheetName val="T.O.C."/>
      <sheetName val="SURV INPUTS"/>
      <sheetName val="WC"/>
      <sheetName val="SURV REPORT"/>
      <sheetName val="SR Sch 2-3-3"/>
      <sheetName val="cap struc adj"/>
      <sheetName val="cap struc adj yr end"/>
      <sheetName val="Cap struc avg"/>
      <sheetName val="Cap struc yer-end"/>
      <sheetName val="RB vs CAP"/>
      <sheetName val="TRANS SEP"/>
      <sheetName val="WC INPUTS"/>
      <sheetName val="PRINTING"/>
      <sheetName val="2018-2019Jun"/>
      <sheetName val="COMP to Act"/>
      <sheetName val="COMP to monthly"/>
      <sheetName val="COMP to Budget"/>
      <sheetName val="COMP to forecast"/>
      <sheetName val="ROE Recon Actual"/>
      <sheetName val="ROE Recon Mo Q1F"/>
      <sheetName val="ROE Recon Budget"/>
      <sheetName val="ROE Ratios"/>
      <sheetName val="ROR Adjustments"/>
      <sheetName val="Equity Adjustments"/>
      <sheetName val="ROE Detail"/>
      <sheetName val="OCI and Adj's Tab MC"/>
      <sheetName val="Misc Adj's tab N"/>
      <sheetName val="NOTE"/>
      <sheetName val="Cash Flow tab W"/>
      <sheetName val="Doc Review"/>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sheetData sheetId="3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 ACCOUNTS"/>
      <sheetName val="SURV ACCOUNTS"/>
      <sheetName val="T.O.C."/>
      <sheetName val="SURV INPUTS"/>
      <sheetName val="WC INPUTS"/>
      <sheetName val="WC"/>
      <sheetName val="SURV REPORT"/>
      <sheetName val="SR Sch 2-3-3"/>
      <sheetName val="cap struc adj"/>
      <sheetName val="cap struc adj yr end"/>
      <sheetName val="Cap struc avg"/>
      <sheetName val="Cap struc yer-end"/>
      <sheetName val="RB vs CAP"/>
      <sheetName val="TRANS SEP"/>
      <sheetName val="PRINTING"/>
      <sheetName val="2018-2019Jun"/>
      <sheetName val="COMP to Act"/>
      <sheetName val="COMP to monthly"/>
      <sheetName val="COMP to Budget"/>
      <sheetName val="COMP to forecast"/>
      <sheetName val="ROE Recon Actual"/>
      <sheetName val="ROE Recon Forecast"/>
      <sheetName val="ROE Recon Budget"/>
      <sheetName val="ROE Ratios"/>
      <sheetName val="ROR Adjustments"/>
      <sheetName val="Equity Adjustments"/>
      <sheetName val="ROE Detail"/>
      <sheetName val="Cash Flow tab W"/>
      <sheetName val="Misc Adj's tab N"/>
      <sheetName val="OCI and Adj's Tab MC"/>
      <sheetName val="NOTE"/>
      <sheetName val="Doc Re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take 1"/>
      <sheetName val="2018 Strat Plan"/>
      <sheetName val="2018 Forecast"/>
      <sheetName val="Specific FP"/>
      <sheetName val="Growth Initiatives"/>
      <sheetName val="2018 CIBS &amp; PPP"/>
      <sheetName val="FD 6"/>
      <sheetName val="Variance to 11+1 Summary"/>
      <sheetName val="Variance to 11+1 Detail"/>
      <sheetName val="FM 5"/>
      <sheetName val="FQ 6"/>
      <sheetName val="FY 5"/>
      <sheetName val="FF 5"/>
      <sheetName val="FM Summary"/>
      <sheetName val="FQ Summary"/>
      <sheetName val="FY Summary"/>
      <sheetName val="FF Summary"/>
      <sheetName val="Variance to Budget Detail"/>
      <sheetName val="Construction Plan"/>
      <sheetName val="Working Table"/>
      <sheetName val="Input"/>
      <sheetName val="Working"/>
      <sheetName val="Working Field Table"/>
      <sheetName val="PF Field Table"/>
      <sheetName val="Prior Forecast"/>
      <sheetName val="Q2 Forecast"/>
      <sheetName val="Q1 Forecast"/>
      <sheetName val="2018 Budget"/>
      <sheetName val="2017 Actuals"/>
      <sheetName val="2017 Budget"/>
      <sheetName val="Project Description"/>
      <sheetName val="PowerPlant ID"/>
      <sheetName val="FP Specific Conta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2 Month Summary"/>
      <sheetName val="IS ACCOUNTS"/>
      <sheetName val="BS ACCOUNTS"/>
      <sheetName val="CASH FLOW"/>
      <sheetName val="TEFIS"/>
      <sheetName val="Yearly Summary"/>
      <sheetName val="TEC NOL Utilization"/>
      <sheetName val="BUDGET VS REFORECAST YR"/>
      <sheetName val="RTP DATA"/>
      <sheetName val="MONTHS"/>
      <sheetName val="COMPARISONS ---&gt;"/>
      <sheetName val="YEAR COMPARISON TO BUDGETS"/>
      <sheetName val="MONTHLY COMPARISON TO BUDGETS"/>
      <sheetName val="ACTUAL"/>
      <sheetName val="CORP BUDGET"/>
      <sheetName val="CURRENT FORECAST"/>
      <sheetName val="2018 Q1F"/>
      <sheetName val="2018 Q3F"/>
      <sheetName val="2018 10+2"/>
      <sheetName val="FORECAST DETAILS ----&gt;"/>
      <sheetName val="2018 Income Tax Check"/>
      <sheetName val="FORECAST"/>
      <sheetName val="TAX PAYMENTS"/>
      <sheetName val="TAXES"/>
      <sheetName val="Production Deduction"/>
      <sheetName val="NU Payments"/>
      <sheetName val="51004"/>
      <sheetName val="51004 Non Oper"/>
      <sheetName val="51024"/>
      <sheetName val="51040"/>
      <sheetName val="51052"/>
      <sheetName val="51052 act 2820610 no Flowthr"/>
      <sheetName val="54530"/>
      <sheetName val="51004 NU Prior Yr"/>
      <sheetName val="2019 Income Tax Check"/>
      <sheetName val="FORECAST CB"/>
      <sheetName val="TAX PAYMENTS CB"/>
      <sheetName val="Production Deduction CB"/>
      <sheetName val="TAXES CB"/>
      <sheetName val="NU Payments CB"/>
      <sheetName val="51004 CB"/>
      <sheetName val="51004 Non Oper CB"/>
      <sheetName val="51024 CB"/>
      <sheetName val="51040 CB"/>
      <sheetName val="51052 CB"/>
      <sheetName val="51052 act 2820610 no Flowthr CB"/>
      <sheetName val="54530 CB"/>
      <sheetName val="51004 NU Prior Yr CB"/>
      <sheetName val="EXCESS CALCULATION"/>
      <sheetName val="Capex - Tax"/>
      <sheetName val="PLANT M-1 SUMMARY FOR STRAT"/>
      <sheetName val="2020 Forecast"/>
      <sheetName val="2020 Tax Payments"/>
      <sheetName val="2019 Production Deduction"/>
      <sheetName val="2021 Forecast"/>
      <sheetName val="2021 Tax Payments"/>
      <sheetName val="2020 Production Deduction"/>
      <sheetName val="2022 Forecast"/>
      <sheetName val="2022 Tax Payments"/>
      <sheetName val="2021 Production Deduction"/>
      <sheetName val="2023 Forecast"/>
      <sheetName val="2023 Tax Payments"/>
      <sheetName val="2022 Production Deduction"/>
      <sheetName val="2024 Forecast"/>
      <sheetName val="2024 Tax Payments"/>
      <sheetName val="2023 Production Deduction"/>
      <sheetName val="2025 Forecast"/>
      <sheetName val="2025 Tax Payments"/>
      <sheetName val="2024 Production Deduction"/>
      <sheetName val="2026 Forecast"/>
      <sheetName val="2026 Tax Payments"/>
      <sheetName val="2025 Production Deduction"/>
      <sheetName val="2027 Forecast"/>
      <sheetName val="2027 Tax Payments"/>
      <sheetName val="2026 Production Deduction"/>
      <sheetName val="2028 Forecast"/>
      <sheetName val="2028 Tax Payments"/>
      <sheetName val="2027 Production Deduction"/>
      <sheetName val="2029 Forecast"/>
      <sheetName val="2029 Tax Payments"/>
      <sheetName val="2028 Production Deduction"/>
      <sheetName val="Yearly Che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FORMS"/>
      <sheetName val="May Payroll Query "/>
      <sheetName val="Apr True up"/>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ABLE OF CONTENTS"/>
      <sheetName val="CF 9&amp;3 VS BUDGET"/>
      <sheetName val="DATA 2011"/>
      <sheetName val="Data 2012"/>
      <sheetName val="GL Lookup"/>
      <sheetName val="RECON Detail"/>
      <sheetName val="Presentation pages"/>
      <sheetName val="RECONS Variance"/>
      <sheetName val="RECONS Variance (2)"/>
      <sheetName val="O&amp;M reconcile"/>
      <sheetName val="Sheet1"/>
      <sheetName val="MEMO"/>
      <sheetName val="DOWNLOAD"/>
      <sheetName val="New format"/>
      <sheetName val="MTHLY RECON"/>
      <sheetName val="OTHER"/>
      <sheetName val="QTR RECON"/>
      <sheetName val="OOR"/>
      <sheetName val="O_INC_DED"/>
      <sheetName val="OTHER (2)"/>
      <sheetName val="BALANCE SH."/>
      <sheetName val="INCOME STAT."/>
      <sheetName val="BS ACCTS"/>
      <sheetName val="Conversion file"/>
      <sheetName val="IS ACCTS"/>
      <sheetName val="CASH FLOWS"/>
      <sheetName val="CASH FLOWS BKUP"/>
      <sheetName val="New CF Pres"/>
      <sheetName val="CF impact"/>
      <sheetName val="CASH FLOWS (95)"/>
      <sheetName val="CASH FLOWS BKUP (95)"/>
      <sheetName val="PLANT"/>
      <sheetName val="CF Hybrid"/>
      <sheetName val="OTHER INC."/>
      <sheetName val="O M"/>
      <sheetName val="Cash Pres 1"/>
      <sheetName val="Cash Pres 2"/>
      <sheetName val="Cash Pres 3"/>
      <sheetName val="Cash Pres 4"/>
      <sheetName val="CF GOALS"/>
      <sheetName val="FOR INCENTIVE GOAL"/>
      <sheetName val="CF BKUP TECO ENERGY"/>
      <sheetName val="CAPITAL"/>
      <sheetName val="TEC_Earning Analysis"/>
      <sheetName val="Business Plan"/>
      <sheetName val="Estimates Recon"/>
      <sheetName val="STOCK"/>
      <sheetName val="REVENUE"/>
      <sheetName val="CONS ROI"/>
      <sheetName val="ENVIR ROI"/>
      <sheetName val="OBISACCTS"/>
      <sheetName val="VISACCTS"/>
      <sheetName val="PYISACCTS"/>
      <sheetName val="VPYISACCTS"/>
      <sheetName val="GOAL 7 BUD"/>
      <sheetName val="OOR TEFIS"/>
      <sheetName val="O_INC_DED TEFIS"/>
      <sheetName val="DEF REV INT 99"/>
      <sheetName val="DEF REV INT 98"/>
      <sheetName val="DEF REV JE"/>
      <sheetName val="REV REFUND "/>
      <sheetName val="INT ANALYSIS"/>
      <sheetName val="DEF REV INT 95"/>
      <sheetName val="DEF REV INT 96"/>
      <sheetName val="DEF REV INT 97"/>
      <sheetName val="OOR MEMO"/>
      <sheetName val="N E L"/>
      <sheetName val="OBBSACCTS"/>
      <sheetName val="VBSACCTS"/>
      <sheetName val="CF Recon "/>
      <sheetName val="HEADING"/>
      <sheetName val="RECONS"/>
      <sheetName val="RANGENAMES"/>
      <sheetName val="Polk_recon"/>
      <sheetName val="OBINCOME STAT."/>
      <sheetName val="OBREVENUE"/>
      <sheetName val="OOR VAR"/>
      <sheetName val="BUDGET RECON"/>
      <sheetName val="PROCEDURES"/>
      <sheetName val="EE Procedures"/>
      <sheetName val="2010 CF Budget"/>
      <sheetName val="10 CF BUD WKST"/>
      <sheetName val="2009 BS A Budget (FINAL)"/>
      <sheetName val="2009 BS L Budget (FINAL)"/>
      <sheetName val="TECO BS TEMPLATE"/>
      <sheetName val="2009 IS Budget  (FINAL)"/>
      <sheetName val="TECO IS TEMPLATE"/>
      <sheetName val="Review sheet"/>
      <sheetName val="CF detail"/>
      <sheetName val="BALANCE SH. (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ABLE OF CONTENTS"/>
      <sheetName val="CF 9&amp;3 VS BUDGET"/>
      <sheetName val="DATA 2011"/>
      <sheetName val="Data 2012"/>
      <sheetName val="GL Lookup"/>
      <sheetName val="RECON Detail"/>
      <sheetName val="Presentation pages"/>
      <sheetName val="RECONS Variance"/>
      <sheetName val="RECONS Variance (2)"/>
      <sheetName val="O&amp;M reconcile"/>
      <sheetName val="Sheet1"/>
      <sheetName val="MEMO"/>
      <sheetName val="DOWNLOAD"/>
      <sheetName val="New format"/>
      <sheetName val="MTHLY RECON"/>
      <sheetName val="OTHER"/>
      <sheetName val="QTR RECON"/>
      <sheetName val="OOR"/>
      <sheetName val="O_INC_DED"/>
      <sheetName val="OTHER (2)"/>
      <sheetName val="BALANCE SH."/>
      <sheetName val="INCOME STAT."/>
      <sheetName val="BS ACCTS"/>
      <sheetName val="Conversion file"/>
      <sheetName val="IS ACCTS"/>
      <sheetName val="CASH FLOWS"/>
      <sheetName val="CASH FLOWS BKUP"/>
      <sheetName val="New CF Pres"/>
      <sheetName val="CF impact"/>
      <sheetName val="CASH FLOWS (95)"/>
      <sheetName val="CASH FLOWS BKUP (95)"/>
      <sheetName val="PLANT"/>
      <sheetName val="CF Hybrid"/>
      <sheetName val="OTHER INC."/>
      <sheetName val="O M"/>
      <sheetName val="Cash Pres 1"/>
      <sheetName val="Cash Pres 2"/>
      <sheetName val="Cash Pres 3"/>
      <sheetName val="Cash Pres 4"/>
      <sheetName val="CF GOALS"/>
      <sheetName val="FOR INCENTIVE GOAL"/>
      <sheetName val="CF BKUP TECO ENERGY"/>
      <sheetName val="CAPITAL"/>
      <sheetName val="TEC_Earning Analysis"/>
      <sheetName val="Business Plan"/>
      <sheetName val="Estimates Recon"/>
      <sheetName val="STOCK"/>
      <sheetName val="REVENUE"/>
      <sheetName val="CONS ROI"/>
      <sheetName val="ENVIR ROI"/>
      <sheetName val="OBISACCTS"/>
      <sheetName val="VISACCTS"/>
      <sheetName val="PYISACCTS"/>
      <sheetName val="VPYISACCTS"/>
      <sheetName val="GOAL 7 BUD"/>
      <sheetName val="OOR TEFIS"/>
      <sheetName val="O_INC_DED TEFIS"/>
      <sheetName val="DEF REV INT 99"/>
      <sheetName val="DEF REV INT 98"/>
      <sheetName val="DEF REV JE"/>
      <sheetName val="REV REFUND "/>
      <sheetName val="INT ANALYSIS"/>
      <sheetName val="DEF REV INT 95"/>
      <sheetName val="DEF REV INT 96"/>
      <sheetName val="DEF REV INT 97"/>
      <sheetName val="OOR MEMO"/>
      <sheetName val="N E L"/>
      <sheetName val="OBBSACCTS"/>
      <sheetName val="VBSACCTS"/>
      <sheetName val="CF Recon "/>
      <sheetName val="HEADING"/>
      <sheetName val="RECONS"/>
      <sheetName val="RANGENAMES"/>
      <sheetName val="Polk_recon"/>
      <sheetName val="OBINCOME STAT."/>
      <sheetName val="OBREVENUE"/>
      <sheetName val="OOR VAR"/>
      <sheetName val="BUDGET RECON"/>
      <sheetName val="PROCEDURES"/>
      <sheetName val="EE Procedures"/>
      <sheetName val="2010 CF Budget"/>
      <sheetName val="10 CF BUD WKST"/>
      <sheetName val="2009 BS A Budget (FINAL)"/>
      <sheetName val="2009 BS L Budget (FINAL)"/>
      <sheetName val="TECO BS TEMPLATE"/>
      <sheetName val="2009 IS Budget  (FINAL)"/>
      <sheetName val="TECO IS TEMPLATE"/>
      <sheetName val="Review sheet"/>
      <sheetName val="CF detail"/>
      <sheetName val="BALANCE SH. (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2)"/>
      <sheetName val="Detail "/>
      <sheetName val="Sheet1"/>
      <sheetName val="Page 4"/>
      <sheetName val="DOWNLOAD"/>
      <sheetName val="2005_BUDGET"/>
      <sheetName val="DL1204"/>
      <sheetName val="DEC03 DOWNLOAD"/>
      <sheetName val="TEST Presentation"/>
      <sheetName val="CF Pres"/>
      <sheetName val="Presentation"/>
      <sheetName val="Detail (Old version)"/>
    </sheetNames>
    <sheetDataSet>
      <sheetData sheetId="0"/>
      <sheetData sheetId="1"/>
      <sheetData sheetId="2"/>
      <sheetData sheetId="3"/>
      <sheetData sheetId="4" refreshError="1"/>
      <sheetData sheetId="5" refreshError="1"/>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ENERGY"/>
      <sheetName val="DOWNLOAD"/>
      <sheetName val="Page 1"/>
      <sheetName val="Estimate"/>
      <sheetName val="PEC Income Stmt"/>
      <sheetName val="Consolidated IS"/>
      <sheetName val="PEC Budget IS"/>
      <sheetName val="IS Worksheet"/>
      <sheetName val="PEC Budg IS WKT"/>
      <sheetName val="Page 2"/>
      <sheetName val="Page 3"/>
      <sheetName val="Consolidated BS"/>
      <sheetName val="BS Worksheet"/>
      <sheetName val="Page 4"/>
      <sheetName val="CF Pres"/>
      <sheetName val="RECONCILATION"/>
      <sheetName val="2002_BUDGET"/>
      <sheetName val="Cons. CF"/>
      <sheetName val="TECO ENERGY"/>
      <sheetName val="DOWNLOAD01"/>
      <sheetName val="Page 5"/>
      <sheetName val="Page 6"/>
      <sheetName val="Page 7"/>
      <sheetName val="Page 8"/>
      <sheetName val="Page 9"/>
      <sheetName val="Page 10"/>
      <sheetName val="Page 11"/>
      <sheetName val="UPDATES"/>
      <sheetName val="Reformat Cons"/>
      <sheetName val="RegulatoryInfo"/>
      <sheetName val="ESOP GOALS"/>
      <sheetName val="REG. A. L."/>
      <sheetName val="Detail"/>
      <sheetName val="Presentation"/>
      <sheetName val="DOWNLOAD98"/>
      <sheetName val="1999_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ABLE OF CONTENTS"/>
      <sheetName val="PROCEDURES"/>
      <sheetName val="CF 9&amp;3 VS BUDGET"/>
      <sheetName val="DOWNLOAD"/>
      <sheetName val="MACRO"/>
      <sheetName val="MEMO"/>
      <sheetName val="Quarterly Recons Budget"/>
      <sheetName val="MTHLY RECON"/>
      <sheetName val="Estimates Recon"/>
      <sheetName val="Cash Pres 1"/>
      <sheetName val="Cash Pres 2"/>
      <sheetName val="Cash Pres 3"/>
      <sheetName val="Cash Pres 4"/>
      <sheetName val="CF GOALS"/>
      <sheetName val="FOR INCENTIVE GOAL"/>
      <sheetName val="INCOME STAT."/>
      <sheetName val="BALANCE SH."/>
      <sheetName val="CASH FLOWS"/>
      <sheetName val="CF BKUP TECO ENERGY"/>
      <sheetName val="CASH FLOWS BKUP"/>
      <sheetName val="CAPITAL"/>
      <sheetName val="OTHER INC."/>
      <sheetName val="BS ACCTS"/>
      <sheetName val="IS ACCTS"/>
      <sheetName val="GOAL 7 BUD"/>
      <sheetName val="OOR TEFIS"/>
      <sheetName val="OOR"/>
      <sheetName val="O_INC_DED"/>
      <sheetName val="O_INC_DED TEFIS"/>
      <sheetName val="DEF REV INT 99"/>
      <sheetName val="DEF REV INT 98"/>
      <sheetName val="DEF REV JE"/>
      <sheetName val="REV REFUND "/>
      <sheetName val="STOCK"/>
      <sheetName val="REVENUE"/>
      <sheetName val="O M"/>
      <sheetName val="CONS ROI"/>
      <sheetName val="ENVIR ROI"/>
      <sheetName val="INT ANALYSIS"/>
      <sheetName val="DEF REV INT 95"/>
      <sheetName val="DEF REV INT 96"/>
      <sheetName val="DEF REV INT 97"/>
      <sheetName val="OOR MEMO"/>
      <sheetName val="ROE"/>
      <sheetName val="PLANT"/>
      <sheetName val="OUTPUT TO LINES"/>
      <sheetName val="OTHER"/>
      <sheetName val="PE_C_actual"/>
      <sheetName val="PE_C Bud"/>
      <sheetName val="HEADING"/>
      <sheetName val="OBBSACCTS"/>
      <sheetName val="OBISACCTS"/>
      <sheetName val="VBSACCTS"/>
      <sheetName val="VISACCTS"/>
      <sheetName val="PYBSACCTS"/>
      <sheetName val="PYISACCTS"/>
      <sheetName val="Business Plan"/>
      <sheetName val="Fin. Stmts"/>
      <sheetName val="ENRGY PLAN BOOK"/>
      <sheetName val="RECONS"/>
      <sheetName val="RANGENAMES"/>
      <sheetName val="Polk_recon"/>
      <sheetName val="OBINCOME STAT."/>
      <sheetName val="OBREVENUE"/>
      <sheetName val="OOR VAR"/>
      <sheetName val="BUDGET RECON"/>
      <sheetName val="TECO Energy IS"/>
      <sheetName val="ENRGYCONSOL"/>
      <sheetName val="TECO Energy BS"/>
      <sheetName val="TECO Energy CF"/>
      <sheetName val="CASH"/>
      <sheetName val="Download Dec 2004"/>
      <sheetName val="ASSUMPTIONS"/>
      <sheetName val="INTEREST EXP"/>
      <sheetName val="INT EXP"/>
      <sheetName val="FUEL RECON"/>
      <sheetName val="TESAM FINANCIALS"/>
      <sheetName val="PE_C for TESAM"/>
      <sheetName val="TESAM TEMPLATE"/>
      <sheetName val="04Forecast"/>
      <sheetName val="05Total"/>
      <sheetName val="05Monthly"/>
      <sheetName val="06Total"/>
      <sheetName val="04BS"/>
      <sheetName val="05BS"/>
      <sheetName val="06BS"/>
      <sheetName val="04CF"/>
      <sheetName val="05CF"/>
      <sheetName val="05CFSTMT"/>
      <sheetName val="06CF"/>
      <sheetName val="RE"/>
      <sheetName val="Sheet1"/>
      <sheetName val="Cash Flow Goal"/>
      <sheetName val="Cash Flow Goal Rev"/>
      <sheetName val="CM Variance Explanations"/>
      <sheetName val="YTD Variance Explanations"/>
    </sheetNames>
    <sheetDataSet>
      <sheetData sheetId="0" refreshError="1"/>
      <sheetData sheetId="1" refreshError="1"/>
      <sheetData sheetId="2"/>
      <sheetData sheetId="3" refreshError="1"/>
      <sheetData sheetId="4"/>
      <sheetData sheetId="5"/>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sheetData sheetId="23" refreshError="1"/>
      <sheetData sheetId="24"/>
      <sheetData sheetId="25" refreshError="1"/>
      <sheetData sheetId="26" refreshError="1"/>
      <sheetData sheetId="27"/>
      <sheetData sheetId="28"/>
      <sheetData sheetId="29" refreshError="1"/>
      <sheetData sheetId="30"/>
      <sheetData sheetId="31"/>
      <sheetData sheetId="32"/>
      <sheetData sheetId="33" refreshError="1"/>
      <sheetData sheetId="34"/>
      <sheetData sheetId="35"/>
      <sheetData sheetId="36"/>
      <sheetData sheetId="37" refreshError="1"/>
      <sheetData sheetId="38" refreshError="1"/>
      <sheetData sheetId="39" refreshError="1"/>
      <sheetData sheetId="40"/>
      <sheetData sheetId="41"/>
      <sheetData sheetId="42"/>
      <sheetData sheetId="43" refreshError="1"/>
      <sheetData sheetId="44" refreshError="1"/>
      <sheetData sheetId="45"/>
      <sheetData sheetId="46" refreshError="1"/>
      <sheetData sheetId="47" refreshError="1"/>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sheetData sheetId="74" refreshError="1"/>
      <sheetData sheetId="75"/>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2.bin"/><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customProperty" Target="../customProperty1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customProperty" Target="../customProperty14.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20.bin"/><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customProperty" Target="../customProperty21.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2.bin"/><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3.bin"/><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4.bin"/><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5.bin"/><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5.bin"/><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28DAF-BFC6-4669-8EC4-C2E0F631D559}">
  <sheetPr codeName="Sheet1">
    <tabColor rgb="FF00FFFF"/>
  </sheetPr>
  <dimension ref="A1:X155"/>
  <sheetViews>
    <sheetView view="pageBreakPreview" zoomScale="90" zoomScaleNormal="100" zoomScaleSheetLayoutView="90" workbookViewId="0">
      <selection activeCell="L33" sqref="L33"/>
    </sheetView>
  </sheetViews>
  <sheetFormatPr defaultColWidth="9.109375" defaultRowHeight="15" customHeight="1"/>
  <cols>
    <col min="1" max="1" width="4.6640625" style="4" customWidth="1"/>
    <col min="2" max="2" width="8.6640625" style="4" customWidth="1"/>
    <col min="3" max="3" width="10.6640625" style="4" customWidth="1"/>
    <col min="4" max="4" width="4.6640625" style="4" customWidth="1"/>
    <col min="5" max="5" width="15.5546875" style="4" customWidth="1"/>
    <col min="6" max="6" width="4.6640625" style="4" customWidth="1"/>
    <col min="7" max="7" width="14.88671875" style="4" customWidth="1"/>
    <col min="8" max="8" width="4.6640625" style="4" customWidth="1"/>
    <col min="9" max="9" width="16.109375" style="4" customWidth="1"/>
    <col min="10" max="10" width="13.33203125" style="4" customWidth="1"/>
    <col min="11" max="11" width="4.6640625" style="4" customWidth="1"/>
    <col min="12" max="12" width="13.109375" style="4" customWidth="1"/>
    <col min="13" max="13" width="10.6640625" style="4" customWidth="1"/>
    <col min="14" max="14" width="4.6640625" style="4" customWidth="1"/>
    <col min="15" max="15" width="13.88671875" style="4" customWidth="1"/>
    <col min="16" max="16" width="4.6640625" style="4" customWidth="1"/>
    <col min="17" max="17" width="12.5546875" style="4" customWidth="1"/>
    <col min="18" max="18" width="10.6640625" style="4" customWidth="1"/>
    <col min="19" max="19" width="15.88671875" style="4" bestFit="1" customWidth="1"/>
    <col min="20" max="20" width="8.6640625" style="4" customWidth="1"/>
    <col min="21" max="22" width="9.109375" style="4"/>
    <col min="23" max="23" width="14" style="4" customWidth="1"/>
    <col min="24" max="24" width="5.5546875" style="4" customWidth="1"/>
    <col min="25" max="25" width="12.6640625" style="4" customWidth="1"/>
    <col min="26" max="16384" width="9.109375" style="4"/>
  </cols>
  <sheetData>
    <row r="1" spans="1:24" ht="15" customHeight="1" thickBot="1">
      <c r="A1" s="1" t="s">
        <v>0</v>
      </c>
      <c r="B1" s="1"/>
      <c r="C1" s="1"/>
      <c r="D1" s="1"/>
      <c r="E1" s="1"/>
      <c r="F1" s="1"/>
      <c r="G1" s="1"/>
      <c r="H1" s="1"/>
      <c r="I1" s="2" t="s">
        <v>1</v>
      </c>
      <c r="J1" s="1"/>
      <c r="K1" s="1"/>
      <c r="L1" s="1"/>
      <c r="M1" s="1"/>
      <c r="N1" s="1"/>
      <c r="O1" s="1"/>
      <c r="P1" s="1"/>
      <c r="Q1" s="1"/>
      <c r="R1" s="1"/>
      <c r="S1" s="3" t="s">
        <v>2</v>
      </c>
      <c r="T1" s="82" t="s">
        <v>3</v>
      </c>
    </row>
    <row r="2" spans="1:24" ht="15" customHeight="1">
      <c r="A2" s="4" t="s">
        <v>4</v>
      </c>
      <c r="E2" s="4" t="s">
        <v>5</v>
      </c>
      <c r="G2" s="5" t="s">
        <v>6</v>
      </c>
      <c r="H2" s="5"/>
      <c r="I2" s="5"/>
      <c r="J2" s="6"/>
      <c r="K2" s="6"/>
      <c r="M2" s="6"/>
      <c r="N2" s="6"/>
      <c r="O2" s="6"/>
      <c r="P2" s="6" t="s">
        <v>7</v>
      </c>
      <c r="S2" s="7"/>
      <c r="T2" s="7"/>
      <c r="V2" s="8"/>
    </row>
    <row r="3" spans="1:24" ht="15" customHeight="1">
      <c r="G3" s="5" t="s">
        <v>8</v>
      </c>
      <c r="H3" s="5"/>
      <c r="I3" s="5"/>
      <c r="J3" s="9"/>
      <c r="K3" s="7"/>
      <c r="O3" s="9"/>
      <c r="P3" s="9"/>
      <c r="Q3" s="7" t="s">
        <v>9</v>
      </c>
      <c r="S3" s="9"/>
      <c r="T3" s="9"/>
    </row>
    <row r="4" spans="1:24" ht="15" customHeight="1">
      <c r="A4" s="4" t="s">
        <v>10</v>
      </c>
      <c r="J4" s="9"/>
      <c r="K4" s="7"/>
      <c r="L4" s="9"/>
      <c r="P4" s="9"/>
      <c r="Q4" s="7" t="s">
        <v>11</v>
      </c>
      <c r="S4" s="9"/>
      <c r="T4" s="9"/>
    </row>
    <row r="5" spans="1:24" ht="15" customHeight="1">
      <c r="J5" s="9"/>
      <c r="K5" s="7"/>
      <c r="L5" s="9"/>
      <c r="P5" s="9" t="s">
        <v>12</v>
      </c>
      <c r="Q5" s="7" t="s">
        <v>13</v>
      </c>
      <c r="S5" s="9"/>
      <c r="T5" s="9"/>
    </row>
    <row r="6" spans="1:24" ht="15" customHeight="1" thickBot="1">
      <c r="A6" s="2" t="s">
        <v>14</v>
      </c>
      <c r="B6" s="2"/>
      <c r="C6" s="1"/>
      <c r="D6" s="1"/>
      <c r="E6" s="1"/>
      <c r="F6" s="1"/>
      <c r="G6" s="1"/>
      <c r="H6" s="1"/>
      <c r="I6" s="2" t="s">
        <v>15</v>
      </c>
      <c r="J6" s="10"/>
      <c r="K6" s="1"/>
      <c r="L6" s="1"/>
      <c r="M6" s="1"/>
      <c r="N6" s="1"/>
      <c r="O6" s="1"/>
      <c r="P6" s="1"/>
      <c r="Q6" s="2" t="s">
        <v>16</v>
      </c>
      <c r="R6" s="1"/>
      <c r="S6" s="1"/>
    </row>
    <row r="7" spans="1:24" ht="15" customHeight="1">
      <c r="A7" s="5"/>
      <c r="B7" s="5"/>
      <c r="C7" s="11"/>
      <c r="D7" s="11"/>
      <c r="E7" s="11" t="s">
        <v>17</v>
      </c>
      <c r="F7" s="11"/>
      <c r="G7" s="116" t="s">
        <v>18</v>
      </c>
      <c r="H7" s="11"/>
      <c r="I7" s="116" t="s">
        <v>19</v>
      </c>
      <c r="J7" s="11" t="s">
        <v>20</v>
      </c>
      <c r="K7" s="11"/>
      <c r="L7" s="11" t="s">
        <v>21</v>
      </c>
      <c r="M7" s="11" t="s">
        <v>22</v>
      </c>
      <c r="N7" s="11"/>
      <c r="O7" s="11" t="s">
        <v>23</v>
      </c>
      <c r="P7" s="11"/>
      <c r="Q7" s="11" t="s">
        <v>24</v>
      </c>
      <c r="R7" s="11" t="s">
        <v>25</v>
      </c>
      <c r="S7" s="11" t="s">
        <v>26</v>
      </c>
      <c r="T7" s="11"/>
    </row>
    <row r="8" spans="1:24" ht="15" customHeight="1">
      <c r="A8" s="5"/>
      <c r="B8" s="5"/>
      <c r="C8" s="11"/>
      <c r="D8" s="11"/>
      <c r="E8" s="11"/>
      <c r="F8" s="11"/>
      <c r="G8" s="11" t="s">
        <v>27</v>
      </c>
      <c r="H8" s="11"/>
      <c r="I8" s="11"/>
      <c r="J8" s="11"/>
      <c r="K8" s="11"/>
      <c r="L8" s="11"/>
      <c r="M8" s="11"/>
      <c r="N8" s="12"/>
      <c r="O8" s="12"/>
      <c r="P8" s="11"/>
      <c r="Q8" s="11"/>
      <c r="R8" s="11"/>
      <c r="S8" s="11"/>
      <c r="T8" s="11"/>
    </row>
    <row r="9" spans="1:24" ht="15" customHeight="1">
      <c r="A9" s="5"/>
      <c r="B9" s="5"/>
      <c r="C9" s="12"/>
      <c r="D9" s="12"/>
      <c r="E9" s="12"/>
      <c r="F9" s="12"/>
      <c r="G9" s="12" t="s">
        <v>28</v>
      </c>
      <c r="H9" s="12"/>
      <c r="I9" s="12" t="s">
        <v>29</v>
      </c>
      <c r="J9" s="11"/>
      <c r="K9" s="12"/>
      <c r="L9" s="11" t="s">
        <v>30</v>
      </c>
      <c r="M9" s="12" t="s">
        <v>31</v>
      </c>
      <c r="N9" s="11"/>
      <c r="O9" s="12" t="s">
        <v>32</v>
      </c>
      <c r="P9" s="12"/>
      <c r="Q9" s="12" t="s">
        <v>33</v>
      </c>
      <c r="R9" s="12" t="s">
        <v>34</v>
      </c>
      <c r="S9" s="12"/>
      <c r="T9" s="12"/>
    </row>
    <row r="10" spans="1:24" ht="15" customHeight="1">
      <c r="A10" s="12" t="s">
        <v>35</v>
      </c>
      <c r="B10" s="12"/>
      <c r="C10" s="12"/>
      <c r="D10" s="12"/>
      <c r="E10" s="12" t="s">
        <v>36</v>
      </c>
      <c r="F10" s="12"/>
      <c r="G10" s="12" t="s">
        <v>37</v>
      </c>
      <c r="H10" s="11"/>
      <c r="I10" s="11" t="s">
        <v>38</v>
      </c>
      <c r="J10" s="12" t="s">
        <v>39</v>
      </c>
      <c r="K10" s="12"/>
      <c r="L10" s="12" t="s">
        <v>40</v>
      </c>
      <c r="M10" s="12" t="s">
        <v>41</v>
      </c>
      <c r="N10" s="12"/>
      <c r="O10" s="11" t="s">
        <v>42</v>
      </c>
      <c r="P10" s="12"/>
      <c r="Q10" s="12" t="s">
        <v>43</v>
      </c>
      <c r="R10" s="12" t="s">
        <v>44</v>
      </c>
      <c r="S10" s="11" t="s">
        <v>45</v>
      </c>
      <c r="T10" s="11"/>
    </row>
    <row r="11" spans="1:24" ht="15" customHeight="1" thickBot="1">
      <c r="A11" s="117" t="s">
        <v>46</v>
      </c>
      <c r="B11" s="117"/>
      <c r="C11" s="117"/>
      <c r="D11" s="117"/>
      <c r="E11" s="117" t="s">
        <v>47</v>
      </c>
      <c r="F11" s="118"/>
      <c r="G11" s="117" t="s">
        <v>48</v>
      </c>
      <c r="H11" s="118"/>
      <c r="I11" s="117" t="s">
        <v>49</v>
      </c>
      <c r="J11" s="118"/>
      <c r="K11" s="118"/>
      <c r="L11" s="118" t="s">
        <v>50</v>
      </c>
      <c r="M11" s="119" t="s">
        <v>51</v>
      </c>
      <c r="N11" s="118"/>
      <c r="O11" s="119" t="s">
        <v>30</v>
      </c>
      <c r="P11" s="119"/>
      <c r="Q11" s="120" t="s">
        <v>52</v>
      </c>
      <c r="R11" s="120" t="s">
        <v>53</v>
      </c>
      <c r="S11" s="120" t="s">
        <v>44</v>
      </c>
      <c r="T11" s="11"/>
    </row>
    <row r="12" spans="1:24" ht="15" customHeight="1">
      <c r="A12" s="5">
        <v>1</v>
      </c>
      <c r="B12" s="121"/>
      <c r="C12" s="13"/>
      <c r="D12" s="13"/>
      <c r="E12" s="13"/>
      <c r="F12" s="14"/>
      <c r="G12" s="14"/>
      <c r="H12" s="14"/>
      <c r="I12" s="14"/>
      <c r="J12" s="13"/>
      <c r="K12" s="13"/>
      <c r="L12" s="13"/>
      <c r="M12" s="13"/>
      <c r="N12" s="13"/>
      <c r="O12" s="13"/>
      <c r="P12" s="13"/>
      <c r="Q12" s="13"/>
      <c r="R12" s="13"/>
      <c r="S12" s="13"/>
      <c r="T12" s="13"/>
    </row>
    <row r="13" spans="1:24" ht="15" customHeight="1">
      <c r="A13" s="5">
        <v>2</v>
      </c>
      <c r="B13" s="13" t="s">
        <v>54</v>
      </c>
      <c r="C13" s="13"/>
      <c r="E13" s="13">
        <f>'2023A Sch 1of3'!$D$13/1000</f>
        <v>11880413.225</v>
      </c>
      <c r="F13" s="14"/>
      <c r="G13" s="13">
        <f>-'2023A Sch 1of3'!$F$13/1000</f>
        <v>3574431.01</v>
      </c>
      <c r="H13" s="14"/>
      <c r="I13" s="14">
        <f>+E13-G13</f>
        <v>8305982.2149999999</v>
      </c>
      <c r="J13" s="13">
        <f>'2023A Sch 1of3'!$L$13/1000</f>
        <v>1098847.3049999999</v>
      </c>
      <c r="K13" s="14"/>
      <c r="L13" s="13">
        <f>'2023A Sch 1of3'!$J$13/1000</f>
        <v>55938.784</v>
      </c>
      <c r="M13" s="14">
        <v>0</v>
      </c>
      <c r="N13" s="14"/>
      <c r="O13" s="14">
        <f>+I13+J13+L13</f>
        <v>9460768.3039999995</v>
      </c>
      <c r="P13" s="14"/>
      <c r="Q13" s="14">
        <f>ROUND(('2023A Sch 1of3'!$R$13)/1000,3)</f>
        <v>1776069.2069999999</v>
      </c>
      <c r="R13" s="14">
        <v>0</v>
      </c>
      <c r="S13" s="14">
        <f>+O13+Q13</f>
        <v>11236837.511</v>
      </c>
      <c r="T13" s="14"/>
      <c r="U13" s="7" t="s">
        <v>55</v>
      </c>
      <c r="V13" s="15"/>
      <c r="W13" s="389" t="s">
        <v>56</v>
      </c>
      <c r="X13" s="16"/>
    </row>
    <row r="14" spans="1:24" ht="15" customHeight="1">
      <c r="A14" s="5">
        <v>3</v>
      </c>
      <c r="B14" s="5"/>
      <c r="C14" s="5"/>
      <c r="D14" s="5"/>
      <c r="E14" s="17"/>
      <c r="F14" s="18"/>
      <c r="G14" s="5"/>
      <c r="H14" s="5"/>
      <c r="I14" s="5"/>
      <c r="J14" s="5"/>
      <c r="K14" s="5"/>
      <c r="L14" s="5"/>
      <c r="M14" s="5"/>
      <c r="N14" s="5"/>
      <c r="O14" s="19"/>
      <c r="P14" s="5"/>
      <c r="Q14" s="5"/>
      <c r="R14" s="5"/>
      <c r="S14" s="5"/>
      <c r="T14" s="5"/>
      <c r="U14" s="7"/>
      <c r="V14" s="95" t="s">
        <v>57</v>
      </c>
      <c r="W14" s="20">
        <f>'2023A Sch 1of3'!T13/1000</f>
        <v>11236837.510712309</v>
      </c>
      <c r="X14" s="21"/>
    </row>
    <row r="15" spans="1:24" ht="15" customHeight="1">
      <c r="A15" s="5">
        <v>4</v>
      </c>
      <c r="B15" s="13" t="s">
        <v>58</v>
      </c>
      <c r="C15" s="13"/>
      <c r="E15" s="22">
        <f>+E17/E13</f>
        <v>0.99375659578541309</v>
      </c>
      <c r="F15" s="23"/>
      <c r="G15" s="22">
        <f>+G17/G13</f>
        <v>0.99474957274388698</v>
      </c>
      <c r="H15" s="23"/>
      <c r="I15" s="22">
        <f>+I17/I13</f>
        <v>0.99332927394186576</v>
      </c>
      <c r="J15" s="22">
        <f>+J17/J13</f>
        <v>0.99133010750752126</v>
      </c>
      <c r="K15" s="23"/>
      <c r="L15" s="22">
        <f>+L17/L13</f>
        <v>0.97308400554434649</v>
      </c>
      <c r="M15" s="22">
        <v>0</v>
      </c>
      <c r="N15" s="23"/>
      <c r="O15" s="22">
        <f>+O17/O13</f>
        <v>0.99297737077316328</v>
      </c>
      <c r="P15" s="23"/>
      <c r="Q15" s="22">
        <f>+Q17/Q13</f>
        <v>0.99452051251063667</v>
      </c>
      <c r="R15" s="22">
        <v>0</v>
      </c>
      <c r="S15" s="22">
        <f>+S17/S13</f>
        <v>0.99322127627765056</v>
      </c>
      <c r="T15" s="24"/>
      <c r="U15" s="7"/>
      <c r="V15" s="95" t="s">
        <v>59</v>
      </c>
      <c r="W15" s="25">
        <f>+S13</f>
        <v>11236837.511</v>
      </c>
      <c r="X15" s="21"/>
    </row>
    <row r="16" spans="1:24" ht="15" customHeight="1">
      <c r="A16" s="5">
        <f t="shared" ref="A16:A33" si="0">+A15+1</f>
        <v>5</v>
      </c>
      <c r="B16" s="5"/>
      <c r="C16" s="5"/>
      <c r="D16" s="5"/>
      <c r="E16" s="5"/>
      <c r="F16" s="5"/>
      <c r="G16" s="5"/>
      <c r="H16" s="5"/>
      <c r="I16" s="5"/>
      <c r="J16" s="5"/>
      <c r="K16" s="5"/>
      <c r="L16" s="5"/>
      <c r="M16" s="5"/>
      <c r="N16" s="5"/>
      <c r="O16" s="5"/>
      <c r="P16" s="5"/>
      <c r="Q16" s="5"/>
      <c r="R16" s="5"/>
      <c r="S16" s="5"/>
      <c r="T16" s="5"/>
      <c r="U16" s="7"/>
      <c r="V16" s="95" t="s">
        <v>60</v>
      </c>
      <c r="W16" s="353">
        <f>+W14-W15</f>
        <v>-2.8769113123416901E-4</v>
      </c>
      <c r="X16" s="21"/>
    </row>
    <row r="17" spans="1:24" ht="15" customHeight="1">
      <c r="A17" s="5">
        <f t="shared" si="0"/>
        <v>6</v>
      </c>
      <c r="B17" s="13" t="s">
        <v>61</v>
      </c>
      <c r="C17" s="13"/>
      <c r="E17" s="13">
        <f>'2023A Sch 1of3'!$D$16/1000</f>
        <v>11806239.003</v>
      </c>
      <c r="F17" s="14"/>
      <c r="G17" s="13">
        <f>-'2023A Sch 1of3'!$F$16/1000</f>
        <v>3555663.72</v>
      </c>
      <c r="H17" s="14"/>
      <c r="I17" s="14">
        <f>+E17-G17</f>
        <v>8250575.2829999998</v>
      </c>
      <c r="J17" s="13">
        <f>'2023A Sch 1of3'!$L$16/1000</f>
        <v>1089320.4169999999</v>
      </c>
      <c r="K17" s="14"/>
      <c r="L17" s="13">
        <f>'2023A Sch 1of3'!$J$16/1000</f>
        <v>54433.135999999999</v>
      </c>
      <c r="M17" s="14">
        <v>0</v>
      </c>
      <c r="N17" s="14"/>
      <c r="O17" s="14">
        <f>+I17+J17+L17</f>
        <v>9394328.8359999992</v>
      </c>
      <c r="P17" s="14"/>
      <c r="Q17" s="14">
        <f>ROUND('2023A Sch 1of3'!$R$16/1000,3)</f>
        <v>1766337.2579999999</v>
      </c>
      <c r="R17" s="27">
        <v>0</v>
      </c>
      <c r="S17" s="14">
        <f>+O17+Q17+R17</f>
        <v>11160666.093999999</v>
      </c>
      <c r="T17" s="27"/>
      <c r="U17" s="7" t="s">
        <v>55</v>
      </c>
      <c r="V17" s="28"/>
      <c r="X17" s="21"/>
    </row>
    <row r="18" spans="1:24" ht="15" customHeight="1">
      <c r="A18" s="5">
        <f t="shared" si="0"/>
        <v>7</v>
      </c>
      <c r="B18" s="5"/>
      <c r="C18" s="5"/>
      <c r="D18" s="5"/>
      <c r="E18" s="5"/>
      <c r="F18" s="5"/>
      <c r="G18" s="5"/>
      <c r="H18" s="5"/>
      <c r="I18" s="5"/>
      <c r="J18" s="5"/>
      <c r="K18" s="5"/>
      <c r="L18" s="5"/>
      <c r="M18" s="5"/>
      <c r="N18" s="5"/>
      <c r="O18" s="5"/>
      <c r="P18" s="5"/>
      <c r="Q18" s="5"/>
      <c r="R18" s="5"/>
      <c r="S18" s="5"/>
      <c r="T18" s="5"/>
      <c r="V18" s="95" t="s">
        <v>57</v>
      </c>
      <c r="W18" s="20">
        <f>'2023A Sch 1of3'!$T$49/1000</f>
        <v>8681759.3016382791</v>
      </c>
      <c r="X18" s="31"/>
    </row>
    <row r="19" spans="1:24" ht="15" customHeight="1">
      <c r="A19" s="5">
        <f t="shared" si="0"/>
        <v>8</v>
      </c>
      <c r="B19" s="13" t="s">
        <v>62</v>
      </c>
      <c r="C19" s="13"/>
      <c r="E19" s="29">
        <f>'2023A Sch 1of3'!$D$37/1000</f>
        <v>-353828.91130191809</v>
      </c>
      <c r="G19" s="29">
        <f>-'2023A Sch 1of3'!$F$37/1000</f>
        <v>-106255.36094028986</v>
      </c>
      <c r="I19" s="27">
        <f>E19-G19</f>
        <v>-247573.55036162824</v>
      </c>
      <c r="J19" s="29">
        <f>'2023A Sch 1of3'!$L$37/1000</f>
        <v>-710618.79600009206</v>
      </c>
      <c r="K19" s="27"/>
      <c r="L19" s="17">
        <f>'2023A Sch 1of3'!$J$37/1000</f>
        <v>0</v>
      </c>
      <c r="M19" s="17">
        <v>0</v>
      </c>
      <c r="N19" s="27"/>
      <c r="O19" s="27">
        <f t="shared" ref="O19" si="1">+I19+J19+L19</f>
        <v>-958192.34636172024</v>
      </c>
      <c r="Q19" s="17">
        <f>'2023A Sch 1of3'!$R$37/1000</f>
        <v>-1520714.446</v>
      </c>
      <c r="R19" s="17">
        <v>0</v>
      </c>
      <c r="S19" s="27">
        <f>+O19+Q19+R19</f>
        <v>-2478906.7923617205</v>
      </c>
      <c r="T19" s="30"/>
      <c r="V19" s="95" t="s">
        <v>59</v>
      </c>
      <c r="W19" s="25">
        <f>+S25</f>
        <v>8681759.3016382791</v>
      </c>
      <c r="X19" s="31"/>
    </row>
    <row r="20" spans="1:24" ht="15" customHeight="1">
      <c r="A20" s="5">
        <f t="shared" si="0"/>
        <v>9</v>
      </c>
      <c r="B20" s="5"/>
      <c r="C20" s="5"/>
      <c r="D20" s="5"/>
      <c r="E20" s="5"/>
      <c r="F20" s="5"/>
      <c r="G20" s="5"/>
      <c r="H20" s="5"/>
      <c r="I20" s="5"/>
      <c r="J20" s="5"/>
      <c r="K20" s="5"/>
      <c r="L20" s="5"/>
      <c r="M20" s="5"/>
      <c r="N20" s="5"/>
      <c r="O20" s="5"/>
      <c r="P20" s="5"/>
      <c r="Q20" s="5"/>
      <c r="R20" s="5"/>
      <c r="S20" s="5"/>
      <c r="T20" s="5"/>
      <c r="V20" s="95" t="s">
        <v>60</v>
      </c>
      <c r="W20" s="353">
        <f>+W18-W19</f>
        <v>0</v>
      </c>
      <c r="X20" s="31"/>
    </row>
    <row r="21" spans="1:24" ht="15" customHeight="1">
      <c r="A21" s="5">
        <f t="shared" si="0"/>
        <v>10</v>
      </c>
      <c r="B21" s="13" t="s">
        <v>63</v>
      </c>
      <c r="C21" s="13"/>
      <c r="E21" s="32">
        <v>0</v>
      </c>
      <c r="F21" s="27"/>
      <c r="G21" s="32">
        <v>0</v>
      </c>
      <c r="H21" s="27"/>
      <c r="I21" s="32">
        <f>+E21-G21</f>
        <v>0</v>
      </c>
      <c r="J21" s="32">
        <v>0</v>
      </c>
      <c r="K21" s="27"/>
      <c r="L21" s="32">
        <v>0</v>
      </c>
      <c r="M21" s="32">
        <v>0</v>
      </c>
      <c r="N21" s="27"/>
      <c r="O21" s="32">
        <f>+I21+J21+L21+M21</f>
        <v>0</v>
      </c>
      <c r="P21" s="27"/>
      <c r="Q21" s="32">
        <v>0</v>
      </c>
      <c r="R21" s="32">
        <v>0</v>
      </c>
      <c r="S21" s="32">
        <f>+O21+Q21+R21</f>
        <v>0</v>
      </c>
      <c r="T21" s="27"/>
      <c r="V21" s="96"/>
      <c r="X21" s="31"/>
    </row>
    <row r="22" spans="1:24" ht="15" customHeight="1">
      <c r="A22" s="5">
        <f t="shared" si="0"/>
        <v>11</v>
      </c>
      <c r="B22" s="5"/>
      <c r="C22" s="5"/>
      <c r="D22" s="5"/>
      <c r="E22" s="5"/>
      <c r="F22" s="5"/>
      <c r="G22" s="5"/>
      <c r="H22" s="5"/>
      <c r="I22" s="5"/>
      <c r="J22" s="5"/>
      <c r="K22" s="5"/>
      <c r="L22" s="5"/>
      <c r="M22" s="5"/>
      <c r="N22" s="5"/>
      <c r="O22" s="5"/>
      <c r="P22" s="5"/>
      <c r="Q22" s="5"/>
      <c r="R22" s="5"/>
      <c r="S22" s="5"/>
      <c r="T22" s="5"/>
      <c r="V22" s="95" t="s">
        <v>64</v>
      </c>
      <c r="W22" s="20">
        <f>+'B-2'!R48</f>
        <v>-2478906.7933700406</v>
      </c>
      <c r="X22" s="31"/>
    </row>
    <row r="23" spans="1:24" ht="15" customHeight="1">
      <c r="A23" s="5">
        <f t="shared" si="0"/>
        <v>12</v>
      </c>
      <c r="B23" s="13" t="s">
        <v>65</v>
      </c>
      <c r="C23" s="13"/>
      <c r="E23" s="32">
        <f>+E19+E21</f>
        <v>-353828.91130191809</v>
      </c>
      <c r="F23" s="27"/>
      <c r="G23" s="32">
        <f>+G19+G21</f>
        <v>-106255.36094028986</v>
      </c>
      <c r="H23" s="27"/>
      <c r="I23" s="32">
        <f>+I19+I21</f>
        <v>-247573.55036162824</v>
      </c>
      <c r="J23" s="32">
        <f>+J19+J21</f>
        <v>-710618.79600009206</v>
      </c>
      <c r="K23" s="27"/>
      <c r="L23" s="32">
        <f>+L19+L21</f>
        <v>0</v>
      </c>
      <c r="M23" s="32">
        <f>+M19+M21</f>
        <v>0</v>
      </c>
      <c r="N23" s="27"/>
      <c r="O23" s="32">
        <f>+I23+J23+L23</f>
        <v>-958192.34636172024</v>
      </c>
      <c r="P23" s="27"/>
      <c r="Q23" s="32">
        <f>+Q19+Q21</f>
        <v>-1520714.446</v>
      </c>
      <c r="R23" s="32">
        <f>+R19+R21</f>
        <v>0</v>
      </c>
      <c r="S23" s="32">
        <f>+S19+S21</f>
        <v>-2478906.7923617205</v>
      </c>
      <c r="T23" s="27"/>
      <c r="V23" s="95" t="s">
        <v>59</v>
      </c>
      <c r="W23" s="25">
        <f>+S19</f>
        <v>-2478906.7923617205</v>
      </c>
      <c r="X23" s="31"/>
    </row>
    <row r="24" spans="1:24" ht="15" customHeight="1">
      <c r="A24" s="5">
        <f t="shared" si="0"/>
        <v>13</v>
      </c>
      <c r="B24" s="5"/>
      <c r="C24" s="5"/>
      <c r="D24" s="5"/>
      <c r="E24" s="5"/>
      <c r="F24" s="5"/>
      <c r="G24" s="5"/>
      <c r="H24" s="5"/>
      <c r="I24" s="5"/>
      <c r="J24" s="5"/>
      <c r="K24" s="5"/>
      <c r="L24" s="5"/>
      <c r="M24" s="5"/>
      <c r="N24" s="5"/>
      <c r="O24" s="5"/>
      <c r="P24" s="5"/>
      <c r="Q24" s="5"/>
      <c r="R24" s="5"/>
      <c r="S24" s="5"/>
      <c r="T24" s="5"/>
      <c r="V24" s="97" t="s">
        <v>60</v>
      </c>
      <c r="W24" s="459">
        <f>+W22-W23</f>
        <v>-1.0083201341331005E-3</v>
      </c>
      <c r="X24" s="36"/>
    </row>
    <row r="25" spans="1:24" ht="15" customHeight="1" thickBot="1">
      <c r="A25" s="5">
        <f t="shared" si="0"/>
        <v>14</v>
      </c>
      <c r="B25" s="13" t="s">
        <v>66</v>
      </c>
      <c r="C25" s="13"/>
      <c r="E25" s="33">
        <f>+E17+E23</f>
        <v>11452410.091698082</v>
      </c>
      <c r="F25" s="34"/>
      <c r="G25" s="33">
        <f>+G17+G23</f>
        <v>3449408.3590597105</v>
      </c>
      <c r="H25" s="34"/>
      <c r="I25" s="33">
        <f>+I17+I23</f>
        <v>8003001.7326383712</v>
      </c>
      <c r="J25" s="33">
        <f>+J17+J23</f>
        <v>378701.62099990784</v>
      </c>
      <c r="K25" s="34"/>
      <c r="L25" s="33">
        <f>+L17+L23</f>
        <v>54433.135999999999</v>
      </c>
      <c r="M25" s="33">
        <f>+M17+M23</f>
        <v>0</v>
      </c>
      <c r="N25" s="34"/>
      <c r="O25" s="33">
        <f>+O17+O23</f>
        <v>8436136.4896382783</v>
      </c>
      <c r="P25" s="34"/>
      <c r="Q25" s="33">
        <f>+Q17+Q23</f>
        <v>245622.81199999992</v>
      </c>
      <c r="R25" s="33">
        <f>+R17+R23</f>
        <v>0</v>
      </c>
      <c r="S25" s="122">
        <f>+S17+S23</f>
        <v>8681759.3016382791</v>
      </c>
      <c r="T25" s="14"/>
    </row>
    <row r="26" spans="1:24" ht="15" customHeight="1" thickTop="1">
      <c r="A26" s="5">
        <f t="shared" si="0"/>
        <v>15</v>
      </c>
      <c r="B26" s="35"/>
      <c r="C26" s="13"/>
      <c r="F26" s="27"/>
      <c r="G26" s="27"/>
      <c r="H26" s="27"/>
      <c r="I26" s="27"/>
      <c r="J26" s="27"/>
      <c r="K26" s="27"/>
      <c r="L26" s="27"/>
      <c r="M26" s="27"/>
      <c r="N26" s="27"/>
      <c r="O26" s="27"/>
      <c r="P26" s="27"/>
      <c r="Q26" s="27"/>
      <c r="R26" s="27"/>
      <c r="S26" s="27"/>
      <c r="T26" s="27"/>
    </row>
    <row r="27" spans="1:24" ht="15" customHeight="1">
      <c r="A27" s="5">
        <f t="shared" si="0"/>
        <v>16</v>
      </c>
      <c r="B27" s="5"/>
      <c r="C27" s="5"/>
      <c r="D27" s="5"/>
      <c r="E27" s="19"/>
      <c r="F27" s="19"/>
      <c r="G27" s="19"/>
      <c r="H27" s="19"/>
      <c r="I27" s="19"/>
      <c r="J27" s="19"/>
      <c r="K27" s="19"/>
      <c r="L27" s="19"/>
      <c r="M27" s="19"/>
      <c r="N27" s="19"/>
      <c r="O27" s="19"/>
      <c r="P27" s="19"/>
      <c r="Q27" s="19"/>
      <c r="R27" s="19"/>
      <c r="S27" s="19"/>
      <c r="T27" s="19"/>
      <c r="W27" s="37"/>
    </row>
    <row r="28" spans="1:24" ht="15" customHeight="1">
      <c r="A28" s="5">
        <f t="shared" si="0"/>
        <v>17</v>
      </c>
      <c r="B28" s="5"/>
      <c r="C28" s="5"/>
      <c r="D28" s="5"/>
      <c r="E28" s="5"/>
      <c r="F28" s="5"/>
      <c r="G28" s="5"/>
      <c r="H28" s="5"/>
      <c r="I28" s="19"/>
      <c r="J28" s="5"/>
      <c r="K28" s="5"/>
      <c r="L28" s="5"/>
      <c r="M28" s="5"/>
      <c r="N28" s="5"/>
      <c r="O28" s="38"/>
      <c r="P28" s="5"/>
      <c r="Q28" s="39"/>
      <c r="R28" s="5"/>
      <c r="S28" s="38"/>
      <c r="T28" s="38"/>
    </row>
    <row r="29" spans="1:24" ht="15" customHeight="1">
      <c r="A29" s="5">
        <f t="shared" si="0"/>
        <v>18</v>
      </c>
      <c r="B29" s="40"/>
      <c r="C29" s="5"/>
      <c r="D29" s="5"/>
      <c r="E29" s="41"/>
      <c r="F29" s="41"/>
      <c r="G29" s="41"/>
      <c r="H29" s="41"/>
      <c r="I29" s="41"/>
      <c r="J29" s="41"/>
      <c r="K29" s="41"/>
      <c r="L29" s="41"/>
      <c r="M29" s="41"/>
      <c r="N29" s="41"/>
      <c r="O29" s="41"/>
      <c r="P29" s="41"/>
      <c r="Q29" s="42"/>
      <c r="R29" s="41"/>
      <c r="S29" s="43"/>
      <c r="T29" s="44"/>
    </row>
    <row r="30" spans="1:24" ht="15" customHeight="1">
      <c r="A30" s="5">
        <f t="shared" si="0"/>
        <v>19</v>
      </c>
      <c r="B30" s="5"/>
      <c r="C30" s="45"/>
      <c r="D30" s="5"/>
      <c r="E30" s="46"/>
      <c r="F30" s="46"/>
      <c r="G30" s="46"/>
      <c r="H30" s="46"/>
      <c r="I30" s="46"/>
      <c r="J30" s="46"/>
      <c r="K30" s="46"/>
      <c r="L30" s="46"/>
      <c r="M30" s="46"/>
      <c r="N30" s="46"/>
      <c r="O30" s="46"/>
      <c r="P30" s="46"/>
      <c r="Q30" s="46"/>
      <c r="R30" s="46"/>
      <c r="S30" s="46"/>
      <c r="T30" s="46"/>
    </row>
    <row r="31" spans="1:24" ht="15" customHeight="1">
      <c r="A31" s="5">
        <f t="shared" si="0"/>
        <v>20</v>
      </c>
      <c r="B31" s="35"/>
      <c r="C31" s="14"/>
      <c r="E31" s="8"/>
      <c r="F31" s="27"/>
      <c r="G31" s="27"/>
      <c r="H31" s="27"/>
      <c r="I31" s="27"/>
      <c r="J31" s="27"/>
      <c r="K31" s="27"/>
      <c r="L31" s="27"/>
      <c r="M31" s="27"/>
      <c r="N31" s="27"/>
      <c r="O31" s="27"/>
      <c r="P31" s="27"/>
      <c r="Q31" s="27"/>
      <c r="R31" s="27"/>
      <c r="S31" s="27"/>
      <c r="T31" s="27"/>
      <c r="W31" s="47"/>
    </row>
    <row r="32" spans="1:24" ht="15" customHeight="1">
      <c r="A32" s="5">
        <f t="shared" si="0"/>
        <v>21</v>
      </c>
      <c r="B32" s="35"/>
      <c r="C32" s="14"/>
      <c r="F32" s="27"/>
      <c r="G32" s="27"/>
      <c r="H32" s="27"/>
      <c r="I32" s="27"/>
      <c r="J32" s="27"/>
      <c r="K32" s="27"/>
      <c r="L32" s="27"/>
      <c r="M32" s="27"/>
      <c r="N32" s="27"/>
      <c r="O32" s="27"/>
      <c r="P32" s="27"/>
      <c r="Q32" s="27"/>
      <c r="R32" s="27"/>
      <c r="S32" s="27"/>
      <c r="T32" s="27"/>
      <c r="W32" s="47"/>
    </row>
    <row r="33" spans="1:24" ht="15" customHeight="1">
      <c r="A33" s="5">
        <f t="shared" si="0"/>
        <v>22</v>
      </c>
      <c r="B33" s="48"/>
      <c r="D33" s="5"/>
      <c r="E33" s="18"/>
      <c r="F33" s="5"/>
      <c r="G33" s="18"/>
      <c r="H33" s="18"/>
      <c r="I33" s="18"/>
      <c r="J33" s="18"/>
      <c r="K33" s="18"/>
      <c r="L33" s="18"/>
      <c r="M33" s="18"/>
      <c r="N33" s="18"/>
      <c r="O33" s="18"/>
      <c r="P33" s="18"/>
      <c r="Q33" s="49"/>
      <c r="R33" s="5"/>
      <c r="S33" s="38"/>
      <c r="T33" s="27"/>
      <c r="U33" s="8"/>
      <c r="W33" s="37"/>
    </row>
    <row r="34" spans="1:24" ht="15" customHeight="1">
      <c r="A34" s="4">
        <v>23</v>
      </c>
      <c r="B34" s="50"/>
      <c r="C34" s="5"/>
      <c r="D34" s="5"/>
      <c r="E34" s="51"/>
      <c r="F34" s="52"/>
      <c r="G34" s="51"/>
      <c r="H34" s="52"/>
      <c r="I34" s="52"/>
      <c r="J34" s="51"/>
      <c r="K34" s="51"/>
      <c r="L34" s="51"/>
      <c r="M34" s="51"/>
      <c r="N34" s="51"/>
      <c r="O34" s="51"/>
      <c r="P34" s="51"/>
      <c r="Q34" s="51"/>
      <c r="R34" s="53"/>
      <c r="S34" s="53"/>
      <c r="V34" s="9"/>
    </row>
    <row r="35" spans="1:24" ht="15" customHeight="1">
      <c r="A35" s="4">
        <v>24</v>
      </c>
      <c r="B35" s="35"/>
      <c r="C35" s="5"/>
      <c r="D35" s="5"/>
      <c r="E35" s="54"/>
      <c r="F35" s="53"/>
      <c r="G35" s="54"/>
      <c r="H35" s="53"/>
      <c r="I35" s="53"/>
      <c r="J35" s="54"/>
      <c r="K35" s="53"/>
      <c r="L35" s="54"/>
      <c r="M35" s="53"/>
      <c r="N35" s="53"/>
      <c r="O35" s="53"/>
      <c r="P35" s="53"/>
      <c r="Q35" s="54"/>
      <c r="R35" s="53"/>
      <c r="S35" s="55"/>
      <c r="U35" s="50"/>
      <c r="W35" s="47"/>
    </row>
    <row r="36" spans="1:24" ht="15" customHeight="1">
      <c r="A36" s="4">
        <v>25</v>
      </c>
      <c r="B36" s="35"/>
      <c r="C36" s="14"/>
      <c r="F36" s="27"/>
      <c r="G36" s="27"/>
      <c r="H36" s="27"/>
      <c r="I36" s="27"/>
      <c r="J36" s="27"/>
      <c r="K36" s="27"/>
      <c r="L36" s="27"/>
      <c r="M36" s="27"/>
      <c r="N36" s="27"/>
      <c r="W36" s="47"/>
    </row>
    <row r="37" spans="1:24" ht="15" customHeight="1">
      <c r="A37" s="4">
        <v>26</v>
      </c>
      <c r="B37" s="35"/>
      <c r="C37" s="14"/>
      <c r="F37" s="27"/>
      <c r="G37" s="27"/>
      <c r="H37" s="27"/>
      <c r="I37" s="27"/>
      <c r="J37" s="27"/>
      <c r="K37" s="27"/>
      <c r="L37" s="27"/>
      <c r="M37" s="27"/>
      <c r="N37" s="27"/>
      <c r="W37" s="47"/>
    </row>
    <row r="38" spans="1:24" ht="15" customHeight="1">
      <c r="A38" s="4">
        <v>27</v>
      </c>
      <c r="B38" s="35"/>
      <c r="C38" s="14"/>
      <c r="F38" s="27"/>
      <c r="G38" s="27"/>
      <c r="H38" s="27"/>
      <c r="I38" s="27"/>
      <c r="J38" s="27"/>
      <c r="K38" s="27"/>
      <c r="L38" s="27"/>
      <c r="M38" s="27"/>
      <c r="N38" s="27"/>
      <c r="O38" s="27"/>
      <c r="P38" s="27"/>
      <c r="Q38" s="27"/>
      <c r="W38" s="47"/>
    </row>
    <row r="39" spans="1:24" ht="15" customHeight="1">
      <c r="A39" s="4">
        <v>28</v>
      </c>
      <c r="B39" s="35"/>
      <c r="C39" s="14"/>
      <c r="W39" s="47"/>
      <c r="X39" s="47"/>
    </row>
    <row r="40" spans="1:24" ht="15" customHeight="1">
      <c r="A40" s="4">
        <v>29</v>
      </c>
      <c r="B40" s="35"/>
      <c r="C40" s="14"/>
      <c r="F40" s="27"/>
      <c r="G40" s="27"/>
      <c r="H40" s="27"/>
      <c r="I40" s="27"/>
      <c r="J40" s="27"/>
      <c r="K40" s="27"/>
      <c r="L40" s="27"/>
      <c r="M40" s="27"/>
      <c r="N40" s="27"/>
      <c r="O40" s="27"/>
      <c r="P40" s="27"/>
      <c r="Q40" s="27"/>
      <c r="W40" s="47"/>
      <c r="X40" s="47"/>
    </row>
    <row r="41" spans="1:24" ht="15" customHeight="1">
      <c r="A41" s="4">
        <v>30</v>
      </c>
      <c r="B41" s="35"/>
      <c r="C41" s="14"/>
      <c r="F41" s="27"/>
      <c r="G41" s="27"/>
      <c r="H41" s="27"/>
      <c r="I41" s="27"/>
      <c r="J41" s="27"/>
      <c r="K41" s="27"/>
      <c r="L41" s="27"/>
      <c r="M41" s="27"/>
      <c r="N41" s="27"/>
      <c r="O41" s="27"/>
      <c r="P41" s="27"/>
      <c r="Q41" s="27"/>
      <c r="W41" s="47"/>
      <c r="X41" s="37"/>
    </row>
    <row r="42" spans="1:24" ht="15" customHeight="1">
      <c r="A42" s="4">
        <v>31</v>
      </c>
      <c r="B42" s="35"/>
      <c r="C42" s="14"/>
      <c r="F42" s="27"/>
      <c r="G42" s="27"/>
      <c r="H42" s="27"/>
      <c r="I42" s="27"/>
      <c r="J42" s="27"/>
      <c r="K42" s="27"/>
      <c r="L42" s="27"/>
      <c r="M42" s="27"/>
      <c r="N42" s="27"/>
      <c r="O42" s="27"/>
      <c r="P42" s="27"/>
      <c r="Q42" s="27"/>
    </row>
    <row r="43" spans="1:24" ht="15" customHeight="1">
      <c r="A43" s="4">
        <v>32</v>
      </c>
      <c r="B43" s="35"/>
      <c r="C43" s="14"/>
      <c r="F43" s="27"/>
      <c r="G43" s="27"/>
      <c r="H43" s="27"/>
      <c r="I43" s="27"/>
      <c r="J43" s="27"/>
      <c r="K43" s="27"/>
      <c r="L43" s="27"/>
      <c r="M43" s="27"/>
      <c r="N43" s="27"/>
      <c r="O43" s="27"/>
      <c r="P43" s="27"/>
      <c r="Q43" s="27"/>
      <c r="X43" s="47"/>
    </row>
    <row r="44" spans="1:24" ht="15" customHeight="1">
      <c r="A44" s="4">
        <v>33</v>
      </c>
      <c r="F44" s="37"/>
      <c r="G44" s="37"/>
      <c r="H44" s="37"/>
      <c r="I44" s="37"/>
      <c r="J44" s="37"/>
      <c r="K44" s="37"/>
      <c r="L44" s="37"/>
      <c r="M44" s="37"/>
      <c r="N44" s="37"/>
      <c r="O44" s="37"/>
      <c r="P44" s="37"/>
      <c r="Q44" s="37"/>
      <c r="X44" s="56"/>
    </row>
    <row r="45" spans="1:24" ht="15" customHeight="1">
      <c r="A45" s="4">
        <v>34</v>
      </c>
      <c r="F45" s="37"/>
      <c r="G45" s="37"/>
      <c r="H45" s="37"/>
      <c r="I45" s="37"/>
      <c r="J45" s="37"/>
      <c r="K45" s="37"/>
      <c r="L45" s="37"/>
      <c r="M45" s="37"/>
      <c r="N45" s="37"/>
      <c r="O45" s="37"/>
      <c r="P45" s="37"/>
      <c r="Q45" s="37"/>
      <c r="X45" s="47"/>
    </row>
    <row r="46" spans="1:24" ht="15" customHeight="1">
      <c r="A46" s="4">
        <v>35</v>
      </c>
      <c r="F46" s="37"/>
      <c r="G46" s="37"/>
      <c r="H46" s="37"/>
      <c r="I46" s="37"/>
      <c r="J46" s="37"/>
      <c r="K46" s="37"/>
      <c r="L46" s="37"/>
      <c r="M46" s="37"/>
      <c r="N46" s="37"/>
      <c r="O46" s="37"/>
      <c r="P46" s="37"/>
      <c r="Q46" s="37"/>
      <c r="X46" s="47"/>
    </row>
    <row r="47" spans="1:24" ht="15" customHeight="1">
      <c r="A47" s="4">
        <v>36</v>
      </c>
      <c r="F47" s="37"/>
      <c r="G47" s="37"/>
      <c r="H47" s="37"/>
      <c r="I47" s="37"/>
      <c r="J47" s="37"/>
      <c r="K47" s="37"/>
      <c r="L47" s="37"/>
      <c r="M47" s="37"/>
      <c r="N47" s="37"/>
      <c r="O47" s="37"/>
      <c r="P47" s="37"/>
      <c r="Q47" s="37"/>
    </row>
    <row r="48" spans="1:24" ht="15" customHeight="1">
      <c r="A48" s="4">
        <v>37</v>
      </c>
      <c r="F48" s="37"/>
      <c r="G48" s="37"/>
      <c r="H48" s="37"/>
      <c r="I48" s="37"/>
      <c r="J48" s="37"/>
      <c r="K48" s="37"/>
      <c r="L48" s="37"/>
      <c r="M48" s="37"/>
      <c r="N48" s="37"/>
      <c r="O48" s="37"/>
      <c r="P48" s="37"/>
      <c r="Q48" s="37"/>
    </row>
    <row r="49" spans="1:22" ht="15" customHeight="1">
      <c r="A49" s="4">
        <v>38</v>
      </c>
      <c r="F49" s="37"/>
      <c r="G49" s="37"/>
      <c r="H49" s="37"/>
      <c r="I49" s="37"/>
      <c r="J49" s="37"/>
      <c r="K49" s="37"/>
      <c r="L49" s="37"/>
      <c r="M49" s="37"/>
      <c r="N49" s="37"/>
      <c r="O49" s="37"/>
      <c r="P49" s="37"/>
      <c r="Q49" s="37"/>
    </row>
    <row r="50" spans="1:22" ht="15" customHeight="1" thickBot="1">
      <c r="A50" s="1">
        <v>39</v>
      </c>
      <c r="B50" s="57" t="s">
        <v>67</v>
      </c>
      <c r="C50" s="1"/>
      <c r="D50" s="1"/>
      <c r="E50" s="1"/>
      <c r="F50" s="1"/>
      <c r="G50" s="1"/>
      <c r="H50" s="1"/>
      <c r="I50" s="1"/>
      <c r="J50" s="1"/>
      <c r="K50" s="1"/>
      <c r="L50" s="1"/>
      <c r="M50" s="1"/>
      <c r="N50" s="1"/>
      <c r="O50" s="1"/>
      <c r="P50" s="1"/>
      <c r="Q50" s="1"/>
      <c r="R50" s="1"/>
      <c r="S50" s="1"/>
    </row>
    <row r="51" spans="1:22" ht="10.199999999999999">
      <c r="A51" s="4" t="s">
        <v>68</v>
      </c>
      <c r="B51" s="5"/>
      <c r="C51" s="5"/>
      <c r="D51" s="5"/>
      <c r="E51" s="5"/>
      <c r="F51" s="5"/>
      <c r="G51" s="5"/>
      <c r="H51" s="5"/>
      <c r="I51" s="5"/>
      <c r="J51" s="5"/>
      <c r="K51" s="5"/>
      <c r="L51" s="5"/>
      <c r="M51" s="5"/>
      <c r="N51" s="5"/>
      <c r="O51" s="5"/>
      <c r="P51" s="5"/>
      <c r="Q51" s="5" t="s">
        <v>69</v>
      </c>
    </row>
    <row r="52" spans="1:22" s="247" customFormat="1" ht="15" customHeight="1">
      <c r="A52" s="246"/>
      <c r="B52" s="246"/>
      <c r="C52" s="246"/>
      <c r="D52" s="246"/>
      <c r="E52" s="246"/>
      <c r="F52" s="246"/>
      <c r="G52" s="246"/>
      <c r="H52" s="246"/>
      <c r="I52" s="246"/>
      <c r="J52" s="246"/>
      <c r="K52" s="246"/>
      <c r="L52" s="246"/>
      <c r="M52" s="246"/>
      <c r="N52" s="246"/>
      <c r="O52" s="246"/>
      <c r="P52" s="246"/>
      <c r="Q52" s="246"/>
    </row>
    <row r="53" spans="1:22" ht="15" customHeight="1" thickBot="1">
      <c r="A53" s="1" t="s">
        <v>0</v>
      </c>
      <c r="B53" s="1"/>
      <c r="C53" s="1"/>
      <c r="D53" s="1"/>
      <c r="E53" s="1"/>
      <c r="F53" s="1"/>
      <c r="G53" s="1"/>
      <c r="H53" s="1"/>
      <c r="I53" s="2" t="s">
        <v>1</v>
      </c>
      <c r="J53" s="1"/>
      <c r="K53" s="1"/>
      <c r="L53" s="1"/>
      <c r="M53" s="1"/>
      <c r="N53" s="1"/>
      <c r="O53" s="1"/>
      <c r="P53" s="1"/>
      <c r="Q53" s="1"/>
      <c r="R53" s="1"/>
      <c r="S53" s="3" t="s">
        <v>70</v>
      </c>
      <c r="T53" s="82" t="s">
        <v>71</v>
      </c>
    </row>
    <row r="54" spans="1:22" ht="15" customHeight="1">
      <c r="A54" s="4" t="s">
        <v>4</v>
      </c>
      <c r="E54" s="4" t="s">
        <v>5</v>
      </c>
      <c r="G54" s="5" t="s">
        <v>6</v>
      </c>
      <c r="H54" s="5"/>
      <c r="I54" s="5"/>
      <c r="J54" s="6"/>
      <c r="K54" s="6"/>
      <c r="M54" s="6"/>
      <c r="N54" s="6"/>
      <c r="O54" s="6"/>
      <c r="P54" s="6" t="s">
        <v>7</v>
      </c>
      <c r="S54" s="7"/>
      <c r="T54" s="7"/>
      <c r="V54" s="8"/>
    </row>
    <row r="55" spans="1:22" ht="15" customHeight="1">
      <c r="G55" s="5" t="s">
        <v>8</v>
      </c>
      <c r="H55" s="5"/>
      <c r="I55" s="5"/>
      <c r="J55" s="9"/>
      <c r="K55" s="7"/>
      <c r="O55" s="9"/>
      <c r="P55" s="9"/>
      <c r="Q55" s="7" t="str">
        <f>Q3</f>
        <v>Projected Test Year Ended 12/31/2025</v>
      </c>
      <c r="S55" s="9"/>
      <c r="T55" s="9"/>
    </row>
    <row r="56" spans="1:22" ht="15" customHeight="1">
      <c r="A56" s="4" t="s">
        <v>10</v>
      </c>
      <c r="J56" s="9"/>
      <c r="K56" s="7"/>
      <c r="L56" s="9"/>
      <c r="P56" s="9" t="s">
        <v>12</v>
      </c>
      <c r="Q56" s="7" t="str">
        <f t="shared" ref="Q56:Q58" si="2">Q4</f>
        <v>Projected Prior Year Ended 12/31/2024</v>
      </c>
      <c r="S56" s="9"/>
      <c r="T56" s="9"/>
    </row>
    <row r="57" spans="1:22" ht="15" customHeight="1">
      <c r="J57" s="9"/>
      <c r="K57" s="7"/>
      <c r="L57" s="9"/>
      <c r="Q57" s="7" t="str">
        <f t="shared" si="2"/>
        <v>Historical Prior Year Ended 12/31/2023</v>
      </c>
      <c r="S57" s="9"/>
      <c r="T57" s="9"/>
    </row>
    <row r="58" spans="1:22" ht="15" customHeight="1" thickBot="1">
      <c r="A58" s="2" t="s">
        <v>14</v>
      </c>
      <c r="B58" s="2"/>
      <c r="C58" s="1"/>
      <c r="D58" s="1"/>
      <c r="E58" s="1"/>
      <c r="F58" s="1"/>
      <c r="G58" s="1"/>
      <c r="H58" s="1"/>
      <c r="I58" s="2" t="s">
        <v>15</v>
      </c>
      <c r="J58" s="10"/>
      <c r="K58" s="1"/>
      <c r="L58" s="1"/>
      <c r="M58" s="1"/>
      <c r="N58" s="1"/>
      <c r="O58" s="1"/>
      <c r="P58" s="1"/>
      <c r="Q58" s="1" t="str">
        <f t="shared" si="2"/>
        <v>Witness:</v>
      </c>
      <c r="R58" s="1"/>
      <c r="S58" s="1"/>
    </row>
    <row r="59" spans="1:22" ht="15" customHeight="1">
      <c r="A59" s="5"/>
      <c r="B59" s="5"/>
      <c r="C59" s="11"/>
      <c r="D59" s="11"/>
      <c r="E59" s="11" t="s">
        <v>17</v>
      </c>
      <c r="F59" s="11"/>
      <c r="G59" s="116" t="s">
        <v>18</v>
      </c>
      <c r="H59" s="11"/>
      <c r="I59" s="116" t="s">
        <v>19</v>
      </c>
      <c r="J59" s="11" t="s">
        <v>20</v>
      </c>
      <c r="K59" s="11"/>
      <c r="L59" s="11" t="s">
        <v>21</v>
      </c>
      <c r="M59" s="11" t="s">
        <v>22</v>
      </c>
      <c r="N59" s="11"/>
      <c r="O59" s="11" t="s">
        <v>23</v>
      </c>
      <c r="P59" s="11"/>
      <c r="Q59" s="11" t="s">
        <v>24</v>
      </c>
      <c r="R59" s="11" t="s">
        <v>25</v>
      </c>
      <c r="S59" s="11" t="s">
        <v>26</v>
      </c>
      <c r="T59" s="11"/>
    </row>
    <row r="60" spans="1:22" ht="15" customHeight="1">
      <c r="A60" s="5"/>
      <c r="B60" s="5"/>
      <c r="C60" s="11"/>
      <c r="D60" s="11"/>
      <c r="E60" s="11"/>
      <c r="F60" s="11"/>
      <c r="G60" s="11" t="s">
        <v>27</v>
      </c>
      <c r="H60" s="11"/>
      <c r="I60" s="11"/>
      <c r="J60" s="11"/>
      <c r="K60" s="11"/>
      <c r="L60" s="11"/>
      <c r="M60" s="11"/>
      <c r="N60" s="12"/>
      <c r="O60" s="12"/>
      <c r="P60" s="11"/>
      <c r="Q60" s="11"/>
      <c r="R60" s="11"/>
      <c r="S60" s="11"/>
      <c r="T60" s="11"/>
    </row>
    <row r="61" spans="1:22" ht="15" customHeight="1">
      <c r="A61" s="5"/>
      <c r="B61" s="5"/>
      <c r="C61" s="12"/>
      <c r="D61" s="12"/>
      <c r="E61" s="12"/>
      <c r="F61" s="12"/>
      <c r="G61" s="12" t="s">
        <v>28</v>
      </c>
      <c r="H61" s="12"/>
      <c r="I61" s="12" t="s">
        <v>29</v>
      </c>
      <c r="J61" s="11"/>
      <c r="K61" s="12"/>
      <c r="L61" s="11" t="s">
        <v>30</v>
      </c>
      <c r="M61" s="12" t="s">
        <v>31</v>
      </c>
      <c r="N61" s="11"/>
      <c r="O61" s="12" t="s">
        <v>32</v>
      </c>
      <c r="P61" s="12"/>
      <c r="Q61" s="12" t="s">
        <v>33</v>
      </c>
      <c r="R61" s="12" t="s">
        <v>34</v>
      </c>
      <c r="S61" s="12"/>
      <c r="T61" s="12"/>
    </row>
    <row r="62" spans="1:22" ht="15" customHeight="1">
      <c r="A62" s="12" t="s">
        <v>35</v>
      </c>
      <c r="B62" s="12"/>
      <c r="C62" s="12"/>
      <c r="D62" s="12"/>
      <c r="E62" s="12" t="s">
        <v>36</v>
      </c>
      <c r="F62" s="12"/>
      <c r="G62" s="12" t="s">
        <v>37</v>
      </c>
      <c r="H62" s="11"/>
      <c r="I62" s="11" t="s">
        <v>38</v>
      </c>
      <c r="J62" s="12" t="s">
        <v>39</v>
      </c>
      <c r="K62" s="12"/>
      <c r="L62" s="12" t="s">
        <v>40</v>
      </c>
      <c r="M62" s="12" t="s">
        <v>41</v>
      </c>
      <c r="N62" s="12"/>
      <c r="O62" s="11" t="s">
        <v>42</v>
      </c>
      <c r="P62" s="12"/>
      <c r="Q62" s="12" t="s">
        <v>43</v>
      </c>
      <c r="R62" s="12" t="s">
        <v>44</v>
      </c>
      <c r="S62" s="11" t="s">
        <v>45</v>
      </c>
      <c r="T62" s="11"/>
    </row>
    <row r="63" spans="1:22" ht="15" customHeight="1" thickBot="1">
      <c r="A63" s="117" t="s">
        <v>46</v>
      </c>
      <c r="B63" s="117"/>
      <c r="C63" s="117"/>
      <c r="D63" s="117"/>
      <c r="E63" s="117" t="s">
        <v>47</v>
      </c>
      <c r="F63" s="118"/>
      <c r="G63" s="117" t="s">
        <v>48</v>
      </c>
      <c r="H63" s="118"/>
      <c r="I63" s="117" t="s">
        <v>49</v>
      </c>
      <c r="J63" s="118"/>
      <c r="K63" s="118"/>
      <c r="L63" s="118" t="s">
        <v>50</v>
      </c>
      <c r="M63" s="119" t="s">
        <v>51</v>
      </c>
      <c r="N63" s="118"/>
      <c r="O63" s="119" t="s">
        <v>30</v>
      </c>
      <c r="P63" s="119"/>
      <c r="Q63" s="120" t="s">
        <v>52</v>
      </c>
      <c r="R63" s="120" t="s">
        <v>53</v>
      </c>
      <c r="S63" s="120" t="s">
        <v>44</v>
      </c>
      <c r="T63" s="11"/>
    </row>
    <row r="64" spans="1:22" ht="15" customHeight="1">
      <c r="A64" s="5">
        <v>1</v>
      </c>
      <c r="B64" s="121"/>
      <c r="C64" s="13"/>
      <c r="D64" s="13"/>
      <c r="E64" s="13"/>
      <c r="F64" s="14"/>
      <c r="G64" s="14"/>
      <c r="H64" s="14"/>
      <c r="I64" s="14"/>
      <c r="J64" s="13"/>
      <c r="K64" s="13"/>
      <c r="L64" s="13"/>
      <c r="M64" s="13"/>
      <c r="N64" s="13"/>
      <c r="O64" s="13"/>
      <c r="P64" s="13"/>
      <c r="Q64" s="13"/>
      <c r="R64" s="13"/>
      <c r="S64" s="13"/>
      <c r="T64" s="13"/>
    </row>
    <row r="65" spans="1:24" ht="15" customHeight="1">
      <c r="A65" s="5">
        <v>2</v>
      </c>
      <c r="B65" s="13" t="s">
        <v>54</v>
      </c>
      <c r="C65" s="13"/>
      <c r="E65" s="13">
        <f>'2024B Sch 1of3'!$D$13/1000</f>
        <v>13096767.064999999</v>
      </c>
      <c r="F65" s="14"/>
      <c r="G65" s="13">
        <f>-'2024B Sch 1of3'!$F$13/1000</f>
        <v>3807023.2439999999</v>
      </c>
      <c r="H65" s="14"/>
      <c r="I65" s="14">
        <f>+E65-G65</f>
        <v>9289743.8209999986</v>
      </c>
      <c r="J65" s="13">
        <f>'2024B Sch 1of3'!$L$13/1000</f>
        <v>1066830.8799999999</v>
      </c>
      <c r="K65" s="14"/>
      <c r="L65" s="13">
        <f>'2024B Sch 1of3'!$J$13/1000</f>
        <v>63405.877</v>
      </c>
      <c r="M65" s="14">
        <v>0</v>
      </c>
      <c r="N65" s="14"/>
      <c r="O65" s="13">
        <f>+I65+J65+L65</f>
        <v>10419980.577999998</v>
      </c>
      <c r="P65" s="5"/>
      <c r="Q65" s="14">
        <f>ROUND(('2024B Sch 1of3'!$R$13)/1000,3)</f>
        <v>667959.88600000006</v>
      </c>
      <c r="R65" s="14">
        <v>0</v>
      </c>
      <c r="S65" s="14">
        <f>+O65+Q65</f>
        <v>11087940.463999998</v>
      </c>
      <c r="T65" s="14"/>
      <c r="U65" s="7" t="s">
        <v>55</v>
      </c>
      <c r="V65" s="15"/>
      <c r="W65" s="389" t="s">
        <v>56</v>
      </c>
      <c r="X65" s="16"/>
    </row>
    <row r="66" spans="1:24" ht="15" customHeight="1">
      <c r="A66" s="5">
        <v>3</v>
      </c>
      <c r="B66" s="5"/>
      <c r="C66" s="5"/>
      <c r="D66" s="5"/>
      <c r="E66" s="17"/>
      <c r="F66" s="18"/>
      <c r="G66" s="5"/>
      <c r="H66" s="5"/>
      <c r="I66" s="5"/>
      <c r="J66" s="5"/>
      <c r="K66" s="5"/>
      <c r="L66" s="5"/>
      <c r="M66" s="5"/>
      <c r="N66" s="5"/>
      <c r="O66" s="19"/>
      <c r="P66" s="5"/>
      <c r="Q66" s="5"/>
      <c r="R66" s="5"/>
      <c r="S66" s="5"/>
      <c r="T66" s="5"/>
      <c r="U66" s="7"/>
      <c r="V66" s="95" t="s">
        <v>57</v>
      </c>
      <c r="W66" s="20">
        <f>'2024B Sch 1of3'!T13/1000</f>
        <v>11087940.464471396</v>
      </c>
      <c r="X66" s="21"/>
    </row>
    <row r="67" spans="1:24" ht="15" customHeight="1">
      <c r="A67" s="5">
        <v>4</v>
      </c>
      <c r="B67" s="13" t="s">
        <v>58</v>
      </c>
      <c r="C67" s="13"/>
      <c r="E67" s="22">
        <f>+E69/E65</f>
        <v>0.99375659576182584</v>
      </c>
      <c r="F67" s="23"/>
      <c r="G67" s="22">
        <f>+G69/G65</f>
        <v>0.99474957264011921</v>
      </c>
      <c r="H67" s="23"/>
      <c r="I67" s="22">
        <f>+I69/I65</f>
        <v>0.99334966462042329</v>
      </c>
      <c r="J67" s="22">
        <f>+J69/J65</f>
        <v>0.99133010754244399</v>
      </c>
      <c r="K67" s="23"/>
      <c r="L67" s="22">
        <f>+L69/L65</f>
        <v>0.97308399346010144</v>
      </c>
      <c r="M67" s="22">
        <v>0</v>
      </c>
      <c r="N67" s="23"/>
      <c r="O67" s="22">
        <f>+O69/O65</f>
        <v>0.99301957873572555</v>
      </c>
      <c r="P67" s="23"/>
      <c r="Q67" s="22">
        <f>+Q69/Q65</f>
        <v>0.99452051376630113</v>
      </c>
      <c r="R67" s="22">
        <v>0</v>
      </c>
      <c r="S67" s="22">
        <f>+S69/S65</f>
        <v>0.99310999808773881</v>
      </c>
      <c r="T67" s="24"/>
      <c r="U67" s="7"/>
      <c r="V67" s="95" t="s">
        <v>59</v>
      </c>
      <c r="W67" s="25">
        <f>+S65</f>
        <v>11087940.463999998</v>
      </c>
      <c r="X67" s="21"/>
    </row>
    <row r="68" spans="1:24" ht="15" customHeight="1">
      <c r="A68" s="5">
        <f>+A67+1</f>
        <v>5</v>
      </c>
      <c r="B68" s="5"/>
      <c r="C68" s="5"/>
      <c r="D68" s="5"/>
      <c r="E68" s="5"/>
      <c r="F68" s="5"/>
      <c r="G68" s="5"/>
      <c r="H68" s="5"/>
      <c r="I68" s="5"/>
      <c r="J68" s="5"/>
      <c r="K68" s="5"/>
      <c r="L68" s="5"/>
      <c r="M68" s="5"/>
      <c r="N68" s="5"/>
      <c r="O68" s="5"/>
      <c r="P68" s="5"/>
      <c r="Q68" s="5"/>
      <c r="R68" s="5"/>
      <c r="S68" s="5"/>
      <c r="T68" s="5"/>
      <c r="U68" s="7"/>
      <c r="V68" s="95" t="s">
        <v>60</v>
      </c>
      <c r="W68" s="353">
        <f>+W66-W67</f>
        <v>4.7139823436737061E-4</v>
      </c>
      <c r="X68" s="21"/>
    </row>
    <row r="69" spans="1:24" ht="15" customHeight="1">
      <c r="A69" s="5">
        <f t="shared" ref="A69:A85" si="3">+A68+1</f>
        <v>6</v>
      </c>
      <c r="B69" s="13" t="s">
        <v>61</v>
      </c>
      <c r="C69" s="13"/>
      <c r="E69" s="13">
        <f>'2024B Sch 1of3'!$D$16/1000</f>
        <v>13014998.653999999</v>
      </c>
      <c r="F69" s="5"/>
      <c r="G69" s="13">
        <f>-'2024B Sch 1of3'!$F$16/1000</f>
        <v>3787034.7450000001</v>
      </c>
      <c r="H69" s="5"/>
      <c r="I69" s="14">
        <f>+E69-G69</f>
        <v>9227963.9089999981</v>
      </c>
      <c r="J69" s="13">
        <f>'2024B Sch 1of3'!$L$16/1000</f>
        <v>1057581.571</v>
      </c>
      <c r="K69" s="5"/>
      <c r="L69" s="13">
        <f>'2024B Sch 1of3'!$J$16/1000</f>
        <v>61699.243999999999</v>
      </c>
      <c r="M69" s="14">
        <v>0</v>
      </c>
      <c r="N69" s="5"/>
      <c r="O69" s="14">
        <f>+I69+J69+L69</f>
        <v>10347244.723999999</v>
      </c>
      <c r="P69" s="5"/>
      <c r="Q69" s="14">
        <f>ROUND('2024B Sch 1of3'!$R$16/1000,3)</f>
        <v>664299.80900000001</v>
      </c>
      <c r="R69" s="27">
        <v>0</v>
      </c>
      <c r="S69" s="14">
        <f>+O69+Q69+R69</f>
        <v>11011544.533</v>
      </c>
      <c r="T69" s="27"/>
      <c r="U69" s="7" t="s">
        <v>55</v>
      </c>
      <c r="V69" s="28"/>
      <c r="X69" s="21"/>
    </row>
    <row r="70" spans="1:24" ht="15" customHeight="1">
      <c r="A70" s="5">
        <f t="shared" si="3"/>
        <v>7</v>
      </c>
      <c r="B70" s="5"/>
      <c r="C70" s="5"/>
      <c r="D70" s="5"/>
      <c r="E70" s="5"/>
      <c r="F70" s="5"/>
      <c r="G70" s="5"/>
      <c r="H70" s="5"/>
      <c r="I70" s="5"/>
      <c r="J70" s="5"/>
      <c r="K70" s="5"/>
      <c r="L70" s="5"/>
      <c r="M70" s="5"/>
      <c r="N70" s="5"/>
      <c r="O70" s="5"/>
      <c r="P70" s="5"/>
      <c r="Q70" s="5"/>
      <c r="R70" s="5"/>
      <c r="S70" s="5"/>
      <c r="T70" s="5"/>
      <c r="V70" s="95" t="s">
        <v>57</v>
      </c>
      <c r="W70" s="20">
        <f>'2024B Sch 1of3'!$T$49/1000</f>
        <v>9093607.6130501777</v>
      </c>
      <c r="X70" s="31"/>
    </row>
    <row r="71" spans="1:24" ht="15" customHeight="1">
      <c r="A71" s="5">
        <f t="shared" si="3"/>
        <v>8</v>
      </c>
      <c r="B71" s="13" t="s">
        <v>62</v>
      </c>
      <c r="C71" s="13"/>
      <c r="E71" s="29">
        <f>'2024B Sch 1of3'!$D$37/1000</f>
        <v>-719402.26900868234</v>
      </c>
      <c r="F71" s="5"/>
      <c r="G71" s="29">
        <f>-'2024B Sch 1of3'!$F$37/1000</f>
        <v>-120784.65827772417</v>
      </c>
      <c r="H71" s="5"/>
      <c r="I71" s="27">
        <f>E71-G71</f>
        <v>-598617.61073095817</v>
      </c>
      <c r="J71" s="29">
        <f>'2024B Sch 1of3'!$L$37/1000</f>
        <v>-822305.95421886304</v>
      </c>
      <c r="K71" s="5"/>
      <c r="L71" s="17">
        <f>'2024B Sch 1of3'!$J$37/1000</f>
        <v>0</v>
      </c>
      <c r="M71" s="17">
        <v>0</v>
      </c>
      <c r="N71" s="5"/>
      <c r="O71" s="29">
        <f t="shared" ref="O71" si="4">+I71+J71+L71</f>
        <v>-1420923.5649498212</v>
      </c>
      <c r="P71" s="5"/>
      <c r="Q71" s="17">
        <f>'2024B Sch 1of3'!$R$37/1000</f>
        <v>-497013.35499999998</v>
      </c>
      <c r="R71" s="17">
        <v>0</v>
      </c>
      <c r="S71" s="27">
        <f>+O71+Q71+R71</f>
        <v>-1917936.9199498212</v>
      </c>
      <c r="T71" s="30"/>
      <c r="V71" s="95" t="s">
        <v>59</v>
      </c>
      <c r="W71" s="25">
        <f>+S77</f>
        <v>9093607.6130501777</v>
      </c>
      <c r="X71" s="31"/>
    </row>
    <row r="72" spans="1:24" ht="15" customHeight="1">
      <c r="A72" s="5">
        <f t="shared" si="3"/>
        <v>9</v>
      </c>
      <c r="B72" s="5"/>
      <c r="C72" s="5"/>
      <c r="D72" s="5"/>
      <c r="E72" s="5"/>
      <c r="F72" s="5"/>
      <c r="G72" s="5"/>
      <c r="H72" s="5"/>
      <c r="I72" s="5"/>
      <c r="J72" s="5"/>
      <c r="K72" s="5"/>
      <c r="L72" s="5"/>
      <c r="M72" s="5"/>
      <c r="N72" s="5"/>
      <c r="O72" s="5"/>
      <c r="P72" s="5"/>
      <c r="Q72" s="5"/>
      <c r="R72" s="5"/>
      <c r="S72" s="5"/>
      <c r="T72" s="5"/>
      <c r="V72" s="95" t="s">
        <v>60</v>
      </c>
      <c r="W72" s="353">
        <f>+W70-W71</f>
        <v>0</v>
      </c>
      <c r="X72" s="31"/>
    </row>
    <row r="73" spans="1:24" ht="15" customHeight="1">
      <c r="A73" s="5">
        <f t="shared" si="3"/>
        <v>10</v>
      </c>
      <c r="B73" s="13" t="s">
        <v>63</v>
      </c>
      <c r="C73" s="13"/>
      <c r="E73" s="32">
        <v>0</v>
      </c>
      <c r="F73" s="5"/>
      <c r="G73" s="32">
        <v>0</v>
      </c>
      <c r="H73" s="5"/>
      <c r="I73" s="32">
        <f>+E73-G73</f>
        <v>0</v>
      </c>
      <c r="J73" s="32">
        <v>0</v>
      </c>
      <c r="K73" s="5"/>
      <c r="L73" s="32">
        <v>0</v>
      </c>
      <c r="M73" s="32">
        <v>0</v>
      </c>
      <c r="N73" s="5"/>
      <c r="O73" s="32">
        <f>+I73+J73+L73+M73</f>
        <v>0</v>
      </c>
      <c r="P73" s="5"/>
      <c r="Q73" s="32">
        <v>0</v>
      </c>
      <c r="R73" s="32">
        <v>0</v>
      </c>
      <c r="S73" s="32">
        <f>+O73+Q73+R73</f>
        <v>0</v>
      </c>
      <c r="T73" s="27"/>
      <c r="V73" s="96"/>
      <c r="X73" s="31"/>
    </row>
    <row r="74" spans="1:24" ht="15" customHeight="1">
      <c r="A74" s="5">
        <f t="shared" si="3"/>
        <v>11</v>
      </c>
      <c r="B74" s="5"/>
      <c r="C74" s="5"/>
      <c r="D74" s="5"/>
      <c r="E74" s="5"/>
      <c r="F74" s="5"/>
      <c r="G74" s="5"/>
      <c r="H74" s="5"/>
      <c r="I74" s="5"/>
      <c r="J74" s="5"/>
      <c r="K74" s="5"/>
      <c r="L74" s="5"/>
      <c r="M74" s="5"/>
      <c r="N74" s="5"/>
      <c r="O74" s="5"/>
      <c r="P74" s="5"/>
      <c r="Q74" s="5"/>
      <c r="R74" s="5"/>
      <c r="S74" s="5"/>
      <c r="T74" s="5"/>
      <c r="V74" s="95" t="s">
        <v>64</v>
      </c>
      <c r="W74" s="20">
        <f>+'B-2'!R99</f>
        <v>-1796459.811274837</v>
      </c>
      <c r="X74" s="31"/>
    </row>
    <row r="75" spans="1:24" ht="15" customHeight="1">
      <c r="A75" s="5">
        <f t="shared" si="3"/>
        <v>12</v>
      </c>
      <c r="B75" s="13" t="s">
        <v>65</v>
      </c>
      <c r="C75" s="13"/>
      <c r="E75" s="32">
        <f>+E71+E73</f>
        <v>-719402.26900868234</v>
      </c>
      <c r="F75" s="27"/>
      <c r="G75" s="32">
        <f>+G71+G73</f>
        <v>-120784.65827772417</v>
      </c>
      <c r="H75" s="27"/>
      <c r="I75" s="32">
        <f>+I71+I73</f>
        <v>-598617.61073095817</v>
      </c>
      <c r="J75" s="32">
        <f>+J71+J73</f>
        <v>-822305.95421886304</v>
      </c>
      <c r="K75" s="27"/>
      <c r="L75" s="32">
        <f>+L71+L73</f>
        <v>0</v>
      </c>
      <c r="M75" s="32">
        <f>+M71+M73</f>
        <v>0</v>
      </c>
      <c r="N75" s="27"/>
      <c r="O75" s="32">
        <f>+I75+J75+L75</f>
        <v>-1420923.5649498212</v>
      </c>
      <c r="P75" s="27"/>
      <c r="Q75" s="32">
        <f>+Q71+Q73</f>
        <v>-497013.35499999998</v>
      </c>
      <c r="R75" s="32">
        <f>+R71+R73</f>
        <v>0</v>
      </c>
      <c r="S75" s="32">
        <f>+S71+S73</f>
        <v>-1917936.9199498212</v>
      </c>
      <c r="T75" s="27"/>
      <c r="V75" s="95" t="s">
        <v>59</v>
      </c>
      <c r="W75" s="25">
        <f>+S71</f>
        <v>-1917936.9199498212</v>
      </c>
      <c r="X75" s="31"/>
    </row>
    <row r="76" spans="1:24" ht="15" customHeight="1">
      <c r="A76" s="5">
        <f t="shared" si="3"/>
        <v>13</v>
      </c>
      <c r="B76" s="5"/>
      <c r="C76" s="5"/>
      <c r="D76" s="5"/>
      <c r="E76" s="5"/>
      <c r="F76" s="5"/>
      <c r="G76" s="5"/>
      <c r="H76" s="5"/>
      <c r="I76" s="5"/>
      <c r="J76" s="5"/>
      <c r="K76" s="5"/>
      <c r="L76" s="5"/>
      <c r="M76" s="5"/>
      <c r="N76" s="5"/>
      <c r="O76" s="5"/>
      <c r="P76" s="5"/>
      <c r="Q76" s="5"/>
      <c r="R76" s="5"/>
      <c r="S76" s="5"/>
      <c r="T76" s="5"/>
      <c r="V76" s="97" t="s">
        <v>60</v>
      </c>
      <c r="W76" s="459">
        <f>+W74-W75</f>
        <v>121477.10867498419</v>
      </c>
      <c r="X76" s="36"/>
    </row>
    <row r="77" spans="1:24" ht="15" customHeight="1" thickBot="1">
      <c r="A77" s="5">
        <f t="shared" si="3"/>
        <v>14</v>
      </c>
      <c r="B77" s="13" t="s">
        <v>66</v>
      </c>
      <c r="C77" s="13"/>
      <c r="E77" s="33">
        <f>+E69+E75</f>
        <v>12295596.384991316</v>
      </c>
      <c r="F77" s="34"/>
      <c r="G77" s="33">
        <f>+G69+G75</f>
        <v>3666250.0867222762</v>
      </c>
      <c r="H77" s="34"/>
      <c r="I77" s="33">
        <f>+I69+I75</f>
        <v>8629346.2982690409</v>
      </c>
      <c r="J77" s="33">
        <f>+J69+J75</f>
        <v>235275.61678113695</v>
      </c>
      <c r="K77" s="34"/>
      <c r="L77" s="33">
        <f>+L69+L75</f>
        <v>61699.243999999999</v>
      </c>
      <c r="M77" s="33">
        <f>+M69+M75</f>
        <v>0</v>
      </c>
      <c r="N77" s="34"/>
      <c r="O77" s="33">
        <f>+O69+O75</f>
        <v>8926321.1590501778</v>
      </c>
      <c r="P77" s="34"/>
      <c r="Q77" s="33">
        <f>+Q69+Q75</f>
        <v>167286.45400000003</v>
      </c>
      <c r="R77" s="33">
        <f>+R69+R75</f>
        <v>0</v>
      </c>
      <c r="S77" s="122">
        <f>+S69+S75</f>
        <v>9093607.6130501777</v>
      </c>
      <c r="T77" s="14"/>
    </row>
    <row r="78" spans="1:24" ht="15" customHeight="1" thickTop="1">
      <c r="A78" s="5">
        <f t="shared" si="3"/>
        <v>15</v>
      </c>
      <c r="B78" s="35"/>
      <c r="C78" s="13"/>
      <c r="F78" s="27"/>
      <c r="G78" s="27"/>
      <c r="H78" s="27"/>
      <c r="I78" s="27"/>
      <c r="J78" s="27"/>
      <c r="K78" s="27"/>
      <c r="L78" s="27"/>
      <c r="M78" s="27"/>
      <c r="N78" s="27"/>
      <c r="O78" s="27"/>
      <c r="P78" s="27"/>
      <c r="Q78" s="27"/>
      <c r="R78" s="27"/>
      <c r="S78" s="27"/>
      <c r="T78" s="27"/>
      <c r="W78" s="37"/>
    </row>
    <row r="79" spans="1:24" ht="15" customHeight="1">
      <c r="A79" s="5">
        <f t="shared" si="3"/>
        <v>16</v>
      </c>
      <c r="B79" s="5"/>
      <c r="C79" s="5"/>
      <c r="D79" s="5"/>
      <c r="E79" s="5"/>
      <c r="F79" s="5"/>
      <c r="G79" s="5"/>
      <c r="H79" s="5"/>
      <c r="I79" s="5"/>
      <c r="J79" s="5"/>
      <c r="K79" s="5"/>
      <c r="L79" s="5"/>
      <c r="M79" s="5"/>
      <c r="N79" s="5"/>
      <c r="O79" s="5"/>
      <c r="P79" s="5"/>
      <c r="Q79" s="5"/>
      <c r="R79" s="5"/>
      <c r="S79" s="5"/>
      <c r="T79" s="19"/>
    </row>
    <row r="80" spans="1:24" ht="15" customHeight="1">
      <c r="A80" s="5">
        <f t="shared" si="3"/>
        <v>17</v>
      </c>
      <c r="B80" s="5"/>
      <c r="C80" s="5"/>
      <c r="D80" s="5"/>
      <c r="E80" s="5"/>
      <c r="F80" s="27"/>
      <c r="G80" s="5"/>
      <c r="H80" s="27"/>
      <c r="I80" s="19"/>
      <c r="J80" s="5"/>
      <c r="K80" s="5"/>
      <c r="L80" s="5"/>
      <c r="M80" s="5"/>
      <c r="N80" s="27"/>
      <c r="O80" s="38"/>
      <c r="P80" s="27"/>
      <c r="Q80" s="39"/>
      <c r="R80" s="27"/>
      <c r="S80" s="38"/>
      <c r="T80" s="38"/>
    </row>
    <row r="81" spans="1:24" ht="15" customHeight="1">
      <c r="A81" s="5">
        <f t="shared" si="3"/>
        <v>18</v>
      </c>
      <c r="B81" s="40"/>
      <c r="C81" s="5"/>
      <c r="D81" s="5"/>
      <c r="E81" s="41"/>
      <c r="F81" s="41"/>
      <c r="G81" s="41"/>
      <c r="H81" s="27"/>
      <c r="I81" s="41"/>
      <c r="J81" s="41"/>
      <c r="K81" s="41"/>
      <c r="L81" s="41"/>
      <c r="M81" s="41"/>
      <c r="N81" s="27"/>
      <c r="O81" s="41"/>
      <c r="P81" s="27"/>
      <c r="Q81" s="42"/>
      <c r="R81" s="27"/>
      <c r="S81" s="43"/>
      <c r="T81" s="44"/>
    </row>
    <row r="82" spans="1:24" ht="15" customHeight="1">
      <c r="A82" s="5">
        <f t="shared" si="3"/>
        <v>19</v>
      </c>
      <c r="B82" s="5"/>
      <c r="C82" s="45"/>
      <c r="D82" s="5"/>
      <c r="E82" s="46"/>
      <c r="F82" s="46"/>
      <c r="G82" s="46"/>
      <c r="H82" s="46"/>
      <c r="I82" s="46"/>
      <c r="J82" s="46"/>
      <c r="K82" s="46"/>
      <c r="L82" s="46"/>
      <c r="M82" s="46"/>
      <c r="N82" s="46"/>
      <c r="O82" s="46"/>
      <c r="P82" s="46"/>
      <c r="Q82" s="46"/>
      <c r="R82" s="27"/>
      <c r="S82" s="46"/>
      <c r="T82" s="46"/>
    </row>
    <row r="83" spans="1:24" ht="15" customHeight="1">
      <c r="A83" s="5">
        <f t="shared" si="3"/>
        <v>20</v>
      </c>
      <c r="B83" s="35"/>
      <c r="C83" s="14"/>
      <c r="E83" s="8"/>
      <c r="F83" s="27"/>
      <c r="G83" s="27"/>
      <c r="H83" s="27"/>
      <c r="I83" s="27"/>
      <c r="J83" s="27"/>
      <c r="K83" s="27"/>
      <c r="L83" s="27"/>
      <c r="M83" s="27"/>
      <c r="N83" s="27"/>
      <c r="O83" s="27"/>
      <c r="P83" s="27"/>
      <c r="Q83" s="27"/>
      <c r="R83" s="27"/>
      <c r="S83" s="27"/>
      <c r="T83" s="27"/>
      <c r="W83" s="47"/>
    </row>
    <row r="84" spans="1:24" ht="15" customHeight="1">
      <c r="A84" s="5">
        <f t="shared" si="3"/>
        <v>21</v>
      </c>
      <c r="B84" s="35"/>
      <c r="C84" s="14"/>
      <c r="F84" s="27"/>
      <c r="G84" s="27"/>
      <c r="H84" s="27"/>
      <c r="I84" s="27"/>
      <c r="J84" s="27"/>
      <c r="K84" s="27"/>
      <c r="L84" s="27"/>
      <c r="M84" s="27"/>
      <c r="N84" s="27"/>
      <c r="O84" s="27"/>
      <c r="P84" s="27"/>
      <c r="Q84" s="27"/>
      <c r="R84" s="27"/>
      <c r="S84" s="27"/>
      <c r="T84" s="27"/>
      <c r="W84" s="47"/>
    </row>
    <row r="85" spans="1:24" ht="15" customHeight="1">
      <c r="A85" s="5">
        <f t="shared" si="3"/>
        <v>22</v>
      </c>
      <c r="B85" s="48"/>
      <c r="D85" s="5"/>
      <c r="E85" s="18"/>
      <c r="F85" s="5"/>
      <c r="G85" s="18"/>
      <c r="H85" s="18"/>
      <c r="I85" s="18"/>
      <c r="J85" s="18"/>
      <c r="K85" s="18"/>
      <c r="L85" s="18"/>
      <c r="M85" s="18"/>
      <c r="N85" s="18"/>
      <c r="O85" s="18"/>
      <c r="P85" s="18"/>
      <c r="Q85" s="49"/>
      <c r="R85" s="5"/>
      <c r="S85" s="38"/>
      <c r="T85" s="27"/>
      <c r="U85" s="8"/>
      <c r="W85" s="37"/>
    </row>
    <row r="86" spans="1:24" ht="15" customHeight="1">
      <c r="A86" s="4">
        <v>23</v>
      </c>
      <c r="B86" s="50"/>
      <c r="C86" s="5"/>
      <c r="D86" s="5"/>
      <c r="E86" s="51"/>
      <c r="F86" s="52"/>
      <c r="G86" s="51"/>
      <c r="H86" s="52"/>
      <c r="I86" s="52"/>
      <c r="J86" s="51"/>
      <c r="K86" s="51"/>
      <c r="L86" s="51"/>
      <c r="M86" s="51"/>
      <c r="N86" s="51"/>
      <c r="O86" s="51"/>
      <c r="P86" s="51"/>
      <c r="Q86" s="51"/>
      <c r="R86" s="53"/>
      <c r="S86" s="53"/>
      <c r="V86" s="9"/>
    </row>
    <row r="87" spans="1:24" ht="15" customHeight="1">
      <c r="A87" s="4">
        <v>24</v>
      </c>
      <c r="B87" s="35"/>
      <c r="C87" s="5"/>
      <c r="D87" s="5"/>
      <c r="E87" s="54"/>
      <c r="F87" s="53"/>
      <c r="G87" s="54"/>
      <c r="H87" s="53"/>
      <c r="I87" s="53"/>
      <c r="J87" s="54"/>
      <c r="K87" s="53"/>
      <c r="L87" s="54"/>
      <c r="M87" s="53"/>
      <c r="N87" s="53"/>
      <c r="O87" s="53"/>
      <c r="P87" s="53"/>
      <c r="Q87" s="54"/>
      <c r="R87" s="53"/>
      <c r="S87" s="55"/>
      <c r="U87" s="50"/>
      <c r="W87" s="47"/>
    </row>
    <row r="88" spans="1:24" ht="15" customHeight="1">
      <c r="A88" s="4">
        <v>25</v>
      </c>
      <c r="B88" s="35"/>
      <c r="C88" s="14"/>
      <c r="F88" s="27"/>
      <c r="G88" s="27"/>
      <c r="H88" s="27"/>
      <c r="I88" s="27"/>
      <c r="J88" s="27"/>
      <c r="K88" s="27"/>
      <c r="L88" s="27"/>
      <c r="M88" s="27"/>
      <c r="N88" s="27"/>
      <c r="W88" s="47"/>
    </row>
    <row r="89" spans="1:24" ht="15" customHeight="1">
      <c r="A89" s="4">
        <v>26</v>
      </c>
      <c r="B89" s="35"/>
      <c r="C89" s="14"/>
      <c r="F89" s="27"/>
      <c r="G89" s="27"/>
      <c r="H89" s="27"/>
      <c r="I89" s="27"/>
      <c r="J89" s="27"/>
      <c r="K89" s="27"/>
      <c r="L89" s="27"/>
      <c r="M89" s="27"/>
      <c r="N89" s="27"/>
      <c r="W89" s="47"/>
    </row>
    <row r="90" spans="1:24" ht="15" customHeight="1">
      <c r="A90" s="4">
        <v>27</v>
      </c>
      <c r="B90" s="35"/>
      <c r="C90" s="14"/>
      <c r="F90" s="27"/>
      <c r="G90" s="27"/>
      <c r="H90" s="27"/>
      <c r="I90" s="27"/>
      <c r="J90" s="27"/>
      <c r="K90" s="27"/>
      <c r="L90" s="27"/>
      <c r="M90" s="27"/>
      <c r="N90" s="27"/>
      <c r="O90" s="27"/>
      <c r="P90" s="27"/>
      <c r="Q90" s="27"/>
      <c r="W90" s="47"/>
    </row>
    <row r="91" spans="1:24" ht="15" customHeight="1">
      <c r="A91" s="4">
        <v>28</v>
      </c>
      <c r="B91" s="35"/>
      <c r="C91" s="14"/>
      <c r="W91" s="47"/>
      <c r="X91" s="47"/>
    </row>
    <row r="92" spans="1:24" ht="15" customHeight="1">
      <c r="A92" s="4">
        <v>29</v>
      </c>
      <c r="B92" s="35"/>
      <c r="C92" s="14"/>
      <c r="F92" s="27"/>
      <c r="G92" s="27"/>
      <c r="H92" s="27"/>
      <c r="I92" s="27"/>
      <c r="J92" s="27"/>
      <c r="K92" s="27"/>
      <c r="L92" s="27"/>
      <c r="M92" s="27"/>
      <c r="N92" s="27"/>
      <c r="O92" s="27"/>
      <c r="P92" s="27"/>
      <c r="Q92" s="27"/>
      <c r="W92" s="47"/>
      <c r="X92" s="47"/>
    </row>
    <row r="93" spans="1:24" ht="15" customHeight="1">
      <c r="A93" s="4">
        <v>30</v>
      </c>
      <c r="B93" s="35"/>
      <c r="C93" s="14"/>
      <c r="F93" s="27"/>
      <c r="G93" s="27"/>
      <c r="H93" s="27"/>
      <c r="I93" s="27"/>
      <c r="J93" s="27"/>
      <c r="K93" s="27"/>
      <c r="L93" s="27"/>
      <c r="M93" s="27"/>
      <c r="N93" s="27"/>
      <c r="O93" s="27"/>
      <c r="P93" s="27"/>
      <c r="Q93" s="27"/>
      <c r="W93" s="47"/>
      <c r="X93" s="37"/>
    </row>
    <row r="94" spans="1:24" ht="15" customHeight="1">
      <c r="A94" s="4">
        <v>31</v>
      </c>
      <c r="B94" s="35"/>
      <c r="C94" s="14"/>
      <c r="F94" s="27"/>
      <c r="G94" s="27"/>
      <c r="H94" s="27"/>
      <c r="I94" s="27"/>
      <c r="J94" s="27"/>
      <c r="K94" s="27"/>
      <c r="L94" s="27"/>
      <c r="M94" s="27"/>
      <c r="N94" s="27"/>
      <c r="O94" s="27"/>
      <c r="P94" s="27"/>
      <c r="Q94" s="27"/>
    </row>
    <row r="95" spans="1:24" ht="15" customHeight="1">
      <c r="A95" s="4">
        <v>32</v>
      </c>
      <c r="B95" s="35"/>
      <c r="C95" s="14"/>
      <c r="F95" s="27"/>
      <c r="G95" s="27"/>
      <c r="H95" s="27"/>
      <c r="I95" s="27"/>
      <c r="J95" s="27"/>
      <c r="K95" s="27"/>
      <c r="L95" s="27"/>
      <c r="M95" s="27"/>
      <c r="N95" s="27"/>
      <c r="O95" s="27"/>
      <c r="P95" s="27"/>
      <c r="Q95" s="27"/>
      <c r="X95" s="47"/>
    </row>
    <row r="96" spans="1:24" ht="15" customHeight="1">
      <c r="A96" s="4">
        <v>33</v>
      </c>
      <c r="F96" s="37"/>
      <c r="G96" s="37"/>
      <c r="H96" s="37"/>
      <c r="I96" s="37"/>
      <c r="J96" s="37"/>
      <c r="K96" s="37"/>
      <c r="L96" s="37"/>
      <c r="M96" s="37"/>
      <c r="N96" s="37"/>
      <c r="O96" s="37"/>
      <c r="P96" s="37"/>
      <c r="Q96" s="37"/>
      <c r="X96" s="56"/>
    </row>
    <row r="97" spans="1:24" ht="15" customHeight="1">
      <c r="A97" s="4">
        <v>34</v>
      </c>
      <c r="F97" s="37"/>
      <c r="G97" s="37"/>
      <c r="H97" s="37"/>
      <c r="I97" s="37"/>
      <c r="J97" s="37"/>
      <c r="K97" s="37"/>
      <c r="L97" s="37"/>
      <c r="M97" s="37"/>
      <c r="N97" s="37"/>
      <c r="O97" s="37"/>
      <c r="P97" s="37"/>
      <c r="Q97" s="37"/>
      <c r="X97" s="47"/>
    </row>
    <row r="98" spans="1:24" ht="15" customHeight="1">
      <c r="A98" s="4">
        <v>35</v>
      </c>
      <c r="F98" s="37"/>
      <c r="G98" s="37"/>
      <c r="H98" s="37"/>
      <c r="I98" s="37"/>
      <c r="J98" s="37"/>
      <c r="K98" s="37"/>
      <c r="L98" s="37"/>
      <c r="M98" s="37"/>
      <c r="N98" s="37"/>
      <c r="O98" s="37"/>
      <c r="P98" s="37"/>
      <c r="Q98" s="37"/>
      <c r="X98" s="47"/>
    </row>
    <row r="99" spans="1:24" ht="15" customHeight="1">
      <c r="A99" s="4">
        <v>36</v>
      </c>
      <c r="F99" s="37"/>
      <c r="G99" s="37"/>
      <c r="H99" s="37"/>
      <c r="I99" s="37"/>
      <c r="J99" s="37"/>
      <c r="K99" s="37"/>
      <c r="L99" s="37"/>
      <c r="M99" s="37"/>
      <c r="N99" s="37"/>
      <c r="O99" s="37"/>
      <c r="P99" s="37"/>
      <c r="Q99" s="37"/>
    </row>
    <row r="100" spans="1:24" ht="15" customHeight="1">
      <c r="A100" s="4">
        <v>37</v>
      </c>
      <c r="F100" s="37"/>
      <c r="G100" s="37"/>
      <c r="H100" s="37"/>
      <c r="I100" s="37"/>
      <c r="J100" s="37"/>
      <c r="K100" s="37"/>
      <c r="L100" s="37"/>
      <c r="M100" s="37"/>
      <c r="N100" s="37"/>
      <c r="O100" s="37"/>
      <c r="P100" s="37"/>
      <c r="Q100" s="37"/>
    </row>
    <row r="101" spans="1:24" ht="15" customHeight="1">
      <c r="A101" s="4">
        <v>38</v>
      </c>
      <c r="F101" s="37"/>
      <c r="G101" s="37"/>
      <c r="H101" s="37"/>
      <c r="I101" s="37"/>
      <c r="J101" s="37"/>
      <c r="K101" s="37"/>
      <c r="L101" s="37"/>
      <c r="M101" s="37"/>
      <c r="N101" s="37"/>
      <c r="O101" s="37"/>
      <c r="P101" s="37"/>
      <c r="Q101" s="37"/>
    </row>
    <row r="102" spans="1:24" ht="15" customHeight="1" thickBot="1">
      <c r="A102" s="1">
        <v>39</v>
      </c>
      <c r="B102" s="57" t="s">
        <v>67</v>
      </c>
      <c r="C102" s="1"/>
      <c r="D102" s="1"/>
      <c r="E102" s="1"/>
      <c r="F102" s="1"/>
      <c r="G102" s="1"/>
      <c r="H102" s="1"/>
      <c r="I102" s="1"/>
      <c r="J102" s="1"/>
      <c r="K102" s="1"/>
      <c r="L102" s="1"/>
      <c r="M102" s="1"/>
      <c r="N102" s="1"/>
      <c r="O102" s="1"/>
      <c r="P102" s="1"/>
      <c r="Q102" s="1"/>
      <c r="R102" s="1"/>
      <c r="S102" s="1"/>
    </row>
    <row r="103" spans="1:24" ht="15" customHeight="1">
      <c r="A103" s="4" t="s">
        <v>68</v>
      </c>
      <c r="B103" s="5"/>
      <c r="C103" s="5"/>
      <c r="D103" s="5"/>
      <c r="E103" s="5"/>
      <c r="F103" s="5"/>
      <c r="G103" s="5"/>
      <c r="H103" s="5"/>
      <c r="I103" s="5"/>
      <c r="J103" s="5"/>
      <c r="K103" s="5"/>
      <c r="L103" s="5"/>
      <c r="M103" s="5"/>
      <c r="N103" s="5"/>
      <c r="O103" s="5"/>
      <c r="P103" s="5"/>
      <c r="Q103" s="5" t="s">
        <v>69</v>
      </c>
    </row>
    <row r="104" spans="1:24" s="247" customFormat="1" ht="15" customHeight="1" thickBot="1">
      <c r="A104" s="135"/>
      <c r="B104" s="246"/>
      <c r="C104" s="246"/>
      <c r="D104" s="246"/>
      <c r="E104" s="246"/>
      <c r="F104" s="246"/>
      <c r="G104" s="246"/>
      <c r="H104" s="246"/>
      <c r="I104" s="246"/>
      <c r="J104" s="246"/>
      <c r="K104" s="246"/>
      <c r="L104" s="246"/>
      <c r="M104" s="246"/>
      <c r="N104" s="246"/>
      <c r="O104" s="246"/>
      <c r="P104" s="246"/>
      <c r="Q104" s="246"/>
    </row>
    <row r="105" spans="1:24" ht="15" customHeight="1" thickBot="1">
      <c r="A105" s="1" t="s">
        <v>0</v>
      </c>
      <c r="B105" s="1"/>
      <c r="C105" s="1"/>
      <c r="D105" s="1"/>
      <c r="E105" s="1"/>
      <c r="F105" s="1"/>
      <c r="G105" s="1"/>
      <c r="H105" s="1"/>
      <c r="I105" s="2" t="s">
        <v>1</v>
      </c>
      <c r="J105" s="1"/>
      <c r="K105" s="1"/>
      <c r="L105" s="1"/>
      <c r="M105" s="1"/>
      <c r="N105" s="1"/>
      <c r="O105" s="1"/>
      <c r="P105" s="1"/>
      <c r="Q105" s="1"/>
      <c r="R105" s="1"/>
      <c r="S105" s="3" t="s">
        <v>72</v>
      </c>
      <c r="T105" s="82" t="s">
        <v>73</v>
      </c>
    </row>
    <row r="106" spans="1:24" ht="15" customHeight="1">
      <c r="A106" s="4" t="s">
        <v>4</v>
      </c>
      <c r="E106" s="4" t="s">
        <v>5</v>
      </c>
      <c r="G106" s="5" t="s">
        <v>6</v>
      </c>
      <c r="H106" s="5"/>
      <c r="I106" s="5"/>
      <c r="J106" s="6"/>
      <c r="K106" s="6"/>
      <c r="M106" s="6"/>
      <c r="N106" s="6"/>
      <c r="O106" s="6"/>
      <c r="P106" s="6" t="s">
        <v>7</v>
      </c>
      <c r="S106" s="7"/>
      <c r="T106" s="7"/>
      <c r="V106" s="8"/>
    </row>
    <row r="107" spans="1:24" ht="15" customHeight="1">
      <c r="G107" s="5" t="s">
        <v>8</v>
      </c>
      <c r="H107" s="5"/>
      <c r="I107" s="5"/>
      <c r="J107" s="9"/>
      <c r="K107" s="7"/>
      <c r="O107" s="9"/>
      <c r="P107" s="9" t="s">
        <v>12</v>
      </c>
      <c r="Q107" s="7" t="str">
        <f>Q3</f>
        <v>Projected Test Year Ended 12/31/2025</v>
      </c>
      <c r="S107" s="9"/>
      <c r="T107" s="9"/>
    </row>
    <row r="108" spans="1:24" ht="15" customHeight="1">
      <c r="A108" s="4" t="s">
        <v>10</v>
      </c>
      <c r="J108" s="9"/>
      <c r="K108" s="7"/>
      <c r="L108" s="9"/>
      <c r="Q108" s="7" t="str">
        <f t="shared" ref="Q108:Q109" si="5">Q4</f>
        <v>Projected Prior Year Ended 12/31/2024</v>
      </c>
      <c r="S108" s="9"/>
      <c r="T108" s="9"/>
    </row>
    <row r="109" spans="1:24" ht="15" customHeight="1">
      <c r="J109" s="9"/>
      <c r="K109" s="7"/>
      <c r="L109" s="9"/>
      <c r="Q109" s="7" t="str">
        <f t="shared" si="5"/>
        <v>Historical Prior Year Ended 12/31/2023</v>
      </c>
      <c r="S109" s="9"/>
      <c r="T109" s="9"/>
    </row>
    <row r="110" spans="1:24" ht="15" customHeight="1" thickBot="1">
      <c r="A110" s="2" t="s">
        <v>14</v>
      </c>
      <c r="B110" s="2"/>
      <c r="C110" s="1"/>
      <c r="D110" s="1"/>
      <c r="E110" s="1"/>
      <c r="F110" s="1"/>
      <c r="G110" s="1"/>
      <c r="H110" s="1"/>
      <c r="I110" s="2" t="s">
        <v>15</v>
      </c>
      <c r="J110" s="10"/>
      <c r="K110" s="1"/>
      <c r="L110" s="1"/>
      <c r="M110" s="1"/>
      <c r="N110" s="1"/>
      <c r="O110" s="1"/>
      <c r="P110" s="1"/>
      <c r="Q110" s="2" t="s">
        <v>74</v>
      </c>
      <c r="R110" s="1"/>
      <c r="S110" s="1"/>
    </row>
    <row r="111" spans="1:24" ht="15" customHeight="1">
      <c r="A111" s="5"/>
      <c r="B111" s="5"/>
      <c r="C111" s="11"/>
      <c r="D111" s="11"/>
      <c r="E111" s="11" t="s">
        <v>17</v>
      </c>
      <c r="F111" s="11"/>
      <c r="G111" s="116" t="s">
        <v>18</v>
      </c>
      <c r="H111" s="11"/>
      <c r="I111" s="116" t="s">
        <v>19</v>
      </c>
      <c r="J111" s="11" t="s">
        <v>20</v>
      </c>
      <c r="K111" s="11"/>
      <c r="L111" s="11" t="s">
        <v>21</v>
      </c>
      <c r="M111" s="11" t="s">
        <v>22</v>
      </c>
      <c r="N111" s="11"/>
      <c r="O111" s="11" t="s">
        <v>23</v>
      </c>
      <c r="P111" s="11"/>
      <c r="Q111" s="11" t="s">
        <v>24</v>
      </c>
      <c r="R111" s="11" t="s">
        <v>25</v>
      </c>
      <c r="S111" s="11" t="s">
        <v>26</v>
      </c>
      <c r="T111" s="11"/>
    </row>
    <row r="112" spans="1:24" ht="15" customHeight="1">
      <c r="A112" s="5"/>
      <c r="B112" s="5"/>
      <c r="C112" s="11"/>
      <c r="D112" s="11"/>
      <c r="E112" s="11"/>
      <c r="F112" s="11"/>
      <c r="G112" s="11" t="s">
        <v>27</v>
      </c>
      <c r="H112" s="11"/>
      <c r="I112" s="11"/>
      <c r="J112" s="11"/>
      <c r="K112" s="11"/>
      <c r="L112" s="11"/>
      <c r="M112" s="11"/>
      <c r="N112" s="12"/>
      <c r="O112" s="12"/>
      <c r="P112" s="11"/>
      <c r="Q112" s="11"/>
      <c r="R112" s="11"/>
      <c r="S112" s="11"/>
      <c r="T112" s="11"/>
    </row>
    <row r="113" spans="1:24" ht="15" customHeight="1">
      <c r="A113" s="5"/>
      <c r="B113" s="5"/>
      <c r="C113" s="12"/>
      <c r="D113" s="12"/>
      <c r="E113" s="12"/>
      <c r="F113" s="12"/>
      <c r="G113" s="12" t="s">
        <v>28</v>
      </c>
      <c r="H113" s="12"/>
      <c r="I113" s="12" t="s">
        <v>29</v>
      </c>
      <c r="J113" s="11"/>
      <c r="K113" s="12"/>
      <c r="L113" s="11" t="s">
        <v>30</v>
      </c>
      <c r="M113" s="12" t="s">
        <v>31</v>
      </c>
      <c r="N113" s="11"/>
      <c r="O113" s="12" t="s">
        <v>32</v>
      </c>
      <c r="P113" s="12"/>
      <c r="Q113" s="12" t="s">
        <v>33</v>
      </c>
      <c r="R113" s="12" t="s">
        <v>34</v>
      </c>
      <c r="S113" s="12"/>
      <c r="T113" s="12"/>
    </row>
    <row r="114" spans="1:24" ht="15" customHeight="1">
      <c r="A114" s="12" t="s">
        <v>35</v>
      </c>
      <c r="B114" s="12"/>
      <c r="C114" s="12"/>
      <c r="D114" s="12"/>
      <c r="E114" s="12" t="s">
        <v>36</v>
      </c>
      <c r="F114" s="12"/>
      <c r="G114" s="12" t="s">
        <v>37</v>
      </c>
      <c r="H114" s="11"/>
      <c r="I114" s="11" t="s">
        <v>38</v>
      </c>
      <c r="J114" s="12" t="s">
        <v>39</v>
      </c>
      <c r="K114" s="12"/>
      <c r="L114" s="12" t="s">
        <v>40</v>
      </c>
      <c r="M114" s="12" t="s">
        <v>41</v>
      </c>
      <c r="N114" s="12"/>
      <c r="O114" s="11" t="s">
        <v>42</v>
      </c>
      <c r="P114" s="12"/>
      <c r="Q114" s="12" t="s">
        <v>43</v>
      </c>
      <c r="R114" s="12" t="s">
        <v>44</v>
      </c>
      <c r="S114" s="11" t="s">
        <v>45</v>
      </c>
      <c r="T114" s="11"/>
    </row>
    <row r="115" spans="1:24" ht="15" customHeight="1" thickBot="1">
      <c r="A115" s="117" t="s">
        <v>46</v>
      </c>
      <c r="B115" s="117"/>
      <c r="C115" s="117"/>
      <c r="D115" s="117"/>
      <c r="E115" s="117" t="s">
        <v>47</v>
      </c>
      <c r="F115" s="118"/>
      <c r="G115" s="117" t="s">
        <v>48</v>
      </c>
      <c r="H115" s="118"/>
      <c r="I115" s="117" t="s">
        <v>49</v>
      </c>
      <c r="J115" s="118"/>
      <c r="K115" s="118"/>
      <c r="L115" s="118" t="s">
        <v>50</v>
      </c>
      <c r="M115" s="119" t="s">
        <v>51</v>
      </c>
      <c r="N115" s="118"/>
      <c r="O115" s="119" t="s">
        <v>30</v>
      </c>
      <c r="P115" s="119"/>
      <c r="Q115" s="120" t="s">
        <v>52</v>
      </c>
      <c r="R115" s="120" t="s">
        <v>53</v>
      </c>
      <c r="S115" s="120" t="s">
        <v>44</v>
      </c>
      <c r="T115" s="11"/>
    </row>
    <row r="116" spans="1:24" ht="15" customHeight="1">
      <c r="A116" s="5">
        <v>1</v>
      </c>
      <c r="B116" s="121"/>
      <c r="C116" s="13"/>
      <c r="D116" s="13"/>
      <c r="E116" s="13"/>
      <c r="F116" s="14"/>
      <c r="G116" s="14"/>
      <c r="H116" s="14"/>
      <c r="I116" s="14"/>
      <c r="J116" s="13"/>
      <c r="K116" s="13"/>
      <c r="L116" s="13"/>
      <c r="M116" s="13"/>
      <c r="N116" s="13"/>
      <c r="O116" s="13"/>
      <c r="P116" s="13"/>
      <c r="Q116" s="13"/>
      <c r="R116" s="13"/>
      <c r="S116" s="13"/>
      <c r="T116" s="13"/>
    </row>
    <row r="117" spans="1:24" ht="15" customHeight="1">
      <c r="A117" s="5">
        <v>2</v>
      </c>
      <c r="B117" s="13" t="s">
        <v>54</v>
      </c>
      <c r="C117" s="13"/>
      <c r="E117" s="13">
        <f>'2025B Sch 1of3'!D13/1000</f>
        <v>14471335.398</v>
      </c>
      <c r="F117" s="14"/>
      <c r="G117" s="13">
        <f>-'2025B Sch 1of3'!F13/1000</f>
        <v>4169650.37</v>
      </c>
      <c r="H117" s="14"/>
      <c r="I117" s="14">
        <f>E117-G117</f>
        <v>10301685.028000001</v>
      </c>
      <c r="J117" s="13">
        <f>'2025B Sch 1of3'!L13/1000</f>
        <v>1050507.0120000001</v>
      </c>
      <c r="K117" s="14"/>
      <c r="L117" s="13">
        <f>'2025B Sch 1of3'!J13/1000</f>
        <v>69494.543000000005</v>
      </c>
      <c r="M117" s="14">
        <v>0</v>
      </c>
      <c r="N117" s="14"/>
      <c r="O117" s="13">
        <f>+I117+J117+L117</f>
        <v>11421686.583000001</v>
      </c>
      <c r="P117" s="5"/>
      <c r="Q117" s="14">
        <f>'2025B Sch 1of3'!R13/1000</f>
        <v>606832.55767902988</v>
      </c>
      <c r="R117" s="14">
        <v>0</v>
      </c>
      <c r="S117" s="14">
        <f>+O117+Q117</f>
        <v>12028519.14067903</v>
      </c>
      <c r="T117" s="14"/>
      <c r="U117" s="7" t="s">
        <v>55</v>
      </c>
      <c r="V117" s="15"/>
      <c r="W117" s="389" t="s">
        <v>56</v>
      </c>
      <c r="X117" s="16"/>
    </row>
    <row r="118" spans="1:24" ht="15" customHeight="1">
      <c r="A118" s="5">
        <v>3</v>
      </c>
      <c r="B118" s="5"/>
      <c r="C118" s="5"/>
      <c r="D118" s="5"/>
      <c r="E118" s="17"/>
      <c r="F118" s="18"/>
      <c r="G118" s="5"/>
      <c r="H118" s="5"/>
      <c r="I118" s="5"/>
      <c r="J118" s="5"/>
      <c r="K118" s="5"/>
      <c r="L118" s="5"/>
      <c r="M118" s="5"/>
      <c r="N118" s="5"/>
      <c r="O118" s="19"/>
      <c r="P118" s="5"/>
      <c r="Q118" s="5"/>
      <c r="R118" s="5"/>
      <c r="S118" s="5"/>
      <c r="T118" s="5"/>
      <c r="U118" s="7"/>
      <c r="V118" s="95" t="s">
        <v>57</v>
      </c>
      <c r="W118" s="20">
        <f>'2025B Sch 1of3'!T13/1000</f>
        <v>12028519.14067903</v>
      </c>
      <c r="X118" s="21"/>
    </row>
    <row r="119" spans="1:24" ht="15" customHeight="1">
      <c r="A119" s="5">
        <v>4</v>
      </c>
      <c r="B119" s="13" t="s">
        <v>58</v>
      </c>
      <c r="C119" s="13"/>
      <c r="E119" s="22">
        <f>+E121/E117</f>
        <v>0.99451296222386121</v>
      </c>
      <c r="F119" s="23"/>
      <c r="G119" s="22">
        <f>+G121/G117</f>
        <v>0.99533018784018568</v>
      </c>
      <c r="H119" s="23"/>
      <c r="I119" s="22">
        <f>+I121/I117</f>
        <v>0.99418218671633796</v>
      </c>
      <c r="J119" s="22">
        <f>+J121/J117</f>
        <v>0.99378663166886105</v>
      </c>
      <c r="K119" s="23"/>
      <c r="L119" s="22">
        <f>+L121/L117</f>
        <v>0.97897701118777047</v>
      </c>
      <c r="M119" s="22">
        <v>0</v>
      </c>
      <c r="N119" s="23"/>
      <c r="O119" s="22">
        <f>+O121/O117</f>
        <v>0.99405329068466164</v>
      </c>
      <c r="P119" s="23"/>
      <c r="Q119" s="22">
        <f>+Q121/Q117</f>
        <v>0.99655974180585394</v>
      </c>
      <c r="R119" s="22">
        <v>0</v>
      </c>
      <c r="S119" s="22">
        <f>+S121/S117</f>
        <v>0.99417973984492669</v>
      </c>
      <c r="T119" s="24"/>
      <c r="U119" s="7"/>
      <c r="V119" s="95" t="s">
        <v>59</v>
      </c>
      <c r="W119" s="25">
        <f>+S117</f>
        <v>12028519.14067903</v>
      </c>
      <c r="X119" s="21"/>
    </row>
    <row r="120" spans="1:24" ht="15" customHeight="1">
      <c r="A120" s="5">
        <f>+A119+1</f>
        <v>5</v>
      </c>
      <c r="B120" s="5"/>
      <c r="C120" s="5"/>
      <c r="D120" s="5"/>
      <c r="E120" s="5"/>
      <c r="F120" s="5"/>
      <c r="G120" s="5"/>
      <c r="H120" s="5"/>
      <c r="I120" s="5"/>
      <c r="J120" s="5"/>
      <c r="K120" s="5"/>
      <c r="L120" s="5"/>
      <c r="M120" s="5"/>
      <c r="N120" s="5"/>
      <c r="O120" s="5"/>
      <c r="P120" s="5"/>
      <c r="Q120" s="5"/>
      <c r="R120" s="5"/>
      <c r="S120" s="5"/>
      <c r="T120" s="5"/>
      <c r="U120" s="7"/>
      <c r="V120" s="95" t="s">
        <v>60</v>
      </c>
      <c r="W120" s="353">
        <f>+W118-W119</f>
        <v>0</v>
      </c>
      <c r="X120" s="21"/>
    </row>
    <row r="121" spans="1:24" ht="15" customHeight="1">
      <c r="A121" s="5">
        <f t="shared" ref="A121:A137" si="6">+A120+1</f>
        <v>6</v>
      </c>
      <c r="B121" s="13" t="s">
        <v>61</v>
      </c>
      <c r="C121" s="13"/>
      <c r="E121" s="13">
        <f>'2025B Sch 1of3'!D16/1000</f>
        <v>14391930.634</v>
      </c>
      <c r="F121" s="5"/>
      <c r="G121" s="13">
        <f>-'2025B Sch 1of3'!F16/1000</f>
        <v>4150178.8859999999</v>
      </c>
      <c r="H121" s="5"/>
      <c r="I121" s="14">
        <f>+E121-G121</f>
        <v>10241751.748</v>
      </c>
      <c r="J121" s="13">
        <f>'2025B Sch 1of3'!L16/1000</f>
        <v>1043979.825</v>
      </c>
      <c r="K121" s="5"/>
      <c r="L121" s="13">
        <f>'2025B Sch 1of3'!J16/1000</f>
        <v>68033.56</v>
      </c>
      <c r="M121" s="14">
        <v>0</v>
      </c>
      <c r="N121" s="5"/>
      <c r="O121" s="14">
        <f>+I121+J121+L121</f>
        <v>11353765.132999999</v>
      </c>
      <c r="P121" s="5"/>
      <c r="Q121" s="14">
        <f>'2025B Sch 1of3'!R16/1000</f>
        <v>604744.897</v>
      </c>
      <c r="R121" s="27">
        <v>0</v>
      </c>
      <c r="S121" s="14">
        <f>+O121+Q121+R121</f>
        <v>11958510.029999999</v>
      </c>
      <c r="T121" s="27"/>
      <c r="U121" s="7" t="s">
        <v>55</v>
      </c>
      <c r="V121" s="28"/>
      <c r="X121" s="21"/>
    </row>
    <row r="122" spans="1:24" ht="15" customHeight="1">
      <c r="A122" s="5">
        <f t="shared" si="6"/>
        <v>7</v>
      </c>
      <c r="B122" s="5"/>
      <c r="C122" s="5"/>
      <c r="D122" s="5"/>
      <c r="E122" s="5"/>
      <c r="F122" s="5"/>
      <c r="G122" s="5"/>
      <c r="H122" s="5"/>
      <c r="I122" s="5"/>
      <c r="J122" s="5"/>
      <c r="K122" s="5"/>
      <c r="L122" s="5"/>
      <c r="M122" s="5"/>
      <c r="N122" s="5"/>
      <c r="O122" s="5"/>
      <c r="P122" s="5"/>
      <c r="Q122" s="5"/>
      <c r="R122" s="5"/>
      <c r="S122" s="5"/>
      <c r="T122" s="5"/>
      <c r="V122" s="95" t="s">
        <v>57</v>
      </c>
      <c r="W122" s="20">
        <f>'2025B Sch 1of3'!T39/1000</f>
        <v>9798150.3404257763</v>
      </c>
      <c r="X122" s="31"/>
    </row>
    <row r="123" spans="1:24" ht="15" customHeight="1">
      <c r="A123" s="5">
        <f t="shared" si="6"/>
        <v>8</v>
      </c>
      <c r="B123" s="13" t="s">
        <v>62</v>
      </c>
      <c r="C123" s="13"/>
      <c r="E123" s="29">
        <f>'2025B Sch 1of3'!D37/1000</f>
        <v>-973852.13976118399</v>
      </c>
      <c r="F123" s="5"/>
      <c r="G123" s="29">
        <f>-'2025B Sch 1of3'!F37/1000</f>
        <v>-145371.82845269621</v>
      </c>
      <c r="H123" s="5"/>
      <c r="I123" s="27">
        <f>E123-G123</f>
        <v>-828480.31130848778</v>
      </c>
      <c r="J123" s="29">
        <f>'2025B Sch 1of3'!L37/1000</f>
        <v>-813805.00226573693</v>
      </c>
      <c r="K123" s="5"/>
      <c r="L123" s="17">
        <f>'2025B Sch 1of3'!J37/1000</f>
        <v>0</v>
      </c>
      <c r="M123" s="17">
        <v>0</v>
      </c>
      <c r="N123" s="5"/>
      <c r="O123" s="29">
        <f t="shared" ref="O123" si="7">+I123+J123+L123</f>
        <v>-1642285.3135742247</v>
      </c>
      <c r="P123" s="5"/>
      <c r="Q123" s="17">
        <f>'2025B Sch 1of3'!R37/1000</f>
        <v>-518074.37599999999</v>
      </c>
      <c r="R123" s="17">
        <v>0</v>
      </c>
      <c r="S123" s="27">
        <f>+O123+Q123+R123</f>
        <v>-2160359.6895742249</v>
      </c>
      <c r="T123" s="30"/>
      <c r="V123" s="95" t="s">
        <v>59</v>
      </c>
      <c r="W123" s="25">
        <f>+S129</f>
        <v>9798150.3404257745</v>
      </c>
      <c r="X123" s="31"/>
    </row>
    <row r="124" spans="1:24" ht="15" customHeight="1">
      <c r="A124" s="5">
        <f t="shared" si="6"/>
        <v>9</v>
      </c>
      <c r="B124" s="5"/>
      <c r="C124" s="5"/>
      <c r="D124" s="5"/>
      <c r="E124" s="5"/>
      <c r="F124" s="5"/>
      <c r="G124" s="5"/>
      <c r="H124" s="5"/>
      <c r="I124" s="5"/>
      <c r="J124" s="5"/>
      <c r="K124" s="5"/>
      <c r="L124" s="5"/>
      <c r="M124" s="5"/>
      <c r="N124" s="5"/>
      <c r="O124" s="5"/>
      <c r="P124" s="5"/>
      <c r="Q124" s="5"/>
      <c r="R124" s="5"/>
      <c r="S124" s="5"/>
      <c r="T124" s="5"/>
      <c r="V124" s="95" t="s">
        <v>60</v>
      </c>
      <c r="W124" s="353">
        <f>+W122-W123</f>
        <v>0</v>
      </c>
      <c r="X124" s="31"/>
    </row>
    <row r="125" spans="1:24" ht="15" customHeight="1">
      <c r="A125" s="5">
        <f t="shared" si="6"/>
        <v>10</v>
      </c>
      <c r="B125" s="13" t="s">
        <v>63</v>
      </c>
      <c r="C125" s="13"/>
      <c r="E125" s="32">
        <v>0</v>
      </c>
      <c r="F125" s="5"/>
      <c r="G125" s="32">
        <v>0</v>
      </c>
      <c r="H125" s="5"/>
      <c r="I125" s="32">
        <f>+E125-G125</f>
        <v>0</v>
      </c>
      <c r="J125" s="32">
        <v>0</v>
      </c>
      <c r="K125" s="5"/>
      <c r="L125" s="32">
        <v>0</v>
      </c>
      <c r="M125" s="32">
        <v>0</v>
      </c>
      <c r="N125" s="5"/>
      <c r="O125" s="32">
        <f>+I125+J125+L125+M125</f>
        <v>0</v>
      </c>
      <c r="P125" s="5"/>
      <c r="Q125" s="32">
        <v>0</v>
      </c>
      <c r="R125" s="32">
        <v>0</v>
      </c>
      <c r="S125" s="32">
        <f>+O125+Q125+R125</f>
        <v>0</v>
      </c>
      <c r="T125" s="27"/>
      <c r="V125" s="96"/>
      <c r="X125" s="31"/>
    </row>
    <row r="126" spans="1:24" ht="15" customHeight="1">
      <c r="A126" s="5">
        <f t="shared" si="6"/>
        <v>11</v>
      </c>
      <c r="B126" s="5"/>
      <c r="C126" s="5"/>
      <c r="D126" s="5"/>
      <c r="E126" s="5"/>
      <c r="F126" s="5"/>
      <c r="G126" s="5"/>
      <c r="H126" s="5"/>
      <c r="I126" s="5"/>
      <c r="J126" s="5"/>
      <c r="K126" s="5"/>
      <c r="L126" s="5"/>
      <c r="M126" s="5"/>
      <c r="N126" s="5"/>
      <c r="O126" s="5"/>
      <c r="P126" s="5"/>
      <c r="Q126" s="5"/>
      <c r="R126" s="5"/>
      <c r="S126" s="5"/>
      <c r="T126" s="5"/>
      <c r="V126" s="95" t="s">
        <v>64</v>
      </c>
      <c r="W126" s="20">
        <f>'B-2'!R151</f>
        <v>-2076140.0993005387</v>
      </c>
      <c r="X126" s="31"/>
    </row>
    <row r="127" spans="1:24" ht="15" customHeight="1">
      <c r="A127" s="5">
        <f t="shared" si="6"/>
        <v>12</v>
      </c>
      <c r="B127" s="13" t="s">
        <v>65</v>
      </c>
      <c r="C127" s="13"/>
      <c r="E127" s="32">
        <f>+E123+E125</f>
        <v>-973852.13976118399</v>
      </c>
      <c r="F127" s="27"/>
      <c r="G127" s="32">
        <f>+G123+G125</f>
        <v>-145371.82845269621</v>
      </c>
      <c r="H127" s="27"/>
      <c r="I127" s="32">
        <f>+I123+I125</f>
        <v>-828480.31130848778</v>
      </c>
      <c r="J127" s="32">
        <f>+J123+J125</f>
        <v>-813805.00226573693</v>
      </c>
      <c r="K127" s="27"/>
      <c r="L127" s="32">
        <f>+L123+L125</f>
        <v>0</v>
      </c>
      <c r="M127" s="32">
        <f>+M123+M125</f>
        <v>0</v>
      </c>
      <c r="N127" s="27"/>
      <c r="O127" s="32">
        <f>+I127+J127+L127</f>
        <v>-1642285.3135742247</v>
      </c>
      <c r="P127" s="27"/>
      <c r="Q127" s="32">
        <f>+Q123+Q125</f>
        <v>-518074.37599999999</v>
      </c>
      <c r="R127" s="32">
        <f>+R123+R125</f>
        <v>0</v>
      </c>
      <c r="S127" s="32">
        <f>+S123+S125</f>
        <v>-2160359.6895742249</v>
      </c>
      <c r="T127" s="27"/>
      <c r="V127" s="95" t="s">
        <v>59</v>
      </c>
      <c r="W127" s="25">
        <f>+S123</f>
        <v>-2160359.6895742249</v>
      </c>
      <c r="X127" s="31"/>
    </row>
    <row r="128" spans="1:24" ht="15" customHeight="1">
      <c r="A128" s="5">
        <f t="shared" si="6"/>
        <v>13</v>
      </c>
      <c r="B128" s="5"/>
      <c r="C128" s="5"/>
      <c r="D128" s="5"/>
      <c r="E128" s="5"/>
      <c r="F128" s="5"/>
      <c r="G128" s="5"/>
      <c r="H128" s="5"/>
      <c r="I128" s="5"/>
      <c r="J128" s="5"/>
      <c r="K128" s="5"/>
      <c r="L128" s="5"/>
      <c r="M128" s="5"/>
      <c r="N128" s="5"/>
      <c r="O128" s="5"/>
      <c r="P128" s="5"/>
      <c r="Q128" s="5"/>
      <c r="R128" s="5"/>
      <c r="S128" s="5"/>
      <c r="T128" s="5"/>
      <c r="V128" s="97" t="s">
        <v>60</v>
      </c>
      <c r="W128" s="459">
        <f>+W126-W127</f>
        <v>84219.590273686219</v>
      </c>
      <c r="X128" s="36"/>
    </row>
    <row r="129" spans="1:24" ht="15" customHeight="1" thickBot="1">
      <c r="A129" s="5">
        <f t="shared" si="6"/>
        <v>14</v>
      </c>
      <c r="B129" s="13" t="s">
        <v>66</v>
      </c>
      <c r="C129" s="13"/>
      <c r="E129" s="33">
        <f>+E121+E127</f>
        <v>13418078.494238816</v>
      </c>
      <c r="F129" s="34"/>
      <c r="G129" s="33">
        <f>+G121+G127</f>
        <v>4004807.0575473038</v>
      </c>
      <c r="H129" s="34"/>
      <c r="I129" s="33">
        <f>+I121+I127</f>
        <v>9413271.4366915114</v>
      </c>
      <c r="J129" s="33">
        <f>+J121+J127</f>
        <v>230174.82273426303</v>
      </c>
      <c r="K129" s="34"/>
      <c r="L129" s="33">
        <f>+L121+L127</f>
        <v>68033.56</v>
      </c>
      <c r="M129" s="33">
        <f>+M121+M127</f>
        <v>0</v>
      </c>
      <c r="N129" s="34"/>
      <c r="O129" s="33">
        <f>+O121+O127</f>
        <v>9711479.8194257747</v>
      </c>
      <c r="P129" s="34"/>
      <c r="Q129" s="33">
        <f>+Q121+Q127</f>
        <v>86670.521000000008</v>
      </c>
      <c r="R129" s="33">
        <f>+R121+R127</f>
        <v>0</v>
      </c>
      <c r="S129" s="122">
        <f>+S121+S127</f>
        <v>9798150.3404257745</v>
      </c>
      <c r="T129" s="14"/>
    </row>
    <row r="130" spans="1:24" ht="15" customHeight="1" thickTop="1">
      <c r="A130" s="5">
        <f t="shared" si="6"/>
        <v>15</v>
      </c>
      <c r="B130" s="35"/>
      <c r="C130" s="13"/>
      <c r="T130" s="27"/>
    </row>
    <row r="131" spans="1:24" ht="15" customHeight="1">
      <c r="A131" s="5">
        <f t="shared" si="6"/>
        <v>16</v>
      </c>
      <c r="B131" s="5"/>
      <c r="C131" s="5"/>
      <c r="D131" s="5"/>
      <c r="E131" s="5"/>
      <c r="F131" s="5"/>
      <c r="G131" s="5"/>
      <c r="H131" s="5"/>
      <c r="I131" s="5"/>
      <c r="J131" s="5"/>
      <c r="K131" s="5"/>
      <c r="L131" s="5"/>
      <c r="M131" s="5"/>
      <c r="N131" s="5"/>
      <c r="O131" s="5"/>
      <c r="P131" s="5"/>
      <c r="Q131" s="5"/>
      <c r="R131" s="5"/>
      <c r="S131" s="5"/>
      <c r="T131" s="19"/>
      <c r="W131" s="37"/>
    </row>
    <row r="132" spans="1:24" ht="15" customHeight="1">
      <c r="A132" s="5">
        <f t="shared" si="6"/>
        <v>17</v>
      </c>
      <c r="B132" s="5"/>
      <c r="C132" s="5"/>
      <c r="D132" s="5"/>
      <c r="E132" s="5"/>
      <c r="F132" s="27"/>
      <c r="G132" s="5"/>
      <c r="H132" s="27"/>
      <c r="I132" s="19"/>
      <c r="J132" s="5"/>
      <c r="K132" s="27"/>
      <c r="L132" s="5"/>
      <c r="M132" s="5"/>
      <c r="N132" s="27"/>
      <c r="O132" s="38"/>
      <c r="P132" s="27"/>
      <c r="Q132" s="39"/>
      <c r="R132" s="27"/>
      <c r="S132" s="38"/>
      <c r="T132" s="38"/>
    </row>
    <row r="133" spans="1:24" ht="15" customHeight="1">
      <c r="A133" s="5">
        <f t="shared" si="6"/>
        <v>18</v>
      </c>
      <c r="B133" s="40"/>
      <c r="C133" s="5"/>
      <c r="D133" s="5"/>
      <c r="E133" s="41"/>
      <c r="F133" s="27"/>
      <c r="G133" s="41"/>
      <c r="H133" s="27"/>
      <c r="I133" s="41"/>
      <c r="J133" s="41"/>
      <c r="K133" s="27"/>
      <c r="L133" s="41"/>
      <c r="M133" s="41"/>
      <c r="N133" s="27"/>
      <c r="O133" s="41"/>
      <c r="P133" s="27"/>
      <c r="Q133" s="42"/>
      <c r="R133" s="27"/>
      <c r="S133" s="43"/>
      <c r="T133" s="44"/>
    </row>
    <row r="134" spans="1:24" ht="15" customHeight="1">
      <c r="A134" s="5">
        <f t="shared" si="6"/>
        <v>19</v>
      </c>
      <c r="B134" s="5"/>
      <c r="C134" s="45"/>
      <c r="D134" s="5"/>
      <c r="E134" s="46"/>
      <c r="F134" s="46"/>
      <c r="G134" s="46"/>
      <c r="H134" s="46"/>
      <c r="I134" s="46"/>
      <c r="J134" s="46"/>
      <c r="K134" s="46"/>
      <c r="L134" s="46"/>
      <c r="M134" s="46"/>
      <c r="N134" s="46"/>
      <c r="O134" s="46"/>
      <c r="P134" s="46"/>
      <c r="Q134" s="46"/>
      <c r="R134" s="27"/>
      <c r="S134" s="46"/>
      <c r="T134" s="46"/>
    </row>
    <row r="135" spans="1:24" ht="15" customHeight="1">
      <c r="A135" s="5">
        <f t="shared" si="6"/>
        <v>20</v>
      </c>
      <c r="B135" s="35"/>
      <c r="C135" s="14"/>
      <c r="E135" s="8"/>
      <c r="F135" s="27"/>
      <c r="G135" s="27"/>
      <c r="H135" s="27"/>
      <c r="I135" s="27"/>
      <c r="J135" s="27"/>
      <c r="K135" s="27"/>
      <c r="L135" s="27"/>
      <c r="M135" s="27"/>
      <c r="N135" s="27"/>
      <c r="O135" s="27"/>
      <c r="P135" s="27"/>
      <c r="Q135" s="27"/>
      <c r="R135" s="27"/>
      <c r="S135" s="27"/>
      <c r="T135" s="27"/>
      <c r="W135" s="47"/>
    </row>
    <row r="136" spans="1:24" ht="15" customHeight="1">
      <c r="A136" s="5">
        <f t="shared" si="6"/>
        <v>21</v>
      </c>
      <c r="B136" s="35"/>
      <c r="C136" s="14"/>
      <c r="F136" s="27"/>
      <c r="G136" s="27"/>
      <c r="H136" s="27"/>
      <c r="I136" s="27"/>
      <c r="J136" s="27"/>
      <c r="K136" s="27"/>
      <c r="L136" s="27"/>
      <c r="M136" s="27"/>
      <c r="N136" s="27"/>
      <c r="O136" s="27"/>
      <c r="P136" s="27"/>
      <c r="Q136" s="27"/>
      <c r="R136" s="27"/>
      <c r="S136" s="27"/>
      <c r="T136" s="27"/>
      <c r="W136" s="47"/>
    </row>
    <row r="137" spans="1:24" ht="15" customHeight="1">
      <c r="A137" s="5">
        <f t="shared" si="6"/>
        <v>22</v>
      </c>
      <c r="B137" s="48"/>
      <c r="D137" s="5"/>
      <c r="E137" s="18"/>
      <c r="F137" s="5"/>
      <c r="G137" s="18"/>
      <c r="H137" s="18"/>
      <c r="I137" s="18"/>
      <c r="J137" s="18"/>
      <c r="K137" s="18"/>
      <c r="L137" s="18"/>
      <c r="M137" s="18"/>
      <c r="N137" s="18"/>
      <c r="O137" s="18"/>
      <c r="P137" s="18"/>
      <c r="Q137" s="49"/>
      <c r="R137" s="5"/>
      <c r="S137" s="38"/>
      <c r="T137" s="27"/>
      <c r="U137" s="8"/>
      <c r="W137" s="37"/>
    </row>
    <row r="138" spans="1:24" ht="15" customHeight="1">
      <c r="A138" s="4">
        <v>23</v>
      </c>
      <c r="B138" s="50"/>
      <c r="C138" s="5"/>
      <c r="D138" s="5"/>
      <c r="E138" s="51"/>
      <c r="F138" s="52"/>
      <c r="G138" s="51"/>
      <c r="H138" s="52"/>
      <c r="I138" s="52"/>
      <c r="J138" s="51"/>
      <c r="K138" s="51"/>
      <c r="L138" s="51"/>
      <c r="M138" s="51"/>
      <c r="N138" s="51"/>
      <c r="O138" s="51"/>
      <c r="P138" s="51"/>
      <c r="Q138" s="51"/>
      <c r="R138" s="53"/>
      <c r="S138" s="53"/>
      <c r="V138" s="9"/>
    </row>
    <row r="139" spans="1:24" ht="15" customHeight="1">
      <c r="A139" s="4">
        <v>24</v>
      </c>
      <c r="B139" s="35"/>
      <c r="C139" s="5"/>
      <c r="D139" s="5"/>
      <c r="E139" s="54"/>
      <c r="F139" s="53"/>
      <c r="G139" s="54"/>
      <c r="H139" s="53"/>
      <c r="I139" s="53"/>
      <c r="J139" s="54"/>
      <c r="K139" s="53"/>
      <c r="L139" s="54"/>
      <c r="M139" s="53"/>
      <c r="N139" s="53"/>
      <c r="O139" s="53"/>
      <c r="P139" s="53"/>
      <c r="Q139" s="54"/>
      <c r="R139" s="53"/>
      <c r="S139" s="55"/>
      <c r="U139" s="50"/>
      <c r="W139" s="47"/>
    </row>
    <row r="140" spans="1:24" ht="15" customHeight="1">
      <c r="A140" s="4">
        <v>25</v>
      </c>
      <c r="B140" s="35"/>
      <c r="C140" s="14"/>
      <c r="F140" s="27"/>
      <c r="G140" s="27"/>
      <c r="H140" s="27"/>
      <c r="I140" s="27"/>
      <c r="J140" s="27"/>
      <c r="K140" s="27"/>
      <c r="L140" s="27"/>
      <c r="M140" s="27"/>
      <c r="N140" s="27"/>
      <c r="W140" s="47"/>
    </row>
    <row r="141" spans="1:24" ht="15" customHeight="1">
      <c r="A141" s="4">
        <v>26</v>
      </c>
      <c r="B141" s="35"/>
      <c r="C141" s="14"/>
      <c r="F141" s="27"/>
      <c r="G141" s="27"/>
      <c r="H141" s="27"/>
      <c r="I141" s="27"/>
      <c r="J141" s="27"/>
      <c r="K141" s="27"/>
      <c r="L141" s="27"/>
      <c r="M141" s="27"/>
      <c r="N141" s="27"/>
      <c r="W141" s="47"/>
    </row>
    <row r="142" spans="1:24" ht="15" customHeight="1">
      <c r="A142" s="4">
        <v>27</v>
      </c>
      <c r="B142" s="35"/>
      <c r="C142" s="14"/>
      <c r="F142" s="27"/>
      <c r="G142" s="27"/>
      <c r="H142" s="27"/>
      <c r="I142" s="27"/>
      <c r="J142" s="27"/>
      <c r="K142" s="27"/>
      <c r="L142" s="27"/>
      <c r="M142" s="27"/>
      <c r="N142" s="27"/>
      <c r="O142" s="27"/>
      <c r="P142" s="27"/>
      <c r="Q142" s="27"/>
      <c r="W142" s="47"/>
    </row>
    <row r="143" spans="1:24" ht="15" customHeight="1">
      <c r="A143" s="4">
        <v>28</v>
      </c>
      <c r="B143" s="35"/>
      <c r="C143" s="14"/>
      <c r="W143" s="47"/>
      <c r="X143" s="47"/>
    </row>
    <row r="144" spans="1:24" ht="15" customHeight="1">
      <c r="A144" s="4">
        <v>29</v>
      </c>
      <c r="B144" s="35"/>
      <c r="C144" s="14"/>
      <c r="F144" s="27"/>
      <c r="G144" s="27"/>
      <c r="H144" s="27"/>
      <c r="I144" s="27"/>
      <c r="J144" s="27"/>
      <c r="K144" s="27"/>
      <c r="L144" s="27"/>
      <c r="M144" s="27"/>
      <c r="N144" s="27"/>
      <c r="O144" s="27"/>
      <c r="P144" s="27"/>
      <c r="Q144" s="27"/>
      <c r="W144" s="47"/>
      <c r="X144" s="47"/>
    </row>
    <row r="145" spans="1:24" ht="15" customHeight="1">
      <c r="A145" s="4">
        <v>30</v>
      </c>
      <c r="B145" s="35"/>
      <c r="C145" s="14"/>
      <c r="F145" s="27"/>
      <c r="G145" s="27"/>
      <c r="H145" s="27"/>
      <c r="I145" s="27"/>
      <c r="J145" s="27"/>
      <c r="K145" s="27"/>
      <c r="L145" s="27"/>
      <c r="M145" s="27"/>
      <c r="N145" s="27"/>
      <c r="O145" s="27"/>
      <c r="P145" s="27"/>
      <c r="Q145" s="27"/>
      <c r="W145" s="47"/>
      <c r="X145" s="37"/>
    </row>
    <row r="146" spans="1:24" ht="15" customHeight="1">
      <c r="A146" s="4">
        <v>31</v>
      </c>
      <c r="B146" s="35"/>
      <c r="C146" s="14"/>
      <c r="F146" s="27"/>
      <c r="G146" s="27"/>
      <c r="H146" s="27"/>
      <c r="I146" s="27"/>
      <c r="J146" s="27"/>
      <c r="K146" s="27"/>
      <c r="L146" s="27"/>
      <c r="M146" s="27"/>
      <c r="N146" s="27"/>
      <c r="O146" s="27"/>
      <c r="P146" s="27"/>
      <c r="Q146" s="27"/>
    </row>
    <row r="147" spans="1:24" ht="15" customHeight="1">
      <c r="A147" s="4">
        <v>32</v>
      </c>
      <c r="B147" s="35"/>
      <c r="C147" s="14"/>
      <c r="F147" s="27"/>
      <c r="G147" s="27"/>
      <c r="H147" s="27"/>
      <c r="I147" s="27"/>
      <c r="J147" s="27"/>
      <c r="K147" s="27"/>
      <c r="L147" s="27"/>
      <c r="M147" s="27"/>
      <c r="N147" s="27"/>
      <c r="O147" s="27"/>
      <c r="P147" s="27"/>
      <c r="Q147" s="27"/>
      <c r="X147" s="47"/>
    </row>
    <row r="148" spans="1:24" ht="15" customHeight="1">
      <c r="A148" s="4">
        <v>33</v>
      </c>
      <c r="F148" s="37"/>
      <c r="G148" s="37"/>
      <c r="H148" s="37"/>
      <c r="I148" s="37"/>
      <c r="J148" s="37"/>
      <c r="K148" s="37"/>
      <c r="L148" s="37"/>
      <c r="M148" s="37"/>
      <c r="N148" s="37"/>
      <c r="O148" s="37"/>
      <c r="P148" s="37"/>
      <c r="Q148" s="37"/>
      <c r="X148" s="56"/>
    </row>
    <row r="149" spans="1:24" ht="15" customHeight="1">
      <c r="A149" s="4">
        <v>34</v>
      </c>
      <c r="F149" s="37"/>
      <c r="G149" s="37"/>
      <c r="H149" s="37"/>
      <c r="I149" s="37"/>
      <c r="J149" s="37"/>
      <c r="K149" s="37"/>
      <c r="L149" s="37"/>
      <c r="M149" s="37"/>
      <c r="N149" s="37"/>
      <c r="O149" s="37"/>
      <c r="P149" s="37"/>
      <c r="Q149" s="37"/>
      <c r="X149" s="47"/>
    </row>
    <row r="150" spans="1:24" ht="15" customHeight="1">
      <c r="A150" s="4">
        <v>35</v>
      </c>
      <c r="F150" s="37"/>
      <c r="G150" s="37"/>
      <c r="H150" s="37"/>
      <c r="I150" s="37"/>
      <c r="J150" s="37"/>
      <c r="K150" s="37"/>
      <c r="L150" s="37"/>
      <c r="M150" s="37"/>
      <c r="N150" s="37"/>
      <c r="O150" s="37"/>
      <c r="P150" s="37"/>
      <c r="Q150" s="37"/>
      <c r="X150" s="47"/>
    </row>
    <row r="151" spans="1:24" ht="15" customHeight="1">
      <c r="A151" s="4">
        <v>36</v>
      </c>
      <c r="F151" s="37"/>
      <c r="G151" s="37"/>
      <c r="H151" s="37"/>
      <c r="I151" s="37"/>
      <c r="J151" s="37"/>
      <c r="K151" s="37"/>
      <c r="L151" s="37"/>
      <c r="M151" s="37"/>
      <c r="N151" s="37"/>
      <c r="O151" s="37"/>
      <c r="P151" s="37"/>
      <c r="Q151" s="37"/>
    </row>
    <row r="152" spans="1:24" ht="15" customHeight="1">
      <c r="A152" s="4">
        <v>37</v>
      </c>
      <c r="F152" s="37"/>
      <c r="G152" s="37"/>
      <c r="H152" s="37"/>
      <c r="I152" s="37"/>
      <c r="J152" s="37"/>
      <c r="K152" s="37"/>
      <c r="L152" s="37"/>
      <c r="M152" s="37"/>
      <c r="N152" s="37"/>
      <c r="O152" s="37"/>
      <c r="P152" s="37"/>
      <c r="Q152" s="37"/>
    </row>
    <row r="153" spans="1:24" ht="15" customHeight="1">
      <c r="A153" s="4">
        <v>38</v>
      </c>
      <c r="F153" s="37"/>
      <c r="G153" s="37"/>
      <c r="H153" s="37"/>
      <c r="I153" s="37"/>
      <c r="J153" s="37"/>
      <c r="K153" s="37"/>
      <c r="L153" s="37"/>
      <c r="M153" s="37"/>
      <c r="N153" s="37"/>
      <c r="O153" s="37"/>
      <c r="P153" s="37"/>
      <c r="Q153" s="37"/>
    </row>
    <row r="154" spans="1:24" ht="15" customHeight="1" thickBot="1">
      <c r="A154" s="1">
        <v>39</v>
      </c>
      <c r="B154" s="57" t="s">
        <v>67</v>
      </c>
      <c r="C154" s="1"/>
      <c r="D154" s="1"/>
      <c r="E154" s="1"/>
      <c r="F154" s="1"/>
      <c r="G154" s="1"/>
      <c r="H154" s="1"/>
      <c r="I154" s="1"/>
      <c r="J154" s="1"/>
      <c r="K154" s="1"/>
      <c r="L154" s="1"/>
      <c r="M154" s="1"/>
      <c r="N154" s="1"/>
      <c r="O154" s="1"/>
      <c r="P154" s="1"/>
      <c r="Q154" s="1"/>
      <c r="R154" s="1"/>
      <c r="S154" s="1"/>
    </row>
    <row r="155" spans="1:24" ht="15" customHeight="1">
      <c r="A155" s="4" t="s">
        <v>68</v>
      </c>
      <c r="B155" s="5"/>
      <c r="C155" s="5"/>
      <c r="D155" s="5"/>
      <c r="E155" s="5"/>
      <c r="F155" s="5"/>
      <c r="G155" s="5"/>
      <c r="H155" s="5"/>
      <c r="I155" s="5"/>
      <c r="J155" s="5"/>
      <c r="K155" s="5"/>
      <c r="L155" s="5"/>
      <c r="M155" s="5"/>
      <c r="N155" s="5"/>
      <c r="O155" s="5"/>
      <c r="P155" s="5"/>
      <c r="Q155" s="5" t="s">
        <v>69</v>
      </c>
    </row>
  </sheetData>
  <pageMargins left="1" right="0" top="1" bottom="0" header="0" footer="0"/>
  <pageSetup paperSize="9" scale="65" orientation="landscape" r:id="rId1"/>
  <rowBreaks count="1" manualBreakCount="1">
    <brk id="51" max="18" man="1"/>
  </rowBreaks>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72042-AFC3-453A-91AA-DFA187189BC8}">
  <sheetPr>
    <tabColor rgb="FFFFE8B9"/>
  </sheetPr>
  <dimension ref="A1:P40"/>
  <sheetViews>
    <sheetView topLeftCell="A21" zoomScaleNormal="100" workbookViewId="0">
      <selection activeCell="F50" sqref="F50"/>
    </sheetView>
  </sheetViews>
  <sheetFormatPr defaultRowHeight="14.4"/>
  <cols>
    <col min="1" max="1" width="30.33203125" bestFit="1" customWidth="1"/>
    <col min="2" max="14" width="13.44140625" bestFit="1" customWidth="1"/>
    <col min="15" max="15" width="2.33203125" customWidth="1"/>
    <col min="16" max="16" width="14" bestFit="1" customWidth="1"/>
    <col min="17" max="17" width="6.88671875" customWidth="1"/>
  </cols>
  <sheetData>
    <row r="1" spans="1:16" ht="15.6" hidden="1">
      <c r="A1" s="716" t="s">
        <v>823</v>
      </c>
      <c r="B1" s="703"/>
      <c r="C1" s="703"/>
      <c r="D1" s="703"/>
      <c r="E1" s="703"/>
      <c r="F1" s="703"/>
      <c r="G1" s="702"/>
      <c r="H1" s="703"/>
      <c r="I1" s="703"/>
      <c r="J1" s="703"/>
      <c r="K1" s="703"/>
      <c r="L1" s="703"/>
      <c r="M1" s="703"/>
      <c r="N1" s="703"/>
      <c r="O1" s="703"/>
      <c r="P1" s="703"/>
    </row>
    <row r="2" spans="1:16" ht="15.6" hidden="1">
      <c r="A2" s="702" t="s">
        <v>824</v>
      </c>
      <c r="B2" s="703"/>
      <c r="C2" s="703"/>
      <c r="D2" s="703"/>
      <c r="E2" s="703"/>
      <c r="F2" s="703"/>
      <c r="G2" s="702"/>
      <c r="H2" s="703"/>
      <c r="I2" s="703"/>
      <c r="J2" s="703"/>
      <c r="K2" s="703"/>
      <c r="L2" s="703"/>
      <c r="M2" s="703"/>
      <c r="N2" s="703"/>
      <c r="O2" s="703"/>
      <c r="P2" s="703"/>
    </row>
    <row r="3" spans="1:16" ht="15.6" hidden="1">
      <c r="A3" s="702"/>
      <c r="B3" s="703"/>
      <c r="C3" s="703"/>
      <c r="D3" s="703"/>
      <c r="E3" s="703"/>
      <c r="F3" s="703"/>
      <c r="G3" s="702"/>
      <c r="H3" s="703"/>
      <c r="I3" s="703"/>
      <c r="J3" s="703"/>
      <c r="K3" s="703"/>
      <c r="L3" s="703"/>
      <c r="M3" s="703"/>
      <c r="N3" s="703"/>
      <c r="O3" s="703"/>
      <c r="P3" s="703"/>
    </row>
    <row r="4" spans="1:16" hidden="1">
      <c r="A4" s="714">
        <v>1</v>
      </c>
      <c r="B4" s="714">
        <v>2</v>
      </c>
      <c r="C4" s="714">
        <v>3</v>
      </c>
      <c r="D4" s="714">
        <v>4</v>
      </c>
      <c r="E4" s="714">
        <v>5</v>
      </c>
      <c r="F4" s="714">
        <v>6</v>
      </c>
      <c r="G4" s="714">
        <v>7</v>
      </c>
      <c r="H4" s="714">
        <v>8</v>
      </c>
      <c r="I4" s="714">
        <v>9</v>
      </c>
      <c r="J4" s="714">
        <v>10</v>
      </c>
      <c r="K4" s="714">
        <v>11</v>
      </c>
      <c r="L4" s="714">
        <v>12</v>
      </c>
      <c r="M4" s="714">
        <v>13</v>
      </c>
      <c r="N4" s="714">
        <v>14</v>
      </c>
      <c r="O4" s="701"/>
      <c r="P4" s="715">
        <v>2023</v>
      </c>
    </row>
    <row r="5" spans="1:16" hidden="1">
      <c r="A5" s="709" t="s">
        <v>825</v>
      </c>
      <c r="B5" s="715">
        <v>202212</v>
      </c>
      <c r="C5" s="715">
        <v>202301</v>
      </c>
      <c r="D5" s="715">
        <v>202302</v>
      </c>
      <c r="E5" s="715">
        <v>202303</v>
      </c>
      <c r="F5" s="715">
        <v>202304</v>
      </c>
      <c r="G5" s="715">
        <v>202305</v>
      </c>
      <c r="H5" s="715">
        <v>202306</v>
      </c>
      <c r="I5" s="715">
        <v>202307</v>
      </c>
      <c r="J5" s="715">
        <v>202308</v>
      </c>
      <c r="K5" s="715">
        <v>202309</v>
      </c>
      <c r="L5" s="715">
        <v>202310</v>
      </c>
      <c r="M5" s="715">
        <v>202311</v>
      </c>
      <c r="N5" s="715">
        <v>202312</v>
      </c>
      <c r="O5" s="701"/>
      <c r="P5" s="711" t="s">
        <v>826</v>
      </c>
    </row>
    <row r="6" spans="1:16" hidden="1">
      <c r="A6" s="713" t="s">
        <v>827</v>
      </c>
      <c r="B6" s="717">
        <v>55880540.679999992</v>
      </c>
      <c r="C6" s="704">
        <v>54169458.769999959</v>
      </c>
      <c r="D6" s="704">
        <v>54593706.819999993</v>
      </c>
      <c r="E6" s="704">
        <v>38307733.890000008</v>
      </c>
      <c r="F6" s="704">
        <v>40472553.98999998</v>
      </c>
      <c r="G6" s="704">
        <v>50370691.589999996</v>
      </c>
      <c r="H6" s="704">
        <v>52543100.04999999</v>
      </c>
      <c r="I6" s="704">
        <v>49488552.269999966</v>
      </c>
      <c r="J6" s="704">
        <v>50137249.349999987</v>
      </c>
      <c r="K6" s="704">
        <v>52123268.25</v>
      </c>
      <c r="L6" s="704">
        <v>48871181.019999996</v>
      </c>
      <c r="M6" s="704">
        <v>46142157.370000012</v>
      </c>
      <c r="N6" s="704">
        <v>18120019.379999995</v>
      </c>
      <c r="O6" s="701"/>
      <c r="P6" s="704">
        <v>47016939.494615383</v>
      </c>
    </row>
    <row r="7" spans="1:16" hidden="1">
      <c r="A7" s="713" t="s">
        <v>828</v>
      </c>
      <c r="B7" s="717">
        <v>381760993.09000015</v>
      </c>
      <c r="C7" s="704">
        <v>383061476.30000061</v>
      </c>
      <c r="D7" s="704">
        <v>369949677.80000007</v>
      </c>
      <c r="E7" s="704">
        <v>400633679.35000044</v>
      </c>
      <c r="F7" s="704">
        <v>424350604.56000024</v>
      </c>
      <c r="G7" s="704">
        <v>461017251.09000009</v>
      </c>
      <c r="H7" s="704">
        <v>493842938.06999987</v>
      </c>
      <c r="I7" s="704">
        <v>539127105.01000023</v>
      </c>
      <c r="J7" s="704">
        <v>580199518.47000015</v>
      </c>
      <c r="K7" s="704">
        <v>605639217.50999951</v>
      </c>
      <c r="L7" s="704">
        <v>620230209.6699996</v>
      </c>
      <c r="M7" s="704">
        <v>657573125.6500001</v>
      </c>
      <c r="N7" s="704">
        <v>424762102.42000061</v>
      </c>
      <c r="O7" s="701"/>
      <c r="P7" s="704">
        <v>487857530.69153851</v>
      </c>
    </row>
    <row r="8" spans="1:16" hidden="1">
      <c r="A8" s="713" t="s">
        <v>829</v>
      </c>
      <c r="B8" s="717">
        <v>86461938.169999897</v>
      </c>
      <c r="C8" s="704">
        <v>90475134.799999952</v>
      </c>
      <c r="D8" s="704">
        <v>94731916.299999967</v>
      </c>
      <c r="E8" s="704">
        <v>99469854.679999992</v>
      </c>
      <c r="F8" s="704">
        <v>103970793.81999996</v>
      </c>
      <c r="G8" s="704">
        <v>105593590.98999996</v>
      </c>
      <c r="H8" s="704">
        <v>106036797.25000001</v>
      </c>
      <c r="I8" s="704">
        <v>111876478.18999998</v>
      </c>
      <c r="J8" s="704">
        <v>103114261.05</v>
      </c>
      <c r="K8" s="704">
        <v>99527074.169999972</v>
      </c>
      <c r="L8" s="704">
        <v>104481494.40000004</v>
      </c>
      <c r="M8" s="704">
        <v>108375968.53999993</v>
      </c>
      <c r="N8" s="704">
        <v>95525428.310000002</v>
      </c>
      <c r="O8" s="701"/>
      <c r="P8" s="704">
        <v>100741594.66692305</v>
      </c>
    </row>
    <row r="9" spans="1:16" hidden="1">
      <c r="A9" s="713" t="s">
        <v>830</v>
      </c>
      <c r="B9" s="717">
        <v>281227962.10000044</v>
      </c>
      <c r="C9" s="704">
        <v>300446355.27999979</v>
      </c>
      <c r="D9" s="704">
        <v>303542524.51999992</v>
      </c>
      <c r="E9" s="704">
        <v>305740582.08999997</v>
      </c>
      <c r="F9" s="704">
        <v>316567678.65999985</v>
      </c>
      <c r="G9" s="704">
        <v>333384351.82999992</v>
      </c>
      <c r="H9" s="704">
        <v>328031603.16999996</v>
      </c>
      <c r="I9" s="704">
        <v>330282887.28999996</v>
      </c>
      <c r="J9" s="704">
        <v>317573523.25000006</v>
      </c>
      <c r="K9" s="704">
        <v>317429649.81999952</v>
      </c>
      <c r="L9" s="704">
        <v>294198385.89000082</v>
      </c>
      <c r="M9" s="704">
        <v>299074747.13000017</v>
      </c>
      <c r="N9" s="704">
        <v>303445704.68999952</v>
      </c>
      <c r="O9" s="701"/>
      <c r="P9" s="704">
        <v>310072765.82461536</v>
      </c>
    </row>
    <row r="10" spans="1:16" hidden="1">
      <c r="A10" s="713" t="s">
        <v>831</v>
      </c>
      <c r="B10" s="717">
        <v>64679727.930000015</v>
      </c>
      <c r="C10" s="704">
        <v>68803979.350000024</v>
      </c>
      <c r="D10" s="704">
        <v>76482381.519999981</v>
      </c>
      <c r="E10" s="704">
        <v>80539566.850000024</v>
      </c>
      <c r="F10" s="704">
        <v>87987638.12999998</v>
      </c>
      <c r="G10" s="704">
        <v>95319427.880000025</v>
      </c>
      <c r="H10" s="704">
        <v>108023743.48000002</v>
      </c>
      <c r="I10" s="704">
        <v>115622446.23</v>
      </c>
      <c r="J10" s="704">
        <v>128644633.93000002</v>
      </c>
      <c r="K10" s="704">
        <v>146491762.35999998</v>
      </c>
      <c r="L10" s="704">
        <v>159976950.59000003</v>
      </c>
      <c r="M10" s="704">
        <v>184828175.72000009</v>
      </c>
      <c r="N10" s="704">
        <v>217868302.23000011</v>
      </c>
      <c r="O10" s="701"/>
      <c r="P10" s="704">
        <v>118097595.09230772</v>
      </c>
    </row>
    <row r="11" spans="1:16" hidden="1">
      <c r="A11" s="713" t="s">
        <v>832</v>
      </c>
      <c r="B11" s="717">
        <v>14652565.099999996</v>
      </c>
      <c r="C11" s="704">
        <v>15679519.640000001</v>
      </c>
      <c r="D11" s="704">
        <v>15921555.689999998</v>
      </c>
      <c r="E11" s="704">
        <v>14491436.099999998</v>
      </c>
      <c r="F11" s="704">
        <v>19085667.229999997</v>
      </c>
      <c r="G11" s="704">
        <v>22696537.789999995</v>
      </c>
      <c r="H11" s="704">
        <v>24939689.920000002</v>
      </c>
      <c r="I11" s="704">
        <v>29338034.490000006</v>
      </c>
      <c r="J11" s="704">
        <v>35453879.840000011</v>
      </c>
      <c r="K11" s="704">
        <v>37059307.039999999</v>
      </c>
      <c r="L11" s="704">
        <v>40237296.319999993</v>
      </c>
      <c r="M11" s="704">
        <v>44408126.140000001</v>
      </c>
      <c r="N11" s="704">
        <v>27192033.960000008</v>
      </c>
      <c r="O11" s="701"/>
      <c r="P11" s="704">
        <v>26242742.250769231</v>
      </c>
    </row>
    <row r="12" spans="1:16" hidden="1">
      <c r="A12" s="713" t="s">
        <v>833</v>
      </c>
      <c r="B12" s="717">
        <v>0</v>
      </c>
      <c r="C12" s="704">
        <v>1684.75</v>
      </c>
      <c r="D12" s="704">
        <v>0</v>
      </c>
      <c r="E12" s="704">
        <v>0</v>
      </c>
      <c r="F12" s="704">
        <v>0</v>
      </c>
      <c r="G12" s="704">
        <v>0</v>
      </c>
      <c r="H12" s="704">
        <v>0</v>
      </c>
      <c r="I12" s="704">
        <v>0</v>
      </c>
      <c r="J12" s="704">
        <v>0</v>
      </c>
      <c r="K12" s="704">
        <v>0</v>
      </c>
      <c r="L12" s="704">
        <v>0</v>
      </c>
      <c r="M12" s="704">
        <v>0</v>
      </c>
      <c r="N12" s="704">
        <v>0</v>
      </c>
      <c r="O12" s="701"/>
      <c r="P12" s="704">
        <v>129.59615384615384</v>
      </c>
    </row>
    <row r="13" spans="1:16" hidden="1">
      <c r="A13" s="713" t="s">
        <v>834</v>
      </c>
      <c r="B13" s="717">
        <v>9552829.6400000006</v>
      </c>
      <c r="C13" s="704">
        <v>9552829.6400000006</v>
      </c>
      <c r="D13" s="704">
        <v>9582335.1600000001</v>
      </c>
      <c r="E13" s="704">
        <v>9611985.9399999995</v>
      </c>
      <c r="F13" s="704">
        <v>9641782.6899999995</v>
      </c>
      <c r="G13" s="704">
        <v>9671726.1199999992</v>
      </c>
      <c r="H13" s="704">
        <v>9701816.959999999</v>
      </c>
      <c r="I13" s="704">
        <v>9732055.9399999995</v>
      </c>
      <c r="J13" s="704">
        <v>6205568.79</v>
      </c>
      <c r="K13" s="704">
        <v>6236106.2400000002</v>
      </c>
      <c r="L13" s="704">
        <v>6266794.0200000005</v>
      </c>
      <c r="M13" s="704">
        <v>6297632.8799999999</v>
      </c>
      <c r="N13" s="704">
        <v>6328623.5600000005</v>
      </c>
      <c r="O13" s="701"/>
      <c r="P13" s="723">
        <v>8337083.6599999983</v>
      </c>
    </row>
    <row r="14" spans="1:16" hidden="1">
      <c r="A14" s="713" t="s">
        <v>835</v>
      </c>
      <c r="B14" s="717">
        <v>552064.96</v>
      </c>
      <c r="C14" s="704">
        <v>587684.44999999995</v>
      </c>
      <c r="D14" s="704">
        <v>575778.57999999996</v>
      </c>
      <c r="E14" s="704">
        <v>575778.57999999996</v>
      </c>
      <c r="F14" s="704">
        <v>580928.57999999996</v>
      </c>
      <c r="G14" s="704">
        <v>1282928.58</v>
      </c>
      <c r="H14" s="704">
        <v>743705.31</v>
      </c>
      <c r="I14" s="704">
        <v>1319483.8899999999</v>
      </c>
      <c r="J14" s="704">
        <v>0</v>
      </c>
      <c r="K14" s="704">
        <v>16830</v>
      </c>
      <c r="L14" s="704">
        <v>16830</v>
      </c>
      <c r="M14" s="704">
        <v>0</v>
      </c>
      <c r="N14" s="704">
        <v>0</v>
      </c>
      <c r="O14" s="701"/>
      <c r="P14" s="723">
        <v>480924.07153846149</v>
      </c>
    </row>
    <row r="15" spans="1:16" hidden="1">
      <c r="A15" s="708" t="s">
        <v>836</v>
      </c>
      <c r="B15" s="710">
        <v>894768621.67000055</v>
      </c>
      <c r="C15" s="710">
        <v>922778122.98000038</v>
      </c>
      <c r="D15" s="710">
        <v>925379876.38999987</v>
      </c>
      <c r="E15" s="710">
        <v>949370617.48000062</v>
      </c>
      <c r="F15" s="710">
        <v>1002657647.6600001</v>
      </c>
      <c r="G15" s="710">
        <v>1079336505.8699999</v>
      </c>
      <c r="H15" s="710">
        <v>1123863394.21</v>
      </c>
      <c r="I15" s="710">
        <v>1186787043.3100002</v>
      </c>
      <c r="J15" s="710">
        <v>1221328634.6800001</v>
      </c>
      <c r="K15" s="710">
        <v>1264523215.3899989</v>
      </c>
      <c r="L15" s="710">
        <v>1274279141.9100006</v>
      </c>
      <c r="M15" s="710">
        <v>1346699933.4300005</v>
      </c>
      <c r="N15" s="710">
        <v>1093242214.5500002</v>
      </c>
      <c r="O15" s="701"/>
      <c r="P15" s="710">
        <v>1098847305.3484614</v>
      </c>
    </row>
    <row r="16" spans="1:16" hidden="1">
      <c r="A16" s="701"/>
      <c r="B16" s="712" t="s">
        <v>837</v>
      </c>
      <c r="C16" s="712" t="s">
        <v>838</v>
      </c>
      <c r="D16" s="712" t="s">
        <v>839</v>
      </c>
      <c r="E16" s="712" t="s">
        <v>840</v>
      </c>
      <c r="F16" s="712" t="s">
        <v>841</v>
      </c>
      <c r="G16" s="712" t="s">
        <v>842</v>
      </c>
      <c r="H16" s="712" t="s">
        <v>843</v>
      </c>
      <c r="I16" s="712" t="s">
        <v>844</v>
      </c>
      <c r="J16" s="712" t="s">
        <v>845</v>
      </c>
      <c r="K16" s="712" t="s">
        <v>846</v>
      </c>
      <c r="L16" s="712" t="s">
        <v>847</v>
      </c>
      <c r="M16" s="712" t="s">
        <v>848</v>
      </c>
      <c r="N16" s="712" t="s">
        <v>849</v>
      </c>
      <c r="O16" s="712"/>
      <c r="P16" s="712" t="s">
        <v>850</v>
      </c>
    </row>
    <row r="17" spans="1:16" hidden="1"/>
    <row r="18" spans="1:16" hidden="1">
      <c r="A18" s="706" t="s">
        <v>851</v>
      </c>
      <c r="B18" s="707">
        <v>894768621.66999996</v>
      </c>
      <c r="C18" s="707">
        <v>922778122.98000002</v>
      </c>
      <c r="D18" s="707">
        <v>925379876.38999999</v>
      </c>
      <c r="E18" s="707">
        <v>949370617.48000002</v>
      </c>
      <c r="F18" s="707">
        <v>1002657647.66</v>
      </c>
      <c r="G18" s="707">
        <v>1079336505.8699999</v>
      </c>
      <c r="H18" s="707">
        <v>1123863394.21</v>
      </c>
      <c r="I18" s="707">
        <v>1186787043.3099999</v>
      </c>
      <c r="J18" s="707">
        <v>1221328634.6800001</v>
      </c>
      <c r="K18" s="707">
        <v>1264523215.3900001</v>
      </c>
      <c r="L18" s="707">
        <v>1274279141.9100001</v>
      </c>
      <c r="M18" s="707">
        <v>1346699933.4300001</v>
      </c>
      <c r="N18" s="707">
        <v>1093242214.55</v>
      </c>
      <c r="O18" s="704"/>
      <c r="P18" s="707">
        <v>1098847305.3499999</v>
      </c>
    </row>
    <row r="19" spans="1:16" hidden="1">
      <c r="A19" s="701"/>
      <c r="B19" s="705">
        <v>0</v>
      </c>
      <c r="C19" s="705">
        <v>0</v>
      </c>
      <c r="D19" s="705">
        <v>0</v>
      </c>
      <c r="E19" s="705">
        <v>0</v>
      </c>
      <c r="F19" s="705">
        <v>0</v>
      </c>
      <c r="G19" s="705">
        <v>0</v>
      </c>
      <c r="H19" s="705">
        <v>0</v>
      </c>
      <c r="I19" s="705">
        <v>0</v>
      </c>
      <c r="J19" s="705">
        <v>0</v>
      </c>
      <c r="K19" s="705">
        <v>0</v>
      </c>
      <c r="L19" s="705">
        <v>0</v>
      </c>
      <c r="M19" s="705">
        <v>0</v>
      </c>
      <c r="N19" s="705">
        <v>0</v>
      </c>
      <c r="O19" s="701"/>
      <c r="P19" s="705">
        <v>1.5385150909423828E-3</v>
      </c>
    </row>
    <row r="20" spans="1:16" s="670" customFormat="1" hidden="1"/>
    <row r="21" spans="1:16" ht="18">
      <c r="A21" s="781" t="s">
        <v>852</v>
      </c>
      <c r="B21" s="781"/>
      <c r="C21" s="781"/>
      <c r="D21" s="781"/>
      <c r="E21" s="781"/>
      <c r="F21" s="781"/>
      <c r="G21" s="781"/>
      <c r="H21" s="781"/>
      <c r="I21" s="781"/>
      <c r="J21" s="781"/>
      <c r="K21" s="781"/>
      <c r="L21" s="781"/>
      <c r="M21" s="781"/>
      <c r="N21" s="781"/>
      <c r="O21" s="781"/>
      <c r="P21" s="781"/>
    </row>
    <row r="22" spans="1:16" ht="15.6">
      <c r="A22" s="782" t="s">
        <v>824</v>
      </c>
      <c r="B22" s="782"/>
      <c r="C22" s="782"/>
      <c r="D22" s="782"/>
      <c r="E22" s="782"/>
      <c r="F22" s="782"/>
      <c r="G22" s="782"/>
      <c r="H22" s="782"/>
      <c r="I22" s="782"/>
      <c r="J22" s="782"/>
      <c r="K22" s="782"/>
      <c r="L22" s="782"/>
      <c r="M22" s="782"/>
      <c r="N22" s="782"/>
      <c r="O22" s="782"/>
      <c r="P22" s="782"/>
    </row>
    <row r="23" spans="1:16" ht="15.6">
      <c r="A23" s="675"/>
      <c r="B23" s="676"/>
      <c r="C23" s="676"/>
      <c r="D23" s="676"/>
      <c r="E23" s="676"/>
      <c r="F23" s="676"/>
      <c r="G23" s="675"/>
      <c r="H23" s="676"/>
      <c r="I23" s="676"/>
      <c r="J23" s="676"/>
      <c r="K23" s="676"/>
      <c r="L23" s="676"/>
      <c r="M23" s="676"/>
      <c r="N23" s="676"/>
      <c r="O23" s="676"/>
      <c r="P23" s="676"/>
    </row>
    <row r="24" spans="1:16">
      <c r="A24" s="677">
        <v>1</v>
      </c>
      <c r="B24" s="677">
        <v>2</v>
      </c>
      <c r="C24" s="677">
        <v>3</v>
      </c>
      <c r="D24" s="677">
        <v>4</v>
      </c>
      <c r="E24" s="677">
        <v>5</v>
      </c>
      <c r="F24" s="677">
        <v>6</v>
      </c>
      <c r="G24" s="677">
        <v>7</v>
      </c>
      <c r="H24" s="677">
        <v>8</v>
      </c>
      <c r="I24" s="677">
        <v>9</v>
      </c>
      <c r="J24" s="677">
        <v>10</v>
      </c>
      <c r="K24" s="677">
        <v>11</v>
      </c>
      <c r="L24" s="677">
        <v>12</v>
      </c>
      <c r="M24" s="677">
        <v>13</v>
      </c>
      <c r="N24" s="677">
        <v>14</v>
      </c>
      <c r="O24" s="678"/>
      <c r="P24" s="679">
        <v>2024</v>
      </c>
    </row>
    <row r="25" spans="1:16">
      <c r="A25" s="680" t="s">
        <v>825</v>
      </c>
      <c r="B25" s="679">
        <v>202412</v>
      </c>
      <c r="C25" s="679">
        <v>202501</v>
      </c>
      <c r="D25" s="679">
        <v>202502</v>
      </c>
      <c r="E25" s="679">
        <v>202503</v>
      </c>
      <c r="F25" s="679">
        <v>202504</v>
      </c>
      <c r="G25" s="679">
        <v>202505</v>
      </c>
      <c r="H25" s="679">
        <v>202506</v>
      </c>
      <c r="I25" s="679">
        <v>202507</v>
      </c>
      <c r="J25" s="679">
        <v>202508</v>
      </c>
      <c r="K25" s="679">
        <v>202509</v>
      </c>
      <c r="L25" s="679">
        <v>202510</v>
      </c>
      <c r="M25" s="679">
        <v>202511</v>
      </c>
      <c r="N25" s="679">
        <v>202512</v>
      </c>
      <c r="O25" s="678"/>
      <c r="P25" s="681" t="s">
        <v>826</v>
      </c>
    </row>
    <row r="26" spans="1:16">
      <c r="A26" s="682" t="s">
        <v>827</v>
      </c>
      <c r="B26" s="689">
        <v>6873187</v>
      </c>
      <c r="C26" s="689">
        <v>7665463</v>
      </c>
      <c r="D26" s="689">
        <v>8396578</v>
      </c>
      <c r="E26" s="689">
        <v>9216126</v>
      </c>
      <c r="F26" s="689">
        <v>10035674</v>
      </c>
      <c r="G26" s="689">
        <v>10855222</v>
      </c>
      <c r="H26" s="689">
        <v>10423468</v>
      </c>
      <c r="I26" s="689">
        <v>11049667</v>
      </c>
      <c r="J26" s="689">
        <v>10342414</v>
      </c>
      <c r="K26" s="689">
        <v>10188926</v>
      </c>
      <c r="L26" s="689">
        <v>10815125</v>
      </c>
      <c r="M26" s="689">
        <v>11441324</v>
      </c>
      <c r="N26" s="689">
        <v>11153018</v>
      </c>
      <c r="O26" s="689"/>
      <c r="P26" s="689">
        <v>9881246</v>
      </c>
    </row>
    <row r="27" spans="1:16">
      <c r="A27" s="682" t="s">
        <v>828</v>
      </c>
      <c r="B27" s="689">
        <v>456475868</v>
      </c>
      <c r="C27" s="689">
        <v>547997658</v>
      </c>
      <c r="D27" s="689">
        <v>549101328</v>
      </c>
      <c r="E27" s="689">
        <v>591447651</v>
      </c>
      <c r="F27" s="689">
        <v>453556755</v>
      </c>
      <c r="G27" s="689">
        <v>426730857</v>
      </c>
      <c r="H27" s="689">
        <v>477196008</v>
      </c>
      <c r="I27" s="689">
        <v>546089510</v>
      </c>
      <c r="J27" s="689">
        <v>580426595</v>
      </c>
      <c r="K27" s="689">
        <v>601587628</v>
      </c>
      <c r="L27" s="689">
        <v>625624969</v>
      </c>
      <c r="M27" s="689">
        <v>642304414</v>
      </c>
      <c r="N27" s="689">
        <v>425579106</v>
      </c>
      <c r="O27" s="689"/>
      <c r="P27" s="689">
        <v>532624488</v>
      </c>
    </row>
    <row r="28" spans="1:16">
      <c r="A28" s="682" t="s">
        <v>829</v>
      </c>
      <c r="B28" s="689">
        <v>54621920</v>
      </c>
      <c r="C28" s="689">
        <v>58947158</v>
      </c>
      <c r="D28" s="689">
        <v>63510434</v>
      </c>
      <c r="E28" s="689">
        <v>69434101</v>
      </c>
      <c r="F28" s="689">
        <v>59610976</v>
      </c>
      <c r="G28" s="689">
        <v>42400237</v>
      </c>
      <c r="H28" s="689">
        <v>55216071</v>
      </c>
      <c r="I28" s="689">
        <v>58690990</v>
      </c>
      <c r="J28" s="689">
        <v>62899349</v>
      </c>
      <c r="K28" s="689">
        <v>68935728</v>
      </c>
      <c r="L28" s="689">
        <v>73498933</v>
      </c>
      <c r="M28" s="689">
        <v>78084173</v>
      </c>
      <c r="N28" s="689">
        <v>66262815</v>
      </c>
      <c r="O28" s="689"/>
      <c r="P28" s="689">
        <v>62470222</v>
      </c>
    </row>
    <row r="29" spans="1:16">
      <c r="A29" s="682" t="s">
        <v>830</v>
      </c>
      <c r="B29" s="689">
        <v>101838330</v>
      </c>
      <c r="C29" s="689">
        <v>102609831</v>
      </c>
      <c r="D29" s="689">
        <v>101544449</v>
      </c>
      <c r="E29" s="689">
        <v>95852293</v>
      </c>
      <c r="F29" s="689">
        <v>93745752</v>
      </c>
      <c r="G29" s="689">
        <v>94148525</v>
      </c>
      <c r="H29" s="689">
        <v>107416272</v>
      </c>
      <c r="I29" s="689">
        <v>109061068</v>
      </c>
      <c r="J29" s="689">
        <v>109884378</v>
      </c>
      <c r="K29" s="689">
        <v>107438323</v>
      </c>
      <c r="L29" s="689">
        <v>106512201</v>
      </c>
      <c r="M29" s="689">
        <v>104831639</v>
      </c>
      <c r="N29" s="689">
        <v>37836673</v>
      </c>
      <c r="O29" s="689"/>
      <c r="P29" s="689">
        <v>97901518</v>
      </c>
    </row>
    <row r="30" spans="1:16">
      <c r="A30" s="682" t="s">
        <v>831</v>
      </c>
      <c r="B30" s="689">
        <v>430612901</v>
      </c>
      <c r="C30" s="689">
        <v>465708942</v>
      </c>
      <c r="D30" s="689">
        <v>501147778</v>
      </c>
      <c r="E30" s="689">
        <v>534507886</v>
      </c>
      <c r="F30" s="689">
        <v>567903399</v>
      </c>
      <c r="G30" s="689">
        <v>418650599</v>
      </c>
      <c r="H30" s="689">
        <v>111821616</v>
      </c>
      <c r="I30" s="689">
        <v>148411073</v>
      </c>
      <c r="J30" s="689">
        <v>130303426</v>
      </c>
      <c r="K30" s="689">
        <v>134936887</v>
      </c>
      <c r="L30" s="689">
        <v>110050881</v>
      </c>
      <c r="M30" s="689">
        <v>116733855</v>
      </c>
      <c r="N30" s="689">
        <v>104384729</v>
      </c>
      <c r="O30" s="689"/>
      <c r="P30" s="689">
        <v>290397998</v>
      </c>
    </row>
    <row r="31" spans="1:16">
      <c r="A31" s="682" t="s">
        <v>832</v>
      </c>
      <c r="B31" s="689">
        <v>31864146</v>
      </c>
      <c r="C31" s="689">
        <v>31386892</v>
      </c>
      <c r="D31" s="689">
        <v>39036631</v>
      </c>
      <c r="E31" s="689">
        <v>42771274</v>
      </c>
      <c r="F31" s="689">
        <v>49278372</v>
      </c>
      <c r="G31" s="689">
        <v>56452167</v>
      </c>
      <c r="H31" s="689">
        <v>64331250</v>
      </c>
      <c r="I31" s="689">
        <v>72354488</v>
      </c>
      <c r="J31" s="689">
        <v>80242167</v>
      </c>
      <c r="K31" s="689">
        <v>66570734</v>
      </c>
      <c r="L31" s="689">
        <v>69637146</v>
      </c>
      <c r="M31" s="689">
        <v>73319317</v>
      </c>
      <c r="N31" s="689">
        <v>66750131</v>
      </c>
      <c r="O31" s="689"/>
      <c r="P31" s="689">
        <v>57230363</v>
      </c>
    </row>
    <row r="32" spans="1:16">
      <c r="A32" s="682" t="s">
        <v>833</v>
      </c>
      <c r="B32" s="689"/>
      <c r="C32" s="689"/>
      <c r="D32" s="689"/>
      <c r="E32" s="689"/>
      <c r="F32" s="689"/>
      <c r="G32" s="689"/>
      <c r="H32" s="689"/>
      <c r="I32" s="689"/>
      <c r="J32" s="689"/>
      <c r="K32" s="689"/>
      <c r="L32" s="689"/>
      <c r="M32" s="689"/>
      <c r="N32" s="689"/>
      <c r="O32" s="689"/>
      <c r="P32" s="689"/>
    </row>
    <row r="33" spans="1:16">
      <c r="A33" s="682" t="s">
        <v>834</v>
      </c>
      <c r="B33" s="689">
        <v>2553</v>
      </c>
      <c r="C33" s="689">
        <v>2553</v>
      </c>
      <c r="D33" s="689">
        <v>2553</v>
      </c>
      <c r="E33" s="689">
        <v>2553</v>
      </c>
      <c r="F33" s="689">
        <v>2553</v>
      </c>
      <c r="G33" s="689">
        <v>2553</v>
      </c>
      <c r="H33" s="689">
        <v>0</v>
      </c>
      <c r="I33" s="689">
        <v>0</v>
      </c>
      <c r="J33" s="689">
        <v>0</v>
      </c>
      <c r="K33" s="689">
        <v>0</v>
      </c>
      <c r="L33" s="689">
        <v>0</v>
      </c>
      <c r="M33" s="689">
        <v>0</v>
      </c>
      <c r="N33" s="689">
        <v>0</v>
      </c>
      <c r="O33" s="689"/>
      <c r="P33" s="689">
        <v>1178</v>
      </c>
    </row>
    <row r="34" spans="1:16">
      <c r="A34" s="682" t="s">
        <v>835</v>
      </c>
      <c r="B34" s="689">
        <v>0</v>
      </c>
      <c r="C34" s="689">
        <v>0</v>
      </c>
      <c r="D34" s="689">
        <v>0</v>
      </c>
      <c r="E34" s="689">
        <v>0</v>
      </c>
      <c r="F34" s="689">
        <v>0</v>
      </c>
      <c r="G34" s="689">
        <v>0</v>
      </c>
      <c r="H34" s="689">
        <v>0</v>
      </c>
      <c r="I34" s="689">
        <v>0</v>
      </c>
      <c r="J34" s="689">
        <v>0</v>
      </c>
      <c r="K34" s="689">
        <v>0</v>
      </c>
      <c r="L34" s="689">
        <v>0</v>
      </c>
      <c r="M34" s="689">
        <v>0</v>
      </c>
      <c r="N34" s="689">
        <v>0</v>
      </c>
      <c r="O34" s="689"/>
      <c r="P34" s="689">
        <v>0</v>
      </c>
    </row>
    <row r="35" spans="1:16">
      <c r="A35" s="683"/>
      <c r="B35" s="678"/>
      <c r="C35" s="678"/>
      <c r="D35" s="678"/>
      <c r="E35" s="678"/>
      <c r="F35" s="678"/>
      <c r="G35" s="678"/>
      <c r="H35" s="678"/>
      <c r="I35" s="678"/>
      <c r="J35" s="678"/>
      <c r="K35" s="678"/>
      <c r="L35" s="678"/>
      <c r="M35" s="678"/>
      <c r="N35" s="678"/>
      <c r="O35" s="783"/>
      <c r="P35" s="783"/>
    </row>
    <row r="36" spans="1:16">
      <c r="A36" s="684" t="s">
        <v>836</v>
      </c>
      <c r="B36" s="685">
        <v>1082288904</v>
      </c>
      <c r="C36" s="685">
        <v>1214318498</v>
      </c>
      <c r="D36" s="685">
        <v>1262739751</v>
      </c>
      <c r="E36" s="685">
        <v>1343231884</v>
      </c>
      <c r="F36" s="685">
        <v>1234133482</v>
      </c>
      <c r="G36" s="685">
        <v>1049240159</v>
      </c>
      <c r="H36" s="685">
        <v>826404685</v>
      </c>
      <c r="I36" s="685">
        <v>945656797</v>
      </c>
      <c r="J36" s="685">
        <v>974098327</v>
      </c>
      <c r="K36" s="685">
        <v>989658225</v>
      </c>
      <c r="L36" s="685">
        <v>996139255</v>
      </c>
      <c r="M36" s="685">
        <v>1026714722</v>
      </c>
      <c r="N36" s="685">
        <v>711966473</v>
      </c>
      <c r="O36" s="678"/>
      <c r="P36" s="685">
        <v>1050507012</v>
      </c>
    </row>
    <row r="37" spans="1:16">
      <c r="A37" s="678"/>
      <c r="B37" s="686" t="s">
        <v>837</v>
      </c>
      <c r="C37" s="686" t="s">
        <v>838</v>
      </c>
      <c r="D37" s="686" t="s">
        <v>839</v>
      </c>
      <c r="E37" s="686" t="s">
        <v>840</v>
      </c>
      <c r="F37" s="686" t="s">
        <v>841</v>
      </c>
      <c r="G37" s="686" t="s">
        <v>842</v>
      </c>
      <c r="H37" s="686" t="s">
        <v>843</v>
      </c>
      <c r="I37" s="686" t="s">
        <v>844</v>
      </c>
      <c r="J37" s="686" t="s">
        <v>845</v>
      </c>
      <c r="K37" s="686" t="s">
        <v>846</v>
      </c>
      <c r="L37" s="686" t="s">
        <v>847</v>
      </c>
      <c r="M37" s="686" t="s">
        <v>848</v>
      </c>
      <c r="N37" s="686" t="s">
        <v>849</v>
      </c>
      <c r="O37" s="686"/>
      <c r="P37" s="686" t="s">
        <v>850</v>
      </c>
    </row>
    <row r="38" spans="1:16">
      <c r="A38" s="678"/>
      <c r="B38" s="678"/>
      <c r="C38" s="678"/>
      <c r="D38" s="678"/>
      <c r="E38" s="678"/>
      <c r="F38" s="678"/>
      <c r="G38" s="678"/>
      <c r="H38" s="678"/>
      <c r="I38" s="678"/>
      <c r="J38" s="678"/>
      <c r="K38" s="678"/>
      <c r="L38" s="678"/>
      <c r="M38" s="678"/>
      <c r="N38" s="678"/>
      <c r="O38" s="783"/>
      <c r="P38" s="783"/>
    </row>
    <row r="39" spans="1:16">
      <c r="A39" s="687" t="s">
        <v>851</v>
      </c>
      <c r="B39" s="688">
        <v>1082288904</v>
      </c>
      <c r="C39" s="688">
        <v>1214318498</v>
      </c>
      <c r="D39" s="688">
        <v>1262739751</v>
      </c>
      <c r="E39" s="688">
        <v>1343231884</v>
      </c>
      <c r="F39" s="688">
        <v>1234133482</v>
      </c>
      <c r="G39" s="688">
        <v>1049240159</v>
      </c>
      <c r="H39" s="688">
        <v>826404685</v>
      </c>
      <c r="I39" s="688">
        <v>945656797</v>
      </c>
      <c r="J39" s="688">
        <v>974098327</v>
      </c>
      <c r="K39" s="688">
        <v>989658225</v>
      </c>
      <c r="L39" s="688">
        <v>996139255</v>
      </c>
      <c r="M39" s="688">
        <v>1026714722</v>
      </c>
      <c r="N39" s="688">
        <v>711966473</v>
      </c>
      <c r="O39" s="678"/>
      <c r="P39" s="688">
        <v>1050507013</v>
      </c>
    </row>
    <row r="40" spans="1:16">
      <c r="A40" s="678"/>
      <c r="B40" s="689">
        <v>0</v>
      </c>
      <c r="C40" s="689">
        <v>0</v>
      </c>
      <c r="D40" s="689">
        <v>0</v>
      </c>
      <c r="E40" s="689">
        <v>0</v>
      </c>
      <c r="F40" s="689">
        <v>0</v>
      </c>
      <c r="G40" s="689">
        <v>0</v>
      </c>
      <c r="H40" s="689">
        <v>0</v>
      </c>
      <c r="I40" s="689">
        <v>0</v>
      </c>
      <c r="J40" s="689">
        <v>0</v>
      </c>
      <c r="K40" s="689">
        <v>0</v>
      </c>
      <c r="L40" s="689">
        <v>0</v>
      </c>
      <c r="M40" s="689">
        <v>0</v>
      </c>
      <c r="N40" s="689">
        <v>0</v>
      </c>
      <c r="O40" s="678"/>
      <c r="P40" s="678">
        <v>0</v>
      </c>
    </row>
  </sheetData>
  <mergeCells count="4">
    <mergeCell ref="A21:P21"/>
    <mergeCell ref="A22:P22"/>
    <mergeCell ref="O35:P35"/>
    <mergeCell ref="O38:P38"/>
  </mergeCells>
  <pageMargins left="0.7" right="0.7" top="0.75" bottom="0.75" header="0.3" footer="0.3"/>
  <customProperties>
    <customPr name="EpmWorksheetKeyString_GU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B43B-64C0-40C8-8215-67C3CBA7F195}">
  <sheetPr>
    <tabColor rgb="FFFFE8B9"/>
  </sheetPr>
  <dimension ref="A1:W156"/>
  <sheetViews>
    <sheetView topLeftCell="A36" zoomScaleNormal="100" zoomScaleSheetLayoutView="100" workbookViewId="0">
      <selection activeCell="H65" sqref="H65"/>
    </sheetView>
  </sheetViews>
  <sheetFormatPr defaultColWidth="9.109375" defaultRowHeight="13.2"/>
  <cols>
    <col min="1" max="1" width="9.109375" style="81"/>
    <col min="2" max="2" width="11.5546875" style="81" customWidth="1"/>
    <col min="3" max="7" width="11.109375" style="81" customWidth="1"/>
    <col min="8" max="8" width="16.5546875" style="81" customWidth="1"/>
    <col min="9" max="9" width="10.33203125" style="81" customWidth="1"/>
    <col min="10" max="10" width="14.88671875" style="81" customWidth="1"/>
    <col min="11" max="11" width="10.33203125" style="81" customWidth="1"/>
    <col min="12" max="12" width="10" style="81" customWidth="1"/>
    <col min="13" max="14" width="4.88671875" style="81" customWidth="1"/>
    <col min="15" max="15" width="17.88671875" style="81" customWidth="1"/>
    <col min="16" max="16" width="4.88671875" style="81" customWidth="1"/>
    <col min="17" max="18" width="9.33203125" style="81" customWidth="1"/>
    <col min="19" max="19" width="10.33203125" style="81" customWidth="1"/>
    <col min="20" max="20" width="9.109375" style="300"/>
    <col min="21" max="21" width="15.33203125" style="81" hidden="1" customWidth="1"/>
    <col min="22" max="22" width="14.33203125" style="81" hidden="1" customWidth="1"/>
    <col min="23" max="23" width="0" style="81" hidden="1" customWidth="1"/>
    <col min="24" max="16384" width="9.109375" style="81"/>
  </cols>
  <sheetData>
    <row r="1" spans="1:20" ht="13.8" thickBot="1">
      <c r="A1" s="1" t="s">
        <v>853</v>
      </c>
      <c r="B1" s="1"/>
      <c r="C1" s="1"/>
      <c r="D1" s="1"/>
      <c r="E1" s="1"/>
      <c r="F1" s="1"/>
      <c r="G1" s="1"/>
      <c r="H1" s="2" t="s">
        <v>854</v>
      </c>
      <c r="I1" s="2"/>
      <c r="J1" s="1"/>
      <c r="K1" s="1"/>
      <c r="L1" s="1"/>
      <c r="M1" s="1"/>
      <c r="N1" s="1"/>
      <c r="O1" s="1"/>
      <c r="P1" s="1"/>
      <c r="Q1" s="1"/>
      <c r="R1" s="1"/>
      <c r="S1" s="1" t="s">
        <v>2</v>
      </c>
      <c r="T1" s="82" t="s">
        <v>533</v>
      </c>
    </row>
    <row r="2" spans="1:20">
      <c r="A2" s="4" t="s">
        <v>4</v>
      </c>
      <c r="B2" s="4"/>
      <c r="C2" s="4"/>
      <c r="D2" s="4"/>
      <c r="E2" s="4"/>
      <c r="F2" s="4" t="s">
        <v>343</v>
      </c>
      <c r="G2" s="4" t="s">
        <v>855</v>
      </c>
      <c r="H2" s="5"/>
      <c r="I2" s="5"/>
      <c r="J2" s="6"/>
      <c r="K2" s="6"/>
      <c r="L2" s="4"/>
      <c r="M2" s="6"/>
      <c r="N2" s="6"/>
      <c r="O2" s="6"/>
      <c r="P2" s="6" t="s">
        <v>7</v>
      </c>
      <c r="Q2" s="4"/>
      <c r="R2" s="4"/>
      <c r="S2" s="7"/>
    </row>
    <row r="3" spans="1:20">
      <c r="A3" s="4"/>
      <c r="B3" s="4"/>
      <c r="C3" s="4"/>
      <c r="D3" s="4"/>
      <c r="E3" s="4"/>
      <c r="F3" s="4"/>
      <c r="G3" s="4" t="s">
        <v>856</v>
      </c>
      <c r="H3" s="5"/>
      <c r="I3" s="5"/>
      <c r="J3" s="9"/>
      <c r="K3" s="7"/>
      <c r="L3" s="4"/>
      <c r="M3" s="4"/>
      <c r="N3" s="4"/>
      <c r="O3" s="9"/>
      <c r="P3" s="9" t="s">
        <v>12</v>
      </c>
      <c r="Q3" s="7" t="s">
        <v>9</v>
      </c>
      <c r="R3" s="4"/>
      <c r="S3" s="9"/>
    </row>
    <row r="4" spans="1:20">
      <c r="A4" s="4" t="s">
        <v>10</v>
      </c>
      <c r="B4" s="4"/>
      <c r="C4" s="4"/>
      <c r="D4" s="4"/>
      <c r="E4" s="4"/>
      <c r="F4" s="4"/>
      <c r="G4" s="4" t="s">
        <v>857</v>
      </c>
      <c r="H4" s="4"/>
      <c r="I4" s="4"/>
      <c r="J4" s="9"/>
      <c r="K4" s="7"/>
      <c r="L4" s="9"/>
      <c r="M4" s="4"/>
      <c r="N4" s="4"/>
      <c r="O4" s="4"/>
      <c r="P4" s="9" t="s">
        <v>12</v>
      </c>
      <c r="Q4" s="7" t="s">
        <v>11</v>
      </c>
      <c r="R4" s="4"/>
      <c r="S4" s="9"/>
    </row>
    <row r="5" spans="1:20">
      <c r="A5" s="4"/>
      <c r="B5" s="4"/>
      <c r="C5" s="4"/>
      <c r="D5" s="4"/>
      <c r="E5" s="4"/>
      <c r="F5" s="4"/>
      <c r="G5" s="4" t="s">
        <v>858</v>
      </c>
      <c r="H5" s="4"/>
      <c r="I5" s="4"/>
      <c r="J5" s="9"/>
      <c r="K5" s="7"/>
      <c r="L5" s="9"/>
      <c r="M5" s="4"/>
      <c r="N5" s="4"/>
      <c r="O5" s="4"/>
      <c r="P5" s="9"/>
      <c r="Q5" s="7" t="s">
        <v>13</v>
      </c>
      <c r="R5" s="4"/>
      <c r="S5" s="9"/>
    </row>
    <row r="6" spans="1:20" ht="13.8" thickBot="1">
      <c r="A6" s="2" t="s">
        <v>859</v>
      </c>
      <c r="B6" s="2"/>
      <c r="C6" s="1"/>
      <c r="D6" s="1"/>
      <c r="E6" s="1"/>
      <c r="F6" s="1"/>
      <c r="G6" s="1"/>
      <c r="H6" s="1"/>
      <c r="I6" s="2" t="s">
        <v>15</v>
      </c>
      <c r="J6" s="10"/>
      <c r="K6" s="1"/>
      <c r="L6" s="1"/>
      <c r="M6" s="1"/>
      <c r="N6" s="1"/>
      <c r="O6" s="1"/>
      <c r="P6" s="1"/>
      <c r="Q6" s="2" t="s">
        <v>16</v>
      </c>
      <c r="R6" s="1"/>
      <c r="S6" s="1"/>
    </row>
    <row r="7" spans="1:20">
      <c r="A7" s="4"/>
      <c r="B7" s="83"/>
      <c r="C7" s="83"/>
      <c r="D7" s="83"/>
      <c r="E7" s="83"/>
      <c r="F7" s="83"/>
      <c r="G7" s="83"/>
      <c r="H7" s="83" t="s">
        <v>17</v>
      </c>
      <c r="I7" s="83"/>
      <c r="J7" s="83" t="s">
        <v>18</v>
      </c>
      <c r="K7" s="83"/>
      <c r="L7" s="83" t="s">
        <v>19</v>
      </c>
      <c r="M7" s="4"/>
      <c r="N7" s="83"/>
      <c r="O7" s="83" t="s">
        <v>20</v>
      </c>
      <c r="P7" s="83"/>
      <c r="Q7" s="83"/>
      <c r="R7" s="301"/>
      <c r="S7" s="301"/>
    </row>
    <row r="8" spans="1:20">
      <c r="A8" s="4"/>
      <c r="B8" s="84" t="s">
        <v>355</v>
      </c>
      <c r="C8" s="84"/>
      <c r="D8" s="84"/>
      <c r="E8" s="84"/>
      <c r="F8" s="83"/>
      <c r="G8" s="84"/>
      <c r="H8" s="84" t="s">
        <v>860</v>
      </c>
      <c r="I8" s="84"/>
      <c r="J8" s="84" t="s">
        <v>861</v>
      </c>
      <c r="K8" s="84"/>
      <c r="L8" s="83"/>
      <c r="M8" s="4"/>
      <c r="N8" s="4"/>
      <c r="O8" s="83" t="s">
        <v>539</v>
      </c>
      <c r="P8" s="4"/>
      <c r="Q8" s="84"/>
      <c r="R8" s="301"/>
      <c r="S8" s="301"/>
    </row>
    <row r="9" spans="1:20">
      <c r="A9" s="4" t="s">
        <v>35</v>
      </c>
      <c r="B9" s="84" t="s">
        <v>46</v>
      </c>
      <c r="C9" s="84"/>
      <c r="D9" s="84" t="s">
        <v>862</v>
      </c>
      <c r="E9" s="83"/>
      <c r="F9" s="84"/>
      <c r="G9" s="84"/>
      <c r="H9" s="83" t="s">
        <v>214</v>
      </c>
      <c r="I9" s="84"/>
      <c r="J9" s="83" t="s">
        <v>214</v>
      </c>
      <c r="K9" s="84"/>
      <c r="L9" s="83" t="s">
        <v>539</v>
      </c>
      <c r="M9" s="4"/>
      <c r="N9" s="83"/>
      <c r="O9" s="84" t="s">
        <v>98</v>
      </c>
      <c r="P9" s="83"/>
      <c r="Q9" s="84"/>
      <c r="R9" s="302"/>
      <c r="S9" s="303"/>
    </row>
    <row r="10" spans="1:20">
      <c r="A10" s="4" t="s">
        <v>46</v>
      </c>
      <c r="B10" s="84"/>
      <c r="C10" s="84"/>
      <c r="D10" s="84"/>
      <c r="E10" s="83"/>
      <c r="F10" s="84"/>
      <c r="G10" s="84"/>
      <c r="H10" s="84" t="s">
        <v>45</v>
      </c>
      <c r="I10" s="84"/>
      <c r="J10" s="84" t="s">
        <v>45</v>
      </c>
      <c r="K10" s="83"/>
      <c r="L10" s="84" t="s">
        <v>98</v>
      </c>
      <c r="M10" s="4"/>
      <c r="N10" s="83"/>
      <c r="O10" s="84" t="s">
        <v>109</v>
      </c>
      <c r="P10" s="83"/>
      <c r="Q10" s="84"/>
      <c r="R10" s="301"/>
      <c r="S10" s="303"/>
    </row>
    <row r="11" spans="1:20" ht="13.8" thickBot="1">
      <c r="A11" s="1"/>
      <c r="B11" s="10"/>
      <c r="C11" s="10"/>
      <c r="D11" s="10"/>
      <c r="E11" s="10"/>
      <c r="F11" s="304"/>
      <c r="G11" s="304"/>
      <c r="H11" s="305" t="s">
        <v>863</v>
      </c>
      <c r="I11" s="305"/>
      <c r="J11" s="305" t="s">
        <v>863</v>
      </c>
      <c r="K11" s="305"/>
      <c r="L11" s="305" t="s">
        <v>110</v>
      </c>
      <c r="M11" s="1"/>
      <c r="N11" s="89"/>
      <c r="O11" s="305" t="s">
        <v>864</v>
      </c>
      <c r="P11" s="89"/>
      <c r="Q11" s="89"/>
      <c r="R11" s="306"/>
      <c r="S11" s="306"/>
    </row>
    <row r="12" spans="1:20">
      <c r="A12" s="4">
        <v>1</v>
      </c>
      <c r="B12" s="84"/>
      <c r="C12" s="84"/>
      <c r="D12" s="84"/>
      <c r="E12" s="84"/>
      <c r="F12" s="307"/>
      <c r="G12" s="307"/>
      <c r="H12" s="308"/>
      <c r="I12" s="308"/>
      <c r="J12" s="308" t="s">
        <v>865</v>
      </c>
      <c r="K12" s="308"/>
      <c r="L12" s="308"/>
      <c r="M12" s="4"/>
      <c r="N12" s="83"/>
      <c r="O12" s="308"/>
      <c r="P12" s="83"/>
      <c r="Q12" s="83"/>
      <c r="R12" s="301"/>
      <c r="T12" s="81"/>
    </row>
    <row r="13" spans="1:20">
      <c r="A13" s="4">
        <v>2</v>
      </c>
      <c r="B13" s="258"/>
      <c r="C13" s="8" t="s">
        <v>391</v>
      </c>
      <c r="D13" s="4"/>
      <c r="E13" s="162"/>
      <c r="F13" s="162"/>
      <c r="G13" s="162"/>
      <c r="H13" s="258"/>
      <c r="I13" s="4"/>
      <c r="J13" s="258"/>
      <c r="K13" s="4"/>
      <c r="L13" s="162"/>
      <c r="M13" s="4"/>
      <c r="N13" s="162"/>
      <c r="O13" s="162"/>
      <c r="P13" s="162"/>
      <c r="Q13" s="162"/>
      <c r="R13" s="162"/>
      <c r="S13" s="162"/>
    </row>
    <row r="14" spans="1:20">
      <c r="A14" s="4">
        <v>3</v>
      </c>
      <c r="B14" s="403">
        <v>121</v>
      </c>
      <c r="C14" s="309" t="s">
        <v>266</v>
      </c>
      <c r="H14" s="162">
        <f>'B-3'!S183</f>
        <v>22067.129445384613</v>
      </c>
      <c r="I14" s="4"/>
      <c r="J14" s="162">
        <f>'B-3'!S345</f>
        <v>24533.891339230773</v>
      </c>
      <c r="L14" s="310">
        <f t="shared" ref="L14:L15" si="0">$L$19</f>
        <v>0.99655866997400888</v>
      </c>
      <c r="O14" s="162">
        <f t="shared" ref="O14:O15" si="1">+J14*L14</f>
        <v>24449.462122310673</v>
      </c>
      <c r="P14" s="162"/>
      <c r="Q14" s="162"/>
      <c r="R14" s="162"/>
      <c r="S14" s="162"/>
      <c r="T14" s="311" t="s">
        <v>393</v>
      </c>
    </row>
    <row r="15" spans="1:20">
      <c r="A15" s="4">
        <v>4</v>
      </c>
      <c r="B15" s="403">
        <v>122</v>
      </c>
      <c r="C15" s="309" t="s">
        <v>267</v>
      </c>
      <c r="H15" s="27">
        <f>'B-3'!S184</f>
        <v>-7530.3460546153847</v>
      </c>
      <c r="J15" s="162">
        <f>'B-3'!S346</f>
        <v>-8155.8566861538466</v>
      </c>
      <c r="L15" s="310">
        <f t="shared" si="0"/>
        <v>0.99655866997400888</v>
      </c>
      <c r="O15" s="27">
        <f t="shared" si="1"/>
        <v>-8127.7896916521049</v>
      </c>
      <c r="T15" s="311" t="s">
        <v>393</v>
      </c>
    </row>
    <row r="16" spans="1:20">
      <c r="A16" s="4">
        <v>5</v>
      </c>
      <c r="C16" s="437" t="s">
        <v>564</v>
      </c>
      <c r="H16" s="315">
        <f>SUM(H14:H15)</f>
        <v>14536.783390769229</v>
      </c>
      <c r="J16" s="315">
        <f>SUM(J14:J15)</f>
        <v>16378.034653076927</v>
      </c>
      <c r="O16" s="315">
        <f>SUM(O14:O15)</f>
        <v>16321.672430658567</v>
      </c>
    </row>
    <row r="17" spans="1:20">
      <c r="A17" s="4">
        <v>6</v>
      </c>
      <c r="J17" s="162"/>
    </row>
    <row r="18" spans="1:20">
      <c r="A18" s="4">
        <v>7</v>
      </c>
      <c r="C18" s="8" t="s">
        <v>269</v>
      </c>
      <c r="J18" s="162"/>
      <c r="P18" s="4"/>
      <c r="Q18" s="4"/>
      <c r="R18" s="162"/>
      <c r="S18" s="162"/>
      <c r="T18" s="312" t="s">
        <v>118</v>
      </c>
    </row>
    <row r="19" spans="1:20">
      <c r="A19" s="4">
        <v>8</v>
      </c>
      <c r="B19" s="403" t="s">
        <v>397</v>
      </c>
      <c r="C19" s="309" t="s">
        <v>270</v>
      </c>
      <c r="D19" s="4"/>
      <c r="E19" s="4"/>
      <c r="F19" s="150"/>
      <c r="G19" s="150"/>
      <c r="H19" s="27">
        <f>'B-3'!S188</f>
        <v>1289.7578007692307</v>
      </c>
      <c r="J19" s="27">
        <f>'B-3'!$S350</f>
        <v>1000</v>
      </c>
      <c r="K19" s="4"/>
      <c r="L19" s="310">
        <f>'Separation Factors'!B49</f>
        <v>0.99655866997400888</v>
      </c>
      <c r="M19" s="258"/>
      <c r="N19" s="162"/>
      <c r="O19" s="162">
        <f t="shared" ref="O19:O38" si="2">+J19*L19</f>
        <v>996.55866997400892</v>
      </c>
      <c r="P19" s="4"/>
      <c r="Q19" s="4"/>
      <c r="R19" s="150"/>
      <c r="S19" s="150"/>
      <c r="T19" s="312" t="s">
        <v>118</v>
      </c>
    </row>
    <row r="20" spans="1:20">
      <c r="A20" s="4">
        <v>9</v>
      </c>
      <c r="B20" s="403" t="s">
        <v>398</v>
      </c>
      <c r="C20" s="309" t="s">
        <v>271</v>
      </c>
      <c r="D20" s="4"/>
      <c r="E20" s="4"/>
      <c r="F20" s="150"/>
      <c r="G20" s="150"/>
      <c r="H20" s="27">
        <f>+'B-3'!S189</f>
        <v>0</v>
      </c>
      <c r="J20" s="27">
        <f>'B-3'!$S351</f>
        <v>0</v>
      </c>
      <c r="K20" s="4"/>
      <c r="L20" s="310">
        <f t="shared" ref="L20:L29" si="3">$L$19</f>
        <v>0.99655866997400888</v>
      </c>
      <c r="M20" s="4"/>
      <c r="N20" s="162"/>
      <c r="O20" s="27">
        <f t="shared" si="2"/>
        <v>0</v>
      </c>
      <c r="P20" s="4"/>
      <c r="Q20" s="4"/>
      <c r="R20" s="150"/>
      <c r="S20" s="150"/>
      <c r="T20" s="312" t="s">
        <v>118</v>
      </c>
    </row>
    <row r="21" spans="1:20">
      <c r="A21" s="4">
        <v>10</v>
      </c>
      <c r="B21" s="403" t="s">
        <v>399</v>
      </c>
      <c r="C21" s="309" t="s">
        <v>272</v>
      </c>
      <c r="D21" s="4"/>
      <c r="E21" s="4"/>
      <c r="F21" s="150"/>
      <c r="G21" s="150"/>
      <c r="H21" s="27">
        <f>+'B-3'!S190</f>
        <v>52.54231307692308</v>
      </c>
      <c r="J21" s="27">
        <f>'B-3'!$S352</f>
        <v>52.665390000000002</v>
      </c>
      <c r="K21" s="4"/>
      <c r="L21" s="310">
        <f t="shared" si="3"/>
        <v>0.99655866997400888</v>
      </c>
      <c r="M21" s="4"/>
      <c r="N21" s="162"/>
      <c r="O21" s="27">
        <f t="shared" si="2"/>
        <v>52.484151012062469</v>
      </c>
      <c r="P21" s="4"/>
      <c r="Q21" s="4"/>
      <c r="R21" s="150"/>
      <c r="S21" s="310"/>
      <c r="T21" s="313" t="s">
        <v>118</v>
      </c>
    </row>
    <row r="22" spans="1:20">
      <c r="A22" s="4">
        <v>11</v>
      </c>
      <c r="B22" s="403" t="s">
        <v>400</v>
      </c>
      <c r="C22" s="309" t="s">
        <v>273</v>
      </c>
      <c r="D22" s="4"/>
      <c r="E22" s="4"/>
      <c r="F22" s="150"/>
      <c r="G22" s="150"/>
      <c r="H22" s="27">
        <f>+'B-3'!S191</f>
        <v>0</v>
      </c>
      <c r="J22" s="27">
        <f>'B-3'!$S353</f>
        <v>0</v>
      </c>
      <c r="K22" s="4"/>
      <c r="L22" s="310">
        <f t="shared" si="3"/>
        <v>0.99655866997400888</v>
      </c>
      <c r="M22" s="4"/>
      <c r="N22" s="162"/>
      <c r="O22" s="27">
        <f t="shared" si="2"/>
        <v>0</v>
      </c>
      <c r="P22" s="4"/>
      <c r="Q22" s="4"/>
      <c r="R22" s="150"/>
      <c r="S22" s="310"/>
      <c r="T22" s="313" t="s">
        <v>118</v>
      </c>
    </row>
    <row r="23" spans="1:20">
      <c r="A23" s="4">
        <v>12</v>
      </c>
      <c r="B23" s="403" t="s">
        <v>401</v>
      </c>
      <c r="C23" s="309" t="s">
        <v>274</v>
      </c>
      <c r="D23" s="4"/>
      <c r="E23" s="4"/>
      <c r="F23" s="150"/>
      <c r="G23" s="150"/>
      <c r="H23" s="27">
        <f>+'B-3'!S192</f>
        <v>0</v>
      </c>
      <c r="I23" s="4"/>
      <c r="J23" s="27">
        <f>'B-3'!$S354</f>
        <v>0</v>
      </c>
      <c r="K23" s="4"/>
      <c r="L23" s="310">
        <f t="shared" si="3"/>
        <v>0.99655866997400888</v>
      </c>
      <c r="M23" s="4"/>
      <c r="N23" s="162"/>
      <c r="O23" s="27">
        <f t="shared" si="2"/>
        <v>0</v>
      </c>
      <c r="P23" s="4"/>
      <c r="Q23" s="4"/>
      <c r="R23" s="150"/>
      <c r="S23" s="310"/>
      <c r="T23" s="313" t="s">
        <v>118</v>
      </c>
    </row>
    <row r="24" spans="1:20">
      <c r="A24" s="4">
        <v>13</v>
      </c>
      <c r="B24" s="403" t="s">
        <v>402</v>
      </c>
      <c r="C24" s="309" t="s">
        <v>275</v>
      </c>
      <c r="D24" s="4"/>
      <c r="E24" s="4"/>
      <c r="F24" s="150"/>
      <c r="G24" s="150"/>
      <c r="H24" s="27">
        <f>+'B-3'!S193</f>
        <v>193488.02229307691</v>
      </c>
      <c r="I24" s="4"/>
      <c r="J24" s="27">
        <f>'B-3'!$S355</f>
        <v>181510.05824442819</v>
      </c>
      <c r="K24" s="4"/>
      <c r="L24" s="310">
        <f t="shared" si="3"/>
        <v>0.99655866997400888</v>
      </c>
      <c r="M24" s="4"/>
      <c r="N24" s="162"/>
      <c r="O24" s="27">
        <f t="shared" si="2"/>
        <v>180885.42223097224</v>
      </c>
      <c r="P24" s="4"/>
      <c r="Q24" s="4"/>
      <c r="R24" s="150"/>
      <c r="S24" s="310"/>
      <c r="T24" s="313" t="s">
        <v>118</v>
      </c>
    </row>
    <row r="25" spans="1:20">
      <c r="A25" s="4">
        <v>14</v>
      </c>
      <c r="B25" s="403" t="s">
        <v>403</v>
      </c>
      <c r="C25" s="309" t="s">
        <v>276</v>
      </c>
      <c r="D25" s="4"/>
      <c r="E25" s="4"/>
      <c r="F25" s="150"/>
      <c r="G25" s="150"/>
      <c r="H25" s="27">
        <f>+'B-3'!S194</f>
        <v>7476.1154699999997</v>
      </c>
      <c r="I25" s="4"/>
      <c r="J25" s="27">
        <f>'B-3'!$S356</f>
        <v>7359.1404307692301</v>
      </c>
      <c r="K25" s="4"/>
      <c r="L25" s="310">
        <f t="shared" si="3"/>
        <v>0.99655866997400888</v>
      </c>
      <c r="M25" s="4"/>
      <c r="N25" s="162"/>
      <c r="O25" s="27">
        <f t="shared" si="2"/>
        <v>7333.8151998393387</v>
      </c>
      <c r="P25" s="4"/>
      <c r="Q25" s="4"/>
      <c r="R25" s="150"/>
      <c r="S25" s="310"/>
      <c r="T25" s="313" t="s">
        <v>118</v>
      </c>
    </row>
    <row r="26" spans="1:20">
      <c r="A26" s="4">
        <v>15</v>
      </c>
      <c r="B26" s="403" t="s">
        <v>404</v>
      </c>
      <c r="C26" s="309" t="s">
        <v>277</v>
      </c>
      <c r="D26" s="4"/>
      <c r="E26" s="4"/>
      <c r="F26" s="4"/>
      <c r="G26" s="4"/>
      <c r="H26" s="27">
        <f>+'B-3'!S195</f>
        <v>-1678.6369577624152</v>
      </c>
      <c r="I26" s="4"/>
      <c r="J26" s="27">
        <f>'B-3'!$S357</f>
        <v>-1650.9812270100153</v>
      </c>
      <c r="K26" s="4"/>
      <c r="L26" s="310">
        <f t="shared" si="3"/>
        <v>0.99655866997400888</v>
      </c>
      <c r="M26" s="4"/>
      <c r="N26" s="162"/>
      <c r="O26" s="27">
        <f t="shared" si="2"/>
        <v>-1645.2996557411582</v>
      </c>
      <c r="P26" s="4"/>
      <c r="Q26" s="4"/>
      <c r="R26" s="150"/>
      <c r="S26" s="310"/>
      <c r="T26" s="313" t="s">
        <v>118</v>
      </c>
    </row>
    <row r="27" spans="1:20">
      <c r="A27" s="4">
        <v>16</v>
      </c>
      <c r="B27" s="403" t="s">
        <v>405</v>
      </c>
      <c r="C27" s="309" t="s">
        <v>274</v>
      </c>
      <c r="D27" s="4"/>
      <c r="E27" s="4"/>
      <c r="F27" s="150"/>
      <c r="G27" s="150"/>
      <c r="H27" s="27">
        <f>+'B-3'!S196</f>
        <v>0</v>
      </c>
      <c r="I27" s="4"/>
      <c r="J27" s="27">
        <f>'B-3'!$S358</f>
        <v>0</v>
      </c>
      <c r="K27" s="4"/>
      <c r="L27" s="310">
        <f t="shared" si="3"/>
        <v>0.99655866997400888</v>
      </c>
      <c r="M27" s="4"/>
      <c r="N27" s="162"/>
      <c r="O27" s="27">
        <f t="shared" si="2"/>
        <v>0</v>
      </c>
      <c r="P27" s="4"/>
      <c r="Q27" s="4"/>
      <c r="R27" s="150"/>
      <c r="S27" s="150"/>
      <c r="T27" s="313" t="s">
        <v>118</v>
      </c>
    </row>
    <row r="28" spans="1:20">
      <c r="A28" s="4">
        <v>17</v>
      </c>
      <c r="B28" s="403" t="s">
        <v>406</v>
      </c>
      <c r="C28" s="369" t="s">
        <v>278</v>
      </c>
      <c r="D28" s="4"/>
      <c r="E28" s="4"/>
      <c r="F28" s="150"/>
      <c r="G28" s="150"/>
      <c r="H28" s="27">
        <f>+'B-3'!S197</f>
        <v>13985.708050739575</v>
      </c>
      <c r="I28" s="4"/>
      <c r="J28" s="27">
        <f>'B-3'!$S359</f>
        <v>13678.6061782578</v>
      </c>
      <c r="K28" s="4"/>
      <c r="L28" s="310">
        <f t="shared" si="3"/>
        <v>0.99655866997400888</v>
      </c>
      <c r="M28" s="4"/>
      <c r="N28" s="162"/>
      <c r="O28" s="27">
        <f t="shared" si="2"/>
        <v>13631.533580102854</v>
      </c>
      <c r="P28" s="4"/>
      <c r="Q28" s="4"/>
      <c r="R28" s="150"/>
      <c r="S28" s="150"/>
      <c r="T28" s="313" t="s">
        <v>866</v>
      </c>
    </row>
    <row r="29" spans="1:20">
      <c r="A29" s="4">
        <v>18</v>
      </c>
      <c r="B29" s="403" t="s">
        <v>407</v>
      </c>
      <c r="C29" s="309" t="s">
        <v>279</v>
      </c>
      <c r="D29" s="4"/>
      <c r="E29" s="4"/>
      <c r="F29" s="150"/>
      <c r="G29" s="150"/>
      <c r="H29" s="27">
        <f>+'B-3'!S198-H30</f>
        <v>35826.846951538464</v>
      </c>
      <c r="I29" s="4"/>
      <c r="J29" s="27">
        <f>'B-3'!$S360-J30</f>
        <v>36634.692307692305</v>
      </c>
      <c r="K29" s="4"/>
      <c r="L29" s="310">
        <f t="shared" si="3"/>
        <v>0.99655866997400888</v>
      </c>
      <c r="M29" s="4"/>
      <c r="N29" s="162"/>
      <c r="O29" s="27">
        <f t="shared" si="2"/>
        <v>36508.620241060897</v>
      </c>
      <c r="P29" s="4"/>
      <c r="Q29" s="4"/>
      <c r="R29" s="150"/>
      <c r="S29" s="150"/>
      <c r="T29" s="313" t="s">
        <v>118</v>
      </c>
    </row>
    <row r="30" spans="1:20">
      <c r="A30" s="4">
        <v>19</v>
      </c>
      <c r="B30" s="403">
        <v>151</v>
      </c>
      <c r="C30" s="4" t="s">
        <v>138</v>
      </c>
      <c r="D30" s="4"/>
      <c r="E30" s="4"/>
      <c r="F30" s="150"/>
      <c r="G30" s="150"/>
      <c r="H30" s="27">
        <f>-H127</f>
        <v>6</v>
      </c>
      <c r="I30" s="4"/>
      <c r="J30" s="27">
        <f>-J127</f>
        <v>189</v>
      </c>
      <c r="K30" s="4"/>
      <c r="L30" s="310">
        <v>1</v>
      </c>
      <c r="M30" s="4"/>
      <c r="N30" s="162"/>
      <c r="O30" s="27">
        <f t="shared" si="2"/>
        <v>189</v>
      </c>
      <c r="P30" s="4"/>
      <c r="Q30" s="4"/>
      <c r="R30" s="150"/>
      <c r="S30" s="150"/>
      <c r="T30" s="313" t="s">
        <v>118</v>
      </c>
    </row>
    <row r="31" spans="1:20">
      <c r="A31" s="4">
        <v>20</v>
      </c>
      <c r="B31" s="403" t="s">
        <v>408</v>
      </c>
      <c r="C31" s="309" t="s">
        <v>409</v>
      </c>
      <c r="D31" s="4"/>
      <c r="E31" s="4"/>
      <c r="F31" s="150"/>
      <c r="G31" s="150"/>
      <c r="H31" s="27">
        <f>+'B-3'!S199</f>
        <v>0</v>
      </c>
      <c r="I31" s="4"/>
      <c r="J31" s="27">
        <f>'B-3'!$S361</f>
        <v>0</v>
      </c>
      <c r="K31" s="4"/>
      <c r="L31" s="310">
        <f t="shared" ref="L31:L38" si="4">$L$19</f>
        <v>0.99655866997400888</v>
      </c>
      <c r="M31" s="4"/>
      <c r="N31" s="162"/>
      <c r="O31" s="27">
        <f t="shared" si="2"/>
        <v>0</v>
      </c>
      <c r="P31" s="4"/>
      <c r="Q31" s="4"/>
      <c r="R31" s="150"/>
      <c r="S31" s="150"/>
      <c r="T31" s="313" t="s">
        <v>118</v>
      </c>
    </row>
    <row r="32" spans="1:20">
      <c r="A32" s="4">
        <v>21</v>
      </c>
      <c r="B32" s="403" t="s">
        <v>521</v>
      </c>
      <c r="C32" s="309" t="s">
        <v>280</v>
      </c>
      <c r="D32" s="4"/>
      <c r="E32" s="4"/>
      <c r="F32" s="150"/>
      <c r="G32" s="150"/>
      <c r="H32" s="27">
        <f>+'B-3'!S200</f>
        <v>171867.82110692307</v>
      </c>
      <c r="I32" s="4"/>
      <c r="J32" s="27">
        <f>'B-3'!$S362</f>
        <v>162822.14999999997</v>
      </c>
      <c r="K32" s="4"/>
      <c r="L32" s="310">
        <f t="shared" si="4"/>
        <v>0.99655866997400888</v>
      </c>
      <c r="M32" s="4"/>
      <c r="N32" s="162"/>
      <c r="O32" s="27">
        <f t="shared" si="2"/>
        <v>162261.82524630852</v>
      </c>
      <c r="P32" s="4"/>
      <c r="Q32" s="4"/>
      <c r="R32" s="150"/>
      <c r="S32" s="150"/>
      <c r="T32" s="313" t="s">
        <v>118</v>
      </c>
    </row>
    <row r="33" spans="1:20">
      <c r="A33" s="4">
        <v>22</v>
      </c>
      <c r="B33" s="403" t="s">
        <v>411</v>
      </c>
      <c r="C33" s="309" t="s">
        <v>281</v>
      </c>
      <c r="D33" s="4"/>
      <c r="E33" s="4"/>
      <c r="F33" s="150"/>
      <c r="G33" s="150"/>
      <c r="H33" s="27">
        <f>+'B-3'!S201</f>
        <v>0</v>
      </c>
      <c r="I33" s="4"/>
      <c r="J33" s="27">
        <f>'B-3'!$S363</f>
        <v>0</v>
      </c>
      <c r="K33" s="4"/>
      <c r="L33" s="310">
        <f t="shared" si="4"/>
        <v>0.99655866997400888</v>
      </c>
      <c r="M33" s="4"/>
      <c r="N33" s="162"/>
      <c r="O33" s="27">
        <f t="shared" si="2"/>
        <v>0</v>
      </c>
      <c r="P33" s="4"/>
      <c r="Q33" s="4"/>
      <c r="R33" s="150"/>
      <c r="S33" s="150"/>
      <c r="T33" s="313" t="s">
        <v>118</v>
      </c>
    </row>
    <row r="34" spans="1:20">
      <c r="A34" s="4">
        <v>23</v>
      </c>
      <c r="B34" s="403" t="s">
        <v>412</v>
      </c>
      <c r="C34" s="309" t="s">
        <v>282</v>
      </c>
      <c r="D34" s="4"/>
      <c r="E34" s="4"/>
      <c r="F34" s="150"/>
      <c r="G34" s="150"/>
      <c r="H34" s="27">
        <f>+'B-3'!S202</f>
        <v>0</v>
      </c>
      <c r="I34" s="4"/>
      <c r="J34" s="27">
        <f>'B-3'!$S364</f>
        <v>0</v>
      </c>
      <c r="K34" s="4"/>
      <c r="L34" s="310">
        <f t="shared" si="4"/>
        <v>0.99655866997400888</v>
      </c>
      <c r="M34" s="4"/>
      <c r="N34" s="162"/>
      <c r="O34" s="27">
        <f t="shared" si="2"/>
        <v>0</v>
      </c>
      <c r="P34" s="4"/>
      <c r="Q34" s="4"/>
      <c r="R34" s="150"/>
      <c r="S34" s="150"/>
      <c r="T34" s="313" t="s">
        <v>118</v>
      </c>
    </row>
    <row r="35" spans="1:20">
      <c r="A35" s="4">
        <v>24</v>
      </c>
      <c r="B35" s="403" t="s">
        <v>413</v>
      </c>
      <c r="C35" s="309" t="s">
        <v>283</v>
      </c>
      <c r="D35" s="4"/>
      <c r="E35" s="4"/>
      <c r="F35" s="150"/>
      <c r="G35" s="150"/>
      <c r="H35" s="27">
        <f>+'B-3'!S203</f>
        <v>30631.198536755601</v>
      </c>
      <c r="I35" s="4"/>
      <c r="J35" s="27">
        <f>'B-3'!$S365</f>
        <v>30636.298079484692</v>
      </c>
      <c r="K35" s="4"/>
      <c r="L35" s="310">
        <f t="shared" si="4"/>
        <v>0.99655866997400888</v>
      </c>
      <c r="M35" s="4"/>
      <c r="N35" s="162"/>
      <c r="O35" s="27">
        <f t="shared" si="2"/>
        <v>30530.868467018547</v>
      </c>
      <c r="P35" s="4"/>
      <c r="Q35" s="4"/>
      <c r="R35" s="150"/>
      <c r="S35" s="150"/>
      <c r="T35" s="313" t="s">
        <v>118</v>
      </c>
    </row>
    <row r="36" spans="1:20">
      <c r="A36" s="4">
        <v>25</v>
      </c>
      <c r="B36" s="403" t="s">
        <v>414</v>
      </c>
      <c r="C36" s="309" t="s">
        <v>284</v>
      </c>
      <c r="D36" s="4"/>
      <c r="E36" s="4"/>
      <c r="F36" s="150"/>
      <c r="G36" s="150"/>
      <c r="H36" s="27">
        <f>+'B-3'!S204</f>
        <v>0</v>
      </c>
      <c r="I36" s="4"/>
      <c r="J36" s="27">
        <f>'B-3'!$S366</f>
        <v>0</v>
      </c>
      <c r="K36" s="4"/>
      <c r="L36" s="310">
        <f t="shared" si="4"/>
        <v>0.99655866997400888</v>
      </c>
      <c r="M36" s="4"/>
      <c r="N36" s="162"/>
      <c r="O36" s="27">
        <f t="shared" si="2"/>
        <v>0</v>
      </c>
      <c r="P36" s="4"/>
      <c r="Q36" s="4"/>
      <c r="R36" s="150"/>
      <c r="S36" s="150"/>
      <c r="T36" s="313"/>
    </row>
    <row r="37" spans="1:20">
      <c r="A37" s="4">
        <v>26</v>
      </c>
      <c r="B37" s="404" t="s">
        <v>415</v>
      </c>
      <c r="C37" s="309" t="s">
        <v>285</v>
      </c>
      <c r="D37" s="4"/>
      <c r="E37" s="4"/>
      <c r="F37" s="150"/>
      <c r="G37" s="150"/>
      <c r="H37" s="27">
        <f>+'B-3'!S205</f>
        <v>78725.899527692396</v>
      </c>
      <c r="I37" s="4"/>
      <c r="J37" s="27">
        <f>'B-3'!$S367</f>
        <v>79503.511410000021</v>
      </c>
      <c r="K37" s="4"/>
      <c r="L37" s="310">
        <f t="shared" si="4"/>
        <v>0.99655866997400888</v>
      </c>
      <c r="M37" s="4"/>
      <c r="N37" s="162"/>
      <c r="O37" s="27">
        <f t="shared" si="2"/>
        <v>79229.913589013056</v>
      </c>
      <c r="P37" s="4"/>
      <c r="Q37" s="4"/>
      <c r="R37" s="150"/>
      <c r="S37" s="150"/>
      <c r="T37" s="313"/>
    </row>
    <row r="38" spans="1:20">
      <c r="A38" s="4">
        <v>27</v>
      </c>
      <c r="B38" s="404" t="s">
        <v>416</v>
      </c>
      <c r="C38" s="162" t="s">
        <v>286</v>
      </c>
      <c r="D38" s="314"/>
      <c r="E38" s="4"/>
      <c r="F38" s="150"/>
      <c r="G38" s="150"/>
      <c r="H38" s="27">
        <f>'B-3'!S206</f>
        <v>538.54455461538464</v>
      </c>
      <c r="I38" s="4"/>
      <c r="J38" s="27">
        <f>'B-3'!$S368</f>
        <v>528</v>
      </c>
      <c r="K38" s="4"/>
      <c r="L38" s="310">
        <f t="shared" si="4"/>
        <v>0.99655866997400888</v>
      </c>
      <c r="M38" s="4"/>
      <c r="N38" s="4"/>
      <c r="O38" s="27">
        <f t="shared" si="2"/>
        <v>526.18297774627672</v>
      </c>
      <c r="P38" s="4"/>
      <c r="Q38" s="4"/>
      <c r="R38" s="150"/>
      <c r="S38" s="150"/>
      <c r="T38" s="313"/>
    </row>
    <row r="39" spans="1:20">
      <c r="A39" s="4">
        <v>28</v>
      </c>
      <c r="B39" s="404"/>
      <c r="C39" s="8" t="s">
        <v>867</v>
      </c>
      <c r="D39" s="314"/>
      <c r="E39" s="4"/>
      <c r="F39" s="150"/>
      <c r="G39" s="150"/>
      <c r="H39" s="315">
        <f>SUM(H19:H38)</f>
        <v>532209.81964742509</v>
      </c>
      <c r="I39" s="4"/>
      <c r="J39" s="315">
        <f>SUM(J19:J38)</f>
        <v>512263.14081362222</v>
      </c>
      <c r="K39" s="4"/>
      <c r="L39" s="4"/>
      <c r="M39" s="4"/>
      <c r="N39" s="162"/>
      <c r="O39" s="315">
        <f>SUM(O19:O38)</f>
        <v>510500.92469730659</v>
      </c>
      <c r="P39" s="4"/>
      <c r="Q39" s="4"/>
      <c r="R39" s="150"/>
      <c r="S39" s="310"/>
      <c r="T39" s="313"/>
    </row>
    <row r="40" spans="1:20">
      <c r="A40" s="4">
        <v>29</v>
      </c>
      <c r="B40" s="404"/>
      <c r="C40" s="8"/>
      <c r="D40" s="314"/>
      <c r="E40" s="4"/>
      <c r="F40" s="150"/>
      <c r="G40" s="150"/>
      <c r="H40" s="150"/>
      <c r="I40" s="4"/>
      <c r="J40" s="150"/>
      <c r="K40" s="4"/>
      <c r="L40" s="4"/>
      <c r="M40" s="4"/>
      <c r="N40" s="162"/>
      <c r="O40" s="150"/>
      <c r="P40" s="4"/>
      <c r="Q40" s="4"/>
      <c r="R40" s="150"/>
      <c r="S40" s="310"/>
      <c r="T40" s="313"/>
    </row>
    <row r="41" spans="1:20">
      <c r="A41" s="4">
        <v>30</v>
      </c>
      <c r="B41" s="404"/>
      <c r="C41" s="162"/>
      <c r="D41" s="314"/>
      <c r="E41" s="4"/>
      <c r="F41" s="150"/>
      <c r="G41" s="150"/>
      <c r="H41" s="150"/>
      <c r="I41" s="4"/>
      <c r="J41" s="150"/>
      <c r="K41" s="4"/>
      <c r="L41" s="310"/>
      <c r="M41" s="4"/>
      <c r="N41" s="162"/>
      <c r="O41" s="150"/>
      <c r="P41" s="4"/>
      <c r="Q41" s="4"/>
      <c r="R41" s="150"/>
      <c r="S41" s="310"/>
      <c r="T41" s="313" t="s">
        <v>423</v>
      </c>
    </row>
    <row r="42" spans="1:20">
      <c r="A42" s="4">
        <v>31</v>
      </c>
      <c r="B42" s="404"/>
      <c r="C42" s="314" t="s">
        <v>288</v>
      </c>
      <c r="D42" s="4"/>
      <c r="E42" s="4"/>
      <c r="F42" s="150"/>
      <c r="G42" s="150"/>
      <c r="H42" s="150"/>
      <c r="I42" s="4"/>
      <c r="J42" s="150"/>
      <c r="K42" s="4"/>
      <c r="L42" s="310"/>
      <c r="M42" s="4"/>
      <c r="N42" s="162"/>
      <c r="O42" s="150"/>
      <c r="P42" s="4"/>
      <c r="Q42" s="4"/>
      <c r="R42" s="150"/>
      <c r="S42" s="310"/>
      <c r="T42" s="313" t="s">
        <v>118</v>
      </c>
    </row>
    <row r="43" spans="1:20">
      <c r="A43" s="4">
        <v>32</v>
      </c>
      <c r="B43" s="405" t="s">
        <v>422</v>
      </c>
      <c r="C43" s="153" t="s">
        <v>289</v>
      </c>
      <c r="D43" s="4"/>
      <c r="E43" s="4"/>
      <c r="F43" s="150"/>
      <c r="G43" s="150"/>
      <c r="H43" s="150">
        <f>+'B-3'!S230</f>
        <v>818423.22024900268</v>
      </c>
      <c r="I43" s="4"/>
      <c r="J43" s="150">
        <f>'B-3'!$S392</f>
        <v>788092.49424105207</v>
      </c>
      <c r="K43" s="4"/>
      <c r="L43" s="310">
        <f>$L$19</f>
        <v>0.99655866997400888</v>
      </c>
      <c r="M43" s="4"/>
      <c r="N43" s="4"/>
      <c r="O43" s="27">
        <f>+J43*L43</f>
        <v>785380.4078773621</v>
      </c>
      <c r="P43" s="4"/>
      <c r="Q43" s="4"/>
      <c r="R43" s="150"/>
      <c r="S43" s="150"/>
      <c r="T43" s="313" t="s">
        <v>118</v>
      </c>
    </row>
    <row r="44" spans="1:20">
      <c r="A44" s="4">
        <v>33</v>
      </c>
      <c r="B44" s="405" t="s">
        <v>426</v>
      </c>
      <c r="C44" s="153" t="s">
        <v>290</v>
      </c>
      <c r="D44" s="4"/>
      <c r="E44" s="4"/>
      <c r="F44" s="150"/>
      <c r="G44" s="150"/>
      <c r="H44" s="150">
        <f>+'B-3'!S232</f>
        <v>15210.36003230769</v>
      </c>
      <c r="I44" s="4"/>
      <c r="J44" s="150">
        <f>'B-3'!$S394</f>
        <v>6566.744626923075</v>
      </c>
      <c r="K44" s="4"/>
      <c r="L44" s="310">
        <f>$L$19</f>
        <v>0.99655866997400888</v>
      </c>
      <c r="M44" s="4"/>
      <c r="N44" s="4"/>
      <c r="O44" s="27">
        <f t="shared" ref="O44:O46" si="5">+J44*L44</f>
        <v>6544.1462914654285</v>
      </c>
      <c r="P44" s="4"/>
      <c r="Q44" s="4"/>
      <c r="R44" s="150"/>
      <c r="S44" s="150"/>
      <c r="T44" s="313" t="s">
        <v>118</v>
      </c>
    </row>
    <row r="45" spans="1:20">
      <c r="A45" s="4">
        <v>34</v>
      </c>
      <c r="B45" s="405" t="s">
        <v>427</v>
      </c>
      <c r="C45" s="153" t="s">
        <v>291</v>
      </c>
      <c r="D45" s="4"/>
      <c r="E45" s="4"/>
      <c r="F45" s="150"/>
      <c r="G45" s="150"/>
      <c r="H45" s="150">
        <f>+'B-3'!S233</f>
        <v>5.8940238461538463</v>
      </c>
      <c r="I45" s="4"/>
      <c r="J45" s="150">
        <f>'B-3'!$S395</f>
        <v>0</v>
      </c>
      <c r="K45" s="4"/>
      <c r="L45" s="310">
        <f>$L$19</f>
        <v>0.99655866997400888</v>
      </c>
      <c r="M45" s="4"/>
      <c r="N45" s="4"/>
      <c r="O45" s="27">
        <f t="shared" si="5"/>
        <v>0</v>
      </c>
      <c r="P45" s="4"/>
      <c r="Q45" s="4"/>
      <c r="R45" s="150"/>
      <c r="S45" s="150"/>
      <c r="T45" s="313"/>
    </row>
    <row r="46" spans="1:20">
      <c r="A46" s="4">
        <v>35</v>
      </c>
      <c r="B46" s="405" t="s">
        <v>428</v>
      </c>
      <c r="C46" s="153" t="s">
        <v>292</v>
      </c>
      <c r="D46" s="4"/>
      <c r="E46" s="4"/>
      <c r="F46" s="150"/>
      <c r="G46" s="150"/>
      <c r="H46" s="150">
        <f>+'B-3'!S234</f>
        <v>8775.4523453846159</v>
      </c>
      <c r="I46" s="4"/>
      <c r="J46" s="150">
        <f>'B-3'!$S396</f>
        <v>4110.4833084615384</v>
      </c>
      <c r="K46" s="4"/>
      <c r="L46" s="310">
        <f>$L$19</f>
        <v>0.99655866997400888</v>
      </c>
      <c r="M46" s="4"/>
      <c r="N46" s="4"/>
      <c r="O46" s="27">
        <f t="shared" si="5"/>
        <v>4096.3377788307944</v>
      </c>
      <c r="P46" s="4"/>
      <c r="Q46" s="4"/>
      <c r="R46" s="150"/>
      <c r="S46" s="150"/>
      <c r="T46" s="313"/>
    </row>
    <row r="47" spans="1:20">
      <c r="A47" s="4">
        <v>36</v>
      </c>
      <c r="B47" s="405"/>
      <c r="C47" s="314" t="s">
        <v>868</v>
      </c>
      <c r="D47" s="4"/>
      <c r="E47" s="4"/>
      <c r="F47" s="150"/>
      <c r="G47" s="150"/>
      <c r="H47" s="315">
        <f>SUM(H43:H46)</f>
        <v>842414.92665054114</v>
      </c>
      <c r="I47" s="4"/>
      <c r="J47" s="315">
        <f>SUM(J43:J46)</f>
        <v>798769.72217643668</v>
      </c>
      <c r="K47" s="4"/>
      <c r="L47" s="310"/>
      <c r="M47" s="4"/>
      <c r="N47" s="150"/>
      <c r="O47" s="315">
        <f>SUM(O43:O46)</f>
        <v>796020.89194765827</v>
      </c>
      <c r="P47" s="4"/>
      <c r="Q47" s="4"/>
      <c r="R47" s="150"/>
      <c r="S47" s="150"/>
      <c r="T47" s="7"/>
    </row>
    <row r="48" spans="1:20">
      <c r="A48" s="4">
        <v>37</v>
      </c>
      <c r="B48" s="405"/>
      <c r="C48" s="314"/>
      <c r="D48" s="4"/>
      <c r="E48" s="4"/>
      <c r="F48" s="150"/>
      <c r="G48" s="150"/>
      <c r="H48" s="150"/>
      <c r="I48" s="37"/>
      <c r="J48" s="150"/>
      <c r="K48" s="150"/>
      <c r="L48" s="310"/>
      <c r="M48" s="4"/>
      <c r="N48" s="150"/>
      <c r="O48" s="150"/>
      <c r="P48" s="4"/>
      <c r="Q48" s="150"/>
      <c r="R48" s="302"/>
      <c r="S48" s="302"/>
      <c r="T48" s="313"/>
    </row>
    <row r="49" spans="1:22">
      <c r="A49" s="4">
        <v>38</v>
      </c>
      <c r="B49" s="404"/>
      <c r="C49" s="162"/>
      <c r="D49" s="314"/>
      <c r="E49" s="4"/>
      <c r="F49" s="150"/>
      <c r="G49" s="150"/>
      <c r="H49" s="150"/>
      <c r="I49" s="4"/>
      <c r="J49" s="150"/>
      <c r="K49" s="150"/>
      <c r="L49" s="310"/>
      <c r="M49" s="4"/>
      <c r="N49" s="162"/>
      <c r="O49" s="150"/>
      <c r="P49" s="4"/>
      <c r="Q49" s="150"/>
      <c r="R49" s="302"/>
      <c r="S49" s="302"/>
      <c r="T49" s="313"/>
      <c r="V49" s="150"/>
    </row>
    <row r="50" spans="1:22">
      <c r="A50" s="4">
        <v>39</v>
      </c>
      <c r="B50" s="406"/>
      <c r="C50" s="8" t="s">
        <v>869</v>
      </c>
      <c r="D50" s="4"/>
      <c r="E50" s="150"/>
      <c r="F50" s="150"/>
      <c r="G50" s="150"/>
      <c r="H50" s="150">
        <f>+H16+H39+H47</f>
        <v>1389161.5296887355</v>
      </c>
      <c r="I50" s="4"/>
      <c r="J50" s="150">
        <f>+J16+J39+J47</f>
        <v>1327410.8976431359</v>
      </c>
      <c r="K50" s="150"/>
      <c r="L50" s="310"/>
      <c r="M50" s="4"/>
      <c r="N50" s="150"/>
      <c r="O50" s="150">
        <f>+O16+O39+O47</f>
        <v>1322843.4890756235</v>
      </c>
      <c r="P50" s="4"/>
      <c r="Q50" s="150"/>
      <c r="R50" s="302"/>
      <c r="S50" s="302"/>
      <c r="T50" s="313"/>
    </row>
    <row r="51" spans="1:22" ht="13.8" thickBot="1">
      <c r="A51" s="1">
        <v>40</v>
      </c>
      <c r="B51" s="1" t="s">
        <v>67</v>
      </c>
      <c r="C51" s="318"/>
      <c r="D51" s="1"/>
      <c r="E51" s="319"/>
      <c r="F51" s="319"/>
      <c r="G51" s="319"/>
      <c r="H51" s="319"/>
      <c r="I51" s="319"/>
      <c r="J51" s="319"/>
      <c r="K51" s="319"/>
      <c r="L51" s="319"/>
      <c r="M51" s="1"/>
      <c r="N51" s="319"/>
      <c r="O51" s="319"/>
      <c r="P51" s="319"/>
      <c r="Q51" s="319"/>
      <c r="R51" s="1"/>
      <c r="S51" s="1"/>
      <c r="T51" s="320"/>
    </row>
    <row r="52" spans="1:22">
      <c r="A52" s="4" t="s">
        <v>522</v>
      </c>
      <c r="B52" s="5"/>
      <c r="C52" s="5"/>
      <c r="D52" s="5"/>
      <c r="E52" s="5"/>
      <c r="F52" s="5"/>
      <c r="G52" s="5"/>
      <c r="H52" s="5"/>
      <c r="I52" s="5"/>
      <c r="J52" s="5"/>
      <c r="K52" s="5"/>
      <c r="L52" s="5"/>
      <c r="M52" s="5"/>
      <c r="N52" s="5"/>
      <c r="O52" s="5"/>
      <c r="P52" s="5"/>
      <c r="Q52" s="4" t="s">
        <v>870</v>
      </c>
      <c r="R52" s="4"/>
      <c r="S52" s="4"/>
      <c r="T52" s="7"/>
    </row>
    <row r="53" spans="1:22" ht="13.8" thickBot="1">
      <c r="A53" s="1" t="str">
        <f>+A1</f>
        <v>SCHEDULE B-17</v>
      </c>
      <c r="B53" s="1"/>
      <c r="C53" s="1"/>
      <c r="D53" s="1"/>
      <c r="E53" s="1"/>
      <c r="F53" s="1"/>
      <c r="G53" s="1"/>
      <c r="H53" s="1" t="str">
        <f>+$H$1</f>
        <v>WORKING CAPITAL - 13 MONTH AVERAGE</v>
      </c>
      <c r="I53" s="2"/>
      <c r="J53" s="1"/>
      <c r="K53" s="1"/>
      <c r="L53" s="1"/>
      <c r="M53" s="1"/>
      <c r="N53" s="1"/>
      <c r="O53" s="1"/>
      <c r="P53" s="1"/>
      <c r="Q53" s="1"/>
      <c r="R53" s="1"/>
      <c r="S53" s="1" t="s">
        <v>70</v>
      </c>
      <c r="T53" s="7"/>
    </row>
    <row r="54" spans="1:22">
      <c r="A54" s="4" t="s">
        <v>4</v>
      </c>
      <c r="B54" s="4"/>
      <c r="C54" s="4"/>
      <c r="D54" s="4"/>
      <c r="E54" s="4"/>
      <c r="F54" s="4" t="s">
        <v>343</v>
      </c>
      <c r="G54" s="5" t="str">
        <f>+$G$2</f>
        <v>Provide a schedule showing the adjusted 13 month average working capital allowance for</v>
      </c>
      <c r="H54" s="5"/>
      <c r="I54" s="5"/>
      <c r="J54" s="6"/>
      <c r="K54" s="6"/>
      <c r="L54" s="4"/>
      <c r="M54" s="6"/>
      <c r="N54" s="6"/>
      <c r="O54" s="6"/>
      <c r="P54" s="6" t="s">
        <v>7</v>
      </c>
      <c r="Q54" s="4"/>
      <c r="R54" s="4"/>
      <c r="S54" s="7"/>
      <c r="T54" s="7"/>
    </row>
    <row r="55" spans="1:22">
      <c r="A55" s="4"/>
      <c r="B55" s="4"/>
      <c r="C55" s="4"/>
      <c r="D55" s="4"/>
      <c r="E55" s="4"/>
      <c r="F55" s="4"/>
      <c r="G55" s="5" t="str">
        <f>+$G$3</f>
        <v xml:space="preserve">the test year and the prior year if the test year is projected.  All adjustments are to be </v>
      </c>
      <c r="H55" s="5"/>
      <c r="I55" s="5"/>
      <c r="J55" s="9"/>
      <c r="K55" s="9"/>
      <c r="L55" s="4"/>
      <c r="M55" s="4"/>
      <c r="N55" s="4"/>
      <c r="O55" s="9"/>
      <c r="P55" s="9" t="s">
        <v>12</v>
      </c>
      <c r="Q55" s="7" t="str">
        <f>+Q3</f>
        <v>Projected Test Year Ended 12/31/2025</v>
      </c>
      <c r="R55" s="4"/>
      <c r="S55" s="9"/>
      <c r="T55" s="7"/>
    </row>
    <row r="56" spans="1:22">
      <c r="A56" s="4" t="s">
        <v>10</v>
      </c>
      <c r="B56" s="4"/>
      <c r="C56" s="4"/>
      <c r="D56" s="4"/>
      <c r="E56" s="4"/>
      <c r="F56" s="4"/>
      <c r="G56" s="5" t="str">
        <f>+$G$4</f>
        <v>provided by account number. Use a balance sheet method and any other methodology the</v>
      </c>
      <c r="H56" s="4"/>
      <c r="I56" s="4"/>
      <c r="J56" s="9"/>
      <c r="K56" s="9"/>
      <c r="L56" s="9"/>
      <c r="M56" s="4"/>
      <c r="N56" s="4"/>
      <c r="O56" s="4"/>
      <c r="P56" s="9" t="s">
        <v>12</v>
      </c>
      <c r="Q56" s="7" t="str">
        <f>+Q4</f>
        <v>Projected Prior Year Ended 12/31/2024</v>
      </c>
      <c r="R56" s="4"/>
      <c r="S56" s="9"/>
      <c r="T56" s="7"/>
    </row>
    <row r="57" spans="1:22">
      <c r="A57" s="4"/>
      <c r="B57" s="4"/>
      <c r="C57" s="4"/>
      <c r="D57" s="4"/>
      <c r="E57" s="4"/>
      <c r="F57" s="4"/>
      <c r="G57" s="4" t="str">
        <f>+$G$5</f>
        <v>company proposes to use.</v>
      </c>
      <c r="H57" s="4"/>
      <c r="I57" s="4"/>
      <c r="J57" s="9"/>
      <c r="K57" s="9"/>
      <c r="L57" s="9"/>
      <c r="M57" s="4"/>
      <c r="N57" s="4"/>
      <c r="O57" s="4"/>
      <c r="P57" s="9"/>
      <c r="Q57" s="7" t="str">
        <f>+Q5</f>
        <v>Historical Prior Year Ended 12/31/2023</v>
      </c>
      <c r="R57" s="4"/>
      <c r="S57" s="9"/>
      <c r="T57" s="7"/>
    </row>
    <row r="58" spans="1:22" ht="13.8" thickBot="1">
      <c r="A58" s="2" t="str">
        <f>A6</f>
        <v>DOCKET No.</v>
      </c>
      <c r="B58" s="2"/>
      <c r="C58" s="1"/>
      <c r="D58" s="1"/>
      <c r="E58" s="1"/>
      <c r="F58" s="1"/>
      <c r="G58" s="1"/>
      <c r="H58" s="1"/>
      <c r="I58" s="2" t="s">
        <v>15</v>
      </c>
      <c r="J58" s="10"/>
      <c r="K58" s="1"/>
      <c r="L58" s="1"/>
      <c r="M58" s="1"/>
      <c r="N58" s="1"/>
      <c r="O58" s="1"/>
      <c r="P58" s="1"/>
      <c r="Q58" s="1" t="str">
        <f>+Q6</f>
        <v>Witness:</v>
      </c>
      <c r="R58" s="1"/>
      <c r="S58" s="1"/>
    </row>
    <row r="59" spans="1:22">
      <c r="A59" s="4"/>
      <c r="B59" s="83"/>
      <c r="C59" s="83"/>
      <c r="D59" s="83"/>
      <c r="E59" s="83"/>
      <c r="F59" s="83"/>
      <c r="G59" s="83"/>
      <c r="H59" s="321" t="s">
        <v>17</v>
      </c>
      <c r="I59" s="321"/>
      <c r="J59" s="321" t="s">
        <v>18</v>
      </c>
      <c r="K59" s="321"/>
      <c r="L59" s="83" t="s">
        <v>19</v>
      </c>
      <c r="M59" s="83"/>
      <c r="N59" s="83"/>
      <c r="O59" s="321" t="s">
        <v>20</v>
      </c>
      <c r="P59" s="83"/>
      <c r="Q59" s="83"/>
      <c r="R59" s="301"/>
      <c r="S59" s="301"/>
    </row>
    <row r="60" spans="1:22">
      <c r="A60" s="4"/>
      <c r="B60" s="84" t="s">
        <v>355</v>
      </c>
      <c r="C60" s="84"/>
      <c r="D60" s="84"/>
      <c r="E60" s="84"/>
      <c r="F60" s="83"/>
      <c r="G60" s="84"/>
      <c r="H60" s="322" t="str">
        <f>H8</f>
        <v>Prior Year 2024</v>
      </c>
      <c r="I60" s="322"/>
      <c r="J60" s="322" t="str">
        <f>J8</f>
        <v>Test Year 2025</v>
      </c>
      <c r="K60" s="322"/>
      <c r="L60" s="83"/>
      <c r="M60" s="83"/>
      <c r="N60" s="4"/>
      <c r="O60" s="321" t="s">
        <v>539</v>
      </c>
      <c r="P60" s="4"/>
      <c r="Q60" s="84"/>
      <c r="R60" s="301"/>
      <c r="S60" s="301"/>
    </row>
    <row r="61" spans="1:22">
      <c r="A61" s="4" t="s">
        <v>35</v>
      </c>
      <c r="B61" s="84" t="s">
        <v>46</v>
      </c>
      <c r="C61" s="84"/>
      <c r="D61" s="84" t="s">
        <v>862</v>
      </c>
      <c r="E61" s="83"/>
      <c r="F61" s="84"/>
      <c r="G61" s="84"/>
      <c r="H61" s="321" t="s">
        <v>214</v>
      </c>
      <c r="I61" s="321"/>
      <c r="J61" s="321" t="s">
        <v>214</v>
      </c>
      <c r="K61" s="321"/>
      <c r="L61" s="83" t="s">
        <v>539</v>
      </c>
      <c r="M61" s="84"/>
      <c r="N61" s="83"/>
      <c r="O61" s="322" t="s">
        <v>98</v>
      </c>
      <c r="P61" s="83"/>
      <c r="Q61" s="84"/>
      <c r="R61" s="302"/>
      <c r="S61" s="303"/>
    </row>
    <row r="62" spans="1:22">
      <c r="A62" s="4" t="s">
        <v>46</v>
      </c>
      <c r="B62" s="84"/>
      <c r="C62" s="84"/>
      <c r="D62" s="84"/>
      <c r="E62" s="83"/>
      <c r="F62" s="84"/>
      <c r="G62" s="84"/>
      <c r="H62" s="322" t="s">
        <v>45</v>
      </c>
      <c r="I62" s="322"/>
      <c r="J62" s="322" t="s">
        <v>45</v>
      </c>
      <c r="K62" s="322"/>
      <c r="L62" s="84" t="s">
        <v>98</v>
      </c>
      <c r="M62" s="84"/>
      <c r="N62" s="83"/>
      <c r="O62" s="322" t="s">
        <v>109</v>
      </c>
      <c r="P62" s="83"/>
      <c r="Q62" s="84"/>
      <c r="R62" s="301"/>
      <c r="S62" s="303"/>
    </row>
    <row r="63" spans="1:22" ht="13.8" thickBot="1">
      <c r="A63" s="1"/>
      <c r="B63" s="10"/>
      <c r="C63" s="10"/>
      <c r="D63" s="10"/>
      <c r="E63" s="10"/>
      <c r="F63" s="304"/>
      <c r="G63" s="304"/>
      <c r="H63" s="323" t="s">
        <v>863</v>
      </c>
      <c r="I63" s="323"/>
      <c r="J63" s="323" t="s">
        <v>863</v>
      </c>
      <c r="K63" s="323"/>
      <c r="L63" s="305" t="s">
        <v>110</v>
      </c>
      <c r="M63" s="305"/>
      <c r="N63" s="89"/>
      <c r="O63" s="323" t="s">
        <v>864</v>
      </c>
      <c r="P63" s="89"/>
      <c r="Q63" s="89"/>
      <c r="R63" s="306"/>
      <c r="S63" s="306"/>
    </row>
    <row r="64" spans="1:22">
      <c r="A64" s="4">
        <v>1</v>
      </c>
      <c r="B64" s="142"/>
      <c r="C64" s="324" t="s">
        <v>337</v>
      </c>
      <c r="D64" s="142"/>
      <c r="E64" s="4"/>
      <c r="F64" s="37"/>
      <c r="G64" s="37"/>
      <c r="H64" s="150"/>
      <c r="I64" s="83"/>
      <c r="J64" s="150"/>
      <c r="K64" s="150"/>
      <c r="L64" s="325"/>
      <c r="M64" s="150"/>
      <c r="N64" s="150"/>
      <c r="O64" s="150"/>
      <c r="P64" s="4"/>
      <c r="Q64" s="4"/>
      <c r="R64" s="162"/>
      <c r="S64" s="162"/>
      <c r="T64" s="313"/>
    </row>
    <row r="65" spans="1:20">
      <c r="A65" s="4">
        <v>2</v>
      </c>
      <c r="B65" s="407" t="s">
        <v>453</v>
      </c>
      <c r="C65" s="14" t="s">
        <v>296</v>
      </c>
      <c r="D65" s="142"/>
      <c r="E65" s="4"/>
      <c r="F65" s="37"/>
      <c r="G65" s="37"/>
      <c r="H65" s="150">
        <f>+'B-3'!S283</f>
        <v>32353.108448578187</v>
      </c>
      <c r="I65" s="83"/>
      <c r="J65" s="150">
        <f>'B-3'!$S445</f>
        <v>32180.446293427492</v>
      </c>
      <c r="K65" s="150"/>
      <c r="L65" s="310">
        <f t="shared" ref="L65:L71" si="6">$L$19</f>
        <v>0.99655866997400888</v>
      </c>
      <c r="M65" s="150"/>
      <c r="N65" s="150"/>
      <c r="O65" s="27">
        <f t="shared" ref="O65:O71" si="7">+J65*L65</f>
        <v>32069.702757348125</v>
      </c>
      <c r="P65" s="4"/>
      <c r="Q65" s="4"/>
      <c r="R65" s="162"/>
      <c r="S65" s="162"/>
      <c r="T65" s="313" t="s">
        <v>118</v>
      </c>
    </row>
    <row r="66" spans="1:20">
      <c r="A66" s="4">
        <v>3</v>
      </c>
      <c r="B66" s="407" t="s">
        <v>454</v>
      </c>
      <c r="C66" s="14" t="s">
        <v>338</v>
      </c>
      <c r="D66" s="142"/>
      <c r="E66" s="4"/>
      <c r="F66" s="37"/>
      <c r="G66" s="37"/>
      <c r="H66" s="150">
        <f>+'B-3'!S284</f>
        <v>5866.8478912820683</v>
      </c>
      <c r="I66" s="4"/>
      <c r="J66" s="150">
        <f>'B-3'!$S446</f>
        <v>17835.4555666667</v>
      </c>
      <c r="K66" s="150"/>
      <c r="L66" s="310">
        <f t="shared" si="6"/>
        <v>0.99655866997400888</v>
      </c>
      <c r="M66" s="150"/>
      <c r="N66" s="150"/>
      <c r="O66" s="27">
        <f t="shared" si="7"/>
        <v>17774.0778778979</v>
      </c>
      <c r="P66" s="4"/>
      <c r="Q66" s="4"/>
      <c r="R66" s="162"/>
      <c r="S66" s="162"/>
      <c r="T66" s="313" t="s">
        <v>118</v>
      </c>
    </row>
    <row r="67" spans="1:20">
      <c r="A67" s="4">
        <v>4</v>
      </c>
      <c r="B67" s="407" t="s">
        <v>455</v>
      </c>
      <c r="C67" s="14" t="s">
        <v>456</v>
      </c>
      <c r="D67" s="142"/>
      <c r="E67" s="4"/>
      <c r="F67" s="37"/>
      <c r="G67" s="37"/>
      <c r="H67" s="150">
        <f>+'B-3'!S285</f>
        <v>7951.045025577293</v>
      </c>
      <c r="I67" s="4"/>
      <c r="J67" s="150">
        <f>'B-3'!$S447</f>
        <v>7962.0600085416991</v>
      </c>
      <c r="K67" s="150"/>
      <c r="L67" s="310">
        <f t="shared" si="6"/>
        <v>0.99655866997400888</v>
      </c>
      <c r="M67" s="150"/>
      <c r="N67" s="150"/>
      <c r="O67" s="27">
        <f t="shared" si="7"/>
        <v>7934.659932365561</v>
      </c>
      <c r="P67" s="4"/>
      <c r="Q67" s="4"/>
      <c r="R67" s="150"/>
      <c r="S67" s="150"/>
      <c r="T67" s="313" t="s">
        <v>118</v>
      </c>
    </row>
    <row r="68" spans="1:20">
      <c r="A68" s="4">
        <v>5</v>
      </c>
      <c r="B68" s="407" t="s">
        <v>457</v>
      </c>
      <c r="C68" s="14" t="s">
        <v>458</v>
      </c>
      <c r="D68" s="142"/>
      <c r="E68" s="4"/>
      <c r="F68" s="4"/>
      <c r="G68" s="104"/>
      <c r="H68" s="391">
        <f>+'B-3'!S286</f>
        <v>92052.847816923095</v>
      </c>
      <c r="I68" s="104"/>
      <c r="J68" s="391">
        <f>'B-3'!$S448</f>
        <v>75854.965614615387</v>
      </c>
      <c r="K68" s="391"/>
      <c r="L68" s="310">
        <f t="shared" si="6"/>
        <v>0.99655866997400888</v>
      </c>
      <c r="M68" s="4"/>
      <c r="N68" s="4"/>
      <c r="O68" s="27">
        <f t="shared" si="7"/>
        <v>75593.923643825285</v>
      </c>
      <c r="P68" s="4"/>
      <c r="Q68" s="4"/>
      <c r="R68" s="150"/>
      <c r="S68" s="150"/>
      <c r="T68" s="313" t="s">
        <v>118</v>
      </c>
    </row>
    <row r="69" spans="1:20">
      <c r="A69" s="4">
        <v>6</v>
      </c>
      <c r="B69" s="407" t="s">
        <v>459</v>
      </c>
      <c r="C69" s="14" t="s">
        <v>460</v>
      </c>
      <c r="D69" s="142"/>
      <c r="E69" s="4"/>
      <c r="F69" s="4"/>
      <c r="G69" s="104"/>
      <c r="H69" s="391">
        <f>+'B-3'!S287</f>
        <v>782.97723307692308</v>
      </c>
      <c r="I69" s="104"/>
      <c r="J69" s="391">
        <f>'B-3'!$S449</f>
        <v>783</v>
      </c>
      <c r="K69" s="391"/>
      <c r="L69" s="310">
        <f t="shared" si="6"/>
        <v>0.99655866997400888</v>
      </c>
      <c r="M69" s="4"/>
      <c r="N69" s="4"/>
      <c r="O69" s="27">
        <f t="shared" si="7"/>
        <v>780.30543858964893</v>
      </c>
      <c r="P69" s="4"/>
      <c r="Q69" s="4"/>
      <c r="R69" s="150"/>
      <c r="S69" s="150"/>
      <c r="T69" s="313" t="s">
        <v>118</v>
      </c>
    </row>
    <row r="70" spans="1:20">
      <c r="A70" s="4">
        <v>7</v>
      </c>
      <c r="B70" s="407" t="s">
        <v>461</v>
      </c>
      <c r="C70" s="14" t="s">
        <v>462</v>
      </c>
      <c r="D70" s="142"/>
      <c r="E70" s="4"/>
      <c r="F70" s="4"/>
      <c r="G70" s="104"/>
      <c r="H70" s="391">
        <f>+'B-3'!S288</f>
        <v>0</v>
      </c>
      <c r="I70" s="104"/>
      <c r="J70" s="391">
        <f>'B-3'!$S450</f>
        <v>0</v>
      </c>
      <c r="K70" s="391"/>
      <c r="L70" s="310">
        <f t="shared" si="6"/>
        <v>0.99655866997400888</v>
      </c>
      <c r="M70" s="4"/>
      <c r="N70" s="4"/>
      <c r="O70" s="27">
        <f t="shared" si="7"/>
        <v>0</v>
      </c>
      <c r="P70" s="4"/>
      <c r="Q70" s="4"/>
      <c r="R70" s="150"/>
      <c r="S70" s="150"/>
      <c r="T70" s="313" t="s">
        <v>118</v>
      </c>
    </row>
    <row r="71" spans="1:20">
      <c r="A71" s="4">
        <v>8</v>
      </c>
      <c r="B71" s="408" t="s">
        <v>463</v>
      </c>
      <c r="C71" s="14" t="s">
        <v>254</v>
      </c>
      <c r="D71" s="142"/>
      <c r="E71" s="4"/>
      <c r="F71" s="37"/>
      <c r="G71" s="113"/>
      <c r="H71" s="415">
        <f>+'B-3'!S289</f>
        <v>32960.900449230772</v>
      </c>
      <c r="I71" s="104"/>
      <c r="J71" s="391">
        <f>'B-3'!$S451</f>
        <v>34647.242676153845</v>
      </c>
      <c r="K71" s="391"/>
      <c r="L71" s="310">
        <f t="shared" si="6"/>
        <v>0.99655866997400888</v>
      </c>
      <c r="M71" s="150"/>
      <c r="N71" s="150"/>
      <c r="O71" s="27">
        <f t="shared" si="7"/>
        <v>34528.010079614593</v>
      </c>
      <c r="P71" s="4"/>
      <c r="Q71" s="4"/>
      <c r="R71" s="150"/>
      <c r="S71" s="150"/>
      <c r="T71" s="313" t="s">
        <v>118</v>
      </c>
    </row>
    <row r="72" spans="1:20">
      <c r="A72" s="4">
        <v>9</v>
      </c>
      <c r="B72" s="408"/>
      <c r="C72" s="324" t="s">
        <v>871</v>
      </c>
      <c r="D72" s="324"/>
      <c r="E72" s="4"/>
      <c r="F72" s="37"/>
      <c r="G72" s="113"/>
      <c r="H72" s="391">
        <f>SUM(H65:H71)</f>
        <v>171967.72686466834</v>
      </c>
      <c r="I72" s="104"/>
      <c r="J72" s="416">
        <f>SUM(J65:J71)</f>
        <v>169263.1701594051</v>
      </c>
      <c r="K72" s="391"/>
      <c r="L72" s="326"/>
      <c r="M72" s="150"/>
      <c r="N72" s="150"/>
      <c r="O72" s="163">
        <f>SUM(O65:O71)</f>
        <v>168680.67972964112</v>
      </c>
      <c r="P72" s="4"/>
      <c r="Q72" s="4"/>
      <c r="R72" s="150"/>
      <c r="S72" s="150"/>
      <c r="T72" s="313"/>
    </row>
    <row r="73" spans="1:20">
      <c r="A73" s="4">
        <v>10</v>
      </c>
      <c r="B73" s="144"/>
      <c r="C73" s="142"/>
      <c r="D73" s="142"/>
      <c r="E73" s="4"/>
      <c r="F73" s="37"/>
      <c r="G73" s="113"/>
      <c r="H73" s="391"/>
      <c r="I73" s="104"/>
      <c r="J73" s="391"/>
      <c r="K73" s="391"/>
      <c r="L73" s="326"/>
      <c r="M73" s="150"/>
      <c r="N73" s="150"/>
      <c r="O73" s="27"/>
      <c r="P73" s="4"/>
      <c r="Q73" s="4"/>
      <c r="R73" s="150"/>
      <c r="S73" s="150"/>
      <c r="T73" s="313"/>
    </row>
    <row r="74" spans="1:20">
      <c r="A74" s="4">
        <v>11</v>
      </c>
      <c r="B74" s="144"/>
      <c r="C74" s="324" t="s">
        <v>464</v>
      </c>
      <c r="D74" s="142"/>
      <c r="E74" s="4"/>
      <c r="F74" s="37"/>
      <c r="G74" s="113"/>
      <c r="H74" s="391"/>
      <c r="I74" s="104"/>
      <c r="J74" s="391"/>
      <c r="K74" s="391"/>
      <c r="L74" s="326"/>
      <c r="M74" s="150"/>
      <c r="N74" s="150"/>
      <c r="O74" s="27"/>
      <c r="P74" s="4"/>
      <c r="Q74" s="4"/>
      <c r="R74" s="150"/>
      <c r="S74" s="150"/>
      <c r="T74" s="313"/>
    </row>
    <row r="75" spans="1:20">
      <c r="A75" s="4">
        <v>12</v>
      </c>
      <c r="B75" s="407" t="s">
        <v>467</v>
      </c>
      <c r="C75" s="14" t="s">
        <v>301</v>
      </c>
      <c r="D75" s="142"/>
      <c r="E75" s="4"/>
      <c r="F75" s="37"/>
      <c r="G75" s="113"/>
      <c r="H75" s="391">
        <f>+'B-3'!S294</f>
        <v>242553.30735898198</v>
      </c>
      <c r="I75" s="104"/>
      <c r="J75" s="391">
        <f>'B-3'!$S456</f>
        <v>262287.35123794485</v>
      </c>
      <c r="K75" s="391"/>
      <c r="L75" s="310">
        <f t="shared" ref="L75:L84" si="8">$L$19</f>
        <v>0.99655866997400888</v>
      </c>
      <c r="M75" s="150"/>
      <c r="N75" s="150"/>
      <c r="O75" s="27">
        <f>+J75*L75</f>
        <v>261384.73390069202</v>
      </c>
      <c r="P75" s="4"/>
      <c r="Q75" s="4"/>
      <c r="R75" s="150"/>
      <c r="S75" s="150"/>
      <c r="T75" s="313" t="s">
        <v>118</v>
      </c>
    </row>
    <row r="76" spans="1:20">
      <c r="A76" s="4">
        <v>13</v>
      </c>
      <c r="B76" s="407" t="s">
        <v>468</v>
      </c>
      <c r="C76" s="162" t="s">
        <v>302</v>
      </c>
      <c r="D76" s="142"/>
      <c r="E76" s="4"/>
      <c r="F76" s="37"/>
      <c r="G76" s="113"/>
      <c r="H76" s="391">
        <v>0</v>
      </c>
      <c r="I76" s="104"/>
      <c r="J76" s="391">
        <f>'B-3'!$S457</f>
        <v>0</v>
      </c>
      <c r="K76" s="391"/>
      <c r="L76" s="310">
        <f t="shared" si="8"/>
        <v>0.99655866997400888</v>
      </c>
      <c r="M76" s="150"/>
      <c r="N76" s="150"/>
      <c r="O76" s="27">
        <f t="shared" ref="O76:O84" si="9">+J76*L76</f>
        <v>0</v>
      </c>
      <c r="P76" s="4"/>
      <c r="Q76" s="4"/>
      <c r="R76" s="150"/>
      <c r="S76" s="150"/>
      <c r="T76" s="313" t="s">
        <v>118</v>
      </c>
    </row>
    <row r="77" spans="1:20">
      <c r="A77" s="4">
        <v>14</v>
      </c>
      <c r="B77" s="407" t="s">
        <v>469</v>
      </c>
      <c r="C77" s="14" t="s">
        <v>303</v>
      </c>
      <c r="D77" s="142"/>
      <c r="E77" s="4"/>
      <c r="F77" s="37"/>
      <c r="G77" s="113"/>
      <c r="H77" s="391">
        <f>+'B-3'!S296</f>
        <v>12017.831523846156</v>
      </c>
      <c r="I77" s="104"/>
      <c r="J77" s="391">
        <f>'B-3'!$S458</f>
        <v>11430.237184311907</v>
      </c>
      <c r="K77" s="391"/>
      <c r="L77" s="310">
        <f t="shared" si="8"/>
        <v>0.99655866997400888</v>
      </c>
      <c r="M77" s="150"/>
      <c r="N77" s="150"/>
      <c r="O77" s="27">
        <f t="shared" si="9"/>
        <v>11390.901965885334</v>
      </c>
      <c r="P77" s="4"/>
      <c r="Q77" s="150"/>
      <c r="R77" s="150"/>
      <c r="S77" s="150"/>
      <c r="T77" s="313" t="s">
        <v>118</v>
      </c>
    </row>
    <row r="78" spans="1:20">
      <c r="A78" s="4">
        <v>15</v>
      </c>
      <c r="B78" s="407" t="s">
        <v>472</v>
      </c>
      <c r="C78" s="14" t="s">
        <v>304</v>
      </c>
      <c r="D78" s="142"/>
      <c r="E78" s="4"/>
      <c r="F78" s="37"/>
      <c r="G78" s="113"/>
      <c r="H78" s="391">
        <f>SUM('B-3'!S298:S299)</f>
        <v>44914.163373034273</v>
      </c>
      <c r="I78" s="104"/>
      <c r="J78" s="391">
        <f>SUM('B-3'!S460:S461)</f>
        <v>44320.676262094021</v>
      </c>
      <c r="K78" s="391"/>
      <c r="L78" s="310">
        <f t="shared" si="8"/>
        <v>0.99655866997400888</v>
      </c>
      <c r="M78" s="150"/>
      <c r="N78" s="150"/>
      <c r="O78" s="27">
        <f t="shared" si="9"/>
        <v>44168.154188101042</v>
      </c>
      <c r="P78" s="4"/>
      <c r="Q78" s="4"/>
      <c r="R78" s="150"/>
      <c r="S78" s="150"/>
      <c r="T78" s="313" t="s">
        <v>118</v>
      </c>
    </row>
    <row r="79" spans="1:20">
      <c r="A79" s="4">
        <v>16</v>
      </c>
      <c r="B79" s="407" t="s">
        <v>473</v>
      </c>
      <c r="C79" s="14" t="s">
        <v>306</v>
      </c>
      <c r="D79" s="142"/>
      <c r="E79" s="150"/>
      <c r="F79" s="150"/>
      <c r="G79" s="391"/>
      <c r="H79" s="391">
        <f>+'B-3'!S300</f>
        <v>47995.047375557057</v>
      </c>
      <c r="I79" s="104"/>
      <c r="J79" s="391">
        <f>'B-3'!$S462</f>
        <v>46827.295570384485</v>
      </c>
      <c r="K79" s="391"/>
      <c r="L79" s="310">
        <f t="shared" si="8"/>
        <v>0.99655866997400888</v>
      </c>
      <c r="M79" s="150"/>
      <c r="N79" s="150"/>
      <c r="O79" s="27">
        <f t="shared" si="9"/>
        <v>46666.147392102161</v>
      </c>
      <c r="P79" s="150"/>
      <c r="Q79" s="4"/>
      <c r="R79" s="150"/>
      <c r="S79" s="150"/>
      <c r="T79" s="313" t="s">
        <v>118</v>
      </c>
    </row>
    <row r="80" spans="1:20">
      <c r="A80" s="4">
        <v>17</v>
      </c>
      <c r="B80" s="407" t="s">
        <v>474</v>
      </c>
      <c r="C80" s="14" t="s">
        <v>307</v>
      </c>
      <c r="D80" s="142"/>
      <c r="E80" s="4"/>
      <c r="F80" s="37"/>
      <c r="G80" s="113"/>
      <c r="H80" s="391">
        <f>+'B-3'!S301</f>
        <v>0</v>
      </c>
      <c r="I80" s="104"/>
      <c r="J80" s="391">
        <f>'B-3'!$S463</f>
        <v>0</v>
      </c>
      <c r="K80" s="391"/>
      <c r="L80" s="310">
        <f t="shared" si="8"/>
        <v>0.99655866997400888</v>
      </c>
      <c r="M80" s="150"/>
      <c r="N80" s="150"/>
      <c r="O80" s="27">
        <f t="shared" si="9"/>
        <v>0</v>
      </c>
      <c r="P80" s="150"/>
      <c r="Q80" s="4"/>
      <c r="R80" s="150"/>
      <c r="S80" s="150"/>
      <c r="T80" s="313" t="s">
        <v>118</v>
      </c>
    </row>
    <row r="81" spans="1:20">
      <c r="A81" s="4">
        <v>18</v>
      </c>
      <c r="B81" s="407" t="s">
        <v>475</v>
      </c>
      <c r="C81" s="14" t="s">
        <v>308</v>
      </c>
      <c r="D81" s="142"/>
      <c r="E81" s="4"/>
      <c r="F81" s="4"/>
      <c r="G81" s="104"/>
      <c r="H81" s="391">
        <f>+'B-3'!S302</f>
        <v>13357.907850000016</v>
      </c>
      <c r="I81" s="104"/>
      <c r="J81" s="391">
        <f>'B-3'!$S464</f>
        <v>14207.134949230762</v>
      </c>
      <c r="K81" s="391"/>
      <c r="L81" s="310">
        <f t="shared" si="8"/>
        <v>0.99655866997400888</v>
      </c>
      <c r="M81" s="4"/>
      <c r="N81" s="4"/>
      <c r="O81" s="27">
        <f t="shared" si="9"/>
        <v>14158.243509146667</v>
      </c>
      <c r="P81" s="4"/>
      <c r="Q81" s="4"/>
      <c r="R81" s="150"/>
      <c r="S81" s="150"/>
      <c r="T81" s="313" t="s">
        <v>118</v>
      </c>
    </row>
    <row r="82" spans="1:20">
      <c r="A82" s="4">
        <v>19</v>
      </c>
      <c r="B82" s="407" t="s">
        <v>476</v>
      </c>
      <c r="C82" s="14" t="s">
        <v>309</v>
      </c>
      <c r="D82" s="142"/>
      <c r="E82" s="4"/>
      <c r="F82" s="4"/>
      <c r="G82" s="104"/>
      <c r="H82" s="391">
        <f>+'B-3'!S303</f>
        <v>39583.318227397613</v>
      </c>
      <c r="I82" s="104"/>
      <c r="J82" s="391">
        <f>'B-3'!$S465</f>
        <v>41537.637464034953</v>
      </c>
      <c r="K82" s="391"/>
      <c r="L82" s="310">
        <f t="shared" si="8"/>
        <v>0.99655866997400888</v>
      </c>
      <c r="M82" s="4"/>
      <c r="N82" s="4"/>
      <c r="O82" s="27">
        <f t="shared" si="9"/>
        <v>41394.692745021239</v>
      </c>
      <c r="P82" s="4"/>
      <c r="Q82" s="4"/>
      <c r="R82" s="150"/>
      <c r="S82" s="150"/>
      <c r="T82" s="313" t="s">
        <v>118</v>
      </c>
    </row>
    <row r="83" spans="1:20">
      <c r="A83" s="4">
        <v>20</v>
      </c>
      <c r="B83" s="407" t="s">
        <v>477</v>
      </c>
      <c r="C83" s="14" t="s">
        <v>310</v>
      </c>
      <c r="D83" s="142"/>
      <c r="E83" s="4"/>
      <c r="F83" s="37"/>
      <c r="G83" s="113"/>
      <c r="H83" s="391">
        <f>+'B-3'!S304</f>
        <v>2244.8389638699232</v>
      </c>
      <c r="I83" s="104"/>
      <c r="J83" s="391">
        <f>'B-3'!$S466</f>
        <v>944.40400110644623</v>
      </c>
      <c r="K83" s="391"/>
      <c r="L83" s="310">
        <f t="shared" si="8"/>
        <v>0.99655866997400888</v>
      </c>
      <c r="M83" s="150"/>
      <c r="N83" s="150"/>
      <c r="O83" s="27">
        <f t="shared" si="9"/>
        <v>941.15399526077249</v>
      </c>
      <c r="P83" s="4"/>
      <c r="Q83" s="4"/>
      <c r="R83" s="150"/>
      <c r="S83" s="150"/>
      <c r="T83" s="313" t="s">
        <v>118</v>
      </c>
    </row>
    <row r="84" spans="1:20">
      <c r="A84" s="4">
        <v>21</v>
      </c>
      <c r="B84" s="407" t="s">
        <v>478</v>
      </c>
      <c r="C84" s="14" t="s">
        <v>286</v>
      </c>
      <c r="D84" s="142"/>
      <c r="E84" s="4"/>
      <c r="F84" s="37"/>
      <c r="G84" s="113"/>
      <c r="H84" s="415">
        <f>+'B-3'!S305</f>
        <v>0</v>
      </c>
      <c r="I84" s="104"/>
      <c r="J84" s="391">
        <f>'B-3'!$S467</f>
        <v>0</v>
      </c>
      <c r="K84" s="391"/>
      <c r="L84" s="310">
        <f t="shared" si="8"/>
        <v>0.99655866997400888</v>
      </c>
      <c r="M84" s="150"/>
      <c r="N84" s="150"/>
      <c r="O84" s="27">
        <f t="shared" si="9"/>
        <v>0</v>
      </c>
      <c r="P84" s="4"/>
      <c r="Q84" s="4"/>
      <c r="R84" s="150"/>
      <c r="S84" s="150"/>
      <c r="T84" s="313" t="s">
        <v>118</v>
      </c>
    </row>
    <row r="85" spans="1:20">
      <c r="A85" s="4">
        <v>22</v>
      </c>
      <c r="B85" s="408"/>
      <c r="C85" s="324" t="s">
        <v>872</v>
      </c>
      <c r="E85" s="4"/>
      <c r="F85" s="37"/>
      <c r="G85" s="113"/>
      <c r="H85" s="391">
        <f>SUM(H75:H84)</f>
        <v>402666.41467268701</v>
      </c>
      <c r="I85" s="104"/>
      <c r="J85" s="416">
        <f>SUM(J75:J84)</f>
        <v>421554.7366691074</v>
      </c>
      <c r="K85" s="391"/>
      <c r="L85" s="310"/>
      <c r="M85" s="150"/>
      <c r="N85" s="150"/>
      <c r="O85" s="163">
        <f>SUM(O75:O84)</f>
        <v>420104.02769620926</v>
      </c>
      <c r="P85" s="4"/>
      <c r="Q85" s="4"/>
      <c r="R85" s="150"/>
      <c r="S85" s="150"/>
      <c r="T85" s="313"/>
    </row>
    <row r="86" spans="1:20">
      <c r="A86" s="4">
        <v>23</v>
      </c>
      <c r="B86" s="408"/>
      <c r="C86" s="14"/>
      <c r="D86" s="142"/>
      <c r="E86" s="4"/>
      <c r="F86" s="37"/>
      <c r="G86" s="113"/>
      <c r="H86" s="391"/>
      <c r="I86" s="104"/>
      <c r="J86" s="391"/>
      <c r="K86" s="391"/>
      <c r="L86" s="310"/>
      <c r="M86" s="150"/>
      <c r="N86" s="150"/>
      <c r="O86" s="27"/>
      <c r="P86" s="4"/>
      <c r="Q86" s="4"/>
      <c r="R86" s="150"/>
      <c r="S86" s="150"/>
      <c r="T86" s="313"/>
    </row>
    <row r="87" spans="1:20">
      <c r="A87" s="4">
        <v>24</v>
      </c>
      <c r="B87" s="408"/>
      <c r="C87" s="324" t="s">
        <v>479</v>
      </c>
      <c r="D87" s="142"/>
      <c r="E87" s="4"/>
      <c r="F87" s="37"/>
      <c r="G87" s="113"/>
      <c r="H87" s="391"/>
      <c r="I87" s="104"/>
      <c r="J87" s="391"/>
      <c r="K87" s="391"/>
      <c r="L87" s="310"/>
      <c r="M87" s="150"/>
      <c r="N87" s="150"/>
      <c r="O87" s="27"/>
      <c r="P87" s="4"/>
      <c r="Q87" s="4"/>
      <c r="R87" s="150"/>
      <c r="S87" s="150"/>
      <c r="T87" s="313"/>
    </row>
    <row r="88" spans="1:20">
      <c r="A88" s="4">
        <v>25</v>
      </c>
      <c r="B88" s="407" t="s">
        <v>480</v>
      </c>
      <c r="C88" s="14" t="s">
        <v>313</v>
      </c>
      <c r="D88" s="142"/>
      <c r="E88" s="4"/>
      <c r="F88" s="37"/>
      <c r="G88" s="113"/>
      <c r="H88" s="391">
        <f>SUM('B-3'!S309)</f>
        <v>31451.559225483084</v>
      </c>
      <c r="I88" s="104"/>
      <c r="J88" s="391">
        <f>'B-3'!$S471</f>
        <v>36211.952579107608</v>
      </c>
      <c r="K88" s="391"/>
      <c r="L88" s="310">
        <f>$L$19</f>
        <v>0.99655866997400888</v>
      </c>
      <c r="M88" s="150"/>
      <c r="N88" s="150"/>
      <c r="O88" s="27">
        <f>+J88*L88</f>
        <v>36087.33529939736</v>
      </c>
      <c r="P88" s="4"/>
      <c r="Q88" s="150"/>
      <c r="R88" s="150"/>
      <c r="S88" s="150"/>
      <c r="T88" s="313" t="s">
        <v>118</v>
      </c>
    </row>
    <row r="89" spans="1:20">
      <c r="A89" s="4">
        <v>26</v>
      </c>
      <c r="B89" s="407" t="s">
        <v>481</v>
      </c>
      <c r="C89" s="14" t="s">
        <v>314</v>
      </c>
      <c r="D89" s="142"/>
      <c r="E89" s="4"/>
      <c r="F89" s="37"/>
      <c r="G89" s="113"/>
      <c r="H89" s="391">
        <f>+'B-3'!S311</f>
        <v>67184.313860945666</v>
      </c>
      <c r="I89" s="104"/>
      <c r="J89" s="391">
        <f>'B-3'!$S473</f>
        <v>93556.356676485768</v>
      </c>
      <c r="K89" s="391"/>
      <c r="L89" s="310">
        <f>$L$19</f>
        <v>0.99655866997400888</v>
      </c>
      <c r="M89" s="150"/>
      <c r="N89" s="150"/>
      <c r="O89" s="27">
        <f>+J89*L89</f>
        <v>93234.398377132646</v>
      </c>
      <c r="P89" s="4"/>
      <c r="Q89" s="150"/>
      <c r="R89" s="150"/>
      <c r="S89" s="150"/>
      <c r="T89" s="313" t="s">
        <v>118</v>
      </c>
    </row>
    <row r="90" spans="1:20">
      <c r="A90" s="4">
        <v>27</v>
      </c>
      <c r="B90" s="407" t="s">
        <v>485</v>
      </c>
      <c r="C90" s="14" t="s">
        <v>486</v>
      </c>
      <c r="D90" s="142"/>
      <c r="E90" s="4"/>
      <c r="F90" s="37"/>
      <c r="G90" s="113"/>
      <c r="H90" s="391">
        <f>+'B-3'!S314</f>
        <v>-7.8761200000000002</v>
      </c>
      <c r="I90" s="104"/>
      <c r="J90" s="391">
        <f>'B-3'!$S476</f>
        <v>-7.8761200000000002</v>
      </c>
      <c r="K90" s="391"/>
      <c r="L90" s="310">
        <f>$L$19</f>
        <v>0.99655866997400888</v>
      </c>
      <c r="M90" s="37"/>
      <c r="N90" s="150"/>
      <c r="O90" s="27">
        <f>+J90*L90</f>
        <v>-7.8490156717556907</v>
      </c>
      <c r="P90" s="150"/>
      <c r="Q90" s="4"/>
      <c r="R90" s="150"/>
      <c r="S90" s="150"/>
      <c r="T90" s="313" t="s">
        <v>118</v>
      </c>
    </row>
    <row r="91" spans="1:20">
      <c r="A91" s="4">
        <v>28</v>
      </c>
      <c r="B91" s="407" t="s">
        <v>487</v>
      </c>
      <c r="C91" s="14" t="s">
        <v>488</v>
      </c>
      <c r="D91" s="142"/>
      <c r="E91" s="4"/>
      <c r="F91" s="37"/>
      <c r="G91" s="113"/>
      <c r="H91" s="415">
        <f>+'B-3'!S315</f>
        <v>0</v>
      </c>
      <c r="I91" s="104"/>
      <c r="J91" s="391">
        <f>'B-3'!$S477</f>
        <v>0</v>
      </c>
      <c r="K91" s="391"/>
      <c r="L91" s="310">
        <f>$L$19</f>
        <v>0.99655866997400888</v>
      </c>
      <c r="M91" s="37"/>
      <c r="N91" s="150"/>
      <c r="O91" s="27">
        <f>+J91*L91</f>
        <v>0</v>
      </c>
      <c r="P91" s="150"/>
      <c r="Q91" s="4"/>
      <c r="R91" s="150"/>
      <c r="S91" s="150"/>
      <c r="T91" s="313" t="s">
        <v>118</v>
      </c>
    </row>
    <row r="92" spans="1:20">
      <c r="A92" s="4">
        <v>29</v>
      </c>
      <c r="B92" s="408"/>
      <c r="C92" s="324" t="s">
        <v>873</v>
      </c>
      <c r="E92" s="4"/>
      <c r="F92" s="37"/>
      <c r="G92" s="113"/>
      <c r="H92" s="391">
        <f>SUM(H88:H91)</f>
        <v>98627.996966428749</v>
      </c>
      <c r="I92" s="104"/>
      <c r="J92" s="445">
        <f>SUM(J88:J91)</f>
        <v>129760.43313559337</v>
      </c>
      <c r="K92" s="391"/>
      <c r="L92" s="310"/>
      <c r="M92" s="37"/>
      <c r="N92" s="150"/>
      <c r="O92" s="327">
        <f>SUM(O88:O91)</f>
        <v>129313.88466085825</v>
      </c>
      <c r="P92" s="150"/>
      <c r="Q92" s="4"/>
      <c r="R92" s="150"/>
      <c r="S92" s="150"/>
      <c r="T92" s="317"/>
    </row>
    <row r="93" spans="1:20">
      <c r="A93" s="4">
        <v>30</v>
      </c>
      <c r="B93" s="4"/>
      <c r="C93" s="8"/>
      <c r="D93" s="8"/>
      <c r="E93" s="4"/>
      <c r="F93" s="37"/>
      <c r="G93" s="113"/>
      <c r="H93" s="113"/>
      <c r="I93" s="104"/>
      <c r="J93" s="113"/>
      <c r="K93" s="391"/>
      <c r="L93" s="310"/>
      <c r="M93" s="37"/>
      <c r="N93" s="150"/>
      <c r="O93" s="37"/>
      <c r="P93" s="150"/>
      <c r="Q93" s="4"/>
      <c r="R93" s="150"/>
      <c r="S93" s="150"/>
      <c r="T93" s="317"/>
    </row>
    <row r="94" spans="1:20">
      <c r="A94" s="4">
        <v>31</v>
      </c>
      <c r="B94" s="4"/>
      <c r="C94" s="4"/>
      <c r="D94" s="4"/>
      <c r="E94" s="4"/>
      <c r="F94" s="37"/>
      <c r="G94" s="113"/>
      <c r="H94" s="419"/>
      <c r="I94" s="104"/>
      <c r="J94" s="419"/>
      <c r="K94" s="391"/>
      <c r="L94" s="310"/>
      <c r="M94" s="4"/>
      <c r="N94" s="4"/>
      <c r="O94" s="150"/>
      <c r="P94" s="150"/>
      <c r="Q94" s="150"/>
      <c r="R94" s="328"/>
      <c r="S94" s="328"/>
      <c r="T94" s="313"/>
    </row>
    <row r="95" spans="1:20">
      <c r="A95" s="4">
        <v>32</v>
      </c>
      <c r="B95" s="4"/>
      <c r="C95" s="8" t="s">
        <v>874</v>
      </c>
      <c r="D95" s="8"/>
      <c r="E95" s="4"/>
      <c r="F95" s="37"/>
      <c r="G95" s="113"/>
      <c r="H95" s="391">
        <f>+H85+H92+H72</f>
        <v>673262.13850378408</v>
      </c>
      <c r="I95" s="104"/>
      <c r="J95" s="391">
        <f>+J85+J92+J72</f>
        <v>720578.33996410586</v>
      </c>
      <c r="K95" s="391"/>
      <c r="L95" s="310"/>
      <c r="M95" s="150"/>
      <c r="N95" s="150"/>
      <c r="O95" s="150">
        <f>+O85+O92+O72</f>
        <v>718098.59208670864</v>
      </c>
      <c r="P95" s="150"/>
      <c r="Q95" s="150"/>
      <c r="R95" s="328"/>
      <c r="S95" s="328"/>
      <c r="T95" s="313"/>
    </row>
    <row r="96" spans="1:20">
      <c r="A96" s="4">
        <v>33</v>
      </c>
      <c r="B96" s="4"/>
      <c r="C96" s="8"/>
      <c r="D96" s="8"/>
      <c r="E96" s="4"/>
      <c r="F96" s="37"/>
      <c r="G96" s="113"/>
      <c r="H96" s="391"/>
      <c r="I96" s="104"/>
      <c r="J96" s="391"/>
      <c r="K96" s="391"/>
      <c r="L96" s="310"/>
      <c r="M96" s="150"/>
      <c r="N96" s="150"/>
      <c r="O96" s="150"/>
      <c r="P96" s="150"/>
      <c r="Q96" s="150"/>
      <c r="R96" s="328"/>
      <c r="S96" s="328"/>
      <c r="T96" s="313"/>
    </row>
    <row r="97" spans="1:20">
      <c r="A97" s="4">
        <v>34</v>
      </c>
      <c r="B97" s="4"/>
      <c r="C97" s="8"/>
      <c r="D97" s="8"/>
      <c r="E97" s="4"/>
      <c r="F97" s="37"/>
      <c r="G97" s="37"/>
      <c r="H97" s="150"/>
      <c r="I97" s="4"/>
      <c r="J97" s="150"/>
      <c r="K97" s="150"/>
      <c r="L97" s="310"/>
      <c r="M97" s="150"/>
      <c r="N97" s="150"/>
      <c r="O97" s="150"/>
      <c r="P97" s="150"/>
      <c r="Q97" s="150"/>
      <c r="R97" s="328"/>
      <c r="S97" s="328"/>
      <c r="T97" s="313"/>
    </row>
    <row r="98" spans="1:20">
      <c r="A98" s="4">
        <v>35</v>
      </c>
      <c r="B98" s="329"/>
      <c r="C98" s="330"/>
      <c r="D98" s="4"/>
      <c r="E98" s="150"/>
      <c r="F98" s="150"/>
      <c r="G98" s="150"/>
      <c r="H98" s="155"/>
      <c r="I98" s="4"/>
      <c r="J98" s="155"/>
      <c r="K98" s="150"/>
      <c r="L98" s="310"/>
      <c r="M98" s="150"/>
      <c r="N98" s="150"/>
      <c r="O98" s="155"/>
      <c r="P98" s="150"/>
      <c r="Q98" s="150"/>
      <c r="R98" s="328"/>
      <c r="S98" s="328"/>
      <c r="T98" s="313"/>
    </row>
    <row r="99" spans="1:20">
      <c r="A99" s="4">
        <v>36</v>
      </c>
      <c r="B99" s="7"/>
      <c r="C99" s="8" t="s">
        <v>875</v>
      </c>
      <c r="D99" s="4"/>
      <c r="E99" s="4"/>
      <c r="F99" s="4"/>
      <c r="G99" s="4"/>
      <c r="H99" s="331">
        <f>+H50-H95</f>
        <v>715899.39118495141</v>
      </c>
      <c r="I99" s="4"/>
      <c r="J99" s="331">
        <f>+J50-J95</f>
        <v>606832.55767903</v>
      </c>
      <c r="K99" s="150"/>
      <c r="L99" s="310"/>
      <c r="M99" s="4"/>
      <c r="N99" s="4"/>
      <c r="O99" s="331">
        <f>+O50-O95</f>
        <v>604744.89698891481</v>
      </c>
      <c r="P99" s="150"/>
      <c r="Q99" s="150"/>
      <c r="R99" s="328"/>
      <c r="S99" s="328"/>
      <c r="T99" s="313"/>
    </row>
    <row r="100" spans="1:20">
      <c r="A100" s="4">
        <v>37</v>
      </c>
      <c r="B100" s="7"/>
      <c r="C100" s="8"/>
      <c r="D100" s="4"/>
      <c r="E100" s="4"/>
      <c r="F100" s="4"/>
      <c r="G100" s="4"/>
      <c r="H100" s="150"/>
      <c r="I100" s="4"/>
      <c r="J100" s="150"/>
      <c r="K100" s="150"/>
      <c r="L100" s="310"/>
      <c r="M100" s="4"/>
      <c r="N100" s="4"/>
      <c r="O100" s="150"/>
      <c r="P100" s="150"/>
      <c r="Q100" s="150"/>
      <c r="R100" s="328"/>
      <c r="S100" s="328"/>
      <c r="T100" s="313"/>
    </row>
    <row r="101" spans="1:20">
      <c r="A101" s="4">
        <v>38</v>
      </c>
      <c r="B101" s="7"/>
      <c r="C101" s="8"/>
      <c r="D101" s="4"/>
      <c r="E101" s="4"/>
      <c r="F101" s="4"/>
      <c r="G101" s="4"/>
      <c r="H101" s="150"/>
      <c r="I101" s="4"/>
      <c r="J101" s="150"/>
      <c r="K101" s="150"/>
      <c r="L101" s="310"/>
      <c r="M101" s="4"/>
      <c r="N101" s="4"/>
      <c r="O101" s="150"/>
      <c r="P101" s="150"/>
      <c r="Q101" s="150"/>
      <c r="R101" s="328"/>
      <c r="S101" s="328"/>
      <c r="T101" s="313"/>
    </row>
    <row r="102" spans="1:20">
      <c r="A102" s="4">
        <v>39</v>
      </c>
      <c r="B102" s="7"/>
      <c r="C102" s="8"/>
      <c r="D102" s="4"/>
      <c r="E102" s="4"/>
      <c r="F102" s="4"/>
      <c r="G102" s="4"/>
      <c r="H102" s="150"/>
      <c r="I102" s="4"/>
      <c r="J102" s="150"/>
      <c r="K102" s="150"/>
      <c r="L102" s="310"/>
      <c r="M102" s="4"/>
      <c r="N102" s="4"/>
      <c r="O102" s="150"/>
      <c r="P102" s="150"/>
      <c r="Q102" s="150"/>
      <c r="R102" s="328"/>
      <c r="S102" s="328"/>
      <c r="T102" s="313"/>
    </row>
    <row r="103" spans="1:20" ht="13.8" thickBot="1">
      <c r="A103" s="1">
        <v>40</v>
      </c>
      <c r="B103" s="1" t="s">
        <v>67</v>
      </c>
      <c r="C103" s="1"/>
      <c r="D103" s="1"/>
      <c r="E103" s="319"/>
      <c r="F103" s="319"/>
      <c r="G103" s="319"/>
      <c r="H103" s="319"/>
      <c r="I103" s="319"/>
      <c r="J103" s="319"/>
      <c r="K103" s="319"/>
      <c r="L103" s="319"/>
      <c r="M103" s="319"/>
      <c r="N103" s="319"/>
      <c r="O103" s="319"/>
      <c r="P103" s="319"/>
      <c r="Q103" s="319"/>
      <c r="R103" s="1"/>
      <c r="S103" s="1"/>
      <c r="T103" s="313"/>
    </row>
    <row r="104" spans="1:20">
      <c r="A104" s="5" t="str">
        <f>+$A$52</f>
        <v>Supporting Schedules: B-3</v>
      </c>
      <c r="B104" s="5"/>
      <c r="C104" s="5"/>
      <c r="D104" s="5"/>
      <c r="E104" s="5"/>
      <c r="F104" s="5"/>
      <c r="G104" s="5"/>
      <c r="H104" s="5"/>
      <c r="I104" s="5"/>
      <c r="J104" s="5"/>
      <c r="K104" s="5"/>
      <c r="L104" s="5"/>
      <c r="M104" s="5"/>
      <c r="N104" s="5"/>
      <c r="O104" s="5"/>
      <c r="P104" s="5"/>
      <c r="Q104" s="5" t="str">
        <f>+$Q$52</f>
        <v xml:space="preserve">Recap Schedules: </v>
      </c>
      <c r="R104" s="5"/>
      <c r="S104" s="5"/>
      <c r="T104" s="320"/>
    </row>
    <row r="105" spans="1:20" ht="13.8" thickBot="1">
      <c r="A105" s="1" t="str">
        <f>+$A$1</f>
        <v>SCHEDULE B-17</v>
      </c>
      <c r="B105" s="1"/>
      <c r="C105" s="1"/>
      <c r="D105" s="1"/>
      <c r="E105" s="1"/>
      <c r="F105" s="1"/>
      <c r="G105" s="1"/>
      <c r="H105" s="1" t="str">
        <f>+$H$1</f>
        <v>WORKING CAPITAL - 13 MONTH AVERAGE</v>
      </c>
      <c r="I105" s="2"/>
      <c r="J105" s="1"/>
      <c r="K105" s="1"/>
      <c r="L105" s="1"/>
      <c r="M105" s="1"/>
      <c r="N105" s="1"/>
      <c r="O105" s="1"/>
      <c r="P105" s="1"/>
      <c r="Q105" s="1"/>
      <c r="R105" s="1"/>
      <c r="S105" s="1" t="s">
        <v>72</v>
      </c>
      <c r="T105" s="7"/>
    </row>
    <row r="106" spans="1:20">
      <c r="A106" s="4" t="s">
        <v>4</v>
      </c>
      <c r="B106" s="4"/>
      <c r="C106" s="4"/>
      <c r="D106" s="4"/>
      <c r="E106" s="4" t="s">
        <v>876</v>
      </c>
      <c r="F106" s="4"/>
      <c r="G106" s="5" t="str">
        <f>+$G$2</f>
        <v>Provide a schedule showing the adjusted 13 month average working capital allowance for</v>
      </c>
      <c r="H106" s="5"/>
      <c r="I106" s="5"/>
      <c r="J106" s="6"/>
      <c r="K106" s="6"/>
      <c r="L106" s="4"/>
      <c r="M106" s="6"/>
      <c r="N106" s="6"/>
      <c r="O106" s="6"/>
      <c r="P106" s="6" t="s">
        <v>7</v>
      </c>
      <c r="Q106" s="4"/>
      <c r="R106" s="4"/>
      <c r="S106" s="7"/>
      <c r="T106" s="7"/>
    </row>
    <row r="107" spans="1:20">
      <c r="A107" s="4"/>
      <c r="B107" s="4"/>
      <c r="C107" s="4"/>
      <c r="D107" s="4"/>
      <c r="E107" s="4"/>
      <c r="F107" s="4"/>
      <c r="G107" s="5" t="str">
        <f>+$G$3</f>
        <v xml:space="preserve">the test year and the prior year if the test year is projected.  All adjustments are to be </v>
      </c>
      <c r="H107" s="5"/>
      <c r="I107" s="5"/>
      <c r="J107" s="9"/>
      <c r="K107" s="9"/>
      <c r="L107" s="4"/>
      <c r="M107" s="4"/>
      <c r="N107" s="4"/>
      <c r="O107" s="9"/>
      <c r="P107" s="9" t="s">
        <v>12</v>
      </c>
      <c r="Q107" s="7" t="str">
        <f>+Q3</f>
        <v>Projected Test Year Ended 12/31/2025</v>
      </c>
      <c r="R107" s="4"/>
      <c r="S107" s="9"/>
      <c r="T107" s="7"/>
    </row>
    <row r="108" spans="1:20">
      <c r="A108" s="4" t="s">
        <v>10</v>
      </c>
      <c r="B108" s="4"/>
      <c r="C108" s="4"/>
      <c r="D108" s="4"/>
      <c r="E108" s="4"/>
      <c r="F108" s="4"/>
      <c r="G108" s="5" t="str">
        <f>+$G$4</f>
        <v>provided by account number. Use a balance sheet method and any other methodology the</v>
      </c>
      <c r="H108" s="4"/>
      <c r="I108" s="4"/>
      <c r="J108" s="9"/>
      <c r="K108" s="9"/>
      <c r="L108" s="9"/>
      <c r="M108" s="4"/>
      <c r="N108" s="4"/>
      <c r="O108" s="4"/>
      <c r="P108" s="9" t="s">
        <v>12</v>
      </c>
      <c r="Q108" s="7" t="str">
        <f>+Q4</f>
        <v>Projected Prior Year Ended 12/31/2024</v>
      </c>
      <c r="R108" s="4"/>
      <c r="S108" s="9"/>
      <c r="T108" s="7"/>
    </row>
    <row r="109" spans="1:20">
      <c r="A109" s="4"/>
      <c r="B109" s="4"/>
      <c r="C109" s="4"/>
      <c r="D109" s="4"/>
      <c r="E109" s="4"/>
      <c r="F109" s="4"/>
      <c r="G109" s="4" t="str">
        <f>+$G$5</f>
        <v>company proposes to use.</v>
      </c>
      <c r="H109" s="4"/>
      <c r="I109" s="4"/>
      <c r="J109" s="9"/>
      <c r="K109" s="9"/>
      <c r="L109" s="9"/>
      <c r="M109" s="4"/>
      <c r="N109" s="4"/>
      <c r="O109" s="4"/>
      <c r="P109" s="9"/>
      <c r="Q109" s="7" t="str">
        <f>+Q5</f>
        <v>Historical Prior Year Ended 12/31/2023</v>
      </c>
      <c r="R109" s="4"/>
      <c r="S109" s="9"/>
      <c r="T109" s="7"/>
    </row>
    <row r="110" spans="1:20" ht="13.8" thickBot="1">
      <c r="A110" s="2" t="str">
        <f>A6</f>
        <v>DOCKET No.</v>
      </c>
      <c r="B110" s="2"/>
      <c r="C110" s="1"/>
      <c r="D110" s="1"/>
      <c r="E110" s="1"/>
      <c r="F110" s="1"/>
      <c r="G110" s="1"/>
      <c r="H110" s="1"/>
      <c r="I110" s="2" t="s">
        <v>15</v>
      </c>
      <c r="J110" s="10"/>
      <c r="K110" s="1"/>
      <c r="L110" s="1"/>
      <c r="M110" s="1"/>
      <c r="N110" s="1"/>
      <c r="O110" s="1"/>
      <c r="P110" s="1"/>
      <c r="Q110" s="1" t="str">
        <f>+Q6</f>
        <v>Witness:</v>
      </c>
      <c r="R110" s="1"/>
      <c r="S110" s="1"/>
      <c r="T110" s="7"/>
    </row>
    <row r="111" spans="1:20">
      <c r="A111" s="4"/>
      <c r="B111" s="83"/>
      <c r="C111" s="83"/>
      <c r="D111" s="83"/>
      <c r="E111" s="83"/>
      <c r="F111" s="83"/>
      <c r="G111" s="83"/>
      <c r="H111" s="321" t="s">
        <v>17</v>
      </c>
      <c r="I111" s="321"/>
      <c r="J111" s="321" t="s">
        <v>18</v>
      </c>
      <c r="K111" s="321"/>
      <c r="L111" s="83" t="s">
        <v>19</v>
      </c>
      <c r="M111" s="4"/>
      <c r="N111" s="83"/>
      <c r="O111" s="321" t="s">
        <v>20</v>
      </c>
      <c r="P111" s="83"/>
      <c r="Q111" s="83"/>
      <c r="R111" s="301"/>
      <c r="S111" s="301"/>
      <c r="T111" s="316"/>
    </row>
    <row r="112" spans="1:20">
      <c r="A112" s="4"/>
      <c r="B112" s="84" t="s">
        <v>355</v>
      </c>
      <c r="C112" s="84"/>
      <c r="D112" s="84"/>
      <c r="E112" s="84"/>
      <c r="F112" s="83"/>
      <c r="G112" s="84"/>
      <c r="H112" s="322" t="str">
        <f>+H8</f>
        <v>Prior Year 2024</v>
      </c>
      <c r="I112" s="322"/>
      <c r="J112" s="322" t="str">
        <f>+J8</f>
        <v>Test Year 2025</v>
      </c>
      <c r="K112" s="322"/>
      <c r="L112" s="83"/>
      <c r="M112" s="4"/>
      <c r="N112" s="4"/>
      <c r="O112" s="321" t="s">
        <v>539</v>
      </c>
      <c r="P112" s="4"/>
      <c r="Q112" s="84"/>
      <c r="R112" s="301"/>
      <c r="S112" s="301"/>
      <c r="T112" s="313"/>
    </row>
    <row r="113" spans="1:20">
      <c r="A113" s="4" t="s">
        <v>35</v>
      </c>
      <c r="B113" s="84" t="s">
        <v>46</v>
      </c>
      <c r="C113" s="84"/>
      <c r="D113" s="84" t="s">
        <v>862</v>
      </c>
      <c r="E113" s="83"/>
      <c r="F113" s="84"/>
      <c r="G113" s="84"/>
      <c r="H113" s="321" t="s">
        <v>214</v>
      </c>
      <c r="I113" s="321"/>
      <c r="J113" s="321" t="s">
        <v>214</v>
      </c>
      <c r="K113" s="321"/>
      <c r="L113" s="83" t="s">
        <v>539</v>
      </c>
      <c r="M113" s="4"/>
      <c r="N113" s="83"/>
      <c r="O113" s="322" t="s">
        <v>98</v>
      </c>
      <c r="P113" s="83"/>
      <c r="Q113" s="84"/>
      <c r="R113" s="302"/>
      <c r="S113" s="303"/>
      <c r="T113" s="316"/>
    </row>
    <row r="114" spans="1:20">
      <c r="A114" s="4" t="s">
        <v>46</v>
      </c>
      <c r="B114" s="84"/>
      <c r="C114" s="84"/>
      <c r="D114" s="84"/>
      <c r="E114" s="83"/>
      <c r="F114" s="84"/>
      <c r="G114" s="84"/>
      <c r="H114" s="322" t="s">
        <v>45</v>
      </c>
      <c r="I114" s="322"/>
      <c r="J114" s="322" t="s">
        <v>45</v>
      </c>
      <c r="K114" s="322"/>
      <c r="L114" s="84" t="s">
        <v>98</v>
      </c>
      <c r="M114" s="4"/>
      <c r="N114" s="83"/>
      <c r="O114" s="322" t="s">
        <v>109</v>
      </c>
      <c r="P114" s="83"/>
      <c r="Q114" s="84"/>
      <c r="R114" s="301"/>
      <c r="S114" s="303"/>
      <c r="T114" s="313"/>
    </row>
    <row r="115" spans="1:20" ht="13.8" thickBot="1">
      <c r="A115" s="1"/>
      <c r="B115" s="10"/>
      <c r="C115" s="10"/>
      <c r="D115" s="10"/>
      <c r="E115" s="10"/>
      <c r="F115" s="304"/>
      <c r="G115" s="304"/>
      <c r="H115" s="323" t="s">
        <v>863</v>
      </c>
      <c r="I115" s="323"/>
      <c r="J115" s="323" t="s">
        <v>863</v>
      </c>
      <c r="K115" s="323"/>
      <c r="L115" s="305" t="s">
        <v>110</v>
      </c>
      <c r="M115" s="1"/>
      <c r="N115" s="89"/>
      <c r="O115" s="323" t="s">
        <v>864</v>
      </c>
      <c r="P115" s="89"/>
      <c r="Q115" s="89"/>
      <c r="R115" s="306"/>
      <c r="S115" s="306"/>
      <c r="T115" s="316"/>
    </row>
    <row r="116" spans="1:20">
      <c r="A116" s="4">
        <v>1</v>
      </c>
      <c r="B116" s="4"/>
      <c r="C116" s="4"/>
      <c r="D116" s="4"/>
      <c r="E116" s="4"/>
      <c r="F116" s="4"/>
      <c r="G116" s="4"/>
      <c r="H116" s="262"/>
      <c r="I116" s="262"/>
      <c r="J116" s="262"/>
      <c r="K116" s="262"/>
      <c r="L116" s="4"/>
      <c r="M116" s="4"/>
      <c r="N116" s="4"/>
      <c r="O116" s="262"/>
      <c r="P116" s="4"/>
      <c r="Q116" s="4"/>
      <c r="R116" s="162"/>
      <c r="S116" s="162"/>
      <c r="T116" s="313"/>
    </row>
    <row r="117" spans="1:20">
      <c r="A117" s="4">
        <v>2</v>
      </c>
      <c r="B117" s="4"/>
      <c r="C117" s="8" t="s">
        <v>62</v>
      </c>
      <c r="D117" s="4"/>
      <c r="E117" s="150"/>
      <c r="F117" s="150"/>
      <c r="G117" s="150"/>
      <c r="H117" s="150"/>
      <c r="I117" s="262"/>
      <c r="J117" s="150"/>
      <c r="K117" s="150"/>
      <c r="L117" s="310"/>
      <c r="M117" s="150"/>
      <c r="N117" s="150"/>
      <c r="O117" s="150"/>
      <c r="P117" s="4"/>
      <c r="Q117" s="4"/>
      <c r="R117" s="162"/>
      <c r="S117" s="162"/>
      <c r="T117" s="313"/>
    </row>
    <row r="118" spans="1:20">
      <c r="A118" s="4">
        <v>3</v>
      </c>
      <c r="B118" s="4"/>
      <c r="C118" s="4"/>
      <c r="D118" s="4"/>
      <c r="E118" s="4"/>
      <c r="F118" s="4"/>
      <c r="G118" s="4"/>
      <c r="H118" s="258"/>
      <c r="I118" s="258"/>
      <c r="J118" s="258"/>
      <c r="K118" s="162"/>
      <c r="L118" s="310"/>
      <c r="M118" s="4"/>
      <c r="N118" s="4"/>
      <c r="O118" s="14"/>
      <c r="P118" s="4"/>
      <c r="Q118" s="4"/>
      <c r="R118" s="162"/>
      <c r="S118" s="162"/>
      <c r="T118" s="313"/>
    </row>
    <row r="119" spans="1:20">
      <c r="A119" s="4">
        <v>4</v>
      </c>
      <c r="B119" s="4"/>
      <c r="C119" s="4" t="s">
        <v>136</v>
      </c>
      <c r="D119" s="4"/>
      <c r="E119" s="150"/>
      <c r="F119" s="150"/>
      <c r="G119" s="150"/>
      <c r="H119" s="150">
        <v>-1290</v>
      </c>
      <c r="I119" s="262"/>
      <c r="J119" s="150">
        <v>-1000</v>
      </c>
      <c r="K119" s="162"/>
      <c r="L119" s="310">
        <f t="shared" ref="L119:L126" si="10">$L$19</f>
        <v>0.99655866997400888</v>
      </c>
      <c r="M119" s="258"/>
      <c r="N119" s="150"/>
      <c r="O119" s="27">
        <f>+J119*L119</f>
        <v>-996.55866997400892</v>
      </c>
      <c r="P119" s="4"/>
      <c r="Q119" s="4"/>
      <c r="R119" s="150"/>
      <c r="S119" s="150"/>
      <c r="T119" s="313"/>
    </row>
    <row r="120" spans="1:20">
      <c r="A120" s="4">
        <v>5</v>
      </c>
      <c r="B120" s="4"/>
      <c r="C120" s="4" t="s">
        <v>139</v>
      </c>
      <c r="D120" s="4"/>
      <c r="E120" s="150"/>
      <c r="F120" s="150"/>
      <c r="G120" s="150"/>
      <c r="H120" s="150">
        <v>0</v>
      </c>
      <c r="I120" s="262"/>
      <c r="J120" s="150">
        <v>0</v>
      </c>
      <c r="K120" s="162"/>
      <c r="L120" s="310">
        <f t="shared" si="10"/>
        <v>0.99655866997400888</v>
      </c>
      <c r="M120" s="262"/>
      <c r="N120" s="150"/>
      <c r="O120" s="27">
        <f t="shared" ref="O120:O125" si="11">+J120*L120</f>
        <v>0</v>
      </c>
      <c r="P120" s="4"/>
      <c r="Q120" s="4"/>
      <c r="R120" s="150"/>
      <c r="S120" s="150"/>
      <c r="T120" s="311" t="s">
        <v>877</v>
      </c>
    </row>
    <row r="121" spans="1:20">
      <c r="A121" s="4">
        <v>6</v>
      </c>
      <c r="B121" s="4"/>
      <c r="C121" s="4" t="s">
        <v>141</v>
      </c>
      <c r="H121" s="150">
        <v>-690</v>
      </c>
      <c r="I121" s="262"/>
      <c r="J121" s="150">
        <v>-1779</v>
      </c>
      <c r="K121" s="162"/>
      <c r="L121" s="310">
        <f t="shared" si="10"/>
        <v>0.99655866997400888</v>
      </c>
      <c r="M121" s="420"/>
      <c r="N121" s="150"/>
      <c r="O121" s="27">
        <f t="shared" si="11"/>
        <v>-1772.8778738837618</v>
      </c>
      <c r="P121" s="4"/>
      <c r="Q121" s="4"/>
      <c r="R121" s="150"/>
      <c r="S121" s="150"/>
      <c r="T121" s="311" t="s">
        <v>877</v>
      </c>
    </row>
    <row r="122" spans="1:20">
      <c r="A122" s="4">
        <v>7</v>
      </c>
      <c r="B122" s="4"/>
      <c r="C122" s="4" t="s">
        <v>201</v>
      </c>
      <c r="D122" s="4"/>
      <c r="E122" s="150"/>
      <c r="F122" s="150"/>
      <c r="G122" s="150"/>
      <c r="H122" s="150">
        <v>0</v>
      </c>
      <c r="J122" s="150">
        <v>0</v>
      </c>
      <c r="L122" s="310">
        <f t="shared" si="10"/>
        <v>0.99655866997400888</v>
      </c>
      <c r="O122" s="27">
        <f t="shared" si="11"/>
        <v>0</v>
      </c>
      <c r="P122" s="4"/>
      <c r="Q122" s="4"/>
      <c r="R122" s="150"/>
      <c r="S122" s="150"/>
      <c r="T122" s="311" t="s">
        <v>877</v>
      </c>
    </row>
    <row r="123" spans="1:20">
      <c r="A123" s="4">
        <v>8</v>
      </c>
      <c r="B123" s="4"/>
      <c r="C123" s="4" t="s">
        <v>203</v>
      </c>
      <c r="H123" s="150">
        <v>0</v>
      </c>
      <c r="I123" s="150"/>
      <c r="J123" s="150">
        <v>-3360</v>
      </c>
      <c r="K123" s="162"/>
      <c r="L123" s="310">
        <f t="shared" si="10"/>
        <v>0.99655866997400888</v>
      </c>
      <c r="O123" s="27">
        <f t="shared" si="11"/>
        <v>-3348.4371311126697</v>
      </c>
      <c r="P123" s="4"/>
      <c r="Q123" s="4"/>
      <c r="R123" s="150"/>
      <c r="S123" s="150"/>
      <c r="T123" s="311" t="s">
        <v>877</v>
      </c>
    </row>
    <row r="124" spans="1:20">
      <c r="A124" s="4">
        <v>9</v>
      </c>
      <c r="B124" s="4"/>
      <c r="C124" s="4" t="s">
        <v>878</v>
      </c>
      <c r="D124" s="4"/>
      <c r="E124" s="150"/>
      <c r="F124" s="150"/>
      <c r="G124" s="150"/>
      <c r="H124" s="150">
        <v>-34471</v>
      </c>
      <c r="I124" s="4"/>
      <c r="J124" s="150">
        <v>-4745</v>
      </c>
      <c r="K124" s="162"/>
      <c r="L124" s="310">
        <f t="shared" si="10"/>
        <v>0.99655866997400888</v>
      </c>
      <c r="M124" s="420"/>
      <c r="N124" s="150"/>
      <c r="O124" s="27">
        <f t="shared" si="11"/>
        <v>-4728.6708890266718</v>
      </c>
      <c r="P124" s="4"/>
      <c r="Q124" s="4"/>
      <c r="R124" s="150"/>
      <c r="S124" s="150"/>
      <c r="T124" s="311" t="s">
        <v>877</v>
      </c>
    </row>
    <row r="125" spans="1:20">
      <c r="A125" s="4">
        <v>10</v>
      </c>
      <c r="B125" s="4"/>
      <c r="C125" s="4" t="s">
        <v>199</v>
      </c>
      <c r="D125" s="4"/>
      <c r="E125" s="150"/>
      <c r="F125" s="150"/>
      <c r="G125" s="150"/>
      <c r="H125" s="150">
        <v>-2720</v>
      </c>
      <c r="I125" s="4"/>
      <c r="J125" s="150">
        <v>-3795</v>
      </c>
      <c r="K125" s="162"/>
      <c r="L125" s="310">
        <f t="shared" si="10"/>
        <v>0.99655866997400888</v>
      </c>
      <c r="M125" s="420"/>
      <c r="N125" s="150"/>
      <c r="O125" s="27">
        <f t="shared" si="11"/>
        <v>-3781.9401525513636</v>
      </c>
      <c r="P125" s="4"/>
      <c r="Q125" s="4"/>
      <c r="R125" s="150"/>
      <c r="S125" s="150"/>
      <c r="T125" s="311" t="s">
        <v>877</v>
      </c>
    </row>
    <row r="126" spans="1:20">
      <c r="A126" s="4">
        <v>11</v>
      </c>
      <c r="B126" s="4"/>
      <c r="C126" s="4" t="s">
        <v>125</v>
      </c>
      <c r="H126" s="150">
        <v>-513024</v>
      </c>
      <c r="I126" s="4"/>
      <c r="J126" s="150">
        <v>-520847</v>
      </c>
      <c r="L126" s="310">
        <f t="shared" si="10"/>
        <v>0.99655866997400888</v>
      </c>
      <c r="M126" s="4"/>
      <c r="N126" s="4"/>
      <c r="O126" s="27">
        <f>+J126*L126</f>
        <v>-519054.59357995261</v>
      </c>
      <c r="P126" s="4"/>
      <c r="Q126" s="4"/>
      <c r="R126" s="150"/>
      <c r="S126" s="150"/>
      <c r="T126" s="311" t="s">
        <v>877</v>
      </c>
    </row>
    <row r="127" spans="1:20">
      <c r="A127" s="4">
        <v>12</v>
      </c>
      <c r="B127" s="4"/>
      <c r="C127" s="4" t="s">
        <v>138</v>
      </c>
      <c r="D127" s="4"/>
      <c r="E127" s="4"/>
      <c r="F127" s="4"/>
      <c r="G127" s="4"/>
      <c r="H127" s="150">
        <v>-6</v>
      </c>
      <c r="I127" s="4"/>
      <c r="J127" s="150">
        <v>-189</v>
      </c>
      <c r="L127" s="310">
        <v>1</v>
      </c>
      <c r="M127" s="4"/>
      <c r="N127" s="4"/>
      <c r="O127" s="27">
        <f>+J127*L127</f>
        <v>-189</v>
      </c>
      <c r="P127" s="4"/>
      <c r="Q127" s="4"/>
      <c r="R127" s="150"/>
      <c r="S127" s="150"/>
      <c r="T127" s="311" t="s">
        <v>877</v>
      </c>
    </row>
    <row r="128" spans="1:20">
      <c r="A128" s="4">
        <v>13</v>
      </c>
      <c r="B128" s="4"/>
      <c r="C128" s="4" t="s">
        <v>131</v>
      </c>
      <c r="H128" s="150">
        <v>34598</v>
      </c>
      <c r="I128" s="4"/>
      <c r="J128" s="150">
        <v>33125</v>
      </c>
      <c r="L128" s="310">
        <f>$L$19</f>
        <v>0.99655866997400888</v>
      </c>
      <c r="M128" s="4"/>
      <c r="N128" s="4"/>
      <c r="O128" s="27">
        <f>+J128*L128</f>
        <v>33011.005942889045</v>
      </c>
      <c r="P128" s="4"/>
      <c r="Q128" s="4"/>
      <c r="R128" s="150"/>
      <c r="S128" s="150"/>
      <c r="T128" s="311" t="s">
        <v>877</v>
      </c>
    </row>
    <row r="129" spans="1:23">
      <c r="A129" s="4">
        <v>14</v>
      </c>
      <c r="B129" s="4"/>
      <c r="C129" s="4" t="s">
        <v>175</v>
      </c>
      <c r="H129" s="150">
        <v>-18953</v>
      </c>
      <c r="I129" s="4"/>
      <c r="J129" s="150">
        <v>-17273</v>
      </c>
      <c r="L129" s="310">
        <f>$L$19</f>
        <v>0.99655866997400888</v>
      </c>
      <c r="M129" s="4"/>
      <c r="N129" s="4"/>
      <c r="O129" s="27">
        <f>+J129*L129</f>
        <v>-17213.557906461054</v>
      </c>
      <c r="P129" s="4"/>
      <c r="Q129" s="4"/>
      <c r="R129" s="150"/>
      <c r="S129" s="150"/>
      <c r="T129" s="150"/>
    </row>
    <row r="130" spans="1:23">
      <c r="A130" s="4">
        <v>15</v>
      </c>
      <c r="B130" s="4"/>
      <c r="C130" s="421" t="s">
        <v>879</v>
      </c>
      <c r="D130" s="4"/>
      <c r="E130" s="150"/>
      <c r="F130" s="150"/>
      <c r="G130" s="150"/>
      <c r="H130" s="315">
        <f>SUM(H119:H129)</f>
        <v>-536556</v>
      </c>
      <c r="I130" s="4"/>
      <c r="J130" s="315">
        <f>SUM(J119:J129)</f>
        <v>-519863</v>
      </c>
      <c r="L130" s="310"/>
      <c r="O130" s="315">
        <f>SUM(O118:O129)</f>
        <v>-518074.63026007311</v>
      </c>
      <c r="P130" s="4"/>
      <c r="Q130" s="4"/>
      <c r="R130" s="150"/>
      <c r="S130" s="150"/>
    </row>
    <row r="131" spans="1:23">
      <c r="A131" s="4">
        <v>16</v>
      </c>
      <c r="B131" s="4"/>
      <c r="C131" s="4"/>
      <c r="D131" s="4"/>
      <c r="E131" s="4"/>
      <c r="F131" s="4"/>
      <c r="G131" s="4"/>
      <c r="H131" s="262"/>
      <c r="I131" s="4"/>
      <c r="J131" s="262"/>
      <c r="L131" s="310"/>
      <c r="M131" s="4"/>
      <c r="N131" s="4"/>
      <c r="O131" s="4"/>
      <c r="P131" s="4"/>
      <c r="Q131" s="4"/>
      <c r="R131" s="150"/>
      <c r="S131" s="150"/>
      <c r="U131" s="4" t="s">
        <v>389</v>
      </c>
    </row>
    <row r="132" spans="1:23">
      <c r="A132" s="4">
        <v>17</v>
      </c>
      <c r="B132" s="4"/>
      <c r="C132" s="4"/>
      <c r="D132" s="4"/>
      <c r="E132" s="4"/>
      <c r="F132" s="4"/>
      <c r="G132" s="4"/>
      <c r="H132" s="150"/>
      <c r="I132" s="4"/>
      <c r="J132" s="150"/>
      <c r="L132" s="310"/>
      <c r="M132" s="258"/>
      <c r="N132" s="150"/>
      <c r="O132" s="150"/>
      <c r="P132" s="4"/>
      <c r="Q132" s="4"/>
      <c r="R132" s="150"/>
      <c r="S132" s="150"/>
      <c r="U132" s="150">
        <f>'B-1'!Q127</f>
        <v>-518074.37599999999</v>
      </c>
    </row>
    <row r="133" spans="1:23" ht="13.8" thickBot="1">
      <c r="A133" s="4">
        <v>18</v>
      </c>
      <c r="B133" s="4"/>
      <c r="C133" s="8" t="s">
        <v>880</v>
      </c>
      <c r="D133" s="4"/>
      <c r="E133" s="4"/>
      <c r="F133" s="4"/>
      <c r="G133" s="4"/>
      <c r="H133" s="164">
        <f>+H99+H130</f>
        <v>179343.39118495141</v>
      </c>
      <c r="I133" s="4"/>
      <c r="J133" s="164">
        <f>+J99+J130</f>
        <v>86969.557679029997</v>
      </c>
      <c r="L133" s="325"/>
      <c r="M133" s="4"/>
      <c r="N133" s="4"/>
      <c r="O133" s="164">
        <f>+O99+O130</f>
        <v>86670.2667288417</v>
      </c>
      <c r="P133" s="4"/>
      <c r="Q133" s="4"/>
      <c r="S133" s="150"/>
      <c r="U133" s="444">
        <f>+U132-O130</f>
        <v>0.25426007312489673</v>
      </c>
    </row>
    <row r="134" spans="1:23" ht="13.8" thickTop="1">
      <c r="A134" s="4">
        <v>19</v>
      </c>
      <c r="B134" s="4"/>
      <c r="C134" s="4"/>
      <c r="D134" s="4"/>
      <c r="E134" s="4"/>
      <c r="F134" s="4"/>
      <c r="G134" s="4"/>
      <c r="H134" s="56"/>
      <c r="I134" s="4"/>
      <c r="J134" s="56"/>
      <c r="L134" s="4"/>
      <c r="M134" s="4"/>
      <c r="N134" s="4"/>
      <c r="O134" s="4"/>
      <c r="P134" s="4"/>
      <c r="Q134" s="4"/>
    </row>
    <row r="135" spans="1:23">
      <c r="A135" s="4">
        <v>20</v>
      </c>
      <c r="B135" s="4"/>
      <c r="C135" s="4"/>
      <c r="D135" s="4"/>
      <c r="E135" s="4"/>
      <c r="F135" s="4"/>
      <c r="G135" s="4"/>
      <c r="H135" s="262"/>
      <c r="I135" s="4"/>
      <c r="J135" s="262"/>
      <c r="L135" s="4"/>
      <c r="M135" s="4"/>
      <c r="N135" s="4"/>
      <c r="O135" s="262"/>
      <c r="R135" s="150"/>
      <c r="U135" s="370">
        <v>2024</v>
      </c>
      <c r="V135" s="370">
        <v>2025</v>
      </c>
      <c r="W135" s="338"/>
    </row>
    <row r="136" spans="1:23">
      <c r="A136" s="4">
        <v>21</v>
      </c>
      <c r="B136" s="4"/>
      <c r="S136" s="150"/>
      <c r="U136" s="150">
        <f>'B-1'!Q65</f>
        <v>667959.88600000006</v>
      </c>
      <c r="V136" s="150">
        <f>'B-1'!Q117</f>
        <v>606832.55767902988</v>
      </c>
      <c r="W136" s="4" t="s">
        <v>881</v>
      </c>
    </row>
    <row r="137" spans="1:23">
      <c r="A137" s="4">
        <v>22</v>
      </c>
      <c r="B137" s="4"/>
      <c r="P137" s="4"/>
      <c r="Q137" s="4"/>
      <c r="R137" s="150"/>
      <c r="S137" s="150"/>
      <c r="U137" s="150">
        <f>SUM('B-2'!Z58:Z68,'B-2'!Z72:Z75)/1000</f>
        <v>-499751.73779641598</v>
      </c>
      <c r="V137" s="150">
        <f>SUM('B-2'!Z112:Z116,'B-2'!Z119:Z122,'B-2'!Z126:Z129)/1000</f>
        <v>-524989.16100102116</v>
      </c>
      <c r="W137" s="4" t="s">
        <v>882</v>
      </c>
    </row>
    <row r="138" spans="1:23" ht="13.8" thickBot="1">
      <c r="A138" s="4">
        <v>23</v>
      </c>
      <c r="B138" s="4"/>
      <c r="I138" s="4"/>
      <c r="J138" s="4"/>
      <c r="K138" s="4"/>
      <c r="L138" s="4"/>
      <c r="M138" s="4"/>
      <c r="N138" s="4"/>
      <c r="O138" s="4"/>
      <c r="P138" s="4"/>
      <c r="Q138" s="4"/>
      <c r="R138" s="150"/>
      <c r="S138" s="150"/>
      <c r="U138" s="371">
        <f>SUM(U136:U137)</f>
        <v>168208.14820358407</v>
      </c>
      <c r="V138" s="371">
        <f>SUM(V136:V137)</f>
        <v>81843.396678008721</v>
      </c>
      <c r="W138" s="338"/>
    </row>
    <row r="139" spans="1:23" ht="13.8" thickTop="1">
      <c r="A139" s="4">
        <v>24</v>
      </c>
      <c r="B139" s="4"/>
      <c r="I139" s="4"/>
      <c r="J139" s="4"/>
      <c r="K139" s="4"/>
      <c r="L139" s="4"/>
      <c r="M139" s="4"/>
      <c r="N139" s="4"/>
      <c r="O139" s="4"/>
      <c r="P139" s="4"/>
      <c r="Q139" s="4"/>
      <c r="R139" s="150"/>
      <c r="S139" s="150"/>
      <c r="U139" s="444">
        <f>H133-U138</f>
        <v>11135.242981367337</v>
      </c>
      <c r="V139" s="444">
        <f>J133-V138</f>
        <v>5126.1610010212753</v>
      </c>
      <c r="W139" s="4" t="s">
        <v>883</v>
      </c>
    </row>
    <row r="140" spans="1:23">
      <c r="A140" s="4">
        <v>25</v>
      </c>
      <c r="B140" s="4"/>
      <c r="C140" s="4"/>
      <c r="D140" s="4"/>
      <c r="E140" s="4"/>
      <c r="F140" s="4"/>
      <c r="G140" s="4"/>
      <c r="H140" s="4"/>
      <c r="I140" s="4"/>
      <c r="J140" s="4"/>
      <c r="K140" s="4"/>
      <c r="L140" s="4"/>
      <c r="M140" s="4"/>
      <c r="N140" s="4"/>
      <c r="O140" s="4"/>
      <c r="P140" s="4"/>
      <c r="Q140" s="4"/>
      <c r="R140" s="150"/>
      <c r="S140" s="150"/>
    </row>
    <row r="141" spans="1:23">
      <c r="A141" s="4">
        <v>26</v>
      </c>
      <c r="B141" s="4"/>
      <c r="C141" s="4"/>
      <c r="D141" s="4"/>
      <c r="E141" s="4"/>
      <c r="F141" s="4"/>
      <c r="G141" s="4"/>
      <c r="H141" s="4"/>
      <c r="I141" s="4"/>
      <c r="J141" s="4"/>
      <c r="K141" s="4"/>
      <c r="L141" s="4"/>
      <c r="M141" s="4"/>
      <c r="N141" s="4"/>
      <c r="O141" s="4"/>
      <c r="P141" s="4"/>
      <c r="Q141" s="4"/>
      <c r="R141" s="150"/>
      <c r="S141" s="150"/>
    </row>
    <row r="142" spans="1:23">
      <c r="A142" s="4">
        <v>27</v>
      </c>
      <c r="B142" s="4"/>
      <c r="C142" s="4"/>
      <c r="D142" s="4"/>
      <c r="E142" s="4"/>
      <c r="F142" s="4"/>
      <c r="G142" s="4"/>
      <c r="H142" s="4"/>
      <c r="I142" s="4"/>
      <c r="J142" s="4"/>
      <c r="K142" s="4"/>
      <c r="L142" s="4"/>
      <c r="M142" s="4"/>
      <c r="N142" s="4"/>
      <c r="O142" s="4"/>
      <c r="P142" s="4"/>
      <c r="Q142" s="4"/>
      <c r="R142" s="150"/>
      <c r="S142" s="150"/>
    </row>
    <row r="143" spans="1:23">
      <c r="A143" s="4">
        <v>28</v>
      </c>
      <c r="B143" s="4"/>
      <c r="C143" s="4"/>
      <c r="D143" s="4"/>
      <c r="E143" s="4"/>
      <c r="F143" s="4"/>
      <c r="G143" s="4"/>
      <c r="H143" s="4"/>
      <c r="I143" s="4"/>
      <c r="J143" s="4"/>
      <c r="K143" s="4"/>
      <c r="L143" s="4"/>
      <c r="M143" s="4"/>
      <c r="N143" s="4"/>
      <c r="O143" s="4"/>
      <c r="P143" s="4"/>
      <c r="Q143" s="4"/>
      <c r="R143" s="150"/>
      <c r="S143" s="150"/>
    </row>
    <row r="144" spans="1:23">
      <c r="A144" s="4">
        <v>29</v>
      </c>
      <c r="B144" s="4"/>
      <c r="C144" s="4"/>
      <c r="D144" s="4"/>
      <c r="E144" s="4"/>
      <c r="F144" s="4"/>
      <c r="G144" s="4"/>
      <c r="H144" s="4"/>
      <c r="I144" s="4"/>
      <c r="J144" s="4"/>
      <c r="K144" s="4"/>
      <c r="L144" s="4"/>
      <c r="M144" s="4"/>
      <c r="N144" s="4"/>
      <c r="O144" s="4"/>
      <c r="P144" s="4"/>
      <c r="Q144" s="4"/>
      <c r="R144" s="150"/>
      <c r="S144" s="150"/>
    </row>
    <row r="145" spans="1:19">
      <c r="A145" s="4">
        <v>30</v>
      </c>
      <c r="B145" s="4"/>
      <c r="C145" s="4"/>
      <c r="D145" s="4"/>
      <c r="E145" s="4"/>
      <c r="F145" s="4"/>
      <c r="G145" s="4"/>
      <c r="H145" s="4"/>
      <c r="I145" s="4"/>
      <c r="J145" s="4"/>
      <c r="K145" s="4"/>
      <c r="L145" s="4"/>
      <c r="M145" s="4"/>
      <c r="N145" s="4"/>
      <c r="O145" s="4"/>
      <c r="P145" s="4"/>
      <c r="Q145" s="4"/>
      <c r="R145" s="150"/>
      <c r="S145" s="150"/>
    </row>
    <row r="146" spans="1:19">
      <c r="A146" s="4">
        <v>31</v>
      </c>
      <c r="B146" s="4"/>
      <c r="C146" s="4"/>
      <c r="D146" s="4"/>
      <c r="E146" s="4"/>
      <c r="F146" s="4"/>
      <c r="G146" s="4"/>
      <c r="H146" s="4"/>
      <c r="I146" s="4"/>
      <c r="J146" s="4"/>
      <c r="K146" s="4"/>
      <c r="L146" s="4"/>
      <c r="M146" s="4"/>
      <c r="N146" s="4"/>
      <c r="O146" s="4"/>
      <c r="P146" s="4"/>
      <c r="Q146" s="4"/>
      <c r="R146" s="150"/>
      <c r="S146" s="150"/>
    </row>
    <row r="147" spans="1:19">
      <c r="A147" s="4">
        <v>32</v>
      </c>
      <c r="B147" s="4"/>
      <c r="C147" s="4"/>
      <c r="D147" s="4"/>
      <c r="E147" s="4"/>
      <c r="F147" s="4"/>
      <c r="G147" s="4"/>
      <c r="H147" s="4"/>
      <c r="I147" s="4"/>
      <c r="J147" s="4"/>
      <c r="K147" s="4"/>
      <c r="L147" s="4"/>
      <c r="M147" s="4"/>
      <c r="N147" s="4"/>
      <c r="O147" s="4"/>
      <c r="P147" s="4"/>
      <c r="Q147" s="4"/>
      <c r="R147" s="150"/>
      <c r="S147" s="150"/>
    </row>
    <row r="148" spans="1:19">
      <c r="A148" s="4">
        <v>33</v>
      </c>
      <c r="B148" s="4"/>
      <c r="C148" s="4"/>
      <c r="D148" s="4"/>
      <c r="E148" s="4"/>
      <c r="F148" s="4"/>
      <c r="G148" s="4"/>
      <c r="H148" s="262"/>
      <c r="I148" s="4"/>
      <c r="J148" s="262"/>
      <c r="K148" s="4"/>
      <c r="L148" s="4"/>
      <c r="M148" s="4"/>
      <c r="N148" s="4"/>
      <c r="O148" s="4"/>
      <c r="P148" s="4"/>
      <c r="Q148" s="4"/>
      <c r="R148" s="150"/>
      <c r="S148" s="150"/>
    </row>
    <row r="149" spans="1:19">
      <c r="A149" s="4">
        <v>34</v>
      </c>
      <c r="B149" s="4"/>
      <c r="C149" s="4"/>
      <c r="D149" s="4"/>
      <c r="E149" s="4"/>
      <c r="F149" s="4"/>
      <c r="G149" s="4"/>
      <c r="H149" s="4"/>
      <c r="I149" s="4"/>
      <c r="J149" s="4"/>
      <c r="K149" s="4"/>
      <c r="L149" s="4"/>
      <c r="M149" s="4"/>
      <c r="N149" s="4"/>
      <c r="O149" s="4"/>
      <c r="P149" s="4"/>
      <c r="Q149" s="4"/>
      <c r="R149" s="150"/>
      <c r="S149" s="150"/>
    </row>
    <row r="150" spans="1:19">
      <c r="A150" s="4">
        <v>35</v>
      </c>
      <c r="B150" s="4"/>
      <c r="C150" s="4"/>
      <c r="D150" s="4"/>
      <c r="E150" s="4"/>
      <c r="F150" s="4"/>
      <c r="G150" s="4"/>
      <c r="H150" s="4"/>
      <c r="I150" s="4"/>
      <c r="J150" s="4"/>
      <c r="K150" s="4"/>
      <c r="L150" s="4"/>
      <c r="M150" s="4"/>
      <c r="N150" s="4"/>
      <c r="O150" s="4"/>
      <c r="P150" s="4"/>
      <c r="Q150" s="4"/>
      <c r="R150" s="150"/>
      <c r="S150" s="150"/>
    </row>
    <row r="151" spans="1:19">
      <c r="A151" s="4">
        <v>36</v>
      </c>
      <c r="B151" s="4"/>
      <c r="C151" s="4"/>
      <c r="D151" s="4"/>
      <c r="E151" s="4"/>
      <c r="F151" s="4"/>
      <c r="G151" s="4"/>
      <c r="H151" s="4"/>
      <c r="I151" s="4"/>
      <c r="J151" s="4"/>
      <c r="K151" s="4"/>
      <c r="L151" s="4"/>
      <c r="M151" s="4"/>
      <c r="N151" s="4"/>
      <c r="O151" s="4"/>
      <c r="P151" s="4"/>
      <c r="Q151" s="4"/>
      <c r="R151" s="150"/>
      <c r="S151" s="150"/>
    </row>
    <row r="152" spans="1:19">
      <c r="A152" s="4">
        <v>37</v>
      </c>
      <c r="B152" s="4"/>
      <c r="C152" s="4"/>
      <c r="D152" s="4"/>
      <c r="E152" s="4"/>
      <c r="F152" s="4"/>
      <c r="G152" s="4"/>
      <c r="H152" s="4"/>
      <c r="I152" s="4"/>
      <c r="J152" s="4"/>
      <c r="K152" s="4"/>
      <c r="L152" s="4"/>
      <c r="M152" s="4"/>
      <c r="N152" s="4"/>
      <c r="O152" s="4"/>
      <c r="P152" s="4"/>
      <c r="Q152" s="4"/>
      <c r="R152" s="150"/>
      <c r="S152" s="150"/>
    </row>
    <row r="153" spans="1:19">
      <c r="A153" s="4">
        <v>38</v>
      </c>
      <c r="B153" s="4"/>
      <c r="C153" s="4"/>
      <c r="D153" s="4"/>
      <c r="E153" s="4"/>
      <c r="F153" s="4"/>
      <c r="G153" s="4"/>
      <c r="H153" s="4"/>
      <c r="I153" s="4"/>
      <c r="J153" s="4"/>
      <c r="K153" s="4"/>
      <c r="L153" s="4"/>
      <c r="M153" s="4"/>
      <c r="N153" s="4"/>
      <c r="O153" s="4"/>
      <c r="P153" s="4"/>
      <c r="Q153" s="4"/>
      <c r="R153" s="150"/>
      <c r="S153" s="150"/>
    </row>
    <row r="154" spans="1:19">
      <c r="A154" s="4">
        <v>39</v>
      </c>
      <c r="B154" s="4"/>
      <c r="C154" s="4"/>
      <c r="D154" s="4"/>
      <c r="E154" s="4"/>
      <c r="F154" s="4"/>
      <c r="G154" s="4"/>
      <c r="H154" s="4"/>
      <c r="I154" s="4"/>
      <c r="J154" s="4"/>
      <c r="K154" s="4"/>
      <c r="L154" s="4"/>
      <c r="M154" s="4"/>
      <c r="N154" s="4"/>
      <c r="O154" s="4"/>
      <c r="P154" s="4"/>
      <c r="Q154" s="4"/>
      <c r="R154" s="150"/>
      <c r="S154" s="150"/>
    </row>
    <row r="155" spans="1:19" ht="13.8" thickBot="1">
      <c r="A155" s="1">
        <v>40</v>
      </c>
      <c r="B155" s="1" t="s">
        <v>67</v>
      </c>
      <c r="C155" s="1"/>
      <c r="D155" s="1"/>
      <c r="E155" s="1"/>
      <c r="F155" s="1"/>
      <c r="G155" s="1"/>
      <c r="H155" s="1"/>
      <c r="I155" s="1"/>
      <c r="J155" s="1"/>
      <c r="K155" s="1"/>
      <c r="L155" s="1"/>
      <c r="M155" s="1"/>
      <c r="N155" s="1"/>
      <c r="O155" s="1"/>
      <c r="P155" s="1"/>
      <c r="Q155" s="1"/>
      <c r="R155" s="1"/>
      <c r="S155" s="1"/>
    </row>
    <row r="156" spans="1:19">
      <c r="A156" s="5" t="str">
        <f>+$A$52</f>
        <v>Supporting Schedules: B-3</v>
      </c>
      <c r="B156" s="5"/>
      <c r="C156" s="5"/>
      <c r="D156" s="5"/>
      <c r="E156" s="5"/>
      <c r="F156" s="5"/>
      <c r="G156" s="5"/>
      <c r="H156" s="5"/>
      <c r="I156" s="5"/>
      <c r="J156" s="5"/>
      <c r="K156" s="5"/>
      <c r="L156" s="5"/>
      <c r="M156" s="5"/>
      <c r="N156" s="5"/>
      <c r="O156" s="5"/>
      <c r="P156" s="5"/>
      <c r="Q156" s="5" t="str">
        <f>+$Q$52</f>
        <v xml:space="preserve">Recap Schedules: </v>
      </c>
      <c r="R156" s="5"/>
      <c r="S156" s="5"/>
    </row>
  </sheetData>
  <phoneticPr fontId="119" type="noConversion"/>
  <printOptions horizontalCentered="1" verticalCentered="1"/>
  <pageMargins left="0.25" right="0" top="0" bottom="0" header="0.3" footer="0.3"/>
  <pageSetup paperSize="9" scale="74" fitToHeight="3" orientation="landscape" r:id="rId1"/>
  <rowBreaks count="2" manualBreakCount="2">
    <brk id="52" max="18" man="1"/>
    <brk id="104" max="18" man="1"/>
  </rowBreaks>
  <customProperties>
    <customPr name="EpmWorksheetKeyString_GUID" r:id="rId2"/>
  </customProperties>
  <ignoredErrors>
    <ignoredError sqref="B65:B92" numberStoredAsText="1"/>
  </ignoredErrors>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AD10C-9AF5-423F-9E4C-E52A84ED88A6}">
  <sheetPr>
    <tabColor rgb="FF66FF99"/>
  </sheetPr>
  <dimension ref="A1:U521"/>
  <sheetViews>
    <sheetView zoomScale="90" zoomScaleNormal="90" workbookViewId="0">
      <pane xSplit="4" ySplit="4" topLeftCell="E5" activePane="bottomRight" state="frozen"/>
      <selection pane="topRight" activeCell="E1" sqref="E1"/>
      <selection pane="bottomLeft" activeCell="A5" sqref="A5"/>
      <selection pane="bottomRight" activeCell="G6" sqref="G6"/>
    </sheetView>
  </sheetViews>
  <sheetFormatPr defaultRowHeight="14.4"/>
  <cols>
    <col min="1" max="1" width="6.44140625" customWidth="1"/>
    <col min="2" max="2" width="9.109375" customWidth="1"/>
    <col min="3" max="3" width="11.44140625" bestFit="1" customWidth="1"/>
    <col min="4" max="4" width="50.6640625" customWidth="1"/>
    <col min="5" max="6" width="1.33203125" style="462" customWidth="1"/>
    <col min="7" max="19" width="18.33203125" style="174" bestFit="1" customWidth="1"/>
    <col min="20" max="20" width="4.88671875" style="174" bestFit="1" customWidth="1"/>
    <col min="21" max="21" width="17.33203125" style="175" bestFit="1" customWidth="1"/>
    <col min="22" max="22" width="13.5546875" bestFit="1" customWidth="1"/>
  </cols>
  <sheetData>
    <row r="1" spans="1:21">
      <c r="C1" s="249" t="s">
        <v>884</v>
      </c>
      <c r="D1" s="248"/>
      <c r="G1" s="174">
        <f t="shared" ref="G1:S1" si="0">SUM(G6:G80)</f>
        <v>13050021784.11134</v>
      </c>
      <c r="H1" s="174">
        <f t="shared" si="0"/>
        <v>13175694211.948154</v>
      </c>
      <c r="I1" s="174">
        <f t="shared" si="0"/>
        <v>13283354576.640099</v>
      </c>
      <c r="J1" s="174">
        <f t="shared" si="0"/>
        <v>13384643651.824947</v>
      </c>
      <c r="K1" s="174">
        <f t="shared" si="0"/>
        <v>13534249080.487091</v>
      </c>
      <c r="L1" s="174">
        <f t="shared" si="0"/>
        <v>13651652946.849699</v>
      </c>
      <c r="M1" s="174">
        <f t="shared" si="0"/>
        <v>13837397416.28956</v>
      </c>
      <c r="N1" s="174">
        <f t="shared" si="0"/>
        <v>14004559986.957975</v>
      </c>
      <c r="O1" s="174">
        <f t="shared" si="0"/>
        <v>14052331270.406116</v>
      </c>
      <c r="P1" s="174">
        <f t="shared" si="0"/>
        <v>14114049317.109816</v>
      </c>
      <c r="Q1" s="174">
        <f t="shared" si="0"/>
        <v>14134733578.126919</v>
      </c>
      <c r="R1" s="174">
        <f t="shared" si="0"/>
        <v>14143674276.010509</v>
      </c>
      <c r="S1" s="174">
        <f t="shared" si="0"/>
        <v>14220035586.576132</v>
      </c>
      <c r="U1" s="175">
        <f t="shared" ref="U1" si="1">SUM(U6:U80)</f>
        <v>13737415206.410643</v>
      </c>
    </row>
    <row r="2" spans="1:21">
      <c r="A2" s="176" t="s">
        <v>885</v>
      </c>
      <c r="B2" s="176" t="s">
        <v>885</v>
      </c>
      <c r="G2" s="174">
        <f t="shared" ref="G2:S2" si="2">SUM(G81:G123)</f>
        <v>13050021784.111338</v>
      </c>
      <c r="H2" s="174">
        <f t="shared" si="2"/>
        <v>13175694211.948151</v>
      </c>
      <c r="I2" s="174">
        <f t="shared" si="2"/>
        <v>13283354576.640091</v>
      </c>
      <c r="J2" s="174">
        <f t="shared" si="2"/>
        <v>13384643651.824949</v>
      </c>
      <c r="K2" s="174">
        <f t="shared" si="2"/>
        <v>13534249080.487091</v>
      </c>
      <c r="L2" s="174">
        <f t="shared" si="2"/>
        <v>13651652946.849693</v>
      </c>
      <c r="M2" s="174">
        <f t="shared" si="2"/>
        <v>13837397416.28956</v>
      </c>
      <c r="N2" s="174">
        <f t="shared" si="2"/>
        <v>14004559986.957972</v>
      </c>
      <c r="O2" s="174">
        <f t="shared" si="2"/>
        <v>14052331270.406111</v>
      </c>
      <c r="P2" s="174">
        <f t="shared" si="2"/>
        <v>14114049317.10981</v>
      </c>
      <c r="Q2" s="174">
        <f t="shared" si="2"/>
        <v>14134733578.126919</v>
      </c>
      <c r="R2" s="174">
        <f t="shared" si="2"/>
        <v>14143674276.010506</v>
      </c>
      <c r="S2" s="174">
        <f t="shared" si="2"/>
        <v>14220035586.576132</v>
      </c>
      <c r="U2" s="175">
        <f t="shared" ref="U2" si="3">SUM(U81:U123)</f>
        <v>13737415206.410645</v>
      </c>
    </row>
    <row r="3" spans="1:21" ht="15">
      <c r="A3" s="177"/>
      <c r="B3" s="177"/>
      <c r="E3" s="466"/>
      <c r="F3" s="466"/>
      <c r="G3" s="456" t="s">
        <v>886</v>
      </c>
      <c r="H3" s="456" t="s">
        <v>886</v>
      </c>
      <c r="I3" s="456" t="s">
        <v>886</v>
      </c>
      <c r="J3" s="456" t="s">
        <v>886</v>
      </c>
      <c r="K3" s="456" t="s">
        <v>886</v>
      </c>
      <c r="L3" s="456" t="s">
        <v>886</v>
      </c>
      <c r="M3" s="456" t="s">
        <v>886</v>
      </c>
      <c r="N3" s="456" t="s">
        <v>886</v>
      </c>
      <c r="O3" s="456" t="s">
        <v>886</v>
      </c>
      <c r="P3" s="456" t="s">
        <v>886</v>
      </c>
      <c r="Q3" s="456" t="s">
        <v>886</v>
      </c>
      <c r="R3" s="456" t="s">
        <v>886</v>
      </c>
      <c r="S3" s="456" t="s">
        <v>886</v>
      </c>
      <c r="T3" s="178"/>
      <c r="U3" s="456" t="s">
        <v>886</v>
      </c>
    </row>
    <row r="4" spans="1:21" ht="15">
      <c r="A4" s="179" t="s">
        <v>887</v>
      </c>
      <c r="B4" s="179" t="s">
        <v>888</v>
      </c>
      <c r="C4" s="180" t="s">
        <v>889</v>
      </c>
      <c r="D4" s="124" t="s">
        <v>890</v>
      </c>
      <c r="E4" s="467"/>
      <c r="F4" s="467"/>
      <c r="G4" s="448" t="s">
        <v>891</v>
      </c>
      <c r="H4" s="448" t="s">
        <v>892</v>
      </c>
      <c r="I4" s="448" t="s">
        <v>893</v>
      </c>
      <c r="J4" s="448" t="s">
        <v>894</v>
      </c>
      <c r="K4" s="448" t="s">
        <v>895</v>
      </c>
      <c r="L4" s="448" t="s">
        <v>896</v>
      </c>
      <c r="M4" s="448" t="s">
        <v>897</v>
      </c>
      <c r="N4" s="448" t="s">
        <v>898</v>
      </c>
      <c r="O4" s="448" t="s">
        <v>899</v>
      </c>
      <c r="P4" s="448" t="s">
        <v>900</v>
      </c>
      <c r="Q4" s="448" t="s">
        <v>901</v>
      </c>
      <c r="R4" s="448" t="s">
        <v>902</v>
      </c>
      <c r="S4" s="448" t="s">
        <v>903</v>
      </c>
      <c r="T4" s="457"/>
      <c r="U4" s="450" t="s">
        <v>904</v>
      </c>
    </row>
    <row r="5" spans="1:21">
      <c r="A5" s="181"/>
      <c r="B5" s="181"/>
      <c r="E5" s="468"/>
      <c r="F5" s="469"/>
      <c r="G5" s="182">
        <v>7</v>
      </c>
      <c r="H5" s="182">
        <v>8</v>
      </c>
      <c r="I5" s="182">
        <v>9</v>
      </c>
      <c r="J5" s="182">
        <v>10</v>
      </c>
      <c r="K5" s="182">
        <v>11</v>
      </c>
      <c r="L5" s="182">
        <v>12</v>
      </c>
      <c r="M5" s="182">
        <v>13</v>
      </c>
      <c r="N5" s="182">
        <v>14</v>
      </c>
      <c r="O5" s="182">
        <v>15</v>
      </c>
      <c r="P5" s="182">
        <v>16</v>
      </c>
      <c r="Q5" s="182">
        <v>17</v>
      </c>
      <c r="R5" s="182">
        <v>18</v>
      </c>
      <c r="S5" s="182">
        <v>19</v>
      </c>
    </row>
    <row r="6" spans="1:21">
      <c r="A6" s="183" t="str">
        <f>MID(C6,2,3)</f>
        <v>101</v>
      </c>
      <c r="B6" s="183" t="str">
        <f>MID(C6,2,3)&amp;"."&amp;MID(C6,5,1)</f>
        <v>101.0</v>
      </c>
      <c r="C6" s="184" t="s">
        <v>905</v>
      </c>
      <c r="D6" t="s">
        <v>388</v>
      </c>
      <c r="E6" s="470"/>
      <c r="F6" s="470"/>
      <c r="G6" s="175">
        <v>11533012185.780001</v>
      </c>
      <c r="H6" s="175">
        <v>11571960811.700001</v>
      </c>
      <c r="I6" s="175">
        <v>11646604827.530001</v>
      </c>
      <c r="J6" s="175">
        <v>11699312509.530001</v>
      </c>
      <c r="K6" s="175">
        <v>11931074032.540001</v>
      </c>
      <c r="L6" s="175">
        <v>12227843933.66</v>
      </c>
      <c r="M6" s="175">
        <v>12620506628.41</v>
      </c>
      <c r="N6" s="175">
        <v>12677288185.309999</v>
      </c>
      <c r="O6" s="175">
        <v>12742732677.700001</v>
      </c>
      <c r="P6" s="175">
        <v>12812126338.200001</v>
      </c>
      <c r="Q6" s="175">
        <v>12880285225.1</v>
      </c>
      <c r="R6" s="175">
        <v>12922495913.620001</v>
      </c>
      <c r="S6" s="175">
        <v>13336395117.290001</v>
      </c>
      <c r="U6" s="175">
        <f>AVERAGE(G6:S6)</f>
        <v>12353972183.566925</v>
      </c>
    </row>
    <row r="7" spans="1:21">
      <c r="A7" s="183" t="str">
        <f t="shared" ref="A7:A70" si="4">MID(C7,2,3)</f>
        <v>101</v>
      </c>
      <c r="B7" s="183" t="str">
        <f t="shared" ref="B7:B70" si="5">MID(C7,2,3)&amp;"."&amp;MID(C7,5,1)</f>
        <v>101.1</v>
      </c>
      <c r="C7" s="184" t="s">
        <v>906</v>
      </c>
      <c r="D7" t="s">
        <v>907</v>
      </c>
      <c r="E7" s="470"/>
      <c r="F7" s="470"/>
      <c r="G7" s="175">
        <v>32739718.201897901</v>
      </c>
      <c r="H7" s="175">
        <v>32522352.653458599</v>
      </c>
      <c r="I7" s="175">
        <v>32304541.044683099</v>
      </c>
      <c r="J7" s="175">
        <v>32086282.0562828</v>
      </c>
      <c r="K7" s="175">
        <v>31867574.365232199</v>
      </c>
      <c r="L7" s="175">
        <v>31648416.644758299</v>
      </c>
      <c r="M7" s="175">
        <v>31428807.564331502</v>
      </c>
      <c r="N7" s="175">
        <v>31208745.789655399</v>
      </c>
      <c r="O7" s="175">
        <v>30988226.714790799</v>
      </c>
      <c r="P7" s="175">
        <v>30767248.985732999</v>
      </c>
      <c r="Q7" s="175">
        <v>30699412.680068001</v>
      </c>
      <c r="R7" s="175">
        <v>30631647.5253786</v>
      </c>
      <c r="S7" s="175">
        <v>30563953.851309299</v>
      </c>
      <c r="U7" s="175">
        <f t="shared" ref="U7:U70" si="6">AVERAGE(G7:S7)</f>
        <v>31496686.775198419</v>
      </c>
    </row>
    <row r="8" spans="1:21">
      <c r="A8" s="183" t="str">
        <f t="shared" si="4"/>
        <v>102</v>
      </c>
      <c r="B8" s="183" t="str">
        <f t="shared" si="5"/>
        <v>102.0</v>
      </c>
      <c r="C8" s="184" t="s">
        <v>908</v>
      </c>
      <c r="D8" t="s">
        <v>909</v>
      </c>
      <c r="E8" s="470"/>
      <c r="F8" s="470"/>
      <c r="G8" s="175">
        <v>0</v>
      </c>
      <c r="H8" s="175">
        <v>0</v>
      </c>
      <c r="I8" s="175">
        <v>0</v>
      </c>
      <c r="J8" s="175">
        <v>0</v>
      </c>
      <c r="K8" s="175">
        <v>0</v>
      </c>
      <c r="L8" s="175">
        <v>0</v>
      </c>
      <c r="M8" s="175">
        <v>0</v>
      </c>
      <c r="N8" s="175">
        <v>0</v>
      </c>
      <c r="O8" s="175">
        <v>0</v>
      </c>
      <c r="P8" s="175">
        <v>0</v>
      </c>
      <c r="Q8" s="175">
        <v>0</v>
      </c>
      <c r="R8" s="175">
        <v>0</v>
      </c>
      <c r="S8" s="175">
        <v>0</v>
      </c>
      <c r="U8" s="175">
        <f t="shared" si="6"/>
        <v>0</v>
      </c>
    </row>
    <row r="9" spans="1:21">
      <c r="A9" s="183" t="str">
        <f t="shared" si="4"/>
        <v>103</v>
      </c>
      <c r="B9" s="183" t="str">
        <f t="shared" si="5"/>
        <v>103.0</v>
      </c>
      <c r="C9" s="184" t="s">
        <v>910</v>
      </c>
      <c r="D9" t="s">
        <v>911</v>
      </c>
      <c r="E9" s="470"/>
      <c r="F9" s="470"/>
      <c r="G9" s="175">
        <v>0</v>
      </c>
      <c r="H9" s="175">
        <v>0</v>
      </c>
      <c r="I9" s="175">
        <v>0</v>
      </c>
      <c r="J9" s="175">
        <v>0</v>
      </c>
      <c r="K9" s="175">
        <v>0</v>
      </c>
      <c r="L9" s="175">
        <v>0</v>
      </c>
      <c r="M9" s="175">
        <v>0</v>
      </c>
      <c r="N9" s="175">
        <v>0</v>
      </c>
      <c r="O9" s="175">
        <v>0</v>
      </c>
      <c r="P9" s="175">
        <v>0</v>
      </c>
      <c r="Q9" s="175">
        <v>0</v>
      </c>
      <c r="R9" s="175">
        <v>0</v>
      </c>
      <c r="S9" s="175">
        <v>0</v>
      </c>
      <c r="U9" s="175">
        <f t="shared" si="6"/>
        <v>0</v>
      </c>
    </row>
    <row r="10" spans="1:21">
      <c r="A10" s="183" t="str">
        <f t="shared" si="4"/>
        <v>103</v>
      </c>
      <c r="B10" s="183" t="str">
        <f t="shared" si="5"/>
        <v>103.1</v>
      </c>
      <c r="C10" s="184" t="s">
        <v>912</v>
      </c>
      <c r="D10" t="s">
        <v>913</v>
      </c>
      <c r="E10" s="470"/>
      <c r="F10" s="470"/>
      <c r="G10" s="175">
        <v>0</v>
      </c>
      <c r="H10" s="175">
        <v>0</v>
      </c>
      <c r="I10" s="175">
        <v>0</v>
      </c>
      <c r="J10" s="175">
        <v>0</v>
      </c>
      <c r="K10" s="175">
        <v>0</v>
      </c>
      <c r="L10" s="175">
        <v>0</v>
      </c>
      <c r="M10" s="175">
        <v>0</v>
      </c>
      <c r="N10" s="175">
        <v>0</v>
      </c>
      <c r="O10" s="175">
        <v>0</v>
      </c>
      <c r="P10" s="175">
        <v>0</v>
      </c>
      <c r="Q10" s="175">
        <v>0</v>
      </c>
      <c r="R10" s="175">
        <v>0</v>
      </c>
      <c r="S10" s="175">
        <v>0</v>
      </c>
      <c r="U10" s="175">
        <f t="shared" si="6"/>
        <v>0</v>
      </c>
    </row>
    <row r="11" spans="1:21">
      <c r="A11" s="183" t="str">
        <f t="shared" si="4"/>
        <v>104</v>
      </c>
      <c r="B11" s="183" t="str">
        <f t="shared" si="5"/>
        <v>104.0</v>
      </c>
      <c r="C11" s="184" t="s">
        <v>914</v>
      </c>
      <c r="D11" t="s">
        <v>915</v>
      </c>
      <c r="E11" s="470"/>
      <c r="F11" s="470"/>
      <c r="G11" s="175">
        <v>0</v>
      </c>
      <c r="H11" s="175">
        <v>0</v>
      </c>
      <c r="I11" s="175">
        <v>0</v>
      </c>
      <c r="J11" s="175">
        <v>0</v>
      </c>
      <c r="K11" s="175">
        <v>0</v>
      </c>
      <c r="L11" s="175">
        <v>0</v>
      </c>
      <c r="M11" s="175">
        <v>0</v>
      </c>
      <c r="N11" s="175">
        <v>0</v>
      </c>
      <c r="O11" s="175">
        <v>0</v>
      </c>
      <c r="P11" s="175">
        <v>0</v>
      </c>
      <c r="Q11" s="175">
        <v>0</v>
      </c>
      <c r="R11" s="175">
        <v>0</v>
      </c>
      <c r="S11" s="175">
        <v>0</v>
      </c>
      <c r="U11" s="175">
        <f t="shared" si="6"/>
        <v>0</v>
      </c>
    </row>
    <row r="12" spans="1:21">
      <c r="A12" s="183" t="str">
        <f t="shared" si="4"/>
        <v>105</v>
      </c>
      <c r="B12" s="183" t="str">
        <f t="shared" si="5"/>
        <v>105.0</v>
      </c>
      <c r="C12" s="184" t="s">
        <v>916</v>
      </c>
      <c r="D12" t="s">
        <v>917</v>
      </c>
      <c r="E12" s="470"/>
      <c r="F12" s="470"/>
      <c r="G12" s="175">
        <v>64262399.530000001</v>
      </c>
      <c r="H12" s="175">
        <v>64262399.530000001</v>
      </c>
      <c r="I12" s="175">
        <v>70262399.530000001</v>
      </c>
      <c r="J12" s="175">
        <v>70262399.530000001</v>
      </c>
      <c r="K12" s="175">
        <v>70262399.530000001</v>
      </c>
      <c r="L12" s="175">
        <v>70262399.530000001</v>
      </c>
      <c r="M12" s="175">
        <v>70264952.269999996</v>
      </c>
      <c r="N12" s="175">
        <v>70264952.269999996</v>
      </c>
      <c r="O12" s="175">
        <v>70264952.269999996</v>
      </c>
      <c r="P12" s="175">
        <v>70764952.269999996</v>
      </c>
      <c r="Q12" s="175">
        <v>70764952.269999996</v>
      </c>
      <c r="R12" s="175">
        <v>70764952.269999996</v>
      </c>
      <c r="S12" s="175">
        <v>70764952.269999996</v>
      </c>
      <c r="U12" s="175">
        <f t="shared" si="6"/>
        <v>69494543.313076913</v>
      </c>
    </row>
    <row r="13" spans="1:21">
      <c r="A13" s="183" t="str">
        <f t="shared" si="4"/>
        <v>105</v>
      </c>
      <c r="B13" s="183" t="str">
        <f t="shared" si="5"/>
        <v>105.1</v>
      </c>
      <c r="C13" s="184" t="s">
        <v>918</v>
      </c>
      <c r="D13" t="s">
        <v>919</v>
      </c>
      <c r="E13" s="470"/>
      <c r="F13" s="470"/>
      <c r="G13" s="175">
        <v>0</v>
      </c>
      <c r="H13" s="175">
        <v>0</v>
      </c>
      <c r="I13" s="175">
        <v>0</v>
      </c>
      <c r="J13" s="175">
        <v>0</v>
      </c>
      <c r="K13" s="175">
        <v>0</v>
      </c>
      <c r="L13" s="175">
        <v>0</v>
      </c>
      <c r="M13" s="175">
        <v>0</v>
      </c>
      <c r="N13" s="175">
        <v>0</v>
      </c>
      <c r="O13" s="175">
        <v>0</v>
      </c>
      <c r="P13" s="175">
        <v>0</v>
      </c>
      <c r="Q13" s="175">
        <v>0</v>
      </c>
      <c r="R13" s="175">
        <v>0</v>
      </c>
      <c r="S13" s="175">
        <v>0</v>
      </c>
      <c r="U13" s="175">
        <f t="shared" si="6"/>
        <v>0</v>
      </c>
    </row>
    <row r="14" spans="1:21">
      <c r="A14" s="183" t="str">
        <f t="shared" si="4"/>
        <v>106</v>
      </c>
      <c r="B14" s="183" t="str">
        <f t="shared" si="5"/>
        <v>106.0</v>
      </c>
      <c r="C14" s="184" t="s">
        <v>920</v>
      </c>
      <c r="D14" t="s">
        <v>921</v>
      </c>
      <c r="E14" s="470"/>
      <c r="F14" s="470"/>
      <c r="G14" s="175">
        <v>2078381704.5999999</v>
      </c>
      <c r="H14" s="175">
        <v>2078381704.5999999</v>
      </c>
      <c r="I14" s="175">
        <v>2078381704.5999999</v>
      </c>
      <c r="J14" s="175">
        <v>2078381704.5999999</v>
      </c>
      <c r="K14" s="175">
        <v>2078381704.5999999</v>
      </c>
      <c r="L14" s="175">
        <v>2078381704.5999999</v>
      </c>
      <c r="M14" s="175">
        <v>2078381704.5999999</v>
      </c>
      <c r="N14" s="175">
        <v>2078381704.5999999</v>
      </c>
      <c r="O14" s="175">
        <v>2078381704.5999999</v>
      </c>
      <c r="P14" s="175">
        <v>2078381704.5999999</v>
      </c>
      <c r="Q14" s="175">
        <v>2078381704.5999999</v>
      </c>
      <c r="R14" s="175">
        <v>2078381704.5999999</v>
      </c>
      <c r="S14" s="175">
        <v>2078381704.5999999</v>
      </c>
      <c r="U14" s="175">
        <f t="shared" si="6"/>
        <v>2078381704.5999997</v>
      </c>
    </row>
    <row r="15" spans="1:21">
      <c r="A15" s="183" t="str">
        <f t="shared" si="4"/>
        <v>107</v>
      </c>
      <c r="B15" s="183" t="str">
        <f t="shared" si="5"/>
        <v>107.0</v>
      </c>
      <c r="C15" s="184" t="s">
        <v>922</v>
      </c>
      <c r="D15" t="s">
        <v>166</v>
      </c>
      <c r="E15" s="470"/>
      <c r="F15" s="470"/>
      <c r="G15" s="175">
        <v>1082288904.1300001</v>
      </c>
      <c r="H15" s="175">
        <v>1214318497.9300001</v>
      </c>
      <c r="I15" s="175">
        <v>1262739751.25</v>
      </c>
      <c r="J15" s="175">
        <v>1343231884.01</v>
      </c>
      <c r="K15" s="175">
        <v>1234133481.72</v>
      </c>
      <c r="L15" s="175">
        <v>1049240158.98</v>
      </c>
      <c r="M15" s="175">
        <v>826404685.28999996</v>
      </c>
      <c r="N15" s="175">
        <v>945656796.55999994</v>
      </c>
      <c r="O15" s="175">
        <v>974098326.90999997</v>
      </c>
      <c r="P15" s="175">
        <v>989658225.41999996</v>
      </c>
      <c r="Q15" s="175">
        <v>996139255.25</v>
      </c>
      <c r="R15" s="175">
        <v>1026714721.87</v>
      </c>
      <c r="S15" s="175">
        <v>711966473.15999997</v>
      </c>
      <c r="U15" s="175">
        <f t="shared" si="6"/>
        <v>1050507012.4984616</v>
      </c>
    </row>
    <row r="16" spans="1:21">
      <c r="A16" s="183" t="str">
        <f t="shared" si="4"/>
        <v>108</v>
      </c>
      <c r="B16" s="183" t="str">
        <f t="shared" si="5"/>
        <v>108.0</v>
      </c>
      <c r="C16" s="184" t="s">
        <v>923</v>
      </c>
      <c r="D16" t="s">
        <v>561</v>
      </c>
      <c r="E16" s="470"/>
      <c r="F16" s="470"/>
      <c r="G16" s="175">
        <v>-3796699030.77</v>
      </c>
      <c r="H16" s="175">
        <v>-3821735977.6700001</v>
      </c>
      <c r="I16" s="175">
        <v>-3854584185.54</v>
      </c>
      <c r="J16" s="175">
        <v>-3884507734.1399999</v>
      </c>
      <c r="K16" s="175">
        <v>-3916435951.4400001</v>
      </c>
      <c r="L16" s="175">
        <v>-3930343542.4000001</v>
      </c>
      <c r="M16" s="175">
        <v>-3960794560.75</v>
      </c>
      <c r="N16" s="175">
        <v>-3993731316.4000001</v>
      </c>
      <c r="O16" s="175">
        <v>-4030220234.46</v>
      </c>
      <c r="P16" s="175">
        <v>-4063828317.0100002</v>
      </c>
      <c r="Q16" s="175">
        <v>-4090890449.6399999</v>
      </c>
      <c r="R16" s="175">
        <v>-4125195695.21</v>
      </c>
      <c r="S16" s="175">
        <v>-4143340762.1500001</v>
      </c>
      <c r="U16" s="175">
        <f t="shared" si="6"/>
        <v>-3970177519.8138461</v>
      </c>
    </row>
    <row r="17" spans="1:21">
      <c r="A17" s="183" t="str">
        <f t="shared" si="4"/>
        <v>111</v>
      </c>
      <c r="B17" s="183" t="str">
        <f t="shared" si="5"/>
        <v>111.0</v>
      </c>
      <c r="C17" s="184" t="s">
        <v>924</v>
      </c>
      <c r="D17" t="s">
        <v>925</v>
      </c>
      <c r="E17" s="470"/>
      <c r="F17" s="470"/>
      <c r="G17" s="175">
        <v>-176791073.28999999</v>
      </c>
      <c r="H17" s="175">
        <v>-176207753.63</v>
      </c>
      <c r="I17" s="175">
        <v>-179444675.59</v>
      </c>
      <c r="J17" s="175">
        <v>-182683910.24000001</v>
      </c>
      <c r="K17" s="175">
        <v>-185936065.91999999</v>
      </c>
      <c r="L17" s="175">
        <v>-189133203.63999999</v>
      </c>
      <c r="M17" s="175">
        <v>-192389054.81999999</v>
      </c>
      <c r="N17" s="175">
        <v>-195326725.13999999</v>
      </c>
      <c r="O17" s="175">
        <v>-198172591.03</v>
      </c>
      <c r="P17" s="175">
        <v>-201428782.78</v>
      </c>
      <c r="Q17" s="175">
        <v>-204629874.08000001</v>
      </c>
      <c r="R17" s="175">
        <v>-208198853.63999999</v>
      </c>
      <c r="S17" s="175">
        <v>-211782127.44999999</v>
      </c>
      <c r="U17" s="175">
        <f t="shared" si="6"/>
        <v>-192471130.0961538</v>
      </c>
    </row>
    <row r="18" spans="1:21">
      <c r="A18" s="183" t="str">
        <f t="shared" si="4"/>
        <v>114</v>
      </c>
      <c r="B18" s="183" t="str">
        <f t="shared" si="5"/>
        <v>114.0</v>
      </c>
      <c r="C18" s="184" t="s">
        <v>926</v>
      </c>
      <c r="D18" t="s">
        <v>927</v>
      </c>
      <c r="E18" s="470"/>
      <c r="F18" s="470"/>
      <c r="G18" s="175">
        <v>7484822.7599999998</v>
      </c>
      <c r="H18" s="175">
        <v>7484822.7599999998</v>
      </c>
      <c r="I18" s="175">
        <v>7484822.7599999998</v>
      </c>
      <c r="J18" s="175">
        <v>7484822.7599999998</v>
      </c>
      <c r="K18" s="175">
        <v>7484822.7599999998</v>
      </c>
      <c r="L18" s="175">
        <v>7484822.7599999998</v>
      </c>
      <c r="M18" s="175">
        <v>7484822.7599999998</v>
      </c>
      <c r="N18" s="175">
        <v>7484822.7599999998</v>
      </c>
      <c r="O18" s="175">
        <v>7484822.7599999998</v>
      </c>
      <c r="P18" s="175">
        <v>7484822.7599999998</v>
      </c>
      <c r="Q18" s="175">
        <v>7484822.7599999998</v>
      </c>
      <c r="R18" s="175">
        <v>7484822.7599999998</v>
      </c>
      <c r="S18" s="175">
        <v>7484822.7599999998</v>
      </c>
      <c r="U18" s="175">
        <f t="shared" si="6"/>
        <v>7484822.7600000007</v>
      </c>
    </row>
    <row r="19" spans="1:21">
      <c r="A19" s="183" t="str">
        <f t="shared" si="4"/>
        <v>115</v>
      </c>
      <c r="B19" s="183" t="str">
        <f t="shared" si="5"/>
        <v>115.0</v>
      </c>
      <c r="C19" s="184" t="s">
        <v>928</v>
      </c>
      <c r="D19" t="s">
        <v>929</v>
      </c>
      <c r="E19" s="470"/>
      <c r="F19" s="470"/>
      <c r="G19" s="175">
        <v>-6883366.1699999999</v>
      </c>
      <c r="H19" s="175">
        <v>-6903091.9000000004</v>
      </c>
      <c r="I19" s="175">
        <v>-6922817.6299999999</v>
      </c>
      <c r="J19" s="175">
        <v>-6942543.3600000003</v>
      </c>
      <c r="K19" s="175">
        <v>-6962269.0899999999</v>
      </c>
      <c r="L19" s="175">
        <v>-6981994.8200000003</v>
      </c>
      <c r="M19" s="175">
        <v>-7001720.5499999998</v>
      </c>
      <c r="N19" s="175">
        <v>-7021446.2800000003</v>
      </c>
      <c r="O19" s="175">
        <v>-7041172.0099999998</v>
      </c>
      <c r="P19" s="175">
        <v>-7060897.7400000002</v>
      </c>
      <c r="Q19" s="175">
        <v>-7080623.4699999997</v>
      </c>
      <c r="R19" s="175">
        <v>-7100349.2000000002</v>
      </c>
      <c r="S19" s="175">
        <v>-7120074.9299999997</v>
      </c>
      <c r="U19" s="175">
        <f t="shared" si="6"/>
        <v>-7001720.5500000007</v>
      </c>
    </row>
    <row r="20" spans="1:21">
      <c r="A20" s="183" t="str">
        <f t="shared" si="4"/>
        <v>116</v>
      </c>
      <c r="B20" s="183" t="str">
        <f t="shared" si="5"/>
        <v>116.0</v>
      </c>
      <c r="C20" s="184" t="s">
        <v>930</v>
      </c>
      <c r="D20" t="s">
        <v>931</v>
      </c>
      <c r="E20" s="470"/>
      <c r="F20" s="470"/>
      <c r="G20" s="175">
        <v>0</v>
      </c>
      <c r="H20" s="175">
        <v>0</v>
      </c>
      <c r="I20" s="175">
        <v>0</v>
      </c>
      <c r="J20" s="175">
        <v>0</v>
      </c>
      <c r="K20" s="175">
        <v>0</v>
      </c>
      <c r="L20" s="175">
        <v>0</v>
      </c>
      <c r="M20" s="175">
        <v>0</v>
      </c>
      <c r="N20" s="175">
        <v>0</v>
      </c>
      <c r="O20" s="175">
        <v>0</v>
      </c>
      <c r="P20" s="175">
        <v>0</v>
      </c>
      <c r="Q20" s="175">
        <v>0</v>
      </c>
      <c r="R20" s="175">
        <v>0</v>
      </c>
      <c r="S20" s="175">
        <v>0</v>
      </c>
      <c r="U20" s="175">
        <f t="shared" si="6"/>
        <v>0</v>
      </c>
    </row>
    <row r="21" spans="1:21">
      <c r="A21" s="183" t="str">
        <f t="shared" si="4"/>
        <v>117</v>
      </c>
      <c r="B21" s="183" t="str">
        <f t="shared" si="5"/>
        <v>117.1</v>
      </c>
      <c r="C21" s="184" t="s">
        <v>932</v>
      </c>
      <c r="D21" t="s">
        <v>933</v>
      </c>
      <c r="E21" s="470"/>
      <c r="F21" s="470"/>
      <c r="G21" s="175">
        <v>0</v>
      </c>
      <c r="H21" s="175">
        <v>0</v>
      </c>
      <c r="I21" s="175">
        <v>0</v>
      </c>
      <c r="J21" s="175">
        <v>0</v>
      </c>
      <c r="K21" s="175">
        <v>0</v>
      </c>
      <c r="L21" s="175">
        <v>0</v>
      </c>
      <c r="M21" s="175">
        <v>0</v>
      </c>
      <c r="N21" s="175">
        <v>0</v>
      </c>
      <c r="O21" s="175">
        <v>0</v>
      </c>
      <c r="P21" s="175">
        <v>0</v>
      </c>
      <c r="Q21" s="175">
        <v>0</v>
      </c>
      <c r="R21" s="175">
        <v>0</v>
      </c>
      <c r="S21" s="175">
        <v>0</v>
      </c>
      <c r="U21" s="175">
        <f t="shared" si="6"/>
        <v>0</v>
      </c>
    </row>
    <row r="22" spans="1:21">
      <c r="A22" s="183" t="str">
        <f t="shared" si="4"/>
        <v>117</v>
      </c>
      <c r="B22" s="183" t="str">
        <f t="shared" si="5"/>
        <v>117.2</v>
      </c>
      <c r="C22" s="184" t="s">
        <v>934</v>
      </c>
      <c r="D22" t="s">
        <v>935</v>
      </c>
      <c r="E22" s="470"/>
      <c r="F22" s="470"/>
      <c r="G22" s="175">
        <v>0</v>
      </c>
      <c r="H22" s="175">
        <v>0</v>
      </c>
      <c r="I22" s="175">
        <v>0</v>
      </c>
      <c r="J22" s="175">
        <v>0</v>
      </c>
      <c r="K22" s="175">
        <v>0</v>
      </c>
      <c r="L22" s="175">
        <v>0</v>
      </c>
      <c r="M22" s="175">
        <v>0</v>
      </c>
      <c r="N22" s="175">
        <v>0</v>
      </c>
      <c r="O22" s="175">
        <v>0</v>
      </c>
      <c r="P22" s="175">
        <v>0</v>
      </c>
      <c r="Q22" s="175">
        <v>0</v>
      </c>
      <c r="R22" s="175">
        <v>0</v>
      </c>
      <c r="S22" s="175">
        <v>0</v>
      </c>
      <c r="U22" s="175">
        <f t="shared" si="6"/>
        <v>0</v>
      </c>
    </row>
    <row r="23" spans="1:21">
      <c r="A23" s="183" t="str">
        <f t="shared" si="4"/>
        <v>117</v>
      </c>
      <c r="B23" s="183" t="str">
        <f t="shared" si="5"/>
        <v>117.3</v>
      </c>
      <c r="C23" s="184" t="s">
        <v>936</v>
      </c>
      <c r="D23" t="s">
        <v>937</v>
      </c>
      <c r="E23" s="470"/>
      <c r="F23" s="470"/>
      <c r="G23" s="175">
        <v>0</v>
      </c>
      <c r="H23" s="175">
        <v>0</v>
      </c>
      <c r="I23" s="175">
        <v>0</v>
      </c>
      <c r="J23" s="175">
        <v>0</v>
      </c>
      <c r="K23" s="175">
        <v>0</v>
      </c>
      <c r="L23" s="175">
        <v>0</v>
      </c>
      <c r="M23" s="175">
        <v>0</v>
      </c>
      <c r="N23" s="175">
        <v>0</v>
      </c>
      <c r="O23" s="175">
        <v>0</v>
      </c>
      <c r="P23" s="175">
        <v>0</v>
      </c>
      <c r="Q23" s="175">
        <v>0</v>
      </c>
      <c r="R23" s="175">
        <v>0</v>
      </c>
      <c r="S23" s="175">
        <v>0</v>
      </c>
      <c r="U23" s="175">
        <f t="shared" si="6"/>
        <v>0</v>
      </c>
    </row>
    <row r="24" spans="1:21">
      <c r="A24" s="183" t="str">
        <f t="shared" si="4"/>
        <v>117</v>
      </c>
      <c r="B24" s="183" t="str">
        <f t="shared" si="5"/>
        <v>117.4</v>
      </c>
      <c r="C24" s="184" t="s">
        <v>938</v>
      </c>
      <c r="D24" t="s">
        <v>939</v>
      </c>
      <c r="E24" s="470"/>
      <c r="F24" s="470"/>
      <c r="G24" s="175">
        <v>0</v>
      </c>
      <c r="H24" s="175">
        <v>0</v>
      </c>
      <c r="I24" s="175">
        <v>0</v>
      </c>
      <c r="J24" s="175">
        <v>0</v>
      </c>
      <c r="K24" s="175">
        <v>0</v>
      </c>
      <c r="L24" s="175">
        <v>0</v>
      </c>
      <c r="M24" s="175">
        <v>0</v>
      </c>
      <c r="N24" s="175">
        <v>0</v>
      </c>
      <c r="O24" s="175">
        <v>0</v>
      </c>
      <c r="P24" s="175">
        <v>0</v>
      </c>
      <c r="Q24" s="175">
        <v>0</v>
      </c>
      <c r="R24" s="175">
        <v>0</v>
      </c>
      <c r="S24" s="175">
        <v>0</v>
      </c>
      <c r="U24" s="175">
        <f t="shared" si="6"/>
        <v>0</v>
      </c>
    </row>
    <row r="25" spans="1:21">
      <c r="A25" s="183" t="str">
        <f t="shared" si="4"/>
        <v>118</v>
      </c>
      <c r="B25" s="183" t="str">
        <f t="shared" si="5"/>
        <v>118.0</v>
      </c>
      <c r="C25" s="184" t="s">
        <v>940</v>
      </c>
      <c r="D25" t="s">
        <v>941</v>
      </c>
      <c r="E25" s="470"/>
      <c r="F25" s="470"/>
      <c r="G25" s="175">
        <v>0</v>
      </c>
      <c r="H25" s="175">
        <v>0</v>
      </c>
      <c r="I25" s="175">
        <v>0</v>
      </c>
      <c r="J25" s="175">
        <v>0</v>
      </c>
      <c r="K25" s="175">
        <v>0</v>
      </c>
      <c r="L25" s="175">
        <v>0</v>
      </c>
      <c r="M25" s="175">
        <v>0</v>
      </c>
      <c r="N25" s="175">
        <v>0</v>
      </c>
      <c r="O25" s="175">
        <v>0</v>
      </c>
      <c r="P25" s="175">
        <v>0</v>
      </c>
      <c r="Q25" s="175">
        <v>0</v>
      </c>
      <c r="R25" s="175">
        <v>0</v>
      </c>
      <c r="S25" s="175">
        <v>0</v>
      </c>
      <c r="U25" s="175">
        <f t="shared" si="6"/>
        <v>0</v>
      </c>
    </row>
    <row r="26" spans="1:21">
      <c r="A26" s="183" t="str">
        <f t="shared" si="4"/>
        <v>119</v>
      </c>
      <c r="B26" s="183" t="str">
        <f t="shared" si="5"/>
        <v>119.0</v>
      </c>
      <c r="C26" s="184" t="s">
        <v>942</v>
      </c>
      <c r="D26" t="s">
        <v>943</v>
      </c>
      <c r="E26" s="470"/>
      <c r="F26" s="470"/>
      <c r="G26" s="175">
        <v>0</v>
      </c>
      <c r="H26" s="175">
        <v>0</v>
      </c>
      <c r="I26" s="175">
        <v>0</v>
      </c>
      <c r="J26" s="175">
        <v>0</v>
      </c>
      <c r="K26" s="175">
        <v>0</v>
      </c>
      <c r="L26" s="175">
        <v>0</v>
      </c>
      <c r="M26" s="175">
        <v>0</v>
      </c>
      <c r="N26" s="175">
        <v>0</v>
      </c>
      <c r="O26" s="175">
        <v>0</v>
      </c>
      <c r="P26" s="175">
        <v>0</v>
      </c>
      <c r="Q26" s="175">
        <v>0</v>
      </c>
      <c r="R26" s="175">
        <v>0</v>
      </c>
      <c r="S26" s="175">
        <v>0</v>
      </c>
      <c r="U26" s="175">
        <f t="shared" si="6"/>
        <v>0</v>
      </c>
    </row>
    <row r="27" spans="1:21">
      <c r="A27" s="183" t="str">
        <f t="shared" si="4"/>
        <v>121</v>
      </c>
      <c r="B27" s="183" t="str">
        <f t="shared" si="5"/>
        <v>121.0</v>
      </c>
      <c r="C27" s="184" t="s">
        <v>944</v>
      </c>
      <c r="D27" t="s">
        <v>945</v>
      </c>
      <c r="E27" s="470"/>
      <c r="F27" s="470"/>
      <c r="G27" s="175">
        <v>24137134.539999999</v>
      </c>
      <c r="H27" s="175">
        <v>24216635.353333302</v>
      </c>
      <c r="I27" s="175">
        <v>24302119.289999999</v>
      </c>
      <c r="J27" s="175">
        <v>24386070.516666699</v>
      </c>
      <c r="K27" s="175">
        <v>24470572.623333301</v>
      </c>
      <c r="L27" s="175">
        <v>24540049.289999999</v>
      </c>
      <c r="M27" s="175">
        <v>24618124.826666702</v>
      </c>
      <c r="N27" s="175">
        <v>24587159.1833333</v>
      </c>
      <c r="O27" s="175">
        <v>24605693.02</v>
      </c>
      <c r="P27" s="175">
        <v>24669946.776666701</v>
      </c>
      <c r="Q27" s="175">
        <v>24707308.053333301</v>
      </c>
      <c r="R27" s="175">
        <v>24808146.48</v>
      </c>
      <c r="S27" s="175">
        <v>24891627.456666701</v>
      </c>
      <c r="U27" s="175">
        <f t="shared" si="6"/>
        <v>24533891.339230776</v>
      </c>
    </row>
    <row r="28" spans="1:21">
      <c r="A28" s="183" t="str">
        <f t="shared" si="4"/>
        <v>122</v>
      </c>
      <c r="B28" s="183" t="str">
        <f t="shared" si="5"/>
        <v>122.0</v>
      </c>
      <c r="C28" s="184" t="s">
        <v>946</v>
      </c>
      <c r="D28" t="s">
        <v>947</v>
      </c>
      <c r="E28" s="470"/>
      <c r="F28" s="470"/>
      <c r="G28" s="175">
        <v>-7869600.8799999999</v>
      </c>
      <c r="H28" s="175">
        <v>-7928832.21</v>
      </c>
      <c r="I28" s="175">
        <v>-7994606.7699999996</v>
      </c>
      <c r="J28" s="175">
        <v>-8059442.2699999996</v>
      </c>
      <c r="K28" s="175">
        <v>-8125413.6600000001</v>
      </c>
      <c r="L28" s="175">
        <v>-8176947.7300000004</v>
      </c>
      <c r="M28" s="175">
        <v>-8237584.9000000004</v>
      </c>
      <c r="N28" s="175">
        <v>-8189733.1299999999</v>
      </c>
      <c r="O28" s="175">
        <v>-8191324.2699999996</v>
      </c>
      <c r="P28" s="175">
        <v>-8238855.1299999999</v>
      </c>
      <c r="Q28" s="175">
        <v>-8259968.5800000001</v>
      </c>
      <c r="R28" s="175">
        <v>-8344884.0899999999</v>
      </c>
      <c r="S28" s="175">
        <v>-8408943.3000000007</v>
      </c>
      <c r="U28" s="175">
        <f t="shared" si="6"/>
        <v>-8155856.6861538449</v>
      </c>
    </row>
    <row r="29" spans="1:21">
      <c r="A29" s="183" t="str">
        <f t="shared" si="4"/>
        <v>123</v>
      </c>
      <c r="B29" s="183" t="str">
        <f t="shared" si="5"/>
        <v>123.0</v>
      </c>
      <c r="C29" s="184" t="s">
        <v>948</v>
      </c>
      <c r="D29" t="s">
        <v>949</v>
      </c>
      <c r="E29" s="470"/>
      <c r="F29" s="470"/>
      <c r="G29" s="175">
        <v>0</v>
      </c>
      <c r="H29" s="175">
        <v>0</v>
      </c>
      <c r="I29" s="175">
        <v>0</v>
      </c>
      <c r="J29" s="175">
        <v>0</v>
      </c>
      <c r="K29" s="175">
        <v>0</v>
      </c>
      <c r="L29" s="175">
        <v>0</v>
      </c>
      <c r="M29" s="175">
        <v>0</v>
      </c>
      <c r="N29" s="175">
        <v>0</v>
      </c>
      <c r="O29" s="175">
        <v>0</v>
      </c>
      <c r="P29" s="175">
        <v>0</v>
      </c>
      <c r="Q29" s="175">
        <v>0</v>
      </c>
      <c r="R29" s="175">
        <v>0</v>
      </c>
      <c r="S29" s="175">
        <v>0</v>
      </c>
      <c r="U29" s="175">
        <f t="shared" si="6"/>
        <v>0</v>
      </c>
    </row>
    <row r="30" spans="1:21">
      <c r="A30" s="183" t="str">
        <f t="shared" si="4"/>
        <v>123</v>
      </c>
      <c r="B30" s="183" t="str">
        <f t="shared" si="5"/>
        <v>123.1</v>
      </c>
      <c r="C30" s="184" t="s">
        <v>950</v>
      </c>
      <c r="D30" t="s">
        <v>951</v>
      </c>
      <c r="E30" s="470"/>
      <c r="F30" s="470"/>
      <c r="G30" s="175">
        <v>0</v>
      </c>
      <c r="H30" s="175">
        <v>0</v>
      </c>
      <c r="I30" s="175">
        <v>0</v>
      </c>
      <c r="J30" s="175">
        <v>0</v>
      </c>
      <c r="K30" s="175">
        <v>0</v>
      </c>
      <c r="L30" s="175">
        <v>0</v>
      </c>
      <c r="M30" s="175">
        <v>0</v>
      </c>
      <c r="N30" s="175">
        <v>0</v>
      </c>
      <c r="O30" s="175">
        <v>0</v>
      </c>
      <c r="P30" s="175">
        <v>0</v>
      </c>
      <c r="Q30" s="175">
        <v>0</v>
      </c>
      <c r="R30" s="175">
        <v>0</v>
      </c>
      <c r="S30" s="175">
        <v>0</v>
      </c>
      <c r="U30" s="175">
        <f t="shared" si="6"/>
        <v>0</v>
      </c>
    </row>
    <row r="31" spans="1:21">
      <c r="A31" s="183" t="str">
        <f t="shared" si="4"/>
        <v>124</v>
      </c>
      <c r="B31" s="183" t="str">
        <f t="shared" si="5"/>
        <v>124.0</v>
      </c>
      <c r="C31" s="184" t="s">
        <v>952</v>
      </c>
      <c r="D31" t="s">
        <v>953</v>
      </c>
      <c r="E31" s="470"/>
      <c r="F31" s="470"/>
      <c r="G31" s="175">
        <v>0</v>
      </c>
      <c r="H31" s="175">
        <v>0</v>
      </c>
      <c r="I31" s="175">
        <v>0</v>
      </c>
      <c r="J31" s="175">
        <v>0</v>
      </c>
      <c r="K31" s="175">
        <v>0</v>
      </c>
      <c r="L31" s="175">
        <v>0</v>
      </c>
      <c r="M31" s="175">
        <v>0</v>
      </c>
      <c r="N31" s="175">
        <v>0</v>
      </c>
      <c r="O31" s="175">
        <v>0</v>
      </c>
      <c r="P31" s="175">
        <v>0</v>
      </c>
      <c r="Q31" s="175">
        <v>0</v>
      </c>
      <c r="R31" s="175">
        <v>0</v>
      </c>
      <c r="S31" s="175">
        <v>0</v>
      </c>
      <c r="U31" s="175">
        <f t="shared" si="6"/>
        <v>0</v>
      </c>
    </row>
    <row r="32" spans="1:21">
      <c r="A32" s="183" t="str">
        <f t="shared" si="4"/>
        <v>125</v>
      </c>
      <c r="B32" s="183" t="str">
        <f t="shared" si="5"/>
        <v>125.0</v>
      </c>
      <c r="C32" s="184" t="s">
        <v>954</v>
      </c>
      <c r="D32" t="s">
        <v>955</v>
      </c>
      <c r="E32" s="470"/>
      <c r="F32" s="470"/>
      <c r="G32" s="175">
        <v>0</v>
      </c>
      <c r="H32" s="175">
        <v>0</v>
      </c>
      <c r="I32" s="175">
        <v>0</v>
      </c>
      <c r="J32" s="175">
        <v>0</v>
      </c>
      <c r="K32" s="175">
        <v>0</v>
      </c>
      <c r="L32" s="175">
        <v>0</v>
      </c>
      <c r="M32" s="175">
        <v>0</v>
      </c>
      <c r="N32" s="175">
        <v>0</v>
      </c>
      <c r="O32" s="175">
        <v>0</v>
      </c>
      <c r="P32" s="175">
        <v>0</v>
      </c>
      <c r="Q32" s="175">
        <v>0</v>
      </c>
      <c r="R32" s="175">
        <v>0</v>
      </c>
      <c r="S32" s="175">
        <v>0</v>
      </c>
      <c r="U32" s="175">
        <f t="shared" si="6"/>
        <v>0</v>
      </c>
    </row>
    <row r="33" spans="1:21">
      <c r="A33" s="183" t="str">
        <f t="shared" si="4"/>
        <v>126</v>
      </c>
      <c r="B33" s="183" t="str">
        <f t="shared" si="5"/>
        <v>126.0</v>
      </c>
      <c r="C33" s="184" t="s">
        <v>956</v>
      </c>
      <c r="D33" t="s">
        <v>957</v>
      </c>
      <c r="E33" s="470"/>
      <c r="F33" s="470"/>
      <c r="G33" s="175">
        <v>0</v>
      </c>
      <c r="H33" s="175">
        <v>0</v>
      </c>
      <c r="I33" s="175">
        <v>0</v>
      </c>
      <c r="J33" s="175">
        <v>0</v>
      </c>
      <c r="K33" s="175">
        <v>0</v>
      </c>
      <c r="L33" s="175">
        <v>0</v>
      </c>
      <c r="M33" s="175">
        <v>0</v>
      </c>
      <c r="N33" s="175">
        <v>0</v>
      </c>
      <c r="O33" s="175">
        <v>0</v>
      </c>
      <c r="P33" s="175">
        <v>0</v>
      </c>
      <c r="Q33" s="175">
        <v>0</v>
      </c>
      <c r="R33" s="175">
        <v>0</v>
      </c>
      <c r="S33" s="175">
        <v>0</v>
      </c>
      <c r="U33" s="175">
        <f t="shared" si="6"/>
        <v>0</v>
      </c>
    </row>
    <row r="34" spans="1:21">
      <c r="A34" s="183" t="str">
        <f t="shared" si="4"/>
        <v>127</v>
      </c>
      <c r="B34" s="183" t="str">
        <f t="shared" si="5"/>
        <v>127.0</v>
      </c>
      <c r="C34" s="184" t="s">
        <v>958</v>
      </c>
      <c r="D34" t="s">
        <v>959</v>
      </c>
      <c r="E34" s="470"/>
      <c r="F34" s="470"/>
      <c r="G34" s="175">
        <v>0</v>
      </c>
      <c r="H34" s="175">
        <v>0</v>
      </c>
      <c r="I34" s="175">
        <v>0</v>
      </c>
      <c r="J34" s="175">
        <v>0</v>
      </c>
      <c r="K34" s="175">
        <v>0</v>
      </c>
      <c r="L34" s="175">
        <v>0</v>
      </c>
      <c r="M34" s="175">
        <v>0</v>
      </c>
      <c r="N34" s="175">
        <v>0</v>
      </c>
      <c r="O34" s="175">
        <v>0</v>
      </c>
      <c r="P34" s="175">
        <v>0</v>
      </c>
      <c r="Q34" s="175">
        <v>0</v>
      </c>
      <c r="R34" s="175">
        <v>0</v>
      </c>
      <c r="S34" s="175">
        <v>0</v>
      </c>
      <c r="U34" s="175">
        <f t="shared" si="6"/>
        <v>0</v>
      </c>
    </row>
    <row r="35" spans="1:21">
      <c r="A35" s="183" t="str">
        <f t="shared" si="4"/>
        <v>128</v>
      </c>
      <c r="B35" s="183" t="str">
        <f t="shared" si="5"/>
        <v>128.0</v>
      </c>
      <c r="C35" s="184" t="s">
        <v>960</v>
      </c>
      <c r="D35" t="s">
        <v>961</v>
      </c>
      <c r="E35" s="470"/>
      <c r="F35" s="470"/>
      <c r="G35" s="175">
        <v>0</v>
      </c>
      <c r="H35" s="175">
        <v>0</v>
      </c>
      <c r="I35" s="175">
        <v>0</v>
      </c>
      <c r="J35" s="175">
        <v>0</v>
      </c>
      <c r="K35" s="175">
        <v>0</v>
      </c>
      <c r="L35" s="175">
        <v>0</v>
      </c>
      <c r="M35" s="175">
        <v>0</v>
      </c>
      <c r="N35" s="175">
        <v>0</v>
      </c>
      <c r="O35" s="175">
        <v>0</v>
      </c>
      <c r="P35" s="175">
        <v>0</v>
      </c>
      <c r="Q35" s="175">
        <v>0</v>
      </c>
      <c r="R35" s="175">
        <v>0</v>
      </c>
      <c r="S35" s="175">
        <v>0</v>
      </c>
      <c r="U35" s="175">
        <f t="shared" si="6"/>
        <v>0</v>
      </c>
    </row>
    <row r="36" spans="1:21">
      <c r="A36" s="183" t="str">
        <f t="shared" si="4"/>
        <v>131</v>
      </c>
      <c r="B36" s="183" t="str">
        <f t="shared" si="5"/>
        <v>131.0</v>
      </c>
      <c r="C36" s="184" t="s">
        <v>962</v>
      </c>
      <c r="D36" t="s">
        <v>270</v>
      </c>
      <c r="E36" s="470"/>
      <c r="F36" s="470"/>
      <c r="G36" s="175">
        <v>1000000</v>
      </c>
      <c r="H36" s="175">
        <v>1000000</v>
      </c>
      <c r="I36" s="175">
        <v>1000000</v>
      </c>
      <c r="J36" s="175">
        <v>1000000</v>
      </c>
      <c r="K36" s="175">
        <v>1000000</v>
      </c>
      <c r="L36" s="175">
        <v>1000000</v>
      </c>
      <c r="M36" s="175">
        <v>1000000</v>
      </c>
      <c r="N36" s="175">
        <v>1000000</v>
      </c>
      <c r="O36" s="175">
        <v>1000000</v>
      </c>
      <c r="P36" s="175">
        <v>1000000</v>
      </c>
      <c r="Q36" s="175">
        <v>1000000</v>
      </c>
      <c r="R36" s="175">
        <v>1000000</v>
      </c>
      <c r="S36" s="175">
        <v>1000000</v>
      </c>
      <c r="U36" s="175">
        <f t="shared" si="6"/>
        <v>1000000</v>
      </c>
    </row>
    <row r="37" spans="1:21">
      <c r="A37" s="183" t="str">
        <f t="shared" si="4"/>
        <v>132</v>
      </c>
      <c r="B37" s="183" t="str">
        <f t="shared" si="5"/>
        <v>132.0</v>
      </c>
      <c r="C37" s="184" t="s">
        <v>963</v>
      </c>
      <c r="D37" t="s">
        <v>964</v>
      </c>
      <c r="E37" s="470"/>
      <c r="F37" s="470"/>
      <c r="G37" s="175">
        <v>0</v>
      </c>
      <c r="H37" s="175">
        <v>0</v>
      </c>
      <c r="I37" s="175">
        <v>0</v>
      </c>
      <c r="J37" s="175">
        <v>0</v>
      </c>
      <c r="K37" s="175">
        <v>0</v>
      </c>
      <c r="L37" s="175">
        <v>0</v>
      </c>
      <c r="M37" s="175">
        <v>0</v>
      </c>
      <c r="N37" s="175">
        <v>0</v>
      </c>
      <c r="O37" s="175">
        <v>0</v>
      </c>
      <c r="P37" s="175">
        <v>0</v>
      </c>
      <c r="Q37" s="175">
        <v>0</v>
      </c>
      <c r="R37" s="175">
        <v>0</v>
      </c>
      <c r="S37" s="175">
        <v>0</v>
      </c>
      <c r="U37" s="175">
        <f t="shared" si="6"/>
        <v>0</v>
      </c>
    </row>
    <row r="38" spans="1:21">
      <c r="A38" s="183" t="str">
        <f t="shared" si="4"/>
        <v>133</v>
      </c>
      <c r="B38" s="183" t="str">
        <f t="shared" si="5"/>
        <v>133.0</v>
      </c>
      <c r="C38" s="184" t="s">
        <v>965</v>
      </c>
      <c r="D38" t="s">
        <v>966</v>
      </c>
      <c r="E38" s="470"/>
      <c r="F38" s="470"/>
      <c r="G38" s="175">
        <v>0</v>
      </c>
      <c r="H38" s="175">
        <v>0</v>
      </c>
      <c r="I38" s="175">
        <v>0</v>
      </c>
      <c r="J38" s="175">
        <v>0</v>
      </c>
      <c r="K38" s="175">
        <v>0</v>
      </c>
      <c r="L38" s="175">
        <v>0</v>
      </c>
      <c r="M38" s="175">
        <v>0</v>
      </c>
      <c r="N38" s="175">
        <v>0</v>
      </c>
      <c r="O38" s="175">
        <v>0</v>
      </c>
      <c r="P38" s="175">
        <v>0</v>
      </c>
      <c r="Q38" s="175">
        <v>0</v>
      </c>
      <c r="R38" s="175">
        <v>0</v>
      </c>
      <c r="S38" s="175">
        <v>0</v>
      </c>
      <c r="U38" s="175">
        <f t="shared" si="6"/>
        <v>0</v>
      </c>
    </row>
    <row r="39" spans="1:21">
      <c r="A39" s="183" t="str">
        <f t="shared" si="4"/>
        <v>134</v>
      </c>
      <c r="B39" s="183" t="str">
        <f t="shared" si="5"/>
        <v>134.0</v>
      </c>
      <c r="C39" s="184" t="s">
        <v>967</v>
      </c>
      <c r="D39" t="s">
        <v>271</v>
      </c>
      <c r="E39" s="470"/>
      <c r="F39" s="470"/>
      <c r="G39" s="175">
        <v>0</v>
      </c>
      <c r="H39" s="175">
        <v>0</v>
      </c>
      <c r="I39" s="175">
        <v>0</v>
      </c>
      <c r="J39" s="175">
        <v>0</v>
      </c>
      <c r="K39" s="175">
        <v>0</v>
      </c>
      <c r="L39" s="175">
        <v>0</v>
      </c>
      <c r="M39" s="175">
        <v>0</v>
      </c>
      <c r="N39" s="175">
        <v>0</v>
      </c>
      <c r="O39" s="175">
        <v>0</v>
      </c>
      <c r="P39" s="175">
        <v>0</v>
      </c>
      <c r="Q39" s="175">
        <v>0</v>
      </c>
      <c r="R39" s="175">
        <v>0</v>
      </c>
      <c r="S39" s="175">
        <v>0</v>
      </c>
      <c r="U39" s="175">
        <f t="shared" si="6"/>
        <v>0</v>
      </c>
    </row>
    <row r="40" spans="1:21">
      <c r="A40" s="183" t="str">
        <f t="shared" si="4"/>
        <v>135</v>
      </c>
      <c r="B40" s="183" t="str">
        <f t="shared" si="5"/>
        <v>135.0</v>
      </c>
      <c r="C40" s="184" t="s">
        <v>968</v>
      </c>
      <c r="D40" t="s">
        <v>568</v>
      </c>
      <c r="E40" s="470"/>
      <c r="F40" s="470"/>
      <c r="G40" s="175">
        <v>52665.39</v>
      </c>
      <c r="H40" s="175">
        <v>52665.39</v>
      </c>
      <c r="I40" s="175">
        <v>52665.39</v>
      </c>
      <c r="J40" s="175">
        <v>52665.39</v>
      </c>
      <c r="K40" s="175">
        <v>52665.39</v>
      </c>
      <c r="L40" s="175">
        <v>52665.39</v>
      </c>
      <c r="M40" s="175">
        <v>52665.39</v>
      </c>
      <c r="N40" s="175">
        <v>52665.39</v>
      </c>
      <c r="O40" s="175">
        <v>52665.39</v>
      </c>
      <c r="P40" s="175">
        <v>52665.39</v>
      </c>
      <c r="Q40" s="175">
        <v>52665.39</v>
      </c>
      <c r="R40" s="175">
        <v>52665.39</v>
      </c>
      <c r="S40" s="175">
        <v>52665.39</v>
      </c>
      <c r="U40" s="175">
        <f t="shared" si="6"/>
        <v>52665.390000000007</v>
      </c>
    </row>
    <row r="41" spans="1:21">
      <c r="A41" s="183" t="str">
        <f t="shared" si="4"/>
        <v>136</v>
      </c>
      <c r="B41" s="183" t="str">
        <f t="shared" si="5"/>
        <v>136.0</v>
      </c>
      <c r="C41" s="184" t="s">
        <v>969</v>
      </c>
      <c r="D41" t="s">
        <v>569</v>
      </c>
      <c r="E41" s="470"/>
      <c r="F41" s="470"/>
      <c r="G41" s="175">
        <v>0</v>
      </c>
      <c r="H41" s="175">
        <v>0</v>
      </c>
      <c r="I41" s="175">
        <v>0</v>
      </c>
      <c r="J41" s="175">
        <v>0</v>
      </c>
      <c r="K41" s="175">
        <v>0</v>
      </c>
      <c r="L41" s="175">
        <v>0</v>
      </c>
      <c r="M41" s="175">
        <v>0</v>
      </c>
      <c r="N41" s="175">
        <v>0</v>
      </c>
      <c r="O41" s="175">
        <v>0</v>
      </c>
      <c r="P41" s="175">
        <v>0</v>
      </c>
      <c r="Q41" s="175">
        <v>0</v>
      </c>
      <c r="R41" s="175">
        <v>0</v>
      </c>
      <c r="S41" s="175">
        <v>0</v>
      </c>
      <c r="U41" s="175">
        <f t="shared" si="6"/>
        <v>0</v>
      </c>
    </row>
    <row r="42" spans="1:21">
      <c r="A42" s="183" t="str">
        <f t="shared" si="4"/>
        <v>141</v>
      </c>
      <c r="B42" s="183" t="str">
        <f t="shared" si="5"/>
        <v>141.0</v>
      </c>
      <c r="C42" s="184" t="s">
        <v>970</v>
      </c>
      <c r="D42" t="s">
        <v>274</v>
      </c>
      <c r="E42" s="470"/>
      <c r="F42" s="470"/>
      <c r="G42" s="175">
        <v>0</v>
      </c>
      <c r="H42" s="175">
        <v>0</v>
      </c>
      <c r="I42" s="175">
        <v>0</v>
      </c>
      <c r="J42" s="175">
        <v>0</v>
      </c>
      <c r="K42" s="175">
        <v>0</v>
      </c>
      <c r="L42" s="175">
        <v>0</v>
      </c>
      <c r="M42" s="175">
        <v>0</v>
      </c>
      <c r="N42" s="175">
        <v>0</v>
      </c>
      <c r="O42" s="175">
        <v>0</v>
      </c>
      <c r="P42" s="175">
        <v>0</v>
      </c>
      <c r="Q42" s="175">
        <v>0</v>
      </c>
      <c r="R42" s="175">
        <v>0</v>
      </c>
      <c r="S42" s="175">
        <v>0</v>
      </c>
      <c r="U42" s="175">
        <f t="shared" si="6"/>
        <v>0</v>
      </c>
    </row>
    <row r="43" spans="1:21">
      <c r="A43" s="183" t="str">
        <f t="shared" si="4"/>
        <v>142</v>
      </c>
      <c r="B43" s="183" t="str">
        <f t="shared" si="5"/>
        <v>142.0</v>
      </c>
      <c r="C43" s="184" t="s">
        <v>971</v>
      </c>
      <c r="D43" t="s">
        <v>570</v>
      </c>
      <c r="E43" s="470"/>
      <c r="F43" s="470"/>
      <c r="G43" s="175">
        <v>188387489.55500001</v>
      </c>
      <c r="H43" s="175">
        <v>173009246.999834</v>
      </c>
      <c r="I43" s="175">
        <v>165047297.21224299</v>
      </c>
      <c r="J43" s="175">
        <v>140015681.88248</v>
      </c>
      <c r="K43" s="175">
        <v>154991579.90402499</v>
      </c>
      <c r="L43" s="175">
        <v>163881398.73599201</v>
      </c>
      <c r="M43" s="175">
        <v>188769353.61418501</v>
      </c>
      <c r="N43" s="175">
        <v>210495252.39529699</v>
      </c>
      <c r="O43" s="175">
        <v>196848323.61847401</v>
      </c>
      <c r="P43" s="175">
        <v>222306767.60531101</v>
      </c>
      <c r="Q43" s="175">
        <v>200264038.373308</v>
      </c>
      <c r="R43" s="175">
        <v>181498088.89238501</v>
      </c>
      <c r="S43" s="175">
        <v>174116238.38903299</v>
      </c>
      <c r="U43" s="175">
        <f t="shared" si="6"/>
        <v>181510058.24442822</v>
      </c>
    </row>
    <row r="44" spans="1:21">
      <c r="A44" s="183" t="str">
        <f t="shared" si="4"/>
        <v>143</v>
      </c>
      <c r="B44" s="183" t="str">
        <f t="shared" si="5"/>
        <v>143.0</v>
      </c>
      <c r="C44" s="184" t="s">
        <v>972</v>
      </c>
      <c r="D44" t="s">
        <v>276</v>
      </c>
      <c r="E44" s="470"/>
      <c r="F44" s="470"/>
      <c r="G44" s="175">
        <v>7200000</v>
      </c>
      <c r="H44" s="175">
        <v>7421305.9500000002</v>
      </c>
      <c r="I44" s="175">
        <v>7434496.75</v>
      </c>
      <c r="J44" s="175">
        <v>7402617.3499999996</v>
      </c>
      <c r="K44" s="175">
        <v>7349947.9500000002</v>
      </c>
      <c r="L44" s="175">
        <v>7374767.5499999998</v>
      </c>
      <c r="M44" s="175">
        <v>7308363.75</v>
      </c>
      <c r="N44" s="175">
        <v>7322322.9500000002</v>
      </c>
      <c r="O44" s="175">
        <v>7326976.3499999996</v>
      </c>
      <c r="P44" s="175">
        <v>7367350.9500000002</v>
      </c>
      <c r="Q44" s="175">
        <v>7369924.1500000004</v>
      </c>
      <c r="R44" s="175">
        <v>7410339.9500000002</v>
      </c>
      <c r="S44" s="175">
        <v>7380411.9500000002</v>
      </c>
      <c r="U44" s="175">
        <f t="shared" si="6"/>
        <v>7359140.4307692312</v>
      </c>
    </row>
    <row r="45" spans="1:21">
      <c r="A45" s="183" t="str">
        <f t="shared" si="4"/>
        <v>144</v>
      </c>
      <c r="B45" s="183" t="str">
        <f t="shared" si="5"/>
        <v>144.0</v>
      </c>
      <c r="C45" s="184" t="s">
        <v>973</v>
      </c>
      <c r="D45" t="s">
        <v>974</v>
      </c>
      <c r="E45" s="470"/>
      <c r="F45" s="470"/>
      <c r="G45" s="175">
        <v>-1632918.6677135001</v>
      </c>
      <c r="H45" s="175">
        <v>-1635198.6410513001</v>
      </c>
      <c r="I45" s="175">
        <v>-1620466.9520413</v>
      </c>
      <c r="J45" s="175">
        <v>-1605465.3161810001</v>
      </c>
      <c r="K45" s="175">
        <v>-1625072.0627957999</v>
      </c>
      <c r="L45" s="175">
        <v>-1648690.7433267999</v>
      </c>
      <c r="M45" s="175">
        <v>-1676820.3370260999</v>
      </c>
      <c r="N45" s="175">
        <v>-1699824.3491972999</v>
      </c>
      <c r="O45" s="175">
        <v>-1690178.5661128999</v>
      </c>
      <c r="P45" s="175">
        <v>-1697256.3299954999</v>
      </c>
      <c r="Q45" s="175">
        <v>-1668291.6619067001</v>
      </c>
      <c r="R45" s="175">
        <v>-1636908.2698927999</v>
      </c>
      <c r="S45" s="175">
        <v>-1625664.0538892001</v>
      </c>
      <c r="U45" s="175">
        <f t="shared" si="6"/>
        <v>-1650981.2270100154</v>
      </c>
    </row>
    <row r="46" spans="1:21">
      <c r="A46" s="183" t="str">
        <f t="shared" si="4"/>
        <v>145</v>
      </c>
      <c r="B46" s="183" t="str">
        <f t="shared" si="5"/>
        <v>145.0</v>
      </c>
      <c r="C46" s="184" t="s">
        <v>975</v>
      </c>
      <c r="D46" t="s">
        <v>976</v>
      </c>
      <c r="E46" s="470"/>
      <c r="F46" s="470"/>
      <c r="G46" s="175">
        <v>0</v>
      </c>
      <c r="H46" s="175">
        <v>0</v>
      </c>
      <c r="I46" s="175">
        <v>0</v>
      </c>
      <c r="J46" s="175">
        <v>0</v>
      </c>
      <c r="K46" s="175">
        <v>0</v>
      </c>
      <c r="L46" s="175">
        <v>0</v>
      </c>
      <c r="M46" s="175">
        <v>0</v>
      </c>
      <c r="N46" s="175">
        <v>0</v>
      </c>
      <c r="O46" s="175">
        <v>0</v>
      </c>
      <c r="P46" s="175">
        <v>0</v>
      </c>
      <c r="Q46" s="175">
        <v>0</v>
      </c>
      <c r="R46" s="175">
        <v>0</v>
      </c>
      <c r="S46" s="175">
        <v>0</v>
      </c>
      <c r="U46" s="175">
        <f t="shared" si="6"/>
        <v>0</v>
      </c>
    </row>
    <row r="47" spans="1:21">
      <c r="A47" s="183" t="str">
        <f t="shared" si="4"/>
        <v>146</v>
      </c>
      <c r="B47" s="183" t="str">
        <f t="shared" si="5"/>
        <v>146.0</v>
      </c>
      <c r="C47" s="184" t="s">
        <v>977</v>
      </c>
      <c r="D47" t="s">
        <v>978</v>
      </c>
      <c r="E47" s="470"/>
      <c r="F47" s="470"/>
      <c r="G47" s="175">
        <v>13959856.422638301</v>
      </c>
      <c r="H47" s="175">
        <v>13090069.084339499</v>
      </c>
      <c r="I47" s="175">
        <v>13252895.3767097</v>
      </c>
      <c r="J47" s="175">
        <v>13593220.6556895</v>
      </c>
      <c r="K47" s="175">
        <v>13545194.1461844</v>
      </c>
      <c r="L47" s="175">
        <v>13518604.458171399</v>
      </c>
      <c r="M47" s="175">
        <v>13515718.264170401</v>
      </c>
      <c r="N47" s="175">
        <v>13695137.0338569</v>
      </c>
      <c r="O47" s="175">
        <v>13697818.707056301</v>
      </c>
      <c r="P47" s="175">
        <v>13610870.6793324</v>
      </c>
      <c r="Q47" s="175">
        <v>13984823.202485001</v>
      </c>
      <c r="R47" s="175">
        <v>14120404.4339804</v>
      </c>
      <c r="S47" s="175">
        <v>14237267.8527372</v>
      </c>
      <c r="U47" s="175">
        <f t="shared" si="6"/>
        <v>13678606.178257797</v>
      </c>
    </row>
    <row r="48" spans="1:21">
      <c r="A48" s="183" t="str">
        <f t="shared" si="4"/>
        <v>151</v>
      </c>
      <c r="B48" s="183" t="str">
        <f t="shared" si="5"/>
        <v>151.0</v>
      </c>
      <c r="C48" s="184" t="s">
        <v>979</v>
      </c>
      <c r="D48" t="s">
        <v>279</v>
      </c>
      <c r="E48" s="470"/>
      <c r="F48" s="470"/>
      <c r="G48" s="175">
        <v>35384000</v>
      </c>
      <c r="H48" s="175">
        <v>36662000</v>
      </c>
      <c r="I48" s="175">
        <v>37797000</v>
      </c>
      <c r="J48" s="175">
        <v>38154000</v>
      </c>
      <c r="K48" s="175">
        <v>38047000</v>
      </c>
      <c r="L48" s="175">
        <v>37974000</v>
      </c>
      <c r="M48" s="175">
        <v>37937000</v>
      </c>
      <c r="N48" s="175">
        <v>35507000</v>
      </c>
      <c r="O48" s="175">
        <v>35438000</v>
      </c>
      <c r="P48" s="175">
        <v>36894000</v>
      </c>
      <c r="Q48" s="175">
        <v>36847000</v>
      </c>
      <c r="R48" s="175">
        <v>36023000</v>
      </c>
      <c r="S48" s="175">
        <v>36044000</v>
      </c>
      <c r="U48" s="175">
        <f t="shared" si="6"/>
        <v>36823692.307692304</v>
      </c>
    </row>
    <row r="49" spans="1:21">
      <c r="A49" s="183" t="str">
        <f t="shared" si="4"/>
        <v>152</v>
      </c>
      <c r="B49" s="183" t="str">
        <f t="shared" si="5"/>
        <v>152.0</v>
      </c>
      <c r="C49" s="184" t="s">
        <v>980</v>
      </c>
      <c r="D49" t="s">
        <v>573</v>
      </c>
      <c r="E49" s="470"/>
      <c r="F49" s="470"/>
      <c r="G49" s="175">
        <v>0</v>
      </c>
      <c r="H49" s="175">
        <v>0</v>
      </c>
      <c r="I49" s="175">
        <v>0</v>
      </c>
      <c r="J49" s="175">
        <v>0</v>
      </c>
      <c r="K49" s="175">
        <v>0</v>
      </c>
      <c r="L49" s="175">
        <v>0</v>
      </c>
      <c r="M49" s="175">
        <v>0</v>
      </c>
      <c r="N49" s="175">
        <v>0</v>
      </c>
      <c r="O49" s="175">
        <v>0</v>
      </c>
      <c r="P49" s="175">
        <v>0</v>
      </c>
      <c r="Q49" s="175">
        <v>0</v>
      </c>
      <c r="R49" s="175">
        <v>0</v>
      </c>
      <c r="S49" s="175">
        <v>0</v>
      </c>
      <c r="U49" s="175">
        <f t="shared" si="6"/>
        <v>0</v>
      </c>
    </row>
    <row r="50" spans="1:21">
      <c r="A50" s="183" t="str">
        <f t="shared" si="4"/>
        <v>153</v>
      </c>
      <c r="B50" s="183" t="str">
        <f t="shared" si="5"/>
        <v>153.0</v>
      </c>
      <c r="C50" s="184" t="s">
        <v>981</v>
      </c>
      <c r="D50" t="s">
        <v>982</v>
      </c>
      <c r="E50" s="470"/>
      <c r="F50" s="470"/>
      <c r="G50" s="175">
        <v>0</v>
      </c>
      <c r="H50" s="175">
        <v>0</v>
      </c>
      <c r="I50" s="175">
        <v>0</v>
      </c>
      <c r="J50" s="175">
        <v>0</v>
      </c>
      <c r="K50" s="175">
        <v>0</v>
      </c>
      <c r="L50" s="175">
        <v>0</v>
      </c>
      <c r="M50" s="175">
        <v>0</v>
      </c>
      <c r="N50" s="175">
        <v>0</v>
      </c>
      <c r="O50" s="175">
        <v>0</v>
      </c>
      <c r="P50" s="175">
        <v>0</v>
      </c>
      <c r="Q50" s="175">
        <v>0</v>
      </c>
      <c r="R50" s="175">
        <v>0</v>
      </c>
      <c r="S50" s="175">
        <v>0</v>
      </c>
      <c r="U50" s="175">
        <f t="shared" si="6"/>
        <v>0</v>
      </c>
    </row>
    <row r="51" spans="1:21">
      <c r="A51" s="183" t="str">
        <f t="shared" si="4"/>
        <v>154</v>
      </c>
      <c r="B51" s="183" t="str">
        <f t="shared" si="5"/>
        <v>154.0</v>
      </c>
      <c r="C51" s="184" t="s">
        <v>983</v>
      </c>
      <c r="D51" t="s">
        <v>984</v>
      </c>
      <c r="E51" s="470"/>
      <c r="F51" s="470"/>
      <c r="G51" s="175">
        <v>162822150</v>
      </c>
      <c r="H51" s="175">
        <v>162822150</v>
      </c>
      <c r="I51" s="175">
        <v>162822150</v>
      </c>
      <c r="J51" s="175">
        <v>162822150</v>
      </c>
      <c r="K51" s="175">
        <v>162822150</v>
      </c>
      <c r="L51" s="175">
        <v>162822150</v>
      </c>
      <c r="M51" s="175">
        <v>162822150</v>
      </c>
      <c r="N51" s="175">
        <v>162822150</v>
      </c>
      <c r="O51" s="175">
        <v>162822150</v>
      </c>
      <c r="P51" s="175">
        <v>162822150</v>
      </c>
      <c r="Q51" s="175">
        <v>162822150</v>
      </c>
      <c r="R51" s="175">
        <v>162822150</v>
      </c>
      <c r="S51" s="175">
        <v>162822150</v>
      </c>
      <c r="U51" s="175">
        <f t="shared" si="6"/>
        <v>162822150</v>
      </c>
    </row>
    <row r="52" spans="1:21">
      <c r="A52" s="183" t="str">
        <f t="shared" si="4"/>
        <v>155</v>
      </c>
      <c r="B52" s="183" t="str">
        <f t="shared" si="5"/>
        <v>155.0</v>
      </c>
      <c r="C52" s="184" t="s">
        <v>985</v>
      </c>
      <c r="D52" t="s">
        <v>986</v>
      </c>
      <c r="E52" s="470"/>
      <c r="F52" s="470"/>
      <c r="G52" s="175">
        <v>0</v>
      </c>
      <c r="H52" s="175">
        <v>0</v>
      </c>
      <c r="I52" s="175">
        <v>0</v>
      </c>
      <c r="J52" s="175">
        <v>0</v>
      </c>
      <c r="K52" s="175">
        <v>0</v>
      </c>
      <c r="L52" s="175">
        <v>0</v>
      </c>
      <c r="M52" s="175">
        <v>0</v>
      </c>
      <c r="N52" s="175">
        <v>0</v>
      </c>
      <c r="O52" s="175">
        <v>0</v>
      </c>
      <c r="P52" s="175">
        <v>0</v>
      </c>
      <c r="Q52" s="175">
        <v>0</v>
      </c>
      <c r="R52" s="175">
        <v>0</v>
      </c>
      <c r="S52" s="175">
        <v>0</v>
      </c>
      <c r="U52" s="175">
        <f t="shared" si="6"/>
        <v>0</v>
      </c>
    </row>
    <row r="53" spans="1:21">
      <c r="A53" s="183" t="str">
        <f t="shared" si="4"/>
        <v>156</v>
      </c>
      <c r="B53" s="183" t="str">
        <f t="shared" si="5"/>
        <v>156.0</v>
      </c>
      <c r="C53" s="184" t="s">
        <v>987</v>
      </c>
      <c r="D53" t="s">
        <v>988</v>
      </c>
      <c r="E53" s="470"/>
      <c r="F53" s="470"/>
      <c r="G53" s="175">
        <v>0</v>
      </c>
      <c r="H53" s="175">
        <v>0</v>
      </c>
      <c r="I53" s="175">
        <v>0</v>
      </c>
      <c r="J53" s="175">
        <v>0</v>
      </c>
      <c r="K53" s="175">
        <v>0</v>
      </c>
      <c r="L53" s="175">
        <v>0</v>
      </c>
      <c r="M53" s="175">
        <v>0</v>
      </c>
      <c r="N53" s="175">
        <v>0</v>
      </c>
      <c r="O53" s="175">
        <v>0</v>
      </c>
      <c r="P53" s="175">
        <v>0</v>
      </c>
      <c r="Q53" s="175">
        <v>0</v>
      </c>
      <c r="R53" s="175">
        <v>0</v>
      </c>
      <c r="S53" s="175">
        <v>0</v>
      </c>
      <c r="U53" s="175">
        <f t="shared" si="6"/>
        <v>0</v>
      </c>
    </row>
    <row r="54" spans="1:21">
      <c r="A54" s="183" t="str">
        <f t="shared" si="4"/>
        <v>158</v>
      </c>
      <c r="B54" s="183" t="str">
        <f t="shared" si="5"/>
        <v>158.1</v>
      </c>
      <c r="C54" s="184" t="s">
        <v>989</v>
      </c>
      <c r="D54" t="s">
        <v>990</v>
      </c>
      <c r="E54" s="470"/>
      <c r="F54" s="470"/>
      <c r="G54" s="175">
        <v>0</v>
      </c>
      <c r="H54" s="175">
        <v>0</v>
      </c>
      <c r="I54" s="175">
        <v>0</v>
      </c>
      <c r="J54" s="175">
        <v>0</v>
      </c>
      <c r="K54" s="175">
        <v>0</v>
      </c>
      <c r="L54" s="175">
        <v>0</v>
      </c>
      <c r="M54" s="175">
        <v>0</v>
      </c>
      <c r="N54" s="175">
        <v>0</v>
      </c>
      <c r="O54" s="175">
        <v>0</v>
      </c>
      <c r="P54" s="175">
        <v>0</v>
      </c>
      <c r="Q54" s="175">
        <v>0</v>
      </c>
      <c r="R54" s="175">
        <v>0</v>
      </c>
      <c r="S54" s="175">
        <v>0</v>
      </c>
      <c r="U54" s="175">
        <f t="shared" si="6"/>
        <v>0</v>
      </c>
    </row>
    <row r="55" spans="1:21">
      <c r="A55" s="183" t="str">
        <f t="shared" si="4"/>
        <v>158</v>
      </c>
      <c r="B55" s="183" t="str">
        <f t="shared" si="5"/>
        <v>158.2</v>
      </c>
      <c r="C55" s="184" t="s">
        <v>991</v>
      </c>
      <c r="D55" t="s">
        <v>992</v>
      </c>
      <c r="E55" s="470"/>
      <c r="F55" s="470"/>
      <c r="G55" s="175">
        <v>0</v>
      </c>
      <c r="H55" s="175">
        <v>0</v>
      </c>
      <c r="I55" s="175">
        <v>0</v>
      </c>
      <c r="J55" s="175">
        <v>0</v>
      </c>
      <c r="K55" s="175">
        <v>0</v>
      </c>
      <c r="L55" s="175">
        <v>0</v>
      </c>
      <c r="M55" s="175">
        <v>0</v>
      </c>
      <c r="N55" s="175">
        <v>0</v>
      </c>
      <c r="O55" s="175">
        <v>0</v>
      </c>
      <c r="P55" s="175">
        <v>0</v>
      </c>
      <c r="Q55" s="175">
        <v>0</v>
      </c>
      <c r="R55" s="175">
        <v>0</v>
      </c>
      <c r="S55" s="175">
        <v>0</v>
      </c>
      <c r="U55" s="175">
        <f t="shared" si="6"/>
        <v>0</v>
      </c>
    </row>
    <row r="56" spans="1:21">
      <c r="A56" s="183" t="str">
        <f t="shared" si="4"/>
        <v>163</v>
      </c>
      <c r="B56" s="183" t="str">
        <f t="shared" si="5"/>
        <v>163.0</v>
      </c>
      <c r="C56" s="184" t="s">
        <v>993</v>
      </c>
      <c r="D56" t="s">
        <v>994</v>
      </c>
      <c r="E56" s="470"/>
      <c r="F56" s="470"/>
      <c r="G56" s="175">
        <v>0</v>
      </c>
      <c r="H56" s="175">
        <v>0</v>
      </c>
      <c r="I56" s="175">
        <v>0</v>
      </c>
      <c r="J56" s="175">
        <v>0</v>
      </c>
      <c r="K56" s="175">
        <v>0</v>
      </c>
      <c r="L56" s="175">
        <v>0</v>
      </c>
      <c r="M56" s="175">
        <v>0</v>
      </c>
      <c r="N56" s="175">
        <v>0</v>
      </c>
      <c r="O56" s="175">
        <v>0</v>
      </c>
      <c r="P56" s="175">
        <v>0</v>
      </c>
      <c r="Q56" s="175">
        <v>0</v>
      </c>
      <c r="R56" s="175">
        <v>0</v>
      </c>
      <c r="S56" s="175">
        <v>0</v>
      </c>
      <c r="U56" s="175">
        <f t="shared" si="6"/>
        <v>0</v>
      </c>
    </row>
    <row r="57" spans="1:21">
      <c r="A57" s="183" t="str">
        <f t="shared" si="4"/>
        <v>164</v>
      </c>
      <c r="B57" s="183" t="str">
        <f t="shared" si="5"/>
        <v>164.1</v>
      </c>
      <c r="C57" s="184" t="s">
        <v>995</v>
      </c>
      <c r="D57" t="s">
        <v>996</v>
      </c>
      <c r="E57" s="470"/>
      <c r="F57" s="470"/>
      <c r="G57" s="175">
        <v>0</v>
      </c>
      <c r="H57" s="175">
        <v>0</v>
      </c>
      <c r="I57" s="175">
        <v>0</v>
      </c>
      <c r="J57" s="175">
        <v>0</v>
      </c>
      <c r="K57" s="175">
        <v>0</v>
      </c>
      <c r="L57" s="175">
        <v>0</v>
      </c>
      <c r="M57" s="175">
        <v>0</v>
      </c>
      <c r="N57" s="175">
        <v>0</v>
      </c>
      <c r="O57" s="175">
        <v>0</v>
      </c>
      <c r="P57" s="175">
        <v>0</v>
      </c>
      <c r="Q57" s="175">
        <v>0</v>
      </c>
      <c r="R57" s="175">
        <v>0</v>
      </c>
      <c r="S57" s="175">
        <v>0</v>
      </c>
      <c r="U57" s="175">
        <f t="shared" si="6"/>
        <v>0</v>
      </c>
    </row>
    <row r="58" spans="1:21">
      <c r="A58" s="183" t="str">
        <f t="shared" si="4"/>
        <v>164</v>
      </c>
      <c r="B58" s="183" t="str">
        <f t="shared" si="5"/>
        <v>164.2</v>
      </c>
      <c r="C58" s="184" t="s">
        <v>997</v>
      </c>
      <c r="D58" t="s">
        <v>998</v>
      </c>
      <c r="E58" s="470"/>
      <c r="F58" s="470"/>
      <c r="G58" s="175">
        <v>0</v>
      </c>
      <c r="H58" s="175">
        <v>0</v>
      </c>
      <c r="I58" s="175">
        <v>0</v>
      </c>
      <c r="J58" s="175">
        <v>0</v>
      </c>
      <c r="K58" s="175">
        <v>0</v>
      </c>
      <c r="L58" s="175">
        <v>0</v>
      </c>
      <c r="M58" s="175">
        <v>0</v>
      </c>
      <c r="N58" s="175">
        <v>0</v>
      </c>
      <c r="O58" s="175">
        <v>0</v>
      </c>
      <c r="P58" s="175">
        <v>0</v>
      </c>
      <c r="Q58" s="175">
        <v>0</v>
      </c>
      <c r="R58" s="175">
        <v>0</v>
      </c>
      <c r="S58" s="175">
        <v>0</v>
      </c>
      <c r="U58" s="175">
        <f t="shared" si="6"/>
        <v>0</v>
      </c>
    </row>
    <row r="59" spans="1:21">
      <c r="A59" s="183" t="str">
        <f t="shared" si="4"/>
        <v>164</v>
      </c>
      <c r="B59" s="183" t="str">
        <f t="shared" si="5"/>
        <v>164.3</v>
      </c>
      <c r="C59" s="184" t="s">
        <v>999</v>
      </c>
      <c r="D59" t="s">
        <v>1000</v>
      </c>
      <c r="E59" s="470"/>
      <c r="F59" s="470"/>
      <c r="G59" s="175">
        <v>0</v>
      </c>
      <c r="H59" s="175">
        <v>0</v>
      </c>
      <c r="I59" s="175">
        <v>0</v>
      </c>
      <c r="J59" s="175">
        <v>0</v>
      </c>
      <c r="K59" s="175">
        <v>0</v>
      </c>
      <c r="L59" s="175">
        <v>0</v>
      </c>
      <c r="M59" s="175">
        <v>0</v>
      </c>
      <c r="N59" s="175">
        <v>0</v>
      </c>
      <c r="O59" s="175">
        <v>0</v>
      </c>
      <c r="P59" s="175">
        <v>0</v>
      </c>
      <c r="Q59" s="175">
        <v>0</v>
      </c>
      <c r="R59" s="175">
        <v>0</v>
      </c>
      <c r="S59" s="175">
        <v>0</v>
      </c>
      <c r="U59" s="175">
        <f t="shared" si="6"/>
        <v>0</v>
      </c>
    </row>
    <row r="60" spans="1:21">
      <c r="A60" s="183" t="str">
        <f t="shared" si="4"/>
        <v>165</v>
      </c>
      <c r="B60" s="183" t="str">
        <f t="shared" si="5"/>
        <v>165.0</v>
      </c>
      <c r="C60" s="184" t="s">
        <v>1001</v>
      </c>
      <c r="D60" t="s">
        <v>283</v>
      </c>
      <c r="E60" s="470"/>
      <c r="F60" s="470"/>
      <c r="G60" s="175">
        <v>23846321.866719801</v>
      </c>
      <c r="H60" s="175">
        <v>26545217.4082768</v>
      </c>
      <c r="I60" s="175">
        <v>23099631.387729701</v>
      </c>
      <c r="J60" s="175">
        <v>34167462.464924999</v>
      </c>
      <c r="K60" s="175">
        <v>30083894.3493618</v>
      </c>
      <c r="L60" s="175">
        <v>26174077.231496599</v>
      </c>
      <c r="M60" s="175">
        <v>42599036.225499198</v>
      </c>
      <c r="N60" s="175">
        <v>40940094.114392601</v>
      </c>
      <c r="O60" s="175">
        <v>37304571.302171201</v>
      </c>
      <c r="P60" s="175">
        <v>32990471.889352299</v>
      </c>
      <c r="Q60" s="175">
        <v>29666102.099628899</v>
      </c>
      <c r="R60" s="175">
        <v>26490491.907150801</v>
      </c>
      <c r="S60" s="175">
        <v>24364502.786596298</v>
      </c>
      <c r="U60" s="175">
        <f t="shared" si="6"/>
        <v>30636298.079484697</v>
      </c>
    </row>
    <row r="61" spans="1:21">
      <c r="A61" s="183" t="str">
        <f t="shared" si="4"/>
        <v>171</v>
      </c>
      <c r="B61" s="183" t="str">
        <f t="shared" si="5"/>
        <v>171.0</v>
      </c>
      <c r="C61" s="184" t="s">
        <v>1002</v>
      </c>
      <c r="D61" t="s">
        <v>1003</v>
      </c>
      <c r="E61" s="470"/>
      <c r="F61" s="470"/>
      <c r="G61" s="175">
        <v>0</v>
      </c>
      <c r="H61" s="175">
        <v>0</v>
      </c>
      <c r="I61" s="175">
        <v>0</v>
      </c>
      <c r="J61" s="175">
        <v>0</v>
      </c>
      <c r="K61" s="175">
        <v>0</v>
      </c>
      <c r="L61" s="175">
        <v>0</v>
      </c>
      <c r="M61" s="175">
        <v>0</v>
      </c>
      <c r="N61" s="175">
        <v>0</v>
      </c>
      <c r="O61" s="175">
        <v>0</v>
      </c>
      <c r="P61" s="175">
        <v>0</v>
      </c>
      <c r="Q61" s="175">
        <v>0</v>
      </c>
      <c r="R61" s="175">
        <v>0</v>
      </c>
      <c r="S61" s="175">
        <v>0</v>
      </c>
      <c r="U61" s="175">
        <f t="shared" si="6"/>
        <v>0</v>
      </c>
    </row>
    <row r="62" spans="1:21">
      <c r="A62" s="183" t="str">
        <f t="shared" si="4"/>
        <v>172</v>
      </c>
      <c r="B62" s="183" t="str">
        <f t="shared" si="5"/>
        <v>172.0</v>
      </c>
      <c r="C62" s="184" t="s">
        <v>1004</v>
      </c>
      <c r="D62" t="s">
        <v>1005</v>
      </c>
      <c r="E62" s="470"/>
      <c r="F62" s="470"/>
      <c r="G62" s="175">
        <v>0</v>
      </c>
      <c r="H62" s="175">
        <v>0</v>
      </c>
      <c r="I62" s="175">
        <v>0</v>
      </c>
      <c r="J62" s="175">
        <v>0</v>
      </c>
      <c r="K62" s="175">
        <v>0</v>
      </c>
      <c r="L62" s="175">
        <v>0</v>
      </c>
      <c r="M62" s="175">
        <v>0</v>
      </c>
      <c r="N62" s="175">
        <v>0</v>
      </c>
      <c r="O62" s="175">
        <v>0</v>
      </c>
      <c r="P62" s="175">
        <v>0</v>
      </c>
      <c r="Q62" s="175">
        <v>0</v>
      </c>
      <c r="R62" s="175">
        <v>0</v>
      </c>
      <c r="S62" s="175">
        <v>0</v>
      </c>
      <c r="U62" s="175">
        <f t="shared" si="6"/>
        <v>0</v>
      </c>
    </row>
    <row r="63" spans="1:21">
      <c r="A63" s="183" t="str">
        <f t="shared" si="4"/>
        <v>173</v>
      </c>
      <c r="B63" s="183" t="str">
        <f t="shared" si="5"/>
        <v>173.0</v>
      </c>
      <c r="C63" s="184" t="s">
        <v>1006</v>
      </c>
      <c r="D63" t="s">
        <v>1007</v>
      </c>
      <c r="E63" s="470"/>
      <c r="F63" s="470"/>
      <c r="G63" s="175">
        <v>73385642.000000104</v>
      </c>
      <c r="H63" s="175">
        <v>71061000.329999998</v>
      </c>
      <c r="I63" s="175">
        <v>65978523</v>
      </c>
      <c r="J63" s="175">
        <v>70682536</v>
      </c>
      <c r="K63" s="175">
        <v>75107868</v>
      </c>
      <c r="L63" s="175">
        <v>85428984</v>
      </c>
      <c r="M63" s="175">
        <v>89018443</v>
      </c>
      <c r="N63" s="175">
        <v>91484849</v>
      </c>
      <c r="O63" s="175">
        <v>96122569</v>
      </c>
      <c r="P63" s="175">
        <v>87044014</v>
      </c>
      <c r="Q63" s="175">
        <v>82054446</v>
      </c>
      <c r="R63" s="175">
        <v>72861231</v>
      </c>
      <c r="S63" s="175">
        <v>73315543</v>
      </c>
      <c r="U63" s="175">
        <f t="shared" si="6"/>
        <v>79503511.410000011</v>
      </c>
    </row>
    <row r="64" spans="1:21">
      <c r="A64" s="183" t="str">
        <f t="shared" si="4"/>
        <v>174</v>
      </c>
      <c r="B64" s="183" t="str">
        <f t="shared" si="5"/>
        <v>174.0</v>
      </c>
      <c r="C64" s="184" t="s">
        <v>1008</v>
      </c>
      <c r="D64" t="s">
        <v>1009</v>
      </c>
      <c r="E64" s="470"/>
      <c r="F64" s="470"/>
      <c r="G64" s="175">
        <v>0</v>
      </c>
      <c r="H64" s="175">
        <v>0</v>
      </c>
      <c r="I64" s="175">
        <v>0</v>
      </c>
      <c r="J64" s="175">
        <v>0</v>
      </c>
      <c r="K64" s="175">
        <v>0</v>
      </c>
      <c r="L64" s="175">
        <v>0</v>
      </c>
      <c r="M64" s="175">
        <v>0</v>
      </c>
      <c r="N64" s="175">
        <v>0</v>
      </c>
      <c r="O64" s="175">
        <v>0</v>
      </c>
      <c r="P64" s="175">
        <v>0</v>
      </c>
      <c r="Q64" s="175">
        <v>0</v>
      </c>
      <c r="R64" s="175">
        <v>0</v>
      </c>
      <c r="S64" s="175">
        <v>0</v>
      </c>
      <c r="U64" s="175">
        <f t="shared" si="6"/>
        <v>0</v>
      </c>
    </row>
    <row r="65" spans="1:21">
      <c r="A65" s="183" t="str">
        <f t="shared" si="4"/>
        <v>176</v>
      </c>
      <c r="B65" s="183" t="str">
        <f t="shared" si="5"/>
        <v>176.0</v>
      </c>
      <c r="C65" s="184" t="s">
        <v>1010</v>
      </c>
      <c r="D65" t="s">
        <v>1011</v>
      </c>
      <c r="E65" s="470"/>
      <c r="F65" s="470"/>
      <c r="G65" s="175">
        <v>528000</v>
      </c>
      <c r="H65" s="175">
        <v>528000</v>
      </c>
      <c r="I65" s="175">
        <v>528000</v>
      </c>
      <c r="J65" s="175">
        <v>528000</v>
      </c>
      <c r="K65" s="175">
        <v>528000</v>
      </c>
      <c r="L65" s="175">
        <v>528000</v>
      </c>
      <c r="M65" s="175">
        <v>528000</v>
      </c>
      <c r="N65" s="175">
        <v>528000</v>
      </c>
      <c r="O65" s="175">
        <v>528000</v>
      </c>
      <c r="P65" s="175">
        <v>528000</v>
      </c>
      <c r="Q65" s="175">
        <v>528000</v>
      </c>
      <c r="R65" s="175">
        <v>528000</v>
      </c>
      <c r="S65" s="175">
        <v>528000</v>
      </c>
      <c r="U65" s="175">
        <f t="shared" si="6"/>
        <v>528000</v>
      </c>
    </row>
    <row r="66" spans="1:21">
      <c r="A66" s="183" t="str">
        <f t="shared" si="4"/>
        <v>181</v>
      </c>
      <c r="B66" s="183" t="str">
        <f t="shared" si="5"/>
        <v>181.0</v>
      </c>
      <c r="C66" s="184" t="s">
        <v>1012</v>
      </c>
      <c r="D66" t="s">
        <v>420</v>
      </c>
      <c r="E66" s="470"/>
      <c r="F66" s="470"/>
      <c r="G66" s="175">
        <v>28016997.84</v>
      </c>
      <c r="H66" s="175">
        <v>27868408.309999999</v>
      </c>
      <c r="I66" s="175">
        <v>27703176.84</v>
      </c>
      <c r="J66" s="175">
        <v>30046266.34</v>
      </c>
      <c r="K66" s="175">
        <v>29868522.84</v>
      </c>
      <c r="L66" s="175">
        <v>29690779.34</v>
      </c>
      <c r="M66" s="175">
        <v>29325534.84</v>
      </c>
      <c r="N66" s="175">
        <v>29147791.34</v>
      </c>
      <c r="O66" s="175">
        <v>28970047.84</v>
      </c>
      <c r="P66" s="175">
        <v>28792304.34</v>
      </c>
      <c r="Q66" s="175">
        <v>28614560.84</v>
      </c>
      <c r="R66" s="175">
        <v>28436817.34</v>
      </c>
      <c r="S66" s="175">
        <v>28259073.84</v>
      </c>
      <c r="U66" s="175">
        <f t="shared" si="6"/>
        <v>28826175.529999994</v>
      </c>
    </row>
    <row r="67" spans="1:21">
      <c r="A67" s="183" t="str">
        <f t="shared" si="4"/>
        <v>182</v>
      </c>
      <c r="B67" s="183" t="str">
        <f t="shared" si="5"/>
        <v>182.1</v>
      </c>
      <c r="C67" s="184" t="s">
        <v>1013</v>
      </c>
      <c r="D67" t="s">
        <v>1014</v>
      </c>
      <c r="E67" s="470"/>
      <c r="F67" s="470"/>
      <c r="G67" s="175">
        <v>0</v>
      </c>
      <c r="H67" s="175">
        <v>0</v>
      </c>
      <c r="I67" s="175">
        <v>0</v>
      </c>
      <c r="J67" s="175">
        <v>0</v>
      </c>
      <c r="K67" s="175">
        <v>0</v>
      </c>
      <c r="L67" s="175">
        <v>0</v>
      </c>
      <c r="M67" s="175">
        <v>0</v>
      </c>
      <c r="N67" s="175">
        <v>0</v>
      </c>
      <c r="O67" s="175">
        <v>0</v>
      </c>
      <c r="P67" s="175">
        <v>0</v>
      </c>
      <c r="Q67" s="175">
        <v>0</v>
      </c>
      <c r="R67" s="175">
        <v>0</v>
      </c>
      <c r="S67" s="175">
        <v>0</v>
      </c>
      <c r="U67" s="175">
        <f t="shared" si="6"/>
        <v>0</v>
      </c>
    </row>
    <row r="68" spans="1:21">
      <c r="A68" s="183" t="str">
        <f t="shared" si="4"/>
        <v>182</v>
      </c>
      <c r="B68" s="183" t="str">
        <f t="shared" si="5"/>
        <v>182.2</v>
      </c>
      <c r="C68" s="184" t="s">
        <v>1015</v>
      </c>
      <c r="D68" t="s">
        <v>1016</v>
      </c>
      <c r="E68" s="470"/>
      <c r="F68" s="470"/>
      <c r="G68" s="175">
        <v>513605341.39999968</v>
      </c>
      <c r="H68" s="175">
        <v>512260890.95000011</v>
      </c>
      <c r="I68" s="175">
        <v>513735596.5199995</v>
      </c>
      <c r="J68" s="175">
        <v>515600746.05999988</v>
      </c>
      <c r="K68" s="175">
        <v>517227295.59999973</v>
      </c>
      <c r="L68" s="175">
        <v>518772845.1699996</v>
      </c>
      <c r="M68" s="175">
        <v>520367394.72000033</v>
      </c>
      <c r="N68" s="175">
        <v>522210322.26999938</v>
      </c>
      <c r="O68" s="175">
        <v>524635771.81999952</v>
      </c>
      <c r="P68" s="175">
        <v>525878120.35999978</v>
      </c>
      <c r="Q68" s="175">
        <v>527822569.91000021</v>
      </c>
      <c r="R68" s="175">
        <v>528162119.44999993</v>
      </c>
      <c r="S68" s="175">
        <v>530727869.04999948</v>
      </c>
      <c r="U68" s="175">
        <f t="shared" si="6"/>
        <v>520846683.32923055</v>
      </c>
    </row>
    <row r="69" spans="1:21">
      <c r="A69" s="183" t="str">
        <f t="shared" si="4"/>
        <v>182</v>
      </c>
      <c r="B69" s="183" t="str">
        <f t="shared" si="5"/>
        <v>182.3</v>
      </c>
      <c r="C69" s="184" t="s">
        <v>1017</v>
      </c>
      <c r="D69" t="s">
        <v>585</v>
      </c>
      <c r="E69" s="470"/>
      <c r="F69" s="470"/>
      <c r="G69" s="175">
        <v>378787084.83279461</v>
      </c>
      <c r="H69" s="175">
        <v>380699260.39996022</v>
      </c>
      <c r="I69" s="175">
        <v>386502976.2007736</v>
      </c>
      <c r="J69" s="175">
        <v>389282707.28508371</v>
      </c>
      <c r="K69" s="175">
        <v>397658927.54175192</v>
      </c>
      <c r="L69" s="175">
        <v>399112244.58260459</v>
      </c>
      <c r="M69" s="175">
        <v>398788663.77173507</v>
      </c>
      <c r="N69" s="175">
        <v>397872980.11063689</v>
      </c>
      <c r="O69" s="175">
        <v>397216611.64973718</v>
      </c>
      <c r="P69" s="175">
        <v>396492422.82341319</v>
      </c>
      <c r="Q69" s="175">
        <v>397198336.69000483</v>
      </c>
      <c r="R69" s="175">
        <v>399664799.22150809</v>
      </c>
      <c r="S69" s="175">
        <v>402878903.97367728</v>
      </c>
      <c r="U69" s="175">
        <f t="shared" si="6"/>
        <v>394011993.77566785</v>
      </c>
    </row>
    <row r="70" spans="1:21">
      <c r="A70" s="183" t="str">
        <f t="shared" si="4"/>
        <v>183</v>
      </c>
      <c r="B70" s="183" t="str">
        <f t="shared" si="5"/>
        <v>183.0</v>
      </c>
      <c r="C70" s="184" t="s">
        <v>1018</v>
      </c>
      <c r="D70" t="s">
        <v>1019</v>
      </c>
      <c r="E70" s="470"/>
      <c r="F70" s="470"/>
      <c r="G70" s="175">
        <v>14320821.550000001</v>
      </c>
      <c r="H70" s="175">
        <v>6756821.5499999998</v>
      </c>
      <c r="I70" s="175">
        <v>6803821.5499999998</v>
      </c>
      <c r="J70" s="175">
        <v>6884821.5499999998</v>
      </c>
      <c r="K70" s="175">
        <v>6952821.5499999998</v>
      </c>
      <c r="L70" s="175">
        <v>6990821.5499999998</v>
      </c>
      <c r="M70" s="175">
        <v>7028821.5499999998</v>
      </c>
      <c r="N70" s="175">
        <v>7091821.5499999998</v>
      </c>
      <c r="O70" s="175">
        <v>7129821.5499999998</v>
      </c>
      <c r="P70" s="175">
        <v>3866821.55</v>
      </c>
      <c r="Q70" s="175">
        <v>3904821.55</v>
      </c>
      <c r="R70" s="175">
        <v>3942821.55</v>
      </c>
      <c r="S70" s="175">
        <v>3692821.55</v>
      </c>
      <c r="U70" s="175">
        <f t="shared" si="6"/>
        <v>6566744.6269230749</v>
      </c>
    </row>
    <row r="71" spans="1:21">
      <c r="A71" s="183" t="str">
        <f t="shared" ref="A71:A134" si="7">MID(C71,2,3)</f>
        <v>183</v>
      </c>
      <c r="B71" s="183" t="str">
        <f t="shared" ref="B71:B134" si="8">MID(C71,2,3)&amp;"."&amp;MID(C71,5,1)</f>
        <v>183.1</v>
      </c>
      <c r="C71" s="184" t="s">
        <v>1020</v>
      </c>
      <c r="D71" t="s">
        <v>1021</v>
      </c>
      <c r="E71" s="470"/>
      <c r="F71" s="470"/>
      <c r="G71" s="175">
        <v>0</v>
      </c>
      <c r="H71" s="175">
        <v>0</v>
      </c>
      <c r="I71" s="175">
        <v>0</v>
      </c>
      <c r="J71" s="175">
        <v>0</v>
      </c>
      <c r="K71" s="175">
        <v>0</v>
      </c>
      <c r="L71" s="175">
        <v>0</v>
      </c>
      <c r="M71" s="175">
        <v>0</v>
      </c>
      <c r="N71" s="175">
        <v>0</v>
      </c>
      <c r="O71" s="175">
        <v>0</v>
      </c>
      <c r="P71" s="175">
        <v>0</v>
      </c>
      <c r="Q71" s="175">
        <v>0</v>
      </c>
      <c r="R71" s="175">
        <v>0</v>
      </c>
      <c r="S71" s="175">
        <v>0</v>
      </c>
      <c r="U71" s="175">
        <f t="shared" ref="U71:U134" si="9">AVERAGE(G71:S71)</f>
        <v>0</v>
      </c>
    </row>
    <row r="72" spans="1:21">
      <c r="A72" s="183" t="str">
        <f t="shared" si="7"/>
        <v>183</v>
      </c>
      <c r="B72" s="183" t="str">
        <f t="shared" si="8"/>
        <v>183.2</v>
      </c>
      <c r="C72" s="184" t="s">
        <v>1022</v>
      </c>
      <c r="D72" t="s">
        <v>1023</v>
      </c>
      <c r="E72" s="470"/>
      <c r="F72" s="470"/>
      <c r="G72" s="175">
        <v>0</v>
      </c>
      <c r="H72" s="175">
        <v>0</v>
      </c>
      <c r="I72" s="175">
        <v>0</v>
      </c>
      <c r="J72" s="175">
        <v>0</v>
      </c>
      <c r="K72" s="175">
        <v>0</v>
      </c>
      <c r="L72" s="175">
        <v>0</v>
      </c>
      <c r="M72" s="175">
        <v>0</v>
      </c>
      <c r="N72" s="175">
        <v>0</v>
      </c>
      <c r="O72" s="175">
        <v>0</v>
      </c>
      <c r="P72" s="175">
        <v>0</v>
      </c>
      <c r="Q72" s="175">
        <v>0</v>
      </c>
      <c r="R72" s="175">
        <v>0</v>
      </c>
      <c r="S72" s="175">
        <v>0</v>
      </c>
      <c r="U72" s="175">
        <f t="shared" si="9"/>
        <v>0</v>
      </c>
    </row>
    <row r="73" spans="1:21">
      <c r="A73" s="183" t="str">
        <f t="shared" si="7"/>
        <v>184</v>
      </c>
      <c r="B73" s="183" t="str">
        <f t="shared" si="8"/>
        <v>184.0</v>
      </c>
      <c r="C73" s="184" t="s">
        <v>1024</v>
      </c>
      <c r="D73" t="s">
        <v>291</v>
      </c>
      <c r="E73" s="470"/>
      <c r="F73" s="470"/>
      <c r="G73" s="175">
        <v>0</v>
      </c>
      <c r="H73" s="175">
        <v>0</v>
      </c>
      <c r="I73" s="175">
        <v>0</v>
      </c>
      <c r="J73" s="175">
        <v>0</v>
      </c>
      <c r="K73" s="175">
        <v>0</v>
      </c>
      <c r="L73" s="175">
        <v>0</v>
      </c>
      <c r="M73" s="175">
        <v>0</v>
      </c>
      <c r="N73" s="175">
        <v>0</v>
      </c>
      <c r="O73" s="175">
        <v>0</v>
      </c>
      <c r="P73" s="175">
        <v>0</v>
      </c>
      <c r="Q73" s="175">
        <v>0</v>
      </c>
      <c r="R73" s="175">
        <v>0</v>
      </c>
      <c r="S73" s="175">
        <v>0</v>
      </c>
      <c r="U73" s="175">
        <f t="shared" si="9"/>
        <v>0</v>
      </c>
    </row>
    <row r="74" spans="1:21">
      <c r="A74" s="183" t="str">
        <f t="shared" si="7"/>
        <v>184</v>
      </c>
      <c r="B74" s="183" t="str">
        <f t="shared" si="8"/>
        <v>184.1</v>
      </c>
      <c r="C74" s="184" t="s">
        <v>1025</v>
      </c>
      <c r="D74" t="s">
        <v>1026</v>
      </c>
      <c r="E74" s="470"/>
      <c r="F74" s="470"/>
      <c r="G74" s="175">
        <v>0</v>
      </c>
      <c r="H74" s="175">
        <v>0</v>
      </c>
      <c r="I74" s="175">
        <v>0</v>
      </c>
      <c r="J74" s="175">
        <v>0</v>
      </c>
      <c r="K74" s="175">
        <v>0</v>
      </c>
      <c r="L74" s="175">
        <v>0</v>
      </c>
      <c r="M74" s="175">
        <v>0</v>
      </c>
      <c r="N74" s="175">
        <v>0</v>
      </c>
      <c r="O74" s="175">
        <v>0</v>
      </c>
      <c r="P74" s="175">
        <v>0</v>
      </c>
      <c r="Q74" s="175">
        <v>0</v>
      </c>
      <c r="R74" s="175">
        <v>0</v>
      </c>
      <c r="S74" s="175">
        <v>0</v>
      </c>
      <c r="U74" s="175">
        <f t="shared" si="9"/>
        <v>0</v>
      </c>
    </row>
    <row r="75" spans="1:21">
      <c r="A75" s="183" t="str">
        <f t="shared" si="7"/>
        <v>186</v>
      </c>
      <c r="B75" s="183" t="str">
        <f t="shared" si="8"/>
        <v>186.0</v>
      </c>
      <c r="C75" s="184" t="s">
        <v>1027</v>
      </c>
      <c r="D75" t="s">
        <v>1028</v>
      </c>
      <c r="E75" s="470"/>
      <c r="F75" s="470"/>
      <c r="G75" s="175">
        <v>5745292.6600000001</v>
      </c>
      <c r="H75" s="175">
        <v>3140028.57</v>
      </c>
      <c r="I75" s="175">
        <v>3275627.1</v>
      </c>
      <c r="J75" s="175">
        <v>3040416.04</v>
      </c>
      <c r="K75" s="175">
        <v>2954192.99</v>
      </c>
      <c r="L75" s="175">
        <v>2828625.98</v>
      </c>
      <c r="M75" s="175">
        <v>3118578.89</v>
      </c>
      <c r="N75" s="175">
        <v>5276054.87</v>
      </c>
      <c r="O75" s="175">
        <v>5607650.6799999997</v>
      </c>
      <c r="P75" s="175">
        <v>5263817.9400000004</v>
      </c>
      <c r="Q75" s="175">
        <v>5144099.05</v>
      </c>
      <c r="R75" s="175">
        <v>5053512.88</v>
      </c>
      <c r="S75" s="175">
        <v>2988385.36</v>
      </c>
      <c r="U75" s="175">
        <f t="shared" si="9"/>
        <v>4110483.3084615385</v>
      </c>
    </row>
    <row r="76" spans="1:21">
      <c r="A76" s="183" t="str">
        <f t="shared" si="7"/>
        <v>187</v>
      </c>
      <c r="B76" s="183" t="str">
        <f t="shared" si="8"/>
        <v>187.0</v>
      </c>
      <c r="C76" s="184" t="s">
        <v>1029</v>
      </c>
      <c r="D76" t="s">
        <v>1030</v>
      </c>
      <c r="E76" s="470"/>
      <c r="F76" s="470"/>
      <c r="G76" s="175">
        <v>0</v>
      </c>
      <c r="H76" s="175">
        <v>0</v>
      </c>
      <c r="I76" s="175">
        <v>0</v>
      </c>
      <c r="J76" s="175">
        <v>0</v>
      </c>
      <c r="K76" s="175">
        <v>0</v>
      </c>
      <c r="L76" s="175">
        <v>0</v>
      </c>
      <c r="M76" s="175">
        <v>0</v>
      </c>
      <c r="N76" s="175">
        <v>0</v>
      </c>
      <c r="O76" s="175">
        <v>0</v>
      </c>
      <c r="P76" s="175">
        <v>0</v>
      </c>
      <c r="Q76" s="175">
        <v>0</v>
      </c>
      <c r="R76" s="175">
        <v>0</v>
      </c>
      <c r="S76" s="175">
        <v>0</v>
      </c>
      <c r="U76" s="175">
        <f t="shared" si="9"/>
        <v>0</v>
      </c>
    </row>
    <row r="77" spans="1:21">
      <c r="A77" s="183" t="str">
        <f t="shared" si="7"/>
        <v>188</v>
      </c>
      <c r="B77" s="183" t="str">
        <f t="shared" si="8"/>
        <v>188.0</v>
      </c>
      <c r="C77" s="184" t="s">
        <v>1031</v>
      </c>
      <c r="D77" t="s">
        <v>1032</v>
      </c>
      <c r="E77" s="470"/>
      <c r="F77" s="470"/>
      <c r="G77" s="175">
        <v>0</v>
      </c>
      <c r="H77" s="175">
        <v>0</v>
      </c>
      <c r="I77" s="175">
        <v>0</v>
      </c>
      <c r="J77" s="175">
        <v>0</v>
      </c>
      <c r="K77" s="175">
        <v>0</v>
      </c>
      <c r="L77" s="175">
        <v>0</v>
      </c>
      <c r="M77" s="175">
        <v>0</v>
      </c>
      <c r="N77" s="175">
        <v>0</v>
      </c>
      <c r="O77" s="175">
        <v>0</v>
      </c>
      <c r="P77" s="175">
        <v>0</v>
      </c>
      <c r="Q77" s="175">
        <v>0</v>
      </c>
      <c r="R77" s="175">
        <v>0</v>
      </c>
      <c r="S77" s="175">
        <v>0</v>
      </c>
      <c r="U77" s="175">
        <f t="shared" si="9"/>
        <v>0</v>
      </c>
    </row>
    <row r="78" spans="1:21">
      <c r="A78" s="183" t="str">
        <f t="shared" si="7"/>
        <v>189</v>
      </c>
      <c r="B78" s="183" t="str">
        <f t="shared" si="8"/>
        <v>189.0</v>
      </c>
      <c r="C78" s="184" t="s">
        <v>1033</v>
      </c>
      <c r="D78" t="s">
        <v>430</v>
      </c>
      <c r="E78" s="470"/>
      <c r="F78" s="470"/>
      <c r="G78" s="175">
        <v>2534873.92</v>
      </c>
      <c r="H78" s="175">
        <v>2885186.19</v>
      </c>
      <c r="I78" s="175">
        <v>2853339.62</v>
      </c>
      <c r="J78" s="175">
        <v>2821493.05</v>
      </c>
      <c r="K78" s="175">
        <v>2789646.48</v>
      </c>
      <c r="L78" s="175">
        <v>2757799.91</v>
      </c>
      <c r="M78" s="175">
        <v>2725953.34</v>
      </c>
      <c r="N78" s="175">
        <v>2694106.77</v>
      </c>
      <c r="O78" s="175">
        <v>2662260.2000000002</v>
      </c>
      <c r="P78" s="175">
        <v>2630413.63</v>
      </c>
      <c r="Q78" s="175">
        <v>2598567.06</v>
      </c>
      <c r="R78" s="175">
        <v>2566720.4900000002</v>
      </c>
      <c r="S78" s="175">
        <v>2534873.92</v>
      </c>
      <c r="U78" s="175">
        <f t="shared" si="9"/>
        <v>2696556.5061538462</v>
      </c>
    </row>
    <row r="79" spans="1:21">
      <c r="A79" s="183" t="str">
        <f t="shared" si="7"/>
        <v>190</v>
      </c>
      <c r="B79" s="183" t="str">
        <f t="shared" si="8"/>
        <v>190.0</v>
      </c>
      <c r="C79" s="184" t="s">
        <v>1034</v>
      </c>
      <c r="D79" t="s">
        <v>1035</v>
      </c>
      <c r="E79" s="470"/>
      <c r="F79" s="470"/>
      <c r="G79" s="175">
        <v>768014366.90999973</v>
      </c>
      <c r="H79" s="175">
        <v>771155590.33999956</v>
      </c>
      <c r="I79" s="175">
        <v>793953966.1699996</v>
      </c>
      <c r="J79" s="175">
        <v>797202290.07999957</v>
      </c>
      <c r="K79" s="175">
        <v>834679557.77999961</v>
      </c>
      <c r="L79" s="175">
        <v>839628076.81999969</v>
      </c>
      <c r="M79" s="175">
        <v>843501754.56999969</v>
      </c>
      <c r="N79" s="175">
        <v>847516117.98999965</v>
      </c>
      <c r="O79" s="175">
        <v>851727128.65999973</v>
      </c>
      <c r="P79" s="175">
        <v>854909995.92999971</v>
      </c>
      <c r="Q79" s="175">
        <v>858928000.52999973</v>
      </c>
      <c r="R79" s="175">
        <v>862235894.78999972</v>
      </c>
      <c r="S79" s="175">
        <v>866921800.00999975</v>
      </c>
      <c r="U79" s="175">
        <f t="shared" si="9"/>
        <v>830028810.81384587</v>
      </c>
    </row>
    <row r="80" spans="1:21">
      <c r="A80" s="183" t="str">
        <f t="shared" si="7"/>
        <v>191</v>
      </c>
      <c r="B80" s="183" t="str">
        <f t="shared" si="8"/>
        <v>191.0</v>
      </c>
      <c r="C80" s="184" t="s">
        <v>1036</v>
      </c>
      <c r="D80" t="s">
        <v>1037</v>
      </c>
      <c r="E80" s="470"/>
      <c r="F80" s="470"/>
      <c r="G80" s="175">
        <v>0</v>
      </c>
      <c r="H80" s="175">
        <v>0</v>
      </c>
      <c r="I80" s="175">
        <v>0</v>
      </c>
      <c r="J80" s="175">
        <v>0</v>
      </c>
      <c r="K80" s="175">
        <v>0</v>
      </c>
      <c r="L80" s="175">
        <v>0</v>
      </c>
      <c r="M80" s="175">
        <v>0</v>
      </c>
      <c r="N80" s="175">
        <v>0</v>
      </c>
      <c r="O80" s="175">
        <v>0</v>
      </c>
      <c r="P80" s="175">
        <v>0</v>
      </c>
      <c r="Q80" s="175">
        <v>0</v>
      </c>
      <c r="R80" s="175">
        <v>0</v>
      </c>
      <c r="S80" s="175">
        <v>0</v>
      </c>
      <c r="U80" s="175">
        <f t="shared" si="9"/>
        <v>0</v>
      </c>
    </row>
    <row r="81" spans="1:21">
      <c r="A81" s="183" t="str">
        <f t="shared" si="7"/>
        <v>201</v>
      </c>
      <c r="B81" s="183" t="str">
        <f t="shared" si="8"/>
        <v>201.0</v>
      </c>
      <c r="C81" s="184" t="s">
        <v>1038</v>
      </c>
      <c r="D81" t="s">
        <v>1039</v>
      </c>
      <c r="E81" s="470"/>
      <c r="F81" s="470"/>
      <c r="G81" s="175">
        <v>119696800</v>
      </c>
      <c r="H81" s="175">
        <v>119696800</v>
      </c>
      <c r="I81" s="175">
        <v>119696800</v>
      </c>
      <c r="J81" s="175">
        <v>119696800</v>
      </c>
      <c r="K81" s="175">
        <v>119696800</v>
      </c>
      <c r="L81" s="175">
        <v>119696800</v>
      </c>
      <c r="M81" s="175">
        <v>119696800</v>
      </c>
      <c r="N81" s="175">
        <v>119696800</v>
      </c>
      <c r="O81" s="175">
        <v>119696800</v>
      </c>
      <c r="P81" s="175">
        <v>119696800</v>
      </c>
      <c r="Q81" s="175">
        <v>119696800</v>
      </c>
      <c r="R81" s="175">
        <v>119696800</v>
      </c>
      <c r="S81" s="175">
        <v>119696800</v>
      </c>
      <c r="U81" s="175">
        <f t="shared" si="9"/>
        <v>119696800</v>
      </c>
    </row>
    <row r="82" spans="1:21">
      <c r="A82" s="183" t="str">
        <f t="shared" si="7"/>
        <v>207</v>
      </c>
      <c r="B82" s="183" t="str">
        <f t="shared" si="8"/>
        <v>207.0</v>
      </c>
      <c r="C82" s="184" t="s">
        <v>1040</v>
      </c>
      <c r="D82" t="s">
        <v>1041</v>
      </c>
      <c r="E82" s="470"/>
      <c r="F82" s="470"/>
      <c r="G82" s="175">
        <v>0</v>
      </c>
      <c r="H82" s="175">
        <v>0</v>
      </c>
      <c r="I82" s="175">
        <v>0</v>
      </c>
      <c r="J82" s="175">
        <v>0</v>
      </c>
      <c r="K82" s="175">
        <v>0</v>
      </c>
      <c r="L82" s="175">
        <v>0</v>
      </c>
      <c r="M82" s="175">
        <v>0</v>
      </c>
      <c r="N82" s="175">
        <v>0</v>
      </c>
      <c r="O82" s="175">
        <v>0</v>
      </c>
      <c r="P82" s="175">
        <v>0</v>
      </c>
      <c r="Q82" s="175">
        <v>0</v>
      </c>
      <c r="R82" s="175">
        <v>0</v>
      </c>
      <c r="S82" s="175">
        <v>0</v>
      </c>
      <c r="U82" s="175">
        <f t="shared" si="9"/>
        <v>0</v>
      </c>
    </row>
    <row r="83" spans="1:21">
      <c r="A83" s="183" t="str">
        <f t="shared" si="7"/>
        <v>208</v>
      </c>
      <c r="B83" s="183" t="str">
        <f t="shared" si="8"/>
        <v>208.0</v>
      </c>
      <c r="C83" s="184" t="s">
        <v>1042</v>
      </c>
      <c r="D83" t="s">
        <v>1043</v>
      </c>
      <c r="E83" s="470"/>
      <c r="F83" s="470"/>
      <c r="G83" s="175">
        <v>0</v>
      </c>
      <c r="H83" s="175">
        <v>0</v>
      </c>
      <c r="I83" s="175">
        <v>0</v>
      </c>
      <c r="J83" s="175">
        <v>0</v>
      </c>
      <c r="K83" s="175">
        <v>0</v>
      </c>
      <c r="L83" s="175">
        <v>0</v>
      </c>
      <c r="M83" s="175">
        <v>0</v>
      </c>
      <c r="N83" s="175">
        <v>0</v>
      </c>
      <c r="O83" s="175">
        <v>0</v>
      </c>
      <c r="P83" s="175">
        <v>0</v>
      </c>
      <c r="Q83" s="175">
        <v>0</v>
      </c>
      <c r="R83" s="175">
        <v>0</v>
      </c>
      <c r="S83" s="175">
        <v>0</v>
      </c>
      <c r="U83" s="175">
        <f t="shared" si="9"/>
        <v>0</v>
      </c>
    </row>
    <row r="84" spans="1:21">
      <c r="A84" s="183" t="str">
        <f t="shared" si="7"/>
        <v>211</v>
      </c>
      <c r="B84" s="183" t="str">
        <f t="shared" si="8"/>
        <v>211.0</v>
      </c>
      <c r="C84" s="184" t="s">
        <v>1044</v>
      </c>
      <c r="D84" t="s">
        <v>1045</v>
      </c>
      <c r="E84" s="470"/>
      <c r="F84" s="470"/>
      <c r="G84" s="175">
        <v>4985840200</v>
      </c>
      <c r="H84" s="175">
        <v>4985840200</v>
      </c>
      <c r="I84" s="175">
        <v>5145840200</v>
      </c>
      <c r="J84" s="175">
        <v>5145840200</v>
      </c>
      <c r="K84" s="175">
        <v>5145840200</v>
      </c>
      <c r="L84" s="175">
        <v>5300840200</v>
      </c>
      <c r="M84" s="175">
        <v>5300840200</v>
      </c>
      <c r="N84" s="175">
        <v>5300840200</v>
      </c>
      <c r="O84" s="175">
        <v>5450840200</v>
      </c>
      <c r="P84" s="175">
        <v>5450840200</v>
      </c>
      <c r="Q84" s="175">
        <v>5450840200</v>
      </c>
      <c r="R84" s="175">
        <v>5565840200</v>
      </c>
      <c r="S84" s="175">
        <v>5565840200</v>
      </c>
      <c r="U84" s="175">
        <f t="shared" si="9"/>
        <v>5291994046.1538458</v>
      </c>
    </row>
    <row r="85" spans="1:21">
      <c r="A85" s="183" t="str">
        <f t="shared" si="7"/>
        <v>214</v>
      </c>
      <c r="B85" s="183" t="str">
        <f t="shared" si="8"/>
        <v>214.0</v>
      </c>
      <c r="C85" s="184" t="s">
        <v>1046</v>
      </c>
      <c r="D85" t="s">
        <v>440</v>
      </c>
      <c r="E85" s="470"/>
      <c r="F85" s="470"/>
      <c r="G85" s="175">
        <v>-700900</v>
      </c>
      <c r="H85" s="175">
        <v>-700900</v>
      </c>
      <c r="I85" s="175">
        <v>-700900</v>
      </c>
      <c r="J85" s="175">
        <v>-700900</v>
      </c>
      <c r="K85" s="175">
        <v>-700900</v>
      </c>
      <c r="L85" s="175">
        <v>-700900</v>
      </c>
      <c r="M85" s="175">
        <v>-700900</v>
      </c>
      <c r="N85" s="175">
        <v>-700900</v>
      </c>
      <c r="O85" s="175">
        <v>-700900</v>
      </c>
      <c r="P85" s="175">
        <v>-700900</v>
      </c>
      <c r="Q85" s="175">
        <v>-700900</v>
      </c>
      <c r="R85" s="175">
        <v>-700900</v>
      </c>
      <c r="S85" s="175">
        <v>-700900</v>
      </c>
      <c r="U85" s="175">
        <f t="shared" si="9"/>
        <v>-700900</v>
      </c>
    </row>
    <row r="86" spans="1:21">
      <c r="A86" s="183" t="str">
        <f t="shared" si="7"/>
        <v>215</v>
      </c>
      <c r="B86" s="183" t="str">
        <f t="shared" si="8"/>
        <v>215.0</v>
      </c>
      <c r="C86" s="184" t="s">
        <v>1047</v>
      </c>
      <c r="D86" t="s">
        <v>1048</v>
      </c>
      <c r="E86" s="470"/>
      <c r="F86" s="470"/>
      <c r="G86" s="175">
        <v>0</v>
      </c>
      <c r="H86" s="175">
        <v>0</v>
      </c>
      <c r="I86" s="175">
        <v>0</v>
      </c>
      <c r="J86" s="175">
        <v>0</v>
      </c>
      <c r="K86" s="175">
        <v>0</v>
      </c>
      <c r="L86" s="175">
        <v>0</v>
      </c>
      <c r="M86" s="175">
        <v>0</v>
      </c>
      <c r="N86" s="175">
        <v>0</v>
      </c>
      <c r="O86" s="175">
        <v>0</v>
      </c>
      <c r="P86" s="175">
        <v>0</v>
      </c>
      <c r="Q86" s="175">
        <v>0</v>
      </c>
      <c r="R86" s="175">
        <v>0</v>
      </c>
      <c r="S86" s="175">
        <v>0</v>
      </c>
      <c r="U86" s="175">
        <f t="shared" si="9"/>
        <v>0</v>
      </c>
    </row>
    <row r="87" spans="1:21">
      <c r="A87" s="183" t="str">
        <f t="shared" si="7"/>
        <v>215</v>
      </c>
      <c r="B87" s="183" t="str">
        <f t="shared" si="8"/>
        <v>215.1</v>
      </c>
      <c r="C87" s="184" t="s">
        <v>1049</v>
      </c>
      <c r="D87" t="s">
        <v>1050</v>
      </c>
      <c r="E87" s="470"/>
      <c r="F87" s="470"/>
      <c r="G87" s="175">
        <v>0</v>
      </c>
      <c r="H87" s="175">
        <v>0</v>
      </c>
      <c r="I87" s="175">
        <v>0</v>
      </c>
      <c r="J87" s="175">
        <v>0</v>
      </c>
      <c r="K87" s="175">
        <v>0</v>
      </c>
      <c r="L87" s="175">
        <v>0</v>
      </c>
      <c r="M87" s="175">
        <v>0</v>
      </c>
      <c r="N87" s="175">
        <v>0</v>
      </c>
      <c r="O87" s="175">
        <v>0</v>
      </c>
      <c r="P87" s="175">
        <v>0</v>
      </c>
      <c r="Q87" s="175">
        <v>0</v>
      </c>
      <c r="R87" s="175">
        <v>0</v>
      </c>
      <c r="S87" s="175">
        <v>0</v>
      </c>
      <c r="U87" s="175">
        <f t="shared" si="9"/>
        <v>0</v>
      </c>
    </row>
    <row r="88" spans="1:21">
      <c r="A88" s="183" t="str">
        <f t="shared" si="7"/>
        <v>216</v>
      </c>
      <c r="B88" s="183" t="str">
        <f t="shared" si="8"/>
        <v>216.0</v>
      </c>
      <c r="C88" s="184" t="s">
        <v>1051</v>
      </c>
      <c r="D88" t="s">
        <v>1052</v>
      </c>
      <c r="E88" s="470"/>
      <c r="F88" s="470"/>
      <c r="G88" s="175">
        <v>220252162.61794201</v>
      </c>
      <c r="H88" s="175">
        <v>249197472.95984101</v>
      </c>
      <c r="I88" s="175">
        <v>187957939.655599</v>
      </c>
      <c r="J88" s="175">
        <v>207636872.95460099</v>
      </c>
      <c r="K88" s="175">
        <v>238440591.93904799</v>
      </c>
      <c r="L88" s="175">
        <v>207498484.991283</v>
      </c>
      <c r="M88" s="175">
        <v>254959369.25075999</v>
      </c>
      <c r="N88" s="175">
        <v>308954616.65669</v>
      </c>
      <c r="O88" s="175">
        <v>242825255.34687701</v>
      </c>
      <c r="P88" s="175">
        <v>294000311.82010603</v>
      </c>
      <c r="Q88" s="175">
        <v>327392874.27941799</v>
      </c>
      <c r="R88" s="175">
        <v>186334372.71725199</v>
      </c>
      <c r="S88" s="175">
        <v>199314502.54972699</v>
      </c>
      <c r="U88" s="175">
        <f t="shared" si="9"/>
        <v>240366525.21070337</v>
      </c>
    </row>
    <row r="89" spans="1:21">
      <c r="A89" s="183" t="str">
        <f t="shared" si="7"/>
        <v>216</v>
      </c>
      <c r="B89" s="183" t="str">
        <f t="shared" si="8"/>
        <v>216.1</v>
      </c>
      <c r="C89" s="184" t="s">
        <v>1053</v>
      </c>
      <c r="D89" t="s">
        <v>1054</v>
      </c>
      <c r="E89" s="470"/>
      <c r="F89" s="470"/>
      <c r="G89" s="175">
        <v>0</v>
      </c>
      <c r="H89" s="175">
        <v>0</v>
      </c>
      <c r="I89" s="175">
        <v>0</v>
      </c>
      <c r="J89" s="175">
        <v>0</v>
      </c>
      <c r="K89" s="175">
        <v>0</v>
      </c>
      <c r="L89" s="175">
        <v>0</v>
      </c>
      <c r="M89" s="175">
        <v>0</v>
      </c>
      <c r="N89" s="175">
        <v>0</v>
      </c>
      <c r="O89" s="175">
        <v>0</v>
      </c>
      <c r="P89" s="175">
        <v>0</v>
      </c>
      <c r="Q89" s="175">
        <v>0</v>
      </c>
      <c r="R89" s="175">
        <v>0</v>
      </c>
      <c r="S89" s="175">
        <v>0</v>
      </c>
      <c r="U89" s="175">
        <f t="shared" si="9"/>
        <v>0</v>
      </c>
    </row>
    <row r="90" spans="1:21">
      <c r="A90" s="183" t="str">
        <f t="shared" si="7"/>
        <v>219</v>
      </c>
      <c r="B90" s="183" t="str">
        <f t="shared" si="8"/>
        <v>219.0</v>
      </c>
      <c r="C90" s="184" t="s">
        <v>1055</v>
      </c>
      <c r="D90" t="s">
        <v>1056</v>
      </c>
      <c r="E90" s="470"/>
      <c r="F90" s="470"/>
      <c r="G90" s="175">
        <v>-639981.06000030006</v>
      </c>
      <c r="H90" s="175">
        <v>-729639.89000040002</v>
      </c>
      <c r="I90" s="175">
        <v>-721489.09000039997</v>
      </c>
      <c r="J90" s="175">
        <v>-713338.29000040004</v>
      </c>
      <c r="K90" s="175">
        <v>-705187.48000039998</v>
      </c>
      <c r="L90" s="175">
        <v>-697036.68000030005</v>
      </c>
      <c r="M90" s="175">
        <v>-688885.88000030001</v>
      </c>
      <c r="N90" s="175">
        <v>-680735.07000029995</v>
      </c>
      <c r="O90" s="175">
        <v>-672584.27000030002</v>
      </c>
      <c r="P90" s="175">
        <v>-664433.47000029997</v>
      </c>
      <c r="Q90" s="175">
        <v>-656282.67000030004</v>
      </c>
      <c r="R90" s="175">
        <v>-648131.86000029999</v>
      </c>
      <c r="S90" s="175">
        <v>-639981.06000030006</v>
      </c>
      <c r="U90" s="175">
        <f t="shared" si="9"/>
        <v>-681362.05923110002</v>
      </c>
    </row>
    <row r="91" spans="1:21">
      <c r="A91" s="183" t="str">
        <f t="shared" si="7"/>
        <v>221</v>
      </c>
      <c r="B91" s="183" t="str">
        <f t="shared" si="8"/>
        <v>221.0</v>
      </c>
      <c r="C91" s="184" t="s">
        <v>1057</v>
      </c>
      <c r="D91" t="s">
        <v>1058</v>
      </c>
      <c r="E91" s="470"/>
      <c r="F91" s="470"/>
      <c r="G91" s="175">
        <v>3975000000</v>
      </c>
      <c r="H91" s="175">
        <v>3975000000</v>
      </c>
      <c r="I91" s="175">
        <v>3975000000</v>
      </c>
      <c r="J91" s="175">
        <v>4475000000</v>
      </c>
      <c r="K91" s="175">
        <v>4475000000</v>
      </c>
      <c r="L91" s="175">
        <v>4475000000</v>
      </c>
      <c r="M91" s="175">
        <v>4475000000</v>
      </c>
      <c r="N91" s="175">
        <v>4475000000</v>
      </c>
      <c r="O91" s="175">
        <v>4475000000</v>
      </c>
      <c r="P91" s="175">
        <v>4475000000</v>
      </c>
      <c r="Q91" s="175">
        <v>4475000000</v>
      </c>
      <c r="R91" s="175">
        <v>4475000000</v>
      </c>
      <c r="S91" s="175">
        <v>4475000000</v>
      </c>
      <c r="U91" s="175">
        <f t="shared" si="9"/>
        <v>4359615384.6153851</v>
      </c>
    </row>
    <row r="92" spans="1:21">
      <c r="A92" s="183" t="str">
        <f t="shared" si="7"/>
        <v>223</v>
      </c>
      <c r="B92" s="183" t="str">
        <f t="shared" si="8"/>
        <v>223.0</v>
      </c>
      <c r="C92" s="184" t="s">
        <v>1059</v>
      </c>
      <c r="D92" t="s">
        <v>1060</v>
      </c>
      <c r="E92" s="470"/>
      <c r="F92" s="470"/>
      <c r="G92" s="175">
        <v>0</v>
      </c>
      <c r="H92" s="175">
        <v>0</v>
      </c>
      <c r="I92" s="175">
        <v>0</v>
      </c>
      <c r="J92" s="175">
        <v>0</v>
      </c>
      <c r="K92" s="175">
        <v>0</v>
      </c>
      <c r="L92" s="175">
        <v>0</v>
      </c>
      <c r="M92" s="175">
        <v>0</v>
      </c>
      <c r="N92" s="175">
        <v>0</v>
      </c>
      <c r="O92" s="175">
        <v>0</v>
      </c>
      <c r="P92" s="175">
        <v>0</v>
      </c>
      <c r="Q92" s="175">
        <v>0</v>
      </c>
      <c r="R92" s="175">
        <v>0</v>
      </c>
      <c r="S92" s="175">
        <v>0</v>
      </c>
      <c r="U92" s="175">
        <f t="shared" si="9"/>
        <v>0</v>
      </c>
    </row>
    <row r="93" spans="1:21">
      <c r="A93" s="183" t="str">
        <f t="shared" si="7"/>
        <v>224</v>
      </c>
      <c r="B93" s="183" t="str">
        <f t="shared" si="8"/>
        <v>224.0</v>
      </c>
      <c r="C93" s="184" t="s">
        <v>1061</v>
      </c>
      <c r="D93" t="s">
        <v>1062</v>
      </c>
      <c r="E93" s="470"/>
      <c r="F93" s="470"/>
      <c r="G93" s="175">
        <v>0</v>
      </c>
      <c r="H93" s="175">
        <v>0</v>
      </c>
      <c r="I93" s="175">
        <v>0</v>
      </c>
      <c r="J93" s="175">
        <v>0</v>
      </c>
      <c r="K93" s="175">
        <v>0</v>
      </c>
      <c r="L93" s="175">
        <v>0</v>
      </c>
      <c r="M93" s="175">
        <v>0</v>
      </c>
      <c r="N93" s="175">
        <v>0</v>
      </c>
      <c r="O93" s="175">
        <v>0</v>
      </c>
      <c r="P93" s="175">
        <v>0</v>
      </c>
      <c r="Q93" s="175">
        <v>0</v>
      </c>
      <c r="R93" s="175">
        <v>0</v>
      </c>
      <c r="S93" s="175">
        <v>0</v>
      </c>
      <c r="U93" s="175">
        <f t="shared" si="9"/>
        <v>0</v>
      </c>
    </row>
    <row r="94" spans="1:21">
      <c r="A94" s="183" t="str">
        <f t="shared" si="7"/>
        <v>225</v>
      </c>
      <c r="B94" s="183" t="str">
        <f t="shared" si="8"/>
        <v>225.0</v>
      </c>
      <c r="C94" s="184" t="s">
        <v>1063</v>
      </c>
      <c r="D94" t="s">
        <v>1064</v>
      </c>
      <c r="E94" s="470"/>
      <c r="F94" s="470"/>
      <c r="G94" s="175">
        <v>0</v>
      </c>
      <c r="H94" s="175">
        <v>0</v>
      </c>
      <c r="I94" s="175">
        <v>0</v>
      </c>
      <c r="J94" s="175">
        <v>0</v>
      </c>
      <c r="K94" s="175">
        <v>0</v>
      </c>
      <c r="L94" s="175">
        <v>0</v>
      </c>
      <c r="M94" s="175">
        <v>0</v>
      </c>
      <c r="N94" s="175">
        <v>0</v>
      </c>
      <c r="O94" s="175">
        <v>0</v>
      </c>
      <c r="P94" s="175">
        <v>0</v>
      </c>
      <c r="Q94" s="175">
        <v>0</v>
      </c>
      <c r="R94" s="175">
        <v>0</v>
      </c>
      <c r="S94" s="175">
        <v>0</v>
      </c>
      <c r="U94" s="175">
        <f t="shared" si="9"/>
        <v>0</v>
      </c>
    </row>
    <row r="95" spans="1:21">
      <c r="A95" s="183" t="str">
        <f t="shared" si="7"/>
        <v>226</v>
      </c>
      <c r="B95" s="183" t="str">
        <f t="shared" si="8"/>
        <v>226.0</v>
      </c>
      <c r="C95" s="184" t="s">
        <v>1065</v>
      </c>
      <c r="D95" t="s">
        <v>1066</v>
      </c>
      <c r="E95" s="470"/>
      <c r="F95" s="470"/>
      <c r="G95" s="175">
        <v>-12501453.640000001</v>
      </c>
      <c r="H95" s="175">
        <v>-12404314.359999999</v>
      </c>
      <c r="I95" s="175">
        <v>-14807175.08</v>
      </c>
      <c r="J95" s="175">
        <v>-14689202.800000001</v>
      </c>
      <c r="K95" s="175">
        <v>-14571230.52</v>
      </c>
      <c r="L95" s="175">
        <v>-14453258.24</v>
      </c>
      <c r="M95" s="175">
        <v>-14335285.960000001</v>
      </c>
      <c r="N95" s="175">
        <v>-14217313.68</v>
      </c>
      <c r="O95" s="175">
        <v>-14099341.4</v>
      </c>
      <c r="P95" s="175">
        <v>-13981369.119999999</v>
      </c>
      <c r="Q95" s="175">
        <v>-13863396.84</v>
      </c>
      <c r="R95" s="175">
        <v>-13745424.560000001</v>
      </c>
      <c r="S95" s="175">
        <v>-13627452.279999999</v>
      </c>
      <c r="U95" s="175">
        <f t="shared" si="9"/>
        <v>-13945862.960000001</v>
      </c>
    </row>
    <row r="96" spans="1:21">
      <c r="A96" s="183" t="str">
        <f t="shared" si="7"/>
        <v>227</v>
      </c>
      <c r="B96" s="183" t="str">
        <f t="shared" si="8"/>
        <v>227.0</v>
      </c>
      <c r="C96" s="184" t="s">
        <v>1067</v>
      </c>
      <c r="D96" t="s">
        <v>296</v>
      </c>
      <c r="E96" s="470"/>
      <c r="F96" s="470"/>
      <c r="G96" s="175">
        <v>32374997.680403501</v>
      </c>
      <c r="H96" s="175">
        <v>32343736.136528999</v>
      </c>
      <c r="I96" s="175">
        <v>32311710.364902899</v>
      </c>
      <c r="J96" s="175">
        <v>32279684.887395099</v>
      </c>
      <c r="K96" s="175">
        <v>32247659.916442901</v>
      </c>
      <c r="L96" s="175">
        <v>32215080.849410899</v>
      </c>
      <c r="M96" s="175">
        <v>32182501.932230301</v>
      </c>
      <c r="N96" s="175">
        <v>32149028.306661699</v>
      </c>
      <c r="O96" s="175">
        <v>32115551.9339494</v>
      </c>
      <c r="P96" s="175">
        <v>32082073.017966099</v>
      </c>
      <c r="Q96" s="175">
        <v>32048591.763839699</v>
      </c>
      <c r="R96" s="175">
        <v>32015108.3779606</v>
      </c>
      <c r="S96" s="175">
        <v>31980076.6468652</v>
      </c>
      <c r="T96" s="175"/>
      <c r="U96" s="175">
        <f t="shared" si="9"/>
        <v>32180446.293427486</v>
      </c>
    </row>
    <row r="97" spans="1:21">
      <c r="A97" s="183" t="str">
        <f t="shared" si="7"/>
        <v>228</v>
      </c>
      <c r="B97" s="183" t="str">
        <f t="shared" si="8"/>
        <v>228.1</v>
      </c>
      <c r="C97" s="184" t="s">
        <v>1068</v>
      </c>
      <c r="D97" t="s">
        <v>1069</v>
      </c>
      <c r="E97" s="470"/>
      <c r="F97" s="470"/>
      <c r="G97" s="175">
        <v>17835455.5666667</v>
      </c>
      <c r="H97" s="175">
        <v>17835455.5666667</v>
      </c>
      <c r="I97" s="175">
        <v>17835455.5666667</v>
      </c>
      <c r="J97" s="175">
        <v>17835455.5666667</v>
      </c>
      <c r="K97" s="175">
        <v>17835455.5666667</v>
      </c>
      <c r="L97" s="175">
        <v>17835455.5666667</v>
      </c>
      <c r="M97" s="175">
        <v>17835455.5666667</v>
      </c>
      <c r="N97" s="175">
        <v>17835455.5666667</v>
      </c>
      <c r="O97" s="175">
        <v>17835455.5666667</v>
      </c>
      <c r="P97" s="175">
        <v>17835455.5666667</v>
      </c>
      <c r="Q97" s="175">
        <v>17835455.5666667</v>
      </c>
      <c r="R97" s="175">
        <v>17835455.5666667</v>
      </c>
      <c r="S97" s="175">
        <v>17835455.5666667</v>
      </c>
      <c r="T97" s="175"/>
      <c r="U97" s="175">
        <f t="shared" si="9"/>
        <v>17835455.566666696</v>
      </c>
    </row>
    <row r="98" spans="1:21">
      <c r="A98" s="183" t="str">
        <f t="shared" si="7"/>
        <v>228</v>
      </c>
      <c r="B98" s="183" t="str">
        <f t="shared" si="8"/>
        <v>228.2</v>
      </c>
      <c r="C98" s="184" t="s">
        <v>1070</v>
      </c>
      <c r="D98" t="s">
        <v>1071</v>
      </c>
      <c r="E98" s="470"/>
      <c r="F98" s="470"/>
      <c r="G98" s="175">
        <v>7927462.1110421</v>
      </c>
      <c r="H98" s="175">
        <v>7933228.3333333004</v>
      </c>
      <c r="I98" s="175">
        <v>7938994.6666666996</v>
      </c>
      <c r="J98" s="175">
        <v>7944761</v>
      </c>
      <c r="K98" s="175">
        <v>7950527.3333333004</v>
      </c>
      <c r="L98" s="175">
        <v>7956293.6666666996</v>
      </c>
      <c r="M98" s="175">
        <v>7962060</v>
      </c>
      <c r="N98" s="175">
        <v>7967826.3333333004</v>
      </c>
      <c r="O98" s="175">
        <v>7973592.6666666996</v>
      </c>
      <c r="P98" s="175">
        <v>7979359</v>
      </c>
      <c r="Q98" s="175">
        <v>7985125.3333333004</v>
      </c>
      <c r="R98" s="175">
        <v>7990891.6666666996</v>
      </c>
      <c r="S98" s="175">
        <v>7996658</v>
      </c>
      <c r="T98" s="175"/>
      <c r="U98" s="175">
        <f t="shared" si="9"/>
        <v>7962060.0085416995</v>
      </c>
    </row>
    <row r="99" spans="1:21">
      <c r="A99" s="183" t="str">
        <f t="shared" si="7"/>
        <v>228</v>
      </c>
      <c r="B99" s="183" t="str">
        <f t="shared" si="8"/>
        <v>228.3</v>
      </c>
      <c r="C99" s="184" t="s">
        <v>1072</v>
      </c>
      <c r="D99" t="s">
        <v>1073</v>
      </c>
      <c r="E99" s="470"/>
      <c r="F99" s="470"/>
      <c r="G99" s="175">
        <v>84079070.230000004</v>
      </c>
      <c r="H99" s="175">
        <v>80976149.230000004</v>
      </c>
      <c r="I99" s="175">
        <v>80501815.230000004</v>
      </c>
      <c r="J99" s="175">
        <v>81027631.230000004</v>
      </c>
      <c r="K99" s="175">
        <v>77774710.230000004</v>
      </c>
      <c r="L99" s="175">
        <v>76750376.230000004</v>
      </c>
      <c r="M99" s="175">
        <v>77501192.230000004</v>
      </c>
      <c r="N99" s="175">
        <v>74048271.230000004</v>
      </c>
      <c r="O99" s="175">
        <v>73223937.230000004</v>
      </c>
      <c r="P99" s="175">
        <v>70988753.230000004</v>
      </c>
      <c r="Q99" s="175">
        <v>70221833.230000004</v>
      </c>
      <c r="R99" s="175">
        <v>69197499.230000004</v>
      </c>
      <c r="S99" s="175">
        <v>69823314.230000004</v>
      </c>
      <c r="T99" s="175"/>
      <c r="U99" s="175">
        <f t="shared" si="9"/>
        <v>75854965.614615396</v>
      </c>
    </row>
    <row r="100" spans="1:21">
      <c r="A100" s="183" t="str">
        <f t="shared" si="7"/>
        <v>228</v>
      </c>
      <c r="B100" s="183" t="str">
        <f t="shared" si="8"/>
        <v>228.4</v>
      </c>
      <c r="C100" s="184" t="s">
        <v>1074</v>
      </c>
      <c r="D100" t="s">
        <v>460</v>
      </c>
      <c r="E100" s="470"/>
      <c r="F100" s="470"/>
      <c r="G100" s="175">
        <v>783000</v>
      </c>
      <c r="H100" s="175">
        <v>783000</v>
      </c>
      <c r="I100" s="175">
        <v>783000</v>
      </c>
      <c r="J100" s="175">
        <v>783000</v>
      </c>
      <c r="K100" s="175">
        <v>783000</v>
      </c>
      <c r="L100" s="175">
        <v>783000</v>
      </c>
      <c r="M100" s="175">
        <v>783000</v>
      </c>
      <c r="N100" s="175">
        <v>783000</v>
      </c>
      <c r="O100" s="175">
        <v>783000</v>
      </c>
      <c r="P100" s="175">
        <v>783000</v>
      </c>
      <c r="Q100" s="175">
        <v>783000</v>
      </c>
      <c r="R100" s="175">
        <v>783000</v>
      </c>
      <c r="S100" s="175">
        <v>783000</v>
      </c>
      <c r="T100" s="175"/>
      <c r="U100" s="175">
        <f t="shared" si="9"/>
        <v>783000</v>
      </c>
    </row>
    <row r="101" spans="1:21">
      <c r="A101" s="183" t="str">
        <f t="shared" si="7"/>
        <v>229</v>
      </c>
      <c r="B101" s="183" t="str">
        <f t="shared" si="8"/>
        <v>229.0</v>
      </c>
      <c r="C101" s="184" t="s">
        <v>1075</v>
      </c>
      <c r="D101" t="s">
        <v>462</v>
      </c>
      <c r="E101" s="470"/>
      <c r="F101" s="470"/>
      <c r="G101" s="175">
        <v>0</v>
      </c>
      <c r="H101" s="175">
        <v>0</v>
      </c>
      <c r="I101" s="175">
        <v>0</v>
      </c>
      <c r="J101" s="175">
        <v>0</v>
      </c>
      <c r="K101" s="175">
        <v>0</v>
      </c>
      <c r="L101" s="175">
        <v>0</v>
      </c>
      <c r="M101" s="175">
        <v>0</v>
      </c>
      <c r="N101" s="175">
        <v>0</v>
      </c>
      <c r="O101" s="175">
        <v>0</v>
      </c>
      <c r="P101" s="175">
        <v>0</v>
      </c>
      <c r="Q101" s="175">
        <v>0</v>
      </c>
      <c r="R101" s="175">
        <v>0</v>
      </c>
      <c r="S101" s="175">
        <v>0</v>
      </c>
      <c r="T101" s="175"/>
      <c r="U101" s="175">
        <f t="shared" si="9"/>
        <v>0</v>
      </c>
    </row>
    <row r="102" spans="1:21">
      <c r="A102" s="183" t="str">
        <f t="shared" si="7"/>
        <v>230</v>
      </c>
      <c r="B102" s="183" t="str">
        <f t="shared" si="8"/>
        <v>230.0</v>
      </c>
      <c r="C102" s="184" t="s">
        <v>1076</v>
      </c>
      <c r="D102" t="s">
        <v>1077</v>
      </c>
      <c r="E102" s="470"/>
      <c r="F102" s="470"/>
      <c r="G102" s="175">
        <v>33789464.899999999</v>
      </c>
      <c r="H102" s="175">
        <v>33930254.340000004</v>
      </c>
      <c r="I102" s="175">
        <v>34071630.399999999</v>
      </c>
      <c r="J102" s="175">
        <v>34213595.530000001</v>
      </c>
      <c r="K102" s="175">
        <v>34356152.18</v>
      </c>
      <c r="L102" s="175">
        <v>34499302.810000002</v>
      </c>
      <c r="M102" s="175">
        <v>34643049.909999996</v>
      </c>
      <c r="N102" s="175">
        <v>34787395.950000003</v>
      </c>
      <c r="O102" s="175">
        <v>34932343.43</v>
      </c>
      <c r="P102" s="175">
        <v>35077894.859999999</v>
      </c>
      <c r="Q102" s="175">
        <v>35224052.759999998</v>
      </c>
      <c r="R102" s="175">
        <v>35370819.649999999</v>
      </c>
      <c r="S102" s="175">
        <v>35518198.07</v>
      </c>
      <c r="T102" s="175"/>
      <c r="U102" s="175">
        <f t="shared" si="9"/>
        <v>34647242.676153846</v>
      </c>
    </row>
    <row r="103" spans="1:21">
      <c r="A103" s="183" t="str">
        <f t="shared" si="7"/>
        <v>231</v>
      </c>
      <c r="B103" s="183" t="str">
        <f t="shared" si="8"/>
        <v>231.0</v>
      </c>
      <c r="C103" s="184" t="s">
        <v>1078</v>
      </c>
      <c r="D103" t="s">
        <v>1079</v>
      </c>
      <c r="E103" s="470"/>
      <c r="F103" s="470"/>
      <c r="G103" s="175">
        <v>595364857.17259896</v>
      </c>
      <c r="H103" s="175">
        <v>598422401.24888897</v>
      </c>
      <c r="I103" s="175">
        <v>655705087.29093599</v>
      </c>
      <c r="J103" s="175">
        <v>260252506.72569099</v>
      </c>
      <c r="K103" s="175">
        <v>333921046.648453</v>
      </c>
      <c r="L103" s="175">
        <v>304118438.47153699</v>
      </c>
      <c r="M103" s="175">
        <v>369466307.93546301</v>
      </c>
      <c r="N103" s="175">
        <v>437362472.03191102</v>
      </c>
      <c r="O103" s="175">
        <v>456960329.66298002</v>
      </c>
      <c r="P103" s="175">
        <v>471462430.03022301</v>
      </c>
      <c r="Q103" s="175">
        <v>432650869.85359597</v>
      </c>
      <c r="R103" s="175">
        <v>596370821.03931797</v>
      </c>
      <c r="S103" s="175">
        <v>553907777.94710696</v>
      </c>
      <c r="T103" s="175"/>
      <c r="U103" s="175">
        <f t="shared" si="9"/>
        <v>466612718.92759258</v>
      </c>
    </row>
    <row r="104" spans="1:21">
      <c r="A104" s="183" t="str">
        <f t="shared" si="7"/>
        <v>232</v>
      </c>
      <c r="B104" s="183" t="str">
        <f t="shared" si="8"/>
        <v>232.0</v>
      </c>
      <c r="C104" s="184" t="s">
        <v>1080</v>
      </c>
      <c r="D104" t="s">
        <v>301</v>
      </c>
      <c r="E104" s="470"/>
      <c r="F104" s="470"/>
      <c r="G104" s="175">
        <v>254338784.1293402</v>
      </c>
      <c r="H104" s="175">
        <v>339737630.67706448</v>
      </c>
      <c r="I104" s="175">
        <v>247478150.4243924</v>
      </c>
      <c r="J104" s="175">
        <v>227390351.62002149</v>
      </c>
      <c r="K104" s="175">
        <v>220884407.95066369</v>
      </c>
      <c r="L104" s="175">
        <v>235318004.19600761</v>
      </c>
      <c r="M104" s="175">
        <v>298071729.48933327</v>
      </c>
      <c r="N104" s="175">
        <v>315776797.57735699</v>
      </c>
      <c r="O104" s="175">
        <v>230719802.45241421</v>
      </c>
      <c r="P104" s="175">
        <v>237948962.5108822</v>
      </c>
      <c r="Q104" s="175">
        <v>240980546.59163851</v>
      </c>
      <c r="R104" s="175">
        <v>222959032.91933629</v>
      </c>
      <c r="S104" s="175">
        <v>338131365.55483079</v>
      </c>
      <c r="T104" s="175"/>
      <c r="U104" s="175">
        <f t="shared" si="9"/>
        <v>262287351.23794481</v>
      </c>
    </row>
    <row r="105" spans="1:21">
      <c r="A105" s="183" t="str">
        <f t="shared" si="7"/>
        <v>233</v>
      </c>
      <c r="B105" s="183" t="str">
        <f t="shared" si="8"/>
        <v>233.0</v>
      </c>
      <c r="C105" s="184" t="s">
        <v>1081</v>
      </c>
      <c r="D105" t="s">
        <v>1082</v>
      </c>
      <c r="E105" s="470"/>
      <c r="F105" s="470"/>
      <c r="G105" s="175">
        <v>0</v>
      </c>
      <c r="H105" s="175">
        <v>0</v>
      </c>
      <c r="I105" s="175">
        <v>0</v>
      </c>
      <c r="J105" s="175">
        <v>0</v>
      </c>
      <c r="K105" s="175">
        <v>0</v>
      </c>
      <c r="L105" s="175">
        <v>0</v>
      </c>
      <c r="M105" s="175">
        <v>0</v>
      </c>
      <c r="N105" s="175">
        <v>0</v>
      </c>
      <c r="O105" s="175">
        <v>0</v>
      </c>
      <c r="P105" s="175">
        <v>0</v>
      </c>
      <c r="Q105" s="175">
        <v>0</v>
      </c>
      <c r="R105" s="175">
        <v>0</v>
      </c>
      <c r="S105" s="175">
        <v>0</v>
      </c>
      <c r="T105" s="175"/>
      <c r="U105" s="175">
        <f t="shared" si="9"/>
        <v>0</v>
      </c>
    </row>
    <row r="106" spans="1:21">
      <c r="A106" s="183" t="str">
        <f t="shared" si="7"/>
        <v>234</v>
      </c>
      <c r="B106" s="183" t="str">
        <f t="shared" si="8"/>
        <v>234.0</v>
      </c>
      <c r="C106" s="184" t="s">
        <v>1083</v>
      </c>
      <c r="D106" t="s">
        <v>1084</v>
      </c>
      <c r="E106" s="470"/>
      <c r="F106" s="470"/>
      <c r="G106" s="175">
        <v>11940227.210000001</v>
      </c>
      <c r="H106" s="175">
        <v>9848433.6426465008</v>
      </c>
      <c r="I106" s="175">
        <v>9701871.3093058001</v>
      </c>
      <c r="J106" s="175">
        <v>9697924.9325977005</v>
      </c>
      <c r="K106" s="175">
        <v>9707287.8082184009</v>
      </c>
      <c r="L106" s="175">
        <v>10899350.7640184</v>
      </c>
      <c r="M106" s="175">
        <v>11983335.163357301</v>
      </c>
      <c r="N106" s="175">
        <v>13279255.0650157</v>
      </c>
      <c r="O106" s="175">
        <v>13475250.425035199</v>
      </c>
      <c r="P106" s="175">
        <v>13212938.1018323</v>
      </c>
      <c r="Q106" s="175">
        <v>12240444.7332101</v>
      </c>
      <c r="R106" s="175">
        <v>11262049.3756712</v>
      </c>
      <c r="S106" s="175">
        <v>11344714.865146199</v>
      </c>
      <c r="T106" s="175"/>
      <c r="U106" s="175">
        <f t="shared" si="9"/>
        <v>11430237.184311908</v>
      </c>
    </row>
    <row r="107" spans="1:21">
      <c r="A107" s="183" t="str">
        <f t="shared" si="7"/>
        <v>235</v>
      </c>
      <c r="B107" s="183" t="str">
        <f t="shared" si="8"/>
        <v>235.0</v>
      </c>
      <c r="C107" s="184" t="s">
        <v>1085</v>
      </c>
      <c r="D107" t="s">
        <v>471</v>
      </c>
      <c r="E107" s="470"/>
      <c r="F107" s="470"/>
      <c r="G107" s="175">
        <v>121238932.512716</v>
      </c>
      <c r="H107" s="175">
        <v>121289448.734596</v>
      </c>
      <c r="I107" s="175">
        <v>121339986.00490201</v>
      </c>
      <c r="J107" s="175">
        <v>121390544.332404</v>
      </c>
      <c r="K107" s="175">
        <v>121441123.725876</v>
      </c>
      <c r="L107" s="175">
        <v>121491724.194095</v>
      </c>
      <c r="M107" s="175">
        <v>121542345.74584299</v>
      </c>
      <c r="N107" s="175">
        <v>121592988.38990299</v>
      </c>
      <c r="O107" s="175">
        <v>121643652.135066</v>
      </c>
      <c r="P107" s="175">
        <v>121694336.99012201</v>
      </c>
      <c r="Q107" s="175">
        <v>121745042.96386801</v>
      </c>
      <c r="R107" s="175">
        <v>121795770.06510299</v>
      </c>
      <c r="S107" s="175">
        <v>121846518.30263001</v>
      </c>
      <c r="T107" s="175"/>
      <c r="U107" s="175">
        <f t="shared" si="9"/>
        <v>121542493.39208645</v>
      </c>
    </row>
    <row r="108" spans="1:21">
      <c r="A108" s="183" t="str">
        <f t="shared" si="7"/>
        <v>236</v>
      </c>
      <c r="B108" s="183" t="str">
        <f t="shared" si="8"/>
        <v>236.0</v>
      </c>
      <c r="C108" s="184" t="s">
        <v>1086</v>
      </c>
      <c r="D108" t="s">
        <v>592</v>
      </c>
      <c r="E108" s="470"/>
      <c r="F108" s="470"/>
      <c r="G108" s="175">
        <v>12925257.539249999</v>
      </c>
      <c r="H108" s="175">
        <v>21434892.624605101</v>
      </c>
      <c r="I108" s="175">
        <v>28453867.986593802</v>
      </c>
      <c r="J108" s="175">
        <v>25716469.1903916</v>
      </c>
      <c r="K108" s="175">
        <v>25515454.138750002</v>
      </c>
      <c r="L108" s="175">
        <v>39734240.031656303</v>
      </c>
      <c r="M108" s="175">
        <v>48937574.386763103</v>
      </c>
      <c r="N108" s="175">
        <v>66854972.394986004</v>
      </c>
      <c r="O108" s="175">
        <v>85395750.400206298</v>
      </c>
      <c r="P108" s="175">
        <v>91395382.583481595</v>
      </c>
      <c r="Q108" s="175">
        <v>101560047.67511509</v>
      </c>
      <c r="R108" s="175">
        <v>15395935.2889768</v>
      </c>
      <c r="S108" s="175">
        <v>12848947.166446701</v>
      </c>
      <c r="T108" s="175"/>
      <c r="U108" s="175">
        <f t="shared" si="9"/>
        <v>44320676.262094028</v>
      </c>
    </row>
    <row r="109" spans="1:21">
      <c r="A109" s="183" t="str">
        <f t="shared" si="7"/>
        <v>237</v>
      </c>
      <c r="B109" s="183" t="str">
        <f t="shared" si="8"/>
        <v>237.0</v>
      </c>
      <c r="C109" s="184" t="s">
        <v>1087</v>
      </c>
      <c r="D109" t="s">
        <v>306</v>
      </c>
      <c r="E109" s="470"/>
      <c r="F109" s="470"/>
      <c r="G109" s="175">
        <v>35201520.636353798</v>
      </c>
      <c r="H109" s="175">
        <v>33897180.190670803</v>
      </c>
      <c r="I109" s="175">
        <v>48561636.644592099</v>
      </c>
      <c r="J109" s="175">
        <v>39209230.128644198</v>
      </c>
      <c r="K109" s="175">
        <v>55820195.5838333</v>
      </c>
      <c r="L109" s="175">
        <v>44872746.143696599</v>
      </c>
      <c r="M109" s="175">
        <v>40279159.729879901</v>
      </c>
      <c r="N109" s="175">
        <v>49478948.601337299</v>
      </c>
      <c r="O109" s="175">
        <v>60038928.277803198</v>
      </c>
      <c r="P109" s="175">
        <v>52801305.604492098</v>
      </c>
      <c r="Q109" s="175">
        <v>69471935.775480807</v>
      </c>
      <c r="R109" s="175">
        <v>46287491.646638297</v>
      </c>
      <c r="S109" s="175">
        <v>32834563.451576099</v>
      </c>
      <c r="U109" s="175">
        <f t="shared" si="9"/>
        <v>46827295.570384502</v>
      </c>
    </row>
    <row r="110" spans="1:21">
      <c r="A110" s="183" t="str">
        <f t="shared" si="7"/>
        <v>238</v>
      </c>
      <c r="B110" s="183" t="str">
        <f t="shared" si="8"/>
        <v>238.0</v>
      </c>
      <c r="C110" s="184" t="s">
        <v>1088</v>
      </c>
      <c r="D110" t="s">
        <v>139</v>
      </c>
      <c r="E110" s="470"/>
      <c r="F110" s="470"/>
      <c r="G110" s="175">
        <v>0</v>
      </c>
      <c r="H110" s="175">
        <v>0</v>
      </c>
      <c r="I110" s="175">
        <v>0</v>
      </c>
      <c r="J110" s="175">
        <v>0</v>
      </c>
      <c r="K110" s="175">
        <v>0</v>
      </c>
      <c r="L110" s="175">
        <v>0</v>
      </c>
      <c r="M110" s="175">
        <v>0</v>
      </c>
      <c r="N110" s="175">
        <v>0</v>
      </c>
      <c r="O110" s="175">
        <v>0</v>
      </c>
      <c r="P110" s="175">
        <v>0</v>
      </c>
      <c r="Q110" s="175">
        <v>0</v>
      </c>
      <c r="R110" s="175">
        <v>0</v>
      </c>
      <c r="S110" s="175">
        <v>0</v>
      </c>
      <c r="U110" s="175">
        <f t="shared" si="9"/>
        <v>0</v>
      </c>
    </row>
    <row r="111" spans="1:21">
      <c r="A111" s="183" t="str">
        <f t="shared" si="7"/>
        <v>241</v>
      </c>
      <c r="B111" s="183" t="str">
        <f t="shared" si="8"/>
        <v>241.0</v>
      </c>
      <c r="C111" s="184" t="s">
        <v>1089</v>
      </c>
      <c r="D111" t="s">
        <v>308</v>
      </c>
      <c r="E111" s="470"/>
      <c r="F111" s="470"/>
      <c r="G111" s="175">
        <v>13498460.1800001</v>
      </c>
      <c r="H111" s="175">
        <v>12702460.179999899</v>
      </c>
      <c r="I111" s="175">
        <v>12862380.1800001</v>
      </c>
      <c r="J111" s="175">
        <v>12773820.179999899</v>
      </c>
      <c r="K111" s="175">
        <v>13220660.1800001</v>
      </c>
      <c r="L111" s="175">
        <v>13896460.18</v>
      </c>
      <c r="M111" s="175">
        <v>14763420.18</v>
      </c>
      <c r="N111" s="175">
        <v>15349060.18</v>
      </c>
      <c r="O111" s="175">
        <v>16002240.18</v>
      </c>
      <c r="P111" s="175">
        <v>16211700.179999899</v>
      </c>
      <c r="Q111" s="175">
        <v>15119784.98</v>
      </c>
      <c r="R111" s="175">
        <v>13950181.779999901</v>
      </c>
      <c r="S111" s="175">
        <v>14342125.779999999</v>
      </c>
      <c r="U111" s="175">
        <f t="shared" si="9"/>
        <v>14207134.949230762</v>
      </c>
    </row>
    <row r="112" spans="1:21">
      <c r="A112" s="183" t="str">
        <f t="shared" si="7"/>
        <v>242</v>
      </c>
      <c r="B112" s="183" t="str">
        <f t="shared" si="8"/>
        <v>242.0</v>
      </c>
      <c r="C112" s="184" t="s">
        <v>1090</v>
      </c>
      <c r="D112" t="s">
        <v>1091</v>
      </c>
      <c r="E112" s="470"/>
      <c r="F112" s="470"/>
      <c r="G112" s="175">
        <v>40869614.289303496</v>
      </c>
      <c r="H112" s="175">
        <v>40681791.109303497</v>
      </c>
      <c r="I112" s="175">
        <v>40775791.109303497</v>
      </c>
      <c r="J112" s="175">
        <v>40601597.965887196</v>
      </c>
      <c r="K112" s="175">
        <v>40679597.965887196</v>
      </c>
      <c r="L112" s="175">
        <v>40734597.965887196</v>
      </c>
      <c r="M112" s="175">
        <v>41597857.204693198</v>
      </c>
      <c r="N112" s="175">
        <v>41608857.204693198</v>
      </c>
      <c r="O112" s="175">
        <v>41653857.204693198</v>
      </c>
      <c r="P112" s="175">
        <v>42486116.4434992</v>
      </c>
      <c r="Q112" s="175">
        <v>42531116.4434992</v>
      </c>
      <c r="R112" s="175">
        <v>42576116.4434992</v>
      </c>
      <c r="S112" s="175">
        <v>43192375.682305098</v>
      </c>
      <c r="U112" s="175">
        <f t="shared" si="9"/>
        <v>41537637.464034952</v>
      </c>
    </row>
    <row r="113" spans="1:21">
      <c r="A113" s="183" t="str">
        <f t="shared" si="7"/>
        <v>243</v>
      </c>
      <c r="B113" s="183" t="str">
        <f t="shared" si="8"/>
        <v>243.0</v>
      </c>
      <c r="C113" s="184" t="s">
        <v>1092</v>
      </c>
      <c r="D113" t="s">
        <v>310</v>
      </c>
      <c r="E113" s="470"/>
      <c r="F113" s="470"/>
      <c r="G113" s="175">
        <v>1831399.0999980001</v>
      </c>
      <c r="H113" s="175">
        <v>1672506.9455502001</v>
      </c>
      <c r="I113" s="175">
        <v>1513143.2575343</v>
      </c>
      <c r="J113" s="175">
        <v>1353270.0313303</v>
      </c>
      <c r="K113" s="175">
        <v>1192885.6458079999</v>
      </c>
      <c r="L113" s="175">
        <v>1032000.6764398</v>
      </c>
      <c r="M113" s="175">
        <v>870601.30740429997</v>
      </c>
      <c r="N113" s="175">
        <v>708701.72860949999</v>
      </c>
      <c r="O113" s="175">
        <v>546284.53074329998</v>
      </c>
      <c r="P113" s="175">
        <v>383348.06712199998</v>
      </c>
      <c r="Q113" s="175">
        <v>387175.93584009999</v>
      </c>
      <c r="R113" s="175">
        <v>391013.75446560001</v>
      </c>
      <c r="S113" s="175">
        <v>394921.03353840002</v>
      </c>
      <c r="U113" s="175">
        <f t="shared" si="9"/>
        <v>944404.00110644603</v>
      </c>
    </row>
    <row r="114" spans="1:21">
      <c r="A114" s="183" t="str">
        <f t="shared" si="7"/>
        <v>245</v>
      </c>
      <c r="B114" s="183" t="str">
        <f t="shared" si="8"/>
        <v>245.0</v>
      </c>
      <c r="C114" s="184" t="s">
        <v>1093</v>
      </c>
      <c r="D114" t="s">
        <v>1094</v>
      </c>
      <c r="E114" s="470"/>
      <c r="F114" s="470"/>
      <c r="G114" s="175">
        <v>0</v>
      </c>
      <c r="H114" s="175">
        <v>0</v>
      </c>
      <c r="I114" s="175">
        <v>0</v>
      </c>
      <c r="J114" s="175">
        <v>0</v>
      </c>
      <c r="K114" s="175">
        <v>0</v>
      </c>
      <c r="L114" s="175">
        <v>0</v>
      </c>
      <c r="M114" s="175">
        <v>0</v>
      </c>
      <c r="N114" s="175">
        <v>0</v>
      </c>
      <c r="O114" s="175">
        <v>0</v>
      </c>
      <c r="P114" s="175">
        <v>0</v>
      </c>
      <c r="Q114" s="175">
        <v>0</v>
      </c>
      <c r="R114" s="175">
        <v>0</v>
      </c>
      <c r="S114" s="175">
        <v>0</v>
      </c>
      <c r="U114" s="175">
        <f t="shared" si="9"/>
        <v>0</v>
      </c>
    </row>
    <row r="115" spans="1:21">
      <c r="A115" s="183" t="str">
        <f t="shared" si="7"/>
        <v>252</v>
      </c>
      <c r="B115" s="183" t="str">
        <f t="shared" si="8"/>
        <v>252.0</v>
      </c>
      <c r="C115" s="184" t="s">
        <v>1095</v>
      </c>
      <c r="D115" t="s">
        <v>1096</v>
      </c>
      <c r="E115" s="470"/>
      <c r="F115" s="470"/>
      <c r="G115" s="175">
        <v>0</v>
      </c>
      <c r="H115" s="175">
        <v>0</v>
      </c>
      <c r="I115" s="175">
        <v>0</v>
      </c>
      <c r="J115" s="175">
        <v>0</v>
      </c>
      <c r="K115" s="175">
        <v>0</v>
      </c>
      <c r="L115" s="175">
        <v>0</v>
      </c>
      <c r="M115" s="175">
        <v>0</v>
      </c>
      <c r="N115" s="175">
        <v>0</v>
      </c>
      <c r="O115" s="175">
        <v>0</v>
      </c>
      <c r="P115" s="175">
        <v>0</v>
      </c>
      <c r="Q115" s="175">
        <v>0</v>
      </c>
      <c r="R115" s="175">
        <v>0</v>
      </c>
      <c r="S115" s="175">
        <v>0</v>
      </c>
      <c r="U115" s="175">
        <f t="shared" si="9"/>
        <v>0</v>
      </c>
    </row>
    <row r="116" spans="1:21" s="187" customFormat="1">
      <c r="A116" s="185" t="str">
        <f t="shared" si="7"/>
        <v>253</v>
      </c>
      <c r="B116" s="185" t="str">
        <f t="shared" si="8"/>
        <v>253.0</v>
      </c>
      <c r="C116" s="186" t="s">
        <v>1097</v>
      </c>
      <c r="D116" s="187" t="s">
        <v>313</v>
      </c>
      <c r="E116" s="470"/>
      <c r="F116" s="470"/>
      <c r="G116" s="175">
        <v>38095902.782142498</v>
      </c>
      <c r="H116" s="188">
        <v>48733488.673501</v>
      </c>
      <c r="I116" s="188">
        <v>50597464.078821696</v>
      </c>
      <c r="J116" s="188">
        <v>47459862.379175</v>
      </c>
      <c r="K116" s="188">
        <v>45638536.178742498</v>
      </c>
      <c r="L116" s="188">
        <v>46474827.189593397</v>
      </c>
      <c r="M116" s="188">
        <v>42648314.895821497</v>
      </c>
      <c r="N116" s="188">
        <v>39427322.898039401</v>
      </c>
      <c r="O116" s="188">
        <v>35523171.071460702</v>
      </c>
      <c r="P116" s="188">
        <v>26564114.122590099</v>
      </c>
      <c r="Q116" s="188">
        <v>19267860.784241099</v>
      </c>
      <c r="R116" s="188">
        <v>14546107.606709</v>
      </c>
      <c r="S116" s="188">
        <v>15778410.867560999</v>
      </c>
      <c r="T116" s="188"/>
      <c r="U116" s="188">
        <f t="shared" si="9"/>
        <v>36211952.579107612</v>
      </c>
    </row>
    <row r="117" spans="1:21">
      <c r="A117" s="183" t="str">
        <f t="shared" si="7"/>
        <v>254</v>
      </c>
      <c r="B117" s="183" t="str">
        <f t="shared" si="8"/>
        <v>254.0</v>
      </c>
      <c r="C117" s="184" t="s">
        <v>1098</v>
      </c>
      <c r="D117" t="s">
        <v>1099</v>
      </c>
      <c r="E117" s="470"/>
      <c r="F117" s="470"/>
      <c r="G117" s="175">
        <v>543889302.90357983</v>
      </c>
      <c r="H117" s="175">
        <v>532576661.01495433</v>
      </c>
      <c r="I117" s="175">
        <v>529893967.91988081</v>
      </c>
      <c r="J117" s="175">
        <v>528224670.77014178</v>
      </c>
      <c r="K117" s="175">
        <v>529572296.74536961</v>
      </c>
      <c r="L117" s="175">
        <v>525807839.48273659</v>
      </c>
      <c r="M117" s="175">
        <v>525897620.86134613</v>
      </c>
      <c r="N117" s="175">
        <v>524588130.96277022</v>
      </c>
      <c r="O117" s="175">
        <v>522017084.16155457</v>
      </c>
      <c r="P117" s="175">
        <v>513244584.61082989</v>
      </c>
      <c r="Q117" s="175">
        <v>512333588.69717532</v>
      </c>
      <c r="R117" s="175">
        <v>511127506.24224639</v>
      </c>
      <c r="S117" s="175">
        <v>508342291.73172992</v>
      </c>
      <c r="U117" s="175">
        <f t="shared" si="9"/>
        <v>523655042.00802428</v>
      </c>
    </row>
    <row r="118" spans="1:21">
      <c r="A118" s="183" t="str">
        <f t="shared" si="7"/>
        <v>255</v>
      </c>
      <c r="B118" s="183" t="str">
        <f t="shared" si="8"/>
        <v>255.0</v>
      </c>
      <c r="C118" s="184" t="s">
        <v>1100</v>
      </c>
      <c r="D118" t="s">
        <v>1101</v>
      </c>
      <c r="E118" s="470"/>
      <c r="F118" s="470"/>
      <c r="G118" s="175">
        <v>234686520.19</v>
      </c>
      <c r="H118" s="175">
        <v>233862150.03</v>
      </c>
      <c r="I118" s="175">
        <v>248250479.84999999</v>
      </c>
      <c r="J118" s="175">
        <v>247299337.69999999</v>
      </c>
      <c r="K118" s="175">
        <v>271995264.55000001</v>
      </c>
      <c r="L118" s="175">
        <v>270830395.73000002</v>
      </c>
      <c r="M118" s="175">
        <v>269665526.93000001</v>
      </c>
      <c r="N118" s="175">
        <v>268500658.13</v>
      </c>
      <c r="O118" s="175">
        <v>267335789.31</v>
      </c>
      <c r="P118" s="175">
        <v>266170920.50999999</v>
      </c>
      <c r="Q118" s="175">
        <v>265006051.71000001</v>
      </c>
      <c r="R118" s="175">
        <v>263841182.88999999</v>
      </c>
      <c r="S118" s="175">
        <v>264120667.28999999</v>
      </c>
      <c r="U118" s="175">
        <f t="shared" si="9"/>
        <v>259351149.60153848</v>
      </c>
    </row>
    <row r="119" spans="1:21">
      <c r="A119" s="183" t="str">
        <f t="shared" si="7"/>
        <v>256</v>
      </c>
      <c r="B119" s="183" t="str">
        <f t="shared" si="8"/>
        <v>256.0</v>
      </c>
      <c r="C119" s="184" t="s">
        <v>1102</v>
      </c>
      <c r="D119" t="s">
        <v>1103</v>
      </c>
      <c r="E119" s="470"/>
      <c r="F119" s="470"/>
      <c r="G119" s="175">
        <v>-7876.12</v>
      </c>
      <c r="H119" s="175">
        <v>-7876.12</v>
      </c>
      <c r="I119" s="175">
        <v>-7876.12</v>
      </c>
      <c r="J119" s="175">
        <v>-7876.12</v>
      </c>
      <c r="K119" s="175">
        <v>-7876.12</v>
      </c>
      <c r="L119" s="175">
        <v>-7876.12</v>
      </c>
      <c r="M119" s="175">
        <v>-7876.12</v>
      </c>
      <c r="N119" s="175">
        <v>-7876.12</v>
      </c>
      <c r="O119" s="175">
        <v>-7876.12</v>
      </c>
      <c r="P119" s="175">
        <v>-7876.12</v>
      </c>
      <c r="Q119" s="175">
        <v>-7876.12</v>
      </c>
      <c r="R119" s="175">
        <v>-7876.12</v>
      </c>
      <c r="S119" s="175">
        <v>-7876.12</v>
      </c>
      <c r="U119" s="175">
        <f t="shared" si="9"/>
        <v>-7876.119999999999</v>
      </c>
    </row>
    <row r="120" spans="1:21">
      <c r="A120" s="183" t="str">
        <f t="shared" si="7"/>
        <v>257</v>
      </c>
      <c r="B120" s="183" t="str">
        <f t="shared" si="8"/>
        <v>257.0</v>
      </c>
      <c r="C120" s="184" t="s">
        <v>1104</v>
      </c>
      <c r="D120" t="s">
        <v>1105</v>
      </c>
      <c r="E120" s="470"/>
      <c r="F120" s="470"/>
      <c r="G120" s="175">
        <v>0</v>
      </c>
      <c r="H120" s="175">
        <v>0</v>
      </c>
      <c r="I120" s="175">
        <v>0</v>
      </c>
      <c r="J120" s="175">
        <v>0</v>
      </c>
      <c r="K120" s="175">
        <v>0</v>
      </c>
      <c r="L120" s="175">
        <v>0</v>
      </c>
      <c r="M120" s="175">
        <v>0</v>
      </c>
      <c r="N120" s="175">
        <v>0</v>
      </c>
      <c r="O120" s="175">
        <v>0</v>
      </c>
      <c r="P120" s="175">
        <v>0</v>
      </c>
      <c r="Q120" s="175">
        <v>0</v>
      </c>
      <c r="R120" s="175">
        <v>0</v>
      </c>
      <c r="S120" s="175">
        <v>0</v>
      </c>
      <c r="U120" s="175">
        <f t="shared" si="9"/>
        <v>0</v>
      </c>
    </row>
    <row r="121" spans="1:21">
      <c r="A121" s="183" t="str">
        <f t="shared" si="7"/>
        <v>281</v>
      </c>
      <c r="B121" s="183" t="str">
        <f t="shared" si="8"/>
        <v>281.0</v>
      </c>
      <c r="C121" s="184" t="s">
        <v>1106</v>
      </c>
      <c r="D121" t="s">
        <v>1107</v>
      </c>
      <c r="E121" s="470"/>
      <c r="F121" s="470"/>
      <c r="G121" s="175">
        <v>53127871.189999998</v>
      </c>
      <c r="H121" s="175">
        <v>52922970.030000001</v>
      </c>
      <c r="I121" s="175">
        <v>52718068.880000003</v>
      </c>
      <c r="J121" s="175">
        <v>52513167.719999999</v>
      </c>
      <c r="K121" s="175">
        <v>52308266.579999998</v>
      </c>
      <c r="L121" s="175">
        <v>52103365.420000002</v>
      </c>
      <c r="M121" s="175">
        <v>51898464.270000003</v>
      </c>
      <c r="N121" s="175">
        <v>51693563.109999999</v>
      </c>
      <c r="O121" s="175">
        <v>51488661.960000001</v>
      </c>
      <c r="P121" s="175">
        <v>51283760.799999997</v>
      </c>
      <c r="Q121" s="175">
        <v>51078859.659999996</v>
      </c>
      <c r="R121" s="175">
        <v>50873958.5</v>
      </c>
      <c r="S121" s="175">
        <v>50669057.350000001</v>
      </c>
      <c r="U121" s="175">
        <f t="shared" si="9"/>
        <v>51898464.266923077</v>
      </c>
    </row>
    <row r="122" spans="1:21">
      <c r="A122" s="183" t="str">
        <f t="shared" si="7"/>
        <v>282</v>
      </c>
      <c r="B122" s="183" t="str">
        <f t="shared" si="8"/>
        <v>282.0</v>
      </c>
      <c r="C122" s="184" t="s">
        <v>1108</v>
      </c>
      <c r="D122" t="s">
        <v>1109</v>
      </c>
      <c r="E122" s="470"/>
      <c r="F122" s="470"/>
      <c r="G122" s="175">
        <v>1581777672.21</v>
      </c>
      <c r="H122" s="175">
        <v>1588611273.0799999</v>
      </c>
      <c r="I122" s="175">
        <v>1597454603.29</v>
      </c>
      <c r="J122" s="175">
        <v>1600086356.75</v>
      </c>
      <c r="K122" s="175">
        <v>1610383855.79</v>
      </c>
      <c r="L122" s="175">
        <v>1617254709.8699999</v>
      </c>
      <c r="M122" s="175">
        <v>1624031080.27</v>
      </c>
      <c r="N122" s="175">
        <v>1630565536.6700001</v>
      </c>
      <c r="O122" s="175">
        <v>1637209106.6500001</v>
      </c>
      <c r="P122" s="175">
        <v>1653946447.6099999</v>
      </c>
      <c r="Q122" s="175">
        <v>1660685131.3800001</v>
      </c>
      <c r="R122" s="175">
        <v>1667304733.72</v>
      </c>
      <c r="S122" s="175">
        <v>1668101447.1900001</v>
      </c>
      <c r="U122" s="175">
        <f t="shared" si="9"/>
        <v>1625954765.7292306</v>
      </c>
    </row>
    <row r="123" spans="1:21">
      <c r="A123" s="183" t="str">
        <f t="shared" si="7"/>
        <v>283</v>
      </c>
      <c r="B123" s="183" t="str">
        <f t="shared" si="8"/>
        <v>283.0</v>
      </c>
      <c r="C123" s="184" t="s">
        <v>1110</v>
      </c>
      <c r="D123" t="s">
        <v>1111</v>
      </c>
      <c r="E123" s="470"/>
      <c r="F123" s="470"/>
      <c r="G123" s="175">
        <v>47507059.780000001</v>
      </c>
      <c r="H123" s="175">
        <v>49607357.57</v>
      </c>
      <c r="I123" s="175">
        <v>52347972.82</v>
      </c>
      <c r="J123" s="175">
        <v>64527857.439999998</v>
      </c>
      <c r="K123" s="175">
        <v>68028297.950000003</v>
      </c>
      <c r="L123" s="175">
        <v>69868323.459999993</v>
      </c>
      <c r="M123" s="175">
        <v>70073396.989999995</v>
      </c>
      <c r="N123" s="175">
        <v>71316952.840000004</v>
      </c>
      <c r="O123" s="175">
        <v>72575927.599999994</v>
      </c>
      <c r="P123" s="175">
        <v>66313700.159999996</v>
      </c>
      <c r="Q123" s="175">
        <v>67875643.640000001</v>
      </c>
      <c r="R123" s="175">
        <v>70030560.069999993</v>
      </c>
      <c r="S123" s="175">
        <v>75368406.760000005</v>
      </c>
      <c r="U123" s="175">
        <f t="shared" si="9"/>
        <v>65033958.236923069</v>
      </c>
    </row>
    <row r="124" spans="1:21">
      <c r="A124" s="183" t="str">
        <f t="shared" si="7"/>
        <v>403</v>
      </c>
      <c r="B124" s="183" t="str">
        <f t="shared" si="8"/>
        <v>403.0</v>
      </c>
      <c r="C124" s="184" t="s">
        <v>1112</v>
      </c>
      <c r="D124" t="s">
        <v>1113</v>
      </c>
      <c r="E124" s="470"/>
      <c r="F124" s="470"/>
      <c r="G124" s="175">
        <v>36542548.618281104</v>
      </c>
      <c r="H124" s="175">
        <v>41488847.694078602</v>
      </c>
      <c r="I124" s="175">
        <v>41562832.422909297</v>
      </c>
      <c r="J124" s="175">
        <v>42041628.790323198</v>
      </c>
      <c r="K124" s="175">
        <v>42227311.198399603</v>
      </c>
      <c r="L124" s="175">
        <v>43251045.110362202</v>
      </c>
      <c r="M124" s="175">
        <v>43922736.657113597</v>
      </c>
      <c r="N124" s="175">
        <v>44604061.810109802</v>
      </c>
      <c r="O124" s="175">
        <v>44844156.736036003</v>
      </c>
      <c r="P124" s="175">
        <v>45042037.210545696</v>
      </c>
      <c r="Q124" s="175">
        <v>45195764.0979596</v>
      </c>
      <c r="R124" s="175">
        <v>45327609.105373502</v>
      </c>
      <c r="S124" s="175">
        <v>45463647.863449901</v>
      </c>
      <c r="U124" s="175">
        <f t="shared" si="9"/>
        <v>43193402.101149395</v>
      </c>
    </row>
    <row r="125" spans="1:21">
      <c r="A125" s="183" t="str">
        <f t="shared" si="7"/>
        <v>403</v>
      </c>
      <c r="B125" s="183" t="str">
        <f t="shared" si="8"/>
        <v>403.1</v>
      </c>
      <c r="C125" s="184" t="s">
        <v>1114</v>
      </c>
      <c r="D125" t="s">
        <v>1115</v>
      </c>
      <c r="E125" s="470"/>
      <c r="F125" s="470"/>
      <c r="G125" s="175">
        <v>0</v>
      </c>
      <c r="H125" s="175">
        <v>0</v>
      </c>
      <c r="I125" s="175">
        <v>0</v>
      </c>
      <c r="J125" s="175">
        <v>0</v>
      </c>
      <c r="K125" s="175">
        <v>0</v>
      </c>
      <c r="L125" s="175">
        <v>0</v>
      </c>
      <c r="M125" s="175">
        <v>0</v>
      </c>
      <c r="N125" s="175">
        <v>0</v>
      </c>
      <c r="O125" s="175">
        <v>0</v>
      </c>
      <c r="P125" s="175">
        <v>0</v>
      </c>
      <c r="Q125" s="175">
        <v>0</v>
      </c>
      <c r="R125" s="175">
        <v>0</v>
      </c>
      <c r="S125" s="175">
        <v>0</v>
      </c>
      <c r="U125" s="175">
        <f t="shared" si="9"/>
        <v>0</v>
      </c>
    </row>
    <row r="126" spans="1:21">
      <c r="A126" s="183" t="str">
        <f t="shared" si="7"/>
        <v>404</v>
      </c>
      <c r="B126" s="183" t="str">
        <f t="shared" si="8"/>
        <v>404.0</v>
      </c>
      <c r="C126" s="184" t="s">
        <v>1116</v>
      </c>
      <c r="D126" t="s">
        <v>1117</v>
      </c>
      <c r="E126" s="470"/>
      <c r="F126" s="470"/>
      <c r="G126" s="175">
        <v>3131050.9664149</v>
      </c>
      <c r="H126" s="175">
        <v>3275438.7564149001</v>
      </c>
      <c r="I126" s="175">
        <v>3274748.2864148999</v>
      </c>
      <c r="J126" s="175">
        <v>3277060.9764148998</v>
      </c>
      <c r="K126" s="175">
        <v>3289982.0064149001</v>
      </c>
      <c r="L126" s="175">
        <v>3292618.8364149001</v>
      </c>
      <c r="M126" s="175">
        <v>3293677.5064149001</v>
      </c>
      <c r="N126" s="175">
        <v>3295058.0764148999</v>
      </c>
      <c r="O126" s="175">
        <v>3294933.6064149002</v>
      </c>
      <c r="P126" s="175">
        <v>3294018.0764148999</v>
      </c>
      <c r="Q126" s="175">
        <v>3430006.2364149</v>
      </c>
      <c r="R126" s="175">
        <v>3606805.8864149</v>
      </c>
      <c r="S126" s="175">
        <v>3621100.1364149</v>
      </c>
      <c r="U126" s="175">
        <f t="shared" si="9"/>
        <v>3336653.7964149001</v>
      </c>
    </row>
    <row r="127" spans="1:21">
      <c r="A127" s="183" t="str">
        <f t="shared" si="7"/>
        <v>404</v>
      </c>
      <c r="B127" s="183" t="str">
        <f t="shared" si="8"/>
        <v>404.1</v>
      </c>
      <c r="C127" s="184" t="s">
        <v>1118</v>
      </c>
      <c r="D127" t="s">
        <v>1119</v>
      </c>
      <c r="E127" s="470"/>
      <c r="F127" s="470"/>
      <c r="G127" s="175">
        <v>0</v>
      </c>
      <c r="H127" s="175">
        <v>0</v>
      </c>
      <c r="I127" s="175">
        <v>0</v>
      </c>
      <c r="J127" s="175">
        <v>0</v>
      </c>
      <c r="K127" s="175">
        <v>0</v>
      </c>
      <c r="L127" s="175">
        <v>0</v>
      </c>
      <c r="M127" s="175">
        <v>0</v>
      </c>
      <c r="N127" s="175">
        <v>0</v>
      </c>
      <c r="O127" s="175">
        <v>0</v>
      </c>
      <c r="P127" s="175">
        <v>0</v>
      </c>
      <c r="Q127" s="175">
        <v>0</v>
      </c>
      <c r="R127" s="175">
        <v>0</v>
      </c>
      <c r="S127" s="175">
        <v>0</v>
      </c>
      <c r="U127" s="175">
        <f t="shared" si="9"/>
        <v>0</v>
      </c>
    </row>
    <row r="128" spans="1:21">
      <c r="A128" s="183" t="str">
        <f t="shared" si="7"/>
        <v>404</v>
      </c>
      <c r="B128" s="183" t="str">
        <f t="shared" si="8"/>
        <v>404.2</v>
      </c>
      <c r="C128" s="184" t="s">
        <v>1120</v>
      </c>
      <c r="D128" t="s">
        <v>1121</v>
      </c>
      <c r="E128" s="470"/>
      <c r="F128" s="470"/>
      <c r="G128" s="175">
        <v>0</v>
      </c>
      <c r="H128" s="175">
        <v>0</v>
      </c>
      <c r="I128" s="175">
        <v>0</v>
      </c>
      <c r="J128" s="175">
        <v>0</v>
      </c>
      <c r="K128" s="175">
        <v>0</v>
      </c>
      <c r="L128" s="175">
        <v>0</v>
      </c>
      <c r="M128" s="175">
        <v>0</v>
      </c>
      <c r="N128" s="175">
        <v>0</v>
      </c>
      <c r="O128" s="175">
        <v>0</v>
      </c>
      <c r="P128" s="175">
        <v>0</v>
      </c>
      <c r="Q128" s="175">
        <v>0</v>
      </c>
      <c r="R128" s="175">
        <v>0</v>
      </c>
      <c r="S128" s="175">
        <v>0</v>
      </c>
      <c r="U128" s="175">
        <f t="shared" si="9"/>
        <v>0</v>
      </c>
    </row>
    <row r="129" spans="1:21">
      <c r="A129" s="183" t="str">
        <f t="shared" si="7"/>
        <v>404</v>
      </c>
      <c r="B129" s="183" t="str">
        <f t="shared" si="8"/>
        <v>404.3</v>
      </c>
      <c r="C129" s="184" t="s">
        <v>1122</v>
      </c>
      <c r="D129" t="s">
        <v>1123</v>
      </c>
      <c r="E129" s="470"/>
      <c r="F129" s="470"/>
      <c r="G129" s="175">
        <v>0</v>
      </c>
      <c r="H129" s="175">
        <v>0</v>
      </c>
      <c r="I129" s="175">
        <v>0</v>
      </c>
      <c r="J129" s="175">
        <v>0</v>
      </c>
      <c r="K129" s="175">
        <v>0</v>
      </c>
      <c r="L129" s="175">
        <v>0</v>
      </c>
      <c r="M129" s="175">
        <v>0</v>
      </c>
      <c r="N129" s="175">
        <v>0</v>
      </c>
      <c r="O129" s="175">
        <v>0</v>
      </c>
      <c r="P129" s="175">
        <v>0</v>
      </c>
      <c r="Q129" s="175">
        <v>0</v>
      </c>
      <c r="R129" s="175">
        <v>0</v>
      </c>
      <c r="S129" s="175">
        <v>0</v>
      </c>
      <c r="U129" s="175">
        <f t="shared" si="9"/>
        <v>0</v>
      </c>
    </row>
    <row r="130" spans="1:21">
      <c r="A130" s="183" t="str">
        <f t="shared" si="7"/>
        <v>405</v>
      </c>
      <c r="B130" s="183" t="str">
        <f t="shared" si="8"/>
        <v>405.0</v>
      </c>
      <c r="C130" s="184" t="s">
        <v>1124</v>
      </c>
      <c r="D130" t="s">
        <v>1125</v>
      </c>
      <c r="E130" s="470"/>
      <c r="F130" s="470"/>
      <c r="G130" s="175">
        <v>0</v>
      </c>
      <c r="H130" s="175">
        <v>0</v>
      </c>
      <c r="I130" s="175">
        <v>0</v>
      </c>
      <c r="J130" s="175">
        <v>0</v>
      </c>
      <c r="K130" s="175">
        <v>0</v>
      </c>
      <c r="L130" s="175">
        <v>0</v>
      </c>
      <c r="M130" s="175">
        <v>0</v>
      </c>
      <c r="N130" s="175">
        <v>0</v>
      </c>
      <c r="O130" s="175">
        <v>0</v>
      </c>
      <c r="P130" s="175">
        <v>0</v>
      </c>
      <c r="Q130" s="175">
        <v>0</v>
      </c>
      <c r="R130" s="175">
        <v>0</v>
      </c>
      <c r="S130" s="175">
        <v>0</v>
      </c>
      <c r="U130" s="175">
        <f t="shared" si="9"/>
        <v>0</v>
      </c>
    </row>
    <row r="131" spans="1:21">
      <c r="A131" s="183" t="str">
        <f t="shared" si="7"/>
        <v>406</v>
      </c>
      <c r="B131" s="183" t="str">
        <f t="shared" si="8"/>
        <v>406.0</v>
      </c>
      <c r="C131" s="184" t="s">
        <v>1126</v>
      </c>
      <c r="D131" t="s">
        <v>1127</v>
      </c>
      <c r="E131" s="470"/>
      <c r="F131" s="470"/>
      <c r="G131" s="175">
        <v>15479.11</v>
      </c>
      <c r="H131" s="175">
        <v>15479.11</v>
      </c>
      <c r="I131" s="175">
        <v>15479.11</v>
      </c>
      <c r="J131" s="175">
        <v>15479.11</v>
      </c>
      <c r="K131" s="175">
        <v>15479.11</v>
      </c>
      <c r="L131" s="175">
        <v>15479.11</v>
      </c>
      <c r="M131" s="175">
        <v>15479.11</v>
      </c>
      <c r="N131" s="175">
        <v>15479.11</v>
      </c>
      <c r="O131" s="175">
        <v>15479.11</v>
      </c>
      <c r="P131" s="175">
        <v>15479.11</v>
      </c>
      <c r="Q131" s="175">
        <v>15479.11</v>
      </c>
      <c r="R131" s="175">
        <v>15479.11</v>
      </c>
      <c r="S131" s="175">
        <v>15479.11</v>
      </c>
      <c r="U131" s="175">
        <f t="shared" si="9"/>
        <v>15479.109999999995</v>
      </c>
    </row>
    <row r="132" spans="1:21">
      <c r="A132" s="183" t="str">
        <f t="shared" si="7"/>
        <v>407</v>
      </c>
      <c r="B132" s="183" t="str">
        <f t="shared" si="8"/>
        <v>407.0</v>
      </c>
      <c r="C132" s="184" t="s">
        <v>1128</v>
      </c>
      <c r="D132" t="s">
        <v>1129</v>
      </c>
      <c r="E132" s="470"/>
      <c r="F132" s="470"/>
      <c r="G132" s="175">
        <v>2475501.11</v>
      </c>
      <c r="H132" s="175">
        <v>1821528.62</v>
      </c>
      <c r="I132" s="175">
        <v>1821528.62</v>
      </c>
      <c r="J132" s="175">
        <v>1821528.62</v>
      </c>
      <c r="K132" s="175">
        <v>1821528.62</v>
      </c>
      <c r="L132" s="175">
        <v>1821528.62</v>
      </c>
      <c r="M132" s="175">
        <v>1821528.62</v>
      </c>
      <c r="N132" s="175">
        <v>1821528.62</v>
      </c>
      <c r="O132" s="175">
        <v>1821528.62</v>
      </c>
      <c r="P132" s="175">
        <v>1821528.62</v>
      </c>
      <c r="Q132" s="175">
        <v>1821528.62</v>
      </c>
      <c r="R132" s="175">
        <v>1821528.62</v>
      </c>
      <c r="S132" s="175">
        <v>1821528.53</v>
      </c>
      <c r="U132" s="175">
        <f t="shared" si="9"/>
        <v>1871834.1892307699</v>
      </c>
    </row>
    <row r="133" spans="1:21">
      <c r="A133" s="183" t="str">
        <f t="shared" si="7"/>
        <v>407</v>
      </c>
      <c r="B133" s="183" t="str">
        <f t="shared" si="8"/>
        <v>407.1</v>
      </c>
      <c r="C133" s="184" t="s">
        <v>1130</v>
      </c>
      <c r="D133" t="s">
        <v>1131</v>
      </c>
      <c r="E133" s="470"/>
      <c r="F133" s="470"/>
      <c r="G133" s="175">
        <v>0</v>
      </c>
      <c r="H133" s="175">
        <v>0</v>
      </c>
      <c r="I133" s="175">
        <v>0</v>
      </c>
      <c r="J133" s="175">
        <v>0</v>
      </c>
      <c r="K133" s="175">
        <v>0</v>
      </c>
      <c r="L133" s="175">
        <v>0</v>
      </c>
      <c r="M133" s="175">
        <v>0</v>
      </c>
      <c r="N133" s="175">
        <v>0</v>
      </c>
      <c r="O133" s="175">
        <v>0</v>
      </c>
      <c r="P133" s="175">
        <v>0</v>
      </c>
      <c r="Q133" s="175">
        <v>0</v>
      </c>
      <c r="R133" s="175">
        <v>0</v>
      </c>
      <c r="S133" s="175">
        <v>0</v>
      </c>
      <c r="U133" s="175">
        <f t="shared" si="9"/>
        <v>0</v>
      </c>
    </row>
    <row r="134" spans="1:21">
      <c r="A134" s="183" t="str">
        <f t="shared" si="7"/>
        <v>407</v>
      </c>
      <c r="B134" s="183" t="str">
        <f t="shared" si="8"/>
        <v>407.2</v>
      </c>
      <c r="C134" s="184" t="s">
        <v>1132</v>
      </c>
      <c r="D134" t="s">
        <v>1133</v>
      </c>
      <c r="E134" s="470"/>
      <c r="F134" s="470"/>
      <c r="G134" s="175">
        <v>0</v>
      </c>
      <c r="H134" s="175">
        <v>0</v>
      </c>
      <c r="I134" s="175">
        <v>0</v>
      </c>
      <c r="J134" s="175">
        <v>0</v>
      </c>
      <c r="K134" s="175">
        <v>0</v>
      </c>
      <c r="L134" s="175">
        <v>0</v>
      </c>
      <c r="M134" s="175">
        <v>0</v>
      </c>
      <c r="N134" s="175">
        <v>0</v>
      </c>
      <c r="O134" s="175">
        <v>0</v>
      </c>
      <c r="P134" s="175">
        <v>0</v>
      </c>
      <c r="Q134" s="175">
        <v>0</v>
      </c>
      <c r="R134" s="175">
        <v>0</v>
      </c>
      <c r="S134" s="175">
        <v>0</v>
      </c>
      <c r="U134" s="175">
        <f t="shared" si="9"/>
        <v>0</v>
      </c>
    </row>
    <row r="135" spans="1:21">
      <c r="A135" s="183" t="str">
        <f t="shared" ref="A135:A198" si="10">MID(C135,2,3)</f>
        <v>407</v>
      </c>
      <c r="B135" s="183" t="str">
        <f t="shared" ref="B135:B198" si="11">MID(C135,2,3)&amp;"."&amp;MID(C135,5,1)</f>
        <v>407.3</v>
      </c>
      <c r="C135" s="184" t="s">
        <v>1134</v>
      </c>
      <c r="D135" t="s">
        <v>1135</v>
      </c>
      <c r="E135" s="470"/>
      <c r="F135" s="470"/>
      <c r="G135" s="175">
        <v>12859333.751640501</v>
      </c>
      <c r="H135" s="175">
        <v>-7774.9732567999999</v>
      </c>
      <c r="I135" s="175">
        <v>-49848.639766400003</v>
      </c>
      <c r="J135" s="175">
        <v>238336.30655420001</v>
      </c>
      <c r="K135" s="175">
        <v>-24636.452563999999</v>
      </c>
      <c r="L135" s="175">
        <v>690817.25900840003</v>
      </c>
      <c r="M135" s="175">
        <v>5371337.0593633</v>
      </c>
      <c r="N135" s="175">
        <v>4263219.8883001003</v>
      </c>
      <c r="O135" s="175">
        <v>2814911.3854621002</v>
      </c>
      <c r="P135" s="175">
        <v>10250727.6839789</v>
      </c>
      <c r="Q135" s="175">
        <v>3539022.1612995998</v>
      </c>
      <c r="R135" s="175">
        <v>3191743.7693457999</v>
      </c>
      <c r="S135" s="175">
        <v>348055.87583500001</v>
      </c>
      <c r="U135" s="175">
        <f t="shared" ref="U135:U198" si="12">AVERAGE(G135:S135)</f>
        <v>3345018.8519385154</v>
      </c>
    </row>
    <row r="136" spans="1:21">
      <c r="A136" s="183" t="str">
        <f t="shared" si="10"/>
        <v>407</v>
      </c>
      <c r="B136" s="183" t="str">
        <f t="shared" si="11"/>
        <v>407.4</v>
      </c>
      <c r="C136" s="184" t="s">
        <v>1136</v>
      </c>
      <c r="D136" t="s">
        <v>1137</v>
      </c>
      <c r="E136" s="470"/>
      <c r="F136" s="470"/>
      <c r="G136" s="175">
        <v>-14403291.5848442</v>
      </c>
      <c r="H136" s="175">
        <v>-8348681.6682722</v>
      </c>
      <c r="I136" s="175">
        <v>-6052339.4800795</v>
      </c>
      <c r="J136" s="175">
        <v>-6316091.7233058996</v>
      </c>
      <c r="K136" s="175">
        <v>-5670334.7558963001</v>
      </c>
      <c r="L136" s="175">
        <v>-1867764</v>
      </c>
      <c r="M136" s="175">
        <v>-1018702</v>
      </c>
      <c r="N136" s="175">
        <v>-1018702.4822816</v>
      </c>
      <c r="O136" s="175">
        <v>-1018702.6855728</v>
      </c>
      <c r="P136" s="175">
        <v>-1018702</v>
      </c>
      <c r="Q136" s="175">
        <v>-1399819</v>
      </c>
      <c r="R136" s="175">
        <v>-3090877.2551767998</v>
      </c>
      <c r="S136" s="175">
        <v>-10737053.7194106</v>
      </c>
      <c r="U136" s="175">
        <f t="shared" si="12"/>
        <v>-4766235.5657569151</v>
      </c>
    </row>
    <row r="137" spans="1:21">
      <c r="A137" s="183" t="str">
        <f t="shared" si="10"/>
        <v>408</v>
      </c>
      <c r="B137" s="183" t="str">
        <f t="shared" si="11"/>
        <v>408.1</v>
      </c>
      <c r="C137" s="184" t="s">
        <v>1138</v>
      </c>
      <c r="D137" t="s">
        <v>1139</v>
      </c>
      <c r="E137" s="470"/>
      <c r="F137" s="470"/>
      <c r="G137" s="175">
        <v>17837410.345667999</v>
      </c>
      <c r="H137" s="175">
        <v>18246787.511582699</v>
      </c>
      <c r="I137" s="175">
        <v>17528678.929778598</v>
      </c>
      <c r="J137" s="175">
        <v>17309449.666929498</v>
      </c>
      <c r="K137" s="175">
        <v>17728813.733107999</v>
      </c>
      <c r="L137" s="175">
        <v>19145271.940115299</v>
      </c>
      <c r="M137" s="175">
        <v>20137804.965055998</v>
      </c>
      <c r="N137" s="175">
        <v>20783022.348366499</v>
      </c>
      <c r="O137" s="175">
        <v>20548288.764339902</v>
      </c>
      <c r="P137" s="175">
        <v>20989536.235991001</v>
      </c>
      <c r="Q137" s="175">
        <v>20555572.970065299</v>
      </c>
      <c r="R137" s="175">
        <v>17572975.135949198</v>
      </c>
      <c r="S137" s="175">
        <v>17812460.5198287</v>
      </c>
      <c r="U137" s="175">
        <f t="shared" si="12"/>
        <v>18938159.466675285</v>
      </c>
    </row>
    <row r="138" spans="1:21">
      <c r="A138" s="183" t="str">
        <f t="shared" si="10"/>
        <v>408</v>
      </c>
      <c r="B138" s="183" t="str">
        <f t="shared" si="11"/>
        <v>408.2</v>
      </c>
      <c r="C138" s="184" t="s">
        <v>1140</v>
      </c>
      <c r="D138" t="s">
        <v>1141</v>
      </c>
      <c r="E138" s="470"/>
      <c r="F138" s="470"/>
      <c r="G138" s="175">
        <v>13733.368055999999</v>
      </c>
      <c r="H138" s="175">
        <v>14167.6212782</v>
      </c>
      <c r="I138" s="175">
        <v>13805.2196344</v>
      </c>
      <c r="J138" s="175">
        <v>13809.379686</v>
      </c>
      <c r="K138" s="175">
        <v>13992.7143817</v>
      </c>
      <c r="L138" s="175">
        <v>14251.987278299999</v>
      </c>
      <c r="M138" s="175">
        <v>13697.3801542</v>
      </c>
      <c r="N138" s="175">
        <v>14251.987278299999</v>
      </c>
      <c r="O138" s="175">
        <v>14067.1183714</v>
      </c>
      <c r="P138" s="175">
        <v>13882.2494647</v>
      </c>
      <c r="Q138" s="175">
        <v>14256.5435251</v>
      </c>
      <c r="R138" s="175">
        <v>13886.4095163</v>
      </c>
      <c r="S138" s="175">
        <v>14071.476520599999</v>
      </c>
      <c r="U138" s="175">
        <f t="shared" si="12"/>
        <v>13990.265780399999</v>
      </c>
    </row>
    <row r="139" spans="1:21">
      <c r="A139" s="183" t="str">
        <f t="shared" si="10"/>
        <v>409</v>
      </c>
      <c r="B139" s="183" t="str">
        <f t="shared" si="11"/>
        <v>409.1</v>
      </c>
      <c r="C139" s="184" t="s">
        <v>1142</v>
      </c>
      <c r="D139" t="s">
        <v>1143</v>
      </c>
      <c r="E139" s="470"/>
      <c r="F139" s="470"/>
      <c r="G139" s="175">
        <v>343808</v>
      </c>
      <c r="H139" s="175">
        <v>1087301.83</v>
      </c>
      <c r="I139" s="175">
        <v>-582658.01</v>
      </c>
      <c r="J139" s="175">
        <v>-9111980.7899999991</v>
      </c>
      <c r="K139" s="175">
        <v>227182.27</v>
      </c>
      <c r="L139" s="175">
        <v>5055310.8</v>
      </c>
      <c r="M139" s="175">
        <v>7483095.7800000003</v>
      </c>
      <c r="N139" s="175">
        <v>9156823.3200000003</v>
      </c>
      <c r="O139" s="175">
        <v>10014215.4</v>
      </c>
      <c r="P139" s="175">
        <v>5433674.8200000003</v>
      </c>
      <c r="Q139" s="175">
        <v>3108141.63</v>
      </c>
      <c r="R139" s="175">
        <v>-2126205.92</v>
      </c>
      <c r="S139" s="175">
        <v>-2300576.62</v>
      </c>
      <c r="U139" s="175">
        <f t="shared" si="12"/>
        <v>2137548.6546153845</v>
      </c>
    </row>
    <row r="140" spans="1:21">
      <c r="A140" s="183" t="str">
        <f t="shared" si="10"/>
        <v>409</v>
      </c>
      <c r="B140" s="183" t="str">
        <f t="shared" si="11"/>
        <v>409.2</v>
      </c>
      <c r="C140" s="184" t="s">
        <v>1144</v>
      </c>
      <c r="D140" t="s">
        <v>1145</v>
      </c>
      <c r="E140" s="470"/>
      <c r="F140" s="470"/>
      <c r="G140" s="175">
        <v>270247</v>
      </c>
      <c r="H140" s="175">
        <v>295143.81</v>
      </c>
      <c r="I140" s="175">
        <v>337053.38</v>
      </c>
      <c r="J140" s="175">
        <v>355556.22</v>
      </c>
      <c r="K140" s="175">
        <v>328532.89</v>
      </c>
      <c r="L140" s="175">
        <v>350446.19</v>
      </c>
      <c r="M140" s="175">
        <v>335056.61</v>
      </c>
      <c r="N140" s="175">
        <v>1060837.22</v>
      </c>
      <c r="O140" s="175">
        <v>694193.95</v>
      </c>
      <c r="P140" s="175">
        <v>360895.35</v>
      </c>
      <c r="Q140" s="175">
        <v>365894.45</v>
      </c>
      <c r="R140" s="175">
        <v>376061</v>
      </c>
      <c r="S140" s="175">
        <v>334659.15999999997</v>
      </c>
      <c r="U140" s="175">
        <f t="shared" si="12"/>
        <v>420352.09461538465</v>
      </c>
    </row>
    <row r="141" spans="1:21">
      <c r="A141" s="183" t="str">
        <f t="shared" si="10"/>
        <v>409</v>
      </c>
      <c r="B141" s="183" t="str">
        <f t="shared" si="11"/>
        <v>409.3</v>
      </c>
      <c r="C141" s="184" t="s">
        <v>1146</v>
      </c>
      <c r="D141" t="s">
        <v>1147</v>
      </c>
      <c r="E141" s="470"/>
      <c r="F141" s="470"/>
      <c r="G141" s="175">
        <v>0</v>
      </c>
      <c r="H141" s="175">
        <v>0</v>
      </c>
      <c r="I141" s="175">
        <v>0</v>
      </c>
      <c r="J141" s="175">
        <v>0</v>
      </c>
      <c r="K141" s="175">
        <v>0</v>
      </c>
      <c r="L141" s="175">
        <v>0</v>
      </c>
      <c r="M141" s="175">
        <v>0</v>
      </c>
      <c r="N141" s="175">
        <v>0</v>
      </c>
      <c r="O141" s="175">
        <v>0</v>
      </c>
      <c r="P141" s="175">
        <v>0</v>
      </c>
      <c r="Q141" s="175">
        <v>0</v>
      </c>
      <c r="R141" s="175">
        <v>0</v>
      </c>
      <c r="S141" s="175">
        <v>0</v>
      </c>
      <c r="U141" s="175">
        <f t="shared" si="12"/>
        <v>0</v>
      </c>
    </row>
    <row r="142" spans="1:21">
      <c r="A142" s="183" t="str">
        <f t="shared" si="10"/>
        <v>410</v>
      </c>
      <c r="B142" s="183" t="str">
        <f t="shared" si="11"/>
        <v>410.1</v>
      </c>
      <c r="C142" s="184" t="s">
        <v>1148</v>
      </c>
      <c r="D142" t="s">
        <v>1149</v>
      </c>
      <c r="E142" s="470"/>
      <c r="F142" s="470"/>
      <c r="G142" s="175">
        <v>11593916</v>
      </c>
      <c r="H142" s="175">
        <v>8850148.4700000007</v>
      </c>
      <c r="I142" s="175">
        <v>8912913.3599999994</v>
      </c>
      <c r="J142" s="175">
        <v>21367418.73</v>
      </c>
      <c r="K142" s="175">
        <v>9275235.4700000007</v>
      </c>
      <c r="L142" s="175">
        <v>8791473.6899999995</v>
      </c>
      <c r="M142" s="175">
        <v>9046956.3599999994</v>
      </c>
      <c r="N142" s="175">
        <v>8555737.6199999992</v>
      </c>
      <c r="O142" s="175">
        <v>8723774.6099999994</v>
      </c>
      <c r="P142" s="175">
        <v>9090251.2300000004</v>
      </c>
      <c r="Q142" s="175">
        <v>8693599.1400000006</v>
      </c>
      <c r="R142" s="175">
        <v>8653620.4100000001</v>
      </c>
      <c r="S142" s="175">
        <v>15935137.49</v>
      </c>
      <c r="U142" s="175">
        <f t="shared" si="12"/>
        <v>10576167.890769232</v>
      </c>
    </row>
    <row r="143" spans="1:21">
      <c r="A143" s="183" t="str">
        <f t="shared" si="10"/>
        <v>410</v>
      </c>
      <c r="B143" s="183" t="str">
        <f t="shared" si="11"/>
        <v>410.2</v>
      </c>
      <c r="C143" s="184" t="s">
        <v>1150</v>
      </c>
      <c r="D143" t="s">
        <v>1151</v>
      </c>
      <c r="E143" s="470"/>
      <c r="F143" s="470"/>
      <c r="G143" s="175">
        <v>0</v>
      </c>
      <c r="H143" s="175">
        <v>0</v>
      </c>
      <c r="I143" s="175">
        <v>0</v>
      </c>
      <c r="J143" s="175">
        <v>0</v>
      </c>
      <c r="K143" s="175">
        <v>0</v>
      </c>
      <c r="L143" s="175">
        <v>0</v>
      </c>
      <c r="M143" s="175">
        <v>0</v>
      </c>
      <c r="N143" s="175">
        <v>0</v>
      </c>
      <c r="O143" s="175">
        <v>0</v>
      </c>
      <c r="P143" s="175">
        <v>0</v>
      </c>
      <c r="Q143" s="175">
        <v>0</v>
      </c>
      <c r="R143" s="175">
        <v>0</v>
      </c>
      <c r="S143" s="175">
        <v>0</v>
      </c>
      <c r="U143" s="175">
        <f t="shared" si="12"/>
        <v>0</v>
      </c>
    </row>
    <row r="144" spans="1:21">
      <c r="A144" s="183" t="str">
        <f t="shared" si="10"/>
        <v>411</v>
      </c>
      <c r="B144" s="183" t="str">
        <f t="shared" si="11"/>
        <v>411.1</v>
      </c>
      <c r="C144" s="184" t="s">
        <v>1152</v>
      </c>
      <c r="D144" t="s">
        <v>1153</v>
      </c>
      <c r="E144" s="470"/>
      <c r="F144" s="470"/>
      <c r="G144" s="175">
        <v>-7445126</v>
      </c>
      <c r="H144" s="175">
        <v>-7139048.3499999996</v>
      </c>
      <c r="I144" s="175">
        <v>-22650092.289999999</v>
      </c>
      <c r="J144" s="175">
        <v>-8292780.3399999999</v>
      </c>
      <c r="K144" s="175">
        <v>-34391944.259999998</v>
      </c>
      <c r="L144" s="175">
        <v>-9164499.2799999993</v>
      </c>
      <c r="M144" s="175">
        <v>-9976540.8800000008</v>
      </c>
      <c r="N144" s="175">
        <v>-8545650.1600000001</v>
      </c>
      <c r="O144" s="175">
        <v>-8866605.2100000009</v>
      </c>
      <c r="P144" s="175">
        <v>-19215967.059999999</v>
      </c>
      <c r="Q144" s="175">
        <v>-8325537.5700000003</v>
      </c>
      <c r="R144" s="175">
        <v>-7121616.6600000001</v>
      </c>
      <c r="S144" s="175">
        <v>-10243602.869999999</v>
      </c>
      <c r="U144" s="175">
        <f t="shared" si="12"/>
        <v>-12413770.071538461</v>
      </c>
    </row>
    <row r="145" spans="1:21">
      <c r="A145" s="183" t="str">
        <f t="shared" si="10"/>
        <v>411</v>
      </c>
      <c r="B145" s="183" t="str">
        <f t="shared" si="11"/>
        <v>411.2</v>
      </c>
      <c r="C145" s="184" t="s">
        <v>1154</v>
      </c>
      <c r="D145" t="s">
        <v>1155</v>
      </c>
      <c r="E145" s="470"/>
      <c r="F145" s="470"/>
      <c r="G145" s="175">
        <v>0</v>
      </c>
      <c r="H145" s="175">
        <v>0</v>
      </c>
      <c r="I145" s="175">
        <v>0</v>
      </c>
      <c r="J145" s="175">
        <v>0</v>
      </c>
      <c r="K145" s="175">
        <v>0</v>
      </c>
      <c r="L145" s="175">
        <v>0</v>
      </c>
      <c r="M145" s="175">
        <v>0</v>
      </c>
      <c r="N145" s="175">
        <v>0</v>
      </c>
      <c r="O145" s="175">
        <v>0</v>
      </c>
      <c r="P145" s="175">
        <v>0</v>
      </c>
      <c r="Q145" s="175">
        <v>0</v>
      </c>
      <c r="R145" s="175">
        <v>0</v>
      </c>
      <c r="S145" s="175">
        <v>0</v>
      </c>
      <c r="U145" s="175">
        <f t="shared" si="12"/>
        <v>0</v>
      </c>
    </row>
    <row r="146" spans="1:21">
      <c r="A146" s="183" t="str">
        <f t="shared" si="10"/>
        <v>411</v>
      </c>
      <c r="B146" s="183" t="str">
        <f t="shared" si="11"/>
        <v>411.4</v>
      </c>
      <c r="C146" s="184" t="s">
        <v>1156</v>
      </c>
      <c r="D146" t="s">
        <v>1157</v>
      </c>
      <c r="E146" s="470"/>
      <c r="F146" s="470"/>
      <c r="G146" s="175">
        <v>-719416</v>
      </c>
      <c r="H146" s="175">
        <v>-823442.24</v>
      </c>
      <c r="I146" s="175">
        <v>14389257.73</v>
      </c>
      <c r="J146" s="175">
        <v>-950214.23</v>
      </c>
      <c r="K146" s="175">
        <v>24696854.77</v>
      </c>
      <c r="L146" s="175">
        <v>-1163940.9099999999</v>
      </c>
      <c r="M146" s="175">
        <v>-1163940.8799999999</v>
      </c>
      <c r="N146" s="175">
        <v>-1163940.8799999999</v>
      </c>
      <c r="O146" s="175">
        <v>-1163940.9099999999</v>
      </c>
      <c r="P146" s="175">
        <v>-1163940.8799999999</v>
      </c>
      <c r="Q146" s="175">
        <v>-1163940.8799999999</v>
      </c>
      <c r="R146" s="175">
        <v>-1163940.9099999999</v>
      </c>
      <c r="S146" s="175">
        <v>280412.32</v>
      </c>
      <c r="U146" s="175">
        <f t="shared" si="12"/>
        <v>2209682.0076923082</v>
      </c>
    </row>
    <row r="147" spans="1:21">
      <c r="A147" s="183" t="str">
        <f t="shared" si="10"/>
        <v>411</v>
      </c>
      <c r="B147" s="183" t="str">
        <f t="shared" si="11"/>
        <v>411.5</v>
      </c>
      <c r="C147" s="184" t="s">
        <v>1158</v>
      </c>
      <c r="D147" t="s">
        <v>1159</v>
      </c>
      <c r="E147" s="470"/>
      <c r="F147" s="470"/>
      <c r="G147" s="175">
        <v>-1</v>
      </c>
      <c r="H147" s="175">
        <v>-927.92</v>
      </c>
      <c r="I147" s="175">
        <v>-927.91</v>
      </c>
      <c r="J147" s="175">
        <v>-927.92</v>
      </c>
      <c r="K147" s="175">
        <v>-927.92</v>
      </c>
      <c r="L147" s="175">
        <v>-927.91</v>
      </c>
      <c r="M147" s="175">
        <v>-927.92</v>
      </c>
      <c r="N147" s="175">
        <v>-927.92</v>
      </c>
      <c r="O147" s="175">
        <v>-927.91</v>
      </c>
      <c r="P147" s="175">
        <v>-927.92</v>
      </c>
      <c r="Q147" s="175">
        <v>-927.92</v>
      </c>
      <c r="R147" s="175">
        <v>-927.91</v>
      </c>
      <c r="S147" s="175">
        <v>-927.92</v>
      </c>
      <c r="U147" s="175">
        <f t="shared" si="12"/>
        <v>-856.61538461538464</v>
      </c>
    </row>
    <row r="148" spans="1:21">
      <c r="A148" s="183" t="str">
        <f t="shared" si="10"/>
        <v>411</v>
      </c>
      <c r="B148" s="183" t="str">
        <f t="shared" si="11"/>
        <v>411.6</v>
      </c>
      <c r="C148" s="184" t="s">
        <v>1160</v>
      </c>
      <c r="D148" t="s">
        <v>1161</v>
      </c>
      <c r="E148" s="470"/>
      <c r="F148" s="470"/>
      <c r="G148" s="175">
        <v>0</v>
      </c>
      <c r="H148" s="175">
        <v>0</v>
      </c>
      <c r="I148" s="175">
        <v>0</v>
      </c>
      <c r="J148" s="175">
        <v>0</v>
      </c>
      <c r="K148" s="175">
        <v>0</v>
      </c>
      <c r="L148" s="175">
        <v>0</v>
      </c>
      <c r="M148" s="175">
        <v>0</v>
      </c>
      <c r="N148" s="175">
        <v>0</v>
      </c>
      <c r="O148" s="175">
        <v>0</v>
      </c>
      <c r="P148" s="175">
        <v>0</v>
      </c>
      <c r="Q148" s="175">
        <v>0</v>
      </c>
      <c r="R148" s="175">
        <v>0</v>
      </c>
      <c r="S148" s="175">
        <v>0</v>
      </c>
      <c r="U148" s="175">
        <f t="shared" si="12"/>
        <v>0</v>
      </c>
    </row>
    <row r="149" spans="1:21">
      <c r="A149" s="183" t="str">
        <f t="shared" si="10"/>
        <v>411</v>
      </c>
      <c r="B149" s="183" t="str">
        <f t="shared" si="11"/>
        <v>411.7</v>
      </c>
      <c r="C149" s="184" t="s">
        <v>1162</v>
      </c>
      <c r="D149" t="s">
        <v>1163</v>
      </c>
      <c r="E149" s="470"/>
      <c r="F149" s="470"/>
      <c r="G149" s="175">
        <v>0</v>
      </c>
      <c r="H149" s="175">
        <v>0</v>
      </c>
      <c r="I149" s="175">
        <v>0</v>
      </c>
      <c r="J149" s="175">
        <v>0</v>
      </c>
      <c r="K149" s="175">
        <v>0</v>
      </c>
      <c r="L149" s="175">
        <v>0</v>
      </c>
      <c r="M149" s="175">
        <v>0</v>
      </c>
      <c r="N149" s="175">
        <v>0</v>
      </c>
      <c r="O149" s="175">
        <v>0</v>
      </c>
      <c r="P149" s="175">
        <v>0</v>
      </c>
      <c r="Q149" s="175">
        <v>0</v>
      </c>
      <c r="R149" s="175">
        <v>0</v>
      </c>
      <c r="S149" s="175">
        <v>0</v>
      </c>
      <c r="U149" s="175">
        <f t="shared" si="12"/>
        <v>0</v>
      </c>
    </row>
    <row r="150" spans="1:21">
      <c r="A150" s="183" t="str">
        <f t="shared" si="10"/>
        <v>411</v>
      </c>
      <c r="B150" s="183" t="str">
        <f t="shared" si="11"/>
        <v>411.8</v>
      </c>
      <c r="C150" s="184" t="s">
        <v>1164</v>
      </c>
      <c r="D150" t="s">
        <v>1165</v>
      </c>
      <c r="E150" s="470"/>
      <c r="F150" s="470"/>
      <c r="G150" s="175">
        <v>303442</v>
      </c>
      <c r="H150" s="175">
        <v>303440</v>
      </c>
      <c r="I150" s="175">
        <v>283864</v>
      </c>
      <c r="J150" s="175">
        <v>303440</v>
      </c>
      <c r="K150" s="175">
        <v>293652</v>
      </c>
      <c r="L150" s="175">
        <v>303440</v>
      </c>
      <c r="M150" s="175">
        <v>293652</v>
      </c>
      <c r="N150" s="175">
        <v>303440</v>
      </c>
      <c r="O150" s="175">
        <v>303440</v>
      </c>
      <c r="P150" s="175">
        <v>293652</v>
      </c>
      <c r="Q150" s="175">
        <v>303440</v>
      </c>
      <c r="R150" s="175">
        <v>293652</v>
      </c>
      <c r="S150" s="175">
        <v>303442</v>
      </c>
      <c r="U150" s="175">
        <f t="shared" si="12"/>
        <v>298922.76923076925</v>
      </c>
    </row>
    <row r="151" spans="1:21">
      <c r="A151" s="183" t="str">
        <f t="shared" si="10"/>
        <v>411</v>
      </c>
      <c r="B151" s="183" t="str">
        <f t="shared" si="11"/>
        <v>411.9</v>
      </c>
      <c r="C151" s="184" t="s">
        <v>1166</v>
      </c>
      <c r="D151" t="s">
        <v>1167</v>
      </c>
      <c r="E151" s="470"/>
      <c r="F151" s="470"/>
      <c r="G151" s="175">
        <v>0</v>
      </c>
      <c r="H151" s="175">
        <v>0</v>
      </c>
      <c r="I151" s="175">
        <v>0</v>
      </c>
      <c r="J151" s="175">
        <v>0</v>
      </c>
      <c r="K151" s="175">
        <v>0</v>
      </c>
      <c r="L151" s="175">
        <v>0</v>
      </c>
      <c r="M151" s="175">
        <v>0</v>
      </c>
      <c r="N151" s="175">
        <v>0</v>
      </c>
      <c r="O151" s="175">
        <v>0</v>
      </c>
      <c r="P151" s="175">
        <v>0</v>
      </c>
      <c r="Q151" s="175">
        <v>0</v>
      </c>
      <c r="R151" s="175">
        <v>0</v>
      </c>
      <c r="S151" s="175">
        <v>0</v>
      </c>
      <c r="U151" s="175">
        <f t="shared" si="12"/>
        <v>0</v>
      </c>
    </row>
    <row r="152" spans="1:21">
      <c r="A152" s="183" t="str">
        <f t="shared" si="10"/>
        <v>412</v>
      </c>
      <c r="B152" s="183" t="str">
        <f t="shared" si="11"/>
        <v>412.0</v>
      </c>
      <c r="C152" s="184" t="s">
        <v>1168</v>
      </c>
      <c r="D152" t="s">
        <v>1169</v>
      </c>
      <c r="E152" s="470"/>
      <c r="F152" s="470"/>
      <c r="G152" s="175">
        <v>0</v>
      </c>
      <c r="H152" s="175">
        <v>0</v>
      </c>
      <c r="I152" s="175">
        <v>0</v>
      </c>
      <c r="J152" s="175">
        <v>0</v>
      </c>
      <c r="K152" s="175">
        <v>0</v>
      </c>
      <c r="L152" s="175">
        <v>0</v>
      </c>
      <c r="M152" s="175">
        <v>0</v>
      </c>
      <c r="N152" s="175">
        <v>0</v>
      </c>
      <c r="O152" s="175">
        <v>0</v>
      </c>
      <c r="P152" s="175">
        <v>0</v>
      </c>
      <c r="Q152" s="175">
        <v>0</v>
      </c>
      <c r="R152" s="175">
        <v>0</v>
      </c>
      <c r="S152" s="175">
        <v>0</v>
      </c>
      <c r="U152" s="175">
        <f t="shared" si="12"/>
        <v>0</v>
      </c>
    </row>
    <row r="153" spans="1:21">
      <c r="A153" s="183" t="str">
        <f t="shared" si="10"/>
        <v>413</v>
      </c>
      <c r="B153" s="183" t="str">
        <f t="shared" si="11"/>
        <v>413.0</v>
      </c>
      <c r="C153" s="184" t="s">
        <v>1170</v>
      </c>
      <c r="D153" t="s">
        <v>1171</v>
      </c>
      <c r="E153" s="470"/>
      <c r="F153" s="470"/>
      <c r="G153" s="175">
        <v>0</v>
      </c>
      <c r="H153" s="175">
        <v>0</v>
      </c>
      <c r="I153" s="175">
        <v>0</v>
      </c>
      <c r="J153" s="175">
        <v>0</v>
      </c>
      <c r="K153" s="175">
        <v>0</v>
      </c>
      <c r="L153" s="175">
        <v>0</v>
      </c>
      <c r="M153" s="175">
        <v>0</v>
      </c>
      <c r="N153" s="175">
        <v>0</v>
      </c>
      <c r="O153" s="175">
        <v>0</v>
      </c>
      <c r="P153" s="175">
        <v>0</v>
      </c>
      <c r="Q153" s="175">
        <v>0</v>
      </c>
      <c r="R153" s="175">
        <v>0</v>
      </c>
      <c r="S153" s="175">
        <v>0</v>
      </c>
      <c r="U153" s="175">
        <f t="shared" si="12"/>
        <v>0</v>
      </c>
    </row>
    <row r="154" spans="1:21">
      <c r="A154" s="183" t="str">
        <f t="shared" si="10"/>
        <v>414</v>
      </c>
      <c r="B154" s="183" t="str">
        <f t="shared" si="11"/>
        <v>414.0</v>
      </c>
      <c r="C154" s="184" t="s">
        <v>1172</v>
      </c>
      <c r="D154" t="s">
        <v>1173</v>
      </c>
      <c r="E154" s="470"/>
      <c r="F154" s="470"/>
      <c r="G154" s="175">
        <v>0</v>
      </c>
      <c r="H154" s="175">
        <v>0</v>
      </c>
      <c r="I154" s="175">
        <v>0</v>
      </c>
      <c r="J154" s="175">
        <v>0</v>
      </c>
      <c r="K154" s="175">
        <v>0</v>
      </c>
      <c r="L154" s="175">
        <v>0</v>
      </c>
      <c r="M154" s="175">
        <v>0</v>
      </c>
      <c r="N154" s="175">
        <v>0</v>
      </c>
      <c r="O154" s="175">
        <v>0</v>
      </c>
      <c r="P154" s="175">
        <v>0</v>
      </c>
      <c r="Q154" s="175">
        <v>0</v>
      </c>
      <c r="R154" s="175">
        <v>0</v>
      </c>
      <c r="S154" s="175">
        <v>0</v>
      </c>
      <c r="U154" s="175">
        <f t="shared" si="12"/>
        <v>0</v>
      </c>
    </row>
    <row r="155" spans="1:21">
      <c r="A155" s="183" t="str">
        <f t="shared" si="10"/>
        <v>415</v>
      </c>
      <c r="B155" s="183" t="str">
        <f t="shared" si="11"/>
        <v>415.0</v>
      </c>
      <c r="C155" s="184" t="s">
        <v>1174</v>
      </c>
      <c r="D155" t="s">
        <v>1175</v>
      </c>
      <c r="E155" s="470"/>
      <c r="F155" s="470"/>
      <c r="G155" s="175">
        <v>544200</v>
      </c>
      <c r="H155" s="175">
        <v>497000</v>
      </c>
      <c r="I155" s="175">
        <v>522600</v>
      </c>
      <c r="J155" s="175">
        <v>498200</v>
      </c>
      <c r="K155" s="175">
        <v>524800</v>
      </c>
      <c r="L155" s="175">
        <v>491500</v>
      </c>
      <c r="M155" s="175">
        <v>493100</v>
      </c>
      <c r="N155" s="175">
        <v>3282737</v>
      </c>
      <c r="O155" s="175">
        <v>2279763</v>
      </c>
      <c r="P155" s="175">
        <v>508900</v>
      </c>
      <c r="Q155" s="175">
        <v>559000</v>
      </c>
      <c r="R155" s="175">
        <v>509100</v>
      </c>
      <c r="S155" s="175">
        <v>544200</v>
      </c>
      <c r="U155" s="175">
        <f t="shared" si="12"/>
        <v>865776.92307692312</v>
      </c>
    </row>
    <row r="156" spans="1:21">
      <c r="A156" s="183" t="str">
        <f t="shared" si="10"/>
        <v>416</v>
      </c>
      <c r="B156" s="183" t="str">
        <f t="shared" si="11"/>
        <v>416.0</v>
      </c>
      <c r="C156" s="184" t="s">
        <v>1176</v>
      </c>
      <c r="D156" t="s">
        <v>1177</v>
      </c>
      <c r="E156" s="470"/>
      <c r="F156" s="470"/>
      <c r="G156" s="175">
        <v>374206.7299029</v>
      </c>
      <c r="H156" s="175">
        <v>364374.6200163</v>
      </c>
      <c r="I156" s="175">
        <v>356193.14113950002</v>
      </c>
      <c r="J156" s="175">
        <v>369786.7511395</v>
      </c>
      <c r="K156" s="175">
        <v>406348.84996869997</v>
      </c>
      <c r="L156" s="175">
        <v>381111.99176609999</v>
      </c>
      <c r="M156" s="175">
        <v>372701.26839380001</v>
      </c>
      <c r="N156" s="175">
        <v>382168.46176610002</v>
      </c>
      <c r="O156" s="175">
        <v>409156.90945929999</v>
      </c>
      <c r="P156" s="175">
        <v>376471.72715230001</v>
      </c>
      <c r="Q156" s="175">
        <v>382806.76176610001</v>
      </c>
      <c r="R156" s="175">
        <v>377671.70715229999</v>
      </c>
      <c r="S156" s="175">
        <v>386106.13945929997</v>
      </c>
      <c r="U156" s="175">
        <f t="shared" si="12"/>
        <v>379931.15839093842</v>
      </c>
    </row>
    <row r="157" spans="1:21">
      <c r="A157" s="183" t="str">
        <f t="shared" si="10"/>
        <v>417</v>
      </c>
      <c r="B157" s="183" t="str">
        <f t="shared" si="11"/>
        <v>417.0</v>
      </c>
      <c r="C157" s="184" t="s">
        <v>1178</v>
      </c>
      <c r="D157" t="s">
        <v>1179</v>
      </c>
      <c r="E157" s="470"/>
      <c r="F157" s="470"/>
      <c r="G157" s="175">
        <v>0</v>
      </c>
      <c r="H157" s="175">
        <v>0</v>
      </c>
      <c r="I157" s="175">
        <v>0</v>
      </c>
      <c r="J157" s="175">
        <v>0</v>
      </c>
      <c r="K157" s="175">
        <v>0</v>
      </c>
      <c r="L157" s="175">
        <v>0</v>
      </c>
      <c r="M157" s="175">
        <v>0</v>
      </c>
      <c r="N157" s="175">
        <v>0</v>
      </c>
      <c r="O157" s="175">
        <v>0</v>
      </c>
      <c r="P157" s="175">
        <v>0</v>
      </c>
      <c r="Q157" s="175">
        <v>0</v>
      </c>
      <c r="R157" s="175">
        <v>0</v>
      </c>
      <c r="S157" s="175">
        <v>0</v>
      </c>
      <c r="U157" s="175">
        <f t="shared" si="12"/>
        <v>0</v>
      </c>
    </row>
    <row r="158" spans="1:21">
      <c r="A158" s="183" t="str">
        <f t="shared" si="10"/>
        <v>417</v>
      </c>
      <c r="B158" s="183" t="str">
        <f t="shared" si="11"/>
        <v>417.1</v>
      </c>
      <c r="C158" s="184" t="s">
        <v>1180</v>
      </c>
      <c r="D158" t="s">
        <v>1181</v>
      </c>
      <c r="E158" s="470"/>
      <c r="F158" s="470"/>
      <c r="G158" s="175">
        <v>0</v>
      </c>
      <c r="H158" s="175">
        <v>0</v>
      </c>
      <c r="I158" s="175">
        <v>0</v>
      </c>
      <c r="J158" s="175">
        <v>0</v>
      </c>
      <c r="K158" s="175">
        <v>0</v>
      </c>
      <c r="L158" s="175">
        <v>0</v>
      </c>
      <c r="M158" s="175">
        <v>0</v>
      </c>
      <c r="N158" s="175">
        <v>0</v>
      </c>
      <c r="O158" s="175">
        <v>0</v>
      </c>
      <c r="P158" s="175">
        <v>0</v>
      </c>
      <c r="Q158" s="175">
        <v>0</v>
      </c>
      <c r="R158" s="175">
        <v>0</v>
      </c>
      <c r="S158" s="175">
        <v>0</v>
      </c>
      <c r="U158" s="175">
        <f t="shared" si="12"/>
        <v>0</v>
      </c>
    </row>
    <row r="159" spans="1:21">
      <c r="A159" s="183" t="str">
        <f t="shared" si="10"/>
        <v>418</v>
      </c>
      <c r="B159" s="183" t="str">
        <f t="shared" si="11"/>
        <v>418.0</v>
      </c>
      <c r="C159" s="184" t="s">
        <v>1182</v>
      </c>
      <c r="D159" t="s">
        <v>1183</v>
      </c>
      <c r="E159" s="470"/>
      <c r="F159" s="470"/>
      <c r="G159" s="175">
        <v>0</v>
      </c>
      <c r="H159" s="175">
        <v>0</v>
      </c>
      <c r="I159" s="175">
        <v>0</v>
      </c>
      <c r="J159" s="175">
        <v>0</v>
      </c>
      <c r="K159" s="175">
        <v>0</v>
      </c>
      <c r="L159" s="175">
        <v>0</v>
      </c>
      <c r="M159" s="175">
        <v>0</v>
      </c>
      <c r="N159" s="175">
        <v>0</v>
      </c>
      <c r="O159" s="175">
        <v>0</v>
      </c>
      <c r="P159" s="175">
        <v>0</v>
      </c>
      <c r="Q159" s="175">
        <v>0</v>
      </c>
      <c r="R159" s="175">
        <v>0</v>
      </c>
      <c r="S159" s="175">
        <v>0</v>
      </c>
      <c r="U159" s="175">
        <f t="shared" si="12"/>
        <v>0</v>
      </c>
    </row>
    <row r="160" spans="1:21">
      <c r="A160" s="183" t="str">
        <f t="shared" si="10"/>
        <v>418</v>
      </c>
      <c r="B160" s="183" t="str">
        <f t="shared" si="11"/>
        <v>418.1</v>
      </c>
      <c r="C160" s="184" t="s">
        <v>1184</v>
      </c>
      <c r="D160" t="s">
        <v>1185</v>
      </c>
      <c r="E160" s="470"/>
      <c r="F160" s="470"/>
      <c r="G160" s="175">
        <v>0</v>
      </c>
      <c r="H160" s="175">
        <v>0</v>
      </c>
      <c r="I160" s="175">
        <v>0</v>
      </c>
      <c r="J160" s="175">
        <v>0</v>
      </c>
      <c r="K160" s="175">
        <v>0</v>
      </c>
      <c r="L160" s="175">
        <v>0</v>
      </c>
      <c r="M160" s="175">
        <v>0</v>
      </c>
      <c r="N160" s="175">
        <v>0</v>
      </c>
      <c r="O160" s="175">
        <v>0</v>
      </c>
      <c r="P160" s="175">
        <v>0</v>
      </c>
      <c r="Q160" s="175">
        <v>0</v>
      </c>
      <c r="R160" s="175">
        <v>0</v>
      </c>
      <c r="S160" s="175">
        <v>0</v>
      </c>
      <c r="U160" s="175">
        <f t="shared" si="12"/>
        <v>0</v>
      </c>
    </row>
    <row r="161" spans="1:21">
      <c r="A161" s="183" t="str">
        <f t="shared" si="10"/>
        <v>419</v>
      </c>
      <c r="B161" s="183" t="str">
        <f t="shared" si="11"/>
        <v>419.0</v>
      </c>
      <c r="C161" s="184" t="s">
        <v>1186</v>
      </c>
      <c r="D161" t="s">
        <v>1187</v>
      </c>
      <c r="E161" s="470"/>
      <c r="F161" s="470"/>
      <c r="G161" s="175">
        <v>396813.29</v>
      </c>
      <c r="H161" s="175">
        <v>477078.17</v>
      </c>
      <c r="I161" s="175">
        <v>477078.17</v>
      </c>
      <c r="J161" s="175">
        <v>477078.17</v>
      </c>
      <c r="K161" s="175">
        <v>477078.17</v>
      </c>
      <c r="L161" s="175">
        <v>477078.17</v>
      </c>
      <c r="M161" s="175">
        <v>477078.17</v>
      </c>
      <c r="N161" s="175">
        <v>477078.17</v>
      </c>
      <c r="O161" s="175">
        <v>477078.17</v>
      </c>
      <c r="P161" s="175">
        <v>477078.17</v>
      </c>
      <c r="Q161" s="175">
        <v>477078.17</v>
      </c>
      <c r="R161" s="175">
        <v>477078.17</v>
      </c>
      <c r="S161" s="175">
        <v>477078.13</v>
      </c>
      <c r="U161" s="175">
        <f t="shared" si="12"/>
        <v>470903.94538461533</v>
      </c>
    </row>
    <row r="162" spans="1:21">
      <c r="A162" s="183" t="str">
        <f t="shared" si="10"/>
        <v>419</v>
      </c>
      <c r="B162" s="183" t="str">
        <f t="shared" si="11"/>
        <v>419.1</v>
      </c>
      <c r="C162" s="184" t="s">
        <v>1188</v>
      </c>
      <c r="D162" t="s">
        <v>1189</v>
      </c>
      <c r="E162" s="470"/>
      <c r="F162" s="470"/>
      <c r="G162" s="175">
        <v>3342061.76</v>
      </c>
      <c r="H162" s="175">
        <v>3349541.01</v>
      </c>
      <c r="I162" s="175">
        <v>3658499.68</v>
      </c>
      <c r="J162" s="175">
        <v>3877695.73</v>
      </c>
      <c r="K162" s="175">
        <v>3848217.69</v>
      </c>
      <c r="L162" s="175">
        <v>3298357.6</v>
      </c>
      <c r="M162" s="175">
        <v>2471278.0299999998</v>
      </c>
      <c r="N162" s="175">
        <v>2173673.31</v>
      </c>
      <c r="O162" s="175">
        <v>2411683.16</v>
      </c>
      <c r="P162" s="175">
        <v>2571129.9300000002</v>
      </c>
      <c r="Q162" s="175">
        <v>2647905.7400000002</v>
      </c>
      <c r="R162" s="175">
        <v>2706993.1</v>
      </c>
      <c r="S162" s="175">
        <v>2339546.1800000002</v>
      </c>
      <c r="U162" s="175">
        <f t="shared" si="12"/>
        <v>2976660.2246153848</v>
      </c>
    </row>
    <row r="163" spans="1:21">
      <c r="A163" s="183" t="str">
        <f t="shared" si="10"/>
        <v>420</v>
      </c>
      <c r="B163" s="183" t="str">
        <f t="shared" si="11"/>
        <v>420.0</v>
      </c>
      <c r="C163" s="184" t="s">
        <v>1190</v>
      </c>
      <c r="D163" t="s">
        <v>1191</v>
      </c>
      <c r="E163" s="470"/>
      <c r="F163" s="470"/>
      <c r="G163" s="175">
        <v>0</v>
      </c>
      <c r="H163" s="175">
        <v>0</v>
      </c>
      <c r="I163" s="175">
        <v>0</v>
      </c>
      <c r="J163" s="175">
        <v>0</v>
      </c>
      <c r="K163" s="175">
        <v>0</v>
      </c>
      <c r="L163" s="175">
        <v>0</v>
      </c>
      <c r="M163" s="175">
        <v>0</v>
      </c>
      <c r="N163" s="175">
        <v>0</v>
      </c>
      <c r="O163" s="175">
        <v>0</v>
      </c>
      <c r="P163" s="175">
        <v>0</v>
      </c>
      <c r="Q163" s="175">
        <v>0</v>
      </c>
      <c r="R163" s="175">
        <v>0</v>
      </c>
      <c r="S163" s="175">
        <v>0</v>
      </c>
      <c r="U163" s="175">
        <f t="shared" si="12"/>
        <v>0</v>
      </c>
    </row>
    <row r="164" spans="1:21">
      <c r="A164" s="183" t="str">
        <f t="shared" si="10"/>
        <v>421</v>
      </c>
      <c r="B164" s="183" t="str">
        <f t="shared" si="11"/>
        <v>421.0</v>
      </c>
      <c r="C164" s="184" t="s">
        <v>1192</v>
      </c>
      <c r="D164" t="s">
        <v>1193</v>
      </c>
      <c r="E164" s="470"/>
      <c r="F164" s="470"/>
      <c r="G164" s="175">
        <v>9051</v>
      </c>
      <c r="H164" s="175">
        <v>10219</v>
      </c>
      <c r="I164" s="175">
        <v>15087</v>
      </c>
      <c r="J164" s="175">
        <v>22567</v>
      </c>
      <c r="K164" s="175">
        <v>28914</v>
      </c>
      <c r="L164" s="175">
        <v>33171</v>
      </c>
      <c r="M164" s="175">
        <v>32970</v>
      </c>
      <c r="N164" s="175">
        <v>28959</v>
      </c>
      <c r="O164" s="175">
        <v>24807</v>
      </c>
      <c r="P164" s="175">
        <v>21555</v>
      </c>
      <c r="Q164" s="175">
        <v>19486</v>
      </c>
      <c r="R164" s="175">
        <v>21492</v>
      </c>
      <c r="S164" s="175">
        <v>27210</v>
      </c>
      <c r="U164" s="175">
        <f t="shared" si="12"/>
        <v>22729.846153846152</v>
      </c>
    </row>
    <row r="165" spans="1:21">
      <c r="A165" s="183" t="str">
        <f t="shared" si="10"/>
        <v>421</v>
      </c>
      <c r="B165" s="183" t="str">
        <f t="shared" si="11"/>
        <v>421.1</v>
      </c>
      <c r="C165" s="184" t="s">
        <v>1194</v>
      </c>
      <c r="D165" t="s">
        <v>1195</v>
      </c>
      <c r="E165" s="470"/>
      <c r="F165" s="470"/>
      <c r="G165" s="175">
        <v>0</v>
      </c>
      <c r="H165" s="175">
        <v>0</v>
      </c>
      <c r="I165" s="175">
        <v>0</v>
      </c>
      <c r="J165" s="175">
        <v>0</v>
      </c>
      <c r="K165" s="175">
        <v>0</v>
      </c>
      <c r="L165" s="175">
        <v>0</v>
      </c>
      <c r="M165" s="175">
        <v>0</v>
      </c>
      <c r="N165" s="175">
        <v>0</v>
      </c>
      <c r="O165" s="175">
        <v>0</v>
      </c>
      <c r="P165" s="175">
        <v>0</v>
      </c>
      <c r="Q165" s="175">
        <v>0</v>
      </c>
      <c r="R165" s="175">
        <v>0</v>
      </c>
      <c r="S165" s="175">
        <v>0</v>
      </c>
      <c r="U165" s="175">
        <f t="shared" si="12"/>
        <v>0</v>
      </c>
    </row>
    <row r="166" spans="1:21">
      <c r="A166" s="183" t="str">
        <f t="shared" si="10"/>
        <v>421</v>
      </c>
      <c r="B166" s="183" t="str">
        <f t="shared" si="11"/>
        <v>421.2</v>
      </c>
      <c r="C166" s="184" t="s">
        <v>1196</v>
      </c>
      <c r="D166" t="s">
        <v>1197</v>
      </c>
      <c r="E166" s="470"/>
      <c r="F166" s="470"/>
      <c r="G166" s="175">
        <v>0</v>
      </c>
      <c r="H166" s="175">
        <v>0</v>
      </c>
      <c r="I166" s="175">
        <v>0</v>
      </c>
      <c r="J166" s="175">
        <v>0</v>
      </c>
      <c r="K166" s="175">
        <v>0</v>
      </c>
      <c r="L166" s="175">
        <v>0</v>
      </c>
      <c r="M166" s="175">
        <v>0</v>
      </c>
      <c r="N166" s="175">
        <v>0</v>
      </c>
      <c r="O166" s="175">
        <v>0</v>
      </c>
      <c r="P166" s="175">
        <v>0</v>
      </c>
      <c r="Q166" s="175">
        <v>0</v>
      </c>
      <c r="R166" s="175">
        <v>0</v>
      </c>
      <c r="S166" s="175">
        <v>0</v>
      </c>
      <c r="U166" s="175">
        <f t="shared" si="12"/>
        <v>0</v>
      </c>
    </row>
    <row r="167" spans="1:21">
      <c r="A167" s="183" t="str">
        <f t="shared" si="10"/>
        <v>425</v>
      </c>
      <c r="B167" s="183" t="str">
        <f t="shared" si="11"/>
        <v>425.0</v>
      </c>
      <c r="C167" s="184" t="s">
        <v>1198</v>
      </c>
      <c r="D167" t="s">
        <v>1199</v>
      </c>
      <c r="E167" s="470"/>
      <c r="F167" s="470"/>
      <c r="G167" s="175">
        <v>4246.62</v>
      </c>
      <c r="H167" s="175">
        <v>4246.62</v>
      </c>
      <c r="I167" s="175">
        <v>4246.62</v>
      </c>
      <c r="J167" s="175">
        <v>4246.62</v>
      </c>
      <c r="K167" s="175">
        <v>4246.62</v>
      </c>
      <c r="L167" s="175">
        <v>4246.62</v>
      </c>
      <c r="M167" s="175">
        <v>4246.62</v>
      </c>
      <c r="N167" s="175">
        <v>4246.62</v>
      </c>
      <c r="O167" s="175">
        <v>4246.62</v>
      </c>
      <c r="P167" s="175">
        <v>4246.62</v>
      </c>
      <c r="Q167" s="175">
        <v>4246.62</v>
      </c>
      <c r="R167" s="175">
        <v>4246.62</v>
      </c>
      <c r="S167" s="175">
        <v>4246.62</v>
      </c>
      <c r="U167" s="175">
        <f t="shared" si="12"/>
        <v>4246.6200000000008</v>
      </c>
    </row>
    <row r="168" spans="1:21">
      <c r="A168" s="183" t="str">
        <f t="shared" si="10"/>
        <v>426</v>
      </c>
      <c r="B168" s="183" t="str">
        <f t="shared" si="11"/>
        <v>426.1</v>
      </c>
      <c r="C168" s="184" t="s">
        <v>1200</v>
      </c>
      <c r="D168" t="s">
        <v>1201</v>
      </c>
      <c r="E168" s="470"/>
      <c r="F168" s="470"/>
      <c r="G168" s="175">
        <v>307583</v>
      </c>
      <c r="H168" s="175">
        <v>411083</v>
      </c>
      <c r="I168" s="175">
        <v>209333</v>
      </c>
      <c r="J168" s="175">
        <v>180417</v>
      </c>
      <c r="K168" s="175">
        <v>283933</v>
      </c>
      <c r="L168" s="175">
        <v>193583</v>
      </c>
      <c r="M168" s="175">
        <v>264183</v>
      </c>
      <c r="N168" s="175">
        <v>176583</v>
      </c>
      <c r="O168" s="175">
        <v>589233</v>
      </c>
      <c r="P168" s="175">
        <v>162583</v>
      </c>
      <c r="Q168" s="175">
        <v>184783</v>
      </c>
      <c r="R168" s="175">
        <v>101733</v>
      </c>
      <c r="S168" s="175">
        <v>297583</v>
      </c>
      <c r="U168" s="175">
        <f t="shared" si="12"/>
        <v>258662.53846153847</v>
      </c>
    </row>
    <row r="169" spans="1:21">
      <c r="A169" s="183" t="str">
        <f t="shared" si="10"/>
        <v>426</v>
      </c>
      <c r="B169" s="183" t="str">
        <f t="shared" si="11"/>
        <v>426.2</v>
      </c>
      <c r="C169" s="184" t="s">
        <v>1202</v>
      </c>
      <c r="D169" t="s">
        <v>1203</v>
      </c>
      <c r="E169" s="470"/>
      <c r="F169" s="470"/>
      <c r="G169" s="175">
        <v>0</v>
      </c>
      <c r="H169" s="175">
        <v>0</v>
      </c>
      <c r="I169" s="175">
        <v>0</v>
      </c>
      <c r="J169" s="175">
        <v>0</v>
      </c>
      <c r="K169" s="175">
        <v>0</v>
      </c>
      <c r="L169" s="175">
        <v>0</v>
      </c>
      <c r="M169" s="175">
        <v>0</v>
      </c>
      <c r="N169" s="175">
        <v>0</v>
      </c>
      <c r="O169" s="175">
        <v>0</v>
      </c>
      <c r="P169" s="175">
        <v>0</v>
      </c>
      <c r="Q169" s="175">
        <v>0</v>
      </c>
      <c r="R169" s="175">
        <v>0</v>
      </c>
      <c r="S169" s="175">
        <v>0</v>
      </c>
      <c r="U169" s="175">
        <f t="shared" si="12"/>
        <v>0</v>
      </c>
    </row>
    <row r="170" spans="1:21">
      <c r="A170" s="183" t="str">
        <f t="shared" si="10"/>
        <v>426</v>
      </c>
      <c r="B170" s="183" t="str">
        <f t="shared" si="11"/>
        <v>426.3</v>
      </c>
      <c r="C170" s="184" t="s">
        <v>1204</v>
      </c>
      <c r="D170" t="s">
        <v>1205</v>
      </c>
      <c r="E170" s="470"/>
      <c r="F170" s="470"/>
      <c r="G170" s="175">
        <v>0</v>
      </c>
      <c r="H170" s="175">
        <v>0</v>
      </c>
      <c r="I170" s="175">
        <v>75000</v>
      </c>
      <c r="J170" s="175">
        <v>0</v>
      </c>
      <c r="K170" s="175">
        <v>0</v>
      </c>
      <c r="L170" s="175">
        <v>0</v>
      </c>
      <c r="M170" s="175">
        <v>0</v>
      </c>
      <c r="N170" s="175">
        <v>0</v>
      </c>
      <c r="O170" s="175">
        <v>0</v>
      </c>
      <c r="P170" s="175">
        <v>0</v>
      </c>
      <c r="Q170" s="175">
        <v>0</v>
      </c>
      <c r="R170" s="175">
        <v>0</v>
      </c>
      <c r="S170" s="175">
        <v>0</v>
      </c>
      <c r="U170" s="175">
        <f t="shared" si="12"/>
        <v>5769.2307692307695</v>
      </c>
    </row>
    <row r="171" spans="1:21">
      <c r="A171" s="183" t="str">
        <f t="shared" si="10"/>
        <v>426</v>
      </c>
      <c r="B171" s="183" t="str">
        <f t="shared" si="11"/>
        <v>426.4</v>
      </c>
      <c r="C171" s="184" t="s">
        <v>1206</v>
      </c>
      <c r="D171" t="s">
        <v>1207</v>
      </c>
      <c r="E171" s="470"/>
      <c r="F171" s="470"/>
      <c r="G171" s="175">
        <v>0</v>
      </c>
      <c r="H171" s="175">
        <v>123485</v>
      </c>
      <c r="I171" s="175">
        <v>100</v>
      </c>
      <c r="J171" s="175">
        <v>500</v>
      </c>
      <c r="K171" s="175">
        <v>0</v>
      </c>
      <c r="L171" s="175">
        <v>100</v>
      </c>
      <c r="M171" s="175">
        <v>0</v>
      </c>
      <c r="N171" s="175">
        <v>100</v>
      </c>
      <c r="O171" s="175">
        <v>0</v>
      </c>
      <c r="P171" s="175">
        <v>100</v>
      </c>
      <c r="Q171" s="175">
        <v>0</v>
      </c>
      <c r="R171" s="175">
        <v>100</v>
      </c>
      <c r="S171" s="175">
        <v>0</v>
      </c>
      <c r="U171" s="175">
        <f t="shared" si="12"/>
        <v>9575.7692307692305</v>
      </c>
    </row>
    <row r="172" spans="1:21">
      <c r="A172" s="183" t="str">
        <f t="shared" si="10"/>
        <v>426</v>
      </c>
      <c r="B172" s="183" t="str">
        <f t="shared" si="11"/>
        <v>426.5</v>
      </c>
      <c r="C172" s="184" t="s">
        <v>1208</v>
      </c>
      <c r="D172" t="s">
        <v>1209</v>
      </c>
      <c r="E172" s="470"/>
      <c r="F172" s="470"/>
      <c r="G172" s="175">
        <v>-6417.2434706000004</v>
      </c>
      <c r="H172" s="175">
        <v>-6498.9158249000002</v>
      </c>
      <c r="I172" s="175">
        <v>-6650.4882755999997</v>
      </c>
      <c r="J172" s="175">
        <v>-6455.1738512000002</v>
      </c>
      <c r="K172" s="175">
        <v>-6370.0869444</v>
      </c>
      <c r="L172" s="175">
        <v>-6498.9158249000002</v>
      </c>
      <c r="M172" s="175">
        <v>-6726.2746662999998</v>
      </c>
      <c r="N172" s="175">
        <v>-6498.9158249000002</v>
      </c>
      <c r="O172" s="175">
        <v>-6574.7020500999997</v>
      </c>
      <c r="P172" s="175">
        <v>-6650.4882755999997</v>
      </c>
      <c r="Q172" s="175">
        <v>-6285.0000382999997</v>
      </c>
      <c r="R172" s="175">
        <v>-6455.1738512000002</v>
      </c>
      <c r="S172" s="175">
        <v>-6370.0869444</v>
      </c>
      <c r="U172" s="175">
        <f t="shared" si="12"/>
        <v>-6496.2666032615389</v>
      </c>
    </row>
    <row r="173" spans="1:21">
      <c r="A173" s="183" t="str">
        <f t="shared" si="10"/>
        <v>427</v>
      </c>
      <c r="B173" s="183" t="str">
        <f t="shared" si="11"/>
        <v>427.0</v>
      </c>
      <c r="C173" s="184" t="s">
        <v>1210</v>
      </c>
      <c r="D173" t="s">
        <v>1211</v>
      </c>
      <c r="E173" s="470"/>
      <c r="F173" s="470"/>
      <c r="G173" s="175">
        <v>14426041.6666667</v>
      </c>
      <c r="H173" s="175">
        <v>14426041.6666667</v>
      </c>
      <c r="I173" s="175">
        <v>14426042.6666667</v>
      </c>
      <c r="J173" s="175">
        <v>14426043.6666667</v>
      </c>
      <c r="K173" s="175">
        <v>16467711.3333333</v>
      </c>
      <c r="L173" s="175">
        <v>16467712.3333333</v>
      </c>
      <c r="M173" s="175">
        <v>16467713.3333333</v>
      </c>
      <c r="N173" s="175">
        <v>16467714.3333333</v>
      </c>
      <c r="O173" s="175">
        <v>16467715.3333333</v>
      </c>
      <c r="P173" s="175">
        <v>16467716.3333333</v>
      </c>
      <c r="Q173" s="175">
        <v>16467717.3333333</v>
      </c>
      <c r="R173" s="175">
        <v>16467718.3333333</v>
      </c>
      <c r="S173" s="175">
        <v>16467719.3333333</v>
      </c>
      <c r="U173" s="175">
        <f t="shared" si="12"/>
        <v>15839508.282051275</v>
      </c>
    </row>
    <row r="174" spans="1:21">
      <c r="A174" s="183" t="str">
        <f t="shared" si="10"/>
        <v>428</v>
      </c>
      <c r="B174" s="183" t="str">
        <f t="shared" si="11"/>
        <v>428.0</v>
      </c>
      <c r="C174" s="184" t="s">
        <v>1212</v>
      </c>
      <c r="D174" t="s">
        <v>1213</v>
      </c>
      <c r="E174" s="470"/>
      <c r="F174" s="470"/>
      <c r="G174" s="175">
        <v>264967.75</v>
      </c>
      <c r="H174" s="175">
        <v>264967.75</v>
      </c>
      <c r="I174" s="175">
        <v>264967.75</v>
      </c>
      <c r="J174" s="175">
        <v>264967.75</v>
      </c>
      <c r="K174" s="175">
        <v>306633.75</v>
      </c>
      <c r="L174" s="175">
        <v>306633.75</v>
      </c>
      <c r="M174" s="175">
        <v>306633.75</v>
      </c>
      <c r="N174" s="175">
        <v>306633.75</v>
      </c>
      <c r="O174" s="175">
        <v>306633.75</v>
      </c>
      <c r="P174" s="175">
        <v>306633.75</v>
      </c>
      <c r="Q174" s="175">
        <v>306633.75</v>
      </c>
      <c r="R174" s="175">
        <v>306633.75</v>
      </c>
      <c r="S174" s="175">
        <v>306633.75</v>
      </c>
      <c r="U174" s="175">
        <f t="shared" si="12"/>
        <v>293813.44230769231</v>
      </c>
    </row>
    <row r="175" spans="1:21">
      <c r="A175" s="183" t="str">
        <f t="shared" si="10"/>
        <v>428</v>
      </c>
      <c r="B175" s="183" t="str">
        <f t="shared" si="11"/>
        <v>428.1</v>
      </c>
      <c r="C175" s="184" t="s">
        <v>1214</v>
      </c>
      <c r="D175" t="s">
        <v>1215</v>
      </c>
      <c r="E175" s="470"/>
      <c r="F175" s="470"/>
      <c r="G175" s="175">
        <v>31846.57</v>
      </c>
      <c r="H175" s="175">
        <v>31846.57</v>
      </c>
      <c r="I175" s="175">
        <v>31846.57</v>
      </c>
      <c r="J175" s="175">
        <v>31846.57</v>
      </c>
      <c r="K175" s="175">
        <v>31846.57</v>
      </c>
      <c r="L175" s="175">
        <v>31846.57</v>
      </c>
      <c r="M175" s="175">
        <v>31846.57</v>
      </c>
      <c r="N175" s="175">
        <v>31846.57</v>
      </c>
      <c r="O175" s="175">
        <v>31846.57</v>
      </c>
      <c r="P175" s="175">
        <v>31846.57</v>
      </c>
      <c r="Q175" s="175">
        <v>31846.57</v>
      </c>
      <c r="R175" s="175">
        <v>31846.57</v>
      </c>
      <c r="S175" s="175">
        <v>31846.57</v>
      </c>
      <c r="U175" s="175">
        <f t="shared" si="12"/>
        <v>31846.570000000003</v>
      </c>
    </row>
    <row r="176" spans="1:21">
      <c r="A176" s="183" t="str">
        <f t="shared" si="10"/>
        <v>429</v>
      </c>
      <c r="B176" s="183" t="str">
        <f t="shared" si="11"/>
        <v>429.0</v>
      </c>
      <c r="C176" s="184" t="s">
        <v>1216</v>
      </c>
      <c r="D176" t="s">
        <v>1217</v>
      </c>
      <c r="E176" s="470"/>
      <c r="F176" s="470"/>
      <c r="G176" s="175">
        <v>0</v>
      </c>
      <c r="H176" s="175">
        <v>0</v>
      </c>
      <c r="I176" s="175">
        <v>0</v>
      </c>
      <c r="J176" s="175">
        <v>0</v>
      </c>
      <c r="K176" s="175">
        <v>0</v>
      </c>
      <c r="L176" s="175">
        <v>0</v>
      </c>
      <c r="M176" s="175">
        <v>0</v>
      </c>
      <c r="N176" s="175">
        <v>0</v>
      </c>
      <c r="O176" s="175">
        <v>0</v>
      </c>
      <c r="P176" s="175">
        <v>0</v>
      </c>
      <c r="Q176" s="175">
        <v>0</v>
      </c>
      <c r="R176" s="175">
        <v>0</v>
      </c>
      <c r="S176" s="175">
        <v>0</v>
      </c>
      <c r="U176" s="175">
        <f t="shared" si="12"/>
        <v>0</v>
      </c>
    </row>
    <row r="177" spans="1:21">
      <c r="A177" s="183" t="str">
        <f t="shared" si="10"/>
        <v>429</v>
      </c>
      <c r="B177" s="183" t="str">
        <f t="shared" si="11"/>
        <v>429.1</v>
      </c>
      <c r="C177" s="184" t="s">
        <v>1218</v>
      </c>
      <c r="D177" t="s">
        <v>1219</v>
      </c>
      <c r="E177" s="470"/>
      <c r="F177" s="470"/>
      <c r="G177" s="175">
        <v>0</v>
      </c>
      <c r="H177" s="175">
        <v>0</v>
      </c>
      <c r="I177" s="175">
        <v>0</v>
      </c>
      <c r="J177" s="175">
        <v>0</v>
      </c>
      <c r="K177" s="175">
        <v>0</v>
      </c>
      <c r="L177" s="175">
        <v>0</v>
      </c>
      <c r="M177" s="175">
        <v>0</v>
      </c>
      <c r="N177" s="175">
        <v>0</v>
      </c>
      <c r="O177" s="175">
        <v>0</v>
      </c>
      <c r="P177" s="175">
        <v>0</v>
      </c>
      <c r="Q177" s="175">
        <v>0</v>
      </c>
      <c r="R177" s="175">
        <v>0</v>
      </c>
      <c r="S177" s="175">
        <v>0</v>
      </c>
      <c r="U177" s="175">
        <f t="shared" si="12"/>
        <v>0</v>
      </c>
    </row>
    <row r="178" spans="1:21">
      <c r="A178" s="183" t="str">
        <f t="shared" si="10"/>
        <v>430</v>
      </c>
      <c r="B178" s="183" t="str">
        <f t="shared" si="11"/>
        <v>430.0</v>
      </c>
      <c r="C178" s="184" t="s">
        <v>1220</v>
      </c>
      <c r="D178" t="s">
        <v>1221</v>
      </c>
      <c r="E178" s="470"/>
      <c r="F178" s="470"/>
      <c r="G178" s="175">
        <v>0</v>
      </c>
      <c r="H178" s="175">
        <v>0</v>
      </c>
      <c r="I178" s="175">
        <v>0</v>
      </c>
      <c r="J178" s="175">
        <v>0</v>
      </c>
      <c r="K178" s="175">
        <v>0</v>
      </c>
      <c r="L178" s="175">
        <v>0</v>
      </c>
      <c r="M178" s="175">
        <v>0</v>
      </c>
      <c r="N178" s="175">
        <v>0</v>
      </c>
      <c r="O178" s="175">
        <v>0</v>
      </c>
      <c r="P178" s="175">
        <v>0</v>
      </c>
      <c r="Q178" s="175">
        <v>0</v>
      </c>
      <c r="R178" s="175">
        <v>0</v>
      </c>
      <c r="S178" s="175">
        <v>0</v>
      </c>
      <c r="U178" s="175">
        <f t="shared" si="12"/>
        <v>0</v>
      </c>
    </row>
    <row r="179" spans="1:21">
      <c r="A179" s="183" t="str">
        <f t="shared" si="10"/>
        <v>431</v>
      </c>
      <c r="B179" s="183" t="str">
        <f t="shared" si="11"/>
        <v>431.0</v>
      </c>
      <c r="C179" s="184" t="s">
        <v>1222</v>
      </c>
      <c r="D179" t="s">
        <v>1223</v>
      </c>
      <c r="E179" s="470"/>
      <c r="F179" s="470"/>
      <c r="G179" s="175">
        <v>2725922.5533253001</v>
      </c>
      <c r="H179" s="175">
        <v>2488434.9376805001</v>
      </c>
      <c r="I179" s="175">
        <v>2570594.2912993999</v>
      </c>
      <c r="J179" s="175">
        <v>2182893.9630443002</v>
      </c>
      <c r="K179" s="175">
        <v>1345453.1451481001</v>
      </c>
      <c r="L179" s="175">
        <v>1408022.3093310001</v>
      </c>
      <c r="M179" s="175">
        <v>1570286.3038790999</v>
      </c>
      <c r="N179" s="175">
        <v>1620332.1234408999</v>
      </c>
      <c r="O179" s="175">
        <v>1753783.5421086999</v>
      </c>
      <c r="P179" s="175">
        <v>1918367.3910809001</v>
      </c>
      <c r="Q179" s="175">
        <v>1718390.5937228999</v>
      </c>
      <c r="R179" s="175">
        <v>1898035.8211844999</v>
      </c>
      <c r="S179" s="175">
        <v>2163770.6000037999</v>
      </c>
      <c r="U179" s="175">
        <f t="shared" si="12"/>
        <v>1951099.0442499539</v>
      </c>
    </row>
    <row r="180" spans="1:21">
      <c r="A180" s="183" t="str">
        <f t="shared" si="10"/>
        <v>432</v>
      </c>
      <c r="B180" s="183" t="str">
        <f t="shared" si="11"/>
        <v>432.0</v>
      </c>
      <c r="C180" s="184" t="s">
        <v>1224</v>
      </c>
      <c r="D180" t="s">
        <v>1225</v>
      </c>
      <c r="E180" s="470"/>
      <c r="F180" s="470"/>
      <c r="G180" s="175">
        <v>-1089117.94</v>
      </c>
      <c r="H180" s="175">
        <v>-1091555.26</v>
      </c>
      <c r="I180" s="175">
        <v>-1192239.32</v>
      </c>
      <c r="J180" s="175">
        <v>-1263671.3500000001</v>
      </c>
      <c r="K180" s="175">
        <v>-1254065.05</v>
      </c>
      <c r="L180" s="175">
        <v>-1074875.48</v>
      </c>
      <c r="M180" s="175">
        <v>-805345.08</v>
      </c>
      <c r="N180" s="175">
        <v>-708361.09</v>
      </c>
      <c r="O180" s="175">
        <v>-785924.21</v>
      </c>
      <c r="P180" s="175">
        <v>-837885.07</v>
      </c>
      <c r="Q180" s="175">
        <v>-862904.92</v>
      </c>
      <c r="R180" s="175">
        <v>-882160.4</v>
      </c>
      <c r="S180" s="175">
        <v>-762416.08</v>
      </c>
      <c r="U180" s="175">
        <f t="shared" si="12"/>
        <v>-970040.09615384624</v>
      </c>
    </row>
    <row r="181" spans="1:21">
      <c r="A181" s="183" t="str">
        <f t="shared" si="10"/>
        <v>433</v>
      </c>
      <c r="B181" s="183" t="str">
        <f t="shared" si="11"/>
        <v>433.0</v>
      </c>
      <c r="C181" s="184" t="s">
        <v>1226</v>
      </c>
      <c r="D181" t="s">
        <v>1227</v>
      </c>
      <c r="E181" s="470"/>
      <c r="F181" s="470"/>
      <c r="G181" s="175">
        <v>0</v>
      </c>
      <c r="H181" s="175">
        <v>0</v>
      </c>
      <c r="I181" s="175">
        <v>0</v>
      </c>
      <c r="J181" s="175">
        <v>0</v>
      </c>
      <c r="K181" s="175">
        <v>0</v>
      </c>
      <c r="L181" s="175">
        <v>0</v>
      </c>
      <c r="M181" s="175">
        <v>0</v>
      </c>
      <c r="N181" s="175">
        <v>0</v>
      </c>
      <c r="O181" s="175">
        <v>0</v>
      </c>
      <c r="P181" s="175">
        <v>0</v>
      </c>
      <c r="Q181" s="175">
        <v>0</v>
      </c>
      <c r="R181" s="175">
        <v>0</v>
      </c>
      <c r="S181" s="175">
        <v>0</v>
      </c>
      <c r="U181" s="175">
        <f t="shared" si="12"/>
        <v>0</v>
      </c>
    </row>
    <row r="182" spans="1:21">
      <c r="A182" s="183" t="str">
        <f t="shared" si="10"/>
        <v>434</v>
      </c>
      <c r="B182" s="183" t="str">
        <f t="shared" si="11"/>
        <v>434.0</v>
      </c>
      <c r="C182" s="184" t="s">
        <v>1228</v>
      </c>
      <c r="D182" t="s">
        <v>1229</v>
      </c>
      <c r="E182" s="470"/>
      <c r="F182" s="470"/>
      <c r="G182" s="175">
        <v>0</v>
      </c>
      <c r="H182" s="175">
        <v>0</v>
      </c>
      <c r="I182" s="175">
        <v>0</v>
      </c>
      <c r="J182" s="175">
        <v>0</v>
      </c>
      <c r="K182" s="175">
        <v>0</v>
      </c>
      <c r="L182" s="175">
        <v>0</v>
      </c>
      <c r="M182" s="175">
        <v>0</v>
      </c>
      <c r="N182" s="175">
        <v>0</v>
      </c>
      <c r="O182" s="175">
        <v>0</v>
      </c>
      <c r="P182" s="175">
        <v>0</v>
      </c>
      <c r="Q182" s="175">
        <v>0</v>
      </c>
      <c r="R182" s="175">
        <v>0</v>
      </c>
      <c r="S182" s="175">
        <v>0</v>
      </c>
      <c r="U182" s="175">
        <f t="shared" si="12"/>
        <v>0</v>
      </c>
    </row>
    <row r="183" spans="1:21">
      <c r="A183" s="183" t="str">
        <f t="shared" si="10"/>
        <v>435</v>
      </c>
      <c r="B183" s="183" t="str">
        <f t="shared" si="11"/>
        <v>435.0</v>
      </c>
      <c r="C183" s="184" t="s">
        <v>1230</v>
      </c>
      <c r="D183" t="s">
        <v>1231</v>
      </c>
      <c r="E183" s="470"/>
      <c r="F183" s="470"/>
      <c r="G183" s="175">
        <v>0</v>
      </c>
      <c r="H183" s="175">
        <v>0</v>
      </c>
      <c r="I183" s="175">
        <v>0</v>
      </c>
      <c r="J183" s="175">
        <v>0</v>
      </c>
      <c r="K183" s="175">
        <v>0</v>
      </c>
      <c r="L183" s="175">
        <v>0</v>
      </c>
      <c r="M183" s="175">
        <v>0</v>
      </c>
      <c r="N183" s="175">
        <v>0</v>
      </c>
      <c r="O183" s="175">
        <v>0</v>
      </c>
      <c r="P183" s="175">
        <v>0</v>
      </c>
      <c r="Q183" s="175">
        <v>0</v>
      </c>
      <c r="R183" s="175">
        <v>0</v>
      </c>
      <c r="S183" s="175">
        <v>0</v>
      </c>
      <c r="U183" s="175">
        <f t="shared" si="12"/>
        <v>0</v>
      </c>
    </row>
    <row r="184" spans="1:21">
      <c r="A184" s="183" t="str">
        <f t="shared" si="10"/>
        <v>438</v>
      </c>
      <c r="B184" s="183" t="str">
        <f t="shared" si="11"/>
        <v>438.0</v>
      </c>
      <c r="C184" s="184" t="s">
        <v>1232</v>
      </c>
      <c r="D184" t="s">
        <v>1233</v>
      </c>
      <c r="E184" s="470"/>
      <c r="F184" s="470"/>
      <c r="G184" s="175">
        <v>0</v>
      </c>
      <c r="H184" s="175">
        <v>0</v>
      </c>
      <c r="I184" s="175">
        <v>0</v>
      </c>
      <c r="J184" s="175">
        <v>0</v>
      </c>
      <c r="K184" s="175">
        <v>0</v>
      </c>
      <c r="L184" s="175">
        <v>0</v>
      </c>
      <c r="M184" s="175">
        <v>0</v>
      </c>
      <c r="N184" s="175">
        <v>0</v>
      </c>
      <c r="O184" s="175">
        <v>0</v>
      </c>
      <c r="P184" s="175">
        <v>0</v>
      </c>
      <c r="Q184" s="175">
        <v>0</v>
      </c>
      <c r="R184" s="175">
        <v>0</v>
      </c>
      <c r="S184" s="175">
        <v>0</v>
      </c>
      <c r="U184" s="175">
        <f t="shared" si="12"/>
        <v>0</v>
      </c>
    </row>
    <row r="185" spans="1:21">
      <c r="A185" s="183" t="str">
        <f t="shared" si="10"/>
        <v>440</v>
      </c>
      <c r="B185" s="183" t="str">
        <f t="shared" si="11"/>
        <v>440.0</v>
      </c>
      <c r="C185" s="184" t="s">
        <v>1234</v>
      </c>
      <c r="D185" t="s">
        <v>1235</v>
      </c>
      <c r="E185" s="470"/>
      <c r="F185" s="470"/>
      <c r="G185" s="175">
        <v>107607766.91</v>
      </c>
      <c r="H185" s="175">
        <v>115635130.3</v>
      </c>
      <c r="I185" s="175">
        <v>104960177.61</v>
      </c>
      <c r="J185" s="175">
        <v>98292890.829999998</v>
      </c>
      <c r="K185" s="175">
        <v>103942419.59999999</v>
      </c>
      <c r="L185" s="175">
        <v>119877881.56999999</v>
      </c>
      <c r="M185" s="175">
        <v>146246746.50999999</v>
      </c>
      <c r="N185" s="175">
        <v>156334162.71000001</v>
      </c>
      <c r="O185" s="175">
        <v>154563037.5</v>
      </c>
      <c r="P185" s="175">
        <v>160124176.84999999</v>
      </c>
      <c r="Q185" s="175">
        <v>137658692.22999999</v>
      </c>
      <c r="R185" s="175">
        <v>111697787.40000001</v>
      </c>
      <c r="S185" s="175">
        <v>105755702.12</v>
      </c>
      <c r="U185" s="175">
        <f t="shared" si="12"/>
        <v>124822813.24153845</v>
      </c>
    </row>
    <row r="186" spans="1:21">
      <c r="A186" s="183" t="str">
        <f t="shared" si="10"/>
        <v>442</v>
      </c>
      <c r="B186" s="183" t="str">
        <f t="shared" si="11"/>
        <v>442.0</v>
      </c>
      <c r="C186" s="184" t="s">
        <v>1236</v>
      </c>
      <c r="D186" t="s">
        <v>1237</v>
      </c>
      <c r="E186" s="470"/>
      <c r="F186" s="470"/>
      <c r="G186" s="175">
        <v>66586439.07</v>
      </c>
      <c r="H186" s="175">
        <v>64901937.469999999</v>
      </c>
      <c r="I186" s="175">
        <v>62051681.060000002</v>
      </c>
      <c r="J186" s="175">
        <v>63029823.149999999</v>
      </c>
      <c r="K186" s="175">
        <v>65849270.759999998</v>
      </c>
      <c r="L186" s="175">
        <v>68789926.409999996</v>
      </c>
      <c r="M186" s="175">
        <v>73380096.730000004</v>
      </c>
      <c r="N186" s="175">
        <v>75749337.659999996</v>
      </c>
      <c r="O186" s="175">
        <v>75587825.459999993</v>
      </c>
      <c r="P186" s="175">
        <v>76124013.650000006</v>
      </c>
      <c r="Q186" s="175">
        <v>72581459.640000001</v>
      </c>
      <c r="R186" s="175">
        <v>67550906.409999996</v>
      </c>
      <c r="S186" s="175">
        <v>64914889.68</v>
      </c>
      <c r="U186" s="175">
        <f t="shared" si="12"/>
        <v>69007508.242307678</v>
      </c>
    </row>
    <row r="187" spans="1:21">
      <c r="A187" s="183" t="str">
        <f t="shared" si="10"/>
        <v>444</v>
      </c>
      <c r="B187" s="183" t="str">
        <f t="shared" si="11"/>
        <v>444.0</v>
      </c>
      <c r="C187" s="184" t="s">
        <v>1238</v>
      </c>
      <c r="D187" t="s">
        <v>1239</v>
      </c>
      <c r="E187" s="470"/>
      <c r="F187" s="470"/>
      <c r="G187" s="175">
        <v>0</v>
      </c>
      <c r="H187" s="175">
        <v>0</v>
      </c>
      <c r="I187" s="175">
        <v>0</v>
      </c>
      <c r="J187" s="175">
        <v>0</v>
      </c>
      <c r="K187" s="175">
        <v>0</v>
      </c>
      <c r="L187" s="175">
        <v>0</v>
      </c>
      <c r="M187" s="175">
        <v>0</v>
      </c>
      <c r="N187" s="175">
        <v>0</v>
      </c>
      <c r="O187" s="175">
        <v>0</v>
      </c>
      <c r="P187" s="175">
        <v>0</v>
      </c>
      <c r="Q187" s="175">
        <v>0</v>
      </c>
      <c r="R187" s="175">
        <v>0</v>
      </c>
      <c r="S187" s="175">
        <v>0</v>
      </c>
      <c r="U187" s="175">
        <f t="shared" si="12"/>
        <v>0</v>
      </c>
    </row>
    <row r="188" spans="1:21">
      <c r="A188" s="183" t="str">
        <f t="shared" si="10"/>
        <v>445</v>
      </c>
      <c r="B188" s="183" t="str">
        <f t="shared" si="11"/>
        <v>445.0</v>
      </c>
      <c r="C188" s="184" t="s">
        <v>1240</v>
      </c>
      <c r="D188" t="s">
        <v>1241</v>
      </c>
      <c r="E188" s="470"/>
      <c r="F188" s="470"/>
      <c r="G188" s="175">
        <v>17593371.629999999</v>
      </c>
      <c r="H188" s="175">
        <v>17058712.170000002</v>
      </c>
      <c r="I188" s="175">
        <v>17018558.43</v>
      </c>
      <c r="J188" s="175">
        <v>17026875.34</v>
      </c>
      <c r="K188" s="175">
        <v>17442880.09</v>
      </c>
      <c r="L188" s="175">
        <v>18200717.629999999</v>
      </c>
      <c r="M188" s="175">
        <v>19224846.620000001</v>
      </c>
      <c r="N188" s="175">
        <v>19370545.300000001</v>
      </c>
      <c r="O188" s="175">
        <v>19528540.16</v>
      </c>
      <c r="P188" s="175">
        <v>19789138.050000001</v>
      </c>
      <c r="Q188" s="175">
        <v>19302467.390000001</v>
      </c>
      <c r="R188" s="175">
        <v>17886107.530000001</v>
      </c>
      <c r="S188" s="175">
        <v>17290131.699999999</v>
      </c>
      <c r="U188" s="175">
        <f t="shared" si="12"/>
        <v>18210222.464615382</v>
      </c>
    </row>
    <row r="189" spans="1:21">
      <c r="A189" s="183" t="str">
        <f t="shared" si="10"/>
        <v>446</v>
      </c>
      <c r="B189" s="183" t="str">
        <f t="shared" si="11"/>
        <v>446.0</v>
      </c>
      <c r="C189" s="184" t="s">
        <v>1242</v>
      </c>
      <c r="D189" t="s">
        <v>1243</v>
      </c>
      <c r="E189" s="470"/>
      <c r="F189" s="470"/>
      <c r="G189" s="175">
        <v>0</v>
      </c>
      <c r="H189" s="175">
        <v>0</v>
      </c>
      <c r="I189" s="175">
        <v>0</v>
      </c>
      <c r="J189" s="175">
        <v>0</v>
      </c>
      <c r="K189" s="175">
        <v>0</v>
      </c>
      <c r="L189" s="175">
        <v>0</v>
      </c>
      <c r="M189" s="175">
        <v>0</v>
      </c>
      <c r="N189" s="175">
        <v>0</v>
      </c>
      <c r="O189" s="175">
        <v>0</v>
      </c>
      <c r="P189" s="175">
        <v>0</v>
      </c>
      <c r="Q189" s="175">
        <v>0</v>
      </c>
      <c r="R189" s="175">
        <v>0</v>
      </c>
      <c r="S189" s="175">
        <v>0</v>
      </c>
      <c r="U189" s="175">
        <f t="shared" si="12"/>
        <v>0</v>
      </c>
    </row>
    <row r="190" spans="1:21">
      <c r="A190" s="183" t="str">
        <f t="shared" si="10"/>
        <v>447</v>
      </c>
      <c r="B190" s="183" t="str">
        <f t="shared" si="11"/>
        <v>447.0</v>
      </c>
      <c r="C190" s="184" t="s">
        <v>1244</v>
      </c>
      <c r="D190" t="s">
        <v>1245</v>
      </c>
      <c r="E190" s="470"/>
      <c r="F190" s="470"/>
      <c r="G190" s="175">
        <v>155627.9999996</v>
      </c>
      <c r="H190" s="175">
        <v>205660.9999996</v>
      </c>
      <c r="I190" s="175">
        <v>218851.8</v>
      </c>
      <c r="J190" s="175">
        <v>186972.4</v>
      </c>
      <c r="K190" s="175">
        <v>134303</v>
      </c>
      <c r="L190" s="175">
        <v>159122.5999996</v>
      </c>
      <c r="M190" s="175">
        <v>128896</v>
      </c>
      <c r="N190" s="175">
        <v>142855.20000000001</v>
      </c>
      <c r="O190" s="175">
        <v>147508.6</v>
      </c>
      <c r="P190" s="175">
        <v>187863.2</v>
      </c>
      <c r="Q190" s="175">
        <v>154279.20000000001</v>
      </c>
      <c r="R190" s="175">
        <v>194695</v>
      </c>
      <c r="S190" s="175">
        <v>164767</v>
      </c>
      <c r="U190" s="175">
        <f t="shared" si="12"/>
        <v>167800.23076913846</v>
      </c>
    </row>
    <row r="191" spans="1:21">
      <c r="A191" s="183" t="str">
        <f t="shared" si="10"/>
        <v>448</v>
      </c>
      <c r="B191" s="183" t="str">
        <f t="shared" si="11"/>
        <v>448.0</v>
      </c>
      <c r="C191" s="184" t="s">
        <v>1246</v>
      </c>
      <c r="D191" t="s">
        <v>1247</v>
      </c>
      <c r="E191" s="470"/>
      <c r="F191" s="470"/>
      <c r="G191" s="175">
        <v>0</v>
      </c>
      <c r="H191" s="175">
        <v>0</v>
      </c>
      <c r="I191" s="175">
        <v>0</v>
      </c>
      <c r="J191" s="175">
        <v>0</v>
      </c>
      <c r="K191" s="175">
        <v>0</v>
      </c>
      <c r="L191" s="175">
        <v>0</v>
      </c>
      <c r="M191" s="175">
        <v>0</v>
      </c>
      <c r="N191" s="175">
        <v>0</v>
      </c>
      <c r="O191" s="175">
        <v>0</v>
      </c>
      <c r="P191" s="175">
        <v>0</v>
      </c>
      <c r="Q191" s="175">
        <v>0</v>
      </c>
      <c r="R191" s="175">
        <v>0</v>
      </c>
      <c r="S191" s="175">
        <v>0</v>
      </c>
      <c r="U191" s="175">
        <f t="shared" si="12"/>
        <v>0</v>
      </c>
    </row>
    <row r="192" spans="1:21">
      <c r="A192" s="183" t="str">
        <f t="shared" si="10"/>
        <v>449</v>
      </c>
      <c r="B192" s="183" t="str">
        <f t="shared" si="11"/>
        <v>449.1</v>
      </c>
      <c r="C192" s="184" t="s">
        <v>1248</v>
      </c>
      <c r="D192" t="s">
        <v>1249</v>
      </c>
      <c r="E192" s="470"/>
      <c r="F192" s="470"/>
      <c r="G192" s="175">
        <v>0</v>
      </c>
      <c r="H192" s="175">
        <v>0</v>
      </c>
      <c r="I192" s="175">
        <v>0</v>
      </c>
      <c r="J192" s="175">
        <v>0</v>
      </c>
      <c r="K192" s="175">
        <v>0</v>
      </c>
      <c r="L192" s="175">
        <v>0</v>
      </c>
      <c r="M192" s="175">
        <v>0</v>
      </c>
      <c r="N192" s="175">
        <v>0</v>
      </c>
      <c r="O192" s="175">
        <v>0</v>
      </c>
      <c r="P192" s="175">
        <v>0</v>
      </c>
      <c r="Q192" s="175">
        <v>0</v>
      </c>
      <c r="R192" s="175">
        <v>0</v>
      </c>
      <c r="S192" s="175">
        <v>0</v>
      </c>
      <c r="U192" s="175">
        <f t="shared" si="12"/>
        <v>0</v>
      </c>
    </row>
    <row r="193" spans="1:21">
      <c r="A193" s="183" t="str">
        <f t="shared" si="10"/>
        <v>450</v>
      </c>
      <c r="B193" s="183" t="str">
        <f t="shared" si="11"/>
        <v>450.0</v>
      </c>
      <c r="C193" s="184" t="s">
        <v>1250</v>
      </c>
      <c r="D193" t="s">
        <v>1251</v>
      </c>
      <c r="E193" s="470"/>
      <c r="F193" s="470"/>
      <c r="G193" s="175">
        <v>0</v>
      </c>
      <c r="H193" s="175">
        <v>0</v>
      </c>
      <c r="I193" s="175">
        <v>0</v>
      </c>
      <c r="J193" s="175">
        <v>0</v>
      </c>
      <c r="K193" s="175">
        <v>0</v>
      </c>
      <c r="L193" s="175">
        <v>0</v>
      </c>
      <c r="M193" s="175">
        <v>0</v>
      </c>
      <c r="N193" s="175">
        <v>0</v>
      </c>
      <c r="O193" s="175">
        <v>0</v>
      </c>
      <c r="P193" s="175">
        <v>0</v>
      </c>
      <c r="Q193" s="175">
        <v>0</v>
      </c>
      <c r="R193" s="175">
        <v>0</v>
      </c>
      <c r="S193" s="175">
        <v>0</v>
      </c>
      <c r="U193" s="175">
        <f t="shared" si="12"/>
        <v>0</v>
      </c>
    </row>
    <row r="194" spans="1:21">
      <c r="A194" s="183" t="str">
        <f t="shared" si="10"/>
        <v>451</v>
      </c>
      <c r="B194" s="183" t="str">
        <f t="shared" si="11"/>
        <v>451.0</v>
      </c>
      <c r="C194" s="184" t="s">
        <v>1252</v>
      </c>
      <c r="D194" t="s">
        <v>1253</v>
      </c>
      <c r="E194" s="470"/>
      <c r="F194" s="470"/>
      <c r="G194" s="175">
        <v>1574011.6116667001</v>
      </c>
      <c r="H194" s="175">
        <v>1786944.6780832999</v>
      </c>
      <c r="I194" s="175">
        <v>1785752.4800833</v>
      </c>
      <c r="J194" s="175">
        <v>1787284.0145833001</v>
      </c>
      <c r="K194" s="175">
        <v>1787059.0168333</v>
      </c>
      <c r="L194" s="175">
        <v>1787232.0880833</v>
      </c>
      <c r="M194" s="175">
        <v>1786438.2973333001</v>
      </c>
      <c r="N194" s="175">
        <v>1787224.8823333001</v>
      </c>
      <c r="O194" s="175">
        <v>1787227.5883333001</v>
      </c>
      <c r="P194" s="175">
        <v>1787316.7633332999</v>
      </c>
      <c r="Q194" s="175">
        <v>1787404.9133333</v>
      </c>
      <c r="R194" s="175">
        <v>1787494.0883333001</v>
      </c>
      <c r="S194" s="175">
        <v>1787585.3133332999</v>
      </c>
      <c r="U194" s="175">
        <f t="shared" si="12"/>
        <v>1770690.4412051002</v>
      </c>
    </row>
    <row r="195" spans="1:21">
      <c r="A195" s="183" t="str">
        <f t="shared" si="10"/>
        <v>453</v>
      </c>
      <c r="B195" s="183" t="str">
        <f t="shared" si="11"/>
        <v>453.0</v>
      </c>
      <c r="C195" s="184" t="s">
        <v>1254</v>
      </c>
      <c r="D195" t="s">
        <v>1255</v>
      </c>
      <c r="E195" s="470"/>
      <c r="F195" s="470"/>
      <c r="G195" s="175">
        <v>0</v>
      </c>
      <c r="H195" s="175">
        <v>0</v>
      </c>
      <c r="I195" s="175">
        <v>0</v>
      </c>
      <c r="J195" s="175">
        <v>0</v>
      </c>
      <c r="K195" s="175">
        <v>0</v>
      </c>
      <c r="L195" s="175">
        <v>0</v>
      </c>
      <c r="M195" s="175">
        <v>0</v>
      </c>
      <c r="N195" s="175">
        <v>0</v>
      </c>
      <c r="O195" s="175">
        <v>0</v>
      </c>
      <c r="P195" s="175">
        <v>0</v>
      </c>
      <c r="Q195" s="175">
        <v>0</v>
      </c>
      <c r="R195" s="175">
        <v>0</v>
      </c>
      <c r="S195" s="175">
        <v>0</v>
      </c>
      <c r="U195" s="175">
        <f t="shared" si="12"/>
        <v>0</v>
      </c>
    </row>
    <row r="196" spans="1:21">
      <c r="A196" s="183" t="str">
        <f t="shared" si="10"/>
        <v>454</v>
      </c>
      <c r="B196" s="183" t="str">
        <f t="shared" si="11"/>
        <v>454.0</v>
      </c>
      <c r="C196" s="184" t="s">
        <v>1256</v>
      </c>
      <c r="D196" t="s">
        <v>1257</v>
      </c>
      <c r="E196" s="470"/>
      <c r="F196" s="470"/>
      <c r="G196" s="175">
        <v>1232452.8385920001</v>
      </c>
      <c r="H196" s="175">
        <v>1233333.7526288</v>
      </c>
      <c r="I196" s="175">
        <v>1638474.8483595001</v>
      </c>
      <c r="J196" s="175">
        <v>1222579.2837028999</v>
      </c>
      <c r="K196" s="175">
        <v>1241948.2421315999</v>
      </c>
      <c r="L196" s="175">
        <v>1203849.1032970999</v>
      </c>
      <c r="M196" s="175">
        <v>1205771.177017</v>
      </c>
      <c r="N196" s="175">
        <v>1209470.7322521</v>
      </c>
      <c r="O196" s="175">
        <v>1288556.8198998</v>
      </c>
      <c r="P196" s="175">
        <v>1218860.7349216</v>
      </c>
      <c r="Q196" s="175">
        <v>1237661.4461676001</v>
      </c>
      <c r="R196" s="175">
        <v>1222498.9809168</v>
      </c>
      <c r="S196" s="175">
        <v>1232452.8585920001</v>
      </c>
      <c r="U196" s="175">
        <f t="shared" si="12"/>
        <v>1260608.5244983691</v>
      </c>
    </row>
    <row r="197" spans="1:21">
      <c r="A197" s="183" t="str">
        <f t="shared" si="10"/>
        <v>455</v>
      </c>
      <c r="B197" s="183" t="str">
        <f t="shared" si="11"/>
        <v>455.0</v>
      </c>
      <c r="C197" s="184" t="s">
        <v>1258</v>
      </c>
      <c r="D197" t="s">
        <v>1259</v>
      </c>
      <c r="E197" s="470"/>
      <c r="F197" s="470"/>
      <c r="G197" s="175">
        <v>0</v>
      </c>
      <c r="H197" s="175">
        <v>0</v>
      </c>
      <c r="I197" s="175">
        <v>0</v>
      </c>
      <c r="J197" s="175">
        <v>0</v>
      </c>
      <c r="K197" s="175">
        <v>0</v>
      </c>
      <c r="L197" s="175">
        <v>0</v>
      </c>
      <c r="M197" s="175">
        <v>0</v>
      </c>
      <c r="N197" s="175">
        <v>0</v>
      </c>
      <c r="O197" s="175">
        <v>0</v>
      </c>
      <c r="P197" s="175">
        <v>0</v>
      </c>
      <c r="Q197" s="175">
        <v>0</v>
      </c>
      <c r="R197" s="175">
        <v>0</v>
      </c>
      <c r="S197" s="175">
        <v>0</v>
      </c>
      <c r="U197" s="175">
        <f t="shared" si="12"/>
        <v>0</v>
      </c>
    </row>
    <row r="198" spans="1:21">
      <c r="A198" s="183" t="str">
        <f t="shared" si="10"/>
        <v>456</v>
      </c>
      <c r="B198" s="183" t="str">
        <f t="shared" si="11"/>
        <v>456.0</v>
      </c>
      <c r="C198" s="184" t="s">
        <v>1260</v>
      </c>
      <c r="D198" t="s">
        <v>1261</v>
      </c>
      <c r="E198" s="470"/>
      <c r="F198" s="470"/>
      <c r="G198" s="175">
        <v>1254156.0974474</v>
      </c>
      <c r="H198" s="175">
        <v>-2090400.0791525</v>
      </c>
      <c r="I198" s="175">
        <v>-4758594.6857591001</v>
      </c>
      <c r="J198" s="175">
        <v>4930429.2830948997</v>
      </c>
      <c r="K198" s="175">
        <v>4819808.2655782998</v>
      </c>
      <c r="L198" s="175">
        <v>10549603.245083399</v>
      </c>
      <c r="M198" s="175">
        <v>3915868.9790634001</v>
      </c>
      <c r="N198" s="175">
        <v>2700080.5461133001</v>
      </c>
      <c r="O198" s="175">
        <v>4971986.8120395001</v>
      </c>
      <c r="P198" s="175">
        <v>-8777033.3333931006</v>
      </c>
      <c r="Q198" s="175">
        <v>-4658442.5822446002</v>
      </c>
      <c r="R198" s="175">
        <v>-8937044.6535705999</v>
      </c>
      <c r="S198" s="175">
        <v>869482.11925390002</v>
      </c>
      <c r="U198" s="175">
        <f t="shared" si="12"/>
        <v>368453.84719647665</v>
      </c>
    </row>
    <row r="199" spans="1:21">
      <c r="A199" s="183" t="str">
        <f t="shared" ref="A199:A262" si="13">MID(C199,2,3)</f>
        <v>456</v>
      </c>
      <c r="B199" s="183" t="str">
        <f t="shared" ref="B199:B262" si="14">MID(C199,2,3)&amp;"."&amp;MID(C199,5,1)</f>
        <v>456.1</v>
      </c>
      <c r="C199" s="184" t="s">
        <v>1262</v>
      </c>
      <c r="D199" t="s">
        <v>1263</v>
      </c>
      <c r="E199" s="470"/>
      <c r="F199" s="470"/>
      <c r="G199" s="175">
        <v>715644.94780219998</v>
      </c>
      <c r="H199" s="175">
        <v>715644.94780219998</v>
      </c>
      <c r="I199" s="175">
        <v>715644.94780219998</v>
      </c>
      <c r="J199" s="175">
        <v>115644.9478022</v>
      </c>
      <c r="K199" s="175">
        <v>715644.94780219998</v>
      </c>
      <c r="L199" s="175">
        <v>715644.94780219998</v>
      </c>
      <c r="M199" s="175">
        <v>679467.75</v>
      </c>
      <c r="N199" s="175">
        <v>679467.75</v>
      </c>
      <c r="O199" s="175">
        <v>679467.75</v>
      </c>
      <c r="P199" s="175">
        <v>679467.75</v>
      </c>
      <c r="Q199" s="175">
        <v>715644.94780219998</v>
      </c>
      <c r="R199" s="175">
        <v>715644.94780219998</v>
      </c>
      <c r="S199" s="175">
        <v>715644.94780219998</v>
      </c>
      <c r="U199" s="175">
        <f t="shared" ref="U199:U262" si="15">AVERAGE(G199:S199)</f>
        <v>658359.65617075388</v>
      </c>
    </row>
    <row r="200" spans="1:21">
      <c r="A200" s="183" t="str">
        <f t="shared" si="13"/>
        <v>457</v>
      </c>
      <c r="B200" s="183" t="str">
        <f t="shared" si="14"/>
        <v>457.1</v>
      </c>
      <c r="C200" s="184" t="s">
        <v>1264</v>
      </c>
      <c r="D200" t="s">
        <v>1265</v>
      </c>
      <c r="E200" s="470"/>
      <c r="F200" s="470"/>
      <c r="G200" s="175">
        <v>0</v>
      </c>
      <c r="H200" s="175">
        <v>0</v>
      </c>
      <c r="I200" s="175">
        <v>0</v>
      </c>
      <c r="J200" s="175">
        <v>0</v>
      </c>
      <c r="K200" s="175">
        <v>0</v>
      </c>
      <c r="L200" s="175">
        <v>0</v>
      </c>
      <c r="M200" s="175">
        <v>0</v>
      </c>
      <c r="N200" s="175">
        <v>0</v>
      </c>
      <c r="O200" s="175">
        <v>0</v>
      </c>
      <c r="P200" s="175">
        <v>0</v>
      </c>
      <c r="Q200" s="175">
        <v>0</v>
      </c>
      <c r="R200" s="175">
        <v>0</v>
      </c>
      <c r="S200" s="175">
        <v>0</v>
      </c>
      <c r="U200" s="175">
        <f t="shared" si="15"/>
        <v>0</v>
      </c>
    </row>
    <row r="201" spans="1:21">
      <c r="A201" s="183" t="str">
        <f t="shared" si="13"/>
        <v>457</v>
      </c>
      <c r="B201" s="183" t="str">
        <f t="shared" si="14"/>
        <v>457.2</v>
      </c>
      <c r="C201" s="184" t="s">
        <v>1266</v>
      </c>
      <c r="D201" t="s">
        <v>1267</v>
      </c>
      <c r="E201" s="470"/>
      <c r="F201" s="470"/>
      <c r="G201" s="175">
        <v>0</v>
      </c>
      <c r="H201" s="175">
        <v>0</v>
      </c>
      <c r="I201" s="175">
        <v>0</v>
      </c>
      <c r="J201" s="175">
        <v>0</v>
      </c>
      <c r="K201" s="175">
        <v>0</v>
      </c>
      <c r="L201" s="175">
        <v>0</v>
      </c>
      <c r="M201" s="175">
        <v>0</v>
      </c>
      <c r="N201" s="175">
        <v>0</v>
      </c>
      <c r="O201" s="175">
        <v>0</v>
      </c>
      <c r="P201" s="175">
        <v>0</v>
      </c>
      <c r="Q201" s="175">
        <v>0</v>
      </c>
      <c r="R201" s="175">
        <v>0</v>
      </c>
      <c r="S201" s="175">
        <v>0</v>
      </c>
      <c r="U201" s="175">
        <f t="shared" si="15"/>
        <v>0</v>
      </c>
    </row>
    <row r="202" spans="1:21">
      <c r="A202" s="183" t="str">
        <f t="shared" si="13"/>
        <v>458</v>
      </c>
      <c r="B202" s="183" t="str">
        <f t="shared" si="14"/>
        <v>458.1</v>
      </c>
      <c r="C202" s="184" t="s">
        <v>1268</v>
      </c>
      <c r="D202" t="s">
        <v>1269</v>
      </c>
      <c r="E202" s="470"/>
      <c r="F202" s="470"/>
      <c r="G202" s="175">
        <v>0</v>
      </c>
      <c r="H202" s="175">
        <v>0</v>
      </c>
      <c r="I202" s="175">
        <v>0</v>
      </c>
      <c r="J202" s="175">
        <v>0</v>
      </c>
      <c r="K202" s="175">
        <v>0</v>
      </c>
      <c r="L202" s="175">
        <v>0</v>
      </c>
      <c r="M202" s="175">
        <v>0</v>
      </c>
      <c r="N202" s="175">
        <v>0</v>
      </c>
      <c r="O202" s="175">
        <v>0</v>
      </c>
      <c r="P202" s="175">
        <v>0</v>
      </c>
      <c r="Q202" s="175">
        <v>0</v>
      </c>
      <c r="R202" s="175">
        <v>0</v>
      </c>
      <c r="S202" s="175">
        <v>0</v>
      </c>
      <c r="U202" s="175">
        <f t="shared" si="15"/>
        <v>0</v>
      </c>
    </row>
    <row r="203" spans="1:21">
      <c r="A203" s="183" t="str">
        <f t="shared" si="13"/>
        <v>480</v>
      </c>
      <c r="B203" s="183" t="str">
        <f t="shared" si="14"/>
        <v>480.0</v>
      </c>
      <c r="C203" s="184" t="s">
        <v>1270</v>
      </c>
      <c r="D203" t="s">
        <v>1271</v>
      </c>
      <c r="E203" s="470"/>
      <c r="F203" s="470"/>
      <c r="G203" s="175">
        <v>0</v>
      </c>
      <c r="H203" s="175">
        <v>0</v>
      </c>
      <c r="I203" s="175">
        <v>0</v>
      </c>
      <c r="J203" s="175">
        <v>0</v>
      </c>
      <c r="K203" s="175">
        <v>0</v>
      </c>
      <c r="L203" s="175">
        <v>0</v>
      </c>
      <c r="M203" s="175">
        <v>0</v>
      </c>
      <c r="N203" s="175">
        <v>0</v>
      </c>
      <c r="O203" s="175">
        <v>0</v>
      </c>
      <c r="P203" s="175">
        <v>0</v>
      </c>
      <c r="Q203" s="175">
        <v>0</v>
      </c>
      <c r="R203" s="175">
        <v>0</v>
      </c>
      <c r="S203" s="175">
        <v>0</v>
      </c>
      <c r="U203" s="175">
        <f t="shared" si="15"/>
        <v>0</v>
      </c>
    </row>
    <row r="204" spans="1:21">
      <c r="A204" s="183" t="str">
        <f t="shared" si="13"/>
        <v>481</v>
      </c>
      <c r="B204" s="183" t="str">
        <f t="shared" si="14"/>
        <v>481.0</v>
      </c>
      <c r="C204" s="184" t="s">
        <v>1272</v>
      </c>
      <c r="D204" t="s">
        <v>1273</v>
      </c>
      <c r="E204" s="470"/>
      <c r="F204" s="470"/>
      <c r="G204" s="175">
        <v>0</v>
      </c>
      <c r="H204" s="175">
        <v>0</v>
      </c>
      <c r="I204" s="175">
        <v>0</v>
      </c>
      <c r="J204" s="175">
        <v>0</v>
      </c>
      <c r="K204" s="175">
        <v>0</v>
      </c>
      <c r="L204" s="175">
        <v>0</v>
      </c>
      <c r="M204" s="175">
        <v>0</v>
      </c>
      <c r="N204" s="175">
        <v>0</v>
      </c>
      <c r="O204" s="175">
        <v>0</v>
      </c>
      <c r="P204" s="175">
        <v>0</v>
      </c>
      <c r="Q204" s="175">
        <v>0</v>
      </c>
      <c r="R204" s="175">
        <v>0</v>
      </c>
      <c r="S204" s="175">
        <v>0</v>
      </c>
      <c r="U204" s="175">
        <f t="shared" si="15"/>
        <v>0</v>
      </c>
    </row>
    <row r="205" spans="1:21">
      <c r="A205" s="183" t="str">
        <f t="shared" si="13"/>
        <v>482</v>
      </c>
      <c r="B205" s="183" t="str">
        <f t="shared" si="14"/>
        <v>482.0</v>
      </c>
      <c r="C205" s="184" t="s">
        <v>1274</v>
      </c>
      <c r="D205" t="s">
        <v>1275</v>
      </c>
      <c r="E205" s="470"/>
      <c r="F205" s="470"/>
      <c r="G205" s="175">
        <v>0</v>
      </c>
      <c r="H205" s="175">
        <v>0</v>
      </c>
      <c r="I205" s="175">
        <v>0</v>
      </c>
      <c r="J205" s="175">
        <v>0</v>
      </c>
      <c r="K205" s="175">
        <v>0</v>
      </c>
      <c r="L205" s="175">
        <v>0</v>
      </c>
      <c r="M205" s="175">
        <v>0</v>
      </c>
      <c r="N205" s="175">
        <v>0</v>
      </c>
      <c r="O205" s="175">
        <v>0</v>
      </c>
      <c r="P205" s="175">
        <v>0</v>
      </c>
      <c r="Q205" s="175">
        <v>0</v>
      </c>
      <c r="R205" s="175">
        <v>0</v>
      </c>
      <c r="S205" s="175">
        <v>0</v>
      </c>
      <c r="U205" s="175">
        <f t="shared" si="15"/>
        <v>0</v>
      </c>
    </row>
    <row r="206" spans="1:21">
      <c r="A206" s="183" t="str">
        <f t="shared" si="13"/>
        <v>483</v>
      </c>
      <c r="B206" s="183" t="str">
        <f t="shared" si="14"/>
        <v>483.0</v>
      </c>
      <c r="C206" s="184" t="s">
        <v>1276</v>
      </c>
      <c r="D206" t="s">
        <v>1277</v>
      </c>
      <c r="E206" s="470"/>
      <c r="F206" s="470"/>
      <c r="G206" s="175">
        <v>0</v>
      </c>
      <c r="H206" s="175">
        <v>0</v>
      </c>
      <c r="I206" s="175">
        <v>0</v>
      </c>
      <c r="J206" s="175">
        <v>0</v>
      </c>
      <c r="K206" s="175">
        <v>0</v>
      </c>
      <c r="L206" s="175">
        <v>0</v>
      </c>
      <c r="M206" s="175">
        <v>0</v>
      </c>
      <c r="N206" s="175">
        <v>0</v>
      </c>
      <c r="O206" s="175">
        <v>0</v>
      </c>
      <c r="P206" s="175">
        <v>0</v>
      </c>
      <c r="Q206" s="175">
        <v>0</v>
      </c>
      <c r="R206" s="175">
        <v>0</v>
      </c>
      <c r="S206" s="175">
        <v>0</v>
      </c>
      <c r="U206" s="175">
        <f t="shared" si="15"/>
        <v>0</v>
      </c>
    </row>
    <row r="207" spans="1:21">
      <c r="A207" s="183" t="str">
        <f t="shared" si="13"/>
        <v>484</v>
      </c>
      <c r="B207" s="183" t="str">
        <f t="shared" si="14"/>
        <v>484.0</v>
      </c>
      <c r="C207" s="184" t="s">
        <v>1278</v>
      </c>
      <c r="D207" t="s">
        <v>1279</v>
      </c>
      <c r="E207" s="470"/>
      <c r="F207" s="470"/>
      <c r="G207" s="175">
        <v>0</v>
      </c>
      <c r="H207" s="175">
        <v>0</v>
      </c>
      <c r="I207" s="175">
        <v>0</v>
      </c>
      <c r="J207" s="175">
        <v>0</v>
      </c>
      <c r="K207" s="175">
        <v>0</v>
      </c>
      <c r="L207" s="175">
        <v>0</v>
      </c>
      <c r="M207" s="175">
        <v>0</v>
      </c>
      <c r="N207" s="175">
        <v>0</v>
      </c>
      <c r="O207" s="175">
        <v>0</v>
      </c>
      <c r="P207" s="175">
        <v>0</v>
      </c>
      <c r="Q207" s="175">
        <v>0</v>
      </c>
      <c r="R207" s="175">
        <v>0</v>
      </c>
      <c r="S207" s="175">
        <v>0</v>
      </c>
      <c r="U207" s="175">
        <f t="shared" si="15"/>
        <v>0</v>
      </c>
    </row>
    <row r="208" spans="1:21">
      <c r="A208" s="183" t="str">
        <f t="shared" si="13"/>
        <v>485</v>
      </c>
      <c r="B208" s="183" t="str">
        <f t="shared" si="14"/>
        <v>485.0</v>
      </c>
      <c r="C208" s="184" t="s">
        <v>1280</v>
      </c>
      <c r="D208" t="s">
        <v>1281</v>
      </c>
      <c r="E208" s="470"/>
      <c r="F208" s="470"/>
      <c r="G208" s="175">
        <v>0</v>
      </c>
      <c r="H208" s="175">
        <v>0</v>
      </c>
      <c r="I208" s="175">
        <v>0</v>
      </c>
      <c r="J208" s="175">
        <v>0</v>
      </c>
      <c r="K208" s="175">
        <v>0</v>
      </c>
      <c r="L208" s="175">
        <v>0</v>
      </c>
      <c r="M208" s="175">
        <v>0</v>
      </c>
      <c r="N208" s="175">
        <v>0</v>
      </c>
      <c r="O208" s="175">
        <v>0</v>
      </c>
      <c r="P208" s="175">
        <v>0</v>
      </c>
      <c r="Q208" s="175">
        <v>0</v>
      </c>
      <c r="R208" s="175">
        <v>0</v>
      </c>
      <c r="S208" s="175">
        <v>0</v>
      </c>
      <c r="U208" s="175">
        <f t="shared" si="15"/>
        <v>0</v>
      </c>
    </row>
    <row r="209" spans="1:21">
      <c r="A209" s="183" t="str">
        <f t="shared" si="13"/>
        <v>487</v>
      </c>
      <c r="B209" s="183" t="str">
        <f t="shared" si="14"/>
        <v>487.0</v>
      </c>
      <c r="C209" s="184" t="s">
        <v>1282</v>
      </c>
      <c r="D209" t="s">
        <v>1283</v>
      </c>
      <c r="E209" s="470"/>
      <c r="F209" s="470"/>
      <c r="G209" s="175">
        <v>0</v>
      </c>
      <c r="H209" s="175">
        <v>0</v>
      </c>
      <c r="I209" s="175">
        <v>0</v>
      </c>
      <c r="J209" s="175">
        <v>0</v>
      </c>
      <c r="K209" s="175">
        <v>0</v>
      </c>
      <c r="L209" s="175">
        <v>0</v>
      </c>
      <c r="M209" s="175">
        <v>0</v>
      </c>
      <c r="N209" s="175">
        <v>0</v>
      </c>
      <c r="O209" s="175">
        <v>0</v>
      </c>
      <c r="P209" s="175">
        <v>0</v>
      </c>
      <c r="Q209" s="175">
        <v>0</v>
      </c>
      <c r="R209" s="175">
        <v>0</v>
      </c>
      <c r="S209" s="175">
        <v>0</v>
      </c>
      <c r="U209" s="175">
        <f t="shared" si="15"/>
        <v>0</v>
      </c>
    </row>
    <row r="210" spans="1:21">
      <c r="A210" s="183" t="str">
        <f t="shared" si="13"/>
        <v>488</v>
      </c>
      <c r="B210" s="183" t="str">
        <f t="shared" si="14"/>
        <v>488.0</v>
      </c>
      <c r="C210" s="184" t="s">
        <v>1284</v>
      </c>
      <c r="D210" t="s">
        <v>1285</v>
      </c>
      <c r="E210" s="470"/>
      <c r="F210" s="470"/>
      <c r="G210" s="175">
        <v>0</v>
      </c>
      <c r="H210" s="175">
        <v>0</v>
      </c>
      <c r="I210" s="175">
        <v>0</v>
      </c>
      <c r="J210" s="175">
        <v>0</v>
      </c>
      <c r="K210" s="175">
        <v>0</v>
      </c>
      <c r="L210" s="175">
        <v>0</v>
      </c>
      <c r="M210" s="175">
        <v>0</v>
      </c>
      <c r="N210" s="175">
        <v>0</v>
      </c>
      <c r="O210" s="175">
        <v>0</v>
      </c>
      <c r="P210" s="175">
        <v>0</v>
      </c>
      <c r="Q210" s="175">
        <v>0</v>
      </c>
      <c r="R210" s="175">
        <v>0</v>
      </c>
      <c r="S210" s="175">
        <v>0</v>
      </c>
      <c r="U210" s="175">
        <f t="shared" si="15"/>
        <v>0</v>
      </c>
    </row>
    <row r="211" spans="1:21">
      <c r="A211" s="183" t="str">
        <f t="shared" si="13"/>
        <v>489</v>
      </c>
      <c r="B211" s="183" t="str">
        <f t="shared" si="14"/>
        <v>489.1</v>
      </c>
      <c r="C211" s="184" t="s">
        <v>1286</v>
      </c>
      <c r="D211" t="s">
        <v>1287</v>
      </c>
      <c r="E211" s="470"/>
      <c r="F211" s="470"/>
      <c r="G211" s="175">
        <v>0</v>
      </c>
      <c r="H211" s="175">
        <v>0</v>
      </c>
      <c r="I211" s="175">
        <v>0</v>
      </c>
      <c r="J211" s="175">
        <v>0</v>
      </c>
      <c r="K211" s="175">
        <v>0</v>
      </c>
      <c r="L211" s="175">
        <v>0</v>
      </c>
      <c r="M211" s="175">
        <v>0</v>
      </c>
      <c r="N211" s="175">
        <v>0</v>
      </c>
      <c r="O211" s="175">
        <v>0</v>
      </c>
      <c r="P211" s="175">
        <v>0</v>
      </c>
      <c r="Q211" s="175">
        <v>0</v>
      </c>
      <c r="R211" s="175">
        <v>0</v>
      </c>
      <c r="S211" s="175">
        <v>0</v>
      </c>
      <c r="U211" s="175">
        <f t="shared" si="15"/>
        <v>0</v>
      </c>
    </row>
    <row r="212" spans="1:21">
      <c r="A212" s="183" t="str">
        <f t="shared" si="13"/>
        <v>489</v>
      </c>
      <c r="B212" s="183" t="str">
        <f t="shared" si="14"/>
        <v>489.2</v>
      </c>
      <c r="C212" s="184" t="s">
        <v>1288</v>
      </c>
      <c r="D212" t="s">
        <v>1289</v>
      </c>
      <c r="E212" s="470"/>
      <c r="F212" s="470"/>
      <c r="G212" s="175">
        <v>0</v>
      </c>
      <c r="H212" s="175">
        <v>0</v>
      </c>
      <c r="I212" s="175">
        <v>0</v>
      </c>
      <c r="J212" s="175">
        <v>0</v>
      </c>
      <c r="K212" s="175">
        <v>0</v>
      </c>
      <c r="L212" s="175">
        <v>0</v>
      </c>
      <c r="M212" s="175">
        <v>0</v>
      </c>
      <c r="N212" s="175">
        <v>0</v>
      </c>
      <c r="O212" s="175">
        <v>0</v>
      </c>
      <c r="P212" s="175">
        <v>0</v>
      </c>
      <c r="Q212" s="175">
        <v>0</v>
      </c>
      <c r="R212" s="175">
        <v>0</v>
      </c>
      <c r="S212" s="175">
        <v>0</v>
      </c>
      <c r="U212" s="175">
        <f t="shared" si="15"/>
        <v>0</v>
      </c>
    </row>
    <row r="213" spans="1:21">
      <c r="A213" s="183" t="str">
        <f t="shared" si="13"/>
        <v>489</v>
      </c>
      <c r="B213" s="183" t="str">
        <f t="shared" si="14"/>
        <v>489.3</v>
      </c>
      <c r="C213" s="184" t="s">
        <v>1290</v>
      </c>
      <c r="D213" t="s">
        <v>1291</v>
      </c>
      <c r="E213" s="470"/>
      <c r="F213" s="470"/>
      <c r="G213" s="175">
        <v>0</v>
      </c>
      <c r="H213" s="175">
        <v>0</v>
      </c>
      <c r="I213" s="175">
        <v>0</v>
      </c>
      <c r="J213" s="175">
        <v>0</v>
      </c>
      <c r="K213" s="175">
        <v>0</v>
      </c>
      <c r="L213" s="175">
        <v>0</v>
      </c>
      <c r="M213" s="175">
        <v>0</v>
      </c>
      <c r="N213" s="175">
        <v>0</v>
      </c>
      <c r="O213" s="175">
        <v>0</v>
      </c>
      <c r="P213" s="175">
        <v>0</v>
      </c>
      <c r="Q213" s="175">
        <v>0</v>
      </c>
      <c r="R213" s="175">
        <v>0</v>
      </c>
      <c r="S213" s="175">
        <v>0</v>
      </c>
      <c r="U213" s="175">
        <f t="shared" si="15"/>
        <v>0</v>
      </c>
    </row>
    <row r="214" spans="1:21">
      <c r="A214" s="183" t="str">
        <f t="shared" si="13"/>
        <v>489</v>
      </c>
      <c r="B214" s="183" t="str">
        <f t="shared" si="14"/>
        <v>489.4</v>
      </c>
      <c r="C214" s="184" t="s">
        <v>1292</v>
      </c>
      <c r="D214" t="s">
        <v>1293</v>
      </c>
      <c r="E214" s="470"/>
      <c r="F214" s="470"/>
      <c r="G214" s="175">
        <v>0</v>
      </c>
      <c r="H214" s="175">
        <v>0</v>
      </c>
      <c r="I214" s="175">
        <v>0</v>
      </c>
      <c r="J214" s="175">
        <v>0</v>
      </c>
      <c r="K214" s="175">
        <v>0</v>
      </c>
      <c r="L214" s="175">
        <v>0</v>
      </c>
      <c r="M214" s="175">
        <v>0</v>
      </c>
      <c r="N214" s="175">
        <v>0</v>
      </c>
      <c r="O214" s="175">
        <v>0</v>
      </c>
      <c r="P214" s="175">
        <v>0</v>
      </c>
      <c r="Q214" s="175">
        <v>0</v>
      </c>
      <c r="R214" s="175">
        <v>0</v>
      </c>
      <c r="S214" s="175">
        <v>0</v>
      </c>
      <c r="U214" s="175">
        <f t="shared" si="15"/>
        <v>0</v>
      </c>
    </row>
    <row r="215" spans="1:21">
      <c r="A215" s="183" t="str">
        <f t="shared" si="13"/>
        <v>490</v>
      </c>
      <c r="B215" s="183" t="str">
        <f t="shared" si="14"/>
        <v>490.0</v>
      </c>
      <c r="C215" s="184" t="s">
        <v>1294</v>
      </c>
      <c r="D215" t="s">
        <v>1295</v>
      </c>
      <c r="E215" s="470"/>
      <c r="F215" s="470"/>
      <c r="G215" s="175">
        <v>0</v>
      </c>
      <c r="H215" s="175">
        <v>0</v>
      </c>
      <c r="I215" s="175">
        <v>0</v>
      </c>
      <c r="J215" s="175">
        <v>0</v>
      </c>
      <c r="K215" s="175">
        <v>0</v>
      </c>
      <c r="L215" s="175">
        <v>0</v>
      </c>
      <c r="M215" s="175">
        <v>0</v>
      </c>
      <c r="N215" s="175">
        <v>0</v>
      </c>
      <c r="O215" s="175">
        <v>0</v>
      </c>
      <c r="P215" s="175">
        <v>0</v>
      </c>
      <c r="Q215" s="175">
        <v>0</v>
      </c>
      <c r="R215" s="175">
        <v>0</v>
      </c>
      <c r="S215" s="175">
        <v>0</v>
      </c>
      <c r="U215" s="175">
        <f t="shared" si="15"/>
        <v>0</v>
      </c>
    </row>
    <row r="216" spans="1:21">
      <c r="A216" s="183" t="str">
        <f t="shared" si="13"/>
        <v>491</v>
      </c>
      <c r="B216" s="183" t="str">
        <f t="shared" si="14"/>
        <v>491.0</v>
      </c>
      <c r="C216" s="184" t="s">
        <v>1296</v>
      </c>
      <c r="D216" t="s">
        <v>1297</v>
      </c>
      <c r="E216" s="470"/>
      <c r="F216" s="470"/>
      <c r="G216" s="175">
        <v>0</v>
      </c>
      <c r="H216" s="175">
        <v>0</v>
      </c>
      <c r="I216" s="175">
        <v>0</v>
      </c>
      <c r="J216" s="175">
        <v>0</v>
      </c>
      <c r="K216" s="175">
        <v>0</v>
      </c>
      <c r="L216" s="175">
        <v>0</v>
      </c>
      <c r="M216" s="175">
        <v>0</v>
      </c>
      <c r="N216" s="175">
        <v>0</v>
      </c>
      <c r="O216" s="175">
        <v>0</v>
      </c>
      <c r="P216" s="175">
        <v>0</v>
      </c>
      <c r="Q216" s="175">
        <v>0</v>
      </c>
      <c r="R216" s="175">
        <v>0</v>
      </c>
      <c r="S216" s="175">
        <v>0</v>
      </c>
      <c r="U216" s="175">
        <f t="shared" si="15"/>
        <v>0</v>
      </c>
    </row>
    <row r="217" spans="1:21">
      <c r="A217" s="183" t="str">
        <f t="shared" si="13"/>
        <v>492</v>
      </c>
      <c r="B217" s="183" t="str">
        <f t="shared" si="14"/>
        <v>492.0</v>
      </c>
      <c r="C217" s="184" t="s">
        <v>1298</v>
      </c>
      <c r="D217" t="s">
        <v>1299</v>
      </c>
      <c r="E217" s="470"/>
      <c r="F217" s="470"/>
      <c r="G217" s="175">
        <v>0</v>
      </c>
      <c r="H217" s="175">
        <v>0</v>
      </c>
      <c r="I217" s="175">
        <v>0</v>
      </c>
      <c r="J217" s="175">
        <v>0</v>
      </c>
      <c r="K217" s="175">
        <v>0</v>
      </c>
      <c r="L217" s="175">
        <v>0</v>
      </c>
      <c r="M217" s="175">
        <v>0</v>
      </c>
      <c r="N217" s="175">
        <v>0</v>
      </c>
      <c r="O217" s="175">
        <v>0</v>
      </c>
      <c r="P217" s="175">
        <v>0</v>
      </c>
      <c r="Q217" s="175">
        <v>0</v>
      </c>
      <c r="R217" s="175">
        <v>0</v>
      </c>
      <c r="S217" s="175">
        <v>0</v>
      </c>
      <c r="U217" s="175">
        <f t="shared" si="15"/>
        <v>0</v>
      </c>
    </row>
    <row r="218" spans="1:21">
      <c r="A218" s="183" t="str">
        <f t="shared" si="13"/>
        <v>493</v>
      </c>
      <c r="B218" s="183" t="str">
        <f t="shared" si="14"/>
        <v>493.0</v>
      </c>
      <c r="C218" s="184" t="s">
        <v>1300</v>
      </c>
      <c r="D218" t="s">
        <v>1301</v>
      </c>
      <c r="E218" s="470"/>
      <c r="F218" s="470"/>
      <c r="G218" s="175">
        <v>0</v>
      </c>
      <c r="H218" s="175">
        <v>0</v>
      </c>
      <c r="I218" s="175">
        <v>0</v>
      </c>
      <c r="J218" s="175">
        <v>0</v>
      </c>
      <c r="K218" s="175">
        <v>0</v>
      </c>
      <c r="L218" s="175">
        <v>0</v>
      </c>
      <c r="M218" s="175">
        <v>0</v>
      </c>
      <c r="N218" s="175">
        <v>0</v>
      </c>
      <c r="O218" s="175">
        <v>0</v>
      </c>
      <c r="P218" s="175">
        <v>0</v>
      </c>
      <c r="Q218" s="175">
        <v>0</v>
      </c>
      <c r="R218" s="175">
        <v>0</v>
      </c>
      <c r="S218" s="175">
        <v>0</v>
      </c>
      <c r="U218" s="175">
        <f t="shared" si="15"/>
        <v>0</v>
      </c>
    </row>
    <row r="219" spans="1:21">
      <c r="A219" s="183" t="str">
        <f t="shared" si="13"/>
        <v>494</v>
      </c>
      <c r="B219" s="183" t="str">
        <f t="shared" si="14"/>
        <v>494.0</v>
      </c>
      <c r="C219" s="184" t="s">
        <v>1302</v>
      </c>
      <c r="D219" t="s">
        <v>1303</v>
      </c>
      <c r="E219" s="470"/>
      <c r="F219" s="470"/>
      <c r="G219" s="175">
        <v>0</v>
      </c>
      <c r="H219" s="175">
        <v>0</v>
      </c>
      <c r="I219" s="175">
        <v>0</v>
      </c>
      <c r="J219" s="175">
        <v>0</v>
      </c>
      <c r="K219" s="175">
        <v>0</v>
      </c>
      <c r="L219" s="175">
        <v>0</v>
      </c>
      <c r="M219" s="175">
        <v>0</v>
      </c>
      <c r="N219" s="175">
        <v>0</v>
      </c>
      <c r="O219" s="175">
        <v>0</v>
      </c>
      <c r="P219" s="175">
        <v>0</v>
      </c>
      <c r="Q219" s="175">
        <v>0</v>
      </c>
      <c r="R219" s="175">
        <v>0</v>
      </c>
      <c r="S219" s="175">
        <v>0</v>
      </c>
      <c r="U219" s="175">
        <f t="shared" si="15"/>
        <v>0</v>
      </c>
    </row>
    <row r="220" spans="1:21">
      <c r="A220" s="183" t="str">
        <f t="shared" si="13"/>
        <v>495</v>
      </c>
      <c r="B220" s="183" t="str">
        <f t="shared" si="14"/>
        <v>495.0</v>
      </c>
      <c r="C220" s="184" t="s">
        <v>1304</v>
      </c>
      <c r="D220" t="s">
        <v>1305</v>
      </c>
      <c r="E220" s="470"/>
      <c r="F220" s="470"/>
      <c r="G220" s="175">
        <v>0</v>
      </c>
      <c r="H220" s="175">
        <v>0</v>
      </c>
      <c r="I220" s="175">
        <v>0</v>
      </c>
      <c r="J220" s="175">
        <v>0</v>
      </c>
      <c r="K220" s="175">
        <v>0</v>
      </c>
      <c r="L220" s="175">
        <v>0</v>
      </c>
      <c r="M220" s="175">
        <v>0</v>
      </c>
      <c r="N220" s="175">
        <v>0</v>
      </c>
      <c r="O220" s="175">
        <v>0</v>
      </c>
      <c r="P220" s="175">
        <v>0</v>
      </c>
      <c r="Q220" s="175">
        <v>0</v>
      </c>
      <c r="R220" s="175">
        <v>0</v>
      </c>
      <c r="S220" s="175">
        <v>0</v>
      </c>
      <c r="U220" s="175">
        <f t="shared" si="15"/>
        <v>0</v>
      </c>
    </row>
    <row r="221" spans="1:21">
      <c r="A221" s="183" t="str">
        <f t="shared" si="13"/>
        <v>496</v>
      </c>
      <c r="B221" s="183" t="str">
        <f t="shared" si="14"/>
        <v>496.0</v>
      </c>
      <c r="C221" s="184" t="s">
        <v>1306</v>
      </c>
      <c r="D221" t="s">
        <v>1307</v>
      </c>
      <c r="E221" s="470"/>
      <c r="F221" s="470"/>
      <c r="G221" s="175">
        <v>0</v>
      </c>
      <c r="H221" s="175">
        <v>0</v>
      </c>
      <c r="I221" s="175">
        <v>0</v>
      </c>
      <c r="J221" s="175">
        <v>0</v>
      </c>
      <c r="K221" s="175">
        <v>0</v>
      </c>
      <c r="L221" s="175">
        <v>0</v>
      </c>
      <c r="M221" s="175">
        <v>0</v>
      </c>
      <c r="N221" s="175">
        <v>0</v>
      </c>
      <c r="O221" s="175">
        <v>0</v>
      </c>
      <c r="P221" s="175">
        <v>0</v>
      </c>
      <c r="Q221" s="175">
        <v>0</v>
      </c>
      <c r="R221" s="175">
        <v>0</v>
      </c>
      <c r="S221" s="175">
        <v>0</v>
      </c>
      <c r="U221" s="175">
        <f t="shared" si="15"/>
        <v>0</v>
      </c>
    </row>
    <row r="222" spans="1:21">
      <c r="A222" s="183" t="str">
        <f t="shared" si="13"/>
        <v>500</v>
      </c>
      <c r="B222" s="183" t="str">
        <f t="shared" si="14"/>
        <v>500.0</v>
      </c>
      <c r="C222" s="184" t="s">
        <v>1308</v>
      </c>
      <c r="D222" t="s">
        <v>1309</v>
      </c>
      <c r="E222" s="470"/>
      <c r="F222" s="470"/>
      <c r="G222" s="175">
        <v>460983.86916449998</v>
      </c>
      <c r="H222" s="175">
        <v>457718.51810370001</v>
      </c>
      <c r="I222" s="175">
        <v>433348.72930270003</v>
      </c>
      <c r="J222" s="175">
        <v>438322.08588229999</v>
      </c>
      <c r="K222" s="175">
        <v>465500.02682209999</v>
      </c>
      <c r="L222" s="175">
        <v>483309.84117590002</v>
      </c>
      <c r="M222" s="175">
        <v>443431.52577499999</v>
      </c>
      <c r="N222" s="175">
        <v>495811.3425734</v>
      </c>
      <c r="O222" s="175">
        <v>483532.7986642</v>
      </c>
      <c r="P222" s="175">
        <v>467647.36547830002</v>
      </c>
      <c r="Q222" s="175">
        <v>502374.1512357</v>
      </c>
      <c r="R222" s="175">
        <v>470960.51591979997</v>
      </c>
      <c r="S222" s="175">
        <v>495391.88626529998</v>
      </c>
      <c r="U222" s="175">
        <f t="shared" si="15"/>
        <v>469102.51202791533</v>
      </c>
    </row>
    <row r="223" spans="1:21">
      <c r="A223" s="183" t="str">
        <f t="shared" si="13"/>
        <v>501</v>
      </c>
      <c r="B223" s="183" t="str">
        <f t="shared" si="14"/>
        <v>501.0</v>
      </c>
      <c r="C223" s="184" t="s">
        <v>1310</v>
      </c>
      <c r="D223" t="s">
        <v>1311</v>
      </c>
      <c r="E223" s="470"/>
      <c r="F223" s="470"/>
      <c r="G223" s="175">
        <v>9339957.7592364997</v>
      </c>
      <c r="H223" s="175">
        <v>4106456.8069765</v>
      </c>
      <c r="I223" s="175">
        <v>2473476.7814798998</v>
      </c>
      <c r="J223" s="175">
        <v>1770124.7814799</v>
      </c>
      <c r="K223" s="175">
        <v>1339910.8673379</v>
      </c>
      <c r="L223" s="175">
        <v>49016.3800863</v>
      </c>
      <c r="M223" s="175">
        <v>48558.841508400001</v>
      </c>
      <c r="N223" s="175">
        <v>1462399.6666411001</v>
      </c>
      <c r="O223" s="175">
        <v>51708.1538927</v>
      </c>
      <c r="P223" s="175">
        <v>51555.641144499998</v>
      </c>
      <c r="Q223" s="175">
        <v>54704.953195900001</v>
      </c>
      <c r="R223" s="175">
        <v>54399.927699300002</v>
      </c>
      <c r="S223" s="175">
        <v>4073430.8732218998</v>
      </c>
      <c r="U223" s="175">
        <f t="shared" si="15"/>
        <v>1913515.494915446</v>
      </c>
    </row>
    <row r="224" spans="1:21">
      <c r="A224" s="183" t="str">
        <f t="shared" si="13"/>
        <v>502</v>
      </c>
      <c r="B224" s="183" t="str">
        <f t="shared" si="14"/>
        <v>502.0</v>
      </c>
      <c r="C224" s="184" t="s">
        <v>1312</v>
      </c>
      <c r="D224" t="s">
        <v>1313</v>
      </c>
      <c r="E224" s="470"/>
      <c r="F224" s="470"/>
      <c r="G224" s="175">
        <v>1107028.648823</v>
      </c>
      <c r="H224" s="175">
        <v>919734.53889940004</v>
      </c>
      <c r="I224" s="175">
        <v>815390.84199009999</v>
      </c>
      <c r="J224" s="175">
        <v>947555.90651700005</v>
      </c>
      <c r="K224" s="175">
        <v>963439.42239700002</v>
      </c>
      <c r="L224" s="175">
        <v>1008174.8765414</v>
      </c>
      <c r="M224" s="175">
        <v>873968.41639799997</v>
      </c>
      <c r="N224" s="175">
        <v>1035273.9554828</v>
      </c>
      <c r="O224" s="175">
        <v>990538.50133879995</v>
      </c>
      <c r="P224" s="175">
        <v>945803.04714519996</v>
      </c>
      <c r="Q224" s="175">
        <v>1042373.0344251</v>
      </c>
      <c r="R224" s="175">
        <v>952902.12608740001</v>
      </c>
      <c r="S224" s="175">
        <v>1025632.9749901</v>
      </c>
      <c r="U224" s="175">
        <f t="shared" si="15"/>
        <v>971370.48392579216</v>
      </c>
    </row>
    <row r="225" spans="1:21">
      <c r="A225" s="183" t="str">
        <f t="shared" si="13"/>
        <v>503</v>
      </c>
      <c r="B225" s="183" t="str">
        <f t="shared" si="14"/>
        <v>503.0</v>
      </c>
      <c r="C225" s="184" t="s">
        <v>1314</v>
      </c>
      <c r="D225" t="s">
        <v>1315</v>
      </c>
      <c r="E225" s="470"/>
      <c r="F225" s="470"/>
      <c r="G225" s="175">
        <v>0</v>
      </c>
      <c r="H225" s="175">
        <v>0</v>
      </c>
      <c r="I225" s="175">
        <v>0</v>
      </c>
      <c r="J225" s="175">
        <v>0</v>
      </c>
      <c r="K225" s="175">
        <v>0</v>
      </c>
      <c r="L225" s="175">
        <v>0</v>
      </c>
      <c r="M225" s="175">
        <v>0</v>
      </c>
      <c r="N225" s="175">
        <v>0</v>
      </c>
      <c r="O225" s="175">
        <v>0</v>
      </c>
      <c r="P225" s="175">
        <v>0</v>
      </c>
      <c r="Q225" s="175">
        <v>0</v>
      </c>
      <c r="R225" s="175">
        <v>0</v>
      </c>
      <c r="S225" s="175">
        <v>0</v>
      </c>
      <c r="U225" s="175">
        <f t="shared" si="15"/>
        <v>0</v>
      </c>
    </row>
    <row r="226" spans="1:21">
      <c r="A226" s="183" t="str">
        <f t="shared" si="13"/>
        <v>504</v>
      </c>
      <c r="B226" s="183" t="str">
        <f t="shared" si="14"/>
        <v>504.0</v>
      </c>
      <c r="C226" s="184" t="s">
        <v>1316</v>
      </c>
      <c r="D226" t="s">
        <v>1317</v>
      </c>
      <c r="E226" s="470"/>
      <c r="F226" s="470"/>
      <c r="G226" s="175">
        <v>0</v>
      </c>
      <c r="H226" s="175">
        <v>0</v>
      </c>
      <c r="I226" s="175">
        <v>0</v>
      </c>
      <c r="J226" s="175">
        <v>0</v>
      </c>
      <c r="K226" s="175">
        <v>0</v>
      </c>
      <c r="L226" s="175">
        <v>0</v>
      </c>
      <c r="M226" s="175">
        <v>0</v>
      </c>
      <c r="N226" s="175">
        <v>0</v>
      </c>
      <c r="O226" s="175">
        <v>0</v>
      </c>
      <c r="P226" s="175">
        <v>0</v>
      </c>
      <c r="Q226" s="175">
        <v>0</v>
      </c>
      <c r="R226" s="175">
        <v>0</v>
      </c>
      <c r="S226" s="175">
        <v>0</v>
      </c>
      <c r="U226" s="175">
        <f t="shared" si="15"/>
        <v>0</v>
      </c>
    </row>
    <row r="227" spans="1:21">
      <c r="A227" s="183" t="str">
        <f t="shared" si="13"/>
        <v>505</v>
      </c>
      <c r="B227" s="183" t="str">
        <f t="shared" si="14"/>
        <v>505.0</v>
      </c>
      <c r="C227" s="184" t="s">
        <v>1318</v>
      </c>
      <c r="D227" t="s">
        <v>1319</v>
      </c>
      <c r="E227" s="470"/>
      <c r="F227" s="470"/>
      <c r="G227" s="175">
        <v>27919.605831500001</v>
      </c>
      <c r="H227" s="175">
        <v>16994.542679999999</v>
      </c>
      <c r="I227" s="175">
        <v>16994.542679999999</v>
      </c>
      <c r="J227" s="175">
        <v>16994.542679999999</v>
      </c>
      <c r="K227" s="175">
        <v>19422.334491500002</v>
      </c>
      <c r="L227" s="175">
        <v>19422.334491500002</v>
      </c>
      <c r="M227" s="175">
        <v>19422.334491500002</v>
      </c>
      <c r="N227" s="175">
        <v>20636.230397200001</v>
      </c>
      <c r="O227" s="175">
        <v>20636.230397200001</v>
      </c>
      <c r="P227" s="175">
        <v>20636.230397200001</v>
      </c>
      <c r="Q227" s="175">
        <v>21850.126302799999</v>
      </c>
      <c r="R227" s="175">
        <v>21850.126302799999</v>
      </c>
      <c r="S227" s="175">
        <v>27919.605831500001</v>
      </c>
      <c r="U227" s="175">
        <f t="shared" si="15"/>
        <v>20822.983613438464</v>
      </c>
    </row>
    <row r="228" spans="1:21">
      <c r="A228" s="183" t="str">
        <f t="shared" si="13"/>
        <v>506</v>
      </c>
      <c r="B228" s="183" t="str">
        <f t="shared" si="14"/>
        <v>506.0</v>
      </c>
      <c r="C228" s="184" t="s">
        <v>1320</v>
      </c>
      <c r="D228" t="s">
        <v>1321</v>
      </c>
      <c r="E228" s="470"/>
      <c r="F228" s="470"/>
      <c r="G228" s="175">
        <v>474851.42959090002</v>
      </c>
      <c r="H228" s="175">
        <v>434781.47854729998</v>
      </c>
      <c r="I228" s="175">
        <v>372130.03761519998</v>
      </c>
      <c r="J228" s="175">
        <v>378056.72709519998</v>
      </c>
      <c r="K228" s="175">
        <v>399541.17944129999</v>
      </c>
      <c r="L228" s="175">
        <v>402951.54684030003</v>
      </c>
      <c r="M228" s="175">
        <v>392246.48812509998</v>
      </c>
      <c r="N228" s="175">
        <v>421156.00734080002</v>
      </c>
      <c r="O228" s="175">
        <v>417587.65703280002</v>
      </c>
      <c r="P228" s="175">
        <v>414019.30672470003</v>
      </c>
      <c r="Q228" s="175">
        <v>439525.6317877</v>
      </c>
      <c r="R228" s="175">
        <v>432374.5690977</v>
      </c>
      <c r="S228" s="175">
        <v>471472.40294529998</v>
      </c>
      <c r="U228" s="175">
        <f t="shared" si="15"/>
        <v>419284.18939879222</v>
      </c>
    </row>
    <row r="229" spans="1:21">
      <c r="A229" s="183" t="str">
        <f t="shared" si="13"/>
        <v>507</v>
      </c>
      <c r="B229" s="183" t="str">
        <f t="shared" si="14"/>
        <v>507.0</v>
      </c>
      <c r="C229" s="184" t="s">
        <v>1322</v>
      </c>
      <c r="D229" t="s">
        <v>1323</v>
      </c>
      <c r="E229" s="470"/>
      <c r="F229" s="470"/>
      <c r="G229" s="175">
        <v>2000</v>
      </c>
      <c r="H229" s="175">
        <v>2000</v>
      </c>
      <c r="I229" s="175">
        <v>2000</v>
      </c>
      <c r="J229" s="175">
        <v>2000</v>
      </c>
      <c r="K229" s="175">
        <v>2000</v>
      </c>
      <c r="L229" s="175">
        <v>2000</v>
      </c>
      <c r="M229" s="175">
        <v>2000</v>
      </c>
      <c r="N229" s="175">
        <v>2000</v>
      </c>
      <c r="O229" s="175">
        <v>2000</v>
      </c>
      <c r="P229" s="175">
        <v>2000</v>
      </c>
      <c r="Q229" s="175">
        <v>2000</v>
      </c>
      <c r="R229" s="175">
        <v>2000</v>
      </c>
      <c r="S229" s="175">
        <v>2000</v>
      </c>
      <c r="U229" s="175">
        <f t="shared" si="15"/>
        <v>2000</v>
      </c>
    </row>
    <row r="230" spans="1:21">
      <c r="A230" s="183" t="str">
        <f t="shared" si="13"/>
        <v>509</v>
      </c>
      <c r="B230" s="183" t="str">
        <f t="shared" si="14"/>
        <v>509.0</v>
      </c>
      <c r="C230" s="184" t="s">
        <v>1324</v>
      </c>
      <c r="D230" t="s">
        <v>1325</v>
      </c>
      <c r="E230" s="470"/>
      <c r="F230" s="470"/>
      <c r="G230" s="175">
        <v>0</v>
      </c>
      <c r="H230" s="175">
        <v>1411</v>
      </c>
      <c r="I230" s="175">
        <v>1325</v>
      </c>
      <c r="J230" s="175">
        <v>1416</v>
      </c>
      <c r="K230" s="175">
        <v>1365</v>
      </c>
      <c r="L230" s="175">
        <v>1416</v>
      </c>
      <c r="M230" s="175">
        <v>757</v>
      </c>
      <c r="N230" s="175">
        <v>-5</v>
      </c>
      <c r="O230" s="175">
        <v>0</v>
      </c>
      <c r="P230" s="175">
        <v>2350</v>
      </c>
      <c r="Q230" s="175">
        <v>-5</v>
      </c>
      <c r="R230" s="175">
        <v>0</v>
      </c>
      <c r="S230" s="175">
        <v>0</v>
      </c>
      <c r="U230" s="175">
        <f t="shared" si="15"/>
        <v>771.53846153846155</v>
      </c>
    </row>
    <row r="231" spans="1:21">
      <c r="A231" s="183" t="str">
        <f t="shared" si="13"/>
        <v>510</v>
      </c>
      <c r="B231" s="183" t="str">
        <f t="shared" si="14"/>
        <v>510.0</v>
      </c>
      <c r="C231" s="184" t="s">
        <v>1326</v>
      </c>
      <c r="D231" t="s">
        <v>1327</v>
      </c>
      <c r="E231" s="470"/>
      <c r="F231" s="470"/>
      <c r="G231" s="175">
        <v>0</v>
      </c>
      <c r="H231" s="175">
        <v>0</v>
      </c>
      <c r="I231" s="175">
        <v>0</v>
      </c>
      <c r="J231" s="175">
        <v>0</v>
      </c>
      <c r="K231" s="175">
        <v>0</v>
      </c>
      <c r="L231" s="175">
        <v>0</v>
      </c>
      <c r="M231" s="175">
        <v>0</v>
      </c>
      <c r="N231" s="175">
        <v>0</v>
      </c>
      <c r="O231" s="175">
        <v>0</v>
      </c>
      <c r="P231" s="175">
        <v>0</v>
      </c>
      <c r="Q231" s="175">
        <v>0</v>
      </c>
      <c r="R231" s="175">
        <v>0</v>
      </c>
      <c r="S231" s="175">
        <v>0</v>
      </c>
      <c r="U231" s="175">
        <f t="shared" si="15"/>
        <v>0</v>
      </c>
    </row>
    <row r="232" spans="1:21">
      <c r="A232" s="183" t="str">
        <f t="shared" si="13"/>
        <v>511</v>
      </c>
      <c r="B232" s="183" t="str">
        <f t="shared" si="14"/>
        <v>511.0</v>
      </c>
      <c r="C232" s="184" t="s">
        <v>1328</v>
      </c>
      <c r="D232" t="s">
        <v>1329</v>
      </c>
      <c r="E232" s="470"/>
      <c r="F232" s="470"/>
      <c r="G232" s="175">
        <v>395243.5260294</v>
      </c>
      <c r="H232" s="175">
        <v>290653.93873910001</v>
      </c>
      <c r="I232" s="175">
        <v>283637.64755190001</v>
      </c>
      <c r="J232" s="175">
        <v>283637.64755190001</v>
      </c>
      <c r="K232" s="175">
        <v>312038.8422977</v>
      </c>
      <c r="L232" s="175">
        <v>312927.89788359997</v>
      </c>
      <c r="M232" s="175">
        <v>296486.3222011</v>
      </c>
      <c r="N232" s="175">
        <v>320874.16504549998</v>
      </c>
      <c r="O232" s="175">
        <v>316863.94063909998</v>
      </c>
      <c r="P232" s="175">
        <v>314685.91758860002</v>
      </c>
      <c r="Q232" s="175">
        <v>343854.17313329998</v>
      </c>
      <c r="R232" s="175">
        <v>334568.75912639999</v>
      </c>
      <c r="S232" s="175">
        <v>399669.31521069998</v>
      </c>
      <c r="U232" s="175">
        <f t="shared" si="15"/>
        <v>323472.46869217692</v>
      </c>
    </row>
    <row r="233" spans="1:21">
      <c r="A233" s="183" t="str">
        <f t="shared" si="13"/>
        <v>512</v>
      </c>
      <c r="B233" s="183" t="str">
        <f t="shared" si="14"/>
        <v>512.0</v>
      </c>
      <c r="C233" s="184" t="s">
        <v>1330</v>
      </c>
      <c r="D233" t="s">
        <v>1331</v>
      </c>
      <c r="E233" s="470"/>
      <c r="F233" s="470"/>
      <c r="G233" s="175">
        <v>1780810.8077707</v>
      </c>
      <c r="H233" s="175">
        <v>1282433.4064042</v>
      </c>
      <c r="I233" s="175">
        <v>1277429.7837677</v>
      </c>
      <c r="J233" s="175">
        <v>1277429.7837677</v>
      </c>
      <c r="K233" s="175">
        <v>3216405.6976918001</v>
      </c>
      <c r="L233" s="175">
        <v>1386999.5136084999</v>
      </c>
      <c r="M233" s="175">
        <v>1339218.0601651999</v>
      </c>
      <c r="N233" s="175">
        <v>1408224.5136084999</v>
      </c>
      <c r="O233" s="175">
        <v>1405630.6976918001</v>
      </c>
      <c r="P233" s="175">
        <v>3215036.8817655998</v>
      </c>
      <c r="Q233" s="175">
        <v>3281449.5136084999</v>
      </c>
      <c r="R233" s="175">
        <v>1456896.0770848</v>
      </c>
      <c r="S233" s="175">
        <v>1763973.7070629001</v>
      </c>
      <c r="U233" s="175">
        <f t="shared" si="15"/>
        <v>1853226.0341536847</v>
      </c>
    </row>
    <row r="234" spans="1:21">
      <c r="A234" s="183" t="str">
        <f t="shared" si="13"/>
        <v>513</v>
      </c>
      <c r="B234" s="183" t="str">
        <f t="shared" si="14"/>
        <v>513.0</v>
      </c>
      <c r="C234" s="184" t="s">
        <v>1332</v>
      </c>
      <c r="D234" t="s">
        <v>1333</v>
      </c>
      <c r="E234" s="470"/>
      <c r="F234" s="470"/>
      <c r="G234" s="175">
        <v>8010.6256468000001</v>
      </c>
      <c r="H234" s="175">
        <v>1387.4022894</v>
      </c>
      <c r="I234" s="175">
        <v>1266.7586862000001</v>
      </c>
      <c r="J234" s="175">
        <v>1266.7586862000001</v>
      </c>
      <c r="K234" s="175">
        <v>1336.9530311999999</v>
      </c>
      <c r="L234" s="175">
        <v>1397.7235768</v>
      </c>
      <c r="M234" s="175">
        <v>1215.4117828999999</v>
      </c>
      <c r="N234" s="175">
        <v>1397.7235768</v>
      </c>
      <c r="O234" s="175">
        <v>1336.9530311999999</v>
      </c>
      <c r="P234" s="175">
        <v>1276.1824762000001</v>
      </c>
      <c r="Q234" s="175">
        <v>1397.7235768</v>
      </c>
      <c r="R234" s="175">
        <v>1276.1824762000001</v>
      </c>
      <c r="S234" s="175">
        <v>1336.9530311999999</v>
      </c>
      <c r="U234" s="175">
        <f t="shared" si="15"/>
        <v>1838.7193744538463</v>
      </c>
    </row>
    <row r="235" spans="1:21">
      <c r="A235" s="183" t="str">
        <f t="shared" si="13"/>
        <v>514</v>
      </c>
      <c r="B235" s="183" t="str">
        <f t="shared" si="14"/>
        <v>514.0</v>
      </c>
      <c r="C235" s="184" t="s">
        <v>1334</v>
      </c>
      <c r="D235" t="s">
        <v>1335</v>
      </c>
      <c r="E235" s="470"/>
      <c r="F235" s="470"/>
      <c r="G235" s="175">
        <v>8010.6256468000001</v>
      </c>
      <c r="H235" s="175">
        <v>1387.4022894</v>
      </c>
      <c r="I235" s="175">
        <v>1266.7586862000001</v>
      </c>
      <c r="J235" s="175">
        <v>1266.7586862000001</v>
      </c>
      <c r="K235" s="175">
        <v>1336.9530311999999</v>
      </c>
      <c r="L235" s="175">
        <v>1397.7235768</v>
      </c>
      <c r="M235" s="175">
        <v>1215.4117828999999</v>
      </c>
      <c r="N235" s="175">
        <v>1397.7235768</v>
      </c>
      <c r="O235" s="175">
        <v>1336.9530311999999</v>
      </c>
      <c r="P235" s="175">
        <v>1276.1824762000001</v>
      </c>
      <c r="Q235" s="175">
        <v>1397.7235768</v>
      </c>
      <c r="R235" s="175">
        <v>1276.1824762000001</v>
      </c>
      <c r="S235" s="175">
        <v>1336.9530311999999</v>
      </c>
      <c r="U235" s="175">
        <f t="shared" si="15"/>
        <v>1838.7193744538463</v>
      </c>
    </row>
    <row r="236" spans="1:21">
      <c r="A236" s="183" t="str">
        <f t="shared" si="13"/>
        <v>517</v>
      </c>
      <c r="B236" s="183" t="str">
        <f t="shared" si="14"/>
        <v>517.0</v>
      </c>
      <c r="C236" s="184" t="s">
        <v>1336</v>
      </c>
      <c r="D236" t="s">
        <v>1337</v>
      </c>
      <c r="E236" s="470"/>
      <c r="F236" s="470"/>
      <c r="G236" s="175">
        <v>0</v>
      </c>
      <c r="H236" s="175">
        <v>0</v>
      </c>
      <c r="I236" s="175">
        <v>0</v>
      </c>
      <c r="J236" s="175">
        <v>0</v>
      </c>
      <c r="K236" s="175">
        <v>0</v>
      </c>
      <c r="L236" s="175">
        <v>0</v>
      </c>
      <c r="M236" s="175">
        <v>0</v>
      </c>
      <c r="N236" s="175">
        <v>0</v>
      </c>
      <c r="O236" s="175">
        <v>0</v>
      </c>
      <c r="P236" s="175">
        <v>0</v>
      </c>
      <c r="Q236" s="175">
        <v>0</v>
      </c>
      <c r="R236" s="175">
        <v>0</v>
      </c>
      <c r="S236" s="175">
        <v>0</v>
      </c>
      <c r="U236" s="175">
        <f t="shared" si="15"/>
        <v>0</v>
      </c>
    </row>
    <row r="237" spans="1:21">
      <c r="A237" s="183" t="str">
        <f t="shared" si="13"/>
        <v>518</v>
      </c>
      <c r="B237" s="183" t="str">
        <f t="shared" si="14"/>
        <v>518.0</v>
      </c>
      <c r="C237" s="184" t="s">
        <v>1338</v>
      </c>
      <c r="D237" t="s">
        <v>1339</v>
      </c>
      <c r="E237" s="470"/>
      <c r="F237" s="470"/>
      <c r="G237" s="175">
        <v>0</v>
      </c>
      <c r="H237" s="175">
        <v>0</v>
      </c>
      <c r="I237" s="175">
        <v>0</v>
      </c>
      <c r="J237" s="175">
        <v>0</v>
      </c>
      <c r="K237" s="175">
        <v>0</v>
      </c>
      <c r="L237" s="175">
        <v>0</v>
      </c>
      <c r="M237" s="175">
        <v>0</v>
      </c>
      <c r="N237" s="175">
        <v>0</v>
      </c>
      <c r="O237" s="175">
        <v>0</v>
      </c>
      <c r="P237" s="175">
        <v>0</v>
      </c>
      <c r="Q237" s="175">
        <v>0</v>
      </c>
      <c r="R237" s="175">
        <v>0</v>
      </c>
      <c r="S237" s="175">
        <v>0</v>
      </c>
      <c r="U237" s="175">
        <f t="shared" si="15"/>
        <v>0</v>
      </c>
    </row>
    <row r="238" spans="1:21">
      <c r="A238" s="183" t="str">
        <f t="shared" si="13"/>
        <v>519</v>
      </c>
      <c r="B238" s="183" t="str">
        <f t="shared" si="14"/>
        <v>519.0</v>
      </c>
      <c r="C238" s="184" t="s">
        <v>1340</v>
      </c>
      <c r="D238" t="s">
        <v>1341</v>
      </c>
      <c r="E238" s="470"/>
      <c r="F238" s="470"/>
      <c r="G238" s="175">
        <v>0</v>
      </c>
      <c r="H238" s="175">
        <v>0</v>
      </c>
      <c r="I238" s="175">
        <v>0</v>
      </c>
      <c r="J238" s="175">
        <v>0</v>
      </c>
      <c r="K238" s="175">
        <v>0</v>
      </c>
      <c r="L238" s="175">
        <v>0</v>
      </c>
      <c r="M238" s="175">
        <v>0</v>
      </c>
      <c r="N238" s="175">
        <v>0</v>
      </c>
      <c r="O238" s="175">
        <v>0</v>
      </c>
      <c r="P238" s="175">
        <v>0</v>
      </c>
      <c r="Q238" s="175">
        <v>0</v>
      </c>
      <c r="R238" s="175">
        <v>0</v>
      </c>
      <c r="S238" s="175">
        <v>0</v>
      </c>
      <c r="U238" s="175">
        <f t="shared" si="15"/>
        <v>0</v>
      </c>
    </row>
    <row r="239" spans="1:21">
      <c r="A239" s="183" t="str">
        <f t="shared" si="13"/>
        <v>520</v>
      </c>
      <c r="B239" s="183" t="str">
        <f t="shared" si="14"/>
        <v>520.0</v>
      </c>
      <c r="C239" s="184" t="s">
        <v>1342</v>
      </c>
      <c r="D239" t="s">
        <v>1343</v>
      </c>
      <c r="E239" s="470"/>
      <c r="F239" s="470"/>
      <c r="G239" s="175">
        <v>0</v>
      </c>
      <c r="H239" s="175">
        <v>0</v>
      </c>
      <c r="I239" s="175">
        <v>0</v>
      </c>
      <c r="J239" s="175">
        <v>0</v>
      </c>
      <c r="K239" s="175">
        <v>0</v>
      </c>
      <c r="L239" s="175">
        <v>0</v>
      </c>
      <c r="M239" s="175">
        <v>0</v>
      </c>
      <c r="N239" s="175">
        <v>0</v>
      </c>
      <c r="O239" s="175">
        <v>0</v>
      </c>
      <c r="P239" s="175">
        <v>0</v>
      </c>
      <c r="Q239" s="175">
        <v>0</v>
      </c>
      <c r="R239" s="175">
        <v>0</v>
      </c>
      <c r="S239" s="175">
        <v>0</v>
      </c>
      <c r="U239" s="175">
        <f t="shared" si="15"/>
        <v>0</v>
      </c>
    </row>
    <row r="240" spans="1:21">
      <c r="A240" s="183" t="str">
        <f t="shared" si="13"/>
        <v>521</v>
      </c>
      <c r="B240" s="183" t="str">
        <f t="shared" si="14"/>
        <v>521.0</v>
      </c>
      <c r="C240" s="184" t="s">
        <v>1344</v>
      </c>
      <c r="D240" t="s">
        <v>1345</v>
      </c>
      <c r="E240" s="470"/>
      <c r="F240" s="470"/>
      <c r="G240" s="175">
        <v>0</v>
      </c>
      <c r="H240" s="175">
        <v>0</v>
      </c>
      <c r="I240" s="175">
        <v>0</v>
      </c>
      <c r="J240" s="175">
        <v>0</v>
      </c>
      <c r="K240" s="175">
        <v>0</v>
      </c>
      <c r="L240" s="175">
        <v>0</v>
      </c>
      <c r="M240" s="175">
        <v>0</v>
      </c>
      <c r="N240" s="175">
        <v>0</v>
      </c>
      <c r="O240" s="175">
        <v>0</v>
      </c>
      <c r="P240" s="175">
        <v>0</v>
      </c>
      <c r="Q240" s="175">
        <v>0</v>
      </c>
      <c r="R240" s="175">
        <v>0</v>
      </c>
      <c r="S240" s="175">
        <v>0</v>
      </c>
      <c r="U240" s="175">
        <f t="shared" si="15"/>
        <v>0</v>
      </c>
    </row>
    <row r="241" spans="1:21">
      <c r="A241" s="183" t="str">
        <f t="shared" si="13"/>
        <v>522</v>
      </c>
      <c r="B241" s="183" t="str">
        <f t="shared" si="14"/>
        <v>522.0</v>
      </c>
      <c r="C241" s="184" t="s">
        <v>1346</v>
      </c>
      <c r="D241" t="s">
        <v>1347</v>
      </c>
      <c r="E241" s="470"/>
      <c r="F241" s="470"/>
      <c r="G241" s="175">
        <v>0</v>
      </c>
      <c r="H241" s="175">
        <v>0</v>
      </c>
      <c r="I241" s="175">
        <v>0</v>
      </c>
      <c r="J241" s="175">
        <v>0</v>
      </c>
      <c r="K241" s="175">
        <v>0</v>
      </c>
      <c r="L241" s="175">
        <v>0</v>
      </c>
      <c r="M241" s="175">
        <v>0</v>
      </c>
      <c r="N241" s="175">
        <v>0</v>
      </c>
      <c r="O241" s="175">
        <v>0</v>
      </c>
      <c r="P241" s="175">
        <v>0</v>
      </c>
      <c r="Q241" s="175">
        <v>0</v>
      </c>
      <c r="R241" s="175">
        <v>0</v>
      </c>
      <c r="S241" s="175">
        <v>0</v>
      </c>
      <c r="U241" s="175">
        <f t="shared" si="15"/>
        <v>0</v>
      </c>
    </row>
    <row r="242" spans="1:21">
      <c r="A242" s="183" t="str">
        <f t="shared" si="13"/>
        <v>523</v>
      </c>
      <c r="B242" s="183" t="str">
        <f t="shared" si="14"/>
        <v>523.0</v>
      </c>
      <c r="C242" s="184" t="s">
        <v>1348</v>
      </c>
      <c r="D242" t="s">
        <v>1349</v>
      </c>
      <c r="E242" s="470"/>
      <c r="F242" s="470"/>
      <c r="G242" s="175">
        <v>0</v>
      </c>
      <c r="H242" s="175">
        <v>0</v>
      </c>
      <c r="I242" s="175">
        <v>0</v>
      </c>
      <c r="J242" s="175">
        <v>0</v>
      </c>
      <c r="K242" s="175">
        <v>0</v>
      </c>
      <c r="L242" s="175">
        <v>0</v>
      </c>
      <c r="M242" s="175">
        <v>0</v>
      </c>
      <c r="N242" s="175">
        <v>0</v>
      </c>
      <c r="O242" s="175">
        <v>0</v>
      </c>
      <c r="P242" s="175">
        <v>0</v>
      </c>
      <c r="Q242" s="175">
        <v>0</v>
      </c>
      <c r="R242" s="175">
        <v>0</v>
      </c>
      <c r="S242" s="175">
        <v>0</v>
      </c>
      <c r="U242" s="175">
        <f t="shared" si="15"/>
        <v>0</v>
      </c>
    </row>
    <row r="243" spans="1:21">
      <c r="A243" s="183" t="str">
        <f t="shared" si="13"/>
        <v>524</v>
      </c>
      <c r="B243" s="183" t="str">
        <f t="shared" si="14"/>
        <v>524.0</v>
      </c>
      <c r="C243" s="184" t="s">
        <v>1350</v>
      </c>
      <c r="D243" t="s">
        <v>1351</v>
      </c>
      <c r="E243" s="470"/>
      <c r="F243" s="470"/>
      <c r="G243" s="175">
        <v>0</v>
      </c>
      <c r="H243" s="175">
        <v>0</v>
      </c>
      <c r="I243" s="175">
        <v>0</v>
      </c>
      <c r="J243" s="175">
        <v>0</v>
      </c>
      <c r="K243" s="175">
        <v>0</v>
      </c>
      <c r="L243" s="175">
        <v>0</v>
      </c>
      <c r="M243" s="175">
        <v>0</v>
      </c>
      <c r="N243" s="175">
        <v>0</v>
      </c>
      <c r="O243" s="175">
        <v>0</v>
      </c>
      <c r="P243" s="175">
        <v>0</v>
      </c>
      <c r="Q243" s="175">
        <v>0</v>
      </c>
      <c r="R243" s="175">
        <v>0</v>
      </c>
      <c r="S243" s="175">
        <v>0</v>
      </c>
      <c r="U243" s="175">
        <f t="shared" si="15"/>
        <v>0</v>
      </c>
    </row>
    <row r="244" spans="1:21">
      <c r="A244" s="183" t="str">
        <f t="shared" si="13"/>
        <v>525</v>
      </c>
      <c r="B244" s="183" t="str">
        <f t="shared" si="14"/>
        <v>525.0</v>
      </c>
      <c r="C244" s="184" t="s">
        <v>1352</v>
      </c>
      <c r="D244" t="s">
        <v>1353</v>
      </c>
      <c r="E244" s="470"/>
      <c r="F244" s="470"/>
      <c r="G244" s="175">
        <v>0</v>
      </c>
      <c r="H244" s="175">
        <v>0</v>
      </c>
      <c r="I244" s="175">
        <v>0</v>
      </c>
      <c r="J244" s="175">
        <v>0</v>
      </c>
      <c r="K244" s="175">
        <v>0</v>
      </c>
      <c r="L244" s="175">
        <v>0</v>
      </c>
      <c r="M244" s="175">
        <v>0</v>
      </c>
      <c r="N244" s="175">
        <v>0</v>
      </c>
      <c r="O244" s="175">
        <v>0</v>
      </c>
      <c r="P244" s="175">
        <v>0</v>
      </c>
      <c r="Q244" s="175">
        <v>0</v>
      </c>
      <c r="R244" s="175">
        <v>0</v>
      </c>
      <c r="S244" s="175">
        <v>0</v>
      </c>
      <c r="U244" s="175">
        <f t="shared" si="15"/>
        <v>0</v>
      </c>
    </row>
    <row r="245" spans="1:21">
      <c r="A245" s="183" t="str">
        <f t="shared" si="13"/>
        <v>528</v>
      </c>
      <c r="B245" s="183" t="str">
        <f t="shared" si="14"/>
        <v>528.0</v>
      </c>
      <c r="C245" s="184" t="s">
        <v>1354</v>
      </c>
      <c r="D245" t="s">
        <v>1355</v>
      </c>
      <c r="E245" s="470"/>
      <c r="F245" s="470"/>
      <c r="G245" s="175">
        <v>0</v>
      </c>
      <c r="H245" s="175">
        <v>0</v>
      </c>
      <c r="I245" s="175">
        <v>0</v>
      </c>
      <c r="J245" s="175">
        <v>0</v>
      </c>
      <c r="K245" s="175">
        <v>0</v>
      </c>
      <c r="L245" s="175">
        <v>0</v>
      </c>
      <c r="M245" s="175">
        <v>0</v>
      </c>
      <c r="N245" s="175">
        <v>0</v>
      </c>
      <c r="O245" s="175">
        <v>0</v>
      </c>
      <c r="P245" s="175">
        <v>0</v>
      </c>
      <c r="Q245" s="175">
        <v>0</v>
      </c>
      <c r="R245" s="175">
        <v>0</v>
      </c>
      <c r="S245" s="175">
        <v>0</v>
      </c>
      <c r="U245" s="175">
        <f t="shared" si="15"/>
        <v>0</v>
      </c>
    </row>
    <row r="246" spans="1:21">
      <c r="A246" s="183" t="str">
        <f t="shared" si="13"/>
        <v>529</v>
      </c>
      <c r="B246" s="183" t="str">
        <f t="shared" si="14"/>
        <v>529.0</v>
      </c>
      <c r="C246" s="184" t="s">
        <v>1356</v>
      </c>
      <c r="D246" t="s">
        <v>1357</v>
      </c>
      <c r="E246" s="470"/>
      <c r="F246" s="470"/>
      <c r="G246" s="175">
        <v>0</v>
      </c>
      <c r="H246" s="175">
        <v>0</v>
      </c>
      <c r="I246" s="175">
        <v>0</v>
      </c>
      <c r="J246" s="175">
        <v>0</v>
      </c>
      <c r="K246" s="175">
        <v>0</v>
      </c>
      <c r="L246" s="175">
        <v>0</v>
      </c>
      <c r="M246" s="175">
        <v>0</v>
      </c>
      <c r="N246" s="175">
        <v>0</v>
      </c>
      <c r="O246" s="175">
        <v>0</v>
      </c>
      <c r="P246" s="175">
        <v>0</v>
      </c>
      <c r="Q246" s="175">
        <v>0</v>
      </c>
      <c r="R246" s="175">
        <v>0</v>
      </c>
      <c r="S246" s="175">
        <v>0</v>
      </c>
      <c r="U246" s="175">
        <f t="shared" si="15"/>
        <v>0</v>
      </c>
    </row>
    <row r="247" spans="1:21">
      <c r="A247" s="183" t="str">
        <f t="shared" si="13"/>
        <v>530</v>
      </c>
      <c r="B247" s="183" t="str">
        <f t="shared" si="14"/>
        <v>530.0</v>
      </c>
      <c r="C247" s="184" t="s">
        <v>1358</v>
      </c>
      <c r="D247" t="s">
        <v>1359</v>
      </c>
      <c r="E247" s="470"/>
      <c r="F247" s="470"/>
      <c r="G247" s="175">
        <v>0</v>
      </c>
      <c r="H247" s="175">
        <v>0</v>
      </c>
      <c r="I247" s="175">
        <v>0</v>
      </c>
      <c r="J247" s="175">
        <v>0</v>
      </c>
      <c r="K247" s="175">
        <v>0</v>
      </c>
      <c r="L247" s="175">
        <v>0</v>
      </c>
      <c r="M247" s="175">
        <v>0</v>
      </c>
      <c r="N247" s="175">
        <v>0</v>
      </c>
      <c r="O247" s="175">
        <v>0</v>
      </c>
      <c r="P247" s="175">
        <v>0</v>
      </c>
      <c r="Q247" s="175">
        <v>0</v>
      </c>
      <c r="R247" s="175">
        <v>0</v>
      </c>
      <c r="S247" s="175">
        <v>0</v>
      </c>
      <c r="U247" s="175">
        <f t="shared" si="15"/>
        <v>0</v>
      </c>
    </row>
    <row r="248" spans="1:21">
      <c r="A248" s="183" t="str">
        <f t="shared" si="13"/>
        <v>531</v>
      </c>
      <c r="B248" s="183" t="str">
        <f t="shared" si="14"/>
        <v>531.0</v>
      </c>
      <c r="C248" s="184" t="s">
        <v>1360</v>
      </c>
      <c r="D248" t="s">
        <v>1361</v>
      </c>
      <c r="E248" s="470"/>
      <c r="F248" s="470"/>
      <c r="G248" s="175">
        <v>0</v>
      </c>
      <c r="H248" s="175">
        <v>0</v>
      </c>
      <c r="I248" s="175">
        <v>0</v>
      </c>
      <c r="J248" s="175">
        <v>0</v>
      </c>
      <c r="K248" s="175">
        <v>0</v>
      </c>
      <c r="L248" s="175">
        <v>0</v>
      </c>
      <c r="M248" s="175">
        <v>0</v>
      </c>
      <c r="N248" s="175">
        <v>0</v>
      </c>
      <c r="O248" s="175">
        <v>0</v>
      </c>
      <c r="P248" s="175">
        <v>0</v>
      </c>
      <c r="Q248" s="175">
        <v>0</v>
      </c>
      <c r="R248" s="175">
        <v>0</v>
      </c>
      <c r="S248" s="175">
        <v>0</v>
      </c>
      <c r="U248" s="175">
        <f t="shared" si="15"/>
        <v>0</v>
      </c>
    </row>
    <row r="249" spans="1:21">
      <c r="A249" s="183" t="str">
        <f t="shared" si="13"/>
        <v>532</v>
      </c>
      <c r="B249" s="183" t="str">
        <f t="shared" si="14"/>
        <v>532.0</v>
      </c>
      <c r="C249" s="184" t="s">
        <v>1362</v>
      </c>
      <c r="D249" t="s">
        <v>1363</v>
      </c>
      <c r="E249" s="470"/>
      <c r="F249" s="470"/>
      <c r="G249" s="175">
        <v>0</v>
      </c>
      <c r="H249" s="175">
        <v>0</v>
      </c>
      <c r="I249" s="175">
        <v>0</v>
      </c>
      <c r="J249" s="175">
        <v>0</v>
      </c>
      <c r="K249" s="175">
        <v>0</v>
      </c>
      <c r="L249" s="175">
        <v>0</v>
      </c>
      <c r="M249" s="175">
        <v>0</v>
      </c>
      <c r="N249" s="175">
        <v>0</v>
      </c>
      <c r="O249" s="175">
        <v>0</v>
      </c>
      <c r="P249" s="175">
        <v>0</v>
      </c>
      <c r="Q249" s="175">
        <v>0</v>
      </c>
      <c r="R249" s="175">
        <v>0</v>
      </c>
      <c r="S249" s="175">
        <v>0</v>
      </c>
      <c r="U249" s="175">
        <f t="shared" si="15"/>
        <v>0</v>
      </c>
    </row>
    <row r="250" spans="1:21">
      <c r="A250" s="183" t="str">
        <f t="shared" si="13"/>
        <v>535</v>
      </c>
      <c r="B250" s="183" t="str">
        <f t="shared" si="14"/>
        <v>535.0</v>
      </c>
      <c r="C250" s="184" t="s">
        <v>1364</v>
      </c>
      <c r="D250" t="s">
        <v>1365</v>
      </c>
      <c r="E250" s="470"/>
      <c r="F250" s="470"/>
      <c r="G250" s="175">
        <v>0</v>
      </c>
      <c r="H250" s="175">
        <v>0</v>
      </c>
      <c r="I250" s="175">
        <v>0</v>
      </c>
      <c r="J250" s="175">
        <v>0</v>
      </c>
      <c r="K250" s="175">
        <v>0</v>
      </c>
      <c r="L250" s="175">
        <v>0</v>
      </c>
      <c r="M250" s="175">
        <v>0</v>
      </c>
      <c r="N250" s="175">
        <v>0</v>
      </c>
      <c r="O250" s="175">
        <v>0</v>
      </c>
      <c r="P250" s="175">
        <v>0</v>
      </c>
      <c r="Q250" s="175">
        <v>0</v>
      </c>
      <c r="R250" s="175">
        <v>0</v>
      </c>
      <c r="S250" s="175">
        <v>0</v>
      </c>
      <c r="U250" s="175">
        <f t="shared" si="15"/>
        <v>0</v>
      </c>
    </row>
    <row r="251" spans="1:21">
      <c r="A251" s="183" t="str">
        <f t="shared" si="13"/>
        <v>536</v>
      </c>
      <c r="B251" s="183" t="str">
        <f t="shared" si="14"/>
        <v>536.0</v>
      </c>
      <c r="C251" s="184" t="s">
        <v>1366</v>
      </c>
      <c r="D251" t="s">
        <v>1367</v>
      </c>
      <c r="E251" s="470"/>
      <c r="F251" s="470"/>
      <c r="G251" s="175">
        <v>0</v>
      </c>
      <c r="H251" s="175">
        <v>0</v>
      </c>
      <c r="I251" s="175">
        <v>0</v>
      </c>
      <c r="J251" s="175">
        <v>0</v>
      </c>
      <c r="K251" s="175">
        <v>0</v>
      </c>
      <c r="L251" s="175">
        <v>0</v>
      </c>
      <c r="M251" s="175">
        <v>0</v>
      </c>
      <c r="N251" s="175">
        <v>0</v>
      </c>
      <c r="O251" s="175">
        <v>0</v>
      </c>
      <c r="P251" s="175">
        <v>0</v>
      </c>
      <c r="Q251" s="175">
        <v>0</v>
      </c>
      <c r="R251" s="175">
        <v>0</v>
      </c>
      <c r="S251" s="175">
        <v>0</v>
      </c>
      <c r="U251" s="175">
        <f t="shared" si="15"/>
        <v>0</v>
      </c>
    </row>
    <row r="252" spans="1:21">
      <c r="A252" s="183" t="str">
        <f t="shared" si="13"/>
        <v>537</v>
      </c>
      <c r="B252" s="183" t="str">
        <f t="shared" si="14"/>
        <v>537.0</v>
      </c>
      <c r="C252" s="184" t="s">
        <v>1368</v>
      </c>
      <c r="D252" t="s">
        <v>1369</v>
      </c>
      <c r="E252" s="470"/>
      <c r="F252" s="470"/>
      <c r="G252" s="175">
        <v>0</v>
      </c>
      <c r="H252" s="175">
        <v>0</v>
      </c>
      <c r="I252" s="175">
        <v>0</v>
      </c>
      <c r="J252" s="175">
        <v>0</v>
      </c>
      <c r="K252" s="175">
        <v>0</v>
      </c>
      <c r="L252" s="175">
        <v>0</v>
      </c>
      <c r="M252" s="175">
        <v>0</v>
      </c>
      <c r="N252" s="175">
        <v>0</v>
      </c>
      <c r="O252" s="175">
        <v>0</v>
      </c>
      <c r="P252" s="175">
        <v>0</v>
      </c>
      <c r="Q252" s="175">
        <v>0</v>
      </c>
      <c r="R252" s="175">
        <v>0</v>
      </c>
      <c r="S252" s="175">
        <v>0</v>
      </c>
      <c r="U252" s="175">
        <f t="shared" si="15"/>
        <v>0</v>
      </c>
    </row>
    <row r="253" spans="1:21">
      <c r="A253" s="183" t="str">
        <f t="shared" si="13"/>
        <v>538</v>
      </c>
      <c r="B253" s="183" t="str">
        <f t="shared" si="14"/>
        <v>538.0</v>
      </c>
      <c r="C253" s="184" t="s">
        <v>1370</v>
      </c>
      <c r="D253" t="s">
        <v>1371</v>
      </c>
      <c r="E253" s="470"/>
      <c r="F253" s="470"/>
      <c r="G253" s="175">
        <v>0</v>
      </c>
      <c r="H253" s="175">
        <v>0</v>
      </c>
      <c r="I253" s="175">
        <v>0</v>
      </c>
      <c r="J253" s="175">
        <v>0</v>
      </c>
      <c r="K253" s="175">
        <v>0</v>
      </c>
      <c r="L253" s="175">
        <v>0</v>
      </c>
      <c r="M253" s="175">
        <v>0</v>
      </c>
      <c r="N253" s="175">
        <v>0</v>
      </c>
      <c r="O253" s="175">
        <v>0</v>
      </c>
      <c r="P253" s="175">
        <v>0</v>
      </c>
      <c r="Q253" s="175">
        <v>0</v>
      </c>
      <c r="R253" s="175">
        <v>0</v>
      </c>
      <c r="S253" s="175">
        <v>0</v>
      </c>
      <c r="U253" s="175">
        <f t="shared" si="15"/>
        <v>0</v>
      </c>
    </row>
    <row r="254" spans="1:21">
      <c r="A254" s="183" t="str">
        <f t="shared" si="13"/>
        <v>539</v>
      </c>
      <c r="B254" s="183" t="str">
        <f t="shared" si="14"/>
        <v>539.0</v>
      </c>
      <c r="C254" s="184" t="s">
        <v>1372</v>
      </c>
      <c r="D254" t="s">
        <v>1373</v>
      </c>
      <c r="E254" s="470"/>
      <c r="F254" s="470"/>
      <c r="G254" s="175">
        <v>0</v>
      </c>
      <c r="H254" s="175">
        <v>0</v>
      </c>
      <c r="I254" s="175">
        <v>0</v>
      </c>
      <c r="J254" s="175">
        <v>0</v>
      </c>
      <c r="K254" s="175">
        <v>0</v>
      </c>
      <c r="L254" s="175">
        <v>0</v>
      </c>
      <c r="M254" s="175">
        <v>0</v>
      </c>
      <c r="N254" s="175">
        <v>0</v>
      </c>
      <c r="O254" s="175">
        <v>0</v>
      </c>
      <c r="P254" s="175">
        <v>0</v>
      </c>
      <c r="Q254" s="175">
        <v>0</v>
      </c>
      <c r="R254" s="175">
        <v>0</v>
      </c>
      <c r="S254" s="175">
        <v>0</v>
      </c>
      <c r="U254" s="175">
        <f t="shared" si="15"/>
        <v>0</v>
      </c>
    </row>
    <row r="255" spans="1:21">
      <c r="A255" s="183" t="str">
        <f t="shared" si="13"/>
        <v>540</v>
      </c>
      <c r="B255" s="183" t="str">
        <f t="shared" si="14"/>
        <v>540.0</v>
      </c>
      <c r="C255" s="184" t="s">
        <v>1374</v>
      </c>
      <c r="D255" t="s">
        <v>1375</v>
      </c>
      <c r="E255" s="470"/>
      <c r="F255" s="470"/>
      <c r="G255" s="175">
        <v>0</v>
      </c>
      <c r="H255" s="175">
        <v>0</v>
      </c>
      <c r="I255" s="175">
        <v>0</v>
      </c>
      <c r="J255" s="175">
        <v>0</v>
      </c>
      <c r="K255" s="175">
        <v>0</v>
      </c>
      <c r="L255" s="175">
        <v>0</v>
      </c>
      <c r="M255" s="175">
        <v>0</v>
      </c>
      <c r="N255" s="175">
        <v>0</v>
      </c>
      <c r="O255" s="175">
        <v>0</v>
      </c>
      <c r="P255" s="175">
        <v>0</v>
      </c>
      <c r="Q255" s="175">
        <v>0</v>
      </c>
      <c r="R255" s="175">
        <v>0</v>
      </c>
      <c r="S255" s="175">
        <v>0</v>
      </c>
      <c r="U255" s="175">
        <f t="shared" si="15"/>
        <v>0</v>
      </c>
    </row>
    <row r="256" spans="1:21">
      <c r="A256" s="183" t="str">
        <f t="shared" si="13"/>
        <v>541</v>
      </c>
      <c r="B256" s="183" t="str">
        <f t="shared" si="14"/>
        <v>541.0</v>
      </c>
      <c r="C256" s="184" t="s">
        <v>1376</v>
      </c>
      <c r="D256" t="s">
        <v>1377</v>
      </c>
      <c r="E256" s="470"/>
      <c r="F256" s="470"/>
      <c r="G256" s="175">
        <v>0</v>
      </c>
      <c r="H256" s="175">
        <v>0</v>
      </c>
      <c r="I256" s="175">
        <v>0</v>
      </c>
      <c r="J256" s="175">
        <v>0</v>
      </c>
      <c r="K256" s="175">
        <v>0</v>
      </c>
      <c r="L256" s="175">
        <v>0</v>
      </c>
      <c r="M256" s="175">
        <v>0</v>
      </c>
      <c r="N256" s="175">
        <v>0</v>
      </c>
      <c r="O256" s="175">
        <v>0</v>
      </c>
      <c r="P256" s="175">
        <v>0</v>
      </c>
      <c r="Q256" s="175">
        <v>0</v>
      </c>
      <c r="R256" s="175">
        <v>0</v>
      </c>
      <c r="S256" s="175">
        <v>0</v>
      </c>
      <c r="U256" s="175">
        <f t="shared" si="15"/>
        <v>0</v>
      </c>
    </row>
    <row r="257" spans="1:21">
      <c r="A257" s="183" t="str">
        <f t="shared" si="13"/>
        <v>542</v>
      </c>
      <c r="B257" s="183" t="str">
        <f t="shared" si="14"/>
        <v>542.0</v>
      </c>
      <c r="C257" s="184" t="s">
        <v>1378</v>
      </c>
      <c r="D257" t="s">
        <v>1379</v>
      </c>
      <c r="E257" s="470"/>
      <c r="F257" s="470"/>
      <c r="G257" s="175">
        <v>0</v>
      </c>
      <c r="H257" s="175">
        <v>0</v>
      </c>
      <c r="I257" s="175">
        <v>0</v>
      </c>
      <c r="J257" s="175">
        <v>0</v>
      </c>
      <c r="K257" s="175">
        <v>0</v>
      </c>
      <c r="L257" s="175">
        <v>0</v>
      </c>
      <c r="M257" s="175">
        <v>0</v>
      </c>
      <c r="N257" s="175">
        <v>0</v>
      </c>
      <c r="O257" s="175">
        <v>0</v>
      </c>
      <c r="P257" s="175">
        <v>0</v>
      </c>
      <c r="Q257" s="175">
        <v>0</v>
      </c>
      <c r="R257" s="175">
        <v>0</v>
      </c>
      <c r="S257" s="175">
        <v>0</v>
      </c>
      <c r="U257" s="175">
        <f t="shared" si="15"/>
        <v>0</v>
      </c>
    </row>
    <row r="258" spans="1:21">
      <c r="A258" s="183" t="str">
        <f t="shared" si="13"/>
        <v>543</v>
      </c>
      <c r="B258" s="183" t="str">
        <f t="shared" si="14"/>
        <v>543.0</v>
      </c>
      <c r="C258" s="184" t="s">
        <v>1380</v>
      </c>
      <c r="D258" t="s">
        <v>1381</v>
      </c>
      <c r="E258" s="470"/>
      <c r="F258" s="470"/>
      <c r="G258" s="175">
        <v>0</v>
      </c>
      <c r="H258" s="175">
        <v>0</v>
      </c>
      <c r="I258" s="175">
        <v>0</v>
      </c>
      <c r="J258" s="175">
        <v>0</v>
      </c>
      <c r="K258" s="175">
        <v>0</v>
      </c>
      <c r="L258" s="175">
        <v>0</v>
      </c>
      <c r="M258" s="175">
        <v>0</v>
      </c>
      <c r="N258" s="175">
        <v>0</v>
      </c>
      <c r="O258" s="175">
        <v>0</v>
      </c>
      <c r="P258" s="175">
        <v>0</v>
      </c>
      <c r="Q258" s="175">
        <v>0</v>
      </c>
      <c r="R258" s="175">
        <v>0</v>
      </c>
      <c r="S258" s="175">
        <v>0</v>
      </c>
      <c r="U258" s="175">
        <f t="shared" si="15"/>
        <v>0</v>
      </c>
    </row>
    <row r="259" spans="1:21">
      <c r="A259" s="183" t="str">
        <f t="shared" si="13"/>
        <v>544</v>
      </c>
      <c r="B259" s="183" t="str">
        <f t="shared" si="14"/>
        <v>544.0</v>
      </c>
      <c r="C259" s="184" t="s">
        <v>1382</v>
      </c>
      <c r="D259" t="s">
        <v>1383</v>
      </c>
      <c r="E259" s="470"/>
      <c r="F259" s="470"/>
      <c r="G259" s="175">
        <v>0</v>
      </c>
      <c r="H259" s="175">
        <v>0</v>
      </c>
      <c r="I259" s="175">
        <v>0</v>
      </c>
      <c r="J259" s="175">
        <v>0</v>
      </c>
      <c r="K259" s="175">
        <v>0</v>
      </c>
      <c r="L259" s="175">
        <v>0</v>
      </c>
      <c r="M259" s="175">
        <v>0</v>
      </c>
      <c r="N259" s="175">
        <v>0</v>
      </c>
      <c r="O259" s="175">
        <v>0</v>
      </c>
      <c r="P259" s="175">
        <v>0</v>
      </c>
      <c r="Q259" s="175">
        <v>0</v>
      </c>
      <c r="R259" s="175">
        <v>0</v>
      </c>
      <c r="S259" s="175">
        <v>0</v>
      </c>
      <c r="U259" s="175">
        <f t="shared" si="15"/>
        <v>0</v>
      </c>
    </row>
    <row r="260" spans="1:21">
      <c r="A260" s="183" t="str">
        <f t="shared" si="13"/>
        <v>545</v>
      </c>
      <c r="B260" s="183" t="str">
        <f t="shared" si="14"/>
        <v>545.0</v>
      </c>
      <c r="C260" s="184" t="s">
        <v>1384</v>
      </c>
      <c r="D260" t="s">
        <v>1385</v>
      </c>
      <c r="E260" s="470"/>
      <c r="F260" s="470"/>
      <c r="G260" s="175">
        <v>0</v>
      </c>
      <c r="H260" s="175">
        <v>0</v>
      </c>
      <c r="I260" s="175">
        <v>0</v>
      </c>
      <c r="J260" s="175">
        <v>0</v>
      </c>
      <c r="K260" s="175">
        <v>0</v>
      </c>
      <c r="L260" s="175">
        <v>0</v>
      </c>
      <c r="M260" s="175">
        <v>0</v>
      </c>
      <c r="N260" s="175">
        <v>0</v>
      </c>
      <c r="O260" s="175">
        <v>0</v>
      </c>
      <c r="P260" s="175">
        <v>0</v>
      </c>
      <c r="Q260" s="175">
        <v>0</v>
      </c>
      <c r="R260" s="175">
        <v>0</v>
      </c>
      <c r="S260" s="175">
        <v>0</v>
      </c>
      <c r="U260" s="175">
        <f t="shared" si="15"/>
        <v>0</v>
      </c>
    </row>
    <row r="261" spans="1:21">
      <c r="A261" s="183" t="str">
        <f t="shared" si="13"/>
        <v>546</v>
      </c>
      <c r="B261" s="183" t="str">
        <f t="shared" si="14"/>
        <v>546.0</v>
      </c>
      <c r="C261" s="184" t="s">
        <v>1386</v>
      </c>
      <c r="D261" t="s">
        <v>1387</v>
      </c>
      <c r="E261" s="470"/>
      <c r="F261" s="470"/>
      <c r="G261" s="175">
        <v>0</v>
      </c>
      <c r="H261" s="175">
        <v>0</v>
      </c>
      <c r="I261" s="175">
        <v>0</v>
      </c>
      <c r="J261" s="175">
        <v>0</v>
      </c>
      <c r="K261" s="175">
        <v>0</v>
      </c>
      <c r="L261" s="175">
        <v>0</v>
      </c>
      <c r="M261" s="175">
        <v>0</v>
      </c>
      <c r="N261" s="175">
        <v>0</v>
      </c>
      <c r="O261" s="175">
        <v>0</v>
      </c>
      <c r="P261" s="175">
        <v>0</v>
      </c>
      <c r="Q261" s="175">
        <v>0</v>
      </c>
      <c r="R261" s="175">
        <v>0</v>
      </c>
      <c r="S261" s="175">
        <v>0</v>
      </c>
      <c r="U261" s="175">
        <f t="shared" si="15"/>
        <v>0</v>
      </c>
    </row>
    <row r="262" spans="1:21">
      <c r="A262" s="183" t="str">
        <f t="shared" si="13"/>
        <v>547</v>
      </c>
      <c r="B262" s="183" t="str">
        <f t="shared" si="14"/>
        <v>547.0</v>
      </c>
      <c r="C262" s="184" t="s">
        <v>1388</v>
      </c>
      <c r="D262" t="s">
        <v>1389</v>
      </c>
      <c r="E262" s="470"/>
      <c r="F262" s="470"/>
      <c r="G262" s="175">
        <v>47233879.571428597</v>
      </c>
      <c r="H262" s="175">
        <v>51919370.333333299</v>
      </c>
      <c r="I262" s="175">
        <v>45956018.333333299</v>
      </c>
      <c r="J262" s="175">
        <v>47005039.333333299</v>
      </c>
      <c r="K262" s="175">
        <v>47796697.571428597</v>
      </c>
      <c r="L262" s="175">
        <v>55456405.904761903</v>
      </c>
      <c r="M262" s="175">
        <v>61762597.904761903</v>
      </c>
      <c r="N262" s="175">
        <v>66268398.190476201</v>
      </c>
      <c r="O262" s="175">
        <v>68626137.190476194</v>
      </c>
      <c r="P262" s="175">
        <v>63048194.190476201</v>
      </c>
      <c r="Q262" s="175">
        <v>59405077.476190403</v>
      </c>
      <c r="R262" s="175">
        <v>50578259.476190403</v>
      </c>
      <c r="S262" s="175">
        <v>52736666.904761903</v>
      </c>
      <c r="U262" s="175">
        <f t="shared" si="15"/>
        <v>55214826.336996324</v>
      </c>
    </row>
    <row r="263" spans="1:21">
      <c r="A263" s="183" t="str">
        <f t="shared" ref="A263:A326" si="16">MID(C263,2,3)</f>
        <v>548</v>
      </c>
      <c r="B263" s="183" t="str">
        <f t="shared" ref="B263:B326" si="17">MID(C263,2,3)&amp;"."&amp;MID(C263,5,1)</f>
        <v>548.0</v>
      </c>
      <c r="C263" s="184" t="s">
        <v>1390</v>
      </c>
      <c r="D263" t="s">
        <v>1391</v>
      </c>
      <c r="E263" s="470"/>
      <c r="F263" s="470"/>
      <c r="G263" s="175">
        <v>2386257.5984383998</v>
      </c>
      <c r="H263" s="175">
        <v>2587685.2594456999</v>
      </c>
      <c r="I263" s="175">
        <v>2338301.7774085002</v>
      </c>
      <c r="J263" s="175">
        <v>2432239.9579479001</v>
      </c>
      <c r="K263" s="175">
        <v>2533253.0770659</v>
      </c>
      <c r="L263" s="175">
        <v>2438477.4706112002</v>
      </c>
      <c r="M263" s="175">
        <v>2291319.120687</v>
      </c>
      <c r="N263" s="175">
        <v>2557038.2765890998</v>
      </c>
      <c r="O263" s="175">
        <v>2361466.3347759</v>
      </c>
      <c r="P263" s="175">
        <v>2315455.9144752002</v>
      </c>
      <c r="Q263" s="175">
        <v>2552333.3328503999</v>
      </c>
      <c r="R263" s="175">
        <v>2396184.5614999998</v>
      </c>
      <c r="S263" s="175">
        <v>2464387.6234855</v>
      </c>
      <c r="U263" s="175">
        <f t="shared" ref="U263:U326" si="18">AVERAGE(G263:S263)</f>
        <v>2434953.8696369762</v>
      </c>
    </row>
    <row r="264" spans="1:21">
      <c r="A264" s="183" t="str">
        <f t="shared" si="16"/>
        <v>548</v>
      </c>
      <c r="B264" s="183" t="str">
        <f t="shared" si="17"/>
        <v>548.1</v>
      </c>
      <c r="C264" s="184" t="s">
        <v>1392</v>
      </c>
      <c r="D264" t="s">
        <v>1393</v>
      </c>
      <c r="E264" s="470"/>
      <c r="F264" s="470"/>
      <c r="G264" s="175">
        <v>0</v>
      </c>
      <c r="H264" s="175">
        <v>0</v>
      </c>
      <c r="I264" s="175">
        <v>0</v>
      </c>
      <c r="J264" s="175">
        <v>0</v>
      </c>
      <c r="K264" s="175">
        <v>0</v>
      </c>
      <c r="L264" s="175">
        <v>0</v>
      </c>
      <c r="M264" s="175">
        <v>0</v>
      </c>
      <c r="N264" s="175">
        <v>0</v>
      </c>
      <c r="O264" s="175">
        <v>0</v>
      </c>
      <c r="P264" s="175">
        <v>0</v>
      </c>
      <c r="Q264" s="175">
        <v>0</v>
      </c>
      <c r="R264" s="175">
        <v>0</v>
      </c>
      <c r="S264" s="175">
        <v>0</v>
      </c>
      <c r="U264" s="175">
        <f t="shared" si="18"/>
        <v>0</v>
      </c>
    </row>
    <row r="265" spans="1:21">
      <c r="A265" s="183" t="str">
        <f t="shared" si="16"/>
        <v>549</v>
      </c>
      <c r="B265" s="183" t="str">
        <f t="shared" si="17"/>
        <v>549.0</v>
      </c>
      <c r="C265" s="184" t="s">
        <v>1394</v>
      </c>
      <c r="D265" t="s">
        <v>1395</v>
      </c>
      <c r="E265" s="470"/>
      <c r="F265" s="470"/>
      <c r="G265" s="175">
        <v>845740.13228350005</v>
      </c>
      <c r="H265" s="175">
        <v>688083.74637750001</v>
      </c>
      <c r="I265" s="175">
        <v>711511.15391390002</v>
      </c>
      <c r="J265" s="175">
        <v>722330.98720750003</v>
      </c>
      <c r="K265" s="175">
        <v>667149.37378090003</v>
      </c>
      <c r="L265" s="175">
        <v>804454.56624179997</v>
      </c>
      <c r="M265" s="175">
        <v>683606.78349299997</v>
      </c>
      <c r="N265" s="175">
        <v>1104872.1706619</v>
      </c>
      <c r="O265" s="175">
        <v>664176.20576479996</v>
      </c>
      <c r="P265" s="175">
        <v>765784.58747889998</v>
      </c>
      <c r="Q265" s="175">
        <v>808468.59976540005</v>
      </c>
      <c r="R265" s="175">
        <v>845476.45878510003</v>
      </c>
      <c r="S265" s="175">
        <v>860769.64464359998</v>
      </c>
      <c r="U265" s="175">
        <f t="shared" si="18"/>
        <v>782494.18541521556</v>
      </c>
    </row>
    <row r="266" spans="1:21">
      <c r="A266" s="183" t="str">
        <f t="shared" si="16"/>
        <v>550</v>
      </c>
      <c r="B266" s="183" t="str">
        <f t="shared" si="17"/>
        <v>550.0</v>
      </c>
      <c r="C266" s="184" t="s">
        <v>1396</v>
      </c>
      <c r="D266" t="s">
        <v>1397</v>
      </c>
      <c r="E266" s="470"/>
      <c r="F266" s="470"/>
      <c r="G266" s="175">
        <v>0</v>
      </c>
      <c r="H266" s="175">
        <v>0</v>
      </c>
      <c r="I266" s="175">
        <v>0</v>
      </c>
      <c r="J266" s="175">
        <v>0</v>
      </c>
      <c r="K266" s="175">
        <v>0</v>
      </c>
      <c r="L266" s="175">
        <v>0</v>
      </c>
      <c r="M266" s="175">
        <v>0</v>
      </c>
      <c r="N266" s="175">
        <v>0</v>
      </c>
      <c r="O266" s="175">
        <v>0</v>
      </c>
      <c r="P266" s="175">
        <v>0</v>
      </c>
      <c r="Q266" s="175">
        <v>0</v>
      </c>
      <c r="R266" s="175">
        <v>0</v>
      </c>
      <c r="S266" s="175">
        <v>0</v>
      </c>
      <c r="U266" s="175">
        <f t="shared" si="18"/>
        <v>0</v>
      </c>
    </row>
    <row r="267" spans="1:21">
      <c r="A267" s="183" t="str">
        <f t="shared" si="16"/>
        <v>551</v>
      </c>
      <c r="B267" s="183" t="str">
        <f t="shared" si="17"/>
        <v>551.0</v>
      </c>
      <c r="C267" s="184" t="s">
        <v>1398</v>
      </c>
      <c r="D267" t="s">
        <v>1399</v>
      </c>
      <c r="E267" s="470"/>
      <c r="F267" s="470"/>
      <c r="G267" s="175">
        <v>0</v>
      </c>
      <c r="H267" s="175">
        <v>0</v>
      </c>
      <c r="I267" s="175">
        <v>0</v>
      </c>
      <c r="J267" s="175">
        <v>0</v>
      </c>
      <c r="K267" s="175">
        <v>0</v>
      </c>
      <c r="L267" s="175">
        <v>0</v>
      </c>
      <c r="M267" s="175">
        <v>0</v>
      </c>
      <c r="N267" s="175">
        <v>0</v>
      </c>
      <c r="O267" s="175">
        <v>0</v>
      </c>
      <c r="P267" s="175">
        <v>0</v>
      </c>
      <c r="Q267" s="175">
        <v>0</v>
      </c>
      <c r="R267" s="175">
        <v>0</v>
      </c>
      <c r="S267" s="175">
        <v>0</v>
      </c>
      <c r="U267" s="175">
        <f t="shared" si="18"/>
        <v>0</v>
      </c>
    </row>
    <row r="268" spans="1:21">
      <c r="A268" s="183" t="str">
        <f t="shared" si="16"/>
        <v>552</v>
      </c>
      <c r="B268" s="183" t="str">
        <f t="shared" si="17"/>
        <v>552.0</v>
      </c>
      <c r="C268" s="184" t="s">
        <v>1400</v>
      </c>
      <c r="D268" t="s">
        <v>1401</v>
      </c>
      <c r="E268" s="470"/>
      <c r="F268" s="470"/>
      <c r="G268" s="175">
        <v>133108.9338724</v>
      </c>
      <c r="H268" s="175">
        <v>154190.61680039999</v>
      </c>
      <c r="I268" s="175">
        <v>140782.74471130001</v>
      </c>
      <c r="J268" s="175">
        <v>146151.4496807</v>
      </c>
      <c r="K268" s="175">
        <v>158667.89314959999</v>
      </c>
      <c r="L268" s="175">
        <v>163684.0858454</v>
      </c>
      <c r="M268" s="175">
        <v>142333.98431890001</v>
      </c>
      <c r="N268" s="175">
        <v>168389.1782999</v>
      </c>
      <c r="O268" s="175">
        <v>161067.9138593</v>
      </c>
      <c r="P268" s="175">
        <v>153746.6494003</v>
      </c>
      <c r="Q268" s="175">
        <v>170585.15825820001</v>
      </c>
      <c r="R268" s="175">
        <v>155751.67468920001</v>
      </c>
      <c r="S268" s="175">
        <v>163168.41648389999</v>
      </c>
      <c r="U268" s="175">
        <f t="shared" si="18"/>
        <v>154740.66918226922</v>
      </c>
    </row>
    <row r="269" spans="1:21">
      <c r="A269" s="183" t="str">
        <f t="shared" si="16"/>
        <v>553</v>
      </c>
      <c r="B269" s="183" t="str">
        <f t="shared" si="17"/>
        <v>553.0</v>
      </c>
      <c r="C269" s="184" t="s">
        <v>1402</v>
      </c>
      <c r="D269" t="s">
        <v>1403</v>
      </c>
      <c r="E269" s="470"/>
      <c r="F269" s="470"/>
      <c r="G269" s="175">
        <v>1867433.1715480001</v>
      </c>
      <c r="H269" s="175">
        <v>2275582.2278971998</v>
      </c>
      <c r="I269" s="175">
        <v>2274869.8184423</v>
      </c>
      <c r="J269" s="175">
        <v>3070589.2791726999</v>
      </c>
      <c r="K269" s="175">
        <v>3094688.2244006</v>
      </c>
      <c r="L269" s="175">
        <v>2869238.0601176</v>
      </c>
      <c r="M269" s="175">
        <v>2404850.2729404001</v>
      </c>
      <c r="N269" s="175">
        <v>2425569.4690065999</v>
      </c>
      <c r="O269" s="175">
        <v>2401012.7367933998</v>
      </c>
      <c r="P269" s="175">
        <v>3040130.3027543998</v>
      </c>
      <c r="Q269" s="175">
        <v>5049757.5189832002</v>
      </c>
      <c r="R269" s="175">
        <v>5074421.8160448996</v>
      </c>
      <c r="S269" s="175">
        <v>3260673.7494516</v>
      </c>
      <c r="U269" s="175">
        <f t="shared" si="18"/>
        <v>3008370.5113502229</v>
      </c>
    </row>
    <row r="270" spans="1:21">
      <c r="A270" s="183" t="str">
        <f t="shared" si="16"/>
        <v>553</v>
      </c>
      <c r="B270" s="183" t="str">
        <f t="shared" si="17"/>
        <v>553.1</v>
      </c>
      <c r="C270" s="184" t="s">
        <v>1404</v>
      </c>
      <c r="D270" t="s">
        <v>1405</v>
      </c>
      <c r="E270" s="470"/>
      <c r="F270" s="470"/>
      <c r="G270" s="175">
        <v>0</v>
      </c>
      <c r="H270" s="175">
        <v>0</v>
      </c>
      <c r="I270" s="175">
        <v>0</v>
      </c>
      <c r="J270" s="175">
        <v>0</v>
      </c>
      <c r="K270" s="175">
        <v>0</v>
      </c>
      <c r="L270" s="175">
        <v>0</v>
      </c>
      <c r="M270" s="175">
        <v>0</v>
      </c>
      <c r="N270" s="175">
        <v>0</v>
      </c>
      <c r="O270" s="175">
        <v>0</v>
      </c>
      <c r="P270" s="175">
        <v>0</v>
      </c>
      <c r="Q270" s="175">
        <v>0</v>
      </c>
      <c r="R270" s="175">
        <v>0</v>
      </c>
      <c r="S270" s="175">
        <v>0</v>
      </c>
      <c r="U270" s="175">
        <f t="shared" si="18"/>
        <v>0</v>
      </c>
    </row>
    <row r="271" spans="1:21">
      <c r="A271" s="183" t="str">
        <f t="shared" si="16"/>
        <v>554</v>
      </c>
      <c r="B271" s="183" t="str">
        <f t="shared" si="17"/>
        <v>554.0</v>
      </c>
      <c r="C271" s="184" t="s">
        <v>1406</v>
      </c>
      <c r="D271" t="s">
        <v>1407</v>
      </c>
      <c r="E271" s="470"/>
      <c r="F271" s="470"/>
      <c r="G271" s="175">
        <v>91557.165967099994</v>
      </c>
      <c r="H271" s="175">
        <v>91385.009312800001</v>
      </c>
      <c r="I271" s="175">
        <v>112036.7509626</v>
      </c>
      <c r="J271" s="175">
        <v>155307.65942899999</v>
      </c>
      <c r="K271" s="175">
        <v>91893.498508799996</v>
      </c>
      <c r="L271" s="175">
        <v>91385.009312800001</v>
      </c>
      <c r="M271" s="175">
        <v>90487.621133499997</v>
      </c>
      <c r="N271" s="175">
        <v>91385.009312800001</v>
      </c>
      <c r="O271" s="175">
        <v>91085.880137999993</v>
      </c>
      <c r="P271" s="175">
        <v>90786.750962599996</v>
      </c>
      <c r="Q271" s="175">
        <v>113479.3375871</v>
      </c>
      <c r="R271" s="175">
        <v>155307.65942899999</v>
      </c>
      <c r="S271" s="175">
        <v>91893.498508799996</v>
      </c>
      <c r="U271" s="175">
        <f t="shared" si="18"/>
        <v>104460.83465883847</v>
      </c>
    </row>
    <row r="272" spans="1:21">
      <c r="A272" s="183" t="str">
        <f t="shared" si="16"/>
        <v>555</v>
      </c>
      <c r="B272" s="183" t="str">
        <f t="shared" si="17"/>
        <v>555.0</v>
      </c>
      <c r="C272" s="184" t="s">
        <v>1408</v>
      </c>
      <c r="D272" t="s">
        <v>1409</v>
      </c>
      <c r="E272" s="470"/>
      <c r="F272" s="470"/>
      <c r="G272" s="175">
        <v>441510.33011169999</v>
      </c>
      <c r="H272" s="175">
        <v>3864376.6364250001</v>
      </c>
      <c r="I272" s="175">
        <v>3983168.6522621</v>
      </c>
      <c r="J272" s="175">
        <v>1989239.6562014001</v>
      </c>
      <c r="K272" s="175">
        <v>4272180.1007372001</v>
      </c>
      <c r="L272" s="175">
        <v>622037.57177719998</v>
      </c>
      <c r="M272" s="175">
        <v>267668.28000000003</v>
      </c>
      <c r="N272" s="175">
        <v>63859.319890899998</v>
      </c>
      <c r="O272" s="175">
        <v>66494.354080899997</v>
      </c>
      <c r="P272" s="175">
        <v>253418.23410219999</v>
      </c>
      <c r="Q272" s="175">
        <v>970591.4039415</v>
      </c>
      <c r="R272" s="175">
        <v>187476.06071280001</v>
      </c>
      <c r="S272" s="175">
        <v>242744.75343360001</v>
      </c>
      <c r="U272" s="175">
        <f t="shared" si="18"/>
        <v>1324981.9502828075</v>
      </c>
    </row>
    <row r="273" spans="1:21">
      <c r="A273" s="183" t="str">
        <f t="shared" si="16"/>
        <v>556</v>
      </c>
      <c r="B273" s="183" t="str">
        <f t="shared" si="17"/>
        <v>556.0</v>
      </c>
      <c r="C273" s="184" t="s">
        <v>1410</v>
      </c>
      <c r="D273" t="s">
        <v>1411</v>
      </c>
      <c r="E273" s="470"/>
      <c r="F273" s="470"/>
      <c r="G273" s="175">
        <v>32446.013619000001</v>
      </c>
      <c r="H273" s="175">
        <v>-79151.652507100007</v>
      </c>
      <c r="I273" s="175">
        <v>-86814.906188599998</v>
      </c>
      <c r="J273" s="175">
        <v>-86814.906188599998</v>
      </c>
      <c r="K273" s="175">
        <v>-82983.279345000003</v>
      </c>
      <c r="L273" s="175">
        <v>-79151.652507100007</v>
      </c>
      <c r="M273" s="175">
        <v>-84075.105346299999</v>
      </c>
      <c r="N273" s="175">
        <v>-64185.528694200002</v>
      </c>
      <c r="O273" s="175">
        <v>-78589.436596400003</v>
      </c>
      <c r="P273" s="175">
        <v>-85326.669086299997</v>
      </c>
      <c r="Q273" s="175">
        <v>-76039.884189599994</v>
      </c>
      <c r="R273" s="175">
        <v>-85326.669086299997</v>
      </c>
      <c r="S273" s="175">
        <v>-67250.487567999997</v>
      </c>
      <c r="U273" s="175">
        <f t="shared" si="18"/>
        <v>-71020.320283423076</v>
      </c>
    </row>
    <row r="274" spans="1:21">
      <c r="A274" s="183" t="str">
        <f t="shared" si="16"/>
        <v>557</v>
      </c>
      <c r="B274" s="183" t="str">
        <f t="shared" si="17"/>
        <v>557.0</v>
      </c>
      <c r="C274" s="184" t="s">
        <v>1412</v>
      </c>
      <c r="D274" t="s">
        <v>1413</v>
      </c>
      <c r="E274" s="470"/>
      <c r="F274" s="470"/>
      <c r="G274" s="175">
        <v>0</v>
      </c>
      <c r="H274" s="175">
        <v>0</v>
      </c>
      <c r="I274" s="175">
        <v>0</v>
      </c>
      <c r="J274" s="175">
        <v>0</v>
      </c>
      <c r="K274" s="175">
        <v>0</v>
      </c>
      <c r="L274" s="175">
        <v>0</v>
      </c>
      <c r="M274" s="175">
        <v>0</v>
      </c>
      <c r="N274" s="175">
        <v>0</v>
      </c>
      <c r="O274" s="175">
        <v>0</v>
      </c>
      <c r="P274" s="175">
        <v>0</v>
      </c>
      <c r="Q274" s="175">
        <v>0</v>
      </c>
      <c r="R274" s="175">
        <v>0</v>
      </c>
      <c r="S274" s="175">
        <v>0</v>
      </c>
      <c r="U274" s="175">
        <f t="shared" si="18"/>
        <v>0</v>
      </c>
    </row>
    <row r="275" spans="1:21">
      <c r="A275" s="183" t="str">
        <f t="shared" si="16"/>
        <v>560</v>
      </c>
      <c r="B275" s="183" t="str">
        <f t="shared" si="17"/>
        <v>560.0</v>
      </c>
      <c r="C275" s="184" t="s">
        <v>1414</v>
      </c>
      <c r="D275" t="s">
        <v>1415</v>
      </c>
      <c r="E275" s="470"/>
      <c r="F275" s="470"/>
      <c r="G275" s="175">
        <v>64057.240669500003</v>
      </c>
      <c r="H275" s="175">
        <v>139427.20408729999</v>
      </c>
      <c r="I275" s="175">
        <v>65154.443731699997</v>
      </c>
      <c r="J275" s="175">
        <v>65662.188964800007</v>
      </c>
      <c r="K275" s="175">
        <v>69329.402005099997</v>
      </c>
      <c r="L275" s="175">
        <v>76810.576655099998</v>
      </c>
      <c r="M275" s="175">
        <v>75247.691343600003</v>
      </c>
      <c r="N275" s="175">
        <v>73229.174925400002</v>
      </c>
      <c r="O275" s="175">
        <v>71934.357783700005</v>
      </c>
      <c r="P275" s="175">
        <v>69376.887001900002</v>
      </c>
      <c r="Q275" s="175">
        <v>73377.161101200007</v>
      </c>
      <c r="R275" s="175">
        <v>67183.065793300004</v>
      </c>
      <c r="S275" s="175">
        <v>69603.968353400007</v>
      </c>
      <c r="U275" s="175">
        <f t="shared" si="18"/>
        <v>75414.874032000007</v>
      </c>
    </row>
    <row r="276" spans="1:21">
      <c r="A276" s="183" t="str">
        <f t="shared" si="16"/>
        <v>561</v>
      </c>
      <c r="B276" s="183" t="str">
        <f t="shared" si="17"/>
        <v>561.0</v>
      </c>
      <c r="C276" s="184" t="s">
        <v>1416</v>
      </c>
      <c r="D276" t="s">
        <v>1417</v>
      </c>
      <c r="E276" s="470"/>
      <c r="F276" s="470"/>
      <c r="G276" s="175">
        <v>0</v>
      </c>
      <c r="H276" s="175">
        <v>0</v>
      </c>
      <c r="I276" s="175">
        <v>0</v>
      </c>
      <c r="J276" s="175">
        <v>0</v>
      </c>
      <c r="K276" s="175">
        <v>0</v>
      </c>
      <c r="L276" s="175">
        <v>0</v>
      </c>
      <c r="M276" s="175">
        <v>0</v>
      </c>
      <c r="N276" s="175">
        <v>0</v>
      </c>
      <c r="O276" s="175">
        <v>0</v>
      </c>
      <c r="P276" s="175">
        <v>0</v>
      </c>
      <c r="Q276" s="175">
        <v>0</v>
      </c>
      <c r="R276" s="175">
        <v>0</v>
      </c>
      <c r="S276" s="175">
        <v>0</v>
      </c>
      <c r="U276" s="175">
        <f t="shared" si="18"/>
        <v>0</v>
      </c>
    </row>
    <row r="277" spans="1:21">
      <c r="A277" s="183" t="str">
        <f t="shared" si="16"/>
        <v>561</v>
      </c>
      <c r="B277" s="183" t="str">
        <f t="shared" si="17"/>
        <v>561.1</v>
      </c>
      <c r="C277" s="184" t="s">
        <v>1418</v>
      </c>
      <c r="D277" t="s">
        <v>1419</v>
      </c>
      <c r="E277" s="470"/>
      <c r="F277" s="470"/>
      <c r="G277" s="175">
        <v>0</v>
      </c>
      <c r="H277" s="175">
        <v>0</v>
      </c>
      <c r="I277" s="175">
        <v>0</v>
      </c>
      <c r="J277" s="175">
        <v>0</v>
      </c>
      <c r="K277" s="175">
        <v>0</v>
      </c>
      <c r="L277" s="175">
        <v>0</v>
      </c>
      <c r="M277" s="175">
        <v>0</v>
      </c>
      <c r="N277" s="175">
        <v>0</v>
      </c>
      <c r="O277" s="175">
        <v>0</v>
      </c>
      <c r="P277" s="175">
        <v>0</v>
      </c>
      <c r="Q277" s="175">
        <v>0</v>
      </c>
      <c r="R277" s="175">
        <v>0</v>
      </c>
      <c r="S277" s="175">
        <v>0</v>
      </c>
      <c r="U277" s="175">
        <f t="shared" si="18"/>
        <v>0</v>
      </c>
    </row>
    <row r="278" spans="1:21">
      <c r="A278" s="183" t="str">
        <f t="shared" si="16"/>
        <v>561</v>
      </c>
      <c r="B278" s="183" t="str">
        <f t="shared" si="17"/>
        <v>561.2</v>
      </c>
      <c r="C278" s="184" t="s">
        <v>1420</v>
      </c>
      <c r="D278" t="s">
        <v>1421</v>
      </c>
      <c r="E278" s="470"/>
      <c r="F278" s="470"/>
      <c r="G278" s="175">
        <v>164815.84907180001</v>
      </c>
      <c r="H278" s="175">
        <v>191626.9293403</v>
      </c>
      <c r="I278" s="175">
        <v>117803.4131896</v>
      </c>
      <c r="J278" s="175">
        <v>117803.4131896</v>
      </c>
      <c r="K278" s="175">
        <v>124190.1712693</v>
      </c>
      <c r="L278" s="175">
        <v>130576.9293403</v>
      </c>
      <c r="M278" s="175">
        <v>121273.7952432</v>
      </c>
      <c r="N278" s="175">
        <v>153026.11505960001</v>
      </c>
      <c r="O278" s="175">
        <v>130780.9353921</v>
      </c>
      <c r="P278" s="175">
        <v>120035.768843</v>
      </c>
      <c r="Q278" s="175">
        <v>135244.58181649999</v>
      </c>
      <c r="R278" s="175">
        <v>120035.768843</v>
      </c>
      <c r="S278" s="175">
        <v>147789.34893460001</v>
      </c>
      <c r="U278" s="175">
        <f t="shared" si="18"/>
        <v>136538.69381022311</v>
      </c>
    </row>
    <row r="279" spans="1:21">
      <c r="A279" s="183" t="str">
        <f t="shared" si="16"/>
        <v>561</v>
      </c>
      <c r="B279" s="183" t="str">
        <f t="shared" si="17"/>
        <v>561.3</v>
      </c>
      <c r="C279" s="184" t="s">
        <v>1422</v>
      </c>
      <c r="D279" t="s">
        <v>1423</v>
      </c>
      <c r="E279" s="470"/>
      <c r="F279" s="470"/>
      <c r="G279" s="175">
        <v>95858.623429900006</v>
      </c>
      <c r="H279" s="175">
        <v>87930.959777399999</v>
      </c>
      <c r="I279" s="175">
        <v>78711.006298699998</v>
      </c>
      <c r="J279" s="175">
        <v>78711.006298699998</v>
      </c>
      <c r="K279" s="175">
        <v>83320.983040599996</v>
      </c>
      <c r="L279" s="175">
        <v>87930.959777399999</v>
      </c>
      <c r="M279" s="175">
        <v>79577.216201699994</v>
      </c>
      <c r="N279" s="175">
        <v>100402.7296215</v>
      </c>
      <c r="O279" s="175">
        <v>86982.518664300005</v>
      </c>
      <c r="P279" s="175">
        <v>79951.203884000002</v>
      </c>
      <c r="Q279" s="175">
        <v>90524.100042100006</v>
      </c>
      <c r="R279" s="175">
        <v>79951.203884000002</v>
      </c>
      <c r="S279" s="175">
        <v>96431.642854599995</v>
      </c>
      <c r="U279" s="175">
        <f t="shared" si="18"/>
        <v>86637.242598069221</v>
      </c>
    </row>
    <row r="280" spans="1:21">
      <c r="A280" s="183" t="str">
        <f t="shared" si="16"/>
        <v>561</v>
      </c>
      <c r="B280" s="183" t="str">
        <f t="shared" si="17"/>
        <v>561.4</v>
      </c>
      <c r="C280" s="184" t="s">
        <v>1424</v>
      </c>
      <c r="D280" t="s">
        <v>1425</v>
      </c>
      <c r="E280" s="470"/>
      <c r="F280" s="470"/>
      <c r="G280" s="175">
        <v>0</v>
      </c>
      <c r="H280" s="175">
        <v>0</v>
      </c>
      <c r="I280" s="175">
        <v>0</v>
      </c>
      <c r="J280" s="175">
        <v>0</v>
      </c>
      <c r="K280" s="175">
        <v>0</v>
      </c>
      <c r="L280" s="175">
        <v>0</v>
      </c>
      <c r="M280" s="175">
        <v>0</v>
      </c>
      <c r="N280" s="175">
        <v>0</v>
      </c>
      <c r="O280" s="175">
        <v>0</v>
      </c>
      <c r="P280" s="175">
        <v>0</v>
      </c>
      <c r="Q280" s="175">
        <v>0</v>
      </c>
      <c r="R280" s="175">
        <v>0</v>
      </c>
      <c r="S280" s="175">
        <v>0</v>
      </c>
      <c r="U280" s="175">
        <f t="shared" si="18"/>
        <v>0</v>
      </c>
    </row>
    <row r="281" spans="1:21">
      <c r="A281" s="183" t="str">
        <f t="shared" si="16"/>
        <v>561</v>
      </c>
      <c r="B281" s="183" t="str">
        <f t="shared" si="17"/>
        <v>561.5</v>
      </c>
      <c r="C281" s="184" t="s">
        <v>1426</v>
      </c>
      <c r="D281" t="s">
        <v>1427</v>
      </c>
      <c r="E281" s="470"/>
      <c r="F281" s="470"/>
      <c r="G281" s="175">
        <v>0</v>
      </c>
      <c r="H281" s="175">
        <v>0</v>
      </c>
      <c r="I281" s="175">
        <v>0</v>
      </c>
      <c r="J281" s="175">
        <v>0</v>
      </c>
      <c r="K281" s="175">
        <v>0</v>
      </c>
      <c r="L281" s="175">
        <v>0</v>
      </c>
      <c r="M281" s="175">
        <v>0</v>
      </c>
      <c r="N281" s="175">
        <v>0</v>
      </c>
      <c r="O281" s="175">
        <v>0</v>
      </c>
      <c r="P281" s="175">
        <v>0</v>
      </c>
      <c r="Q281" s="175">
        <v>0</v>
      </c>
      <c r="R281" s="175">
        <v>0</v>
      </c>
      <c r="S281" s="175">
        <v>0</v>
      </c>
      <c r="U281" s="175">
        <f t="shared" si="18"/>
        <v>0</v>
      </c>
    </row>
    <row r="282" spans="1:21">
      <c r="A282" s="183" t="str">
        <f t="shared" si="16"/>
        <v>561</v>
      </c>
      <c r="B282" s="183" t="str">
        <f t="shared" si="17"/>
        <v>561.6</v>
      </c>
      <c r="C282" s="184" t="s">
        <v>1428</v>
      </c>
      <c r="D282" t="s">
        <v>1429</v>
      </c>
      <c r="E282" s="470"/>
      <c r="F282" s="470"/>
      <c r="G282" s="175">
        <v>0</v>
      </c>
      <c r="H282" s="175">
        <v>0</v>
      </c>
      <c r="I282" s="175">
        <v>0</v>
      </c>
      <c r="J282" s="175">
        <v>0</v>
      </c>
      <c r="K282" s="175">
        <v>0</v>
      </c>
      <c r="L282" s="175">
        <v>0</v>
      </c>
      <c r="M282" s="175">
        <v>0</v>
      </c>
      <c r="N282" s="175">
        <v>0</v>
      </c>
      <c r="O282" s="175">
        <v>0</v>
      </c>
      <c r="P282" s="175">
        <v>0</v>
      </c>
      <c r="Q282" s="175">
        <v>0</v>
      </c>
      <c r="R282" s="175">
        <v>0</v>
      </c>
      <c r="S282" s="175">
        <v>0</v>
      </c>
      <c r="U282" s="175">
        <f t="shared" si="18"/>
        <v>0</v>
      </c>
    </row>
    <row r="283" spans="1:21">
      <c r="A283" s="183" t="str">
        <f t="shared" si="16"/>
        <v>561</v>
      </c>
      <c r="B283" s="183" t="str">
        <f t="shared" si="17"/>
        <v>561.7</v>
      </c>
      <c r="C283" s="184" t="s">
        <v>1430</v>
      </c>
      <c r="D283" t="s">
        <v>1431</v>
      </c>
      <c r="E283" s="470"/>
      <c r="F283" s="470"/>
      <c r="G283" s="175">
        <v>0</v>
      </c>
      <c r="H283" s="175">
        <v>0</v>
      </c>
      <c r="I283" s="175">
        <v>0</v>
      </c>
      <c r="J283" s="175">
        <v>0</v>
      </c>
      <c r="K283" s="175">
        <v>0</v>
      </c>
      <c r="L283" s="175">
        <v>0</v>
      </c>
      <c r="M283" s="175">
        <v>0</v>
      </c>
      <c r="N283" s="175">
        <v>0</v>
      </c>
      <c r="O283" s="175">
        <v>0</v>
      </c>
      <c r="P283" s="175">
        <v>0</v>
      </c>
      <c r="Q283" s="175">
        <v>0</v>
      </c>
      <c r="R283" s="175">
        <v>0</v>
      </c>
      <c r="S283" s="175">
        <v>0</v>
      </c>
      <c r="U283" s="175">
        <f t="shared" si="18"/>
        <v>0</v>
      </c>
    </row>
    <row r="284" spans="1:21">
      <c r="A284" s="183" t="str">
        <f t="shared" si="16"/>
        <v>561</v>
      </c>
      <c r="B284" s="183" t="str">
        <f t="shared" si="17"/>
        <v>561.8</v>
      </c>
      <c r="C284" s="184" t="s">
        <v>1432</v>
      </c>
      <c r="D284" t="s">
        <v>1433</v>
      </c>
      <c r="E284" s="470"/>
      <c r="F284" s="470"/>
      <c r="G284" s="175">
        <v>0</v>
      </c>
      <c r="H284" s="175">
        <v>0</v>
      </c>
      <c r="I284" s="175">
        <v>0</v>
      </c>
      <c r="J284" s="175">
        <v>0</v>
      </c>
      <c r="K284" s="175">
        <v>0</v>
      </c>
      <c r="L284" s="175">
        <v>0</v>
      </c>
      <c r="M284" s="175">
        <v>0</v>
      </c>
      <c r="N284" s="175">
        <v>0</v>
      </c>
      <c r="O284" s="175">
        <v>0</v>
      </c>
      <c r="P284" s="175">
        <v>0</v>
      </c>
      <c r="Q284" s="175">
        <v>0</v>
      </c>
      <c r="R284" s="175">
        <v>0</v>
      </c>
      <c r="S284" s="175">
        <v>0</v>
      </c>
      <c r="U284" s="175">
        <f t="shared" si="18"/>
        <v>0</v>
      </c>
    </row>
    <row r="285" spans="1:21">
      <c r="A285" s="183" t="str">
        <f t="shared" si="16"/>
        <v>562</v>
      </c>
      <c r="B285" s="183" t="str">
        <f t="shared" si="17"/>
        <v>562.0</v>
      </c>
      <c r="C285" s="184" t="s">
        <v>1434</v>
      </c>
      <c r="D285" t="s">
        <v>1435</v>
      </c>
      <c r="E285" s="470"/>
      <c r="F285" s="470"/>
      <c r="G285" s="175">
        <v>176410.373712</v>
      </c>
      <c r="H285" s="175">
        <v>141466.17721749999</v>
      </c>
      <c r="I285" s="175">
        <v>130072.86185279999</v>
      </c>
      <c r="J285" s="175">
        <v>130092.5363713</v>
      </c>
      <c r="K285" s="175">
        <v>138626.46491030001</v>
      </c>
      <c r="L285" s="175">
        <v>144477.38216169999</v>
      </c>
      <c r="M285" s="175">
        <v>126984.3483652</v>
      </c>
      <c r="N285" s="175">
        <v>144528.2333473</v>
      </c>
      <c r="O285" s="175">
        <v>138683.03903109999</v>
      </c>
      <c r="P285" s="175">
        <v>132846.36705219999</v>
      </c>
      <c r="Q285" s="175">
        <v>144502.53835839999</v>
      </c>
      <c r="R285" s="175">
        <v>132785.18910769999</v>
      </c>
      <c r="S285" s="175">
        <v>138610.64621790001</v>
      </c>
      <c r="U285" s="175">
        <f t="shared" si="18"/>
        <v>140006.62751580001</v>
      </c>
    </row>
    <row r="286" spans="1:21">
      <c r="A286" s="183" t="str">
        <f t="shared" si="16"/>
        <v>563</v>
      </c>
      <c r="B286" s="183" t="str">
        <f t="shared" si="17"/>
        <v>563.0</v>
      </c>
      <c r="C286" s="184" t="s">
        <v>1436</v>
      </c>
      <c r="D286" t="s">
        <v>1437</v>
      </c>
      <c r="E286" s="470"/>
      <c r="F286" s="470"/>
      <c r="G286" s="175">
        <v>28529.584244199999</v>
      </c>
      <c r="H286" s="175">
        <v>28529.584244199999</v>
      </c>
      <c r="I286" s="175">
        <v>28529.584244199999</v>
      </c>
      <c r="J286" s="175">
        <v>28529.584244199999</v>
      </c>
      <c r="K286" s="175">
        <v>28529.584244199999</v>
      </c>
      <c r="L286" s="175">
        <v>28529.584244199999</v>
      </c>
      <c r="M286" s="175">
        <v>149775.7246251</v>
      </c>
      <c r="N286" s="175">
        <v>28529.584244199999</v>
      </c>
      <c r="O286" s="175">
        <v>28529.584244199999</v>
      </c>
      <c r="P286" s="175">
        <v>28529.584244199999</v>
      </c>
      <c r="Q286" s="175">
        <v>28529.584244199999</v>
      </c>
      <c r="R286" s="175">
        <v>28529.584244199999</v>
      </c>
      <c r="S286" s="175">
        <v>28529.584244199999</v>
      </c>
      <c r="U286" s="175">
        <f t="shared" si="18"/>
        <v>37856.210427346166</v>
      </c>
    </row>
    <row r="287" spans="1:21">
      <c r="A287" s="183" t="str">
        <f t="shared" si="16"/>
        <v>564</v>
      </c>
      <c r="B287" s="183" t="str">
        <f t="shared" si="17"/>
        <v>564.0</v>
      </c>
      <c r="C287" s="184" t="s">
        <v>1438</v>
      </c>
      <c r="D287" t="s">
        <v>1439</v>
      </c>
      <c r="E287" s="470"/>
      <c r="F287" s="470"/>
      <c r="G287" s="175">
        <v>0</v>
      </c>
      <c r="H287" s="175">
        <v>0</v>
      </c>
      <c r="I287" s="175">
        <v>0</v>
      </c>
      <c r="J287" s="175">
        <v>0</v>
      </c>
      <c r="K287" s="175">
        <v>0</v>
      </c>
      <c r="L287" s="175">
        <v>0</v>
      </c>
      <c r="M287" s="175">
        <v>0</v>
      </c>
      <c r="N287" s="175">
        <v>0</v>
      </c>
      <c r="O287" s="175">
        <v>0</v>
      </c>
      <c r="P287" s="175">
        <v>0</v>
      </c>
      <c r="Q287" s="175">
        <v>0</v>
      </c>
      <c r="R287" s="175">
        <v>0</v>
      </c>
      <c r="S287" s="175">
        <v>0</v>
      </c>
      <c r="U287" s="175">
        <f t="shared" si="18"/>
        <v>0</v>
      </c>
    </row>
    <row r="288" spans="1:21">
      <c r="A288" s="183" t="str">
        <f t="shared" si="16"/>
        <v>565</v>
      </c>
      <c r="B288" s="183" t="str">
        <f t="shared" si="17"/>
        <v>565.0</v>
      </c>
      <c r="C288" s="184" t="s">
        <v>1440</v>
      </c>
      <c r="D288" t="s">
        <v>1441</v>
      </c>
      <c r="E288" s="470"/>
      <c r="F288" s="470"/>
      <c r="G288" s="175">
        <v>0</v>
      </c>
      <c r="H288" s="175">
        <v>0</v>
      </c>
      <c r="I288" s="175">
        <v>0</v>
      </c>
      <c r="J288" s="175">
        <v>0</v>
      </c>
      <c r="K288" s="175">
        <v>0</v>
      </c>
      <c r="L288" s="175">
        <v>0</v>
      </c>
      <c r="M288" s="175">
        <v>0</v>
      </c>
      <c r="N288" s="175">
        <v>0</v>
      </c>
      <c r="O288" s="175">
        <v>0</v>
      </c>
      <c r="P288" s="175">
        <v>0</v>
      </c>
      <c r="Q288" s="175">
        <v>0</v>
      </c>
      <c r="R288" s="175">
        <v>0</v>
      </c>
      <c r="S288" s="175">
        <v>0</v>
      </c>
      <c r="U288" s="175">
        <f t="shared" si="18"/>
        <v>0</v>
      </c>
    </row>
    <row r="289" spans="1:21">
      <c r="A289" s="183" t="str">
        <f t="shared" si="16"/>
        <v>566</v>
      </c>
      <c r="B289" s="183" t="str">
        <f t="shared" si="17"/>
        <v>566.0</v>
      </c>
      <c r="C289" s="184" t="s">
        <v>1442</v>
      </c>
      <c r="D289" t="s">
        <v>1443</v>
      </c>
      <c r="E289" s="470"/>
      <c r="F289" s="470"/>
      <c r="G289" s="175">
        <v>164317.3783943</v>
      </c>
      <c r="H289" s="175">
        <v>148338.4947485</v>
      </c>
      <c r="I289" s="175">
        <v>138279.25659830001</v>
      </c>
      <c r="J289" s="175">
        <v>174503.46407419999</v>
      </c>
      <c r="K289" s="175">
        <v>151432.1300955</v>
      </c>
      <c r="L289" s="175">
        <v>146725.1698454</v>
      </c>
      <c r="M289" s="175">
        <v>145902.81758629999</v>
      </c>
      <c r="N289" s="175">
        <v>152163.02451729999</v>
      </c>
      <c r="O289" s="175">
        <v>151482.9240649</v>
      </c>
      <c r="P289" s="175">
        <v>140605.6041274</v>
      </c>
      <c r="Q289" s="175">
        <v>153403.14762569999</v>
      </c>
      <c r="R289" s="175">
        <v>143218.04822520001</v>
      </c>
      <c r="S289" s="175">
        <v>155077.61642090001</v>
      </c>
      <c r="U289" s="175">
        <f t="shared" si="18"/>
        <v>151188.39048645386</v>
      </c>
    </row>
    <row r="290" spans="1:21">
      <c r="A290" s="183" t="str">
        <f t="shared" si="16"/>
        <v>567</v>
      </c>
      <c r="B290" s="183" t="str">
        <f t="shared" si="17"/>
        <v>567.0</v>
      </c>
      <c r="C290" s="184" t="s">
        <v>1444</v>
      </c>
      <c r="D290" t="s">
        <v>1445</v>
      </c>
      <c r="E290" s="470"/>
      <c r="F290" s="470"/>
      <c r="G290" s="175">
        <v>0</v>
      </c>
      <c r="H290" s="175">
        <v>0</v>
      </c>
      <c r="I290" s="175">
        <v>0</v>
      </c>
      <c r="J290" s="175">
        <v>0</v>
      </c>
      <c r="K290" s="175">
        <v>0</v>
      </c>
      <c r="L290" s="175">
        <v>0</v>
      </c>
      <c r="M290" s="175">
        <v>0</v>
      </c>
      <c r="N290" s="175">
        <v>0</v>
      </c>
      <c r="O290" s="175">
        <v>0</v>
      </c>
      <c r="P290" s="175">
        <v>0</v>
      </c>
      <c r="Q290" s="175">
        <v>0</v>
      </c>
      <c r="R290" s="175">
        <v>0</v>
      </c>
      <c r="S290" s="175">
        <v>0</v>
      </c>
      <c r="U290" s="175">
        <f t="shared" si="18"/>
        <v>0</v>
      </c>
    </row>
    <row r="291" spans="1:21">
      <c r="A291" s="183" t="str">
        <f t="shared" si="16"/>
        <v>568</v>
      </c>
      <c r="B291" s="183" t="str">
        <f t="shared" si="17"/>
        <v>568.0</v>
      </c>
      <c r="C291" s="184" t="s">
        <v>1446</v>
      </c>
      <c r="D291" t="s">
        <v>1447</v>
      </c>
      <c r="E291" s="470"/>
      <c r="F291" s="470"/>
      <c r="G291" s="175">
        <v>0</v>
      </c>
      <c r="H291" s="175">
        <v>0</v>
      </c>
      <c r="I291" s="175">
        <v>0</v>
      </c>
      <c r="J291" s="175">
        <v>0</v>
      </c>
      <c r="K291" s="175">
        <v>0</v>
      </c>
      <c r="L291" s="175">
        <v>0</v>
      </c>
      <c r="M291" s="175">
        <v>0</v>
      </c>
      <c r="N291" s="175">
        <v>0</v>
      </c>
      <c r="O291" s="175">
        <v>0</v>
      </c>
      <c r="P291" s="175">
        <v>0</v>
      </c>
      <c r="Q291" s="175">
        <v>0</v>
      </c>
      <c r="R291" s="175">
        <v>0</v>
      </c>
      <c r="S291" s="175">
        <v>0</v>
      </c>
      <c r="U291" s="175">
        <f t="shared" si="18"/>
        <v>0</v>
      </c>
    </row>
    <row r="292" spans="1:21">
      <c r="A292" s="183" t="str">
        <f t="shared" si="16"/>
        <v>569</v>
      </c>
      <c r="B292" s="183" t="str">
        <f t="shared" si="17"/>
        <v>569.0</v>
      </c>
      <c r="C292" s="184" t="s">
        <v>1448</v>
      </c>
      <c r="D292" t="s">
        <v>1449</v>
      </c>
      <c r="E292" s="470"/>
      <c r="F292" s="470"/>
      <c r="G292" s="175">
        <v>0</v>
      </c>
      <c r="H292" s="175">
        <v>0</v>
      </c>
      <c r="I292" s="175">
        <v>0</v>
      </c>
      <c r="J292" s="175">
        <v>0</v>
      </c>
      <c r="K292" s="175">
        <v>0</v>
      </c>
      <c r="L292" s="175">
        <v>0</v>
      </c>
      <c r="M292" s="175">
        <v>0</v>
      </c>
      <c r="N292" s="175">
        <v>0</v>
      </c>
      <c r="O292" s="175">
        <v>0</v>
      </c>
      <c r="P292" s="175">
        <v>0</v>
      </c>
      <c r="Q292" s="175">
        <v>0</v>
      </c>
      <c r="R292" s="175">
        <v>0</v>
      </c>
      <c r="S292" s="175">
        <v>0</v>
      </c>
      <c r="U292" s="175">
        <f t="shared" si="18"/>
        <v>0</v>
      </c>
    </row>
    <row r="293" spans="1:21">
      <c r="A293" s="183" t="str">
        <f t="shared" si="16"/>
        <v>569</v>
      </c>
      <c r="B293" s="183" t="str">
        <f t="shared" si="17"/>
        <v>569.1</v>
      </c>
      <c r="C293" s="184" t="s">
        <v>1450</v>
      </c>
      <c r="D293" t="s">
        <v>1451</v>
      </c>
      <c r="E293" s="470"/>
      <c r="F293" s="470"/>
      <c r="G293" s="175">
        <v>0</v>
      </c>
      <c r="H293" s="175">
        <v>0</v>
      </c>
      <c r="I293" s="175">
        <v>0</v>
      </c>
      <c r="J293" s="175">
        <v>0</v>
      </c>
      <c r="K293" s="175">
        <v>0</v>
      </c>
      <c r="L293" s="175">
        <v>0</v>
      </c>
      <c r="M293" s="175">
        <v>0</v>
      </c>
      <c r="N293" s="175">
        <v>0</v>
      </c>
      <c r="O293" s="175">
        <v>0</v>
      </c>
      <c r="P293" s="175">
        <v>0</v>
      </c>
      <c r="Q293" s="175">
        <v>0</v>
      </c>
      <c r="R293" s="175">
        <v>0</v>
      </c>
      <c r="S293" s="175">
        <v>0</v>
      </c>
      <c r="U293" s="175">
        <f t="shared" si="18"/>
        <v>0</v>
      </c>
    </row>
    <row r="294" spans="1:21">
      <c r="A294" s="183" t="str">
        <f t="shared" si="16"/>
        <v>569</v>
      </c>
      <c r="B294" s="183" t="str">
        <f t="shared" si="17"/>
        <v>569.2</v>
      </c>
      <c r="C294" s="184" t="s">
        <v>1452</v>
      </c>
      <c r="D294" t="s">
        <v>1453</v>
      </c>
      <c r="E294" s="470"/>
      <c r="F294" s="470"/>
      <c r="G294" s="175">
        <v>166582.85792549999</v>
      </c>
      <c r="H294" s="175">
        <v>155710.1843121</v>
      </c>
      <c r="I294" s="175">
        <v>110596.30012119999</v>
      </c>
      <c r="J294" s="175">
        <v>105563.4129277</v>
      </c>
      <c r="K294" s="175">
        <v>164099.56449310001</v>
      </c>
      <c r="L294" s="175">
        <v>112536.2134882</v>
      </c>
      <c r="M294" s="175">
        <v>113656.6222169</v>
      </c>
      <c r="N294" s="175">
        <v>160191.50554770001</v>
      </c>
      <c r="O294" s="175">
        <v>128192.55439</v>
      </c>
      <c r="P294" s="175">
        <v>119652.507703</v>
      </c>
      <c r="Q294" s="175">
        <v>158260.98303629999</v>
      </c>
      <c r="R294" s="175">
        <v>139768.32043409999</v>
      </c>
      <c r="S294" s="175">
        <v>126439.0699938</v>
      </c>
      <c r="U294" s="175">
        <f t="shared" si="18"/>
        <v>135480.77666073845</v>
      </c>
    </row>
    <row r="295" spans="1:21">
      <c r="A295" s="183" t="str">
        <f t="shared" si="16"/>
        <v>569</v>
      </c>
      <c r="B295" s="183" t="str">
        <f t="shared" si="17"/>
        <v>569.3</v>
      </c>
      <c r="C295" s="184" t="s">
        <v>1454</v>
      </c>
      <c r="D295" t="s">
        <v>1455</v>
      </c>
      <c r="E295" s="470"/>
      <c r="F295" s="470"/>
      <c r="G295" s="175">
        <v>1633.3333333</v>
      </c>
      <c r="H295" s="175">
        <v>23497.173333300001</v>
      </c>
      <c r="I295" s="175">
        <v>23497.173333300001</v>
      </c>
      <c r="J295" s="175">
        <v>23497.173333300001</v>
      </c>
      <c r="K295" s="175">
        <v>23497.173333300001</v>
      </c>
      <c r="L295" s="175">
        <v>24621.373333299998</v>
      </c>
      <c r="M295" s="175">
        <v>23497.173333300001</v>
      </c>
      <c r="N295" s="175">
        <v>23497.173333300001</v>
      </c>
      <c r="O295" s="175">
        <v>25234.573333299999</v>
      </c>
      <c r="P295" s="175">
        <v>23497.173333300001</v>
      </c>
      <c r="Q295" s="175">
        <v>23497.173333300001</v>
      </c>
      <c r="R295" s="175">
        <v>25234.573333299999</v>
      </c>
      <c r="S295" s="175">
        <v>23497.1133333</v>
      </c>
      <c r="U295" s="175">
        <f t="shared" si="18"/>
        <v>22169.104102530768</v>
      </c>
    </row>
    <row r="296" spans="1:21">
      <c r="A296" s="183" t="str">
        <f t="shared" si="16"/>
        <v>569</v>
      </c>
      <c r="B296" s="183" t="str">
        <f t="shared" si="17"/>
        <v>569.4</v>
      </c>
      <c r="C296" s="184" t="s">
        <v>1456</v>
      </c>
      <c r="D296" t="s">
        <v>1457</v>
      </c>
      <c r="E296" s="470"/>
      <c r="F296" s="470"/>
      <c r="G296" s="175">
        <v>0</v>
      </c>
      <c r="H296" s="175">
        <v>0</v>
      </c>
      <c r="I296" s="175">
        <v>0</v>
      </c>
      <c r="J296" s="175">
        <v>0</v>
      </c>
      <c r="K296" s="175">
        <v>0</v>
      </c>
      <c r="L296" s="175">
        <v>0</v>
      </c>
      <c r="M296" s="175">
        <v>0</v>
      </c>
      <c r="N296" s="175">
        <v>0</v>
      </c>
      <c r="O296" s="175">
        <v>0</v>
      </c>
      <c r="P296" s="175">
        <v>0</v>
      </c>
      <c r="Q296" s="175">
        <v>0</v>
      </c>
      <c r="R296" s="175">
        <v>0</v>
      </c>
      <c r="S296" s="175">
        <v>0</v>
      </c>
      <c r="U296" s="175">
        <f t="shared" si="18"/>
        <v>0</v>
      </c>
    </row>
    <row r="297" spans="1:21">
      <c r="A297" s="183" t="str">
        <f t="shared" si="16"/>
        <v>570</v>
      </c>
      <c r="B297" s="183" t="str">
        <f t="shared" si="17"/>
        <v>570.0</v>
      </c>
      <c r="C297" s="184" t="s">
        <v>1458</v>
      </c>
      <c r="D297" t="s">
        <v>1459</v>
      </c>
      <c r="E297" s="470"/>
      <c r="F297" s="470"/>
      <c r="G297" s="175">
        <v>89978.619578500002</v>
      </c>
      <c r="H297" s="175">
        <v>104701.92660399999</v>
      </c>
      <c r="I297" s="175">
        <v>98827.387656899999</v>
      </c>
      <c r="J297" s="175">
        <v>98843.418745999996</v>
      </c>
      <c r="K297" s="175">
        <v>103310.61662460001</v>
      </c>
      <c r="L297" s="175">
        <v>106338.0371991</v>
      </c>
      <c r="M297" s="175">
        <v>97304.438359599997</v>
      </c>
      <c r="N297" s="175">
        <v>106379.4714986</v>
      </c>
      <c r="O297" s="175">
        <v>103356.7140563</v>
      </c>
      <c r="P297" s="175">
        <v>100340.9007462</v>
      </c>
      <c r="Q297" s="175">
        <v>106358.5348409</v>
      </c>
      <c r="R297" s="175">
        <v>100291.0520506</v>
      </c>
      <c r="S297" s="175">
        <v>103297.7273197</v>
      </c>
      <c r="U297" s="175">
        <f t="shared" si="18"/>
        <v>101486.83425238462</v>
      </c>
    </row>
    <row r="298" spans="1:21">
      <c r="A298" s="183" t="str">
        <f t="shared" si="16"/>
        <v>571</v>
      </c>
      <c r="B298" s="183" t="str">
        <f t="shared" si="17"/>
        <v>571.0</v>
      </c>
      <c r="C298" s="184" t="s">
        <v>1460</v>
      </c>
      <c r="D298" t="s">
        <v>1461</v>
      </c>
      <c r="E298" s="470"/>
      <c r="F298" s="470"/>
      <c r="G298" s="175">
        <v>324163.9777934</v>
      </c>
      <c r="H298" s="175">
        <v>483849.09360770002</v>
      </c>
      <c r="I298" s="175">
        <v>471834.86587039998</v>
      </c>
      <c r="J298" s="175">
        <v>472244.431851</v>
      </c>
      <c r="K298" s="175">
        <v>480966.28327660001</v>
      </c>
      <c r="L298" s="175">
        <v>481711.23368519999</v>
      </c>
      <c r="M298" s="175">
        <v>482952.25690119999</v>
      </c>
      <c r="N298" s="175">
        <v>488104.91742259997</v>
      </c>
      <c r="O298" s="175">
        <v>478542.51845199999</v>
      </c>
      <c r="P298" s="175">
        <v>476041.94389360002</v>
      </c>
      <c r="Q298" s="175">
        <v>481226.61590939999</v>
      </c>
      <c r="R298" s="175">
        <v>473339.29108370002</v>
      </c>
      <c r="S298" s="175">
        <v>486397.86767469998</v>
      </c>
      <c r="U298" s="175">
        <f t="shared" si="18"/>
        <v>467798.09980165388</v>
      </c>
    </row>
    <row r="299" spans="1:21">
      <c r="A299" s="183" t="str">
        <f t="shared" si="16"/>
        <v>572</v>
      </c>
      <c r="B299" s="183" t="str">
        <f t="shared" si="17"/>
        <v>572.0</v>
      </c>
      <c r="C299" s="184" t="s">
        <v>1462</v>
      </c>
      <c r="D299" t="s">
        <v>1463</v>
      </c>
      <c r="E299" s="470"/>
      <c r="F299" s="470"/>
      <c r="G299" s="175">
        <v>0</v>
      </c>
      <c r="H299" s="175">
        <v>0</v>
      </c>
      <c r="I299" s="175">
        <v>0</v>
      </c>
      <c r="J299" s="175">
        <v>0</v>
      </c>
      <c r="K299" s="175">
        <v>0</v>
      </c>
      <c r="L299" s="175">
        <v>0</v>
      </c>
      <c r="M299" s="175">
        <v>0</v>
      </c>
      <c r="N299" s="175">
        <v>0</v>
      </c>
      <c r="O299" s="175">
        <v>0</v>
      </c>
      <c r="P299" s="175">
        <v>0</v>
      </c>
      <c r="Q299" s="175">
        <v>0</v>
      </c>
      <c r="R299" s="175">
        <v>0</v>
      </c>
      <c r="S299" s="175">
        <v>0</v>
      </c>
      <c r="U299" s="175">
        <f t="shared" si="18"/>
        <v>0</v>
      </c>
    </row>
    <row r="300" spans="1:21">
      <c r="A300" s="183" t="str">
        <f t="shared" si="16"/>
        <v>573</v>
      </c>
      <c r="B300" s="183" t="str">
        <f t="shared" si="17"/>
        <v>573.0</v>
      </c>
      <c r="C300" s="184" t="s">
        <v>1464</v>
      </c>
      <c r="D300" t="s">
        <v>1465</v>
      </c>
      <c r="E300" s="470"/>
      <c r="F300" s="470"/>
      <c r="G300" s="175">
        <v>0</v>
      </c>
      <c r="H300" s="175">
        <v>0</v>
      </c>
      <c r="I300" s="175">
        <v>0</v>
      </c>
      <c r="J300" s="175">
        <v>0</v>
      </c>
      <c r="K300" s="175">
        <v>0</v>
      </c>
      <c r="L300" s="175">
        <v>0</v>
      </c>
      <c r="M300" s="175">
        <v>0</v>
      </c>
      <c r="N300" s="175">
        <v>0</v>
      </c>
      <c r="O300" s="175">
        <v>0</v>
      </c>
      <c r="P300" s="175">
        <v>0</v>
      </c>
      <c r="Q300" s="175">
        <v>0</v>
      </c>
      <c r="R300" s="175">
        <v>0</v>
      </c>
      <c r="S300" s="175">
        <v>0</v>
      </c>
      <c r="U300" s="175">
        <f t="shared" si="18"/>
        <v>0</v>
      </c>
    </row>
    <row r="301" spans="1:21">
      <c r="A301" s="183" t="str">
        <f t="shared" si="16"/>
        <v>575</v>
      </c>
      <c r="B301" s="183" t="str">
        <f t="shared" si="17"/>
        <v>575.1</v>
      </c>
      <c r="C301" s="184" t="s">
        <v>1466</v>
      </c>
      <c r="D301" t="s">
        <v>1467</v>
      </c>
      <c r="E301" s="470"/>
      <c r="F301" s="470"/>
      <c r="G301" s="175">
        <v>0</v>
      </c>
      <c r="H301" s="175">
        <v>0</v>
      </c>
      <c r="I301" s="175">
        <v>0</v>
      </c>
      <c r="J301" s="175">
        <v>0</v>
      </c>
      <c r="K301" s="175">
        <v>0</v>
      </c>
      <c r="L301" s="175">
        <v>0</v>
      </c>
      <c r="M301" s="175">
        <v>0</v>
      </c>
      <c r="N301" s="175">
        <v>0</v>
      </c>
      <c r="O301" s="175">
        <v>0</v>
      </c>
      <c r="P301" s="175">
        <v>0</v>
      </c>
      <c r="Q301" s="175">
        <v>0</v>
      </c>
      <c r="R301" s="175">
        <v>0</v>
      </c>
      <c r="S301" s="175">
        <v>0</v>
      </c>
      <c r="U301" s="175">
        <f t="shared" si="18"/>
        <v>0</v>
      </c>
    </row>
    <row r="302" spans="1:21">
      <c r="A302" s="183" t="str">
        <f t="shared" si="16"/>
        <v>575</v>
      </c>
      <c r="B302" s="183" t="str">
        <f t="shared" si="17"/>
        <v>575.2</v>
      </c>
      <c r="C302" s="184" t="s">
        <v>1468</v>
      </c>
      <c r="D302" t="s">
        <v>1469</v>
      </c>
      <c r="E302" s="470"/>
      <c r="F302" s="470"/>
      <c r="G302" s="175">
        <v>0</v>
      </c>
      <c r="H302" s="175">
        <v>0</v>
      </c>
      <c r="I302" s="175">
        <v>0</v>
      </c>
      <c r="J302" s="175">
        <v>0</v>
      </c>
      <c r="K302" s="175">
        <v>0</v>
      </c>
      <c r="L302" s="175">
        <v>0</v>
      </c>
      <c r="M302" s="175">
        <v>0</v>
      </c>
      <c r="N302" s="175">
        <v>0</v>
      </c>
      <c r="O302" s="175">
        <v>0</v>
      </c>
      <c r="P302" s="175">
        <v>0</v>
      </c>
      <c r="Q302" s="175">
        <v>0</v>
      </c>
      <c r="R302" s="175">
        <v>0</v>
      </c>
      <c r="S302" s="175">
        <v>0</v>
      </c>
      <c r="U302" s="175">
        <f t="shared" si="18"/>
        <v>0</v>
      </c>
    </row>
    <row r="303" spans="1:21">
      <c r="A303" s="183" t="str">
        <f t="shared" si="16"/>
        <v>575</v>
      </c>
      <c r="B303" s="183" t="str">
        <f t="shared" si="17"/>
        <v>575.3</v>
      </c>
      <c r="C303" s="184" t="s">
        <v>1470</v>
      </c>
      <c r="D303" t="s">
        <v>1471</v>
      </c>
      <c r="E303" s="470"/>
      <c r="F303" s="470"/>
      <c r="G303" s="175">
        <v>0</v>
      </c>
      <c r="H303" s="175">
        <v>0</v>
      </c>
      <c r="I303" s="175">
        <v>0</v>
      </c>
      <c r="J303" s="175">
        <v>0</v>
      </c>
      <c r="K303" s="175">
        <v>0</v>
      </c>
      <c r="L303" s="175">
        <v>0</v>
      </c>
      <c r="M303" s="175">
        <v>0</v>
      </c>
      <c r="N303" s="175">
        <v>0</v>
      </c>
      <c r="O303" s="175">
        <v>0</v>
      </c>
      <c r="P303" s="175">
        <v>0</v>
      </c>
      <c r="Q303" s="175">
        <v>0</v>
      </c>
      <c r="R303" s="175">
        <v>0</v>
      </c>
      <c r="S303" s="175">
        <v>0</v>
      </c>
      <c r="U303" s="175">
        <f t="shared" si="18"/>
        <v>0</v>
      </c>
    </row>
    <row r="304" spans="1:21">
      <c r="A304" s="183" t="str">
        <f t="shared" si="16"/>
        <v>575</v>
      </c>
      <c r="B304" s="183" t="str">
        <f t="shared" si="17"/>
        <v>575.4</v>
      </c>
      <c r="C304" s="184" t="s">
        <v>1472</v>
      </c>
      <c r="D304" t="s">
        <v>1473</v>
      </c>
      <c r="E304" s="470"/>
      <c r="F304" s="470"/>
      <c r="G304" s="175">
        <v>0</v>
      </c>
      <c r="H304" s="175">
        <v>0</v>
      </c>
      <c r="I304" s="175">
        <v>0</v>
      </c>
      <c r="J304" s="175">
        <v>0</v>
      </c>
      <c r="K304" s="175">
        <v>0</v>
      </c>
      <c r="L304" s="175">
        <v>0</v>
      </c>
      <c r="M304" s="175">
        <v>0</v>
      </c>
      <c r="N304" s="175">
        <v>0</v>
      </c>
      <c r="O304" s="175">
        <v>0</v>
      </c>
      <c r="P304" s="175">
        <v>0</v>
      </c>
      <c r="Q304" s="175">
        <v>0</v>
      </c>
      <c r="R304" s="175">
        <v>0</v>
      </c>
      <c r="S304" s="175">
        <v>0</v>
      </c>
      <c r="U304" s="175">
        <f t="shared" si="18"/>
        <v>0</v>
      </c>
    </row>
    <row r="305" spans="1:21">
      <c r="A305" s="183" t="str">
        <f t="shared" si="16"/>
        <v>575</v>
      </c>
      <c r="B305" s="183" t="str">
        <f t="shared" si="17"/>
        <v>575.5</v>
      </c>
      <c r="C305" s="184" t="s">
        <v>1474</v>
      </c>
      <c r="D305" t="s">
        <v>1475</v>
      </c>
      <c r="E305" s="470"/>
      <c r="F305" s="470"/>
      <c r="G305" s="175">
        <v>0</v>
      </c>
      <c r="H305" s="175">
        <v>0</v>
      </c>
      <c r="I305" s="175">
        <v>0</v>
      </c>
      <c r="J305" s="175">
        <v>0</v>
      </c>
      <c r="K305" s="175">
        <v>0</v>
      </c>
      <c r="L305" s="175">
        <v>0</v>
      </c>
      <c r="M305" s="175">
        <v>0</v>
      </c>
      <c r="N305" s="175">
        <v>0</v>
      </c>
      <c r="O305" s="175">
        <v>0</v>
      </c>
      <c r="P305" s="175">
        <v>0</v>
      </c>
      <c r="Q305" s="175">
        <v>0</v>
      </c>
      <c r="R305" s="175">
        <v>0</v>
      </c>
      <c r="S305" s="175">
        <v>0</v>
      </c>
      <c r="U305" s="175">
        <f t="shared" si="18"/>
        <v>0</v>
      </c>
    </row>
    <row r="306" spans="1:21">
      <c r="A306" s="183" t="str">
        <f t="shared" si="16"/>
        <v>575</v>
      </c>
      <c r="B306" s="183" t="str">
        <f t="shared" si="17"/>
        <v>575.6</v>
      </c>
      <c r="C306" s="184" t="s">
        <v>1476</v>
      </c>
      <c r="D306" t="s">
        <v>1477</v>
      </c>
      <c r="E306" s="470"/>
      <c r="F306" s="470"/>
      <c r="G306" s="175">
        <v>0</v>
      </c>
      <c r="H306" s="175">
        <v>0</v>
      </c>
      <c r="I306" s="175">
        <v>0</v>
      </c>
      <c r="J306" s="175">
        <v>0</v>
      </c>
      <c r="K306" s="175">
        <v>0</v>
      </c>
      <c r="L306" s="175">
        <v>0</v>
      </c>
      <c r="M306" s="175">
        <v>0</v>
      </c>
      <c r="N306" s="175">
        <v>0</v>
      </c>
      <c r="O306" s="175">
        <v>0</v>
      </c>
      <c r="P306" s="175">
        <v>0</v>
      </c>
      <c r="Q306" s="175">
        <v>0</v>
      </c>
      <c r="R306" s="175">
        <v>0</v>
      </c>
      <c r="S306" s="175">
        <v>0</v>
      </c>
      <c r="U306" s="175">
        <f t="shared" si="18"/>
        <v>0</v>
      </c>
    </row>
    <row r="307" spans="1:21">
      <c r="A307" s="183" t="str">
        <f t="shared" si="16"/>
        <v>575</v>
      </c>
      <c r="B307" s="183" t="str">
        <f t="shared" si="17"/>
        <v>575.7</v>
      </c>
      <c r="C307" s="184" t="s">
        <v>1478</v>
      </c>
      <c r="D307" t="s">
        <v>1479</v>
      </c>
      <c r="E307" s="470"/>
      <c r="F307" s="470"/>
      <c r="G307" s="175">
        <v>0</v>
      </c>
      <c r="H307" s="175">
        <v>0</v>
      </c>
      <c r="I307" s="175">
        <v>0</v>
      </c>
      <c r="J307" s="175">
        <v>0</v>
      </c>
      <c r="K307" s="175">
        <v>0</v>
      </c>
      <c r="L307" s="175">
        <v>0</v>
      </c>
      <c r="M307" s="175">
        <v>0</v>
      </c>
      <c r="N307" s="175">
        <v>0</v>
      </c>
      <c r="O307" s="175">
        <v>0</v>
      </c>
      <c r="P307" s="175">
        <v>0</v>
      </c>
      <c r="Q307" s="175">
        <v>0</v>
      </c>
      <c r="R307" s="175">
        <v>0</v>
      </c>
      <c r="S307" s="175">
        <v>0</v>
      </c>
      <c r="U307" s="175">
        <f t="shared" si="18"/>
        <v>0</v>
      </c>
    </row>
    <row r="308" spans="1:21">
      <c r="A308" s="183" t="str">
        <f t="shared" si="16"/>
        <v>575</v>
      </c>
      <c r="B308" s="183" t="str">
        <f t="shared" si="17"/>
        <v>575.8</v>
      </c>
      <c r="C308" s="184" t="s">
        <v>1480</v>
      </c>
      <c r="D308" t="s">
        <v>1481</v>
      </c>
      <c r="E308" s="470"/>
      <c r="F308" s="470"/>
      <c r="G308" s="175">
        <v>0</v>
      </c>
      <c r="H308" s="175">
        <v>0</v>
      </c>
      <c r="I308" s="175">
        <v>0</v>
      </c>
      <c r="J308" s="175">
        <v>0</v>
      </c>
      <c r="K308" s="175">
        <v>0</v>
      </c>
      <c r="L308" s="175">
        <v>0</v>
      </c>
      <c r="M308" s="175">
        <v>0</v>
      </c>
      <c r="N308" s="175">
        <v>0</v>
      </c>
      <c r="O308" s="175">
        <v>0</v>
      </c>
      <c r="P308" s="175">
        <v>0</v>
      </c>
      <c r="Q308" s="175">
        <v>0</v>
      </c>
      <c r="R308" s="175">
        <v>0</v>
      </c>
      <c r="S308" s="175">
        <v>0</v>
      </c>
      <c r="U308" s="175">
        <f t="shared" si="18"/>
        <v>0</v>
      </c>
    </row>
    <row r="309" spans="1:21">
      <c r="A309" s="183" t="str">
        <f t="shared" si="16"/>
        <v>576</v>
      </c>
      <c r="B309" s="183" t="str">
        <f t="shared" si="17"/>
        <v>576.1</v>
      </c>
      <c r="C309" s="184" t="s">
        <v>1482</v>
      </c>
      <c r="D309" t="s">
        <v>1483</v>
      </c>
      <c r="E309" s="470"/>
      <c r="F309" s="470"/>
      <c r="G309" s="175">
        <v>0</v>
      </c>
      <c r="H309" s="175">
        <v>0</v>
      </c>
      <c r="I309" s="175">
        <v>0</v>
      </c>
      <c r="J309" s="175">
        <v>0</v>
      </c>
      <c r="K309" s="175">
        <v>0</v>
      </c>
      <c r="L309" s="175">
        <v>0</v>
      </c>
      <c r="M309" s="175">
        <v>0</v>
      </c>
      <c r="N309" s="175">
        <v>0</v>
      </c>
      <c r="O309" s="175">
        <v>0</v>
      </c>
      <c r="P309" s="175">
        <v>0</v>
      </c>
      <c r="Q309" s="175">
        <v>0</v>
      </c>
      <c r="R309" s="175">
        <v>0</v>
      </c>
      <c r="S309" s="175">
        <v>0</v>
      </c>
      <c r="U309" s="175">
        <f t="shared" si="18"/>
        <v>0</v>
      </c>
    </row>
    <row r="310" spans="1:21">
      <c r="A310" s="183" t="str">
        <f t="shared" si="16"/>
        <v>576</v>
      </c>
      <c r="B310" s="183" t="str">
        <f t="shared" si="17"/>
        <v>576.2</v>
      </c>
      <c r="C310" s="184" t="s">
        <v>1484</v>
      </c>
      <c r="D310" t="s">
        <v>1485</v>
      </c>
      <c r="E310" s="470"/>
      <c r="F310" s="470"/>
      <c r="G310" s="175">
        <v>0</v>
      </c>
      <c r="H310" s="175">
        <v>0</v>
      </c>
      <c r="I310" s="175">
        <v>0</v>
      </c>
      <c r="J310" s="175">
        <v>0</v>
      </c>
      <c r="K310" s="175">
        <v>0</v>
      </c>
      <c r="L310" s="175">
        <v>0</v>
      </c>
      <c r="M310" s="175">
        <v>0</v>
      </c>
      <c r="N310" s="175">
        <v>0</v>
      </c>
      <c r="O310" s="175">
        <v>0</v>
      </c>
      <c r="P310" s="175">
        <v>0</v>
      </c>
      <c r="Q310" s="175">
        <v>0</v>
      </c>
      <c r="R310" s="175">
        <v>0</v>
      </c>
      <c r="S310" s="175">
        <v>0</v>
      </c>
      <c r="U310" s="175">
        <f t="shared" si="18"/>
        <v>0</v>
      </c>
    </row>
    <row r="311" spans="1:21">
      <c r="A311" s="183" t="str">
        <f t="shared" si="16"/>
        <v>576</v>
      </c>
      <c r="B311" s="183" t="str">
        <f t="shared" si="17"/>
        <v>576.3</v>
      </c>
      <c r="C311" s="184" t="s">
        <v>1486</v>
      </c>
      <c r="D311" t="s">
        <v>1487</v>
      </c>
      <c r="E311" s="470"/>
      <c r="F311" s="470"/>
      <c r="G311" s="175">
        <v>0</v>
      </c>
      <c r="H311" s="175">
        <v>0</v>
      </c>
      <c r="I311" s="175">
        <v>0</v>
      </c>
      <c r="J311" s="175">
        <v>0</v>
      </c>
      <c r="K311" s="175">
        <v>0</v>
      </c>
      <c r="L311" s="175">
        <v>0</v>
      </c>
      <c r="M311" s="175">
        <v>0</v>
      </c>
      <c r="N311" s="175">
        <v>0</v>
      </c>
      <c r="O311" s="175">
        <v>0</v>
      </c>
      <c r="P311" s="175">
        <v>0</v>
      </c>
      <c r="Q311" s="175">
        <v>0</v>
      </c>
      <c r="R311" s="175">
        <v>0</v>
      </c>
      <c r="S311" s="175">
        <v>0</v>
      </c>
      <c r="U311" s="175">
        <f t="shared" si="18"/>
        <v>0</v>
      </c>
    </row>
    <row r="312" spans="1:21">
      <c r="A312" s="183" t="str">
        <f t="shared" si="16"/>
        <v>576</v>
      </c>
      <c r="B312" s="183" t="str">
        <f t="shared" si="17"/>
        <v>576.4</v>
      </c>
      <c r="C312" s="184" t="s">
        <v>1488</v>
      </c>
      <c r="D312" t="s">
        <v>1489</v>
      </c>
      <c r="E312" s="470"/>
      <c r="F312" s="470"/>
      <c r="G312" s="175">
        <v>0</v>
      </c>
      <c r="H312" s="175">
        <v>0</v>
      </c>
      <c r="I312" s="175">
        <v>0</v>
      </c>
      <c r="J312" s="175">
        <v>0</v>
      </c>
      <c r="K312" s="175">
        <v>0</v>
      </c>
      <c r="L312" s="175">
        <v>0</v>
      </c>
      <c r="M312" s="175">
        <v>0</v>
      </c>
      <c r="N312" s="175">
        <v>0</v>
      </c>
      <c r="O312" s="175">
        <v>0</v>
      </c>
      <c r="P312" s="175">
        <v>0</v>
      </c>
      <c r="Q312" s="175">
        <v>0</v>
      </c>
      <c r="R312" s="175">
        <v>0</v>
      </c>
      <c r="S312" s="175">
        <v>0</v>
      </c>
      <c r="U312" s="175">
        <f t="shared" si="18"/>
        <v>0</v>
      </c>
    </row>
    <row r="313" spans="1:21">
      <c r="A313" s="183" t="str">
        <f t="shared" si="16"/>
        <v>576</v>
      </c>
      <c r="B313" s="183" t="str">
        <f t="shared" si="17"/>
        <v>576.5</v>
      </c>
      <c r="C313" s="184" t="s">
        <v>1490</v>
      </c>
      <c r="D313" t="s">
        <v>1491</v>
      </c>
      <c r="E313" s="470"/>
      <c r="F313" s="470"/>
      <c r="G313" s="175">
        <v>0</v>
      </c>
      <c r="H313" s="175">
        <v>0</v>
      </c>
      <c r="I313" s="175">
        <v>0</v>
      </c>
      <c r="J313" s="175">
        <v>0</v>
      </c>
      <c r="K313" s="175">
        <v>0</v>
      </c>
      <c r="L313" s="175">
        <v>0</v>
      </c>
      <c r="M313" s="175">
        <v>0</v>
      </c>
      <c r="N313" s="175">
        <v>0</v>
      </c>
      <c r="O313" s="175">
        <v>0</v>
      </c>
      <c r="P313" s="175">
        <v>0</v>
      </c>
      <c r="Q313" s="175">
        <v>0</v>
      </c>
      <c r="R313" s="175">
        <v>0</v>
      </c>
      <c r="S313" s="175">
        <v>0</v>
      </c>
      <c r="U313" s="175">
        <f t="shared" si="18"/>
        <v>0</v>
      </c>
    </row>
    <row r="314" spans="1:21">
      <c r="A314" s="183" t="str">
        <f t="shared" si="16"/>
        <v>580</v>
      </c>
      <c r="B314" s="183" t="str">
        <f t="shared" si="17"/>
        <v>580.0</v>
      </c>
      <c r="C314" s="184" t="s">
        <v>1492</v>
      </c>
      <c r="D314" t="s">
        <v>1493</v>
      </c>
      <c r="E314" s="470"/>
      <c r="F314" s="470"/>
      <c r="G314" s="175">
        <v>119001.7203413</v>
      </c>
      <c r="H314" s="175">
        <v>133287.53946170001</v>
      </c>
      <c r="I314" s="175">
        <v>126201.0765082</v>
      </c>
      <c r="J314" s="175">
        <v>126963.2221705</v>
      </c>
      <c r="K314" s="175">
        <v>131526.146362</v>
      </c>
      <c r="L314" s="175">
        <v>134977.52064530001</v>
      </c>
      <c r="M314" s="175">
        <v>124295.8823475</v>
      </c>
      <c r="N314" s="175">
        <v>135478.11803320001</v>
      </c>
      <c r="O314" s="175">
        <v>132144.28693160001</v>
      </c>
      <c r="P314" s="175">
        <v>128989.58265700001</v>
      </c>
      <c r="Q314" s="175">
        <v>135501.23242769999</v>
      </c>
      <c r="R314" s="175">
        <v>128007.6804188</v>
      </c>
      <c r="S314" s="175">
        <v>131419.5780377</v>
      </c>
      <c r="U314" s="175">
        <f t="shared" si="18"/>
        <v>129830.2758725</v>
      </c>
    </row>
    <row r="315" spans="1:21">
      <c r="A315" s="183" t="str">
        <f t="shared" si="16"/>
        <v>581</v>
      </c>
      <c r="B315" s="183" t="str">
        <f t="shared" si="17"/>
        <v>581.0</v>
      </c>
      <c r="C315" s="184" t="s">
        <v>1494</v>
      </c>
      <c r="D315" t="s">
        <v>1495</v>
      </c>
      <c r="E315" s="470"/>
      <c r="F315" s="470"/>
      <c r="G315" s="175">
        <v>98404.624770299997</v>
      </c>
      <c r="H315" s="175">
        <v>81234.544089799994</v>
      </c>
      <c r="I315" s="175">
        <v>81917.912625099998</v>
      </c>
      <c r="J315" s="175">
        <v>87519.912625099998</v>
      </c>
      <c r="K315" s="175">
        <v>91712.767577999999</v>
      </c>
      <c r="L315" s="175">
        <v>94094.577739600005</v>
      </c>
      <c r="M315" s="175">
        <v>92169.022455900005</v>
      </c>
      <c r="N315" s="175">
        <v>105755.0860289</v>
      </c>
      <c r="O315" s="175">
        <v>114671.96950609999</v>
      </c>
      <c r="P315" s="175">
        <v>112613.3336272</v>
      </c>
      <c r="Q315" s="175">
        <v>116990.2371692</v>
      </c>
      <c r="R315" s="175">
        <v>100521.4803481</v>
      </c>
      <c r="S315" s="175">
        <v>102889.03912489999</v>
      </c>
      <c r="U315" s="175">
        <f t="shared" si="18"/>
        <v>98499.577514476914</v>
      </c>
    </row>
    <row r="316" spans="1:21">
      <c r="A316" s="183" t="str">
        <f t="shared" si="16"/>
        <v>581</v>
      </c>
      <c r="B316" s="183" t="str">
        <f t="shared" si="17"/>
        <v>581.1</v>
      </c>
      <c r="C316" s="184" t="s">
        <v>1496</v>
      </c>
      <c r="D316" t="s">
        <v>1497</v>
      </c>
      <c r="E316" s="470"/>
      <c r="F316" s="470"/>
      <c r="G316" s="175">
        <v>0</v>
      </c>
      <c r="H316" s="175">
        <v>0</v>
      </c>
      <c r="I316" s="175">
        <v>0</v>
      </c>
      <c r="J316" s="175">
        <v>0</v>
      </c>
      <c r="K316" s="175">
        <v>0</v>
      </c>
      <c r="L316" s="175">
        <v>0</v>
      </c>
      <c r="M316" s="175">
        <v>0</v>
      </c>
      <c r="N316" s="175">
        <v>0</v>
      </c>
      <c r="O316" s="175">
        <v>0</v>
      </c>
      <c r="P316" s="175">
        <v>0</v>
      </c>
      <c r="Q316" s="175">
        <v>0</v>
      </c>
      <c r="R316" s="175">
        <v>0</v>
      </c>
      <c r="S316" s="175">
        <v>0</v>
      </c>
      <c r="U316" s="175">
        <f t="shared" si="18"/>
        <v>0</v>
      </c>
    </row>
    <row r="317" spans="1:21">
      <c r="A317" s="183" t="str">
        <f t="shared" si="16"/>
        <v>582</v>
      </c>
      <c r="B317" s="183" t="str">
        <f t="shared" si="17"/>
        <v>582.0</v>
      </c>
      <c r="C317" s="184" t="s">
        <v>1498</v>
      </c>
      <c r="D317" t="s">
        <v>1499</v>
      </c>
      <c r="E317" s="470"/>
      <c r="F317" s="470"/>
      <c r="G317" s="175">
        <v>165988.4894969</v>
      </c>
      <c r="H317" s="175">
        <v>100542.45959280001</v>
      </c>
      <c r="I317" s="175">
        <v>81206.438401199994</v>
      </c>
      <c r="J317" s="175">
        <v>81252.903695400004</v>
      </c>
      <c r="K317" s="175">
        <v>86476.592394099993</v>
      </c>
      <c r="L317" s="175">
        <v>91172.852441199997</v>
      </c>
      <c r="M317" s="175">
        <v>77089.134895399999</v>
      </c>
      <c r="N317" s="175">
        <v>91187.8793592</v>
      </c>
      <c r="O317" s="175">
        <v>86496.599162500002</v>
      </c>
      <c r="P317" s="175">
        <v>81807.700479199993</v>
      </c>
      <c r="Q317" s="175">
        <v>91178.310422099996</v>
      </c>
      <c r="R317" s="175">
        <v>81780.851710100003</v>
      </c>
      <c r="S317" s="175">
        <v>86470.763209600002</v>
      </c>
      <c r="U317" s="175">
        <f t="shared" si="18"/>
        <v>92511.613481515393</v>
      </c>
    </row>
    <row r="318" spans="1:21">
      <c r="A318" s="183" t="str">
        <f t="shared" si="16"/>
        <v>583</v>
      </c>
      <c r="B318" s="183" t="str">
        <f t="shared" si="17"/>
        <v>583.0</v>
      </c>
      <c r="C318" s="184" t="s">
        <v>1500</v>
      </c>
      <c r="D318" t="s">
        <v>1501</v>
      </c>
      <c r="E318" s="470"/>
      <c r="F318" s="470"/>
      <c r="G318" s="175">
        <v>665066.99476819998</v>
      </c>
      <c r="H318" s="175">
        <v>638933.57002960006</v>
      </c>
      <c r="I318" s="175">
        <v>668076.03453860001</v>
      </c>
      <c r="J318" s="175">
        <v>676133.71900579997</v>
      </c>
      <c r="K318" s="175">
        <v>689980.49572160002</v>
      </c>
      <c r="L318" s="175">
        <v>692023.57651389996</v>
      </c>
      <c r="M318" s="175">
        <v>640004.27597459999</v>
      </c>
      <c r="N318" s="175">
        <v>691007.12328399997</v>
      </c>
      <c r="O318" s="175">
        <v>700267.98230969999</v>
      </c>
      <c r="P318" s="175">
        <v>679711.34690030001</v>
      </c>
      <c r="Q318" s="175">
        <v>713561.3183091</v>
      </c>
      <c r="R318" s="175">
        <v>656601.3224838</v>
      </c>
      <c r="S318" s="175">
        <v>676633.89161149994</v>
      </c>
      <c r="U318" s="175">
        <f t="shared" si="18"/>
        <v>676000.12703466928</v>
      </c>
    </row>
    <row r="319" spans="1:21">
      <c r="A319" s="183" t="str">
        <f t="shared" si="16"/>
        <v>584</v>
      </c>
      <c r="B319" s="183" t="str">
        <f t="shared" si="17"/>
        <v>584.0</v>
      </c>
      <c r="C319" s="184" t="s">
        <v>1502</v>
      </c>
      <c r="D319" t="s">
        <v>1503</v>
      </c>
      <c r="E319" s="470"/>
      <c r="F319" s="470"/>
      <c r="G319" s="175">
        <v>75982.579007299995</v>
      </c>
      <c r="H319" s="175">
        <v>75111.604153699998</v>
      </c>
      <c r="I319" s="175">
        <v>70110.902894300001</v>
      </c>
      <c r="J319" s="175">
        <v>71176.902894300001</v>
      </c>
      <c r="K319" s="175">
        <v>74210.753529199996</v>
      </c>
      <c r="L319" s="175">
        <v>77244.604153699998</v>
      </c>
      <c r="M319" s="175">
        <v>69210.045643899997</v>
      </c>
      <c r="N319" s="175">
        <v>79378.604153699998</v>
      </c>
      <c r="O319" s="175">
        <v>78477.753529199996</v>
      </c>
      <c r="P319" s="175">
        <v>75443.902894300001</v>
      </c>
      <c r="Q319" s="175">
        <v>81511.604153699998</v>
      </c>
      <c r="R319" s="175">
        <v>73310.902894300001</v>
      </c>
      <c r="S319" s="175">
        <v>76344.753529199996</v>
      </c>
      <c r="U319" s="175">
        <f t="shared" si="18"/>
        <v>75193.454879292301</v>
      </c>
    </row>
    <row r="320" spans="1:21">
      <c r="A320" s="183" t="str">
        <f t="shared" si="16"/>
        <v>585</v>
      </c>
      <c r="B320" s="183" t="str">
        <f t="shared" si="17"/>
        <v>585.0</v>
      </c>
      <c r="C320" s="184" t="s">
        <v>1504</v>
      </c>
      <c r="D320" t="s">
        <v>1505</v>
      </c>
      <c r="E320" s="470"/>
      <c r="F320" s="470"/>
      <c r="G320" s="175">
        <v>204339.20002389999</v>
      </c>
      <c r="H320" s="175">
        <v>160028.90583090001</v>
      </c>
      <c r="I320" s="175">
        <v>146906.96835849999</v>
      </c>
      <c r="J320" s="175">
        <v>154906.96835849999</v>
      </c>
      <c r="K320" s="175">
        <v>154924.13378140001</v>
      </c>
      <c r="L320" s="175">
        <v>161551.2932438</v>
      </c>
      <c r="M320" s="175">
        <v>141669.80039700001</v>
      </c>
      <c r="N320" s="175">
        <v>161551.2932438</v>
      </c>
      <c r="O320" s="175">
        <v>162924.13378140001</v>
      </c>
      <c r="P320" s="175">
        <v>148296.97432879999</v>
      </c>
      <c r="Q320" s="175">
        <v>161551.2932438</v>
      </c>
      <c r="R320" s="175">
        <v>148296.97432879999</v>
      </c>
      <c r="S320" s="175">
        <v>154924.13378140001</v>
      </c>
      <c r="U320" s="175">
        <f t="shared" si="18"/>
        <v>158605.544054</v>
      </c>
    </row>
    <row r="321" spans="1:21">
      <c r="A321" s="183" t="str">
        <f t="shared" si="16"/>
        <v>586</v>
      </c>
      <c r="B321" s="183" t="str">
        <f t="shared" si="17"/>
        <v>586.0</v>
      </c>
      <c r="C321" s="184" t="s">
        <v>1506</v>
      </c>
      <c r="D321" t="s">
        <v>1507</v>
      </c>
      <c r="E321" s="470"/>
      <c r="F321" s="470"/>
      <c r="G321" s="175">
        <v>490705.10069460003</v>
      </c>
      <c r="H321" s="175">
        <v>458382.3919245</v>
      </c>
      <c r="I321" s="175">
        <v>430484.14251859998</v>
      </c>
      <c r="J321" s="175">
        <v>438983.78021250002</v>
      </c>
      <c r="K321" s="175">
        <v>463499.78789049998</v>
      </c>
      <c r="L321" s="175">
        <v>480666.68077949999</v>
      </c>
      <c r="M321" s="175">
        <v>437453.45960110001</v>
      </c>
      <c r="N321" s="175">
        <v>492868.03449950001</v>
      </c>
      <c r="O321" s="175">
        <v>487509.79531750001</v>
      </c>
      <c r="P321" s="175">
        <v>473414.05925699999</v>
      </c>
      <c r="Q321" s="175">
        <v>504120.90806540003</v>
      </c>
      <c r="R321" s="175">
        <v>457828.667075</v>
      </c>
      <c r="S321" s="175">
        <v>478670.4782141</v>
      </c>
      <c r="U321" s="175">
        <f t="shared" si="18"/>
        <v>468814.40661921538</v>
      </c>
    </row>
    <row r="322" spans="1:21">
      <c r="A322" s="183" t="str">
        <f t="shared" si="16"/>
        <v>587</v>
      </c>
      <c r="B322" s="183" t="str">
        <f t="shared" si="17"/>
        <v>587.0</v>
      </c>
      <c r="C322" s="184" t="s">
        <v>1508</v>
      </c>
      <c r="D322" t="s">
        <v>1509</v>
      </c>
      <c r="E322" s="470"/>
      <c r="F322" s="470"/>
      <c r="G322" s="175">
        <v>0</v>
      </c>
      <c r="H322" s="175">
        <v>0</v>
      </c>
      <c r="I322" s="175">
        <v>0</v>
      </c>
      <c r="J322" s="175">
        <v>0</v>
      </c>
      <c r="K322" s="175">
        <v>0</v>
      </c>
      <c r="L322" s="175">
        <v>0</v>
      </c>
      <c r="M322" s="175">
        <v>0</v>
      </c>
      <c r="N322" s="175">
        <v>0</v>
      </c>
      <c r="O322" s="175">
        <v>0</v>
      </c>
      <c r="P322" s="175">
        <v>0</v>
      </c>
      <c r="Q322" s="175">
        <v>0</v>
      </c>
      <c r="R322" s="175">
        <v>0</v>
      </c>
      <c r="S322" s="175">
        <v>0</v>
      </c>
      <c r="U322" s="175">
        <f t="shared" si="18"/>
        <v>0</v>
      </c>
    </row>
    <row r="323" spans="1:21">
      <c r="A323" s="183" t="str">
        <f t="shared" si="16"/>
        <v>588</v>
      </c>
      <c r="B323" s="183" t="str">
        <f t="shared" si="17"/>
        <v>588.0</v>
      </c>
      <c r="C323" s="184" t="s">
        <v>1510</v>
      </c>
      <c r="D323" t="s">
        <v>1511</v>
      </c>
      <c r="E323" s="470"/>
      <c r="F323" s="470"/>
      <c r="G323" s="175">
        <v>364608.23481390002</v>
      </c>
      <c r="H323" s="175">
        <v>1082599.5589071</v>
      </c>
      <c r="I323" s="175">
        <v>979091.28240449994</v>
      </c>
      <c r="J323" s="175">
        <v>978957.28678069997</v>
      </c>
      <c r="K323" s="175">
        <v>1072443.3139444001</v>
      </c>
      <c r="L323" s="175">
        <v>1049762.9760231001</v>
      </c>
      <c r="M323" s="175">
        <v>980842.26669049996</v>
      </c>
      <c r="N323" s="175">
        <v>1128506.4450016001</v>
      </c>
      <c r="O323" s="175">
        <v>1057846.8467166999</v>
      </c>
      <c r="P323" s="175">
        <v>1013751.7837584</v>
      </c>
      <c r="Q323" s="175">
        <v>1114781.9457065</v>
      </c>
      <c r="R323" s="175">
        <v>1026469.4855579</v>
      </c>
      <c r="S323" s="175">
        <v>1047835.5980795</v>
      </c>
      <c r="U323" s="175">
        <f t="shared" si="18"/>
        <v>992115.15572190785</v>
      </c>
    </row>
    <row r="324" spans="1:21">
      <c r="A324" s="183" t="str">
        <f t="shared" si="16"/>
        <v>589</v>
      </c>
      <c r="B324" s="183" t="str">
        <f t="shared" si="17"/>
        <v>589.0</v>
      </c>
      <c r="C324" s="184" t="s">
        <v>1512</v>
      </c>
      <c r="D324" t="s">
        <v>1513</v>
      </c>
      <c r="E324" s="470"/>
      <c r="F324" s="470"/>
      <c r="G324" s="175">
        <v>31417</v>
      </c>
      <c r="H324" s="175">
        <v>31417</v>
      </c>
      <c r="I324" s="175">
        <v>31417</v>
      </c>
      <c r="J324" s="175">
        <v>31417</v>
      </c>
      <c r="K324" s="175">
        <v>31417</v>
      </c>
      <c r="L324" s="175">
        <v>31417</v>
      </c>
      <c r="M324" s="175">
        <v>31417</v>
      </c>
      <c r="N324" s="175">
        <v>31417</v>
      </c>
      <c r="O324" s="175">
        <v>31417</v>
      </c>
      <c r="P324" s="175">
        <v>31417</v>
      </c>
      <c r="Q324" s="175">
        <v>31417</v>
      </c>
      <c r="R324" s="175">
        <v>31417</v>
      </c>
      <c r="S324" s="175">
        <v>31417</v>
      </c>
      <c r="U324" s="175">
        <f t="shared" si="18"/>
        <v>31417</v>
      </c>
    </row>
    <row r="325" spans="1:21">
      <c r="A325" s="183" t="str">
        <f t="shared" si="16"/>
        <v>590</v>
      </c>
      <c r="B325" s="183" t="str">
        <f t="shared" si="17"/>
        <v>590.0</v>
      </c>
      <c r="C325" s="184" t="s">
        <v>1514</v>
      </c>
      <c r="D325" t="s">
        <v>1515</v>
      </c>
      <c r="E325" s="470"/>
      <c r="F325" s="470"/>
      <c r="G325" s="175">
        <v>0</v>
      </c>
      <c r="H325" s="175">
        <v>0</v>
      </c>
      <c r="I325" s="175">
        <v>0</v>
      </c>
      <c r="J325" s="175">
        <v>0</v>
      </c>
      <c r="K325" s="175">
        <v>0</v>
      </c>
      <c r="L325" s="175">
        <v>0</v>
      </c>
      <c r="M325" s="175">
        <v>0</v>
      </c>
      <c r="N325" s="175">
        <v>0</v>
      </c>
      <c r="O325" s="175">
        <v>0</v>
      </c>
      <c r="P325" s="175">
        <v>0</v>
      </c>
      <c r="Q325" s="175">
        <v>0</v>
      </c>
      <c r="R325" s="175">
        <v>0</v>
      </c>
      <c r="S325" s="175">
        <v>0</v>
      </c>
      <c r="U325" s="175">
        <f t="shared" si="18"/>
        <v>0</v>
      </c>
    </row>
    <row r="326" spans="1:21">
      <c r="A326" s="183" t="str">
        <f t="shared" si="16"/>
        <v>591</v>
      </c>
      <c r="B326" s="183" t="str">
        <f t="shared" si="17"/>
        <v>591.0</v>
      </c>
      <c r="C326" s="184" t="s">
        <v>1516</v>
      </c>
      <c r="D326" t="s">
        <v>1517</v>
      </c>
      <c r="E326" s="470"/>
      <c r="F326" s="470"/>
      <c r="G326" s="175">
        <v>37629.754036600003</v>
      </c>
      <c r="H326" s="175">
        <v>-14288.132801899999</v>
      </c>
      <c r="I326" s="175">
        <v>-15164.555536399999</v>
      </c>
      <c r="J326" s="175">
        <v>-15164.555536399999</v>
      </c>
      <c r="K326" s="175">
        <v>-14415.8417986</v>
      </c>
      <c r="L326" s="175">
        <v>-14001.0080471</v>
      </c>
      <c r="M326" s="175">
        <v>-15365.9839598</v>
      </c>
      <c r="N326" s="175">
        <v>-13879.1580135</v>
      </c>
      <c r="O326" s="175">
        <v>-14264.213441800001</v>
      </c>
      <c r="P326" s="175">
        <v>-14572.9284326</v>
      </c>
      <c r="Q326" s="175">
        <v>-13870.0231028</v>
      </c>
      <c r="R326" s="175">
        <v>-14821.4211548</v>
      </c>
      <c r="S326" s="175">
        <v>-14411.9924372</v>
      </c>
      <c r="U326" s="175">
        <f t="shared" si="18"/>
        <v>-10506.927709715384</v>
      </c>
    </row>
    <row r="327" spans="1:21">
      <c r="A327" s="183" t="str">
        <f t="shared" ref="A327:A390" si="19">MID(C327,2,3)</f>
        <v>592</v>
      </c>
      <c r="B327" s="183" t="str">
        <f t="shared" ref="B327:B390" si="20">MID(C327,2,3)&amp;"."&amp;MID(C327,5,1)</f>
        <v>592.0</v>
      </c>
      <c r="C327" s="184" t="s">
        <v>1518</v>
      </c>
      <c r="D327" t="s">
        <v>1519</v>
      </c>
      <c r="E327" s="470"/>
      <c r="F327" s="470"/>
      <c r="G327" s="175">
        <v>234385.109023</v>
      </c>
      <c r="H327" s="175">
        <v>214300.7540972</v>
      </c>
      <c r="I327" s="175">
        <v>200682.50471969999</v>
      </c>
      <c r="J327" s="175">
        <v>200719.66769900001</v>
      </c>
      <c r="K327" s="175">
        <v>211075.44459920001</v>
      </c>
      <c r="L327" s="175">
        <v>218093.55593150001</v>
      </c>
      <c r="M327" s="175">
        <v>197152.03134859999</v>
      </c>
      <c r="N327" s="175">
        <v>218189.608171</v>
      </c>
      <c r="O327" s="175">
        <v>211182.3068274</v>
      </c>
      <c r="P327" s="175">
        <v>204191.1032449</v>
      </c>
      <c r="Q327" s="175">
        <v>218141.07319200001</v>
      </c>
      <c r="R327" s="175">
        <v>204075.54490519999</v>
      </c>
      <c r="S327" s="175">
        <v>211045.564847</v>
      </c>
      <c r="U327" s="175">
        <f t="shared" ref="U327:U390" si="21">AVERAGE(G327:S327)</f>
        <v>211018.02066197692</v>
      </c>
    </row>
    <row r="328" spans="1:21">
      <c r="A328" s="183" t="str">
        <f t="shared" si="19"/>
        <v>592</v>
      </c>
      <c r="B328" s="183" t="str">
        <f t="shared" si="20"/>
        <v>592.1</v>
      </c>
      <c r="C328" s="184" t="s">
        <v>1520</v>
      </c>
      <c r="D328" t="s">
        <v>1521</v>
      </c>
      <c r="E328" s="470"/>
      <c r="F328" s="470"/>
      <c r="G328" s="175">
        <v>0</v>
      </c>
      <c r="H328" s="175">
        <v>0</v>
      </c>
      <c r="I328" s="175">
        <v>0</v>
      </c>
      <c r="J328" s="175">
        <v>0</v>
      </c>
      <c r="K328" s="175">
        <v>0</v>
      </c>
      <c r="L328" s="175">
        <v>0</v>
      </c>
      <c r="M328" s="175">
        <v>0</v>
      </c>
      <c r="N328" s="175">
        <v>0</v>
      </c>
      <c r="O328" s="175">
        <v>0</v>
      </c>
      <c r="P328" s="175">
        <v>0</v>
      </c>
      <c r="Q328" s="175">
        <v>0</v>
      </c>
      <c r="R328" s="175">
        <v>0</v>
      </c>
      <c r="S328" s="175">
        <v>0</v>
      </c>
      <c r="U328" s="175">
        <f t="shared" si="21"/>
        <v>0</v>
      </c>
    </row>
    <row r="329" spans="1:21">
      <c r="A329" s="183" t="str">
        <f t="shared" si="19"/>
        <v>593</v>
      </c>
      <c r="B329" s="183" t="str">
        <f t="shared" si="20"/>
        <v>593.0</v>
      </c>
      <c r="C329" s="184" t="s">
        <v>1522</v>
      </c>
      <c r="D329" t="s">
        <v>1523</v>
      </c>
      <c r="E329" s="470"/>
      <c r="F329" s="470"/>
      <c r="G329" s="175">
        <v>3411539.2640002999</v>
      </c>
      <c r="H329" s="175">
        <v>3445094.3707560999</v>
      </c>
      <c r="I329" s="175">
        <v>3397583.9748824001</v>
      </c>
      <c r="J329" s="175">
        <v>3414478.8105453998</v>
      </c>
      <c r="K329" s="175">
        <v>3490371.5337095</v>
      </c>
      <c r="L329" s="175">
        <v>3520330.4557003002</v>
      </c>
      <c r="M329" s="175">
        <v>3453237.7292415998</v>
      </c>
      <c r="N329" s="175">
        <v>3614740.9857464</v>
      </c>
      <c r="O329" s="175">
        <v>3624571.3409263999</v>
      </c>
      <c r="P329" s="175">
        <v>3583262.9823913998</v>
      </c>
      <c r="Q329" s="175">
        <v>3666700.4721428999</v>
      </c>
      <c r="R329" s="175">
        <v>3497829.6166584999</v>
      </c>
      <c r="S329" s="175">
        <v>3536462.6310374001</v>
      </c>
      <c r="U329" s="175">
        <f t="shared" si="21"/>
        <v>3512015.705210661</v>
      </c>
    </row>
    <row r="330" spans="1:21">
      <c r="A330" s="183" t="str">
        <f t="shared" si="19"/>
        <v>594</v>
      </c>
      <c r="B330" s="183" t="str">
        <f t="shared" si="20"/>
        <v>594.0</v>
      </c>
      <c r="C330" s="184" t="s">
        <v>1524</v>
      </c>
      <c r="D330" t="s">
        <v>1525</v>
      </c>
      <c r="E330" s="470"/>
      <c r="F330" s="470"/>
      <c r="G330" s="175">
        <v>507197.27252120001</v>
      </c>
      <c r="H330" s="175">
        <v>380071.57728770003</v>
      </c>
      <c r="I330" s="175">
        <v>361372.20832709997</v>
      </c>
      <c r="J330" s="175">
        <v>369920.74285679997</v>
      </c>
      <c r="K330" s="175">
        <v>388965.00734020001</v>
      </c>
      <c r="L330" s="175">
        <v>403297.42877409997</v>
      </c>
      <c r="M330" s="175">
        <v>379250.20844349999</v>
      </c>
      <c r="N330" s="175">
        <v>431151.22111619997</v>
      </c>
      <c r="O330" s="175">
        <v>433497.37516659999</v>
      </c>
      <c r="P330" s="175">
        <v>419367.97701039998</v>
      </c>
      <c r="Q330" s="175">
        <v>447687.4374309</v>
      </c>
      <c r="R330" s="175">
        <v>393643.00557580002</v>
      </c>
      <c r="S330" s="175">
        <v>407520.96299979999</v>
      </c>
      <c r="U330" s="175">
        <f t="shared" si="21"/>
        <v>409457.10960386932</v>
      </c>
    </row>
    <row r="331" spans="1:21">
      <c r="A331" s="183" t="str">
        <f t="shared" si="19"/>
        <v>595</v>
      </c>
      <c r="B331" s="183" t="str">
        <f t="shared" si="20"/>
        <v>595.0</v>
      </c>
      <c r="C331" s="184" t="s">
        <v>1526</v>
      </c>
      <c r="D331" t="s">
        <v>1527</v>
      </c>
      <c r="E331" s="470"/>
      <c r="F331" s="470"/>
      <c r="G331" s="175">
        <v>26655.212501400001</v>
      </c>
      <c r="H331" s="175">
        <v>18368.029344800001</v>
      </c>
      <c r="I331" s="175">
        <v>16881.1580746</v>
      </c>
      <c r="J331" s="175">
        <v>17021.329734200001</v>
      </c>
      <c r="K331" s="175">
        <v>19456.754393899999</v>
      </c>
      <c r="L331" s="175">
        <v>19009.2429452</v>
      </c>
      <c r="M331" s="175">
        <v>16695.297847000002</v>
      </c>
      <c r="N331" s="175">
        <v>19168.521328399998</v>
      </c>
      <c r="O331" s="175">
        <v>18237.928473799999</v>
      </c>
      <c r="P331" s="175">
        <v>17466.614002400001</v>
      </c>
      <c r="Q331" s="175">
        <v>20283.4700108</v>
      </c>
      <c r="R331" s="175">
        <v>17466.614002400001</v>
      </c>
      <c r="S331" s="175">
        <v>18390.281713799999</v>
      </c>
      <c r="U331" s="175">
        <f t="shared" si="21"/>
        <v>18853.881105592307</v>
      </c>
    </row>
    <row r="332" spans="1:21">
      <c r="A332" s="183" t="str">
        <f t="shared" si="19"/>
        <v>596</v>
      </c>
      <c r="B332" s="183" t="str">
        <f t="shared" si="20"/>
        <v>596.0</v>
      </c>
      <c r="C332" s="184" t="s">
        <v>1528</v>
      </c>
      <c r="D332" t="s">
        <v>1529</v>
      </c>
      <c r="E332" s="470"/>
      <c r="F332" s="470"/>
      <c r="G332" s="175">
        <v>117950.5475493</v>
      </c>
      <c r="H332" s="175">
        <v>51720.997549300002</v>
      </c>
      <c r="I332" s="175">
        <v>51720.997549300002</v>
      </c>
      <c r="J332" s="175">
        <v>51720.997549300002</v>
      </c>
      <c r="K332" s="175">
        <v>51720.997549300002</v>
      </c>
      <c r="L332" s="175">
        <v>51720.997549300002</v>
      </c>
      <c r="M332" s="175">
        <v>51720.997549300002</v>
      </c>
      <c r="N332" s="175">
        <v>51720.997549300002</v>
      </c>
      <c r="O332" s="175">
        <v>51720.997549300002</v>
      </c>
      <c r="P332" s="175">
        <v>51720.997549300002</v>
      </c>
      <c r="Q332" s="175">
        <v>51720.997549300002</v>
      </c>
      <c r="R332" s="175">
        <v>51720.997549300002</v>
      </c>
      <c r="S332" s="175">
        <v>51720.997549300002</v>
      </c>
      <c r="U332" s="175">
        <f t="shared" si="21"/>
        <v>56815.578318530766</v>
      </c>
    </row>
    <row r="333" spans="1:21">
      <c r="A333" s="183" t="str">
        <f t="shared" si="19"/>
        <v>597</v>
      </c>
      <c r="B333" s="183" t="str">
        <f t="shared" si="20"/>
        <v>597.0</v>
      </c>
      <c r="C333" s="184" t="s">
        <v>1530</v>
      </c>
      <c r="D333" t="s">
        <v>1531</v>
      </c>
      <c r="E333" s="470"/>
      <c r="F333" s="470"/>
      <c r="G333" s="175">
        <v>57031.604415100002</v>
      </c>
      <c r="H333" s="175">
        <v>73966.621852099997</v>
      </c>
      <c r="I333" s="175">
        <v>68317.353604400007</v>
      </c>
      <c r="J333" s="175">
        <v>68317.353604400007</v>
      </c>
      <c r="K333" s="175">
        <v>72829.856359099998</v>
      </c>
      <c r="L333" s="175">
        <v>75731.211739199993</v>
      </c>
      <c r="M333" s="175">
        <v>67027.139264900004</v>
      </c>
      <c r="N333" s="175">
        <v>75731.211739199993</v>
      </c>
      <c r="O333" s="175">
        <v>72829.856359099998</v>
      </c>
      <c r="P333" s="175">
        <v>69928.500979499993</v>
      </c>
      <c r="Q333" s="175">
        <v>75731.211739199993</v>
      </c>
      <c r="R333" s="175">
        <v>69968.341052799995</v>
      </c>
      <c r="S333" s="175">
        <v>72871.593577599997</v>
      </c>
      <c r="U333" s="175">
        <f t="shared" si="21"/>
        <v>70790.912022046148</v>
      </c>
    </row>
    <row r="334" spans="1:21">
      <c r="A334" s="183" t="str">
        <f t="shared" si="19"/>
        <v>598</v>
      </c>
      <c r="B334" s="183" t="str">
        <f t="shared" si="20"/>
        <v>598.0</v>
      </c>
      <c r="C334" s="184" t="s">
        <v>1532</v>
      </c>
      <c r="D334" t="s">
        <v>1533</v>
      </c>
      <c r="E334" s="470"/>
      <c r="F334" s="470"/>
      <c r="G334" s="175">
        <v>0</v>
      </c>
      <c r="H334" s="175">
        <v>0</v>
      </c>
      <c r="I334" s="175">
        <v>0</v>
      </c>
      <c r="J334" s="175">
        <v>0</v>
      </c>
      <c r="K334" s="175">
        <v>0</v>
      </c>
      <c r="L334" s="175">
        <v>0</v>
      </c>
      <c r="M334" s="175">
        <v>0</v>
      </c>
      <c r="N334" s="175">
        <v>0</v>
      </c>
      <c r="O334" s="175">
        <v>0</v>
      </c>
      <c r="P334" s="175">
        <v>0</v>
      </c>
      <c r="Q334" s="175">
        <v>0</v>
      </c>
      <c r="R334" s="175">
        <v>0</v>
      </c>
      <c r="S334" s="175">
        <v>0</v>
      </c>
      <c r="U334" s="175">
        <f t="shared" si="21"/>
        <v>0</v>
      </c>
    </row>
    <row r="335" spans="1:21">
      <c r="A335" s="183" t="str">
        <f t="shared" si="19"/>
        <v>800</v>
      </c>
      <c r="B335" s="183" t="str">
        <f t="shared" si="20"/>
        <v>800.0</v>
      </c>
      <c r="C335" s="184" t="s">
        <v>1534</v>
      </c>
      <c r="D335" t="s">
        <v>1535</v>
      </c>
      <c r="E335" s="470"/>
      <c r="F335" s="470"/>
      <c r="G335" s="175">
        <v>0</v>
      </c>
      <c r="H335" s="175">
        <v>0</v>
      </c>
      <c r="I335" s="175">
        <v>0</v>
      </c>
      <c r="J335" s="175">
        <v>0</v>
      </c>
      <c r="K335" s="175">
        <v>0</v>
      </c>
      <c r="L335" s="175">
        <v>0</v>
      </c>
      <c r="M335" s="175">
        <v>0</v>
      </c>
      <c r="N335" s="175">
        <v>0</v>
      </c>
      <c r="O335" s="175">
        <v>0</v>
      </c>
      <c r="P335" s="175">
        <v>0</v>
      </c>
      <c r="Q335" s="175">
        <v>0</v>
      </c>
      <c r="R335" s="175">
        <v>0</v>
      </c>
      <c r="S335" s="175">
        <v>0</v>
      </c>
      <c r="U335" s="175">
        <f t="shared" si="21"/>
        <v>0</v>
      </c>
    </row>
    <row r="336" spans="1:21">
      <c r="A336" s="183" t="str">
        <f t="shared" si="19"/>
        <v>800</v>
      </c>
      <c r="B336" s="183" t="str">
        <f t="shared" si="20"/>
        <v>800.1</v>
      </c>
      <c r="C336" s="184" t="s">
        <v>1536</v>
      </c>
      <c r="D336" t="s">
        <v>1537</v>
      </c>
      <c r="E336" s="470"/>
      <c r="F336" s="470"/>
      <c r="G336" s="175">
        <v>0</v>
      </c>
      <c r="H336" s="175">
        <v>0</v>
      </c>
      <c r="I336" s="175">
        <v>0</v>
      </c>
      <c r="J336" s="175">
        <v>0</v>
      </c>
      <c r="K336" s="175">
        <v>0</v>
      </c>
      <c r="L336" s="175">
        <v>0</v>
      </c>
      <c r="M336" s="175">
        <v>0</v>
      </c>
      <c r="N336" s="175">
        <v>0</v>
      </c>
      <c r="O336" s="175">
        <v>0</v>
      </c>
      <c r="P336" s="175">
        <v>0</v>
      </c>
      <c r="Q336" s="175">
        <v>0</v>
      </c>
      <c r="R336" s="175">
        <v>0</v>
      </c>
      <c r="S336" s="175">
        <v>0</v>
      </c>
      <c r="U336" s="175">
        <f t="shared" si="21"/>
        <v>0</v>
      </c>
    </row>
    <row r="337" spans="1:21">
      <c r="A337" s="183" t="str">
        <f t="shared" si="19"/>
        <v>801</v>
      </c>
      <c r="B337" s="183" t="str">
        <f t="shared" si="20"/>
        <v>801.0</v>
      </c>
      <c r="C337" s="184" t="s">
        <v>1538</v>
      </c>
      <c r="D337" t="s">
        <v>1539</v>
      </c>
      <c r="E337" s="470"/>
      <c r="F337" s="470"/>
      <c r="G337" s="175">
        <v>0</v>
      </c>
      <c r="H337" s="175">
        <v>0</v>
      </c>
      <c r="I337" s="175">
        <v>0</v>
      </c>
      <c r="J337" s="175">
        <v>0</v>
      </c>
      <c r="K337" s="175">
        <v>0</v>
      </c>
      <c r="L337" s="175">
        <v>0</v>
      </c>
      <c r="M337" s="175">
        <v>0</v>
      </c>
      <c r="N337" s="175">
        <v>0</v>
      </c>
      <c r="O337" s="175">
        <v>0</v>
      </c>
      <c r="P337" s="175">
        <v>0</v>
      </c>
      <c r="Q337" s="175">
        <v>0</v>
      </c>
      <c r="R337" s="175">
        <v>0</v>
      </c>
      <c r="S337" s="175">
        <v>0</v>
      </c>
      <c r="U337" s="175">
        <f t="shared" si="21"/>
        <v>0</v>
      </c>
    </row>
    <row r="338" spans="1:21">
      <c r="A338" s="183" t="str">
        <f t="shared" si="19"/>
        <v>802</v>
      </c>
      <c r="B338" s="183" t="str">
        <f t="shared" si="20"/>
        <v>802.0</v>
      </c>
      <c r="C338" s="184" t="s">
        <v>1540</v>
      </c>
      <c r="D338" t="s">
        <v>1541</v>
      </c>
      <c r="E338" s="470"/>
      <c r="F338" s="470"/>
      <c r="G338" s="175">
        <v>0</v>
      </c>
      <c r="H338" s="175">
        <v>0</v>
      </c>
      <c r="I338" s="175">
        <v>0</v>
      </c>
      <c r="J338" s="175">
        <v>0</v>
      </c>
      <c r="K338" s="175">
        <v>0</v>
      </c>
      <c r="L338" s="175">
        <v>0</v>
      </c>
      <c r="M338" s="175">
        <v>0</v>
      </c>
      <c r="N338" s="175">
        <v>0</v>
      </c>
      <c r="O338" s="175">
        <v>0</v>
      </c>
      <c r="P338" s="175">
        <v>0</v>
      </c>
      <c r="Q338" s="175">
        <v>0</v>
      </c>
      <c r="R338" s="175">
        <v>0</v>
      </c>
      <c r="S338" s="175">
        <v>0</v>
      </c>
      <c r="U338" s="175">
        <f t="shared" si="21"/>
        <v>0</v>
      </c>
    </row>
    <row r="339" spans="1:21">
      <c r="A339" s="183" t="str">
        <f t="shared" si="19"/>
        <v>803</v>
      </c>
      <c r="B339" s="183" t="str">
        <f t="shared" si="20"/>
        <v>803.0</v>
      </c>
      <c r="C339" s="184" t="s">
        <v>1542</v>
      </c>
      <c r="D339" t="s">
        <v>1543</v>
      </c>
      <c r="E339" s="470"/>
      <c r="F339" s="470"/>
      <c r="G339" s="175">
        <v>0</v>
      </c>
      <c r="H339" s="175">
        <v>0</v>
      </c>
      <c r="I339" s="175">
        <v>0</v>
      </c>
      <c r="J339" s="175">
        <v>0</v>
      </c>
      <c r="K339" s="175">
        <v>0</v>
      </c>
      <c r="L339" s="175">
        <v>0</v>
      </c>
      <c r="M339" s="175">
        <v>0</v>
      </c>
      <c r="N339" s="175">
        <v>0</v>
      </c>
      <c r="O339" s="175">
        <v>0</v>
      </c>
      <c r="P339" s="175">
        <v>0</v>
      </c>
      <c r="Q339" s="175">
        <v>0</v>
      </c>
      <c r="R339" s="175">
        <v>0</v>
      </c>
      <c r="S339" s="175">
        <v>0</v>
      </c>
      <c r="U339" s="175">
        <f t="shared" si="21"/>
        <v>0</v>
      </c>
    </row>
    <row r="340" spans="1:21">
      <c r="A340" s="183" t="str">
        <f t="shared" si="19"/>
        <v>804</v>
      </c>
      <c r="B340" s="183" t="str">
        <f t="shared" si="20"/>
        <v>804.0</v>
      </c>
      <c r="C340" s="184" t="s">
        <v>1544</v>
      </c>
      <c r="D340" t="s">
        <v>1545</v>
      </c>
      <c r="E340" s="470"/>
      <c r="F340" s="470"/>
      <c r="G340" s="175">
        <v>0</v>
      </c>
      <c r="H340" s="175">
        <v>0</v>
      </c>
      <c r="I340" s="175">
        <v>0</v>
      </c>
      <c r="J340" s="175">
        <v>0</v>
      </c>
      <c r="K340" s="175">
        <v>0</v>
      </c>
      <c r="L340" s="175">
        <v>0</v>
      </c>
      <c r="M340" s="175">
        <v>0</v>
      </c>
      <c r="N340" s="175">
        <v>0</v>
      </c>
      <c r="O340" s="175">
        <v>0</v>
      </c>
      <c r="P340" s="175">
        <v>0</v>
      </c>
      <c r="Q340" s="175">
        <v>0</v>
      </c>
      <c r="R340" s="175">
        <v>0</v>
      </c>
      <c r="S340" s="175">
        <v>0</v>
      </c>
      <c r="U340" s="175">
        <f t="shared" si="21"/>
        <v>0</v>
      </c>
    </row>
    <row r="341" spans="1:21">
      <c r="A341" s="183" t="str">
        <f t="shared" si="19"/>
        <v>804</v>
      </c>
      <c r="B341" s="183" t="str">
        <f t="shared" si="20"/>
        <v>804.1</v>
      </c>
      <c r="C341" s="184" t="s">
        <v>1546</v>
      </c>
      <c r="D341" t="s">
        <v>1547</v>
      </c>
      <c r="E341" s="470"/>
      <c r="F341" s="470"/>
      <c r="G341" s="175">
        <v>0</v>
      </c>
      <c r="H341" s="175">
        <v>0</v>
      </c>
      <c r="I341" s="175">
        <v>0</v>
      </c>
      <c r="J341" s="175">
        <v>0</v>
      </c>
      <c r="K341" s="175">
        <v>0</v>
      </c>
      <c r="L341" s="175">
        <v>0</v>
      </c>
      <c r="M341" s="175">
        <v>0</v>
      </c>
      <c r="N341" s="175">
        <v>0</v>
      </c>
      <c r="O341" s="175">
        <v>0</v>
      </c>
      <c r="P341" s="175">
        <v>0</v>
      </c>
      <c r="Q341" s="175">
        <v>0</v>
      </c>
      <c r="R341" s="175">
        <v>0</v>
      </c>
      <c r="S341" s="175">
        <v>0</v>
      </c>
      <c r="U341" s="175">
        <f t="shared" si="21"/>
        <v>0</v>
      </c>
    </row>
    <row r="342" spans="1:21">
      <c r="A342" s="183" t="str">
        <f t="shared" si="19"/>
        <v>805</v>
      </c>
      <c r="B342" s="183" t="str">
        <f t="shared" si="20"/>
        <v>805.0</v>
      </c>
      <c r="C342" s="184" t="s">
        <v>1548</v>
      </c>
      <c r="D342" t="s">
        <v>1549</v>
      </c>
      <c r="E342" s="470"/>
      <c r="F342" s="470"/>
      <c r="G342" s="175">
        <v>0</v>
      </c>
      <c r="H342" s="175">
        <v>0</v>
      </c>
      <c r="I342" s="175">
        <v>0</v>
      </c>
      <c r="J342" s="175">
        <v>0</v>
      </c>
      <c r="K342" s="175">
        <v>0</v>
      </c>
      <c r="L342" s="175">
        <v>0</v>
      </c>
      <c r="M342" s="175">
        <v>0</v>
      </c>
      <c r="N342" s="175">
        <v>0</v>
      </c>
      <c r="O342" s="175">
        <v>0</v>
      </c>
      <c r="P342" s="175">
        <v>0</v>
      </c>
      <c r="Q342" s="175">
        <v>0</v>
      </c>
      <c r="R342" s="175">
        <v>0</v>
      </c>
      <c r="S342" s="175">
        <v>0</v>
      </c>
      <c r="U342" s="175">
        <f t="shared" si="21"/>
        <v>0</v>
      </c>
    </row>
    <row r="343" spans="1:21">
      <c r="A343" s="183" t="str">
        <f t="shared" si="19"/>
        <v>805</v>
      </c>
      <c r="B343" s="183" t="str">
        <f t="shared" si="20"/>
        <v>805.1</v>
      </c>
      <c r="C343" s="184" t="s">
        <v>1550</v>
      </c>
      <c r="D343" t="s">
        <v>1551</v>
      </c>
      <c r="E343" s="470"/>
      <c r="F343" s="470"/>
      <c r="G343" s="175">
        <v>0</v>
      </c>
      <c r="H343" s="175">
        <v>0</v>
      </c>
      <c r="I343" s="175">
        <v>0</v>
      </c>
      <c r="J343" s="175">
        <v>0</v>
      </c>
      <c r="K343" s="175">
        <v>0</v>
      </c>
      <c r="L343" s="175">
        <v>0</v>
      </c>
      <c r="M343" s="175">
        <v>0</v>
      </c>
      <c r="N343" s="175">
        <v>0</v>
      </c>
      <c r="O343" s="175">
        <v>0</v>
      </c>
      <c r="P343" s="175">
        <v>0</v>
      </c>
      <c r="Q343" s="175">
        <v>0</v>
      </c>
      <c r="R343" s="175">
        <v>0</v>
      </c>
      <c r="S343" s="175">
        <v>0</v>
      </c>
      <c r="U343" s="175">
        <f t="shared" si="21"/>
        <v>0</v>
      </c>
    </row>
    <row r="344" spans="1:21">
      <c r="A344" s="183" t="str">
        <f t="shared" si="19"/>
        <v>806</v>
      </c>
      <c r="B344" s="183" t="str">
        <f t="shared" si="20"/>
        <v>806.0</v>
      </c>
      <c r="C344" s="184" t="s">
        <v>1552</v>
      </c>
      <c r="D344" t="s">
        <v>1553</v>
      </c>
      <c r="E344" s="470"/>
      <c r="F344" s="470"/>
      <c r="G344" s="175">
        <v>0</v>
      </c>
      <c r="H344" s="175">
        <v>0</v>
      </c>
      <c r="I344" s="175">
        <v>0</v>
      </c>
      <c r="J344" s="175">
        <v>0</v>
      </c>
      <c r="K344" s="175">
        <v>0</v>
      </c>
      <c r="L344" s="175">
        <v>0</v>
      </c>
      <c r="M344" s="175">
        <v>0</v>
      </c>
      <c r="N344" s="175">
        <v>0</v>
      </c>
      <c r="O344" s="175">
        <v>0</v>
      </c>
      <c r="P344" s="175">
        <v>0</v>
      </c>
      <c r="Q344" s="175">
        <v>0</v>
      </c>
      <c r="R344" s="175">
        <v>0</v>
      </c>
      <c r="S344" s="175">
        <v>0</v>
      </c>
      <c r="U344" s="175">
        <f t="shared" si="21"/>
        <v>0</v>
      </c>
    </row>
    <row r="345" spans="1:21">
      <c r="A345" s="183" t="str">
        <f t="shared" si="19"/>
        <v>807</v>
      </c>
      <c r="B345" s="183" t="str">
        <f t="shared" si="20"/>
        <v>807.1</v>
      </c>
      <c r="C345" s="184" t="s">
        <v>1554</v>
      </c>
      <c r="D345" t="s">
        <v>1555</v>
      </c>
      <c r="E345" s="470"/>
      <c r="F345" s="470"/>
      <c r="G345" s="175">
        <v>0</v>
      </c>
      <c r="H345" s="175">
        <v>0</v>
      </c>
      <c r="I345" s="175">
        <v>0</v>
      </c>
      <c r="J345" s="175">
        <v>0</v>
      </c>
      <c r="K345" s="175">
        <v>0</v>
      </c>
      <c r="L345" s="175">
        <v>0</v>
      </c>
      <c r="M345" s="175">
        <v>0</v>
      </c>
      <c r="N345" s="175">
        <v>0</v>
      </c>
      <c r="O345" s="175">
        <v>0</v>
      </c>
      <c r="P345" s="175">
        <v>0</v>
      </c>
      <c r="Q345" s="175">
        <v>0</v>
      </c>
      <c r="R345" s="175">
        <v>0</v>
      </c>
      <c r="S345" s="175">
        <v>0</v>
      </c>
      <c r="U345" s="175">
        <f t="shared" si="21"/>
        <v>0</v>
      </c>
    </row>
    <row r="346" spans="1:21">
      <c r="A346" s="183" t="str">
        <f t="shared" si="19"/>
        <v>807</v>
      </c>
      <c r="B346" s="183" t="str">
        <f t="shared" si="20"/>
        <v>807.2</v>
      </c>
      <c r="C346" s="184" t="s">
        <v>1556</v>
      </c>
      <c r="D346" t="s">
        <v>1557</v>
      </c>
      <c r="E346" s="470"/>
      <c r="F346" s="470"/>
      <c r="G346" s="175">
        <v>0</v>
      </c>
      <c r="H346" s="175">
        <v>0</v>
      </c>
      <c r="I346" s="175">
        <v>0</v>
      </c>
      <c r="J346" s="175">
        <v>0</v>
      </c>
      <c r="K346" s="175">
        <v>0</v>
      </c>
      <c r="L346" s="175">
        <v>0</v>
      </c>
      <c r="M346" s="175">
        <v>0</v>
      </c>
      <c r="N346" s="175">
        <v>0</v>
      </c>
      <c r="O346" s="175">
        <v>0</v>
      </c>
      <c r="P346" s="175">
        <v>0</v>
      </c>
      <c r="Q346" s="175">
        <v>0</v>
      </c>
      <c r="R346" s="175">
        <v>0</v>
      </c>
      <c r="S346" s="175">
        <v>0</v>
      </c>
      <c r="U346" s="175">
        <f t="shared" si="21"/>
        <v>0</v>
      </c>
    </row>
    <row r="347" spans="1:21">
      <c r="A347" s="183" t="str">
        <f t="shared" si="19"/>
        <v>807</v>
      </c>
      <c r="B347" s="183" t="str">
        <f t="shared" si="20"/>
        <v>807.3</v>
      </c>
      <c r="C347" s="184" t="s">
        <v>1558</v>
      </c>
      <c r="D347" t="s">
        <v>1559</v>
      </c>
      <c r="E347" s="470"/>
      <c r="F347" s="470"/>
      <c r="G347" s="175">
        <v>0</v>
      </c>
      <c r="H347" s="175">
        <v>0</v>
      </c>
      <c r="I347" s="175">
        <v>0</v>
      </c>
      <c r="J347" s="175">
        <v>0</v>
      </c>
      <c r="K347" s="175">
        <v>0</v>
      </c>
      <c r="L347" s="175">
        <v>0</v>
      </c>
      <c r="M347" s="175">
        <v>0</v>
      </c>
      <c r="N347" s="175">
        <v>0</v>
      </c>
      <c r="O347" s="175">
        <v>0</v>
      </c>
      <c r="P347" s="175">
        <v>0</v>
      </c>
      <c r="Q347" s="175">
        <v>0</v>
      </c>
      <c r="R347" s="175">
        <v>0</v>
      </c>
      <c r="S347" s="175">
        <v>0</v>
      </c>
      <c r="U347" s="175">
        <f t="shared" si="21"/>
        <v>0</v>
      </c>
    </row>
    <row r="348" spans="1:21">
      <c r="A348" s="183" t="str">
        <f t="shared" si="19"/>
        <v>807</v>
      </c>
      <c r="B348" s="183" t="str">
        <f t="shared" si="20"/>
        <v>807.4</v>
      </c>
      <c r="C348" s="184" t="s">
        <v>1560</v>
      </c>
      <c r="D348" t="s">
        <v>1561</v>
      </c>
      <c r="E348" s="470"/>
      <c r="F348" s="470"/>
      <c r="G348" s="175">
        <v>0</v>
      </c>
      <c r="H348" s="175">
        <v>0</v>
      </c>
      <c r="I348" s="175">
        <v>0</v>
      </c>
      <c r="J348" s="175">
        <v>0</v>
      </c>
      <c r="K348" s="175">
        <v>0</v>
      </c>
      <c r="L348" s="175">
        <v>0</v>
      </c>
      <c r="M348" s="175">
        <v>0</v>
      </c>
      <c r="N348" s="175">
        <v>0</v>
      </c>
      <c r="O348" s="175">
        <v>0</v>
      </c>
      <c r="P348" s="175">
        <v>0</v>
      </c>
      <c r="Q348" s="175">
        <v>0</v>
      </c>
      <c r="R348" s="175">
        <v>0</v>
      </c>
      <c r="S348" s="175">
        <v>0</v>
      </c>
      <c r="U348" s="175">
        <f t="shared" si="21"/>
        <v>0</v>
      </c>
    </row>
    <row r="349" spans="1:21">
      <c r="A349" s="183" t="str">
        <f t="shared" si="19"/>
        <v>807</v>
      </c>
      <c r="B349" s="183" t="str">
        <f t="shared" si="20"/>
        <v>807.5</v>
      </c>
      <c r="C349" s="184" t="s">
        <v>1562</v>
      </c>
      <c r="D349" t="s">
        <v>1563</v>
      </c>
      <c r="E349" s="470"/>
      <c r="F349" s="470"/>
      <c r="G349" s="175">
        <v>0</v>
      </c>
      <c r="H349" s="175">
        <v>0</v>
      </c>
      <c r="I349" s="175">
        <v>0</v>
      </c>
      <c r="J349" s="175">
        <v>0</v>
      </c>
      <c r="K349" s="175">
        <v>0</v>
      </c>
      <c r="L349" s="175">
        <v>0</v>
      </c>
      <c r="M349" s="175">
        <v>0</v>
      </c>
      <c r="N349" s="175">
        <v>0</v>
      </c>
      <c r="O349" s="175">
        <v>0</v>
      </c>
      <c r="P349" s="175">
        <v>0</v>
      </c>
      <c r="Q349" s="175">
        <v>0</v>
      </c>
      <c r="R349" s="175">
        <v>0</v>
      </c>
      <c r="S349" s="175">
        <v>0</v>
      </c>
      <c r="U349" s="175">
        <f t="shared" si="21"/>
        <v>0</v>
      </c>
    </row>
    <row r="350" spans="1:21">
      <c r="A350" s="183" t="str">
        <f t="shared" si="19"/>
        <v>808</v>
      </c>
      <c r="B350" s="183" t="str">
        <f t="shared" si="20"/>
        <v>808.1</v>
      </c>
      <c r="C350" s="184" t="s">
        <v>1564</v>
      </c>
      <c r="D350" t="s">
        <v>1565</v>
      </c>
      <c r="E350" s="470"/>
      <c r="F350" s="470"/>
      <c r="G350" s="175">
        <v>0</v>
      </c>
      <c r="H350" s="175">
        <v>0</v>
      </c>
      <c r="I350" s="175">
        <v>0</v>
      </c>
      <c r="J350" s="175">
        <v>0</v>
      </c>
      <c r="K350" s="175">
        <v>0</v>
      </c>
      <c r="L350" s="175">
        <v>0</v>
      </c>
      <c r="M350" s="175">
        <v>0</v>
      </c>
      <c r="N350" s="175">
        <v>0</v>
      </c>
      <c r="O350" s="175">
        <v>0</v>
      </c>
      <c r="P350" s="175">
        <v>0</v>
      </c>
      <c r="Q350" s="175">
        <v>0</v>
      </c>
      <c r="R350" s="175">
        <v>0</v>
      </c>
      <c r="S350" s="175">
        <v>0</v>
      </c>
      <c r="U350" s="175">
        <f t="shared" si="21"/>
        <v>0</v>
      </c>
    </row>
    <row r="351" spans="1:21">
      <c r="A351" s="183" t="str">
        <f t="shared" si="19"/>
        <v>808</v>
      </c>
      <c r="B351" s="183" t="str">
        <f t="shared" si="20"/>
        <v>808.2</v>
      </c>
      <c r="C351" s="184" t="s">
        <v>1566</v>
      </c>
      <c r="D351" t="s">
        <v>1567</v>
      </c>
      <c r="E351" s="470"/>
      <c r="F351" s="470"/>
      <c r="G351" s="175">
        <v>0</v>
      </c>
      <c r="H351" s="175">
        <v>0</v>
      </c>
      <c r="I351" s="175">
        <v>0</v>
      </c>
      <c r="J351" s="175">
        <v>0</v>
      </c>
      <c r="K351" s="175">
        <v>0</v>
      </c>
      <c r="L351" s="175">
        <v>0</v>
      </c>
      <c r="M351" s="175">
        <v>0</v>
      </c>
      <c r="N351" s="175">
        <v>0</v>
      </c>
      <c r="O351" s="175">
        <v>0</v>
      </c>
      <c r="P351" s="175">
        <v>0</v>
      </c>
      <c r="Q351" s="175">
        <v>0</v>
      </c>
      <c r="R351" s="175">
        <v>0</v>
      </c>
      <c r="S351" s="175">
        <v>0</v>
      </c>
      <c r="U351" s="175">
        <f t="shared" si="21"/>
        <v>0</v>
      </c>
    </row>
    <row r="352" spans="1:21">
      <c r="A352" s="183" t="str">
        <f t="shared" si="19"/>
        <v>809</v>
      </c>
      <c r="B352" s="183" t="str">
        <f t="shared" si="20"/>
        <v>809.1</v>
      </c>
      <c r="C352" s="184" t="s">
        <v>1568</v>
      </c>
      <c r="D352" t="s">
        <v>1569</v>
      </c>
      <c r="E352" s="470"/>
      <c r="F352" s="470"/>
      <c r="G352" s="175">
        <v>0</v>
      </c>
      <c r="H352" s="175">
        <v>0</v>
      </c>
      <c r="I352" s="175">
        <v>0</v>
      </c>
      <c r="J352" s="175">
        <v>0</v>
      </c>
      <c r="K352" s="175">
        <v>0</v>
      </c>
      <c r="L352" s="175">
        <v>0</v>
      </c>
      <c r="M352" s="175">
        <v>0</v>
      </c>
      <c r="N352" s="175">
        <v>0</v>
      </c>
      <c r="O352" s="175">
        <v>0</v>
      </c>
      <c r="P352" s="175">
        <v>0</v>
      </c>
      <c r="Q352" s="175">
        <v>0</v>
      </c>
      <c r="R352" s="175">
        <v>0</v>
      </c>
      <c r="S352" s="175">
        <v>0</v>
      </c>
      <c r="U352" s="175">
        <f t="shared" si="21"/>
        <v>0</v>
      </c>
    </row>
    <row r="353" spans="1:21">
      <c r="A353" s="183" t="str">
        <f t="shared" si="19"/>
        <v>809</v>
      </c>
      <c r="B353" s="183" t="str">
        <f t="shared" si="20"/>
        <v>809.2</v>
      </c>
      <c r="C353" s="184" t="s">
        <v>1570</v>
      </c>
      <c r="D353" t="s">
        <v>1571</v>
      </c>
      <c r="E353" s="470"/>
      <c r="F353" s="470"/>
      <c r="G353" s="175">
        <v>0</v>
      </c>
      <c r="H353" s="175">
        <v>0</v>
      </c>
      <c r="I353" s="175">
        <v>0</v>
      </c>
      <c r="J353" s="175">
        <v>0</v>
      </c>
      <c r="K353" s="175">
        <v>0</v>
      </c>
      <c r="L353" s="175">
        <v>0</v>
      </c>
      <c r="M353" s="175">
        <v>0</v>
      </c>
      <c r="N353" s="175">
        <v>0</v>
      </c>
      <c r="O353" s="175">
        <v>0</v>
      </c>
      <c r="P353" s="175">
        <v>0</v>
      </c>
      <c r="Q353" s="175">
        <v>0</v>
      </c>
      <c r="R353" s="175">
        <v>0</v>
      </c>
      <c r="S353" s="175">
        <v>0</v>
      </c>
      <c r="U353" s="175">
        <f t="shared" si="21"/>
        <v>0</v>
      </c>
    </row>
    <row r="354" spans="1:21">
      <c r="A354" s="183" t="str">
        <f t="shared" si="19"/>
        <v>810</v>
      </c>
      <c r="B354" s="183" t="str">
        <f t="shared" si="20"/>
        <v>810.0</v>
      </c>
      <c r="C354" s="184" t="s">
        <v>1572</v>
      </c>
      <c r="D354" t="s">
        <v>1573</v>
      </c>
      <c r="E354" s="470"/>
      <c r="F354" s="470"/>
      <c r="G354" s="175">
        <v>0</v>
      </c>
      <c r="H354" s="175">
        <v>0</v>
      </c>
      <c r="I354" s="175">
        <v>0</v>
      </c>
      <c r="J354" s="175">
        <v>0</v>
      </c>
      <c r="K354" s="175">
        <v>0</v>
      </c>
      <c r="L354" s="175">
        <v>0</v>
      </c>
      <c r="M354" s="175">
        <v>0</v>
      </c>
      <c r="N354" s="175">
        <v>0</v>
      </c>
      <c r="O354" s="175">
        <v>0</v>
      </c>
      <c r="P354" s="175">
        <v>0</v>
      </c>
      <c r="Q354" s="175">
        <v>0</v>
      </c>
      <c r="R354" s="175">
        <v>0</v>
      </c>
      <c r="S354" s="175">
        <v>0</v>
      </c>
      <c r="U354" s="175">
        <f t="shared" si="21"/>
        <v>0</v>
      </c>
    </row>
    <row r="355" spans="1:21">
      <c r="A355" s="183" t="str">
        <f t="shared" si="19"/>
        <v>811</v>
      </c>
      <c r="B355" s="183" t="str">
        <f t="shared" si="20"/>
        <v>811.0</v>
      </c>
      <c r="C355" s="184" t="s">
        <v>1574</v>
      </c>
      <c r="D355" t="s">
        <v>1575</v>
      </c>
      <c r="E355" s="470"/>
      <c r="F355" s="470"/>
      <c r="G355" s="175">
        <v>0</v>
      </c>
      <c r="H355" s="175">
        <v>0</v>
      </c>
      <c r="I355" s="175">
        <v>0</v>
      </c>
      <c r="J355" s="175">
        <v>0</v>
      </c>
      <c r="K355" s="175">
        <v>0</v>
      </c>
      <c r="L355" s="175">
        <v>0</v>
      </c>
      <c r="M355" s="175">
        <v>0</v>
      </c>
      <c r="N355" s="175">
        <v>0</v>
      </c>
      <c r="O355" s="175">
        <v>0</v>
      </c>
      <c r="P355" s="175">
        <v>0</v>
      </c>
      <c r="Q355" s="175">
        <v>0</v>
      </c>
      <c r="R355" s="175">
        <v>0</v>
      </c>
      <c r="S355" s="175">
        <v>0</v>
      </c>
      <c r="U355" s="175">
        <f t="shared" si="21"/>
        <v>0</v>
      </c>
    </row>
    <row r="356" spans="1:21">
      <c r="A356" s="183" t="str">
        <f t="shared" si="19"/>
        <v>812</v>
      </c>
      <c r="B356" s="183" t="str">
        <f t="shared" si="20"/>
        <v>812.0</v>
      </c>
      <c r="C356" s="184" t="s">
        <v>1576</v>
      </c>
      <c r="D356" t="s">
        <v>1577</v>
      </c>
      <c r="E356" s="470"/>
      <c r="F356" s="470"/>
      <c r="G356" s="175">
        <v>0</v>
      </c>
      <c r="H356" s="175">
        <v>0</v>
      </c>
      <c r="I356" s="175">
        <v>0</v>
      </c>
      <c r="J356" s="175">
        <v>0</v>
      </c>
      <c r="K356" s="175">
        <v>0</v>
      </c>
      <c r="L356" s="175">
        <v>0</v>
      </c>
      <c r="M356" s="175">
        <v>0</v>
      </c>
      <c r="N356" s="175">
        <v>0</v>
      </c>
      <c r="O356" s="175">
        <v>0</v>
      </c>
      <c r="P356" s="175">
        <v>0</v>
      </c>
      <c r="Q356" s="175">
        <v>0</v>
      </c>
      <c r="R356" s="175">
        <v>0</v>
      </c>
      <c r="S356" s="175">
        <v>0</v>
      </c>
      <c r="U356" s="175">
        <f t="shared" si="21"/>
        <v>0</v>
      </c>
    </row>
    <row r="357" spans="1:21">
      <c r="A357" s="183" t="str">
        <f t="shared" si="19"/>
        <v>813</v>
      </c>
      <c r="B357" s="183" t="str">
        <f t="shared" si="20"/>
        <v>813.0</v>
      </c>
      <c r="C357" s="184" t="s">
        <v>1578</v>
      </c>
      <c r="D357" t="s">
        <v>1579</v>
      </c>
      <c r="E357" s="470"/>
      <c r="F357" s="470"/>
      <c r="G357" s="175">
        <v>0</v>
      </c>
      <c r="H357" s="175">
        <v>0</v>
      </c>
      <c r="I357" s="175">
        <v>0</v>
      </c>
      <c r="J357" s="175">
        <v>0</v>
      </c>
      <c r="K357" s="175">
        <v>0</v>
      </c>
      <c r="L357" s="175">
        <v>0</v>
      </c>
      <c r="M357" s="175">
        <v>0</v>
      </c>
      <c r="N357" s="175">
        <v>0</v>
      </c>
      <c r="O357" s="175">
        <v>0</v>
      </c>
      <c r="P357" s="175">
        <v>0</v>
      </c>
      <c r="Q357" s="175">
        <v>0</v>
      </c>
      <c r="R357" s="175">
        <v>0</v>
      </c>
      <c r="S357" s="175">
        <v>0</v>
      </c>
      <c r="U357" s="175">
        <f t="shared" si="21"/>
        <v>0</v>
      </c>
    </row>
    <row r="358" spans="1:21">
      <c r="A358" s="183" t="str">
        <f t="shared" si="19"/>
        <v>826</v>
      </c>
      <c r="B358" s="183" t="str">
        <f t="shared" si="20"/>
        <v>826.0</v>
      </c>
      <c r="C358" s="184" t="s">
        <v>1580</v>
      </c>
      <c r="D358" t="s">
        <v>1581</v>
      </c>
      <c r="E358" s="470"/>
      <c r="F358" s="470"/>
      <c r="G358" s="175">
        <v>0</v>
      </c>
      <c r="H358" s="175">
        <v>0</v>
      </c>
      <c r="I358" s="175">
        <v>0</v>
      </c>
      <c r="J358" s="175">
        <v>0</v>
      </c>
      <c r="K358" s="175">
        <v>0</v>
      </c>
      <c r="L358" s="175">
        <v>0</v>
      </c>
      <c r="M358" s="175">
        <v>0</v>
      </c>
      <c r="N358" s="175">
        <v>0</v>
      </c>
      <c r="O358" s="175">
        <v>0</v>
      </c>
      <c r="P358" s="175">
        <v>0</v>
      </c>
      <c r="Q358" s="175">
        <v>0</v>
      </c>
      <c r="R358" s="175">
        <v>0</v>
      </c>
      <c r="S358" s="175">
        <v>0</v>
      </c>
      <c r="U358" s="175">
        <f t="shared" si="21"/>
        <v>0</v>
      </c>
    </row>
    <row r="359" spans="1:21">
      <c r="A359" s="183" t="str">
        <f t="shared" si="19"/>
        <v>850</v>
      </c>
      <c r="B359" s="183" t="str">
        <f t="shared" si="20"/>
        <v>850.0</v>
      </c>
      <c r="C359" s="184" t="s">
        <v>1582</v>
      </c>
      <c r="D359" t="s">
        <v>1583</v>
      </c>
      <c r="E359" s="470"/>
      <c r="F359" s="470"/>
      <c r="G359" s="175">
        <v>0</v>
      </c>
      <c r="H359" s="175">
        <v>0</v>
      </c>
      <c r="I359" s="175">
        <v>0</v>
      </c>
      <c r="J359" s="175">
        <v>0</v>
      </c>
      <c r="K359" s="175">
        <v>0</v>
      </c>
      <c r="L359" s="175">
        <v>0</v>
      </c>
      <c r="M359" s="175">
        <v>0</v>
      </c>
      <c r="N359" s="175">
        <v>0</v>
      </c>
      <c r="O359" s="175">
        <v>0</v>
      </c>
      <c r="P359" s="175">
        <v>0</v>
      </c>
      <c r="Q359" s="175">
        <v>0</v>
      </c>
      <c r="R359" s="175">
        <v>0</v>
      </c>
      <c r="S359" s="175">
        <v>0</v>
      </c>
      <c r="U359" s="175">
        <f t="shared" si="21"/>
        <v>0</v>
      </c>
    </row>
    <row r="360" spans="1:21">
      <c r="A360" s="183" t="str">
        <f t="shared" si="19"/>
        <v>851</v>
      </c>
      <c r="B360" s="183" t="str">
        <f t="shared" si="20"/>
        <v>851.0</v>
      </c>
      <c r="C360" s="184" t="s">
        <v>1584</v>
      </c>
      <c r="D360" t="s">
        <v>1585</v>
      </c>
      <c r="E360" s="470"/>
      <c r="F360" s="470"/>
      <c r="G360" s="175">
        <v>0</v>
      </c>
      <c r="H360" s="175">
        <v>0</v>
      </c>
      <c r="I360" s="175">
        <v>0</v>
      </c>
      <c r="J360" s="175">
        <v>0</v>
      </c>
      <c r="K360" s="175">
        <v>0</v>
      </c>
      <c r="L360" s="175">
        <v>0</v>
      </c>
      <c r="M360" s="175">
        <v>0</v>
      </c>
      <c r="N360" s="175">
        <v>0</v>
      </c>
      <c r="O360" s="175">
        <v>0</v>
      </c>
      <c r="P360" s="175">
        <v>0</v>
      </c>
      <c r="Q360" s="175">
        <v>0</v>
      </c>
      <c r="R360" s="175">
        <v>0</v>
      </c>
      <c r="S360" s="175">
        <v>0</v>
      </c>
      <c r="U360" s="175">
        <f t="shared" si="21"/>
        <v>0</v>
      </c>
    </row>
    <row r="361" spans="1:21">
      <c r="A361" s="183" t="str">
        <f t="shared" si="19"/>
        <v>852</v>
      </c>
      <c r="B361" s="183" t="str">
        <f t="shared" si="20"/>
        <v>852.0</v>
      </c>
      <c r="C361" s="184" t="s">
        <v>1586</v>
      </c>
      <c r="D361" t="s">
        <v>1587</v>
      </c>
      <c r="E361" s="470"/>
      <c r="F361" s="470"/>
      <c r="G361" s="175">
        <v>0</v>
      </c>
      <c r="H361" s="175">
        <v>0</v>
      </c>
      <c r="I361" s="175">
        <v>0</v>
      </c>
      <c r="J361" s="175">
        <v>0</v>
      </c>
      <c r="K361" s="175">
        <v>0</v>
      </c>
      <c r="L361" s="175">
        <v>0</v>
      </c>
      <c r="M361" s="175">
        <v>0</v>
      </c>
      <c r="N361" s="175">
        <v>0</v>
      </c>
      <c r="O361" s="175">
        <v>0</v>
      </c>
      <c r="P361" s="175">
        <v>0</v>
      </c>
      <c r="Q361" s="175">
        <v>0</v>
      </c>
      <c r="R361" s="175">
        <v>0</v>
      </c>
      <c r="S361" s="175">
        <v>0</v>
      </c>
      <c r="U361" s="175">
        <f t="shared" si="21"/>
        <v>0</v>
      </c>
    </row>
    <row r="362" spans="1:21">
      <c r="A362" s="183" t="str">
        <f t="shared" si="19"/>
        <v>853</v>
      </c>
      <c r="B362" s="183" t="str">
        <f t="shared" si="20"/>
        <v>853.0</v>
      </c>
      <c r="C362" s="184" t="s">
        <v>1588</v>
      </c>
      <c r="D362" t="s">
        <v>1589</v>
      </c>
      <c r="E362" s="470"/>
      <c r="F362" s="470"/>
      <c r="G362" s="175">
        <v>0</v>
      </c>
      <c r="H362" s="175">
        <v>0</v>
      </c>
      <c r="I362" s="175">
        <v>0</v>
      </c>
      <c r="J362" s="175">
        <v>0</v>
      </c>
      <c r="K362" s="175">
        <v>0</v>
      </c>
      <c r="L362" s="175">
        <v>0</v>
      </c>
      <c r="M362" s="175">
        <v>0</v>
      </c>
      <c r="N362" s="175">
        <v>0</v>
      </c>
      <c r="O362" s="175">
        <v>0</v>
      </c>
      <c r="P362" s="175">
        <v>0</v>
      </c>
      <c r="Q362" s="175">
        <v>0</v>
      </c>
      <c r="R362" s="175">
        <v>0</v>
      </c>
      <c r="S362" s="175">
        <v>0</v>
      </c>
      <c r="U362" s="175">
        <f t="shared" si="21"/>
        <v>0</v>
      </c>
    </row>
    <row r="363" spans="1:21">
      <c r="A363" s="183" t="str">
        <f t="shared" si="19"/>
        <v>854</v>
      </c>
      <c r="B363" s="183" t="str">
        <f t="shared" si="20"/>
        <v>854.0</v>
      </c>
      <c r="C363" s="184" t="s">
        <v>1590</v>
      </c>
      <c r="D363" t="s">
        <v>1591</v>
      </c>
      <c r="E363" s="470"/>
      <c r="F363" s="470"/>
      <c r="G363" s="175">
        <v>0</v>
      </c>
      <c r="H363" s="175">
        <v>0</v>
      </c>
      <c r="I363" s="175">
        <v>0</v>
      </c>
      <c r="J363" s="175">
        <v>0</v>
      </c>
      <c r="K363" s="175">
        <v>0</v>
      </c>
      <c r="L363" s="175">
        <v>0</v>
      </c>
      <c r="M363" s="175">
        <v>0</v>
      </c>
      <c r="N363" s="175">
        <v>0</v>
      </c>
      <c r="O363" s="175">
        <v>0</v>
      </c>
      <c r="P363" s="175">
        <v>0</v>
      </c>
      <c r="Q363" s="175">
        <v>0</v>
      </c>
      <c r="R363" s="175">
        <v>0</v>
      </c>
      <c r="S363" s="175">
        <v>0</v>
      </c>
      <c r="U363" s="175">
        <f t="shared" si="21"/>
        <v>0</v>
      </c>
    </row>
    <row r="364" spans="1:21">
      <c r="A364" s="183" t="str">
        <f t="shared" si="19"/>
        <v>855</v>
      </c>
      <c r="B364" s="183" t="str">
        <f t="shared" si="20"/>
        <v>855.0</v>
      </c>
      <c r="C364" s="184" t="s">
        <v>1592</v>
      </c>
      <c r="D364" t="s">
        <v>1593</v>
      </c>
      <c r="E364" s="470"/>
      <c r="F364" s="470"/>
      <c r="G364" s="175">
        <v>0</v>
      </c>
      <c r="H364" s="175">
        <v>0</v>
      </c>
      <c r="I364" s="175">
        <v>0</v>
      </c>
      <c r="J364" s="175">
        <v>0</v>
      </c>
      <c r="K364" s="175">
        <v>0</v>
      </c>
      <c r="L364" s="175">
        <v>0</v>
      </c>
      <c r="M364" s="175">
        <v>0</v>
      </c>
      <c r="N364" s="175">
        <v>0</v>
      </c>
      <c r="O364" s="175">
        <v>0</v>
      </c>
      <c r="P364" s="175">
        <v>0</v>
      </c>
      <c r="Q364" s="175">
        <v>0</v>
      </c>
      <c r="R364" s="175">
        <v>0</v>
      </c>
      <c r="S364" s="175">
        <v>0</v>
      </c>
      <c r="U364" s="175">
        <f t="shared" si="21"/>
        <v>0</v>
      </c>
    </row>
    <row r="365" spans="1:21">
      <c r="A365" s="183" t="str">
        <f t="shared" si="19"/>
        <v>856</v>
      </c>
      <c r="B365" s="183" t="str">
        <f t="shared" si="20"/>
        <v>856.0</v>
      </c>
      <c r="C365" s="184" t="s">
        <v>1594</v>
      </c>
      <c r="D365" t="s">
        <v>1595</v>
      </c>
      <c r="E365" s="470"/>
      <c r="F365" s="470"/>
      <c r="G365" s="175">
        <v>0</v>
      </c>
      <c r="H365" s="175">
        <v>0</v>
      </c>
      <c r="I365" s="175">
        <v>0</v>
      </c>
      <c r="J365" s="175">
        <v>0</v>
      </c>
      <c r="K365" s="175">
        <v>0</v>
      </c>
      <c r="L365" s="175">
        <v>0</v>
      </c>
      <c r="M365" s="175">
        <v>0</v>
      </c>
      <c r="N365" s="175">
        <v>0</v>
      </c>
      <c r="O365" s="175">
        <v>0</v>
      </c>
      <c r="P365" s="175">
        <v>0</v>
      </c>
      <c r="Q365" s="175">
        <v>0</v>
      </c>
      <c r="R365" s="175">
        <v>0</v>
      </c>
      <c r="S365" s="175">
        <v>0</v>
      </c>
      <c r="U365" s="175">
        <f t="shared" si="21"/>
        <v>0</v>
      </c>
    </row>
    <row r="366" spans="1:21">
      <c r="A366" s="183" t="str">
        <f t="shared" si="19"/>
        <v>857</v>
      </c>
      <c r="B366" s="183" t="str">
        <f t="shared" si="20"/>
        <v>857.0</v>
      </c>
      <c r="C366" s="184" t="s">
        <v>1596</v>
      </c>
      <c r="D366" t="s">
        <v>1597</v>
      </c>
      <c r="E366" s="470"/>
      <c r="F366" s="470"/>
      <c r="G366" s="175">
        <v>0</v>
      </c>
      <c r="H366" s="175">
        <v>0</v>
      </c>
      <c r="I366" s="175">
        <v>0</v>
      </c>
      <c r="J366" s="175">
        <v>0</v>
      </c>
      <c r="K366" s="175">
        <v>0</v>
      </c>
      <c r="L366" s="175">
        <v>0</v>
      </c>
      <c r="M366" s="175">
        <v>0</v>
      </c>
      <c r="N366" s="175">
        <v>0</v>
      </c>
      <c r="O366" s="175">
        <v>0</v>
      </c>
      <c r="P366" s="175">
        <v>0</v>
      </c>
      <c r="Q366" s="175">
        <v>0</v>
      </c>
      <c r="R366" s="175">
        <v>0</v>
      </c>
      <c r="S366" s="175">
        <v>0</v>
      </c>
      <c r="U366" s="175">
        <f t="shared" si="21"/>
        <v>0</v>
      </c>
    </row>
    <row r="367" spans="1:21">
      <c r="A367" s="183" t="str">
        <f t="shared" si="19"/>
        <v>858</v>
      </c>
      <c r="B367" s="183" t="str">
        <f t="shared" si="20"/>
        <v>858.0</v>
      </c>
      <c r="C367" s="184" t="s">
        <v>1598</v>
      </c>
      <c r="D367" t="s">
        <v>1599</v>
      </c>
      <c r="E367" s="470"/>
      <c r="F367" s="470"/>
      <c r="G367" s="175">
        <v>0</v>
      </c>
      <c r="H367" s="175">
        <v>0</v>
      </c>
      <c r="I367" s="175">
        <v>0</v>
      </c>
      <c r="J367" s="175">
        <v>0</v>
      </c>
      <c r="K367" s="175">
        <v>0</v>
      </c>
      <c r="L367" s="175">
        <v>0</v>
      </c>
      <c r="M367" s="175">
        <v>0</v>
      </c>
      <c r="N367" s="175">
        <v>0</v>
      </c>
      <c r="O367" s="175">
        <v>0</v>
      </c>
      <c r="P367" s="175">
        <v>0</v>
      </c>
      <c r="Q367" s="175">
        <v>0</v>
      </c>
      <c r="R367" s="175">
        <v>0</v>
      </c>
      <c r="S367" s="175">
        <v>0</v>
      </c>
      <c r="U367" s="175">
        <f t="shared" si="21"/>
        <v>0</v>
      </c>
    </row>
    <row r="368" spans="1:21">
      <c r="A368" s="183" t="str">
        <f t="shared" si="19"/>
        <v>859</v>
      </c>
      <c r="B368" s="183" t="str">
        <f t="shared" si="20"/>
        <v>859.0</v>
      </c>
      <c r="C368" s="184" t="s">
        <v>1600</v>
      </c>
      <c r="D368" t="s">
        <v>1601</v>
      </c>
      <c r="E368" s="470"/>
      <c r="F368" s="470"/>
      <c r="G368" s="175">
        <v>0</v>
      </c>
      <c r="H368" s="175">
        <v>0</v>
      </c>
      <c r="I368" s="175">
        <v>0</v>
      </c>
      <c r="J368" s="175">
        <v>0</v>
      </c>
      <c r="K368" s="175">
        <v>0</v>
      </c>
      <c r="L368" s="175">
        <v>0</v>
      </c>
      <c r="M368" s="175">
        <v>0</v>
      </c>
      <c r="N368" s="175">
        <v>0</v>
      </c>
      <c r="O368" s="175">
        <v>0</v>
      </c>
      <c r="P368" s="175">
        <v>0</v>
      </c>
      <c r="Q368" s="175">
        <v>0</v>
      </c>
      <c r="R368" s="175">
        <v>0</v>
      </c>
      <c r="S368" s="175">
        <v>0</v>
      </c>
      <c r="U368" s="175">
        <f t="shared" si="21"/>
        <v>0</v>
      </c>
    </row>
    <row r="369" spans="1:21">
      <c r="A369" s="183" t="str">
        <f t="shared" si="19"/>
        <v>860</v>
      </c>
      <c r="B369" s="183" t="str">
        <f t="shared" si="20"/>
        <v>860.0</v>
      </c>
      <c r="C369" s="184" t="s">
        <v>1602</v>
      </c>
      <c r="D369" t="s">
        <v>1603</v>
      </c>
      <c r="E369" s="470"/>
      <c r="F369" s="470"/>
      <c r="G369" s="175">
        <v>0</v>
      </c>
      <c r="H369" s="175">
        <v>0</v>
      </c>
      <c r="I369" s="175">
        <v>0</v>
      </c>
      <c r="J369" s="175">
        <v>0</v>
      </c>
      <c r="K369" s="175">
        <v>0</v>
      </c>
      <c r="L369" s="175">
        <v>0</v>
      </c>
      <c r="M369" s="175">
        <v>0</v>
      </c>
      <c r="N369" s="175">
        <v>0</v>
      </c>
      <c r="O369" s="175">
        <v>0</v>
      </c>
      <c r="P369" s="175">
        <v>0</v>
      </c>
      <c r="Q369" s="175">
        <v>0</v>
      </c>
      <c r="R369" s="175">
        <v>0</v>
      </c>
      <c r="S369" s="175">
        <v>0</v>
      </c>
      <c r="U369" s="175">
        <f t="shared" si="21"/>
        <v>0</v>
      </c>
    </row>
    <row r="370" spans="1:21">
      <c r="A370" s="183" t="str">
        <f t="shared" si="19"/>
        <v>861</v>
      </c>
      <c r="B370" s="183" t="str">
        <f t="shared" si="20"/>
        <v>861.0</v>
      </c>
      <c r="C370" s="184" t="s">
        <v>1604</v>
      </c>
      <c r="D370" t="s">
        <v>1605</v>
      </c>
      <c r="E370" s="470"/>
      <c r="F370" s="470"/>
      <c r="G370" s="175">
        <v>0</v>
      </c>
      <c r="H370" s="175">
        <v>0</v>
      </c>
      <c r="I370" s="175">
        <v>0</v>
      </c>
      <c r="J370" s="175">
        <v>0</v>
      </c>
      <c r="K370" s="175">
        <v>0</v>
      </c>
      <c r="L370" s="175">
        <v>0</v>
      </c>
      <c r="M370" s="175">
        <v>0</v>
      </c>
      <c r="N370" s="175">
        <v>0</v>
      </c>
      <c r="O370" s="175">
        <v>0</v>
      </c>
      <c r="P370" s="175">
        <v>0</v>
      </c>
      <c r="Q370" s="175">
        <v>0</v>
      </c>
      <c r="R370" s="175">
        <v>0</v>
      </c>
      <c r="S370" s="175">
        <v>0</v>
      </c>
      <c r="U370" s="175">
        <f t="shared" si="21"/>
        <v>0</v>
      </c>
    </row>
    <row r="371" spans="1:21">
      <c r="A371" s="183" t="str">
        <f t="shared" si="19"/>
        <v>862</v>
      </c>
      <c r="B371" s="183" t="str">
        <f t="shared" si="20"/>
        <v>862.0</v>
      </c>
      <c r="C371" s="184" t="s">
        <v>1606</v>
      </c>
      <c r="D371" t="s">
        <v>1607</v>
      </c>
      <c r="E371" s="470"/>
      <c r="F371" s="470"/>
      <c r="G371" s="175">
        <v>0</v>
      </c>
      <c r="H371" s="175">
        <v>0</v>
      </c>
      <c r="I371" s="175">
        <v>0</v>
      </c>
      <c r="J371" s="175">
        <v>0</v>
      </c>
      <c r="K371" s="175">
        <v>0</v>
      </c>
      <c r="L371" s="175">
        <v>0</v>
      </c>
      <c r="M371" s="175">
        <v>0</v>
      </c>
      <c r="N371" s="175">
        <v>0</v>
      </c>
      <c r="O371" s="175">
        <v>0</v>
      </c>
      <c r="P371" s="175">
        <v>0</v>
      </c>
      <c r="Q371" s="175">
        <v>0</v>
      </c>
      <c r="R371" s="175">
        <v>0</v>
      </c>
      <c r="S371" s="175">
        <v>0</v>
      </c>
      <c r="U371" s="175">
        <f t="shared" si="21"/>
        <v>0</v>
      </c>
    </row>
    <row r="372" spans="1:21">
      <c r="A372" s="183" t="str">
        <f t="shared" si="19"/>
        <v>863</v>
      </c>
      <c r="B372" s="183" t="str">
        <f t="shared" si="20"/>
        <v>863.0</v>
      </c>
      <c r="C372" s="184" t="s">
        <v>1608</v>
      </c>
      <c r="D372" t="s">
        <v>1609</v>
      </c>
      <c r="E372" s="470"/>
      <c r="F372" s="470"/>
      <c r="G372" s="175">
        <v>0</v>
      </c>
      <c r="H372" s="175">
        <v>0</v>
      </c>
      <c r="I372" s="175">
        <v>0</v>
      </c>
      <c r="J372" s="175">
        <v>0</v>
      </c>
      <c r="K372" s="175">
        <v>0</v>
      </c>
      <c r="L372" s="175">
        <v>0</v>
      </c>
      <c r="M372" s="175">
        <v>0</v>
      </c>
      <c r="N372" s="175">
        <v>0</v>
      </c>
      <c r="O372" s="175">
        <v>0</v>
      </c>
      <c r="P372" s="175">
        <v>0</v>
      </c>
      <c r="Q372" s="175">
        <v>0</v>
      </c>
      <c r="R372" s="175">
        <v>0</v>
      </c>
      <c r="S372" s="175">
        <v>0</v>
      </c>
      <c r="U372" s="175">
        <f t="shared" si="21"/>
        <v>0</v>
      </c>
    </row>
    <row r="373" spans="1:21">
      <c r="A373" s="183" t="str">
        <f t="shared" si="19"/>
        <v>864</v>
      </c>
      <c r="B373" s="183" t="str">
        <f t="shared" si="20"/>
        <v>864.0</v>
      </c>
      <c r="C373" s="184" t="s">
        <v>1610</v>
      </c>
      <c r="D373" t="s">
        <v>1611</v>
      </c>
      <c r="E373" s="470"/>
      <c r="F373" s="470"/>
      <c r="G373" s="175">
        <v>0</v>
      </c>
      <c r="H373" s="175">
        <v>0</v>
      </c>
      <c r="I373" s="175">
        <v>0</v>
      </c>
      <c r="J373" s="175">
        <v>0</v>
      </c>
      <c r="K373" s="175">
        <v>0</v>
      </c>
      <c r="L373" s="175">
        <v>0</v>
      </c>
      <c r="M373" s="175">
        <v>0</v>
      </c>
      <c r="N373" s="175">
        <v>0</v>
      </c>
      <c r="O373" s="175">
        <v>0</v>
      </c>
      <c r="P373" s="175">
        <v>0</v>
      </c>
      <c r="Q373" s="175">
        <v>0</v>
      </c>
      <c r="R373" s="175">
        <v>0</v>
      </c>
      <c r="S373" s="175">
        <v>0</v>
      </c>
      <c r="U373" s="175">
        <f t="shared" si="21"/>
        <v>0</v>
      </c>
    </row>
    <row r="374" spans="1:21">
      <c r="A374" s="183" t="str">
        <f t="shared" si="19"/>
        <v>865</v>
      </c>
      <c r="B374" s="183" t="str">
        <f t="shared" si="20"/>
        <v>865.0</v>
      </c>
      <c r="C374" s="184" t="s">
        <v>1612</v>
      </c>
      <c r="D374" t="s">
        <v>1613</v>
      </c>
      <c r="E374" s="470"/>
      <c r="F374" s="470"/>
      <c r="G374" s="175">
        <v>0</v>
      </c>
      <c r="H374" s="175">
        <v>0</v>
      </c>
      <c r="I374" s="175">
        <v>0</v>
      </c>
      <c r="J374" s="175">
        <v>0</v>
      </c>
      <c r="K374" s="175">
        <v>0</v>
      </c>
      <c r="L374" s="175">
        <v>0</v>
      </c>
      <c r="M374" s="175">
        <v>0</v>
      </c>
      <c r="N374" s="175">
        <v>0</v>
      </c>
      <c r="O374" s="175">
        <v>0</v>
      </c>
      <c r="P374" s="175">
        <v>0</v>
      </c>
      <c r="Q374" s="175">
        <v>0</v>
      </c>
      <c r="R374" s="175">
        <v>0</v>
      </c>
      <c r="S374" s="175">
        <v>0</v>
      </c>
      <c r="U374" s="175">
        <f t="shared" si="21"/>
        <v>0</v>
      </c>
    </row>
    <row r="375" spans="1:21">
      <c r="A375" s="183" t="str">
        <f t="shared" si="19"/>
        <v>866</v>
      </c>
      <c r="B375" s="183" t="str">
        <f t="shared" si="20"/>
        <v>866.0</v>
      </c>
      <c r="C375" s="184" t="s">
        <v>1614</v>
      </c>
      <c r="D375" t="s">
        <v>1615</v>
      </c>
      <c r="E375" s="470"/>
      <c r="F375" s="470"/>
      <c r="G375" s="175">
        <v>0</v>
      </c>
      <c r="H375" s="175">
        <v>0</v>
      </c>
      <c r="I375" s="175">
        <v>0</v>
      </c>
      <c r="J375" s="175">
        <v>0</v>
      </c>
      <c r="K375" s="175">
        <v>0</v>
      </c>
      <c r="L375" s="175">
        <v>0</v>
      </c>
      <c r="M375" s="175">
        <v>0</v>
      </c>
      <c r="N375" s="175">
        <v>0</v>
      </c>
      <c r="O375" s="175">
        <v>0</v>
      </c>
      <c r="P375" s="175">
        <v>0</v>
      </c>
      <c r="Q375" s="175">
        <v>0</v>
      </c>
      <c r="R375" s="175">
        <v>0</v>
      </c>
      <c r="S375" s="175">
        <v>0</v>
      </c>
      <c r="U375" s="175">
        <f t="shared" si="21"/>
        <v>0</v>
      </c>
    </row>
    <row r="376" spans="1:21">
      <c r="A376" s="183" t="str">
        <f t="shared" si="19"/>
        <v>867</v>
      </c>
      <c r="B376" s="183" t="str">
        <f t="shared" si="20"/>
        <v>867.0</v>
      </c>
      <c r="C376" s="184" t="s">
        <v>1616</v>
      </c>
      <c r="D376" t="s">
        <v>1617</v>
      </c>
      <c r="E376" s="470"/>
      <c r="F376" s="470"/>
      <c r="G376" s="175">
        <v>0</v>
      </c>
      <c r="H376" s="175">
        <v>0</v>
      </c>
      <c r="I376" s="175">
        <v>0</v>
      </c>
      <c r="J376" s="175">
        <v>0</v>
      </c>
      <c r="K376" s="175">
        <v>0</v>
      </c>
      <c r="L376" s="175">
        <v>0</v>
      </c>
      <c r="M376" s="175">
        <v>0</v>
      </c>
      <c r="N376" s="175">
        <v>0</v>
      </c>
      <c r="O376" s="175">
        <v>0</v>
      </c>
      <c r="P376" s="175">
        <v>0</v>
      </c>
      <c r="Q376" s="175">
        <v>0</v>
      </c>
      <c r="R376" s="175">
        <v>0</v>
      </c>
      <c r="S376" s="175">
        <v>0</v>
      </c>
      <c r="U376" s="175">
        <f t="shared" si="21"/>
        <v>0</v>
      </c>
    </row>
    <row r="377" spans="1:21">
      <c r="A377" s="183" t="str">
        <f t="shared" si="19"/>
        <v>870</v>
      </c>
      <c r="B377" s="183" t="str">
        <f t="shared" si="20"/>
        <v>870.0</v>
      </c>
      <c r="C377" s="184" t="s">
        <v>1618</v>
      </c>
      <c r="D377" t="s">
        <v>1619</v>
      </c>
      <c r="E377" s="470"/>
      <c r="F377" s="470"/>
      <c r="G377" s="175">
        <v>0</v>
      </c>
      <c r="H377" s="175">
        <v>0</v>
      </c>
      <c r="I377" s="175">
        <v>0</v>
      </c>
      <c r="J377" s="175">
        <v>0</v>
      </c>
      <c r="K377" s="175">
        <v>0</v>
      </c>
      <c r="L377" s="175">
        <v>0</v>
      </c>
      <c r="M377" s="175">
        <v>0</v>
      </c>
      <c r="N377" s="175">
        <v>0</v>
      </c>
      <c r="O377" s="175">
        <v>0</v>
      </c>
      <c r="P377" s="175">
        <v>0</v>
      </c>
      <c r="Q377" s="175">
        <v>0</v>
      </c>
      <c r="R377" s="175">
        <v>0</v>
      </c>
      <c r="S377" s="175">
        <v>0</v>
      </c>
      <c r="U377" s="175">
        <f t="shared" si="21"/>
        <v>0</v>
      </c>
    </row>
    <row r="378" spans="1:21">
      <c r="A378" s="183" t="str">
        <f t="shared" si="19"/>
        <v>871</v>
      </c>
      <c r="B378" s="183" t="str">
        <f t="shared" si="20"/>
        <v>871.0</v>
      </c>
      <c r="C378" s="184" t="s">
        <v>1620</v>
      </c>
      <c r="D378" t="s">
        <v>1621</v>
      </c>
      <c r="E378" s="470"/>
      <c r="F378" s="470"/>
      <c r="G378" s="175">
        <v>0</v>
      </c>
      <c r="H378" s="175">
        <v>0</v>
      </c>
      <c r="I378" s="175">
        <v>0</v>
      </c>
      <c r="J378" s="175">
        <v>0</v>
      </c>
      <c r="K378" s="175">
        <v>0</v>
      </c>
      <c r="L378" s="175">
        <v>0</v>
      </c>
      <c r="M378" s="175">
        <v>0</v>
      </c>
      <c r="N378" s="175">
        <v>0</v>
      </c>
      <c r="O378" s="175">
        <v>0</v>
      </c>
      <c r="P378" s="175">
        <v>0</v>
      </c>
      <c r="Q378" s="175">
        <v>0</v>
      </c>
      <c r="R378" s="175">
        <v>0</v>
      </c>
      <c r="S378" s="175">
        <v>0</v>
      </c>
      <c r="U378" s="175">
        <f t="shared" si="21"/>
        <v>0</v>
      </c>
    </row>
    <row r="379" spans="1:21">
      <c r="A379" s="183" t="str">
        <f t="shared" si="19"/>
        <v>872</v>
      </c>
      <c r="B379" s="183" t="str">
        <f t="shared" si="20"/>
        <v>872.0</v>
      </c>
      <c r="C379" s="184" t="s">
        <v>1622</v>
      </c>
      <c r="D379" t="s">
        <v>1623</v>
      </c>
      <c r="E379" s="470"/>
      <c r="F379" s="470"/>
      <c r="G379" s="175">
        <v>0</v>
      </c>
      <c r="H379" s="175">
        <v>0</v>
      </c>
      <c r="I379" s="175">
        <v>0</v>
      </c>
      <c r="J379" s="175">
        <v>0</v>
      </c>
      <c r="K379" s="175">
        <v>0</v>
      </c>
      <c r="L379" s="175">
        <v>0</v>
      </c>
      <c r="M379" s="175">
        <v>0</v>
      </c>
      <c r="N379" s="175">
        <v>0</v>
      </c>
      <c r="O379" s="175">
        <v>0</v>
      </c>
      <c r="P379" s="175">
        <v>0</v>
      </c>
      <c r="Q379" s="175">
        <v>0</v>
      </c>
      <c r="R379" s="175">
        <v>0</v>
      </c>
      <c r="S379" s="175">
        <v>0</v>
      </c>
      <c r="U379" s="175">
        <f t="shared" si="21"/>
        <v>0</v>
      </c>
    </row>
    <row r="380" spans="1:21">
      <c r="A380" s="183" t="str">
        <f t="shared" si="19"/>
        <v>873</v>
      </c>
      <c r="B380" s="183" t="str">
        <f t="shared" si="20"/>
        <v>873.0</v>
      </c>
      <c r="C380" s="184" t="s">
        <v>1624</v>
      </c>
      <c r="D380" t="s">
        <v>1625</v>
      </c>
      <c r="E380" s="470"/>
      <c r="F380" s="470"/>
      <c r="G380" s="175">
        <v>0</v>
      </c>
      <c r="H380" s="175">
        <v>0</v>
      </c>
      <c r="I380" s="175">
        <v>0</v>
      </c>
      <c r="J380" s="175">
        <v>0</v>
      </c>
      <c r="K380" s="175">
        <v>0</v>
      </c>
      <c r="L380" s="175">
        <v>0</v>
      </c>
      <c r="M380" s="175">
        <v>0</v>
      </c>
      <c r="N380" s="175">
        <v>0</v>
      </c>
      <c r="O380" s="175">
        <v>0</v>
      </c>
      <c r="P380" s="175">
        <v>0</v>
      </c>
      <c r="Q380" s="175">
        <v>0</v>
      </c>
      <c r="R380" s="175">
        <v>0</v>
      </c>
      <c r="S380" s="175">
        <v>0</v>
      </c>
      <c r="U380" s="175">
        <f t="shared" si="21"/>
        <v>0</v>
      </c>
    </row>
    <row r="381" spans="1:21">
      <c r="A381" s="183" t="str">
        <f t="shared" si="19"/>
        <v>874</v>
      </c>
      <c r="B381" s="183" t="str">
        <f t="shared" si="20"/>
        <v>874.0</v>
      </c>
      <c r="C381" s="184" t="s">
        <v>1626</v>
      </c>
      <c r="D381" t="s">
        <v>1627</v>
      </c>
      <c r="E381" s="470"/>
      <c r="F381" s="470"/>
      <c r="G381" s="175">
        <v>0</v>
      </c>
      <c r="H381" s="175">
        <v>0</v>
      </c>
      <c r="I381" s="175">
        <v>0</v>
      </c>
      <c r="J381" s="175">
        <v>0</v>
      </c>
      <c r="K381" s="175">
        <v>0</v>
      </c>
      <c r="L381" s="175">
        <v>0</v>
      </c>
      <c r="M381" s="175">
        <v>0</v>
      </c>
      <c r="N381" s="175">
        <v>0</v>
      </c>
      <c r="O381" s="175">
        <v>0</v>
      </c>
      <c r="P381" s="175">
        <v>0</v>
      </c>
      <c r="Q381" s="175">
        <v>0</v>
      </c>
      <c r="R381" s="175">
        <v>0</v>
      </c>
      <c r="S381" s="175">
        <v>0</v>
      </c>
      <c r="U381" s="175">
        <f t="shared" si="21"/>
        <v>0</v>
      </c>
    </row>
    <row r="382" spans="1:21">
      <c r="A382" s="183" t="str">
        <f t="shared" si="19"/>
        <v>875</v>
      </c>
      <c r="B382" s="183" t="str">
        <f t="shared" si="20"/>
        <v>875.0</v>
      </c>
      <c r="C382" s="184" t="s">
        <v>1628</v>
      </c>
      <c r="D382" t="s">
        <v>1629</v>
      </c>
      <c r="E382" s="470"/>
      <c r="F382" s="470"/>
      <c r="G382" s="175">
        <v>0</v>
      </c>
      <c r="H382" s="175">
        <v>0</v>
      </c>
      <c r="I382" s="175">
        <v>0</v>
      </c>
      <c r="J382" s="175">
        <v>0</v>
      </c>
      <c r="K382" s="175">
        <v>0</v>
      </c>
      <c r="L382" s="175">
        <v>0</v>
      </c>
      <c r="M382" s="175">
        <v>0</v>
      </c>
      <c r="N382" s="175">
        <v>0</v>
      </c>
      <c r="O382" s="175">
        <v>0</v>
      </c>
      <c r="P382" s="175">
        <v>0</v>
      </c>
      <c r="Q382" s="175">
        <v>0</v>
      </c>
      <c r="R382" s="175">
        <v>0</v>
      </c>
      <c r="S382" s="175">
        <v>0</v>
      </c>
      <c r="U382" s="175">
        <f t="shared" si="21"/>
        <v>0</v>
      </c>
    </row>
    <row r="383" spans="1:21">
      <c r="A383" s="183" t="str">
        <f t="shared" si="19"/>
        <v>876</v>
      </c>
      <c r="B383" s="183" t="str">
        <f t="shared" si="20"/>
        <v>876.0</v>
      </c>
      <c r="C383" s="184" t="s">
        <v>1630</v>
      </c>
      <c r="D383" t="s">
        <v>1631</v>
      </c>
      <c r="E383" s="470"/>
      <c r="F383" s="470"/>
      <c r="G383" s="175">
        <v>0</v>
      </c>
      <c r="H383" s="175">
        <v>0</v>
      </c>
      <c r="I383" s="175">
        <v>0</v>
      </c>
      <c r="J383" s="175">
        <v>0</v>
      </c>
      <c r="K383" s="175">
        <v>0</v>
      </c>
      <c r="L383" s="175">
        <v>0</v>
      </c>
      <c r="M383" s="175">
        <v>0</v>
      </c>
      <c r="N383" s="175">
        <v>0</v>
      </c>
      <c r="O383" s="175">
        <v>0</v>
      </c>
      <c r="P383" s="175">
        <v>0</v>
      </c>
      <c r="Q383" s="175">
        <v>0</v>
      </c>
      <c r="R383" s="175">
        <v>0</v>
      </c>
      <c r="S383" s="175">
        <v>0</v>
      </c>
      <c r="U383" s="175">
        <f t="shared" si="21"/>
        <v>0</v>
      </c>
    </row>
    <row r="384" spans="1:21">
      <c r="A384" s="183" t="str">
        <f t="shared" si="19"/>
        <v>877</v>
      </c>
      <c r="B384" s="183" t="str">
        <f t="shared" si="20"/>
        <v>877.0</v>
      </c>
      <c r="C384" s="184" t="s">
        <v>1632</v>
      </c>
      <c r="D384" t="s">
        <v>1633</v>
      </c>
      <c r="E384" s="470"/>
      <c r="F384" s="470"/>
      <c r="G384" s="175">
        <v>0</v>
      </c>
      <c r="H384" s="175">
        <v>0</v>
      </c>
      <c r="I384" s="175">
        <v>0</v>
      </c>
      <c r="J384" s="175">
        <v>0</v>
      </c>
      <c r="K384" s="175">
        <v>0</v>
      </c>
      <c r="L384" s="175">
        <v>0</v>
      </c>
      <c r="M384" s="175">
        <v>0</v>
      </c>
      <c r="N384" s="175">
        <v>0</v>
      </c>
      <c r="O384" s="175">
        <v>0</v>
      </c>
      <c r="P384" s="175">
        <v>0</v>
      </c>
      <c r="Q384" s="175">
        <v>0</v>
      </c>
      <c r="R384" s="175">
        <v>0</v>
      </c>
      <c r="S384" s="175">
        <v>0</v>
      </c>
      <c r="U384" s="175">
        <f t="shared" si="21"/>
        <v>0</v>
      </c>
    </row>
    <row r="385" spans="1:21">
      <c r="A385" s="183" t="str">
        <f t="shared" si="19"/>
        <v>878</v>
      </c>
      <c r="B385" s="183" t="str">
        <f t="shared" si="20"/>
        <v>878.0</v>
      </c>
      <c r="C385" s="184" t="s">
        <v>1634</v>
      </c>
      <c r="D385" t="s">
        <v>1635</v>
      </c>
      <c r="E385" s="470"/>
      <c r="F385" s="470"/>
      <c r="G385" s="175">
        <v>0</v>
      </c>
      <c r="H385" s="175">
        <v>0</v>
      </c>
      <c r="I385" s="175">
        <v>0</v>
      </c>
      <c r="J385" s="175">
        <v>0</v>
      </c>
      <c r="K385" s="175">
        <v>0</v>
      </c>
      <c r="L385" s="175">
        <v>0</v>
      </c>
      <c r="M385" s="175">
        <v>0</v>
      </c>
      <c r="N385" s="175">
        <v>0</v>
      </c>
      <c r="O385" s="175">
        <v>0</v>
      </c>
      <c r="P385" s="175">
        <v>0</v>
      </c>
      <c r="Q385" s="175">
        <v>0</v>
      </c>
      <c r="R385" s="175">
        <v>0</v>
      </c>
      <c r="S385" s="175">
        <v>0</v>
      </c>
      <c r="U385" s="175">
        <f t="shared" si="21"/>
        <v>0</v>
      </c>
    </row>
    <row r="386" spans="1:21">
      <c r="A386" s="183" t="str">
        <f t="shared" si="19"/>
        <v>879</v>
      </c>
      <c r="B386" s="183" t="str">
        <f t="shared" si="20"/>
        <v>879.0</v>
      </c>
      <c r="C386" s="184" t="s">
        <v>1636</v>
      </c>
      <c r="D386" t="s">
        <v>1637</v>
      </c>
      <c r="E386" s="470"/>
      <c r="F386" s="470"/>
      <c r="G386" s="175">
        <v>0</v>
      </c>
      <c r="H386" s="175">
        <v>0</v>
      </c>
      <c r="I386" s="175">
        <v>0</v>
      </c>
      <c r="J386" s="175">
        <v>0</v>
      </c>
      <c r="K386" s="175">
        <v>0</v>
      </c>
      <c r="L386" s="175">
        <v>0</v>
      </c>
      <c r="M386" s="175">
        <v>0</v>
      </c>
      <c r="N386" s="175">
        <v>0</v>
      </c>
      <c r="O386" s="175">
        <v>0</v>
      </c>
      <c r="P386" s="175">
        <v>0</v>
      </c>
      <c r="Q386" s="175">
        <v>0</v>
      </c>
      <c r="R386" s="175">
        <v>0</v>
      </c>
      <c r="S386" s="175">
        <v>0</v>
      </c>
      <c r="U386" s="175">
        <f t="shared" si="21"/>
        <v>0</v>
      </c>
    </row>
    <row r="387" spans="1:21">
      <c r="A387" s="183" t="str">
        <f t="shared" si="19"/>
        <v>880</v>
      </c>
      <c r="B387" s="183" t="str">
        <f t="shared" si="20"/>
        <v>880.0</v>
      </c>
      <c r="C387" s="184" t="s">
        <v>1638</v>
      </c>
      <c r="D387" t="s">
        <v>1639</v>
      </c>
      <c r="E387" s="470"/>
      <c r="F387" s="470"/>
      <c r="G387" s="175">
        <v>0</v>
      </c>
      <c r="H387" s="175">
        <v>0</v>
      </c>
      <c r="I387" s="175">
        <v>0</v>
      </c>
      <c r="J387" s="175">
        <v>0</v>
      </c>
      <c r="K387" s="175">
        <v>0</v>
      </c>
      <c r="L387" s="175">
        <v>0</v>
      </c>
      <c r="M387" s="175">
        <v>0</v>
      </c>
      <c r="N387" s="175">
        <v>0</v>
      </c>
      <c r="O387" s="175">
        <v>0</v>
      </c>
      <c r="P387" s="175">
        <v>0</v>
      </c>
      <c r="Q387" s="175">
        <v>0</v>
      </c>
      <c r="R387" s="175">
        <v>0</v>
      </c>
      <c r="S387" s="175">
        <v>0</v>
      </c>
      <c r="U387" s="175">
        <f t="shared" si="21"/>
        <v>0</v>
      </c>
    </row>
    <row r="388" spans="1:21">
      <c r="A388" s="183" t="str">
        <f t="shared" si="19"/>
        <v>881</v>
      </c>
      <c r="B388" s="183" t="str">
        <f t="shared" si="20"/>
        <v>881.0</v>
      </c>
      <c r="C388" s="184" t="s">
        <v>1640</v>
      </c>
      <c r="D388" t="s">
        <v>1641</v>
      </c>
      <c r="E388" s="470"/>
      <c r="F388" s="470"/>
      <c r="G388" s="175">
        <v>0</v>
      </c>
      <c r="H388" s="175">
        <v>0</v>
      </c>
      <c r="I388" s="175">
        <v>0</v>
      </c>
      <c r="J388" s="175">
        <v>0</v>
      </c>
      <c r="K388" s="175">
        <v>0</v>
      </c>
      <c r="L388" s="175">
        <v>0</v>
      </c>
      <c r="M388" s="175">
        <v>0</v>
      </c>
      <c r="N388" s="175">
        <v>0</v>
      </c>
      <c r="O388" s="175">
        <v>0</v>
      </c>
      <c r="P388" s="175">
        <v>0</v>
      </c>
      <c r="Q388" s="175">
        <v>0</v>
      </c>
      <c r="R388" s="175">
        <v>0</v>
      </c>
      <c r="S388" s="175">
        <v>0</v>
      </c>
      <c r="U388" s="175">
        <f t="shared" si="21"/>
        <v>0</v>
      </c>
    </row>
    <row r="389" spans="1:21">
      <c r="A389" s="183" t="str">
        <f t="shared" si="19"/>
        <v>885</v>
      </c>
      <c r="B389" s="183" t="str">
        <f t="shared" si="20"/>
        <v>885.0</v>
      </c>
      <c r="C389" s="184" t="s">
        <v>1642</v>
      </c>
      <c r="D389" t="s">
        <v>1643</v>
      </c>
      <c r="E389" s="470"/>
      <c r="F389" s="470"/>
      <c r="G389" s="175">
        <v>0</v>
      </c>
      <c r="H389" s="175">
        <v>0</v>
      </c>
      <c r="I389" s="175">
        <v>0</v>
      </c>
      <c r="J389" s="175">
        <v>0</v>
      </c>
      <c r="K389" s="175">
        <v>0</v>
      </c>
      <c r="L389" s="175">
        <v>0</v>
      </c>
      <c r="M389" s="175">
        <v>0</v>
      </c>
      <c r="N389" s="175">
        <v>0</v>
      </c>
      <c r="O389" s="175">
        <v>0</v>
      </c>
      <c r="P389" s="175">
        <v>0</v>
      </c>
      <c r="Q389" s="175">
        <v>0</v>
      </c>
      <c r="R389" s="175">
        <v>0</v>
      </c>
      <c r="S389" s="175">
        <v>0</v>
      </c>
      <c r="U389" s="175">
        <f t="shared" si="21"/>
        <v>0</v>
      </c>
    </row>
    <row r="390" spans="1:21">
      <c r="A390" s="183" t="str">
        <f t="shared" si="19"/>
        <v>886</v>
      </c>
      <c r="B390" s="183" t="str">
        <f t="shared" si="20"/>
        <v>886.0</v>
      </c>
      <c r="C390" s="184" t="s">
        <v>1644</v>
      </c>
      <c r="D390" t="s">
        <v>1645</v>
      </c>
      <c r="E390" s="470"/>
      <c r="F390" s="470"/>
      <c r="G390" s="175">
        <v>0</v>
      </c>
      <c r="H390" s="175">
        <v>0</v>
      </c>
      <c r="I390" s="175">
        <v>0</v>
      </c>
      <c r="J390" s="175">
        <v>0</v>
      </c>
      <c r="K390" s="175">
        <v>0</v>
      </c>
      <c r="L390" s="175">
        <v>0</v>
      </c>
      <c r="M390" s="175">
        <v>0</v>
      </c>
      <c r="N390" s="175">
        <v>0</v>
      </c>
      <c r="O390" s="175">
        <v>0</v>
      </c>
      <c r="P390" s="175">
        <v>0</v>
      </c>
      <c r="Q390" s="175">
        <v>0</v>
      </c>
      <c r="R390" s="175">
        <v>0</v>
      </c>
      <c r="S390" s="175">
        <v>0</v>
      </c>
      <c r="U390" s="175">
        <f t="shared" si="21"/>
        <v>0</v>
      </c>
    </row>
    <row r="391" spans="1:21">
      <c r="A391" s="183" t="str">
        <f t="shared" ref="A391:A426" si="22">MID(C391,2,3)</f>
        <v>887</v>
      </c>
      <c r="B391" s="183" t="str">
        <f t="shared" ref="B391:B426" si="23">MID(C391,2,3)&amp;"."&amp;MID(C391,5,1)</f>
        <v>887.0</v>
      </c>
      <c r="C391" s="184" t="s">
        <v>1646</v>
      </c>
      <c r="D391" t="s">
        <v>1647</v>
      </c>
      <c r="E391" s="470"/>
      <c r="F391" s="470"/>
      <c r="G391" s="175">
        <v>0</v>
      </c>
      <c r="H391" s="175">
        <v>0</v>
      </c>
      <c r="I391" s="175">
        <v>0</v>
      </c>
      <c r="J391" s="175">
        <v>0</v>
      </c>
      <c r="K391" s="175">
        <v>0</v>
      </c>
      <c r="L391" s="175">
        <v>0</v>
      </c>
      <c r="M391" s="175">
        <v>0</v>
      </c>
      <c r="N391" s="175">
        <v>0</v>
      </c>
      <c r="O391" s="175">
        <v>0</v>
      </c>
      <c r="P391" s="175">
        <v>0</v>
      </c>
      <c r="Q391" s="175">
        <v>0</v>
      </c>
      <c r="R391" s="175">
        <v>0</v>
      </c>
      <c r="S391" s="175">
        <v>0</v>
      </c>
      <c r="U391" s="175">
        <f t="shared" ref="U391:U426" si="24">AVERAGE(G391:S391)</f>
        <v>0</v>
      </c>
    </row>
    <row r="392" spans="1:21">
      <c r="A392" s="183" t="str">
        <f t="shared" si="22"/>
        <v>888</v>
      </c>
      <c r="B392" s="183" t="str">
        <f t="shared" si="23"/>
        <v>888.0</v>
      </c>
      <c r="C392" s="184" t="s">
        <v>1648</v>
      </c>
      <c r="D392" t="s">
        <v>1649</v>
      </c>
      <c r="E392" s="470"/>
      <c r="F392" s="470"/>
      <c r="G392" s="175">
        <v>0</v>
      </c>
      <c r="H392" s="175">
        <v>0</v>
      </c>
      <c r="I392" s="175">
        <v>0</v>
      </c>
      <c r="J392" s="175">
        <v>0</v>
      </c>
      <c r="K392" s="175">
        <v>0</v>
      </c>
      <c r="L392" s="175">
        <v>0</v>
      </c>
      <c r="M392" s="175">
        <v>0</v>
      </c>
      <c r="N392" s="175">
        <v>0</v>
      </c>
      <c r="O392" s="175">
        <v>0</v>
      </c>
      <c r="P392" s="175">
        <v>0</v>
      </c>
      <c r="Q392" s="175">
        <v>0</v>
      </c>
      <c r="R392" s="175">
        <v>0</v>
      </c>
      <c r="S392" s="175">
        <v>0</v>
      </c>
      <c r="U392" s="175">
        <f t="shared" si="24"/>
        <v>0</v>
      </c>
    </row>
    <row r="393" spans="1:21">
      <c r="A393" s="183" t="str">
        <f t="shared" si="22"/>
        <v>889</v>
      </c>
      <c r="B393" s="183" t="str">
        <f t="shared" si="23"/>
        <v>889.0</v>
      </c>
      <c r="C393" s="184" t="s">
        <v>1650</v>
      </c>
      <c r="D393" t="s">
        <v>1651</v>
      </c>
      <c r="E393" s="470"/>
      <c r="F393" s="470"/>
      <c r="G393" s="175">
        <v>0</v>
      </c>
      <c r="H393" s="175">
        <v>0</v>
      </c>
      <c r="I393" s="175">
        <v>0</v>
      </c>
      <c r="J393" s="175">
        <v>0</v>
      </c>
      <c r="K393" s="175">
        <v>0</v>
      </c>
      <c r="L393" s="175">
        <v>0</v>
      </c>
      <c r="M393" s="175">
        <v>0</v>
      </c>
      <c r="N393" s="175">
        <v>0</v>
      </c>
      <c r="O393" s="175">
        <v>0</v>
      </c>
      <c r="P393" s="175">
        <v>0</v>
      </c>
      <c r="Q393" s="175">
        <v>0</v>
      </c>
      <c r="R393" s="175">
        <v>0</v>
      </c>
      <c r="S393" s="175">
        <v>0</v>
      </c>
      <c r="U393" s="175">
        <f t="shared" si="24"/>
        <v>0</v>
      </c>
    </row>
    <row r="394" spans="1:21">
      <c r="A394" s="183" t="str">
        <f t="shared" si="22"/>
        <v>890</v>
      </c>
      <c r="B394" s="183" t="str">
        <f t="shared" si="23"/>
        <v>890.0</v>
      </c>
      <c r="C394" s="184" t="s">
        <v>1652</v>
      </c>
      <c r="D394" t="s">
        <v>1653</v>
      </c>
      <c r="E394" s="470"/>
      <c r="F394" s="470"/>
      <c r="G394" s="175">
        <v>0</v>
      </c>
      <c r="H394" s="175">
        <v>0</v>
      </c>
      <c r="I394" s="175">
        <v>0</v>
      </c>
      <c r="J394" s="175">
        <v>0</v>
      </c>
      <c r="K394" s="175">
        <v>0</v>
      </c>
      <c r="L394" s="175">
        <v>0</v>
      </c>
      <c r="M394" s="175">
        <v>0</v>
      </c>
      <c r="N394" s="175">
        <v>0</v>
      </c>
      <c r="O394" s="175">
        <v>0</v>
      </c>
      <c r="P394" s="175">
        <v>0</v>
      </c>
      <c r="Q394" s="175">
        <v>0</v>
      </c>
      <c r="R394" s="175">
        <v>0</v>
      </c>
      <c r="S394" s="175">
        <v>0</v>
      </c>
      <c r="U394" s="175">
        <f t="shared" si="24"/>
        <v>0</v>
      </c>
    </row>
    <row r="395" spans="1:21">
      <c r="A395" s="183" t="str">
        <f t="shared" si="22"/>
        <v>891</v>
      </c>
      <c r="B395" s="183" t="str">
        <f t="shared" si="23"/>
        <v>891.0</v>
      </c>
      <c r="C395" s="184" t="s">
        <v>1654</v>
      </c>
      <c r="D395" t="s">
        <v>1655</v>
      </c>
      <c r="E395" s="470"/>
      <c r="F395" s="470"/>
      <c r="G395" s="175">
        <v>0</v>
      </c>
      <c r="H395" s="175">
        <v>0</v>
      </c>
      <c r="I395" s="175">
        <v>0</v>
      </c>
      <c r="J395" s="175">
        <v>0</v>
      </c>
      <c r="K395" s="175">
        <v>0</v>
      </c>
      <c r="L395" s="175">
        <v>0</v>
      </c>
      <c r="M395" s="175">
        <v>0</v>
      </c>
      <c r="N395" s="175">
        <v>0</v>
      </c>
      <c r="O395" s="175">
        <v>0</v>
      </c>
      <c r="P395" s="175">
        <v>0</v>
      </c>
      <c r="Q395" s="175">
        <v>0</v>
      </c>
      <c r="R395" s="175">
        <v>0</v>
      </c>
      <c r="S395" s="175">
        <v>0</v>
      </c>
      <c r="U395" s="175">
        <f t="shared" si="24"/>
        <v>0</v>
      </c>
    </row>
    <row r="396" spans="1:21">
      <c r="A396" s="183" t="str">
        <f t="shared" si="22"/>
        <v>892</v>
      </c>
      <c r="B396" s="183" t="str">
        <f t="shared" si="23"/>
        <v>892.0</v>
      </c>
      <c r="C396" s="184" t="s">
        <v>1656</v>
      </c>
      <c r="D396" t="s">
        <v>1657</v>
      </c>
      <c r="E396" s="470"/>
      <c r="F396" s="470"/>
      <c r="G396" s="175">
        <v>0</v>
      </c>
      <c r="H396" s="175">
        <v>0</v>
      </c>
      <c r="I396" s="175">
        <v>0</v>
      </c>
      <c r="J396" s="175">
        <v>0</v>
      </c>
      <c r="K396" s="175">
        <v>0</v>
      </c>
      <c r="L396" s="175">
        <v>0</v>
      </c>
      <c r="M396" s="175">
        <v>0</v>
      </c>
      <c r="N396" s="175">
        <v>0</v>
      </c>
      <c r="O396" s="175">
        <v>0</v>
      </c>
      <c r="P396" s="175">
        <v>0</v>
      </c>
      <c r="Q396" s="175">
        <v>0</v>
      </c>
      <c r="R396" s="175">
        <v>0</v>
      </c>
      <c r="S396" s="175">
        <v>0</v>
      </c>
      <c r="U396" s="175">
        <f t="shared" si="24"/>
        <v>0</v>
      </c>
    </row>
    <row r="397" spans="1:21">
      <c r="A397" s="183" t="str">
        <f t="shared" si="22"/>
        <v>893</v>
      </c>
      <c r="B397" s="183" t="str">
        <f t="shared" si="23"/>
        <v>893.0</v>
      </c>
      <c r="C397" s="184" t="s">
        <v>1658</v>
      </c>
      <c r="D397" t="s">
        <v>1659</v>
      </c>
      <c r="E397" s="470"/>
      <c r="F397" s="470"/>
      <c r="G397" s="175">
        <v>0</v>
      </c>
      <c r="H397" s="175">
        <v>0</v>
      </c>
      <c r="I397" s="175">
        <v>0</v>
      </c>
      <c r="J397" s="175">
        <v>0</v>
      </c>
      <c r="K397" s="175">
        <v>0</v>
      </c>
      <c r="L397" s="175">
        <v>0</v>
      </c>
      <c r="M397" s="175">
        <v>0</v>
      </c>
      <c r="N397" s="175">
        <v>0</v>
      </c>
      <c r="O397" s="175">
        <v>0</v>
      </c>
      <c r="P397" s="175">
        <v>0</v>
      </c>
      <c r="Q397" s="175">
        <v>0</v>
      </c>
      <c r="R397" s="175">
        <v>0</v>
      </c>
      <c r="S397" s="175">
        <v>0</v>
      </c>
      <c r="U397" s="175">
        <f t="shared" si="24"/>
        <v>0</v>
      </c>
    </row>
    <row r="398" spans="1:21">
      <c r="A398" s="183" t="str">
        <f t="shared" si="22"/>
        <v>894</v>
      </c>
      <c r="B398" s="183" t="str">
        <f t="shared" si="23"/>
        <v>894.0</v>
      </c>
      <c r="C398" s="184" t="s">
        <v>1660</v>
      </c>
      <c r="D398" t="s">
        <v>1661</v>
      </c>
      <c r="E398" s="470"/>
      <c r="F398" s="470"/>
      <c r="G398" s="175">
        <v>0</v>
      </c>
      <c r="H398" s="175">
        <v>0</v>
      </c>
      <c r="I398" s="175">
        <v>0</v>
      </c>
      <c r="J398" s="175">
        <v>0</v>
      </c>
      <c r="K398" s="175">
        <v>0</v>
      </c>
      <c r="L398" s="175">
        <v>0</v>
      </c>
      <c r="M398" s="175">
        <v>0</v>
      </c>
      <c r="N398" s="175">
        <v>0</v>
      </c>
      <c r="O398" s="175">
        <v>0</v>
      </c>
      <c r="P398" s="175">
        <v>0</v>
      </c>
      <c r="Q398" s="175">
        <v>0</v>
      </c>
      <c r="R398" s="175">
        <v>0</v>
      </c>
      <c r="S398" s="175">
        <v>0</v>
      </c>
      <c r="U398" s="175">
        <f t="shared" si="24"/>
        <v>0</v>
      </c>
    </row>
    <row r="399" spans="1:21">
      <c r="A399" s="183" t="str">
        <f t="shared" si="22"/>
        <v>901</v>
      </c>
      <c r="B399" s="183" t="str">
        <f t="shared" si="23"/>
        <v>901.0</v>
      </c>
      <c r="C399" s="184" t="s">
        <v>1662</v>
      </c>
      <c r="D399" t="s">
        <v>1663</v>
      </c>
      <c r="E399" s="470"/>
      <c r="F399" s="470"/>
      <c r="G399" s="175">
        <v>0</v>
      </c>
      <c r="H399" s="175">
        <v>0</v>
      </c>
      <c r="I399" s="175">
        <v>0</v>
      </c>
      <c r="J399" s="175">
        <v>0</v>
      </c>
      <c r="K399" s="175">
        <v>0</v>
      </c>
      <c r="L399" s="175">
        <v>0</v>
      </c>
      <c r="M399" s="175">
        <v>0</v>
      </c>
      <c r="N399" s="175">
        <v>0</v>
      </c>
      <c r="O399" s="175">
        <v>0</v>
      </c>
      <c r="P399" s="175">
        <v>0</v>
      </c>
      <c r="Q399" s="175">
        <v>0</v>
      </c>
      <c r="R399" s="175">
        <v>0</v>
      </c>
      <c r="S399" s="175">
        <v>0</v>
      </c>
      <c r="U399" s="175">
        <f t="shared" si="24"/>
        <v>0</v>
      </c>
    </row>
    <row r="400" spans="1:21">
      <c r="A400" s="183" t="str">
        <f t="shared" si="22"/>
        <v>902</v>
      </c>
      <c r="B400" s="183" t="str">
        <f t="shared" si="23"/>
        <v>902.0</v>
      </c>
      <c r="C400" s="184" t="s">
        <v>1664</v>
      </c>
      <c r="D400" t="s">
        <v>1665</v>
      </c>
      <c r="E400" s="470"/>
      <c r="F400" s="470"/>
      <c r="G400" s="175">
        <v>347086.8997214</v>
      </c>
      <c r="H400" s="175">
        <v>431185.06006809999</v>
      </c>
      <c r="I400" s="175">
        <v>302261.96785219997</v>
      </c>
      <c r="J400" s="175">
        <v>287542.43879819999</v>
      </c>
      <c r="K400" s="175">
        <v>457231.26276239997</v>
      </c>
      <c r="L400" s="175">
        <v>304915.48686260002</v>
      </c>
      <c r="M400" s="175">
        <v>312722.44296880002</v>
      </c>
      <c r="N400" s="175">
        <v>444291.44127439999</v>
      </c>
      <c r="O400" s="175">
        <v>352215.14415459998</v>
      </c>
      <c r="P400" s="175">
        <v>328748.37724160001</v>
      </c>
      <c r="Q400" s="175">
        <v>438645.30197069998</v>
      </c>
      <c r="R400" s="175">
        <v>387580.47074060002</v>
      </c>
      <c r="S400" s="175">
        <v>347086.8997214</v>
      </c>
      <c r="U400" s="175">
        <f t="shared" si="24"/>
        <v>364731.78416438453</v>
      </c>
    </row>
    <row r="401" spans="1:21">
      <c r="A401" s="183" t="str">
        <f t="shared" si="22"/>
        <v>903</v>
      </c>
      <c r="B401" s="183" t="str">
        <f t="shared" si="23"/>
        <v>903.0</v>
      </c>
      <c r="C401" s="184" t="s">
        <v>1666</v>
      </c>
      <c r="D401" t="s">
        <v>1667</v>
      </c>
      <c r="E401" s="470"/>
      <c r="F401" s="470"/>
      <c r="G401" s="175">
        <v>2444298.2362452</v>
      </c>
      <c r="H401" s="175">
        <v>2466636.7537588002</v>
      </c>
      <c r="I401" s="175">
        <v>2272445.5497673</v>
      </c>
      <c r="J401" s="175">
        <v>2333938.7997673</v>
      </c>
      <c r="K401" s="175">
        <v>2366390.3708213</v>
      </c>
      <c r="L401" s="175">
        <v>2635607.6479042</v>
      </c>
      <c r="M401" s="175">
        <v>2352957.7176704002</v>
      </c>
      <c r="N401" s="175">
        <v>2498471.9086477002</v>
      </c>
      <c r="O401" s="175">
        <v>2488309.6796117998</v>
      </c>
      <c r="P401" s="175">
        <v>2425938.4725389001</v>
      </c>
      <c r="Q401" s="175">
        <v>2489198.6449978999</v>
      </c>
      <c r="R401" s="175">
        <v>2575892.9512888999</v>
      </c>
      <c r="S401" s="175">
        <v>2470817.3780636</v>
      </c>
      <c r="U401" s="175">
        <f t="shared" si="24"/>
        <v>2447761.8546987157</v>
      </c>
    </row>
    <row r="402" spans="1:21">
      <c r="A402" s="183" t="str">
        <f t="shared" si="22"/>
        <v>904</v>
      </c>
      <c r="B402" s="183" t="str">
        <f t="shared" si="23"/>
        <v>904.0</v>
      </c>
      <c r="C402" s="184" t="s">
        <v>1668</v>
      </c>
      <c r="D402" t="s">
        <v>1669</v>
      </c>
      <c r="E402" s="470"/>
      <c r="F402" s="470"/>
      <c r="G402" s="175">
        <v>562792.63471110002</v>
      </c>
      <c r="H402" s="175">
        <v>535004.08548150002</v>
      </c>
      <c r="I402" s="175">
        <v>416854.43843610003</v>
      </c>
      <c r="J402" s="175">
        <v>394595.26702500001</v>
      </c>
      <c r="K402" s="175">
        <v>496259.70926839998</v>
      </c>
      <c r="L402" s="175">
        <v>476106.71931050002</v>
      </c>
      <c r="M402" s="175">
        <v>475209.16333120002</v>
      </c>
      <c r="N402" s="175">
        <v>481730.64659289998</v>
      </c>
      <c r="O402" s="175">
        <v>442112.22286059998</v>
      </c>
      <c r="P402" s="175">
        <v>556668.11251939996</v>
      </c>
      <c r="Q402" s="175">
        <v>492223.62028540001</v>
      </c>
      <c r="R402" s="175">
        <v>482058.76406670001</v>
      </c>
      <c r="S402" s="175">
        <v>547957.67691379995</v>
      </c>
      <c r="U402" s="175">
        <f t="shared" si="24"/>
        <v>489197.92775404616</v>
      </c>
    </row>
    <row r="403" spans="1:21">
      <c r="A403" s="183" t="str">
        <f t="shared" si="22"/>
        <v>905</v>
      </c>
      <c r="B403" s="183" t="str">
        <f t="shared" si="23"/>
        <v>905.0</v>
      </c>
      <c r="C403" s="184" t="s">
        <v>1670</v>
      </c>
      <c r="D403" t="s">
        <v>1671</v>
      </c>
      <c r="E403" s="470"/>
      <c r="F403" s="470"/>
      <c r="G403" s="175">
        <v>0</v>
      </c>
      <c r="H403" s="175">
        <v>0</v>
      </c>
      <c r="I403" s="175">
        <v>0</v>
      </c>
      <c r="J403" s="175">
        <v>0</v>
      </c>
      <c r="K403" s="175">
        <v>0</v>
      </c>
      <c r="L403" s="175">
        <v>0</v>
      </c>
      <c r="M403" s="175">
        <v>0</v>
      </c>
      <c r="N403" s="175">
        <v>0</v>
      </c>
      <c r="O403" s="175">
        <v>0</v>
      </c>
      <c r="P403" s="175">
        <v>0</v>
      </c>
      <c r="Q403" s="175">
        <v>0</v>
      </c>
      <c r="R403" s="175">
        <v>0</v>
      </c>
      <c r="S403" s="175">
        <v>0</v>
      </c>
      <c r="U403" s="175">
        <f t="shared" si="24"/>
        <v>0</v>
      </c>
    </row>
    <row r="404" spans="1:21">
      <c r="A404" s="183" t="str">
        <f t="shared" si="22"/>
        <v>907</v>
      </c>
      <c r="B404" s="183" t="str">
        <f t="shared" si="23"/>
        <v>907.0</v>
      </c>
      <c r="C404" s="184" t="s">
        <v>1672</v>
      </c>
      <c r="D404" t="s">
        <v>1673</v>
      </c>
      <c r="E404" s="470"/>
      <c r="F404" s="470"/>
      <c r="G404" s="175">
        <v>0</v>
      </c>
      <c r="H404" s="175">
        <v>0</v>
      </c>
      <c r="I404" s="175">
        <v>0</v>
      </c>
      <c r="J404" s="175">
        <v>0</v>
      </c>
      <c r="K404" s="175">
        <v>0</v>
      </c>
      <c r="L404" s="175">
        <v>0</v>
      </c>
      <c r="M404" s="175">
        <v>0</v>
      </c>
      <c r="N404" s="175">
        <v>0</v>
      </c>
      <c r="O404" s="175">
        <v>0</v>
      </c>
      <c r="P404" s="175">
        <v>0</v>
      </c>
      <c r="Q404" s="175">
        <v>0</v>
      </c>
      <c r="R404" s="175">
        <v>0</v>
      </c>
      <c r="S404" s="175">
        <v>0</v>
      </c>
      <c r="U404" s="175">
        <f t="shared" si="24"/>
        <v>0</v>
      </c>
    </row>
    <row r="405" spans="1:21">
      <c r="A405" s="183" t="str">
        <f t="shared" si="22"/>
        <v>908</v>
      </c>
      <c r="B405" s="183" t="str">
        <f t="shared" si="23"/>
        <v>908.0</v>
      </c>
      <c r="C405" s="184" t="s">
        <v>1674</v>
      </c>
      <c r="D405" t="s">
        <v>1675</v>
      </c>
      <c r="E405" s="470"/>
      <c r="F405" s="470"/>
      <c r="G405" s="175">
        <v>3610478.2141871001</v>
      </c>
      <c r="H405" s="175">
        <v>4887684.6267860001</v>
      </c>
      <c r="I405" s="175">
        <v>4492728.0283834003</v>
      </c>
      <c r="J405" s="175">
        <v>4240970.2315854002</v>
      </c>
      <c r="K405" s="175">
        <v>4638738.8576191999</v>
      </c>
      <c r="L405" s="175">
        <v>5068116.9442383004</v>
      </c>
      <c r="M405" s="175">
        <v>5946296.3986221999</v>
      </c>
      <c r="N405" s="175">
        <v>6165039.4529951001</v>
      </c>
      <c r="O405" s="175">
        <v>5975558.7296519997</v>
      </c>
      <c r="P405" s="175">
        <v>6211684.8590652999</v>
      </c>
      <c r="Q405" s="175">
        <v>5640602.3964545</v>
      </c>
      <c r="R405" s="175">
        <v>4827218.8068610998</v>
      </c>
      <c r="S405" s="175">
        <v>4606025.3370319</v>
      </c>
      <c r="U405" s="175">
        <f t="shared" si="24"/>
        <v>5100857.1448831931</v>
      </c>
    </row>
    <row r="406" spans="1:21">
      <c r="A406" s="183" t="str">
        <f t="shared" si="22"/>
        <v>909</v>
      </c>
      <c r="B406" s="183" t="str">
        <f t="shared" si="23"/>
        <v>909.0</v>
      </c>
      <c r="C406" s="184" t="s">
        <v>1676</v>
      </c>
      <c r="D406" t="s">
        <v>1677</v>
      </c>
      <c r="E406" s="470"/>
      <c r="F406" s="470"/>
      <c r="G406" s="175">
        <v>153403.5066811</v>
      </c>
      <c r="H406" s="175">
        <v>344976.86804089998</v>
      </c>
      <c r="I406" s="175">
        <v>370329.36627910001</v>
      </c>
      <c r="J406" s="175">
        <v>620392.67918219999</v>
      </c>
      <c r="K406" s="175">
        <v>330421.66512590001</v>
      </c>
      <c r="L406" s="175">
        <v>362420.26713729999</v>
      </c>
      <c r="M406" s="175">
        <v>320407.90912040003</v>
      </c>
      <c r="N406" s="175">
        <v>519163.06851409998</v>
      </c>
      <c r="O406" s="175">
        <v>857943.65842200001</v>
      </c>
      <c r="P406" s="175">
        <v>634939.64162010001</v>
      </c>
      <c r="Q406" s="175">
        <v>525308.27425430005</v>
      </c>
      <c r="R406" s="175">
        <v>328283.75790879998</v>
      </c>
      <c r="S406" s="175">
        <v>269571.8222769</v>
      </c>
      <c r="U406" s="175">
        <f t="shared" si="24"/>
        <v>433658.6526586999</v>
      </c>
    </row>
    <row r="407" spans="1:21">
      <c r="A407" s="183" t="str">
        <f t="shared" si="22"/>
        <v>910</v>
      </c>
      <c r="B407" s="183" t="str">
        <f t="shared" si="23"/>
        <v>910.0</v>
      </c>
      <c r="C407" s="184" t="s">
        <v>1678</v>
      </c>
      <c r="D407" t="s">
        <v>1679</v>
      </c>
      <c r="E407" s="470"/>
      <c r="F407" s="470"/>
      <c r="G407" s="175">
        <v>0</v>
      </c>
      <c r="H407" s="175">
        <v>0</v>
      </c>
      <c r="I407" s="175">
        <v>0</v>
      </c>
      <c r="J407" s="175">
        <v>0</v>
      </c>
      <c r="K407" s="175">
        <v>0</v>
      </c>
      <c r="L407" s="175">
        <v>0</v>
      </c>
      <c r="M407" s="175">
        <v>0</v>
      </c>
      <c r="N407" s="175">
        <v>0</v>
      </c>
      <c r="O407" s="175">
        <v>0</v>
      </c>
      <c r="P407" s="175">
        <v>0</v>
      </c>
      <c r="Q407" s="175">
        <v>0</v>
      </c>
      <c r="R407" s="175">
        <v>0</v>
      </c>
      <c r="S407" s="175">
        <v>0</v>
      </c>
      <c r="U407" s="175">
        <f t="shared" si="24"/>
        <v>0</v>
      </c>
    </row>
    <row r="408" spans="1:21">
      <c r="A408" s="183" t="str">
        <f t="shared" si="22"/>
        <v>911</v>
      </c>
      <c r="B408" s="183" t="str">
        <f t="shared" si="23"/>
        <v>911.0</v>
      </c>
      <c r="C408" s="184" t="s">
        <v>1680</v>
      </c>
      <c r="D408" t="s">
        <v>1681</v>
      </c>
      <c r="E408" s="470"/>
      <c r="F408" s="470"/>
      <c r="G408" s="175">
        <v>0</v>
      </c>
      <c r="H408" s="175">
        <v>0</v>
      </c>
      <c r="I408" s="175">
        <v>0</v>
      </c>
      <c r="J408" s="175">
        <v>0</v>
      </c>
      <c r="K408" s="175">
        <v>0</v>
      </c>
      <c r="L408" s="175">
        <v>0</v>
      </c>
      <c r="M408" s="175">
        <v>0</v>
      </c>
      <c r="N408" s="175">
        <v>0</v>
      </c>
      <c r="O408" s="175">
        <v>0</v>
      </c>
      <c r="P408" s="175">
        <v>0</v>
      </c>
      <c r="Q408" s="175">
        <v>0</v>
      </c>
      <c r="R408" s="175">
        <v>0</v>
      </c>
      <c r="S408" s="175">
        <v>0</v>
      </c>
      <c r="U408" s="175">
        <f t="shared" si="24"/>
        <v>0</v>
      </c>
    </row>
    <row r="409" spans="1:21">
      <c r="A409" s="183" t="str">
        <f t="shared" si="22"/>
        <v>912</v>
      </c>
      <c r="B409" s="183" t="str">
        <f t="shared" si="23"/>
        <v>912.0</v>
      </c>
      <c r="C409" s="184" t="s">
        <v>1682</v>
      </c>
      <c r="D409" t="s">
        <v>1683</v>
      </c>
      <c r="E409" s="470"/>
      <c r="F409" s="470"/>
      <c r="G409" s="175">
        <v>13000</v>
      </c>
      <c r="H409" s="175">
        <v>97997</v>
      </c>
      <c r="I409" s="175">
        <v>10000</v>
      </c>
      <c r="J409" s="175">
        <v>16470</v>
      </c>
      <c r="K409" s="175">
        <v>26647</v>
      </c>
      <c r="L409" s="175">
        <v>11290</v>
      </c>
      <c r="M409" s="175">
        <v>13385</v>
      </c>
      <c r="N409" s="175">
        <v>24197</v>
      </c>
      <c r="O409" s="175">
        <v>11500</v>
      </c>
      <c r="P409" s="175">
        <v>26500</v>
      </c>
      <c r="Q409" s="175">
        <v>54516</v>
      </c>
      <c r="R409" s="175">
        <v>29500</v>
      </c>
      <c r="S409" s="175">
        <v>13000</v>
      </c>
      <c r="U409" s="175">
        <f t="shared" si="24"/>
        <v>26769.384615384617</v>
      </c>
    </row>
    <row r="410" spans="1:21">
      <c r="A410" s="183" t="str">
        <f t="shared" si="22"/>
        <v>913</v>
      </c>
      <c r="B410" s="183" t="str">
        <f t="shared" si="23"/>
        <v>913.0</v>
      </c>
      <c r="C410" s="184" t="s">
        <v>1684</v>
      </c>
      <c r="D410" t="s">
        <v>1685</v>
      </c>
      <c r="E410" s="470"/>
      <c r="F410" s="470"/>
      <c r="G410" s="175">
        <v>0</v>
      </c>
      <c r="H410" s="175">
        <v>0</v>
      </c>
      <c r="I410" s="175">
        <v>0</v>
      </c>
      <c r="J410" s="175">
        <v>0</v>
      </c>
      <c r="K410" s="175">
        <v>0</v>
      </c>
      <c r="L410" s="175">
        <v>0</v>
      </c>
      <c r="M410" s="175">
        <v>0</v>
      </c>
      <c r="N410" s="175">
        <v>0</v>
      </c>
      <c r="O410" s="175">
        <v>0</v>
      </c>
      <c r="P410" s="175">
        <v>0</v>
      </c>
      <c r="Q410" s="175">
        <v>0</v>
      </c>
      <c r="R410" s="175">
        <v>0</v>
      </c>
      <c r="S410" s="175">
        <v>0</v>
      </c>
      <c r="U410" s="175">
        <f t="shared" si="24"/>
        <v>0</v>
      </c>
    </row>
    <row r="411" spans="1:21">
      <c r="A411" s="183" t="str">
        <f t="shared" si="22"/>
        <v>916</v>
      </c>
      <c r="B411" s="183" t="str">
        <f t="shared" si="23"/>
        <v>916.0</v>
      </c>
      <c r="C411" s="184" t="s">
        <v>1686</v>
      </c>
      <c r="D411" t="s">
        <v>1687</v>
      </c>
      <c r="E411" s="470"/>
      <c r="F411" s="470"/>
      <c r="G411" s="175">
        <v>0</v>
      </c>
      <c r="H411" s="175">
        <v>0</v>
      </c>
      <c r="I411" s="175">
        <v>0</v>
      </c>
      <c r="J411" s="175">
        <v>0</v>
      </c>
      <c r="K411" s="175">
        <v>0</v>
      </c>
      <c r="L411" s="175">
        <v>0</v>
      </c>
      <c r="M411" s="175">
        <v>0</v>
      </c>
      <c r="N411" s="175">
        <v>0</v>
      </c>
      <c r="O411" s="175">
        <v>0</v>
      </c>
      <c r="P411" s="175">
        <v>0</v>
      </c>
      <c r="Q411" s="175">
        <v>0</v>
      </c>
      <c r="R411" s="175">
        <v>0</v>
      </c>
      <c r="S411" s="175">
        <v>0</v>
      </c>
      <c r="U411" s="175">
        <f t="shared" si="24"/>
        <v>0</v>
      </c>
    </row>
    <row r="412" spans="1:21">
      <c r="A412" s="183" t="str">
        <f t="shared" si="22"/>
        <v>920</v>
      </c>
      <c r="B412" s="183" t="str">
        <f t="shared" si="23"/>
        <v>920.0</v>
      </c>
      <c r="C412" s="184" t="s">
        <v>1688</v>
      </c>
      <c r="D412" t="s">
        <v>1689</v>
      </c>
      <c r="E412" s="470"/>
      <c r="F412" s="470"/>
      <c r="G412" s="175">
        <v>6524414.9561860999</v>
      </c>
      <c r="H412" s="175">
        <v>6334324.7280780999</v>
      </c>
      <c r="I412" s="175">
        <v>5958108.0198590001</v>
      </c>
      <c r="J412" s="175">
        <v>5873689.5393299004</v>
      </c>
      <c r="K412" s="175">
        <v>6134268.8557120999</v>
      </c>
      <c r="L412" s="175">
        <v>6302099.5262510004</v>
      </c>
      <c r="M412" s="175">
        <v>5679949.8523481004</v>
      </c>
      <c r="N412" s="175">
        <v>6338389.2459754003</v>
      </c>
      <c r="O412" s="175">
        <v>6156516.2385056997</v>
      </c>
      <c r="P412" s="175">
        <v>5899265.1025245003</v>
      </c>
      <c r="Q412" s="175">
        <v>6325928.5940017998</v>
      </c>
      <c r="R412" s="175">
        <v>5929077.2413130002</v>
      </c>
      <c r="S412" s="175">
        <v>6110786.7284057997</v>
      </c>
      <c r="U412" s="175">
        <f t="shared" si="24"/>
        <v>6120524.5098838853</v>
      </c>
    </row>
    <row r="413" spans="1:21">
      <c r="A413" s="183" t="str">
        <f t="shared" si="22"/>
        <v>921</v>
      </c>
      <c r="B413" s="183" t="str">
        <f t="shared" si="23"/>
        <v>921.0</v>
      </c>
      <c r="C413" s="184" t="s">
        <v>1690</v>
      </c>
      <c r="D413" t="s">
        <v>1691</v>
      </c>
      <c r="E413" s="470"/>
      <c r="F413" s="470"/>
      <c r="G413" s="175">
        <v>561693.60566670005</v>
      </c>
      <c r="H413" s="175">
        <v>623214.0013764</v>
      </c>
      <c r="I413" s="175">
        <v>336722.22055839997</v>
      </c>
      <c r="J413" s="175">
        <v>498252.56669210002</v>
      </c>
      <c r="K413" s="175">
        <v>526763.14661709999</v>
      </c>
      <c r="L413" s="175">
        <v>300899.8711171</v>
      </c>
      <c r="M413" s="175">
        <v>472409.25269210001</v>
      </c>
      <c r="N413" s="175">
        <v>488440.30456710001</v>
      </c>
      <c r="O413" s="175">
        <v>294596.97131709999</v>
      </c>
      <c r="P413" s="175">
        <v>369908.44769210002</v>
      </c>
      <c r="Q413" s="175">
        <v>512247.79231709999</v>
      </c>
      <c r="R413" s="175">
        <v>314646.99581709999</v>
      </c>
      <c r="S413" s="175">
        <v>464738.78194209997</v>
      </c>
      <c r="U413" s="175">
        <f t="shared" si="24"/>
        <v>443425.68910557695</v>
      </c>
    </row>
    <row r="414" spans="1:21">
      <c r="A414" s="183" t="str">
        <f t="shared" si="22"/>
        <v>922</v>
      </c>
      <c r="B414" s="183" t="str">
        <f t="shared" si="23"/>
        <v>922.0</v>
      </c>
      <c r="C414" s="184" t="s">
        <v>1692</v>
      </c>
      <c r="D414" t="s">
        <v>1693</v>
      </c>
      <c r="E414" s="470"/>
      <c r="F414" s="470"/>
      <c r="G414" s="175">
        <v>-5001705.4754798003</v>
      </c>
      <c r="H414" s="175">
        <v>-4866475.9369681999</v>
      </c>
      <c r="I414" s="175">
        <v>-4720457.4225460999</v>
      </c>
      <c r="J414" s="175">
        <v>-4959677.3047139002</v>
      </c>
      <c r="K414" s="175">
        <v>-4864986.3861277997</v>
      </c>
      <c r="L414" s="175">
        <v>-4863822.7085033003</v>
      </c>
      <c r="M414" s="175">
        <v>-4902639.5207968997</v>
      </c>
      <c r="N414" s="175">
        <v>-4881490.1586995004</v>
      </c>
      <c r="O414" s="175">
        <v>-4797973.9661464002</v>
      </c>
      <c r="P414" s="175">
        <v>-4932787.8911207998</v>
      </c>
      <c r="Q414" s="175">
        <v>-4793368.5497752</v>
      </c>
      <c r="R414" s="175">
        <v>-4759149.8370484002</v>
      </c>
      <c r="S414" s="175">
        <v>-4967831.3500897</v>
      </c>
      <c r="U414" s="175">
        <f t="shared" si="24"/>
        <v>-4870182.0390781546</v>
      </c>
    </row>
    <row r="415" spans="1:21">
      <c r="A415" s="183" t="str">
        <f t="shared" si="22"/>
        <v>923</v>
      </c>
      <c r="B415" s="183" t="str">
        <f t="shared" si="23"/>
        <v>923.0</v>
      </c>
      <c r="C415" s="184" t="s">
        <v>1694</v>
      </c>
      <c r="D415" t="s">
        <v>1695</v>
      </c>
      <c r="E415" s="470"/>
      <c r="F415" s="470"/>
      <c r="G415" s="175">
        <v>2931479.9405022999</v>
      </c>
      <c r="H415" s="175">
        <v>3317516.5481258002</v>
      </c>
      <c r="I415" s="175">
        <v>2502917.7280585999</v>
      </c>
      <c r="J415" s="175">
        <v>2916808.4449741002</v>
      </c>
      <c r="K415" s="175">
        <v>2927428.3744040998</v>
      </c>
      <c r="L415" s="175">
        <v>2928159.2543023</v>
      </c>
      <c r="M415" s="175">
        <v>2995345.8962897998</v>
      </c>
      <c r="N415" s="175">
        <v>3078196.4322040998</v>
      </c>
      <c r="O415" s="175">
        <v>2870893.6411898001</v>
      </c>
      <c r="P415" s="175">
        <v>3090769.4778565001</v>
      </c>
      <c r="Q415" s="175">
        <v>2697807.6344041</v>
      </c>
      <c r="R415" s="175">
        <v>2833943.0861897999</v>
      </c>
      <c r="S415" s="175">
        <v>3113471.1111897998</v>
      </c>
      <c r="U415" s="175">
        <f t="shared" si="24"/>
        <v>2938825.9668993154</v>
      </c>
    </row>
    <row r="416" spans="1:21">
      <c r="A416" s="183" t="str">
        <f t="shared" si="22"/>
        <v>924</v>
      </c>
      <c r="B416" s="183" t="str">
        <f t="shared" si="23"/>
        <v>924.0</v>
      </c>
      <c r="C416" s="184" t="s">
        <v>1696</v>
      </c>
      <c r="D416" t="s">
        <v>1697</v>
      </c>
      <c r="E416" s="470"/>
      <c r="F416" s="470"/>
      <c r="G416" s="175">
        <v>3436377.89</v>
      </c>
      <c r="H416" s="175">
        <v>1443147.2532962</v>
      </c>
      <c r="I416" s="175">
        <v>1443147.2</v>
      </c>
      <c r="J416" s="175">
        <v>1672527.63</v>
      </c>
      <c r="K416" s="175">
        <v>1672527.65</v>
      </c>
      <c r="L416" s="175">
        <v>1672527.65</v>
      </c>
      <c r="M416" s="175">
        <v>1672527.65</v>
      </c>
      <c r="N416" s="175">
        <v>1672527.65</v>
      </c>
      <c r="O416" s="175">
        <v>1672527.65</v>
      </c>
      <c r="P416" s="175">
        <v>1672527.65</v>
      </c>
      <c r="Q416" s="175">
        <v>1672527.65</v>
      </c>
      <c r="R416" s="175">
        <v>1672527.65</v>
      </c>
      <c r="S416" s="175">
        <v>1672527.65</v>
      </c>
      <c r="U416" s="175">
        <f t="shared" si="24"/>
        <v>1772919.1402535536</v>
      </c>
    </row>
    <row r="417" spans="1:21">
      <c r="A417" s="183" t="str">
        <f t="shared" si="22"/>
        <v>925</v>
      </c>
      <c r="B417" s="183" t="str">
        <f t="shared" si="23"/>
        <v>925.0</v>
      </c>
      <c r="C417" s="184" t="s">
        <v>1698</v>
      </c>
      <c r="D417" t="s">
        <v>1699</v>
      </c>
      <c r="E417" s="470"/>
      <c r="F417" s="470"/>
      <c r="G417" s="175">
        <v>2448313.9910006998</v>
      </c>
      <c r="H417" s="175">
        <v>1837214.4638894999</v>
      </c>
      <c r="I417" s="175">
        <v>1837214.3881421001</v>
      </c>
      <c r="J417" s="175">
        <v>1840656.3881421001</v>
      </c>
      <c r="K417" s="175">
        <v>1837214.3881421001</v>
      </c>
      <c r="L417" s="175">
        <v>1837256.9337654</v>
      </c>
      <c r="M417" s="175">
        <v>1980206.7212054001</v>
      </c>
      <c r="N417" s="175">
        <v>1976764.8581421</v>
      </c>
      <c r="O417" s="175">
        <v>1982951.1031420999</v>
      </c>
      <c r="P417" s="175">
        <v>1986393.1981420999</v>
      </c>
      <c r="Q417" s="175">
        <v>1982951.1981420999</v>
      </c>
      <c r="R417" s="175">
        <v>1982951.1981420999</v>
      </c>
      <c r="S417" s="175">
        <v>2613329.9279674999</v>
      </c>
      <c r="U417" s="175">
        <f t="shared" si="24"/>
        <v>2011032.212151177</v>
      </c>
    </row>
    <row r="418" spans="1:21">
      <c r="A418" s="183" t="str">
        <f t="shared" si="22"/>
        <v>926</v>
      </c>
      <c r="B418" s="183" t="str">
        <f t="shared" si="23"/>
        <v>926.0</v>
      </c>
      <c r="C418" s="184" t="s">
        <v>1700</v>
      </c>
      <c r="D418" t="s">
        <v>1701</v>
      </c>
      <c r="E418" s="470"/>
      <c r="F418" s="470"/>
      <c r="G418" s="175">
        <v>4847441.3870545002</v>
      </c>
      <c r="H418" s="175">
        <v>2316396.4305326999</v>
      </c>
      <c r="I418" s="175">
        <v>2537819.5711873998</v>
      </c>
      <c r="J418" s="175">
        <v>5944661.0085426997</v>
      </c>
      <c r="K418" s="175">
        <v>2373231.6967789</v>
      </c>
      <c r="L418" s="175">
        <v>2257715.1102748001</v>
      </c>
      <c r="M418" s="175">
        <v>6027081.5879547</v>
      </c>
      <c r="N418" s="175">
        <v>2235550.6393327001</v>
      </c>
      <c r="O418" s="175">
        <v>2350487.1441041999</v>
      </c>
      <c r="P418" s="175">
        <v>5878117.4283967</v>
      </c>
      <c r="Q418" s="175">
        <v>2208262.2346362001</v>
      </c>
      <c r="R418" s="175">
        <v>2465888.2851534002</v>
      </c>
      <c r="S418" s="175">
        <v>5763914.1912168004</v>
      </c>
      <c r="U418" s="175">
        <f t="shared" si="24"/>
        <v>3631274.3627050542</v>
      </c>
    </row>
    <row r="419" spans="1:21">
      <c r="A419" s="183" t="str">
        <f t="shared" si="22"/>
        <v>927</v>
      </c>
      <c r="B419" s="183" t="str">
        <f t="shared" si="23"/>
        <v>927.0</v>
      </c>
      <c r="C419" s="184" t="s">
        <v>1702</v>
      </c>
      <c r="D419" t="s">
        <v>1703</v>
      </c>
      <c r="E419" s="470"/>
      <c r="F419" s="470"/>
      <c r="G419" s="175">
        <v>0</v>
      </c>
      <c r="H419" s="175">
        <v>0</v>
      </c>
      <c r="I419" s="175">
        <v>0</v>
      </c>
      <c r="J419" s="175">
        <v>0</v>
      </c>
      <c r="K419" s="175">
        <v>0</v>
      </c>
      <c r="L419" s="175">
        <v>0</v>
      </c>
      <c r="M419" s="175">
        <v>0</v>
      </c>
      <c r="N419" s="175">
        <v>0</v>
      </c>
      <c r="O419" s="175">
        <v>0</v>
      </c>
      <c r="P419" s="175">
        <v>0</v>
      </c>
      <c r="Q419" s="175">
        <v>0</v>
      </c>
      <c r="R419" s="175">
        <v>0</v>
      </c>
      <c r="S419" s="175">
        <v>0</v>
      </c>
      <c r="U419" s="175">
        <f t="shared" si="24"/>
        <v>0</v>
      </c>
    </row>
    <row r="420" spans="1:21">
      <c r="A420" s="183" t="str">
        <f t="shared" si="22"/>
        <v>928</v>
      </c>
      <c r="B420" s="183" t="str">
        <f t="shared" si="23"/>
        <v>928.0</v>
      </c>
      <c r="C420" s="184" t="s">
        <v>1704</v>
      </c>
      <c r="D420" t="s">
        <v>1705</v>
      </c>
      <c r="E420" s="470"/>
      <c r="F420" s="470"/>
      <c r="G420" s="175">
        <v>86763.935400500006</v>
      </c>
      <c r="H420" s="175">
        <v>175221.0555556</v>
      </c>
      <c r="I420" s="175">
        <v>175221.0555556</v>
      </c>
      <c r="J420" s="175">
        <v>175221.0555556</v>
      </c>
      <c r="K420" s="175">
        <v>175221.0555556</v>
      </c>
      <c r="L420" s="175">
        <v>175221.0555556</v>
      </c>
      <c r="M420" s="175">
        <v>175221.0555556</v>
      </c>
      <c r="N420" s="175">
        <v>175221.0555556</v>
      </c>
      <c r="O420" s="175">
        <v>175221.0555556</v>
      </c>
      <c r="P420" s="175">
        <v>175221.0555556</v>
      </c>
      <c r="Q420" s="175">
        <v>175221.0555556</v>
      </c>
      <c r="R420" s="175">
        <v>175221.0555556</v>
      </c>
      <c r="S420" s="175">
        <v>178221.0555556</v>
      </c>
      <c r="U420" s="175">
        <f t="shared" si="24"/>
        <v>168647.43092828462</v>
      </c>
    </row>
    <row r="421" spans="1:21">
      <c r="A421" s="183" t="str">
        <f t="shared" si="22"/>
        <v>929</v>
      </c>
      <c r="B421" s="183" t="str">
        <f t="shared" si="23"/>
        <v>929.0</v>
      </c>
      <c r="C421" s="184" t="s">
        <v>1706</v>
      </c>
      <c r="D421" t="s">
        <v>1707</v>
      </c>
      <c r="E421" s="470"/>
      <c r="F421" s="470"/>
      <c r="G421" s="175">
        <v>0</v>
      </c>
      <c r="H421" s="175">
        <v>0</v>
      </c>
      <c r="I421" s="175">
        <v>0</v>
      </c>
      <c r="J421" s="175">
        <v>0</v>
      </c>
      <c r="K421" s="175">
        <v>0</v>
      </c>
      <c r="L421" s="175">
        <v>0</v>
      </c>
      <c r="M421" s="175">
        <v>0</v>
      </c>
      <c r="N421" s="175">
        <v>0</v>
      </c>
      <c r="O421" s="175">
        <v>0</v>
      </c>
      <c r="P421" s="175">
        <v>0</v>
      </c>
      <c r="Q421" s="175">
        <v>0</v>
      </c>
      <c r="R421" s="175">
        <v>0</v>
      </c>
      <c r="S421" s="175">
        <v>0</v>
      </c>
      <c r="U421" s="175">
        <f t="shared" si="24"/>
        <v>0</v>
      </c>
    </row>
    <row r="422" spans="1:21">
      <c r="A422" s="183" t="str">
        <f t="shared" si="22"/>
        <v>930</v>
      </c>
      <c r="B422" s="183" t="str">
        <f t="shared" si="23"/>
        <v>930.1</v>
      </c>
      <c r="C422" s="184" t="s">
        <v>1708</v>
      </c>
      <c r="D422" t="s">
        <v>1709</v>
      </c>
      <c r="E422" s="470"/>
      <c r="F422" s="470"/>
      <c r="G422" s="175">
        <v>2333.3333333</v>
      </c>
      <c r="H422" s="175">
        <v>2333.3333333</v>
      </c>
      <c r="I422" s="175">
        <v>2333.3333333</v>
      </c>
      <c r="J422" s="175">
        <v>2333.3333333</v>
      </c>
      <c r="K422" s="175">
        <v>2333.3333333</v>
      </c>
      <c r="L422" s="175">
        <v>2333.3333333</v>
      </c>
      <c r="M422" s="175">
        <v>82333.333333300005</v>
      </c>
      <c r="N422" s="175">
        <v>2333.3333333</v>
      </c>
      <c r="O422" s="175">
        <v>2333.3333333</v>
      </c>
      <c r="P422" s="175">
        <v>2333.3333333</v>
      </c>
      <c r="Q422" s="175">
        <v>2333.3333333</v>
      </c>
      <c r="R422" s="175">
        <v>2333.3333333</v>
      </c>
      <c r="S422" s="175">
        <v>2333.3333333</v>
      </c>
      <c r="U422" s="175">
        <f t="shared" si="24"/>
        <v>8487.179487146157</v>
      </c>
    </row>
    <row r="423" spans="1:21">
      <c r="A423" s="183" t="str">
        <f t="shared" si="22"/>
        <v>930</v>
      </c>
      <c r="B423" s="183" t="str">
        <f t="shared" si="23"/>
        <v>930.2</v>
      </c>
      <c r="C423" s="184" t="s">
        <v>1710</v>
      </c>
      <c r="D423" t="s">
        <v>1711</v>
      </c>
      <c r="E423" s="470"/>
      <c r="F423" s="470"/>
      <c r="G423" s="175">
        <v>2176897.8939887001</v>
      </c>
      <c r="H423" s="175">
        <v>1595954.7675572999</v>
      </c>
      <c r="I423" s="175">
        <v>1013935.7786999</v>
      </c>
      <c r="J423" s="175">
        <v>2461243.8542702999</v>
      </c>
      <c r="K423" s="175">
        <v>1048779.9333378</v>
      </c>
      <c r="L423" s="175">
        <v>1027135.8734443</v>
      </c>
      <c r="M423" s="175">
        <v>2351952.6559273</v>
      </c>
      <c r="N423" s="175">
        <v>1007708.6927624</v>
      </c>
      <c r="O423" s="175">
        <v>1017014.5563598</v>
      </c>
      <c r="P423" s="175">
        <v>2482674.1446226998</v>
      </c>
      <c r="Q423" s="175">
        <v>1079552.2903636999</v>
      </c>
      <c r="R423" s="175">
        <v>1007802.6932697</v>
      </c>
      <c r="S423" s="175">
        <v>2217708.7489785999</v>
      </c>
      <c r="U423" s="175">
        <f t="shared" si="24"/>
        <v>1576027.8371986537</v>
      </c>
    </row>
    <row r="424" spans="1:21">
      <c r="A424" s="183" t="str">
        <f t="shared" si="22"/>
        <v>931</v>
      </c>
      <c r="B424" s="183" t="str">
        <f t="shared" si="23"/>
        <v>931.0</v>
      </c>
      <c r="C424" s="184" t="s">
        <v>1712</v>
      </c>
      <c r="D424" t="s">
        <v>1713</v>
      </c>
      <c r="E424" s="470"/>
      <c r="F424" s="470"/>
      <c r="G424" s="175">
        <v>154922.79</v>
      </c>
      <c r="H424" s="175">
        <v>155034.532125</v>
      </c>
      <c r="I424" s="175">
        <v>155034.532125</v>
      </c>
      <c r="J424" s="175">
        <v>155034.532125</v>
      </c>
      <c r="K424" s="175">
        <v>155034.532125</v>
      </c>
      <c r="L424" s="175">
        <v>155034.532125</v>
      </c>
      <c r="M424" s="175">
        <v>155034.532125</v>
      </c>
      <c r="N424" s="175">
        <v>155034.532125</v>
      </c>
      <c r="O424" s="175">
        <v>155034.532125</v>
      </c>
      <c r="P424" s="175">
        <v>155034.532125</v>
      </c>
      <c r="Q424" s="175">
        <v>155034.532125</v>
      </c>
      <c r="R424" s="175">
        <v>155034.532125</v>
      </c>
      <c r="S424" s="175">
        <v>155034.532125</v>
      </c>
      <c r="U424" s="175">
        <f t="shared" si="24"/>
        <v>155025.93657692304</v>
      </c>
    </row>
    <row r="425" spans="1:21">
      <c r="A425" s="183" t="str">
        <f t="shared" si="22"/>
        <v>932</v>
      </c>
      <c r="B425" s="183" t="str">
        <f t="shared" si="23"/>
        <v>932.0</v>
      </c>
      <c r="C425" s="184" t="s">
        <v>1714</v>
      </c>
      <c r="D425" t="s">
        <v>1715</v>
      </c>
      <c r="E425" s="470"/>
      <c r="F425" s="470"/>
      <c r="G425" s="175">
        <v>0</v>
      </c>
      <c r="H425" s="175">
        <v>0</v>
      </c>
      <c r="I425" s="175">
        <v>0</v>
      </c>
      <c r="J425" s="175">
        <v>0</v>
      </c>
      <c r="K425" s="175">
        <v>0</v>
      </c>
      <c r="L425" s="175">
        <v>0</v>
      </c>
      <c r="M425" s="175">
        <v>0</v>
      </c>
      <c r="N425" s="175">
        <v>0</v>
      </c>
      <c r="O425" s="175">
        <v>0</v>
      </c>
      <c r="P425" s="175">
        <v>0</v>
      </c>
      <c r="Q425" s="175">
        <v>0</v>
      </c>
      <c r="R425" s="175">
        <v>0</v>
      </c>
      <c r="S425" s="175">
        <v>0</v>
      </c>
      <c r="U425" s="175">
        <f t="shared" si="24"/>
        <v>0</v>
      </c>
    </row>
    <row r="426" spans="1:21">
      <c r="A426" s="183" t="str">
        <f t="shared" si="22"/>
        <v>935</v>
      </c>
      <c r="B426" s="183" t="str">
        <f t="shared" si="23"/>
        <v>935.0</v>
      </c>
      <c r="C426" s="184" t="s">
        <v>1716</v>
      </c>
      <c r="D426" t="s">
        <v>1717</v>
      </c>
      <c r="E426" s="470"/>
      <c r="F426" s="470"/>
      <c r="G426" s="175">
        <v>162582.93025999999</v>
      </c>
      <c r="H426" s="175">
        <v>198975.0698734</v>
      </c>
      <c r="I426" s="175">
        <v>161011.04337239999</v>
      </c>
      <c r="J426" s="175">
        <v>146126.7133724</v>
      </c>
      <c r="K426" s="175">
        <v>152540.7344633</v>
      </c>
      <c r="L426" s="175">
        <v>155172.2760022</v>
      </c>
      <c r="M426" s="175">
        <v>142768.02054980001</v>
      </c>
      <c r="N426" s="175">
        <v>219468.36091640001</v>
      </c>
      <c r="O426" s="175">
        <v>151031.25046780001</v>
      </c>
      <c r="P426" s="175">
        <v>146899.14001850001</v>
      </c>
      <c r="Q426" s="175">
        <v>162348.36091640001</v>
      </c>
      <c r="R426" s="175">
        <v>146900.14001850001</v>
      </c>
      <c r="S426" s="175">
        <v>151040.52217809999</v>
      </c>
      <c r="U426" s="175">
        <f t="shared" si="24"/>
        <v>161297.27403147693</v>
      </c>
    </row>
    <row r="427" spans="1:21">
      <c r="A427" s="183"/>
      <c r="B427" s="183"/>
      <c r="C427" s="184"/>
      <c r="E427" s="471"/>
      <c r="F427" s="471"/>
    </row>
    <row r="428" spans="1:21" hidden="1">
      <c r="A428" s="181"/>
      <c r="B428" s="181"/>
      <c r="E428" s="472"/>
      <c r="F428" s="472"/>
    </row>
    <row r="429" spans="1:21" hidden="1"/>
    <row r="430" spans="1:21" hidden="1"/>
    <row r="431" spans="1:21" hidden="1"/>
    <row r="432" spans="1:21" hidden="1"/>
    <row r="433" spans="1:21" hidden="1"/>
    <row r="434" spans="1:21" hidden="1"/>
    <row r="435" spans="1:21" hidden="1"/>
    <row r="436" spans="1:21" hidden="1"/>
    <row r="437" spans="1:21" hidden="1">
      <c r="A437" s="181"/>
      <c r="B437" s="181"/>
      <c r="T437" s="175"/>
    </row>
    <row r="438" spans="1:21" hidden="1">
      <c r="G438"/>
      <c r="H438"/>
      <c r="I438"/>
      <c r="J438"/>
      <c r="K438"/>
      <c r="L438"/>
      <c r="M438"/>
      <c r="N438"/>
      <c r="O438"/>
      <c r="P438"/>
      <c r="Q438"/>
      <c r="R438"/>
      <c r="S438"/>
      <c r="T438"/>
      <c r="U438"/>
    </row>
    <row r="439" spans="1:21" hidden="1">
      <c r="G439"/>
      <c r="H439"/>
      <c r="I439"/>
      <c r="J439"/>
      <c r="K439"/>
      <c r="L439"/>
      <c r="M439"/>
      <c r="N439"/>
      <c r="O439"/>
      <c r="P439"/>
      <c r="Q439"/>
      <c r="R439"/>
      <c r="S439"/>
      <c r="T439"/>
      <c r="U439"/>
    </row>
    <row r="440" spans="1:21" hidden="1">
      <c r="G440"/>
      <c r="H440"/>
      <c r="I440"/>
      <c r="J440"/>
      <c r="K440"/>
      <c r="L440"/>
      <c r="M440"/>
      <c r="N440"/>
      <c r="O440"/>
      <c r="P440"/>
      <c r="Q440"/>
      <c r="R440"/>
      <c r="S440"/>
      <c r="T440"/>
      <c r="U440"/>
    </row>
    <row r="441" spans="1:21" hidden="1">
      <c r="G441"/>
    </row>
    <row r="442" spans="1:21" hidden="1">
      <c r="G442"/>
    </row>
    <row r="443" spans="1:21" hidden="1">
      <c r="G443"/>
    </row>
    <row r="444" spans="1:21" hidden="1">
      <c r="A444" s="181"/>
      <c r="B444" s="181"/>
      <c r="G444"/>
    </row>
    <row r="445" spans="1:21" hidden="1">
      <c r="A445" s="181"/>
      <c r="B445" s="181"/>
      <c r="G445"/>
    </row>
    <row r="446" spans="1:21" hidden="1">
      <c r="A446" s="181"/>
      <c r="B446" s="181"/>
      <c r="G446"/>
    </row>
    <row r="447" spans="1:21" hidden="1">
      <c r="A447" s="181"/>
      <c r="B447" s="181"/>
      <c r="G447"/>
    </row>
    <row r="448" spans="1:21" hidden="1">
      <c r="A448" s="181"/>
      <c r="B448" s="181"/>
      <c r="G448"/>
    </row>
    <row r="449" spans="1:7" hidden="1">
      <c r="A449" s="181"/>
      <c r="B449" s="181"/>
      <c r="G449"/>
    </row>
    <row r="450" spans="1:7" hidden="1">
      <c r="A450" s="181"/>
      <c r="B450" s="181"/>
      <c r="G450"/>
    </row>
    <row r="451" spans="1:7" hidden="1">
      <c r="A451" s="181"/>
      <c r="B451" s="181"/>
      <c r="G451"/>
    </row>
    <row r="452" spans="1:7" hidden="1">
      <c r="A452" s="181"/>
      <c r="B452" s="181"/>
      <c r="G452"/>
    </row>
    <row r="453" spans="1:7" hidden="1">
      <c r="A453" s="181"/>
      <c r="B453" s="181"/>
      <c r="G453"/>
    </row>
    <row r="454" spans="1:7" hidden="1">
      <c r="A454" s="181"/>
      <c r="B454" s="181"/>
      <c r="G454"/>
    </row>
    <row r="455" spans="1:7" hidden="1">
      <c r="A455" s="181"/>
      <c r="B455" s="181"/>
      <c r="G455"/>
    </row>
    <row r="456" spans="1:7" hidden="1">
      <c r="A456" s="181"/>
      <c r="B456" s="181"/>
      <c r="G456"/>
    </row>
    <row r="457" spans="1:7" hidden="1"/>
    <row r="458" spans="1:7" hidden="1"/>
    <row r="459" spans="1:7" hidden="1"/>
    <row r="460" spans="1:7" hidden="1"/>
    <row r="461" spans="1:7" hidden="1"/>
    <row r="462" spans="1:7" hidden="1"/>
    <row r="463" spans="1:7" hidden="1"/>
    <row r="464" spans="1:7"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spans="1:21" hidden="1"/>
    <row r="498" spans="1:21" hidden="1"/>
    <row r="499" spans="1:21" hidden="1"/>
    <row r="501" spans="1:21">
      <c r="A501" s="181"/>
      <c r="B501" s="181"/>
      <c r="C501" t="s">
        <v>1718</v>
      </c>
      <c r="D501" t="s">
        <v>1719</v>
      </c>
      <c r="E501" s="472"/>
      <c r="F501" s="472"/>
      <c r="G501" s="175">
        <v>117987584.08</v>
      </c>
      <c r="H501" s="174">
        <v>118667989.92</v>
      </c>
      <c r="I501" s="174">
        <v>122035603.58</v>
      </c>
      <c r="J501" s="174">
        <v>122873796.01000001</v>
      </c>
      <c r="K501" s="174">
        <v>128055506.58</v>
      </c>
      <c r="L501" s="174">
        <v>128660737.22</v>
      </c>
      <c r="M501" s="174">
        <v>128985178.48</v>
      </c>
      <c r="N501" s="174">
        <v>129208584.41</v>
      </c>
      <c r="O501" s="174">
        <v>129512793.52</v>
      </c>
      <c r="P501" s="174">
        <v>129871133.97</v>
      </c>
      <c r="Q501" s="174">
        <v>130255539.47</v>
      </c>
      <c r="R501" s="174">
        <v>130660004.8</v>
      </c>
      <c r="S501" s="175">
        <v>131185925.19</v>
      </c>
      <c r="T501" s="175"/>
      <c r="U501" s="175">
        <f>AVERAGE(G501:S501)</f>
        <v>126766182.86384615</v>
      </c>
    </row>
    <row r="502" spans="1:21">
      <c r="A502" s="181"/>
      <c r="B502" s="530">
        <v>1900610</v>
      </c>
      <c r="C502" s="531"/>
      <c r="D502" s="531" t="s">
        <v>1720</v>
      </c>
      <c r="E502" s="472"/>
      <c r="F502" s="472"/>
      <c r="G502" s="175">
        <v>-66015901.759999998</v>
      </c>
      <c r="H502" s="174">
        <v>-65784011.450000003</v>
      </c>
      <c r="I502" s="174">
        <v>-69831361.519999996</v>
      </c>
      <c r="J502" s="174">
        <v>-69563811</v>
      </c>
      <c r="K502" s="174">
        <v>-76510625.909999996</v>
      </c>
      <c r="L502" s="174">
        <v>-76182955.299999997</v>
      </c>
      <c r="M502" s="174">
        <v>-75855284.760000005</v>
      </c>
      <c r="N502" s="174">
        <v>-75527614.239999995</v>
      </c>
      <c r="O502" s="174">
        <v>-75199943.670000002</v>
      </c>
      <c r="P502" s="174">
        <v>-74872273.140000001</v>
      </c>
      <c r="Q502" s="174">
        <v>-74544602.549999997</v>
      </c>
      <c r="R502" s="174">
        <v>-74216932.030000001</v>
      </c>
      <c r="S502" s="175">
        <v>-74295549.310000002</v>
      </c>
      <c r="T502" s="175"/>
    </row>
    <row r="503" spans="1:21">
      <c r="A503" s="181"/>
      <c r="B503" s="181"/>
      <c r="C503" s="128">
        <v>2540610</v>
      </c>
      <c r="D503" t="s">
        <v>1721</v>
      </c>
      <c r="E503" s="472"/>
      <c r="F503" s="472"/>
      <c r="G503" s="175">
        <v>440307185.86000001</v>
      </c>
      <c r="H503" s="175">
        <v>437080478.91000003</v>
      </c>
      <c r="I503" s="175">
        <v>438133012.32999998</v>
      </c>
      <c r="J503" s="175">
        <v>440690197.31</v>
      </c>
      <c r="K503" s="175">
        <v>444642195.54000002</v>
      </c>
      <c r="L503" s="175">
        <v>441319708.37</v>
      </c>
      <c r="M503" s="175">
        <v>437814467.25</v>
      </c>
      <c r="N503" s="175">
        <v>434491980.13</v>
      </c>
      <c r="O503" s="175">
        <v>431169492.88999999</v>
      </c>
      <c r="P503" s="175">
        <v>414317539.58999997</v>
      </c>
      <c r="Q503" s="175">
        <v>410995052.31999999</v>
      </c>
      <c r="R503" s="175">
        <v>407672565.20999998</v>
      </c>
      <c r="S503" s="175">
        <v>412649033.60000002</v>
      </c>
      <c r="T503" s="175"/>
      <c r="U503" s="175">
        <f>AVERAGE(G503:S503)</f>
        <v>430098685.33153844</v>
      </c>
    </row>
    <row r="504" spans="1:21">
      <c r="A504" s="181"/>
      <c r="B504" s="530">
        <v>2820610</v>
      </c>
      <c r="C504" s="531"/>
      <c r="D504" s="531" t="s">
        <v>1722</v>
      </c>
      <c r="E504" s="472"/>
      <c r="F504" s="472"/>
      <c r="G504" s="175">
        <v>-191156390.05000001</v>
      </c>
      <c r="H504" s="175">
        <v>-188415545.75999999</v>
      </c>
      <c r="I504" s="175">
        <v>-183668566.44999999</v>
      </c>
      <c r="J504" s="175">
        <v>-185154513.24000001</v>
      </c>
      <c r="K504" s="175">
        <v>-179053219.88</v>
      </c>
      <c r="L504" s="175">
        <v>-176368497.61000001</v>
      </c>
      <c r="M504" s="175">
        <v>-173756963.78999999</v>
      </c>
      <c r="N504" s="175">
        <v>-171357292.75</v>
      </c>
      <c r="O504" s="175">
        <v>-168897298.12</v>
      </c>
      <c r="P504" s="175">
        <v>-156296468.78</v>
      </c>
      <c r="Q504" s="175">
        <v>-153776603.58000001</v>
      </c>
      <c r="R504" s="175">
        <v>-151241762.66</v>
      </c>
      <c r="S504" s="175">
        <v>-154508520.56999999</v>
      </c>
      <c r="T504" s="175"/>
    </row>
    <row r="505" spans="1:21">
      <c r="A505" s="181"/>
      <c r="B505" s="530">
        <v>2830610</v>
      </c>
      <c r="C505" s="531"/>
      <c r="D505" s="531" t="s">
        <v>1723</v>
      </c>
      <c r="E505" s="472"/>
      <c r="F505" s="472"/>
      <c r="G505" s="175">
        <v>-65147308.969999999</v>
      </c>
      <c r="H505" s="175">
        <v>-64212930.780000001</v>
      </c>
      <c r="I505" s="175">
        <v>-62597479.780000001</v>
      </c>
      <c r="J505" s="175">
        <v>-63098076.060000002</v>
      </c>
      <c r="K505" s="175">
        <v>-61022842.170000002</v>
      </c>
      <c r="L505" s="175">
        <v>-60107517.240000002</v>
      </c>
      <c r="M505" s="175">
        <v>-59217039.219999999</v>
      </c>
      <c r="N505" s="175">
        <v>-58398487.729999997</v>
      </c>
      <c r="O505" s="175">
        <v>-57559456.579999998</v>
      </c>
      <c r="P505" s="175">
        <v>-53277662.700000003</v>
      </c>
      <c r="Q505" s="175">
        <v>-52418305.719999999</v>
      </c>
      <c r="R505" s="175">
        <v>-51553864.719999999</v>
      </c>
      <c r="S505" s="175">
        <v>-52659037.530000001</v>
      </c>
      <c r="T505" s="175"/>
    </row>
    <row r="506" spans="1:21">
      <c r="A506" t="s">
        <v>1724</v>
      </c>
      <c r="B506" s="189" t="s">
        <v>1724</v>
      </c>
      <c r="D506" t="s">
        <v>1725</v>
      </c>
      <c r="E506" s="472"/>
      <c r="F506" s="472"/>
      <c r="G506" s="175">
        <v>0</v>
      </c>
      <c r="H506" s="175">
        <v>0</v>
      </c>
      <c r="I506" s="175">
        <v>0</v>
      </c>
      <c r="J506" s="175">
        <v>0</v>
      </c>
      <c r="K506" s="175">
        <v>0</v>
      </c>
      <c r="L506" s="175">
        <v>0</v>
      </c>
      <c r="M506" s="175">
        <v>0</v>
      </c>
      <c r="N506" s="175">
        <v>0</v>
      </c>
      <c r="O506" s="175">
        <v>0</v>
      </c>
      <c r="P506" s="175">
        <v>0</v>
      </c>
      <c r="Q506" s="175">
        <v>0</v>
      </c>
      <c r="R506" s="175">
        <v>0</v>
      </c>
      <c r="S506" s="175">
        <v>0</v>
      </c>
      <c r="T506" s="175"/>
      <c r="U506" s="175">
        <f>AVERAGE(G506:S506)</f>
        <v>0</v>
      </c>
    </row>
    <row r="507" spans="1:21">
      <c r="A507" t="s">
        <v>1726</v>
      </c>
      <c r="B507" s="190" t="s">
        <v>1726</v>
      </c>
      <c r="D507" t="s">
        <v>1727</v>
      </c>
      <c r="G507" s="174">
        <v>0</v>
      </c>
      <c r="H507" s="174">
        <v>0</v>
      </c>
      <c r="I507" s="174">
        <v>0</v>
      </c>
      <c r="J507" s="174">
        <v>0</v>
      </c>
      <c r="K507" s="174">
        <v>0</v>
      </c>
      <c r="L507" s="174">
        <v>0</v>
      </c>
      <c r="M507" s="174">
        <v>0</v>
      </c>
      <c r="N507" s="174">
        <v>0</v>
      </c>
      <c r="O507" s="174">
        <v>0</v>
      </c>
      <c r="P507" s="174">
        <v>0</v>
      </c>
      <c r="Q507" s="174">
        <v>0</v>
      </c>
      <c r="R507" s="174">
        <v>0</v>
      </c>
      <c r="S507" s="174">
        <v>0</v>
      </c>
      <c r="T507" s="175"/>
      <c r="U507" s="175">
        <f>AVERAGE(G507:S507)</f>
        <v>0</v>
      </c>
    </row>
    <row r="508" spans="1:21">
      <c r="A508" t="s">
        <v>1728</v>
      </c>
      <c r="B508" s="190" t="s">
        <v>1728</v>
      </c>
      <c r="D508" t="s">
        <v>1729</v>
      </c>
      <c r="G508">
        <v>450320.28000000067</v>
      </c>
      <c r="H508">
        <v>145176.47000000067</v>
      </c>
      <c r="I508">
        <v>-201876.90999999933</v>
      </c>
      <c r="J508">
        <v>-1115842.1299999992</v>
      </c>
      <c r="K508">
        <v>-618612.01999999909</v>
      </c>
      <c r="L508">
        <v>-979058.20999999903</v>
      </c>
      <c r="M508">
        <v>-336360.81999999896</v>
      </c>
      <c r="N508">
        <v>-1407198.0399999989</v>
      </c>
      <c r="O508">
        <v>-2111391.9899999988</v>
      </c>
      <c r="P508">
        <v>-1455112.3399999989</v>
      </c>
      <c r="Q508">
        <v>-1831006.7899999989</v>
      </c>
      <c r="R508">
        <v>-2217067.7899999986</v>
      </c>
      <c r="S508">
        <v>45876.050000001167</v>
      </c>
      <c r="T508" s="175"/>
      <c r="U508" s="175">
        <f>AVERAGE(G508:R508)</f>
        <v>-973169.19083333237</v>
      </c>
    </row>
    <row r="521" spans="5:6">
      <c r="E521" s="473"/>
      <c r="F521" s="473"/>
    </row>
  </sheetData>
  <pageMargins left="0.7" right="0.7" top="0.75" bottom="0.75" header="0.3" footer="0.3"/>
  <customProperties>
    <customPr name="EpmWorksheetKeyString_GUID" r:id="rId1"/>
  </customPropertie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1F6FD-3242-4404-AC88-F8497E3E8601}">
  <sheetPr>
    <tabColor rgb="FF66FF99"/>
  </sheetPr>
  <dimension ref="A1:U508"/>
  <sheetViews>
    <sheetView zoomScale="90" zoomScaleNormal="90" workbookViewId="0">
      <pane ySplit="4" topLeftCell="A5" activePane="bottomLeft" state="frozen"/>
      <selection activeCell="K169" sqref="K169"/>
      <selection pane="bottomLeft" activeCell="G5" sqref="G5"/>
    </sheetView>
  </sheetViews>
  <sheetFormatPr defaultRowHeight="14.4"/>
  <cols>
    <col min="1" max="1" width="7" customWidth="1"/>
    <col min="2" max="2" width="8.44140625" customWidth="1"/>
    <col min="3" max="3" width="9.109375" customWidth="1"/>
    <col min="4" max="4" width="50.6640625" customWidth="1"/>
    <col min="5" max="6" width="1.109375" style="462" customWidth="1"/>
    <col min="7" max="7" width="18.33203125" style="175" bestFit="1" customWidth="1"/>
    <col min="8" max="19" width="19.5546875" style="175" bestFit="1" customWidth="1"/>
    <col min="20" max="20" width="4.88671875" style="175" bestFit="1" customWidth="1"/>
    <col min="21" max="21" width="18.44140625" style="175" bestFit="1" customWidth="1"/>
    <col min="22" max="22" width="14.44140625" bestFit="1" customWidth="1"/>
  </cols>
  <sheetData>
    <row r="1" spans="1:21">
      <c r="C1" s="249" t="s">
        <v>1730</v>
      </c>
      <c r="D1" s="248"/>
      <c r="E1" s="461"/>
      <c r="F1" s="461"/>
      <c r="G1" s="175">
        <f t="shared" ref="G1" si="0">SUM(G6:G80)</f>
        <v>12291169296.059998</v>
      </c>
      <c r="H1" s="174">
        <f t="shared" ref="H1:S1" si="1">SUM(H6:H80)</f>
        <v>12290660835.076008</v>
      </c>
      <c r="I1" s="174">
        <f t="shared" si="1"/>
        <v>12329634121.218929</v>
      </c>
      <c r="J1" s="174">
        <f t="shared" si="1"/>
        <v>12404357399.791056</v>
      </c>
      <c r="K1" s="174">
        <f t="shared" si="1"/>
        <v>12499163287.71348</v>
      </c>
      <c r="L1" s="174">
        <f t="shared" si="1"/>
        <v>12594824454.153286</v>
      </c>
      <c r="M1" s="174">
        <f t="shared" si="1"/>
        <v>12732209142.71356</v>
      </c>
      <c r="N1" s="174">
        <f t="shared" si="1"/>
        <v>12822343777.086954</v>
      </c>
      <c r="O1" s="174">
        <f t="shared" si="1"/>
        <v>12869313054.058615</v>
      </c>
      <c r="P1" s="174">
        <f t="shared" si="1"/>
        <v>12944731225.117064</v>
      </c>
      <c r="Q1" s="174">
        <f t="shared" si="1"/>
        <v>12965144481.875286</v>
      </c>
      <c r="R1" s="174">
        <f t="shared" si="1"/>
        <v>12994456314.819798</v>
      </c>
      <c r="S1" s="174">
        <f t="shared" si="1"/>
        <v>13050021784.11134</v>
      </c>
      <c r="T1" s="174"/>
      <c r="U1" s="175">
        <f t="shared" ref="U1" si="2">SUM(U6:U80)</f>
        <v>12676002244.138109</v>
      </c>
    </row>
    <row r="2" spans="1:21">
      <c r="A2" s="176" t="s">
        <v>885</v>
      </c>
      <c r="B2" s="176" t="s">
        <v>885</v>
      </c>
      <c r="G2" s="175">
        <f t="shared" ref="G2:S2" si="3">SUM(G81:G123)</f>
        <v>12291169296.060003</v>
      </c>
      <c r="H2" s="174">
        <f t="shared" si="3"/>
        <v>12290660835.07601</v>
      </c>
      <c r="I2" s="174">
        <f t="shared" si="3"/>
        <v>12329634121.218931</v>
      </c>
      <c r="J2" s="174">
        <f t="shared" si="3"/>
        <v>12404357399.791059</v>
      </c>
      <c r="K2" s="174">
        <f t="shared" si="3"/>
        <v>12499163287.71348</v>
      </c>
      <c r="L2" s="174">
        <f t="shared" si="3"/>
        <v>12594824454.153292</v>
      </c>
      <c r="M2" s="174">
        <f t="shared" si="3"/>
        <v>12732209142.71356</v>
      </c>
      <c r="N2" s="174">
        <f t="shared" si="3"/>
        <v>12822343777.086958</v>
      </c>
      <c r="O2" s="174">
        <f t="shared" si="3"/>
        <v>12869313054.058615</v>
      </c>
      <c r="P2" s="174">
        <f t="shared" si="3"/>
        <v>12944731225.117067</v>
      </c>
      <c r="Q2" s="174">
        <f t="shared" si="3"/>
        <v>12965144481.875288</v>
      </c>
      <c r="R2" s="174">
        <f t="shared" si="3"/>
        <v>12994456314.819796</v>
      </c>
      <c r="S2" s="174">
        <f t="shared" si="3"/>
        <v>13050021784.111338</v>
      </c>
      <c r="T2" s="174"/>
      <c r="U2" s="175">
        <f t="shared" ref="U2" si="4">SUM(U81:U123)</f>
        <v>12676002244.138102</v>
      </c>
    </row>
    <row r="3" spans="1:21" ht="15">
      <c r="A3" s="177"/>
      <c r="B3" s="177"/>
      <c r="G3" s="447" t="s">
        <v>1731</v>
      </c>
      <c r="H3" s="456" t="s">
        <v>886</v>
      </c>
      <c r="I3" s="456" t="s">
        <v>886</v>
      </c>
      <c r="J3" s="456" t="s">
        <v>886</v>
      </c>
      <c r="K3" s="456" t="s">
        <v>886</v>
      </c>
      <c r="L3" s="456" t="s">
        <v>886</v>
      </c>
      <c r="M3" s="456" t="s">
        <v>886</v>
      </c>
      <c r="N3" s="456" t="s">
        <v>886</v>
      </c>
      <c r="O3" s="456" t="s">
        <v>886</v>
      </c>
      <c r="P3" s="456" t="s">
        <v>886</v>
      </c>
      <c r="Q3" s="456" t="s">
        <v>886</v>
      </c>
      <c r="R3" s="456" t="s">
        <v>886</v>
      </c>
      <c r="S3" s="456" t="s">
        <v>886</v>
      </c>
      <c r="T3" s="456"/>
      <c r="U3" s="456" t="s">
        <v>886</v>
      </c>
    </row>
    <row r="4" spans="1:21" ht="15">
      <c r="A4" s="179" t="s">
        <v>887</v>
      </c>
      <c r="B4" s="179" t="s">
        <v>888</v>
      </c>
      <c r="C4" s="180" t="s">
        <v>889</v>
      </c>
      <c r="D4" s="124" t="s">
        <v>890</v>
      </c>
      <c r="E4" s="463"/>
      <c r="F4" s="463"/>
      <c r="G4" s="448" t="s">
        <v>1732</v>
      </c>
      <c r="H4" s="448" t="s">
        <v>1733</v>
      </c>
      <c r="I4" s="448" t="s">
        <v>1734</v>
      </c>
      <c r="J4" s="448" t="s">
        <v>1735</v>
      </c>
      <c r="K4" s="448" t="s">
        <v>1736</v>
      </c>
      <c r="L4" s="448" t="s">
        <v>1737</v>
      </c>
      <c r="M4" s="448" t="s">
        <v>1738</v>
      </c>
      <c r="N4" s="448" t="s">
        <v>1739</v>
      </c>
      <c r="O4" s="448" t="s">
        <v>1740</v>
      </c>
      <c r="P4" s="448" t="s">
        <v>1741</v>
      </c>
      <c r="Q4" s="448" t="s">
        <v>1742</v>
      </c>
      <c r="R4" s="448" t="s">
        <v>1743</v>
      </c>
      <c r="S4" s="448" t="s">
        <v>891</v>
      </c>
      <c r="T4" s="457"/>
      <c r="U4" s="450" t="s">
        <v>1744</v>
      </c>
    </row>
    <row r="5" spans="1:21">
      <c r="A5" s="181"/>
      <c r="B5" s="181"/>
      <c r="E5" s="468"/>
      <c r="F5" s="469"/>
      <c r="G5" s="182">
        <v>7</v>
      </c>
      <c r="H5" s="182">
        <v>8</v>
      </c>
      <c r="I5" s="182">
        <v>9</v>
      </c>
      <c r="J5" s="182">
        <v>10</v>
      </c>
      <c r="K5" s="182">
        <v>11</v>
      </c>
      <c r="L5" s="182">
        <v>12</v>
      </c>
      <c r="M5" s="182">
        <v>13</v>
      </c>
      <c r="N5" s="182">
        <v>14</v>
      </c>
      <c r="O5" s="182">
        <v>15</v>
      </c>
      <c r="P5" s="182">
        <v>16</v>
      </c>
      <c r="Q5" s="182">
        <v>17</v>
      </c>
      <c r="R5" s="182">
        <v>18</v>
      </c>
      <c r="S5" s="182">
        <v>19</v>
      </c>
      <c r="T5" s="174"/>
    </row>
    <row r="6" spans="1:21">
      <c r="A6" s="183" t="str">
        <f>MID(C6,2,3)</f>
        <v>101</v>
      </c>
      <c r="B6" s="183" t="str">
        <f>MID(C6,2,3)&amp;"."&amp;MID(C6,5,1)</f>
        <v>101.0</v>
      </c>
      <c r="C6" s="184" t="s">
        <v>905</v>
      </c>
      <c r="D6" t="s">
        <v>388</v>
      </c>
      <c r="G6" s="175">
        <v>10414173451.530001</v>
      </c>
      <c r="H6" s="175">
        <v>10489209833.700001</v>
      </c>
      <c r="I6" s="175">
        <v>10590717314.809999</v>
      </c>
      <c r="J6" s="175">
        <v>10727421506.360001</v>
      </c>
      <c r="K6" s="175">
        <v>10805506158.35</v>
      </c>
      <c r="L6" s="175">
        <v>10908822882.139999</v>
      </c>
      <c r="M6" s="175">
        <v>10983505941.58</v>
      </c>
      <c r="N6" s="175">
        <v>11018179664.860001</v>
      </c>
      <c r="O6" s="175">
        <v>11066612281.309999</v>
      </c>
      <c r="P6" s="175">
        <v>11142033320.9</v>
      </c>
      <c r="Q6" s="175">
        <v>11190117298.91</v>
      </c>
      <c r="R6" s="175">
        <v>11224551924.290001</v>
      </c>
      <c r="S6" s="175">
        <v>11533012185.780001</v>
      </c>
      <c r="U6" s="175">
        <f>AVERAGE(G6:S6)</f>
        <v>10930297212.655384</v>
      </c>
    </row>
    <row r="7" spans="1:21">
      <c r="A7" s="183" t="str">
        <f t="shared" ref="A7:A70" si="5">MID(C7,2,3)</f>
        <v>101</v>
      </c>
      <c r="B7" s="183" t="str">
        <f t="shared" ref="B7:B70" si="6">MID(C7,2,3)&amp;"."&amp;MID(C7,5,1)</f>
        <v>101.1</v>
      </c>
      <c r="C7" s="184" t="s">
        <v>906</v>
      </c>
      <c r="D7" t="s">
        <v>907</v>
      </c>
      <c r="G7" s="175">
        <v>24214614.43</v>
      </c>
      <c r="H7" s="175">
        <v>35100642.285437196</v>
      </c>
      <c r="I7" s="175">
        <v>34888145.3148112</v>
      </c>
      <c r="J7" s="175">
        <v>34675226.455837697</v>
      </c>
      <c r="K7" s="175">
        <v>34461884.4720615</v>
      </c>
      <c r="L7" s="175">
        <v>34248118.123580001</v>
      </c>
      <c r="M7" s="175">
        <v>34033926.167033002</v>
      </c>
      <c r="N7" s="175">
        <v>33819307.355595201</v>
      </c>
      <c r="O7" s="175">
        <v>33604257.228881903</v>
      </c>
      <c r="P7" s="175">
        <v>33388774.521179099</v>
      </c>
      <c r="Q7" s="175">
        <v>33172857.963236898</v>
      </c>
      <c r="R7" s="175">
        <v>32956506.282259699</v>
      </c>
      <c r="S7" s="175">
        <v>32739718.201897901</v>
      </c>
      <c r="U7" s="175">
        <f t="shared" ref="U7:U70" si="7">AVERAGE(G7:S7)</f>
        <v>33177229.138600867</v>
      </c>
    </row>
    <row r="8" spans="1:21">
      <c r="A8" s="183" t="str">
        <f t="shared" si="5"/>
        <v>102</v>
      </c>
      <c r="B8" s="183" t="str">
        <f t="shared" si="6"/>
        <v>102.0</v>
      </c>
      <c r="C8" s="184" t="s">
        <v>908</v>
      </c>
      <c r="D8" t="s">
        <v>909</v>
      </c>
      <c r="G8" s="175">
        <v>411071.06</v>
      </c>
      <c r="H8" s="175">
        <v>411071.06</v>
      </c>
      <c r="I8" s="175">
        <v>411071.06</v>
      </c>
      <c r="J8" s="175">
        <v>411071.06</v>
      </c>
      <c r="K8" s="175">
        <v>411071.06</v>
      </c>
      <c r="L8" s="175">
        <v>411071.06</v>
      </c>
      <c r="M8" s="175">
        <v>0</v>
      </c>
      <c r="N8" s="175">
        <v>0</v>
      </c>
      <c r="O8" s="175">
        <v>0</v>
      </c>
      <c r="P8" s="175">
        <v>0</v>
      </c>
      <c r="Q8" s="175">
        <v>0</v>
      </c>
      <c r="R8" s="175">
        <v>0</v>
      </c>
      <c r="S8" s="175">
        <v>0</v>
      </c>
      <c r="U8" s="175">
        <f t="shared" si="7"/>
        <v>189725.1046153846</v>
      </c>
    </row>
    <row r="9" spans="1:21">
      <c r="A9" s="183" t="str">
        <f t="shared" si="5"/>
        <v>103</v>
      </c>
      <c r="B9" s="183" t="str">
        <f t="shared" si="6"/>
        <v>103.0</v>
      </c>
      <c r="C9" s="184" t="s">
        <v>910</v>
      </c>
      <c r="D9" t="s">
        <v>911</v>
      </c>
      <c r="G9" s="175">
        <v>0</v>
      </c>
      <c r="H9" s="175">
        <v>0</v>
      </c>
      <c r="I9" s="175">
        <v>0</v>
      </c>
      <c r="J9" s="175">
        <v>0</v>
      </c>
      <c r="K9" s="175">
        <v>0</v>
      </c>
      <c r="L9" s="175">
        <v>0</v>
      </c>
      <c r="M9" s="175">
        <v>0</v>
      </c>
      <c r="N9" s="175">
        <v>0</v>
      </c>
      <c r="O9" s="175">
        <v>0</v>
      </c>
      <c r="P9" s="175">
        <v>0</v>
      </c>
      <c r="Q9" s="175">
        <v>0</v>
      </c>
      <c r="R9" s="175">
        <v>0</v>
      </c>
      <c r="S9" s="175">
        <v>0</v>
      </c>
      <c r="U9" s="175">
        <f t="shared" si="7"/>
        <v>0</v>
      </c>
    </row>
    <row r="10" spans="1:21">
      <c r="A10" s="183" t="str">
        <f t="shared" si="5"/>
        <v>103</v>
      </c>
      <c r="B10" s="183" t="str">
        <f t="shared" si="6"/>
        <v>103.1</v>
      </c>
      <c r="C10" s="184" t="s">
        <v>912</v>
      </c>
      <c r="D10" t="s">
        <v>913</v>
      </c>
      <c r="G10" s="175">
        <v>0</v>
      </c>
      <c r="H10" s="175">
        <v>0</v>
      </c>
      <c r="I10" s="175">
        <v>0</v>
      </c>
      <c r="J10" s="175">
        <v>0</v>
      </c>
      <c r="K10" s="175">
        <v>0</v>
      </c>
      <c r="L10" s="175">
        <v>0</v>
      </c>
      <c r="M10" s="175">
        <v>0</v>
      </c>
      <c r="N10" s="175">
        <v>0</v>
      </c>
      <c r="O10" s="175">
        <v>0</v>
      </c>
      <c r="P10" s="175">
        <v>0</v>
      </c>
      <c r="Q10" s="175">
        <v>0</v>
      </c>
      <c r="R10" s="175">
        <v>0</v>
      </c>
      <c r="S10" s="175">
        <v>0</v>
      </c>
      <c r="U10" s="175">
        <f t="shared" si="7"/>
        <v>0</v>
      </c>
    </row>
    <row r="11" spans="1:21">
      <c r="A11" s="183" t="str">
        <f t="shared" si="5"/>
        <v>104</v>
      </c>
      <c r="B11" s="183" t="str">
        <f t="shared" si="6"/>
        <v>104.0</v>
      </c>
      <c r="C11" s="184" t="s">
        <v>914</v>
      </c>
      <c r="D11" t="s">
        <v>915</v>
      </c>
      <c r="G11" s="175">
        <v>0</v>
      </c>
      <c r="H11" s="175">
        <v>0</v>
      </c>
      <c r="I11" s="175">
        <v>0</v>
      </c>
      <c r="J11" s="175">
        <v>0</v>
      </c>
      <c r="K11" s="175">
        <v>0</v>
      </c>
      <c r="L11" s="175">
        <v>0</v>
      </c>
      <c r="M11" s="175">
        <v>0</v>
      </c>
      <c r="N11" s="175">
        <v>0</v>
      </c>
      <c r="O11" s="175">
        <v>0</v>
      </c>
      <c r="P11" s="175">
        <v>0</v>
      </c>
      <c r="Q11" s="175">
        <v>0</v>
      </c>
      <c r="R11" s="175">
        <v>0</v>
      </c>
      <c r="S11" s="175">
        <v>0</v>
      </c>
      <c r="U11" s="175">
        <f t="shared" si="7"/>
        <v>0</v>
      </c>
    </row>
    <row r="12" spans="1:21">
      <c r="A12" s="183" t="str">
        <f t="shared" si="5"/>
        <v>105</v>
      </c>
      <c r="B12" s="183" t="str">
        <f t="shared" si="6"/>
        <v>105.0</v>
      </c>
      <c r="C12" s="184" t="s">
        <v>916</v>
      </c>
      <c r="D12" t="s">
        <v>917</v>
      </c>
      <c r="G12" s="175">
        <v>58127610.409999996</v>
      </c>
      <c r="H12" s="175">
        <v>63762399.530000001</v>
      </c>
      <c r="I12" s="175">
        <v>63762399.530000001</v>
      </c>
      <c r="J12" s="175">
        <v>63762399.530000001</v>
      </c>
      <c r="K12" s="175">
        <v>63762399.530000001</v>
      </c>
      <c r="L12" s="175">
        <v>63762399.530000001</v>
      </c>
      <c r="M12" s="175">
        <v>63762399.530000001</v>
      </c>
      <c r="N12" s="175">
        <v>63762399.530000001</v>
      </c>
      <c r="O12" s="175">
        <v>63762399.530000001</v>
      </c>
      <c r="P12" s="175">
        <v>63762399.530000001</v>
      </c>
      <c r="Q12" s="175">
        <v>63762399.530000001</v>
      </c>
      <c r="R12" s="175">
        <v>64262399.530000001</v>
      </c>
      <c r="S12" s="175">
        <v>64262399.530000001</v>
      </c>
      <c r="U12" s="175">
        <f t="shared" si="7"/>
        <v>63405877.289999977</v>
      </c>
    </row>
    <row r="13" spans="1:21">
      <c r="A13" s="183" t="str">
        <f t="shared" si="5"/>
        <v>105</v>
      </c>
      <c r="B13" s="183" t="str">
        <f t="shared" si="6"/>
        <v>105.1</v>
      </c>
      <c r="C13" s="184" t="s">
        <v>918</v>
      </c>
      <c r="D13" t="s">
        <v>919</v>
      </c>
      <c r="G13" s="175">
        <v>0</v>
      </c>
      <c r="H13" s="175">
        <v>0</v>
      </c>
      <c r="I13" s="175">
        <v>0</v>
      </c>
      <c r="J13" s="175">
        <v>0</v>
      </c>
      <c r="K13" s="175">
        <v>0</v>
      </c>
      <c r="L13" s="175">
        <v>0</v>
      </c>
      <c r="M13" s="175">
        <v>0</v>
      </c>
      <c r="N13" s="175">
        <v>0</v>
      </c>
      <c r="O13" s="175">
        <v>0</v>
      </c>
      <c r="P13" s="175">
        <v>0</v>
      </c>
      <c r="Q13" s="175">
        <v>0</v>
      </c>
      <c r="R13" s="175">
        <v>0</v>
      </c>
      <c r="S13" s="175">
        <v>0</v>
      </c>
      <c r="U13" s="175">
        <f t="shared" si="7"/>
        <v>0</v>
      </c>
    </row>
    <row r="14" spans="1:21">
      <c r="A14" s="183" t="str">
        <f t="shared" si="5"/>
        <v>106</v>
      </c>
      <c r="B14" s="183" t="str">
        <f t="shared" si="6"/>
        <v>106.0</v>
      </c>
      <c r="C14" s="184" t="s">
        <v>920</v>
      </c>
      <c r="D14" t="s">
        <v>921</v>
      </c>
      <c r="G14" s="175">
        <v>2078381704.5999999</v>
      </c>
      <c r="H14" s="175">
        <v>2078381704.5999999</v>
      </c>
      <c r="I14" s="175">
        <v>2078381704.5999999</v>
      </c>
      <c r="J14" s="175">
        <v>2078381704.5999999</v>
      </c>
      <c r="K14" s="175">
        <v>2078381704.5999999</v>
      </c>
      <c r="L14" s="175">
        <v>2078381704.5999999</v>
      </c>
      <c r="M14" s="175">
        <v>2078381704.5999999</v>
      </c>
      <c r="N14" s="175">
        <v>2078381704.5999999</v>
      </c>
      <c r="O14" s="175">
        <v>2078381704.5999999</v>
      </c>
      <c r="P14" s="175">
        <v>2078381704.5999999</v>
      </c>
      <c r="Q14" s="175">
        <v>2078381704.5999999</v>
      </c>
      <c r="R14" s="175">
        <v>2078381704.5999999</v>
      </c>
      <c r="S14" s="175">
        <v>2078381704.5999999</v>
      </c>
      <c r="U14" s="175">
        <f t="shared" si="7"/>
        <v>2078381704.5999997</v>
      </c>
    </row>
    <row r="15" spans="1:21">
      <c r="A15" s="183" t="str">
        <f t="shared" si="5"/>
        <v>107</v>
      </c>
      <c r="B15" s="183" t="str">
        <f t="shared" si="6"/>
        <v>107.0</v>
      </c>
      <c r="C15" s="184" t="s">
        <v>922</v>
      </c>
      <c r="D15" t="s">
        <v>166</v>
      </c>
      <c r="G15" s="175">
        <v>1093242214.55</v>
      </c>
      <c r="H15" s="175">
        <v>1075851307.02</v>
      </c>
      <c r="I15" s="175">
        <v>1050903351.37</v>
      </c>
      <c r="J15" s="175">
        <v>1007196087.26</v>
      </c>
      <c r="K15" s="175">
        <v>1024366866.27</v>
      </c>
      <c r="L15" s="175">
        <v>1016462767.48</v>
      </c>
      <c r="M15" s="175">
        <v>1077860241.52</v>
      </c>
      <c r="N15" s="175">
        <v>1141812709.1800001</v>
      </c>
      <c r="O15" s="175">
        <v>1191970969.77</v>
      </c>
      <c r="P15" s="175">
        <v>1201453522.54</v>
      </c>
      <c r="Q15" s="175">
        <v>1254488098.9400001</v>
      </c>
      <c r="R15" s="175">
        <v>1309546832.8699999</v>
      </c>
      <c r="S15" s="175">
        <v>1082288904.1300001</v>
      </c>
      <c r="U15" s="175">
        <f t="shared" si="7"/>
        <v>1117495682.5307693</v>
      </c>
    </row>
    <row r="16" spans="1:21">
      <c r="A16" s="183" t="str">
        <f t="shared" si="5"/>
        <v>108</v>
      </c>
      <c r="B16" s="183" t="str">
        <f t="shared" si="6"/>
        <v>108.0</v>
      </c>
      <c r="C16" s="184" t="s">
        <v>923</v>
      </c>
      <c r="D16" t="s">
        <v>561</v>
      </c>
      <c r="G16" s="175">
        <v>-3539066630.0599999</v>
      </c>
      <c r="H16" s="175">
        <v>-3562893192.1799998</v>
      </c>
      <c r="I16" s="175">
        <v>-3578942497.9200001</v>
      </c>
      <c r="J16" s="175">
        <v>-3590088370.5599999</v>
      </c>
      <c r="K16" s="175">
        <v>-3611932421.3400002</v>
      </c>
      <c r="L16" s="175">
        <v>-3619484128.5500002</v>
      </c>
      <c r="M16" s="175">
        <v>-3640069030.8499999</v>
      </c>
      <c r="N16" s="175">
        <v>-3668674627.02</v>
      </c>
      <c r="O16" s="175">
        <v>-3695177899.8299999</v>
      </c>
      <c r="P16" s="175">
        <v>-3721301250.71</v>
      </c>
      <c r="Q16" s="175">
        <v>-3749540978.0900002</v>
      </c>
      <c r="R16" s="175">
        <v>-3779157712.0599999</v>
      </c>
      <c r="S16" s="175">
        <v>-3796699030.77</v>
      </c>
      <c r="U16" s="175">
        <f t="shared" si="7"/>
        <v>-3657925213.0723071</v>
      </c>
    </row>
    <row r="17" spans="1:21">
      <c r="A17" s="183" t="str">
        <f t="shared" si="5"/>
        <v>111</v>
      </c>
      <c r="B17" s="183" t="str">
        <f t="shared" si="6"/>
        <v>111.0</v>
      </c>
      <c r="C17" s="184" t="s">
        <v>924</v>
      </c>
      <c r="D17" t="s">
        <v>925</v>
      </c>
      <c r="G17" s="175">
        <v>-160768005.36000001</v>
      </c>
      <c r="H17" s="175">
        <v>-161005858.44</v>
      </c>
      <c r="I17" s="175">
        <v>-162428948.08000001</v>
      </c>
      <c r="J17" s="175">
        <v>-165435266.02000001</v>
      </c>
      <c r="K17" s="175">
        <v>-167706972.28</v>
      </c>
      <c r="L17" s="175">
        <v>-162130135.06</v>
      </c>
      <c r="M17" s="175">
        <v>-165124607.47</v>
      </c>
      <c r="N17" s="175">
        <v>-163396267.41999999</v>
      </c>
      <c r="O17" s="175">
        <v>-164550868.34999999</v>
      </c>
      <c r="P17" s="175">
        <v>-167544881.46000001</v>
      </c>
      <c r="Q17" s="175">
        <v>-170616316.06999999</v>
      </c>
      <c r="R17" s="175">
        <v>-173697848.65000001</v>
      </c>
      <c r="S17" s="175">
        <v>-176791073.28999999</v>
      </c>
      <c r="U17" s="175">
        <f t="shared" si="7"/>
        <v>-166245926.76538464</v>
      </c>
    </row>
    <row r="18" spans="1:21">
      <c r="A18" s="183" t="str">
        <f t="shared" si="5"/>
        <v>114</v>
      </c>
      <c r="B18" s="183" t="str">
        <f t="shared" si="6"/>
        <v>114.0</v>
      </c>
      <c r="C18" s="184" t="s">
        <v>926</v>
      </c>
      <c r="D18" t="s">
        <v>927</v>
      </c>
      <c r="G18" s="175">
        <v>7484822.7599999998</v>
      </c>
      <c r="H18" s="175">
        <v>7484822.7599999998</v>
      </c>
      <c r="I18" s="175">
        <v>7484822.7599999998</v>
      </c>
      <c r="J18" s="175">
        <v>7484822.7599999998</v>
      </c>
      <c r="K18" s="175">
        <v>7484822.7599999998</v>
      </c>
      <c r="L18" s="175">
        <v>7484822.7599999998</v>
      </c>
      <c r="M18" s="175">
        <v>7484822.7599999998</v>
      </c>
      <c r="N18" s="175">
        <v>7484822.7599999998</v>
      </c>
      <c r="O18" s="175">
        <v>7484822.7599999998</v>
      </c>
      <c r="P18" s="175">
        <v>7484822.7599999998</v>
      </c>
      <c r="Q18" s="175">
        <v>7484822.7599999998</v>
      </c>
      <c r="R18" s="175">
        <v>7484822.7599999998</v>
      </c>
      <c r="S18" s="175">
        <v>7484822.7599999998</v>
      </c>
      <c r="U18" s="175">
        <f t="shared" si="7"/>
        <v>7484822.7600000007</v>
      </c>
    </row>
    <row r="19" spans="1:21">
      <c r="A19" s="183" t="str">
        <f t="shared" si="5"/>
        <v>115</v>
      </c>
      <c r="B19" s="183" t="str">
        <f t="shared" si="6"/>
        <v>115.0</v>
      </c>
      <c r="C19" s="184" t="s">
        <v>928</v>
      </c>
      <c r="D19" t="s">
        <v>929</v>
      </c>
      <c r="G19" s="175">
        <v>-6646657.4100000001</v>
      </c>
      <c r="H19" s="175">
        <v>-6666383.1399999997</v>
      </c>
      <c r="I19" s="175">
        <v>-6686108.8700000001</v>
      </c>
      <c r="J19" s="175">
        <v>-6705834.5999999996</v>
      </c>
      <c r="K19" s="175">
        <v>-6725560.3300000001</v>
      </c>
      <c r="L19" s="175">
        <v>-6745286.0599999996</v>
      </c>
      <c r="M19" s="175">
        <v>-6765011.79</v>
      </c>
      <c r="N19" s="175">
        <v>-6784737.5199999996</v>
      </c>
      <c r="O19" s="175">
        <v>-6804463.25</v>
      </c>
      <c r="P19" s="175">
        <v>-6824188.9800000004</v>
      </c>
      <c r="Q19" s="175">
        <v>-6843914.71</v>
      </c>
      <c r="R19" s="175">
        <v>-6863640.4400000004</v>
      </c>
      <c r="S19" s="175">
        <v>-6883366.1699999999</v>
      </c>
      <c r="U19" s="175">
        <f t="shared" si="7"/>
        <v>-6765011.79</v>
      </c>
    </row>
    <row r="20" spans="1:21">
      <c r="A20" s="183" t="str">
        <f t="shared" si="5"/>
        <v>116</v>
      </c>
      <c r="B20" s="183" t="str">
        <f t="shared" si="6"/>
        <v>116.0</v>
      </c>
      <c r="C20" s="184" t="s">
        <v>930</v>
      </c>
      <c r="D20" t="s">
        <v>931</v>
      </c>
      <c r="G20" s="175">
        <v>0</v>
      </c>
      <c r="H20" s="175">
        <v>0</v>
      </c>
      <c r="I20" s="175">
        <v>0</v>
      </c>
      <c r="J20" s="175">
        <v>0</v>
      </c>
      <c r="K20" s="175">
        <v>0</v>
      </c>
      <c r="L20" s="175">
        <v>0</v>
      </c>
      <c r="M20" s="175">
        <v>0</v>
      </c>
      <c r="N20" s="175">
        <v>0</v>
      </c>
      <c r="O20" s="175">
        <v>0</v>
      </c>
      <c r="P20" s="175">
        <v>0</v>
      </c>
      <c r="Q20" s="175">
        <v>0</v>
      </c>
      <c r="R20" s="175">
        <v>0</v>
      </c>
      <c r="S20" s="175">
        <v>0</v>
      </c>
      <c r="U20" s="175">
        <f t="shared" si="7"/>
        <v>0</v>
      </c>
    </row>
    <row r="21" spans="1:21">
      <c r="A21" s="183" t="str">
        <f t="shared" si="5"/>
        <v>117</v>
      </c>
      <c r="B21" s="183" t="str">
        <f t="shared" si="6"/>
        <v>117.1</v>
      </c>
      <c r="C21" s="184" t="s">
        <v>932</v>
      </c>
      <c r="D21" t="s">
        <v>933</v>
      </c>
      <c r="G21" s="175">
        <v>0</v>
      </c>
      <c r="H21" s="175">
        <v>0</v>
      </c>
      <c r="I21" s="175">
        <v>0</v>
      </c>
      <c r="J21" s="175">
        <v>0</v>
      </c>
      <c r="K21" s="175">
        <v>0</v>
      </c>
      <c r="L21" s="175">
        <v>0</v>
      </c>
      <c r="M21" s="175">
        <v>0</v>
      </c>
      <c r="N21" s="175">
        <v>0</v>
      </c>
      <c r="O21" s="175">
        <v>0</v>
      </c>
      <c r="P21" s="175">
        <v>0</v>
      </c>
      <c r="Q21" s="175">
        <v>0</v>
      </c>
      <c r="R21" s="175">
        <v>0</v>
      </c>
      <c r="S21" s="175">
        <v>0</v>
      </c>
      <c r="U21" s="175">
        <f t="shared" si="7"/>
        <v>0</v>
      </c>
    </row>
    <row r="22" spans="1:21">
      <c r="A22" s="183" t="str">
        <f t="shared" si="5"/>
        <v>117</v>
      </c>
      <c r="B22" s="183" t="str">
        <f t="shared" si="6"/>
        <v>117.2</v>
      </c>
      <c r="C22" s="184" t="s">
        <v>934</v>
      </c>
      <c r="D22" t="s">
        <v>935</v>
      </c>
      <c r="G22" s="175">
        <v>0</v>
      </c>
      <c r="H22" s="175">
        <v>0</v>
      </c>
      <c r="I22" s="175">
        <v>0</v>
      </c>
      <c r="J22" s="175">
        <v>0</v>
      </c>
      <c r="K22" s="175">
        <v>0</v>
      </c>
      <c r="L22" s="175">
        <v>0</v>
      </c>
      <c r="M22" s="175">
        <v>0</v>
      </c>
      <c r="N22" s="175">
        <v>0</v>
      </c>
      <c r="O22" s="175">
        <v>0</v>
      </c>
      <c r="P22" s="175">
        <v>0</v>
      </c>
      <c r="Q22" s="175">
        <v>0</v>
      </c>
      <c r="R22" s="175">
        <v>0</v>
      </c>
      <c r="S22" s="175">
        <v>0</v>
      </c>
      <c r="U22" s="175">
        <f t="shared" si="7"/>
        <v>0</v>
      </c>
    </row>
    <row r="23" spans="1:21">
      <c r="A23" s="183" t="str">
        <f t="shared" si="5"/>
        <v>117</v>
      </c>
      <c r="B23" s="183" t="str">
        <f t="shared" si="6"/>
        <v>117.3</v>
      </c>
      <c r="C23" s="184" t="s">
        <v>936</v>
      </c>
      <c r="D23" t="s">
        <v>937</v>
      </c>
      <c r="G23" s="175">
        <v>0</v>
      </c>
      <c r="H23" s="175">
        <v>0</v>
      </c>
      <c r="I23" s="175">
        <v>0</v>
      </c>
      <c r="J23" s="175">
        <v>0</v>
      </c>
      <c r="K23" s="175">
        <v>0</v>
      </c>
      <c r="L23" s="175">
        <v>0</v>
      </c>
      <c r="M23" s="175">
        <v>0</v>
      </c>
      <c r="N23" s="175">
        <v>0</v>
      </c>
      <c r="O23" s="175">
        <v>0</v>
      </c>
      <c r="P23" s="175">
        <v>0</v>
      </c>
      <c r="Q23" s="175">
        <v>0</v>
      </c>
      <c r="R23" s="175">
        <v>0</v>
      </c>
      <c r="S23" s="175">
        <v>0</v>
      </c>
      <c r="U23" s="175">
        <f t="shared" si="7"/>
        <v>0</v>
      </c>
    </row>
    <row r="24" spans="1:21">
      <c r="A24" s="183" t="str">
        <f t="shared" si="5"/>
        <v>117</v>
      </c>
      <c r="B24" s="183" t="str">
        <f t="shared" si="6"/>
        <v>117.4</v>
      </c>
      <c r="C24" s="184" t="s">
        <v>938</v>
      </c>
      <c r="D24" t="s">
        <v>939</v>
      </c>
      <c r="G24" s="175">
        <v>0</v>
      </c>
      <c r="H24" s="175">
        <v>0</v>
      </c>
      <c r="I24" s="175">
        <v>0</v>
      </c>
      <c r="J24" s="175">
        <v>0</v>
      </c>
      <c r="K24" s="175">
        <v>0</v>
      </c>
      <c r="L24" s="175">
        <v>0</v>
      </c>
      <c r="M24" s="175">
        <v>0</v>
      </c>
      <c r="N24" s="175">
        <v>0</v>
      </c>
      <c r="O24" s="175">
        <v>0</v>
      </c>
      <c r="P24" s="175">
        <v>0</v>
      </c>
      <c r="Q24" s="175">
        <v>0</v>
      </c>
      <c r="R24" s="175">
        <v>0</v>
      </c>
      <c r="S24" s="175">
        <v>0</v>
      </c>
      <c r="U24" s="175">
        <f t="shared" si="7"/>
        <v>0</v>
      </c>
    </row>
    <row r="25" spans="1:21">
      <c r="A25" s="183" t="str">
        <f t="shared" si="5"/>
        <v>118</v>
      </c>
      <c r="B25" s="183" t="str">
        <f t="shared" si="6"/>
        <v>118.0</v>
      </c>
      <c r="C25" s="184" t="s">
        <v>940</v>
      </c>
      <c r="D25" t="s">
        <v>941</v>
      </c>
      <c r="G25" s="175">
        <v>0</v>
      </c>
      <c r="H25" s="175">
        <v>0</v>
      </c>
      <c r="I25" s="175">
        <v>0</v>
      </c>
      <c r="J25" s="175">
        <v>0</v>
      </c>
      <c r="K25" s="175">
        <v>0</v>
      </c>
      <c r="L25" s="175">
        <v>0</v>
      </c>
      <c r="M25" s="175">
        <v>0</v>
      </c>
      <c r="N25" s="175">
        <v>0</v>
      </c>
      <c r="O25" s="175">
        <v>0</v>
      </c>
      <c r="P25" s="175">
        <v>0</v>
      </c>
      <c r="Q25" s="175">
        <v>0</v>
      </c>
      <c r="R25" s="175">
        <v>0</v>
      </c>
      <c r="S25" s="175">
        <v>0</v>
      </c>
      <c r="U25" s="175">
        <f t="shared" si="7"/>
        <v>0</v>
      </c>
    </row>
    <row r="26" spans="1:21">
      <c r="A26" s="183" t="str">
        <f t="shared" si="5"/>
        <v>119</v>
      </c>
      <c r="B26" s="183" t="str">
        <f t="shared" si="6"/>
        <v>119.0</v>
      </c>
      <c r="C26" s="184" t="s">
        <v>942</v>
      </c>
      <c r="D26" t="s">
        <v>943</v>
      </c>
      <c r="G26" s="175">
        <v>0</v>
      </c>
      <c r="H26" s="175">
        <v>0</v>
      </c>
      <c r="I26" s="175">
        <v>0</v>
      </c>
      <c r="J26" s="175">
        <v>0</v>
      </c>
      <c r="K26" s="175">
        <v>0</v>
      </c>
      <c r="L26" s="175">
        <v>0</v>
      </c>
      <c r="M26" s="175">
        <v>0</v>
      </c>
      <c r="N26" s="175">
        <v>0</v>
      </c>
      <c r="O26" s="175">
        <v>0</v>
      </c>
      <c r="P26" s="175">
        <v>0</v>
      </c>
      <c r="Q26" s="175">
        <v>0</v>
      </c>
      <c r="R26" s="175">
        <v>0</v>
      </c>
      <c r="S26" s="175">
        <v>0</v>
      </c>
      <c r="U26" s="175">
        <f t="shared" si="7"/>
        <v>0</v>
      </c>
    </row>
    <row r="27" spans="1:21">
      <c r="A27" s="183" t="str">
        <f t="shared" si="5"/>
        <v>121</v>
      </c>
      <c r="B27" s="183" t="str">
        <f t="shared" si="6"/>
        <v>121.0</v>
      </c>
      <c r="C27" s="184" t="s">
        <v>944</v>
      </c>
      <c r="D27" t="s">
        <v>945</v>
      </c>
      <c r="G27" s="175">
        <v>20624555.809999999</v>
      </c>
      <c r="H27" s="175">
        <v>20727579.199999999</v>
      </c>
      <c r="I27" s="175">
        <v>20836280.739999998</v>
      </c>
      <c r="J27" s="175">
        <v>20944982.280000001</v>
      </c>
      <c r="K27" s="175">
        <v>21053683.82</v>
      </c>
      <c r="L27" s="175">
        <v>21096955.34</v>
      </c>
      <c r="M27" s="175">
        <v>21994252.199999999</v>
      </c>
      <c r="N27" s="175">
        <v>22245140.739999998</v>
      </c>
      <c r="O27" s="175">
        <v>23101551.77</v>
      </c>
      <c r="P27" s="175">
        <v>23227384.440000001</v>
      </c>
      <c r="Q27" s="175">
        <v>23348673.66</v>
      </c>
      <c r="R27" s="175">
        <v>23534508.25</v>
      </c>
      <c r="S27" s="175">
        <v>24137134.539999999</v>
      </c>
      <c r="U27" s="175">
        <f t="shared" si="7"/>
        <v>22067129.445384618</v>
      </c>
    </row>
    <row r="28" spans="1:21">
      <c r="A28" s="183" t="str">
        <f t="shared" si="5"/>
        <v>122</v>
      </c>
      <c r="B28" s="183" t="str">
        <f t="shared" si="6"/>
        <v>122.0</v>
      </c>
      <c r="C28" s="184" t="s">
        <v>946</v>
      </c>
      <c r="D28" t="s">
        <v>947</v>
      </c>
      <c r="G28" s="175">
        <v>-7144756.8499999996</v>
      </c>
      <c r="H28" s="175">
        <v>-7221803.46</v>
      </c>
      <c r="I28" s="175">
        <v>-7305219.7599999998</v>
      </c>
      <c r="J28" s="175">
        <v>-7389359.2999999998</v>
      </c>
      <c r="K28" s="175">
        <v>-7474222.0700000003</v>
      </c>
      <c r="L28" s="175">
        <v>-7494378.0599999996</v>
      </c>
      <c r="M28" s="175">
        <v>-7568917.2999999998</v>
      </c>
      <c r="N28" s="175">
        <v>-7599907.79</v>
      </c>
      <c r="O28" s="175">
        <v>-7639047.0099999998</v>
      </c>
      <c r="P28" s="175">
        <v>-7681663.9400000004</v>
      </c>
      <c r="Q28" s="175">
        <v>-7720366.7400000002</v>
      </c>
      <c r="R28" s="175">
        <v>-7785255.5499999998</v>
      </c>
      <c r="S28" s="175">
        <v>-7869600.8799999999</v>
      </c>
      <c r="U28" s="175">
        <f t="shared" si="7"/>
        <v>-7530346.054615383</v>
      </c>
    </row>
    <row r="29" spans="1:21">
      <c r="A29" s="183" t="str">
        <f t="shared" si="5"/>
        <v>123</v>
      </c>
      <c r="B29" s="183" t="str">
        <f t="shared" si="6"/>
        <v>123.0</v>
      </c>
      <c r="C29" s="184" t="s">
        <v>948</v>
      </c>
      <c r="D29" t="s">
        <v>949</v>
      </c>
      <c r="G29" s="175">
        <v>0</v>
      </c>
      <c r="H29" s="175">
        <v>0</v>
      </c>
      <c r="I29" s="175">
        <v>0</v>
      </c>
      <c r="J29" s="175">
        <v>0</v>
      </c>
      <c r="K29" s="175">
        <v>0</v>
      </c>
      <c r="L29" s="175">
        <v>0</v>
      </c>
      <c r="M29" s="175">
        <v>0</v>
      </c>
      <c r="N29" s="175">
        <v>0</v>
      </c>
      <c r="O29" s="175">
        <v>0</v>
      </c>
      <c r="P29" s="175">
        <v>0</v>
      </c>
      <c r="Q29" s="175">
        <v>0</v>
      </c>
      <c r="R29" s="175">
        <v>0</v>
      </c>
      <c r="S29" s="175">
        <v>0</v>
      </c>
      <c r="U29" s="175">
        <f t="shared" si="7"/>
        <v>0</v>
      </c>
    </row>
    <row r="30" spans="1:21">
      <c r="A30" s="183" t="str">
        <f t="shared" si="5"/>
        <v>123</v>
      </c>
      <c r="B30" s="183" t="str">
        <f t="shared" si="6"/>
        <v>123.1</v>
      </c>
      <c r="C30" s="184" t="s">
        <v>950</v>
      </c>
      <c r="D30" t="s">
        <v>951</v>
      </c>
      <c r="G30" s="175">
        <v>0</v>
      </c>
      <c r="H30" s="175">
        <v>0</v>
      </c>
      <c r="I30" s="175">
        <v>0</v>
      </c>
      <c r="J30" s="175">
        <v>0</v>
      </c>
      <c r="K30" s="175">
        <v>0</v>
      </c>
      <c r="L30" s="175">
        <v>0</v>
      </c>
      <c r="M30" s="175">
        <v>0</v>
      </c>
      <c r="N30" s="175">
        <v>0</v>
      </c>
      <c r="O30" s="175">
        <v>0</v>
      </c>
      <c r="P30" s="175">
        <v>0</v>
      </c>
      <c r="Q30" s="175">
        <v>0</v>
      </c>
      <c r="R30" s="175">
        <v>0</v>
      </c>
      <c r="S30" s="175">
        <v>0</v>
      </c>
      <c r="U30" s="175">
        <f t="shared" si="7"/>
        <v>0</v>
      </c>
    </row>
    <row r="31" spans="1:21">
      <c r="A31" s="183" t="str">
        <f t="shared" si="5"/>
        <v>124</v>
      </c>
      <c r="B31" s="183" t="str">
        <f t="shared" si="6"/>
        <v>124.0</v>
      </c>
      <c r="C31" s="184" t="s">
        <v>952</v>
      </c>
      <c r="D31" t="s">
        <v>953</v>
      </c>
      <c r="G31" s="175">
        <v>0</v>
      </c>
      <c r="H31" s="175">
        <v>0</v>
      </c>
      <c r="I31" s="175">
        <v>0</v>
      </c>
      <c r="J31" s="175">
        <v>0</v>
      </c>
      <c r="K31" s="175">
        <v>0</v>
      </c>
      <c r="L31" s="175">
        <v>0</v>
      </c>
      <c r="M31" s="175">
        <v>0</v>
      </c>
      <c r="N31" s="175">
        <v>0</v>
      </c>
      <c r="O31" s="175">
        <v>0</v>
      </c>
      <c r="P31" s="175">
        <v>0</v>
      </c>
      <c r="Q31" s="175">
        <v>0</v>
      </c>
      <c r="R31" s="175">
        <v>0</v>
      </c>
      <c r="S31" s="175">
        <v>0</v>
      </c>
      <c r="U31" s="175">
        <f t="shared" si="7"/>
        <v>0</v>
      </c>
    </row>
    <row r="32" spans="1:21">
      <c r="A32" s="183" t="str">
        <f t="shared" si="5"/>
        <v>125</v>
      </c>
      <c r="B32" s="183" t="str">
        <f t="shared" si="6"/>
        <v>125.0</v>
      </c>
      <c r="C32" s="184" t="s">
        <v>954</v>
      </c>
      <c r="D32" t="s">
        <v>955</v>
      </c>
      <c r="G32" s="175">
        <v>0</v>
      </c>
      <c r="H32" s="175">
        <v>0</v>
      </c>
      <c r="I32" s="175">
        <v>0</v>
      </c>
      <c r="J32" s="175">
        <v>0</v>
      </c>
      <c r="K32" s="175">
        <v>0</v>
      </c>
      <c r="L32" s="175">
        <v>0</v>
      </c>
      <c r="M32" s="175">
        <v>0</v>
      </c>
      <c r="N32" s="175">
        <v>0</v>
      </c>
      <c r="O32" s="175">
        <v>0</v>
      </c>
      <c r="P32" s="175">
        <v>0</v>
      </c>
      <c r="Q32" s="175">
        <v>0</v>
      </c>
      <c r="R32" s="175">
        <v>0</v>
      </c>
      <c r="S32" s="175">
        <v>0</v>
      </c>
      <c r="U32" s="175">
        <f t="shared" si="7"/>
        <v>0</v>
      </c>
    </row>
    <row r="33" spans="1:21">
      <c r="A33" s="183" t="str">
        <f t="shared" si="5"/>
        <v>126</v>
      </c>
      <c r="B33" s="183" t="str">
        <f t="shared" si="6"/>
        <v>126.0</v>
      </c>
      <c r="C33" s="184" t="s">
        <v>956</v>
      </c>
      <c r="D33" t="s">
        <v>957</v>
      </c>
      <c r="G33" s="175">
        <v>0</v>
      </c>
      <c r="H33" s="175">
        <v>0</v>
      </c>
      <c r="I33" s="175">
        <v>0</v>
      </c>
      <c r="J33" s="175">
        <v>0</v>
      </c>
      <c r="K33" s="175">
        <v>0</v>
      </c>
      <c r="L33" s="175">
        <v>0</v>
      </c>
      <c r="M33" s="175">
        <v>0</v>
      </c>
      <c r="N33" s="175">
        <v>0</v>
      </c>
      <c r="O33" s="175">
        <v>0</v>
      </c>
      <c r="P33" s="175">
        <v>0</v>
      </c>
      <c r="Q33" s="175">
        <v>0</v>
      </c>
      <c r="R33" s="175">
        <v>0</v>
      </c>
      <c r="S33" s="175">
        <v>0</v>
      </c>
      <c r="U33" s="175">
        <f t="shared" si="7"/>
        <v>0</v>
      </c>
    </row>
    <row r="34" spans="1:21">
      <c r="A34" s="183" t="str">
        <f t="shared" si="5"/>
        <v>127</v>
      </c>
      <c r="B34" s="183" t="str">
        <f t="shared" si="6"/>
        <v>127.0</v>
      </c>
      <c r="C34" s="184" t="s">
        <v>958</v>
      </c>
      <c r="D34" t="s">
        <v>959</v>
      </c>
      <c r="G34" s="175">
        <v>0</v>
      </c>
      <c r="H34" s="175">
        <v>0</v>
      </c>
      <c r="I34" s="175">
        <v>0</v>
      </c>
      <c r="J34" s="175">
        <v>0</v>
      </c>
      <c r="K34" s="175">
        <v>0</v>
      </c>
      <c r="L34" s="175">
        <v>0</v>
      </c>
      <c r="M34" s="175">
        <v>0</v>
      </c>
      <c r="N34" s="175">
        <v>0</v>
      </c>
      <c r="O34" s="175">
        <v>0</v>
      </c>
      <c r="P34" s="175">
        <v>0</v>
      </c>
      <c r="Q34" s="175">
        <v>0</v>
      </c>
      <c r="R34" s="175">
        <v>0</v>
      </c>
      <c r="S34" s="175">
        <v>0</v>
      </c>
      <c r="U34" s="175">
        <f t="shared" si="7"/>
        <v>0</v>
      </c>
    </row>
    <row r="35" spans="1:21">
      <c r="A35" s="183" t="str">
        <f t="shared" si="5"/>
        <v>128</v>
      </c>
      <c r="B35" s="183" t="str">
        <f t="shared" si="6"/>
        <v>128.0</v>
      </c>
      <c r="C35" s="184" t="s">
        <v>960</v>
      </c>
      <c r="D35" t="s">
        <v>961</v>
      </c>
      <c r="G35" s="175">
        <v>0</v>
      </c>
      <c r="H35" s="175">
        <v>0</v>
      </c>
      <c r="I35" s="175">
        <v>0</v>
      </c>
      <c r="J35" s="175">
        <v>0</v>
      </c>
      <c r="K35" s="175">
        <v>0</v>
      </c>
      <c r="L35" s="175">
        <v>0</v>
      </c>
      <c r="M35" s="175">
        <v>0</v>
      </c>
      <c r="N35" s="175">
        <v>0</v>
      </c>
      <c r="O35" s="175">
        <v>0</v>
      </c>
      <c r="P35" s="175">
        <v>0</v>
      </c>
      <c r="Q35" s="175">
        <v>0</v>
      </c>
      <c r="R35" s="175">
        <v>0</v>
      </c>
      <c r="S35" s="175">
        <v>0</v>
      </c>
      <c r="U35" s="175">
        <f t="shared" si="7"/>
        <v>0</v>
      </c>
    </row>
    <row r="36" spans="1:21">
      <c r="A36" s="183" t="str">
        <f t="shared" si="5"/>
        <v>131</v>
      </c>
      <c r="B36" s="183" t="str">
        <f t="shared" si="6"/>
        <v>131.0</v>
      </c>
      <c r="C36" s="184" t="s">
        <v>962</v>
      </c>
      <c r="D36" t="s">
        <v>270</v>
      </c>
      <c r="G36" s="175">
        <v>4766851.41</v>
      </c>
      <c r="H36" s="175">
        <v>1000000</v>
      </c>
      <c r="I36" s="175">
        <v>1000000</v>
      </c>
      <c r="J36" s="175">
        <v>1000000</v>
      </c>
      <c r="K36" s="175">
        <v>1000000</v>
      </c>
      <c r="L36" s="175">
        <v>1000000</v>
      </c>
      <c r="M36" s="175">
        <v>1000000</v>
      </c>
      <c r="N36" s="175">
        <v>1000000</v>
      </c>
      <c r="O36" s="175">
        <v>1000000</v>
      </c>
      <c r="P36" s="175">
        <v>1000000</v>
      </c>
      <c r="Q36" s="175">
        <v>1000000</v>
      </c>
      <c r="R36" s="175">
        <v>1000000</v>
      </c>
      <c r="S36" s="175">
        <v>1000000</v>
      </c>
      <c r="U36" s="175">
        <f t="shared" si="7"/>
        <v>1289757.8007692308</v>
      </c>
    </row>
    <row r="37" spans="1:21">
      <c r="A37" s="183" t="str">
        <f t="shared" si="5"/>
        <v>132</v>
      </c>
      <c r="B37" s="183" t="str">
        <f t="shared" si="6"/>
        <v>132.0</v>
      </c>
      <c r="C37" s="184" t="s">
        <v>963</v>
      </c>
      <c r="D37" t="s">
        <v>964</v>
      </c>
      <c r="G37" s="175">
        <v>0</v>
      </c>
      <c r="H37" s="175">
        <v>0</v>
      </c>
      <c r="I37" s="175">
        <v>0</v>
      </c>
      <c r="J37" s="175">
        <v>0</v>
      </c>
      <c r="K37" s="175">
        <v>0</v>
      </c>
      <c r="L37" s="175">
        <v>0</v>
      </c>
      <c r="M37" s="175">
        <v>0</v>
      </c>
      <c r="N37" s="175">
        <v>0</v>
      </c>
      <c r="O37" s="175">
        <v>0</v>
      </c>
      <c r="P37" s="175">
        <v>0</v>
      </c>
      <c r="Q37" s="175">
        <v>0</v>
      </c>
      <c r="R37" s="175">
        <v>0</v>
      </c>
      <c r="S37" s="175">
        <v>0</v>
      </c>
      <c r="U37" s="175">
        <f t="shared" si="7"/>
        <v>0</v>
      </c>
    </row>
    <row r="38" spans="1:21">
      <c r="A38" s="183" t="str">
        <f t="shared" si="5"/>
        <v>133</v>
      </c>
      <c r="B38" s="183" t="str">
        <f t="shared" si="6"/>
        <v>133.0</v>
      </c>
      <c r="C38" s="184" t="s">
        <v>965</v>
      </c>
      <c r="D38" t="s">
        <v>966</v>
      </c>
      <c r="G38" s="175">
        <v>0</v>
      </c>
      <c r="H38" s="175">
        <v>0</v>
      </c>
      <c r="I38" s="175">
        <v>0</v>
      </c>
      <c r="J38" s="175">
        <v>0</v>
      </c>
      <c r="K38" s="175">
        <v>0</v>
      </c>
      <c r="L38" s="175">
        <v>0</v>
      </c>
      <c r="M38" s="175">
        <v>0</v>
      </c>
      <c r="N38" s="175">
        <v>0</v>
      </c>
      <c r="O38" s="175">
        <v>0</v>
      </c>
      <c r="P38" s="175">
        <v>0</v>
      </c>
      <c r="Q38" s="175">
        <v>0</v>
      </c>
      <c r="R38" s="175">
        <v>0</v>
      </c>
      <c r="S38" s="175">
        <v>0</v>
      </c>
      <c r="U38" s="175">
        <f t="shared" si="7"/>
        <v>0</v>
      </c>
    </row>
    <row r="39" spans="1:21">
      <c r="A39" s="183" t="str">
        <f t="shared" si="5"/>
        <v>134</v>
      </c>
      <c r="B39" s="183" t="str">
        <f t="shared" si="6"/>
        <v>134.0</v>
      </c>
      <c r="C39" s="184" t="s">
        <v>967</v>
      </c>
      <c r="D39" t="s">
        <v>271</v>
      </c>
      <c r="G39" s="175">
        <v>0</v>
      </c>
      <c r="H39" s="175">
        <v>0</v>
      </c>
      <c r="I39" s="175">
        <v>0</v>
      </c>
      <c r="J39" s="175">
        <v>0</v>
      </c>
      <c r="K39" s="175">
        <v>0</v>
      </c>
      <c r="L39" s="175">
        <v>0</v>
      </c>
      <c r="M39" s="175">
        <v>0</v>
      </c>
      <c r="N39" s="175">
        <v>0</v>
      </c>
      <c r="O39" s="175">
        <v>0</v>
      </c>
      <c r="P39" s="175">
        <v>0</v>
      </c>
      <c r="Q39" s="175">
        <v>0</v>
      </c>
      <c r="R39" s="175">
        <v>0</v>
      </c>
      <c r="S39" s="175">
        <v>0</v>
      </c>
      <c r="U39" s="175">
        <f t="shared" si="7"/>
        <v>0</v>
      </c>
    </row>
    <row r="40" spans="1:21">
      <c r="A40" s="183" t="str">
        <f t="shared" si="5"/>
        <v>135</v>
      </c>
      <c r="B40" s="183" t="str">
        <f t="shared" si="6"/>
        <v>135.0</v>
      </c>
      <c r="C40" s="184" t="s">
        <v>968</v>
      </c>
      <c r="D40" t="s">
        <v>568</v>
      </c>
      <c r="G40" s="175">
        <v>51065.39</v>
      </c>
      <c r="H40" s="175">
        <v>52665.39</v>
      </c>
      <c r="I40" s="175">
        <v>52665.39</v>
      </c>
      <c r="J40" s="175">
        <v>52665.39</v>
      </c>
      <c r="K40" s="175">
        <v>52665.39</v>
      </c>
      <c r="L40" s="175">
        <v>52665.39</v>
      </c>
      <c r="M40" s="175">
        <v>52665.39</v>
      </c>
      <c r="N40" s="175">
        <v>52665.39</v>
      </c>
      <c r="O40" s="175">
        <v>52665.39</v>
      </c>
      <c r="P40" s="175">
        <v>52665.39</v>
      </c>
      <c r="Q40" s="175">
        <v>52665.39</v>
      </c>
      <c r="R40" s="175">
        <v>52665.39</v>
      </c>
      <c r="S40" s="175">
        <v>52665.39</v>
      </c>
      <c r="U40" s="175">
        <f t="shared" si="7"/>
        <v>52542.313076923085</v>
      </c>
    </row>
    <row r="41" spans="1:21">
      <c r="A41" s="183" t="str">
        <f t="shared" si="5"/>
        <v>136</v>
      </c>
      <c r="B41" s="183" t="str">
        <f t="shared" si="6"/>
        <v>136.0</v>
      </c>
      <c r="C41" s="184" t="s">
        <v>969</v>
      </c>
      <c r="D41" t="s">
        <v>569</v>
      </c>
      <c r="G41" s="175">
        <v>0</v>
      </c>
      <c r="H41" s="175">
        <v>0</v>
      </c>
      <c r="I41" s="175">
        <v>0</v>
      </c>
      <c r="J41" s="175">
        <v>0</v>
      </c>
      <c r="K41" s="175">
        <v>0</v>
      </c>
      <c r="L41" s="175">
        <v>0</v>
      </c>
      <c r="M41" s="175">
        <v>0</v>
      </c>
      <c r="N41" s="175">
        <v>0</v>
      </c>
      <c r="O41" s="175">
        <v>0</v>
      </c>
      <c r="P41" s="175">
        <v>0</v>
      </c>
      <c r="Q41" s="175">
        <v>0</v>
      </c>
      <c r="R41" s="175">
        <v>0</v>
      </c>
      <c r="S41" s="175">
        <v>0</v>
      </c>
      <c r="U41" s="175">
        <f t="shared" si="7"/>
        <v>0</v>
      </c>
    </row>
    <row r="42" spans="1:21">
      <c r="A42" s="183" t="str">
        <f t="shared" si="5"/>
        <v>141</v>
      </c>
      <c r="B42" s="183" t="str">
        <f t="shared" si="6"/>
        <v>141.0</v>
      </c>
      <c r="C42" s="184" t="s">
        <v>970</v>
      </c>
      <c r="D42" t="s">
        <v>274</v>
      </c>
      <c r="G42" s="175">
        <v>0</v>
      </c>
      <c r="H42" s="175">
        <v>0</v>
      </c>
      <c r="I42" s="175">
        <v>0</v>
      </c>
      <c r="J42" s="175">
        <v>0</v>
      </c>
      <c r="K42" s="175">
        <v>0</v>
      </c>
      <c r="L42" s="175">
        <v>0</v>
      </c>
      <c r="M42" s="175">
        <v>0</v>
      </c>
      <c r="N42" s="175">
        <v>0</v>
      </c>
      <c r="O42" s="175">
        <v>0</v>
      </c>
      <c r="P42" s="175">
        <v>0</v>
      </c>
      <c r="Q42" s="175">
        <v>0</v>
      </c>
      <c r="R42" s="175">
        <v>0</v>
      </c>
      <c r="S42" s="175">
        <v>0</v>
      </c>
      <c r="U42" s="175">
        <f t="shared" si="7"/>
        <v>0</v>
      </c>
    </row>
    <row r="43" spans="1:21">
      <c r="A43" s="183" t="str">
        <f t="shared" si="5"/>
        <v>142</v>
      </c>
      <c r="B43" s="183" t="str">
        <f t="shared" si="6"/>
        <v>142.0</v>
      </c>
      <c r="C43" s="184" t="s">
        <v>971</v>
      </c>
      <c r="D43" t="s">
        <v>570</v>
      </c>
      <c r="G43" s="175">
        <v>212903081.16</v>
      </c>
      <c r="H43" s="175">
        <v>167026755.46000001</v>
      </c>
      <c r="I43" s="175">
        <v>158599631.69</v>
      </c>
      <c r="J43" s="175">
        <v>141218649.97</v>
      </c>
      <c r="K43" s="175">
        <v>173407536.74000001</v>
      </c>
      <c r="L43" s="175">
        <v>178580379.63</v>
      </c>
      <c r="M43" s="175">
        <v>197710702.53</v>
      </c>
      <c r="N43" s="175">
        <v>231319039.81</v>
      </c>
      <c r="O43" s="175">
        <v>219115326.53</v>
      </c>
      <c r="P43" s="175">
        <v>248162996.79499999</v>
      </c>
      <c r="Q43" s="175">
        <v>208494760.51499999</v>
      </c>
      <c r="R43" s="175">
        <v>190417939.42500001</v>
      </c>
      <c r="S43" s="175">
        <v>188387489.55500001</v>
      </c>
      <c r="U43" s="175">
        <f t="shared" si="7"/>
        <v>193488022.29307693</v>
      </c>
    </row>
    <row r="44" spans="1:21">
      <c r="A44" s="183" t="str">
        <f t="shared" si="5"/>
        <v>143</v>
      </c>
      <c r="B44" s="183" t="str">
        <f t="shared" si="6"/>
        <v>143.0</v>
      </c>
      <c r="C44" s="184" t="s">
        <v>972</v>
      </c>
      <c r="D44" t="s">
        <v>276</v>
      </c>
      <c r="G44" s="175">
        <v>11189501.109999999</v>
      </c>
      <c r="H44" s="175">
        <v>7200000</v>
      </c>
      <c r="I44" s="175">
        <v>7200000</v>
      </c>
      <c r="J44" s="175">
        <v>7200000</v>
      </c>
      <c r="K44" s="175">
        <v>7100000</v>
      </c>
      <c r="L44" s="175">
        <v>7200000</v>
      </c>
      <c r="M44" s="175">
        <v>7100000</v>
      </c>
      <c r="N44" s="175">
        <v>7100000</v>
      </c>
      <c r="O44" s="175">
        <v>7100000</v>
      </c>
      <c r="P44" s="175">
        <v>7200000</v>
      </c>
      <c r="Q44" s="175">
        <v>7200000</v>
      </c>
      <c r="R44" s="175">
        <v>7200000</v>
      </c>
      <c r="S44" s="175">
        <v>7200000</v>
      </c>
      <c r="U44" s="175">
        <f t="shared" si="7"/>
        <v>7476115.4699999997</v>
      </c>
    </row>
    <row r="45" spans="1:21">
      <c r="A45" s="183" t="str">
        <f t="shared" si="5"/>
        <v>144</v>
      </c>
      <c r="B45" s="183" t="str">
        <f t="shared" si="6"/>
        <v>144.0</v>
      </c>
      <c r="C45" s="184" t="s">
        <v>973</v>
      </c>
      <c r="D45" t="s">
        <v>974</v>
      </c>
      <c r="G45" s="175">
        <v>-1930107.35</v>
      </c>
      <c r="H45" s="175">
        <v>-1639484.5016987999</v>
      </c>
      <c r="I45" s="175">
        <v>-1620032.5984920999</v>
      </c>
      <c r="J45" s="175">
        <v>-1605694.2692799</v>
      </c>
      <c r="K45" s="175">
        <v>-1630103.9525816001</v>
      </c>
      <c r="L45" s="175">
        <v>-1652991.0261351999</v>
      </c>
      <c r="M45" s="175">
        <v>-1681728.2164725</v>
      </c>
      <c r="N45" s="175">
        <v>-1706276.0885945</v>
      </c>
      <c r="O45" s="175">
        <v>-1698215.0773181</v>
      </c>
      <c r="P45" s="175">
        <v>-1704077.4754979999</v>
      </c>
      <c r="Q45" s="175">
        <v>-1677228.5469511</v>
      </c>
      <c r="R45" s="175">
        <v>-1643422.6801761</v>
      </c>
      <c r="S45" s="175">
        <v>-1632918.6677135001</v>
      </c>
      <c r="U45" s="175">
        <f t="shared" si="7"/>
        <v>-1678636.9577624155</v>
      </c>
    </row>
    <row r="46" spans="1:21">
      <c r="A46" s="183" t="str">
        <f t="shared" si="5"/>
        <v>145</v>
      </c>
      <c r="B46" s="183" t="str">
        <f t="shared" si="6"/>
        <v>145.0</v>
      </c>
      <c r="C46" s="184" t="s">
        <v>975</v>
      </c>
      <c r="D46" t="s">
        <v>976</v>
      </c>
      <c r="G46" s="175">
        <v>0</v>
      </c>
      <c r="H46" s="175">
        <v>0</v>
      </c>
      <c r="I46" s="175">
        <v>0</v>
      </c>
      <c r="J46" s="175">
        <v>0</v>
      </c>
      <c r="K46" s="175">
        <v>0</v>
      </c>
      <c r="L46" s="175">
        <v>0</v>
      </c>
      <c r="M46" s="175">
        <v>0</v>
      </c>
      <c r="N46" s="175">
        <v>0</v>
      </c>
      <c r="O46" s="175">
        <v>0</v>
      </c>
      <c r="P46" s="175">
        <v>0</v>
      </c>
      <c r="Q46" s="175">
        <v>0</v>
      </c>
      <c r="R46" s="175">
        <v>0</v>
      </c>
      <c r="S46" s="175">
        <v>0</v>
      </c>
      <c r="U46" s="175">
        <f t="shared" si="7"/>
        <v>0</v>
      </c>
    </row>
    <row r="47" spans="1:21">
      <c r="A47" s="183" t="str">
        <f t="shared" si="5"/>
        <v>146</v>
      </c>
      <c r="B47" s="183" t="str">
        <f t="shared" si="6"/>
        <v>146.0</v>
      </c>
      <c r="C47" s="184" t="s">
        <v>977</v>
      </c>
      <c r="D47" t="s">
        <v>978</v>
      </c>
      <c r="G47" s="175">
        <v>16583200.470000001</v>
      </c>
      <c r="H47" s="175">
        <v>13751354.941899501</v>
      </c>
      <c r="I47" s="175">
        <v>13751515.5353876</v>
      </c>
      <c r="J47" s="175">
        <v>13759947.275460601</v>
      </c>
      <c r="K47" s="175">
        <v>13761375.4136294</v>
      </c>
      <c r="L47" s="175">
        <v>13614379.7069715</v>
      </c>
      <c r="M47" s="175">
        <v>13529963.749572299</v>
      </c>
      <c r="N47" s="175">
        <v>13593367.8210476</v>
      </c>
      <c r="O47" s="175">
        <v>13739843.954431299</v>
      </c>
      <c r="P47" s="175">
        <v>13935712.287013801</v>
      </c>
      <c r="Q47" s="175">
        <v>13860812.0012816</v>
      </c>
      <c r="R47" s="175">
        <v>13972875.080281001</v>
      </c>
      <c r="S47" s="175">
        <v>13959856.422638301</v>
      </c>
      <c r="U47" s="175">
        <f t="shared" si="7"/>
        <v>13985708.050739575</v>
      </c>
    </row>
    <row r="48" spans="1:21">
      <c r="A48" s="183" t="str">
        <f t="shared" si="5"/>
        <v>151</v>
      </c>
      <c r="B48" s="183" t="str">
        <f t="shared" si="6"/>
        <v>151.0</v>
      </c>
      <c r="C48" s="184" t="s">
        <v>979</v>
      </c>
      <c r="D48" t="s">
        <v>279</v>
      </c>
      <c r="G48" s="175">
        <v>35600010.369999997</v>
      </c>
      <c r="H48" s="175">
        <v>36224000</v>
      </c>
      <c r="I48" s="175">
        <v>38057000</v>
      </c>
      <c r="J48" s="175">
        <v>39096000</v>
      </c>
      <c r="K48" s="175">
        <v>38325000</v>
      </c>
      <c r="L48" s="175">
        <v>38901000</v>
      </c>
      <c r="M48" s="175">
        <v>39506000</v>
      </c>
      <c r="N48" s="175">
        <v>33568000</v>
      </c>
      <c r="O48" s="175">
        <v>31375000</v>
      </c>
      <c r="P48" s="175">
        <v>32213000</v>
      </c>
      <c r="Q48" s="175">
        <v>32816000</v>
      </c>
      <c r="R48" s="175">
        <v>34762000</v>
      </c>
      <c r="S48" s="175">
        <v>35384000</v>
      </c>
      <c r="U48" s="175">
        <f t="shared" si="7"/>
        <v>35832846.951538458</v>
      </c>
    </row>
    <row r="49" spans="1:21">
      <c r="A49" s="183" t="str">
        <f t="shared" si="5"/>
        <v>152</v>
      </c>
      <c r="B49" s="183" t="str">
        <f t="shared" si="6"/>
        <v>152.0</v>
      </c>
      <c r="C49" s="184" t="s">
        <v>980</v>
      </c>
      <c r="D49" t="s">
        <v>573</v>
      </c>
      <c r="G49" s="175">
        <v>0</v>
      </c>
      <c r="H49" s="175">
        <v>0</v>
      </c>
      <c r="I49" s="175">
        <v>0</v>
      </c>
      <c r="J49" s="175">
        <v>0</v>
      </c>
      <c r="K49" s="175">
        <v>0</v>
      </c>
      <c r="L49" s="175">
        <v>0</v>
      </c>
      <c r="M49" s="175">
        <v>0</v>
      </c>
      <c r="N49" s="175">
        <v>0</v>
      </c>
      <c r="O49" s="175">
        <v>0</v>
      </c>
      <c r="P49" s="175">
        <v>0</v>
      </c>
      <c r="Q49" s="175">
        <v>0</v>
      </c>
      <c r="R49" s="175">
        <v>0</v>
      </c>
      <c r="S49" s="175">
        <v>0</v>
      </c>
      <c r="U49" s="175">
        <f t="shared" si="7"/>
        <v>0</v>
      </c>
    </row>
    <row r="50" spans="1:21">
      <c r="A50" s="183" t="str">
        <f t="shared" si="5"/>
        <v>153</v>
      </c>
      <c r="B50" s="183" t="str">
        <f t="shared" si="6"/>
        <v>153.0</v>
      </c>
      <c r="C50" s="184" t="s">
        <v>981</v>
      </c>
      <c r="D50" t="s">
        <v>982</v>
      </c>
      <c r="G50" s="175">
        <v>0</v>
      </c>
      <c r="H50" s="175">
        <v>0</v>
      </c>
      <c r="I50" s="175">
        <v>0</v>
      </c>
      <c r="J50" s="175">
        <v>0</v>
      </c>
      <c r="K50" s="175">
        <v>0</v>
      </c>
      <c r="L50" s="175">
        <v>0</v>
      </c>
      <c r="M50" s="175">
        <v>0</v>
      </c>
      <c r="N50" s="175">
        <v>0</v>
      </c>
      <c r="O50" s="175">
        <v>0</v>
      </c>
      <c r="P50" s="175">
        <v>0</v>
      </c>
      <c r="Q50" s="175">
        <v>0</v>
      </c>
      <c r="R50" s="175">
        <v>0</v>
      </c>
      <c r="S50" s="175">
        <v>0</v>
      </c>
      <c r="U50" s="175">
        <f t="shared" si="7"/>
        <v>0</v>
      </c>
    </row>
    <row r="51" spans="1:21">
      <c r="A51" s="183" t="str">
        <f t="shared" si="5"/>
        <v>154</v>
      </c>
      <c r="B51" s="183" t="str">
        <f t="shared" si="6"/>
        <v>154.0</v>
      </c>
      <c r="C51" s="184" t="s">
        <v>983</v>
      </c>
      <c r="D51" t="s">
        <v>984</v>
      </c>
      <c r="G51" s="175">
        <v>180913449.38999999</v>
      </c>
      <c r="H51" s="175">
        <v>179405887.5</v>
      </c>
      <c r="I51" s="175">
        <v>177898275</v>
      </c>
      <c r="J51" s="175">
        <v>176390662.5</v>
      </c>
      <c r="K51" s="175">
        <v>174883050</v>
      </c>
      <c r="L51" s="175">
        <v>173375437.5</v>
      </c>
      <c r="M51" s="175">
        <v>171867825</v>
      </c>
      <c r="N51" s="175">
        <v>170360212.5</v>
      </c>
      <c r="O51" s="175">
        <v>168852600</v>
      </c>
      <c r="P51" s="175">
        <v>167344987.5</v>
      </c>
      <c r="Q51" s="175">
        <v>165837375</v>
      </c>
      <c r="R51" s="175">
        <v>164329762.5</v>
      </c>
      <c r="S51" s="175">
        <v>162822150</v>
      </c>
      <c r="U51" s="175">
        <f t="shared" si="7"/>
        <v>171867821.10692307</v>
      </c>
    </row>
    <row r="52" spans="1:21">
      <c r="A52" s="183" t="str">
        <f t="shared" si="5"/>
        <v>155</v>
      </c>
      <c r="B52" s="183" t="str">
        <f t="shared" si="6"/>
        <v>155.0</v>
      </c>
      <c r="C52" s="184" t="s">
        <v>985</v>
      </c>
      <c r="D52" t="s">
        <v>986</v>
      </c>
      <c r="G52" s="175">
        <v>0</v>
      </c>
      <c r="H52" s="175">
        <v>0</v>
      </c>
      <c r="I52" s="175">
        <v>0</v>
      </c>
      <c r="J52" s="175">
        <v>0</v>
      </c>
      <c r="K52" s="175">
        <v>0</v>
      </c>
      <c r="L52" s="175">
        <v>0</v>
      </c>
      <c r="M52" s="175">
        <v>0</v>
      </c>
      <c r="N52" s="175">
        <v>0</v>
      </c>
      <c r="O52" s="175">
        <v>0</v>
      </c>
      <c r="P52" s="175">
        <v>0</v>
      </c>
      <c r="Q52" s="175">
        <v>0</v>
      </c>
      <c r="R52" s="175">
        <v>0</v>
      </c>
      <c r="S52" s="175">
        <v>0</v>
      </c>
      <c r="U52" s="175">
        <f t="shared" si="7"/>
        <v>0</v>
      </c>
    </row>
    <row r="53" spans="1:21">
      <c r="A53" s="183" t="str">
        <f t="shared" si="5"/>
        <v>156</v>
      </c>
      <c r="B53" s="183" t="str">
        <f t="shared" si="6"/>
        <v>156.0</v>
      </c>
      <c r="C53" s="184" t="s">
        <v>987</v>
      </c>
      <c r="D53" t="s">
        <v>988</v>
      </c>
      <c r="G53" s="175">
        <v>0</v>
      </c>
      <c r="H53" s="175">
        <v>0</v>
      </c>
      <c r="I53" s="175">
        <v>0</v>
      </c>
      <c r="J53" s="175">
        <v>0</v>
      </c>
      <c r="K53" s="175">
        <v>0</v>
      </c>
      <c r="L53" s="175">
        <v>0</v>
      </c>
      <c r="M53" s="175">
        <v>0</v>
      </c>
      <c r="N53" s="175">
        <v>0</v>
      </c>
      <c r="O53" s="175">
        <v>0</v>
      </c>
      <c r="P53" s="175">
        <v>0</v>
      </c>
      <c r="Q53" s="175">
        <v>0</v>
      </c>
      <c r="R53" s="175">
        <v>0</v>
      </c>
      <c r="S53" s="175">
        <v>0</v>
      </c>
      <c r="U53" s="175">
        <f t="shared" si="7"/>
        <v>0</v>
      </c>
    </row>
    <row r="54" spans="1:21">
      <c r="A54" s="183" t="str">
        <f t="shared" si="5"/>
        <v>158</v>
      </c>
      <c r="B54" s="183" t="str">
        <f t="shared" si="6"/>
        <v>158.1</v>
      </c>
      <c r="C54" s="184" t="s">
        <v>989</v>
      </c>
      <c r="D54" t="s">
        <v>990</v>
      </c>
      <c r="G54" s="175">
        <v>0</v>
      </c>
      <c r="H54" s="175">
        <v>0</v>
      </c>
      <c r="I54" s="175">
        <v>0</v>
      </c>
      <c r="J54" s="175">
        <v>0</v>
      </c>
      <c r="K54" s="175">
        <v>0</v>
      </c>
      <c r="L54" s="175">
        <v>0</v>
      </c>
      <c r="M54" s="175">
        <v>0</v>
      </c>
      <c r="N54" s="175">
        <v>0</v>
      </c>
      <c r="O54" s="175">
        <v>0</v>
      </c>
      <c r="P54" s="175">
        <v>0</v>
      </c>
      <c r="Q54" s="175">
        <v>0</v>
      </c>
      <c r="R54" s="175">
        <v>0</v>
      </c>
      <c r="S54" s="175">
        <v>0</v>
      </c>
      <c r="U54" s="175">
        <f t="shared" si="7"/>
        <v>0</v>
      </c>
    </row>
    <row r="55" spans="1:21">
      <c r="A55" s="183" t="str">
        <f t="shared" si="5"/>
        <v>158</v>
      </c>
      <c r="B55" s="183" t="str">
        <f t="shared" si="6"/>
        <v>158.2</v>
      </c>
      <c r="C55" s="184" t="s">
        <v>991</v>
      </c>
      <c r="D55" t="s">
        <v>992</v>
      </c>
      <c r="G55" s="175">
        <v>0</v>
      </c>
      <c r="H55" s="175">
        <v>0</v>
      </c>
      <c r="I55" s="175">
        <v>0</v>
      </c>
      <c r="J55" s="175">
        <v>0</v>
      </c>
      <c r="K55" s="175">
        <v>0</v>
      </c>
      <c r="L55" s="175">
        <v>0</v>
      </c>
      <c r="M55" s="175">
        <v>0</v>
      </c>
      <c r="N55" s="175">
        <v>0</v>
      </c>
      <c r="O55" s="175">
        <v>0</v>
      </c>
      <c r="P55" s="175">
        <v>0</v>
      </c>
      <c r="Q55" s="175">
        <v>0</v>
      </c>
      <c r="R55" s="175">
        <v>0</v>
      </c>
      <c r="S55" s="175">
        <v>0</v>
      </c>
      <c r="U55" s="175">
        <f t="shared" si="7"/>
        <v>0</v>
      </c>
    </row>
    <row r="56" spans="1:21">
      <c r="A56" s="183" t="str">
        <f t="shared" si="5"/>
        <v>163</v>
      </c>
      <c r="B56" s="183" t="str">
        <f t="shared" si="6"/>
        <v>163.0</v>
      </c>
      <c r="C56" s="184" t="s">
        <v>993</v>
      </c>
      <c r="D56" t="s">
        <v>994</v>
      </c>
      <c r="G56" s="175">
        <v>0</v>
      </c>
      <c r="H56" s="175">
        <v>0</v>
      </c>
      <c r="I56" s="175">
        <v>0</v>
      </c>
      <c r="J56" s="175">
        <v>0</v>
      </c>
      <c r="K56" s="175">
        <v>0</v>
      </c>
      <c r="L56" s="175">
        <v>0</v>
      </c>
      <c r="M56" s="175">
        <v>0</v>
      </c>
      <c r="N56" s="175">
        <v>0</v>
      </c>
      <c r="O56" s="175">
        <v>0</v>
      </c>
      <c r="P56" s="175">
        <v>0</v>
      </c>
      <c r="Q56" s="175">
        <v>0</v>
      </c>
      <c r="R56" s="175">
        <v>0</v>
      </c>
      <c r="S56" s="175">
        <v>0</v>
      </c>
      <c r="U56" s="175">
        <f t="shared" si="7"/>
        <v>0</v>
      </c>
    </row>
    <row r="57" spans="1:21">
      <c r="A57" s="183" t="str">
        <f t="shared" si="5"/>
        <v>164</v>
      </c>
      <c r="B57" s="183" t="str">
        <f t="shared" si="6"/>
        <v>164.1</v>
      </c>
      <c r="C57" s="184" t="s">
        <v>995</v>
      </c>
      <c r="D57" t="s">
        <v>996</v>
      </c>
      <c r="G57" s="175">
        <v>0</v>
      </c>
      <c r="H57" s="175">
        <v>0</v>
      </c>
      <c r="I57" s="175">
        <v>0</v>
      </c>
      <c r="J57" s="175">
        <v>0</v>
      </c>
      <c r="K57" s="175">
        <v>0</v>
      </c>
      <c r="L57" s="175">
        <v>0</v>
      </c>
      <c r="M57" s="175">
        <v>0</v>
      </c>
      <c r="N57" s="175">
        <v>0</v>
      </c>
      <c r="O57" s="175">
        <v>0</v>
      </c>
      <c r="P57" s="175">
        <v>0</v>
      </c>
      <c r="Q57" s="175">
        <v>0</v>
      </c>
      <c r="R57" s="175">
        <v>0</v>
      </c>
      <c r="S57" s="175">
        <v>0</v>
      </c>
      <c r="U57" s="175">
        <f t="shared" si="7"/>
        <v>0</v>
      </c>
    </row>
    <row r="58" spans="1:21">
      <c r="A58" s="183" t="str">
        <f t="shared" si="5"/>
        <v>164</v>
      </c>
      <c r="B58" s="183" t="str">
        <f t="shared" si="6"/>
        <v>164.2</v>
      </c>
      <c r="C58" s="184" t="s">
        <v>997</v>
      </c>
      <c r="D58" t="s">
        <v>998</v>
      </c>
      <c r="G58" s="175">
        <v>0</v>
      </c>
      <c r="H58" s="175">
        <v>0</v>
      </c>
      <c r="I58" s="175">
        <v>0</v>
      </c>
      <c r="J58" s="175">
        <v>0</v>
      </c>
      <c r="K58" s="175">
        <v>0</v>
      </c>
      <c r="L58" s="175">
        <v>0</v>
      </c>
      <c r="M58" s="175">
        <v>0</v>
      </c>
      <c r="N58" s="175">
        <v>0</v>
      </c>
      <c r="O58" s="175">
        <v>0</v>
      </c>
      <c r="P58" s="175">
        <v>0</v>
      </c>
      <c r="Q58" s="175">
        <v>0</v>
      </c>
      <c r="R58" s="175">
        <v>0</v>
      </c>
      <c r="S58" s="175">
        <v>0</v>
      </c>
      <c r="U58" s="175">
        <f t="shared" si="7"/>
        <v>0</v>
      </c>
    </row>
    <row r="59" spans="1:21">
      <c r="A59" s="183" t="str">
        <f t="shared" si="5"/>
        <v>164</v>
      </c>
      <c r="B59" s="183" t="str">
        <f t="shared" si="6"/>
        <v>164.3</v>
      </c>
      <c r="C59" s="184" t="s">
        <v>999</v>
      </c>
      <c r="D59" t="s">
        <v>1000</v>
      </c>
      <c r="G59" s="175">
        <v>0</v>
      </c>
      <c r="H59" s="175">
        <v>0</v>
      </c>
      <c r="I59" s="175">
        <v>0</v>
      </c>
      <c r="J59" s="175">
        <v>0</v>
      </c>
      <c r="K59" s="175">
        <v>0</v>
      </c>
      <c r="L59" s="175">
        <v>0</v>
      </c>
      <c r="M59" s="175">
        <v>0</v>
      </c>
      <c r="N59" s="175">
        <v>0</v>
      </c>
      <c r="O59" s="175">
        <v>0</v>
      </c>
      <c r="P59" s="175">
        <v>0</v>
      </c>
      <c r="Q59" s="175">
        <v>0</v>
      </c>
      <c r="R59" s="175">
        <v>0</v>
      </c>
      <c r="S59" s="175">
        <v>0</v>
      </c>
      <c r="U59" s="175">
        <f t="shared" si="7"/>
        <v>0</v>
      </c>
    </row>
    <row r="60" spans="1:21">
      <c r="A60" s="183" t="str">
        <f t="shared" si="5"/>
        <v>165</v>
      </c>
      <c r="B60" s="183" t="str">
        <f t="shared" si="6"/>
        <v>165.0</v>
      </c>
      <c r="C60" s="184" t="s">
        <v>1001</v>
      </c>
      <c r="D60" t="s">
        <v>283</v>
      </c>
      <c r="G60" s="175">
        <v>32486033.239999998</v>
      </c>
      <c r="H60" s="175">
        <v>28177090.200177401</v>
      </c>
      <c r="I60" s="175">
        <v>23522122.7058357</v>
      </c>
      <c r="J60" s="175">
        <v>35680297.692524701</v>
      </c>
      <c r="K60" s="175">
        <v>32504682.451158799</v>
      </c>
      <c r="L60" s="175">
        <v>25244289.238329601</v>
      </c>
      <c r="M60" s="175">
        <v>39573621.804005504</v>
      </c>
      <c r="N60" s="175">
        <v>38815935.346875198</v>
      </c>
      <c r="O60" s="175">
        <v>34982420.990328401</v>
      </c>
      <c r="P60" s="175">
        <v>30675211.2511876</v>
      </c>
      <c r="Q60" s="175">
        <v>28135147.614480201</v>
      </c>
      <c r="R60" s="175">
        <v>24562406.5761999</v>
      </c>
      <c r="S60" s="175">
        <v>23846321.866719801</v>
      </c>
      <c r="U60" s="175">
        <f t="shared" si="7"/>
        <v>30631198.536755599</v>
      </c>
    </row>
    <row r="61" spans="1:21">
      <c r="A61" s="183" t="str">
        <f t="shared" si="5"/>
        <v>171</v>
      </c>
      <c r="B61" s="183" t="str">
        <f t="shared" si="6"/>
        <v>171.0</v>
      </c>
      <c r="C61" s="184" t="s">
        <v>1002</v>
      </c>
      <c r="D61" t="s">
        <v>1003</v>
      </c>
      <c r="G61" s="175">
        <v>0</v>
      </c>
      <c r="H61" s="175">
        <v>0</v>
      </c>
      <c r="I61" s="175">
        <v>0</v>
      </c>
      <c r="J61" s="175">
        <v>0</v>
      </c>
      <c r="K61" s="175">
        <v>0</v>
      </c>
      <c r="L61" s="175">
        <v>0</v>
      </c>
      <c r="M61" s="175">
        <v>0</v>
      </c>
      <c r="N61" s="175">
        <v>0</v>
      </c>
      <c r="O61" s="175">
        <v>0</v>
      </c>
      <c r="P61" s="175">
        <v>0</v>
      </c>
      <c r="Q61" s="175">
        <v>0</v>
      </c>
      <c r="R61" s="175">
        <v>0</v>
      </c>
      <c r="S61" s="175">
        <v>0</v>
      </c>
      <c r="U61" s="175">
        <f t="shared" si="7"/>
        <v>0</v>
      </c>
    </row>
    <row r="62" spans="1:21">
      <c r="A62" s="183" t="str">
        <f t="shared" si="5"/>
        <v>172</v>
      </c>
      <c r="B62" s="183" t="str">
        <f t="shared" si="6"/>
        <v>172.0</v>
      </c>
      <c r="C62" s="184" t="s">
        <v>1004</v>
      </c>
      <c r="D62" t="s">
        <v>1005</v>
      </c>
      <c r="G62" s="175">
        <v>0</v>
      </c>
      <c r="H62" s="175">
        <v>0</v>
      </c>
      <c r="I62" s="175">
        <v>0</v>
      </c>
      <c r="J62" s="175">
        <v>0</v>
      </c>
      <c r="K62" s="175">
        <v>0</v>
      </c>
      <c r="L62" s="175">
        <v>0</v>
      </c>
      <c r="M62" s="175">
        <v>0</v>
      </c>
      <c r="N62" s="175">
        <v>0</v>
      </c>
      <c r="O62" s="175">
        <v>0</v>
      </c>
      <c r="P62" s="175">
        <v>0</v>
      </c>
      <c r="Q62" s="175">
        <v>0</v>
      </c>
      <c r="R62" s="175">
        <v>0</v>
      </c>
      <c r="S62" s="175">
        <v>0</v>
      </c>
      <c r="U62" s="175">
        <f t="shared" si="7"/>
        <v>0</v>
      </c>
    </row>
    <row r="63" spans="1:21">
      <c r="A63" s="183" t="str">
        <f t="shared" si="5"/>
        <v>173</v>
      </c>
      <c r="B63" s="183" t="str">
        <f t="shared" si="6"/>
        <v>173.0</v>
      </c>
      <c r="C63" s="184" t="s">
        <v>1006</v>
      </c>
      <c r="D63" t="s">
        <v>1007</v>
      </c>
      <c r="G63" s="175">
        <v>63361325</v>
      </c>
      <c r="H63" s="175">
        <v>71079751.560000107</v>
      </c>
      <c r="I63" s="175">
        <v>66032394.3400001</v>
      </c>
      <c r="J63" s="175">
        <v>70703378.190000102</v>
      </c>
      <c r="K63" s="175">
        <v>75099687.950000107</v>
      </c>
      <c r="L63" s="175">
        <v>85408993.080000103</v>
      </c>
      <c r="M63" s="175">
        <v>88965577.760000095</v>
      </c>
      <c r="N63" s="175">
        <v>91406855.650000095</v>
      </c>
      <c r="O63" s="175">
        <v>96000638.670000106</v>
      </c>
      <c r="P63" s="175">
        <v>87003010.560000002</v>
      </c>
      <c r="Q63" s="175">
        <v>82052839.860000104</v>
      </c>
      <c r="R63" s="175">
        <v>72936599.240000099</v>
      </c>
      <c r="S63" s="175">
        <v>73385642.000000104</v>
      </c>
      <c r="U63" s="175">
        <f t="shared" si="7"/>
        <v>78725899.527692392</v>
      </c>
    </row>
    <row r="64" spans="1:21">
      <c r="A64" s="183" t="str">
        <f t="shared" si="5"/>
        <v>174</v>
      </c>
      <c r="B64" s="183" t="str">
        <f t="shared" si="6"/>
        <v>174.0</v>
      </c>
      <c r="C64" s="184" t="s">
        <v>1008</v>
      </c>
      <c r="D64" t="s">
        <v>1009</v>
      </c>
      <c r="G64" s="175">
        <v>0</v>
      </c>
      <c r="H64" s="175">
        <v>0</v>
      </c>
      <c r="I64" s="175">
        <v>0</v>
      </c>
      <c r="J64" s="175">
        <v>0</v>
      </c>
      <c r="K64" s="175">
        <v>0</v>
      </c>
      <c r="L64" s="175">
        <v>0</v>
      </c>
      <c r="M64" s="175">
        <v>0</v>
      </c>
      <c r="N64" s="175">
        <v>0</v>
      </c>
      <c r="O64" s="175">
        <v>0</v>
      </c>
      <c r="P64" s="175">
        <v>0</v>
      </c>
      <c r="Q64" s="175">
        <v>0</v>
      </c>
      <c r="R64" s="175">
        <v>0</v>
      </c>
      <c r="S64" s="175">
        <v>0</v>
      </c>
      <c r="U64" s="175">
        <f t="shared" si="7"/>
        <v>0</v>
      </c>
    </row>
    <row r="65" spans="1:21">
      <c r="A65" s="183" t="str">
        <f t="shared" si="5"/>
        <v>176</v>
      </c>
      <c r="B65" s="183" t="str">
        <f t="shared" si="6"/>
        <v>176.0</v>
      </c>
      <c r="C65" s="184" t="s">
        <v>1010</v>
      </c>
      <c r="D65" t="s">
        <v>1011</v>
      </c>
      <c r="G65" s="175">
        <v>665079.21</v>
      </c>
      <c r="H65" s="175">
        <v>528000</v>
      </c>
      <c r="I65" s="175">
        <v>528000</v>
      </c>
      <c r="J65" s="175">
        <v>528000</v>
      </c>
      <c r="K65" s="175">
        <v>528000</v>
      </c>
      <c r="L65" s="175">
        <v>528000</v>
      </c>
      <c r="M65" s="175">
        <v>528000</v>
      </c>
      <c r="N65" s="175">
        <v>528000</v>
      </c>
      <c r="O65" s="175">
        <v>528000</v>
      </c>
      <c r="P65" s="175">
        <v>528000</v>
      </c>
      <c r="Q65" s="175">
        <v>528000</v>
      </c>
      <c r="R65" s="175">
        <v>528000</v>
      </c>
      <c r="S65" s="175">
        <v>528000</v>
      </c>
      <c r="U65" s="175">
        <f t="shared" si="7"/>
        <v>538544.55461538467</v>
      </c>
    </row>
    <row r="66" spans="1:21">
      <c r="A66" s="183" t="str">
        <f t="shared" si="5"/>
        <v>181</v>
      </c>
      <c r="B66" s="183" t="str">
        <f t="shared" si="6"/>
        <v>181.0</v>
      </c>
      <c r="C66" s="184" t="s">
        <v>1012</v>
      </c>
      <c r="D66" t="s">
        <v>420</v>
      </c>
      <c r="G66" s="175">
        <v>28262912.219999999</v>
      </c>
      <c r="H66" s="175">
        <v>30067734.109999999</v>
      </c>
      <c r="I66" s="175">
        <v>29839222.68</v>
      </c>
      <c r="J66" s="175">
        <v>29619032.219999999</v>
      </c>
      <c r="K66" s="175">
        <v>29398841.760000002</v>
      </c>
      <c r="L66" s="175">
        <v>29178651.300000001</v>
      </c>
      <c r="M66" s="175">
        <v>28958460.84</v>
      </c>
      <c r="N66" s="175">
        <v>28801550.34</v>
      </c>
      <c r="O66" s="175">
        <v>28644639.84</v>
      </c>
      <c r="P66" s="175">
        <v>28487729.34</v>
      </c>
      <c r="Q66" s="175">
        <v>28330818.84</v>
      </c>
      <c r="R66" s="175">
        <v>28173908.34</v>
      </c>
      <c r="S66" s="175">
        <v>28016997.84</v>
      </c>
      <c r="U66" s="175">
        <f t="shared" si="7"/>
        <v>28906192.282307684</v>
      </c>
    </row>
    <row r="67" spans="1:21">
      <c r="A67" s="183" t="str">
        <f t="shared" si="5"/>
        <v>182</v>
      </c>
      <c r="B67" s="183" t="str">
        <f t="shared" si="6"/>
        <v>182.1</v>
      </c>
      <c r="C67" s="184" t="s">
        <v>1013</v>
      </c>
      <c r="D67" t="s">
        <v>1014</v>
      </c>
      <c r="G67" s="175">
        <v>0</v>
      </c>
      <c r="H67" s="175">
        <v>0</v>
      </c>
      <c r="I67" s="175">
        <v>0</v>
      </c>
      <c r="J67" s="175">
        <v>0</v>
      </c>
      <c r="K67" s="175">
        <v>0</v>
      </c>
      <c r="L67" s="175">
        <v>0</v>
      </c>
      <c r="M67" s="175">
        <v>0</v>
      </c>
      <c r="N67" s="175">
        <v>0</v>
      </c>
      <c r="O67" s="175">
        <v>0</v>
      </c>
      <c r="P67" s="175">
        <v>0</v>
      </c>
      <c r="Q67" s="175">
        <v>0</v>
      </c>
      <c r="R67" s="175">
        <v>0</v>
      </c>
      <c r="S67" s="175">
        <v>0</v>
      </c>
      <c r="U67" s="175">
        <f t="shared" si="7"/>
        <v>0</v>
      </c>
    </row>
    <row r="68" spans="1:21">
      <c r="A68" s="183" t="str">
        <f t="shared" si="5"/>
        <v>182</v>
      </c>
      <c r="B68" s="183" t="str">
        <f t="shared" si="6"/>
        <v>182.2</v>
      </c>
      <c r="C68" s="184" t="s">
        <v>1015</v>
      </c>
      <c r="D68" t="s">
        <v>1016</v>
      </c>
      <c r="G68" s="175">
        <v>507313063.85000002</v>
      </c>
      <c r="H68" s="175">
        <v>512814578.6299994</v>
      </c>
      <c r="I68" s="175">
        <v>513614991.78999978</v>
      </c>
      <c r="J68" s="175">
        <v>514338462.95999992</v>
      </c>
      <c r="K68" s="175">
        <v>514573233.0999999</v>
      </c>
      <c r="L68" s="175">
        <v>514322621.2700001</v>
      </c>
      <c r="M68" s="175">
        <v>514005933.42000002</v>
      </c>
      <c r="N68" s="175">
        <v>513975245.57999963</v>
      </c>
      <c r="O68" s="175">
        <v>513397557.75999957</v>
      </c>
      <c r="P68" s="175">
        <v>512868129.91000003</v>
      </c>
      <c r="Q68" s="175">
        <v>512453392.06999969</v>
      </c>
      <c r="R68" s="175">
        <v>512025704.21999949</v>
      </c>
      <c r="S68" s="175">
        <v>513605341.39999968</v>
      </c>
      <c r="U68" s="175">
        <f t="shared" si="7"/>
        <v>513023711.99692279</v>
      </c>
    </row>
    <row r="69" spans="1:21">
      <c r="A69" s="183" t="str">
        <f t="shared" si="5"/>
        <v>182</v>
      </c>
      <c r="B69" s="183" t="str">
        <f t="shared" si="6"/>
        <v>182.3</v>
      </c>
      <c r="C69" s="184" t="s">
        <v>1017</v>
      </c>
      <c r="D69" t="s">
        <v>585</v>
      </c>
      <c r="G69" s="175">
        <v>477534176.08999997</v>
      </c>
      <c r="H69" s="175">
        <v>467884682.62685812</v>
      </c>
      <c r="I69" s="175">
        <v>459650324.66472018</v>
      </c>
      <c r="J69" s="175">
        <v>452691377.15651381</v>
      </c>
      <c r="K69" s="175">
        <v>440939204.5958792</v>
      </c>
      <c r="L69" s="175">
        <v>431466735.69137329</v>
      </c>
      <c r="M69" s="175">
        <v>415698019.85442138</v>
      </c>
      <c r="N69" s="175">
        <v>399744973.19120038</v>
      </c>
      <c r="O69" s="175">
        <v>385915293.73562521</v>
      </c>
      <c r="P69" s="175">
        <v>379939767.70568168</v>
      </c>
      <c r="Q69" s="175">
        <v>379405269.2932353</v>
      </c>
      <c r="R69" s="175">
        <v>379106571.60873288</v>
      </c>
      <c r="S69" s="175">
        <v>378787084.83279461</v>
      </c>
      <c r="U69" s="175">
        <f t="shared" si="7"/>
        <v>419135652.38823354</v>
      </c>
    </row>
    <row r="70" spans="1:21">
      <c r="A70" s="183" t="str">
        <f t="shared" si="5"/>
        <v>183</v>
      </c>
      <c r="B70" s="183" t="str">
        <f t="shared" si="6"/>
        <v>183.0</v>
      </c>
      <c r="C70" s="184" t="s">
        <v>1018</v>
      </c>
      <c r="D70" t="s">
        <v>1019</v>
      </c>
      <c r="G70" s="175">
        <v>10078821.82</v>
      </c>
      <c r="H70" s="175">
        <v>11176821.550000001</v>
      </c>
      <c r="I70" s="175">
        <v>12283821.550000001</v>
      </c>
      <c r="J70" s="175">
        <v>13665821.550000001</v>
      </c>
      <c r="K70" s="175">
        <v>14648821.550000001</v>
      </c>
      <c r="L70" s="175">
        <v>15664821.550000001</v>
      </c>
      <c r="M70" s="175">
        <v>16519821.550000001</v>
      </c>
      <c r="N70" s="175">
        <v>16971821.550000001</v>
      </c>
      <c r="O70" s="175">
        <v>17607821.550000001</v>
      </c>
      <c r="P70" s="175">
        <v>17908821.550000001</v>
      </c>
      <c r="Q70" s="175">
        <v>18200821.550000001</v>
      </c>
      <c r="R70" s="175">
        <v>18685821.550000001</v>
      </c>
      <c r="S70" s="175">
        <v>14320821.550000001</v>
      </c>
      <c r="U70" s="175">
        <f t="shared" si="7"/>
        <v>15210360.032307694</v>
      </c>
    </row>
    <row r="71" spans="1:21">
      <c r="A71" s="183" t="str">
        <f t="shared" ref="A71:A134" si="8">MID(C71,2,3)</f>
        <v>183</v>
      </c>
      <c r="B71" s="183" t="str">
        <f t="shared" ref="B71:B134" si="9">MID(C71,2,3)&amp;"."&amp;MID(C71,5,1)</f>
        <v>183.1</v>
      </c>
      <c r="C71" s="184" t="s">
        <v>1020</v>
      </c>
      <c r="D71" t="s">
        <v>1021</v>
      </c>
      <c r="G71" s="175">
        <v>0</v>
      </c>
      <c r="H71" s="175">
        <v>0</v>
      </c>
      <c r="I71" s="175">
        <v>0</v>
      </c>
      <c r="J71" s="175">
        <v>0</v>
      </c>
      <c r="K71" s="175">
        <v>0</v>
      </c>
      <c r="L71" s="175">
        <v>0</v>
      </c>
      <c r="M71" s="175">
        <v>0</v>
      </c>
      <c r="N71" s="175">
        <v>0</v>
      </c>
      <c r="O71" s="175">
        <v>0</v>
      </c>
      <c r="P71" s="175">
        <v>0</v>
      </c>
      <c r="Q71" s="175">
        <v>0</v>
      </c>
      <c r="R71" s="175">
        <v>0</v>
      </c>
      <c r="S71" s="175">
        <v>0</v>
      </c>
      <c r="U71" s="175">
        <f t="shared" ref="U71:U134" si="10">AVERAGE(G71:S71)</f>
        <v>0</v>
      </c>
    </row>
    <row r="72" spans="1:21">
      <c r="A72" s="183" t="str">
        <f t="shared" si="8"/>
        <v>183</v>
      </c>
      <c r="B72" s="183" t="str">
        <f t="shared" si="9"/>
        <v>183.2</v>
      </c>
      <c r="C72" s="184" t="s">
        <v>1022</v>
      </c>
      <c r="D72" t="s">
        <v>1023</v>
      </c>
      <c r="G72" s="175">
        <v>0</v>
      </c>
      <c r="H72" s="175">
        <v>0</v>
      </c>
      <c r="I72" s="175">
        <v>0</v>
      </c>
      <c r="J72" s="175">
        <v>0</v>
      </c>
      <c r="K72" s="175">
        <v>0</v>
      </c>
      <c r="L72" s="175">
        <v>0</v>
      </c>
      <c r="M72" s="175">
        <v>0</v>
      </c>
      <c r="N72" s="175">
        <v>0</v>
      </c>
      <c r="O72" s="175">
        <v>0</v>
      </c>
      <c r="P72" s="175">
        <v>0</v>
      </c>
      <c r="Q72" s="175">
        <v>0</v>
      </c>
      <c r="R72" s="175">
        <v>0</v>
      </c>
      <c r="S72" s="175">
        <v>0</v>
      </c>
      <c r="U72" s="175">
        <f t="shared" si="10"/>
        <v>0</v>
      </c>
    </row>
    <row r="73" spans="1:21">
      <c r="A73" s="183" t="str">
        <f t="shared" si="8"/>
        <v>184</v>
      </c>
      <c r="B73" s="183" t="str">
        <f t="shared" si="9"/>
        <v>184.0</v>
      </c>
      <c r="C73" s="184" t="s">
        <v>1024</v>
      </c>
      <c r="D73" t="s">
        <v>291</v>
      </c>
      <c r="G73" s="175">
        <v>76622.31</v>
      </c>
      <c r="H73" s="175">
        <v>0</v>
      </c>
      <c r="I73" s="175">
        <v>0</v>
      </c>
      <c r="J73" s="175">
        <v>0</v>
      </c>
      <c r="K73" s="175">
        <v>0</v>
      </c>
      <c r="L73" s="175">
        <v>0</v>
      </c>
      <c r="M73" s="175">
        <v>0</v>
      </c>
      <c r="N73" s="175">
        <v>0</v>
      </c>
      <c r="O73" s="175">
        <v>0</v>
      </c>
      <c r="P73" s="175">
        <v>0</v>
      </c>
      <c r="Q73" s="175">
        <v>0</v>
      </c>
      <c r="R73" s="175">
        <v>0</v>
      </c>
      <c r="S73" s="175">
        <v>0</v>
      </c>
      <c r="U73" s="175">
        <f t="shared" si="10"/>
        <v>5894.0238461538456</v>
      </c>
    </row>
    <row r="74" spans="1:21">
      <c r="A74" s="183" t="str">
        <f t="shared" si="8"/>
        <v>184</v>
      </c>
      <c r="B74" s="183" t="str">
        <f t="shared" si="9"/>
        <v>184.1</v>
      </c>
      <c r="C74" s="184" t="s">
        <v>1025</v>
      </c>
      <c r="D74" t="s">
        <v>1026</v>
      </c>
      <c r="G74" s="175">
        <v>0</v>
      </c>
      <c r="H74" s="175">
        <v>0</v>
      </c>
      <c r="I74" s="175">
        <v>0</v>
      </c>
      <c r="J74" s="175">
        <v>0</v>
      </c>
      <c r="K74" s="175">
        <v>0</v>
      </c>
      <c r="L74" s="175">
        <v>0</v>
      </c>
      <c r="M74" s="175">
        <v>0</v>
      </c>
      <c r="N74" s="175">
        <v>0</v>
      </c>
      <c r="O74" s="175">
        <v>0</v>
      </c>
      <c r="P74" s="175">
        <v>0</v>
      </c>
      <c r="Q74" s="175">
        <v>0</v>
      </c>
      <c r="R74" s="175">
        <v>0</v>
      </c>
      <c r="S74" s="175">
        <v>0</v>
      </c>
      <c r="U74" s="175">
        <f t="shared" si="10"/>
        <v>0</v>
      </c>
    </row>
    <row r="75" spans="1:21">
      <c r="A75" s="183" t="str">
        <f t="shared" si="8"/>
        <v>186</v>
      </c>
      <c r="B75" s="183" t="str">
        <f t="shared" si="9"/>
        <v>186.0</v>
      </c>
      <c r="C75" s="184" t="s">
        <v>1027</v>
      </c>
      <c r="D75" t="s">
        <v>1028</v>
      </c>
      <c r="G75" s="175">
        <v>8801280.9499999993</v>
      </c>
      <c r="H75" s="175">
        <v>8136913.5733332997</v>
      </c>
      <c r="I75" s="175">
        <v>9557054.3866667002</v>
      </c>
      <c r="J75" s="175">
        <v>8351097.3700000001</v>
      </c>
      <c r="K75" s="175">
        <v>8305272.4833332999</v>
      </c>
      <c r="L75" s="175">
        <v>8145167.6991667002</v>
      </c>
      <c r="M75" s="175">
        <v>8580582.8350000009</v>
      </c>
      <c r="N75" s="175">
        <v>10839521.0408333</v>
      </c>
      <c r="O75" s="175">
        <v>11366579.0766667</v>
      </c>
      <c r="P75" s="175">
        <v>11218208.5625</v>
      </c>
      <c r="Q75" s="175">
        <v>7516328.5650000004</v>
      </c>
      <c r="R75" s="175">
        <v>7517581.2874999996</v>
      </c>
      <c r="S75" s="175">
        <v>5745292.6600000001</v>
      </c>
      <c r="U75" s="175">
        <f t="shared" si="10"/>
        <v>8775452.3453846145</v>
      </c>
    </row>
    <row r="76" spans="1:21">
      <c r="A76" s="183" t="str">
        <f t="shared" si="8"/>
        <v>187</v>
      </c>
      <c r="B76" s="183" t="str">
        <f t="shared" si="9"/>
        <v>187.0</v>
      </c>
      <c r="C76" s="184" t="s">
        <v>1029</v>
      </c>
      <c r="D76" t="s">
        <v>1030</v>
      </c>
      <c r="G76" s="175">
        <v>0</v>
      </c>
      <c r="H76" s="175">
        <v>0</v>
      </c>
      <c r="I76" s="175">
        <v>0</v>
      </c>
      <c r="J76" s="175">
        <v>0</v>
      </c>
      <c r="K76" s="175">
        <v>0</v>
      </c>
      <c r="L76" s="175">
        <v>0</v>
      </c>
      <c r="M76" s="175">
        <v>0</v>
      </c>
      <c r="N76" s="175">
        <v>0</v>
      </c>
      <c r="O76" s="175">
        <v>0</v>
      </c>
      <c r="P76" s="175">
        <v>0</v>
      </c>
      <c r="Q76" s="175">
        <v>0</v>
      </c>
      <c r="R76" s="175">
        <v>0</v>
      </c>
      <c r="S76" s="175">
        <v>0</v>
      </c>
      <c r="U76" s="175">
        <f t="shared" si="10"/>
        <v>0</v>
      </c>
    </row>
    <row r="77" spans="1:21">
      <c r="A77" s="183" t="str">
        <f t="shared" si="8"/>
        <v>188</v>
      </c>
      <c r="B77" s="183" t="str">
        <f t="shared" si="9"/>
        <v>188.0</v>
      </c>
      <c r="C77" s="184" t="s">
        <v>1031</v>
      </c>
      <c r="D77" t="s">
        <v>1032</v>
      </c>
      <c r="G77" s="175">
        <v>0</v>
      </c>
      <c r="H77" s="175">
        <v>0</v>
      </c>
      <c r="I77" s="175">
        <v>0</v>
      </c>
      <c r="J77" s="175">
        <v>0</v>
      </c>
      <c r="K77" s="175">
        <v>0</v>
      </c>
      <c r="L77" s="175">
        <v>0</v>
      </c>
      <c r="M77" s="175">
        <v>0</v>
      </c>
      <c r="N77" s="175">
        <v>0</v>
      </c>
      <c r="O77" s="175">
        <v>0</v>
      </c>
      <c r="P77" s="175">
        <v>0</v>
      </c>
      <c r="Q77" s="175">
        <v>0</v>
      </c>
      <c r="R77" s="175">
        <v>0</v>
      </c>
      <c r="S77" s="175">
        <v>0</v>
      </c>
      <c r="U77" s="175">
        <f t="shared" si="10"/>
        <v>0</v>
      </c>
    </row>
    <row r="78" spans="1:21">
      <c r="A78" s="183" t="str">
        <f t="shared" si="8"/>
        <v>189</v>
      </c>
      <c r="B78" s="183" t="str">
        <f t="shared" si="9"/>
        <v>189.0</v>
      </c>
      <c r="C78" s="184" t="s">
        <v>1033</v>
      </c>
      <c r="D78" t="s">
        <v>430</v>
      </c>
      <c r="G78" s="175">
        <v>2917032.76</v>
      </c>
      <c r="H78" s="175">
        <v>2885186.19</v>
      </c>
      <c r="I78" s="175">
        <v>2853339.62</v>
      </c>
      <c r="J78" s="175">
        <v>2821493.05</v>
      </c>
      <c r="K78" s="175">
        <v>2789646.48</v>
      </c>
      <c r="L78" s="175">
        <v>2757799.91</v>
      </c>
      <c r="M78" s="175">
        <v>2725953.34</v>
      </c>
      <c r="N78" s="175">
        <v>2694106.77</v>
      </c>
      <c r="O78" s="175">
        <v>2662260.2000000002</v>
      </c>
      <c r="P78" s="175">
        <v>2630413.63</v>
      </c>
      <c r="Q78" s="175">
        <v>2598567.06</v>
      </c>
      <c r="R78" s="175">
        <v>2566720.4900000002</v>
      </c>
      <c r="S78" s="175">
        <v>2534873.92</v>
      </c>
      <c r="U78" s="175">
        <f t="shared" si="10"/>
        <v>2725953.3400000003</v>
      </c>
    </row>
    <row r="79" spans="1:21">
      <c r="A79" s="183" t="str">
        <f t="shared" si="8"/>
        <v>190</v>
      </c>
      <c r="B79" s="183" t="str">
        <f t="shared" si="9"/>
        <v>190.0</v>
      </c>
      <c r="C79" s="184" t="s">
        <v>1034</v>
      </c>
      <c r="D79" t="s">
        <v>1035</v>
      </c>
      <c r="G79" s="175">
        <v>716561901.19000006</v>
      </c>
      <c r="H79" s="175">
        <v>721746774.90999949</v>
      </c>
      <c r="I79" s="175">
        <v>724791478.90999949</v>
      </c>
      <c r="J79" s="175">
        <v>728187238.90999949</v>
      </c>
      <c r="K79" s="175">
        <v>731886958.90999949</v>
      </c>
      <c r="L79" s="175">
        <v>736219709.90999961</v>
      </c>
      <c r="M79" s="175">
        <v>740072021.90999961</v>
      </c>
      <c r="N79" s="175">
        <v>744048548.90999961</v>
      </c>
      <c r="O79" s="175">
        <v>747924912.90999973</v>
      </c>
      <c r="P79" s="175">
        <v>758886703.90999973</v>
      </c>
      <c r="Q79" s="175">
        <v>762304631.90999973</v>
      </c>
      <c r="R79" s="175">
        <v>765046939.90999973</v>
      </c>
      <c r="S79" s="175">
        <v>768014366.90999973</v>
      </c>
      <c r="U79" s="175">
        <f t="shared" si="10"/>
        <v>741976322.23923039</v>
      </c>
    </row>
    <row r="80" spans="1:21">
      <c r="A80" s="183" t="str">
        <f t="shared" si="8"/>
        <v>191</v>
      </c>
      <c r="B80" s="183" t="str">
        <f t="shared" si="9"/>
        <v>191.0</v>
      </c>
      <c r="C80" s="184" t="s">
        <v>1036</v>
      </c>
      <c r="D80" t="s">
        <v>1037</v>
      </c>
      <c r="G80" s="175">
        <v>0</v>
      </c>
      <c r="H80" s="175">
        <v>0</v>
      </c>
      <c r="I80" s="175">
        <v>0</v>
      </c>
      <c r="J80" s="175">
        <v>0</v>
      </c>
      <c r="K80" s="175">
        <v>0</v>
      </c>
      <c r="L80" s="175">
        <v>0</v>
      </c>
      <c r="M80" s="175">
        <v>0</v>
      </c>
      <c r="N80" s="175">
        <v>0</v>
      </c>
      <c r="O80" s="175">
        <v>0</v>
      </c>
      <c r="P80" s="175">
        <v>0</v>
      </c>
      <c r="Q80" s="175">
        <v>0</v>
      </c>
      <c r="R80" s="175">
        <v>0</v>
      </c>
      <c r="S80" s="175">
        <v>0</v>
      </c>
      <c r="U80" s="175">
        <f t="shared" si="10"/>
        <v>0</v>
      </c>
    </row>
    <row r="81" spans="1:21">
      <c r="A81" s="183" t="str">
        <f t="shared" si="8"/>
        <v>201</v>
      </c>
      <c r="B81" s="183" t="str">
        <f t="shared" si="9"/>
        <v>201.0</v>
      </c>
      <c r="C81" s="184" t="s">
        <v>1038</v>
      </c>
      <c r="D81" t="s">
        <v>1039</v>
      </c>
      <c r="G81" s="175">
        <v>119696788.17</v>
      </c>
      <c r="H81" s="175">
        <v>119696800</v>
      </c>
      <c r="I81" s="175">
        <v>119696800</v>
      </c>
      <c r="J81" s="175">
        <v>119696800</v>
      </c>
      <c r="K81" s="175">
        <v>119696800</v>
      </c>
      <c r="L81" s="175">
        <v>119696800</v>
      </c>
      <c r="M81" s="175">
        <v>119696800</v>
      </c>
      <c r="N81" s="175">
        <v>119696800</v>
      </c>
      <c r="O81" s="175">
        <v>119696800</v>
      </c>
      <c r="P81" s="175">
        <v>119696800</v>
      </c>
      <c r="Q81" s="175">
        <v>119696800</v>
      </c>
      <c r="R81" s="175">
        <v>119696800</v>
      </c>
      <c r="S81" s="175">
        <v>119696800</v>
      </c>
      <c r="U81" s="175">
        <f t="shared" si="10"/>
        <v>119696799.09</v>
      </c>
    </row>
    <row r="82" spans="1:21">
      <c r="A82" s="183" t="str">
        <f t="shared" si="8"/>
        <v>207</v>
      </c>
      <c r="B82" s="183" t="str">
        <f t="shared" si="9"/>
        <v>207.0</v>
      </c>
      <c r="C82" s="184" t="s">
        <v>1040</v>
      </c>
      <c r="D82" t="s">
        <v>1041</v>
      </c>
      <c r="G82" s="175">
        <v>0</v>
      </c>
      <c r="H82" s="175">
        <v>0</v>
      </c>
      <c r="I82" s="175">
        <v>0</v>
      </c>
      <c r="J82" s="175">
        <v>0</v>
      </c>
      <c r="K82" s="175">
        <v>0</v>
      </c>
      <c r="L82" s="175">
        <v>0</v>
      </c>
      <c r="M82" s="175">
        <v>0</v>
      </c>
      <c r="N82" s="175">
        <v>0</v>
      </c>
      <c r="O82" s="175">
        <v>0</v>
      </c>
      <c r="P82" s="175">
        <v>0</v>
      </c>
      <c r="Q82" s="175">
        <v>0</v>
      </c>
      <c r="R82" s="175">
        <v>0</v>
      </c>
      <c r="S82" s="175">
        <v>0</v>
      </c>
      <c r="U82" s="175">
        <f t="shared" si="10"/>
        <v>0</v>
      </c>
    </row>
    <row r="83" spans="1:21">
      <c r="A83" s="183" t="str">
        <f t="shared" si="8"/>
        <v>208</v>
      </c>
      <c r="B83" s="183" t="str">
        <f t="shared" si="9"/>
        <v>208.0</v>
      </c>
      <c r="C83" s="184" t="s">
        <v>1042</v>
      </c>
      <c r="D83" t="s">
        <v>1043</v>
      </c>
      <c r="G83" s="175">
        <v>0</v>
      </c>
      <c r="H83" s="175">
        <v>0</v>
      </c>
      <c r="I83" s="175">
        <v>0</v>
      </c>
      <c r="J83" s="175">
        <v>0</v>
      </c>
      <c r="K83" s="175">
        <v>0</v>
      </c>
      <c r="L83" s="175">
        <v>0</v>
      </c>
      <c r="M83" s="175">
        <v>0</v>
      </c>
      <c r="N83" s="175">
        <v>0</v>
      </c>
      <c r="O83" s="175">
        <v>0</v>
      </c>
      <c r="P83" s="175">
        <v>0</v>
      </c>
      <c r="Q83" s="175">
        <v>0</v>
      </c>
      <c r="R83" s="175">
        <v>0</v>
      </c>
      <c r="S83" s="175">
        <v>0</v>
      </c>
      <c r="U83" s="175">
        <f t="shared" si="10"/>
        <v>0</v>
      </c>
    </row>
    <row r="84" spans="1:21">
      <c r="A84" s="183" t="str">
        <f t="shared" si="8"/>
        <v>211</v>
      </c>
      <c r="B84" s="183" t="str">
        <f t="shared" si="9"/>
        <v>211.0</v>
      </c>
      <c r="C84" s="184" t="s">
        <v>1044</v>
      </c>
      <c r="D84" t="s">
        <v>1045</v>
      </c>
      <c r="G84" s="175">
        <v>4385840249.4899998</v>
      </c>
      <c r="H84" s="175">
        <v>4385840200</v>
      </c>
      <c r="I84" s="175">
        <v>4685840200</v>
      </c>
      <c r="J84" s="175">
        <v>4685840200</v>
      </c>
      <c r="K84" s="175">
        <v>4685840200</v>
      </c>
      <c r="L84" s="175">
        <v>4880840200</v>
      </c>
      <c r="M84" s="175">
        <v>4880840200</v>
      </c>
      <c r="N84" s="175">
        <v>4880840200</v>
      </c>
      <c r="O84" s="175">
        <v>4950840200</v>
      </c>
      <c r="P84" s="175">
        <v>4950840200</v>
      </c>
      <c r="Q84" s="175">
        <v>4950840200</v>
      </c>
      <c r="R84" s="175">
        <v>4985840200</v>
      </c>
      <c r="S84" s="175">
        <v>4985840200</v>
      </c>
      <c r="U84" s="175">
        <f t="shared" si="10"/>
        <v>4791994049.9607687</v>
      </c>
    </row>
    <row r="85" spans="1:21">
      <c r="A85" s="183" t="str">
        <f t="shared" si="8"/>
        <v>214</v>
      </c>
      <c r="B85" s="183" t="str">
        <f t="shared" si="9"/>
        <v>214.0</v>
      </c>
      <c r="C85" s="184" t="s">
        <v>1046</v>
      </c>
      <c r="D85" t="s">
        <v>440</v>
      </c>
      <c r="G85" s="175">
        <v>-700920.51</v>
      </c>
      <c r="H85" s="175">
        <v>-700900</v>
      </c>
      <c r="I85" s="175">
        <v>-700900</v>
      </c>
      <c r="J85" s="175">
        <v>-700900</v>
      </c>
      <c r="K85" s="175">
        <v>-700900</v>
      </c>
      <c r="L85" s="175">
        <v>-700900</v>
      </c>
      <c r="M85" s="175">
        <v>-700900</v>
      </c>
      <c r="N85" s="175">
        <v>-700900</v>
      </c>
      <c r="O85" s="175">
        <v>-700900</v>
      </c>
      <c r="P85" s="175">
        <v>-700900</v>
      </c>
      <c r="Q85" s="175">
        <v>-700900</v>
      </c>
      <c r="R85" s="175">
        <v>-700900</v>
      </c>
      <c r="S85" s="175">
        <v>-700900</v>
      </c>
      <c r="U85" s="175">
        <f t="shared" si="10"/>
        <v>-700901.57769230765</v>
      </c>
    </row>
    <row r="86" spans="1:21">
      <c r="A86" s="183" t="str">
        <f t="shared" si="8"/>
        <v>215</v>
      </c>
      <c r="B86" s="183" t="str">
        <f t="shared" si="9"/>
        <v>215.0</v>
      </c>
      <c r="C86" s="184" t="s">
        <v>1047</v>
      </c>
      <c r="D86" t="s">
        <v>1048</v>
      </c>
      <c r="G86" s="175">
        <v>0</v>
      </c>
      <c r="H86" s="175">
        <v>0</v>
      </c>
      <c r="I86" s="175">
        <v>0</v>
      </c>
      <c r="J86" s="175">
        <v>0</v>
      </c>
      <c r="K86" s="175">
        <v>0</v>
      </c>
      <c r="L86" s="175">
        <v>0</v>
      </c>
      <c r="M86" s="175">
        <v>0</v>
      </c>
      <c r="N86" s="175">
        <v>0</v>
      </c>
      <c r="O86" s="175">
        <v>0</v>
      </c>
      <c r="P86" s="175">
        <v>0</v>
      </c>
      <c r="Q86" s="175">
        <v>0</v>
      </c>
      <c r="R86" s="175">
        <v>0</v>
      </c>
      <c r="S86" s="175">
        <v>0</v>
      </c>
      <c r="U86" s="175">
        <f t="shared" si="10"/>
        <v>0</v>
      </c>
    </row>
    <row r="87" spans="1:21">
      <c r="A87" s="183" t="str">
        <f t="shared" si="8"/>
        <v>215</v>
      </c>
      <c r="B87" s="183" t="str">
        <f t="shared" si="9"/>
        <v>215.1</v>
      </c>
      <c r="C87" s="184" t="s">
        <v>1049</v>
      </c>
      <c r="D87" t="s">
        <v>1050</v>
      </c>
      <c r="G87" s="175">
        <v>0</v>
      </c>
      <c r="H87" s="175">
        <v>0</v>
      </c>
      <c r="I87" s="175">
        <v>0</v>
      </c>
      <c r="J87" s="175">
        <v>0</v>
      </c>
      <c r="K87" s="175">
        <v>0</v>
      </c>
      <c r="L87" s="175">
        <v>0</v>
      </c>
      <c r="M87" s="175">
        <v>0</v>
      </c>
      <c r="N87" s="175">
        <v>0</v>
      </c>
      <c r="O87" s="175">
        <v>0</v>
      </c>
      <c r="P87" s="175">
        <v>0</v>
      </c>
      <c r="Q87" s="175">
        <v>0</v>
      </c>
      <c r="R87" s="175">
        <v>0</v>
      </c>
      <c r="S87" s="175">
        <v>0</v>
      </c>
      <c r="U87" s="175">
        <f t="shared" si="10"/>
        <v>0</v>
      </c>
    </row>
    <row r="88" spans="1:21">
      <c r="A88" s="183" t="str">
        <f t="shared" si="8"/>
        <v>216</v>
      </c>
      <c r="B88" s="183" t="str">
        <f t="shared" si="9"/>
        <v>216.0</v>
      </c>
      <c r="C88" s="184" t="s">
        <v>1051</v>
      </c>
      <c r="D88" t="s">
        <v>1052</v>
      </c>
      <c r="G88" s="175">
        <v>218642898.91999999</v>
      </c>
      <c r="H88" s="175">
        <v>246088187.20544299</v>
      </c>
      <c r="I88" s="175">
        <v>182452964.57003099</v>
      </c>
      <c r="J88" s="175">
        <v>199497085.121806</v>
      </c>
      <c r="K88" s="175">
        <v>229809985.85418901</v>
      </c>
      <c r="L88" s="175">
        <v>207289081.951451</v>
      </c>
      <c r="M88" s="175">
        <v>256867939.39724901</v>
      </c>
      <c r="N88" s="175">
        <v>313384967.53623599</v>
      </c>
      <c r="O88" s="175">
        <v>248261035.10493001</v>
      </c>
      <c r="P88" s="175">
        <v>303010905.93296301</v>
      </c>
      <c r="Q88" s="175">
        <v>343126930.84127301</v>
      </c>
      <c r="R88" s="175">
        <v>198474812.884215</v>
      </c>
      <c r="S88" s="175">
        <v>220252162.61794201</v>
      </c>
      <c r="U88" s="175">
        <f t="shared" si="10"/>
        <v>243627612.14905596</v>
      </c>
    </row>
    <row r="89" spans="1:21">
      <c r="A89" s="183" t="str">
        <f t="shared" si="8"/>
        <v>216</v>
      </c>
      <c r="B89" s="183" t="str">
        <f t="shared" si="9"/>
        <v>216.1</v>
      </c>
      <c r="C89" s="184" t="s">
        <v>1053</v>
      </c>
      <c r="D89" t="s">
        <v>1054</v>
      </c>
      <c r="G89" s="175">
        <v>0</v>
      </c>
      <c r="H89" s="175">
        <v>0</v>
      </c>
      <c r="I89" s="175">
        <v>0</v>
      </c>
      <c r="J89" s="175">
        <v>0</v>
      </c>
      <c r="K89" s="175">
        <v>0</v>
      </c>
      <c r="L89" s="175">
        <v>0</v>
      </c>
      <c r="M89" s="175">
        <v>0</v>
      </c>
      <c r="N89" s="175">
        <v>0</v>
      </c>
      <c r="O89" s="175">
        <v>0</v>
      </c>
      <c r="P89" s="175">
        <v>0</v>
      </c>
      <c r="Q89" s="175">
        <v>0</v>
      </c>
      <c r="R89" s="175">
        <v>0</v>
      </c>
      <c r="S89" s="175">
        <v>0</v>
      </c>
      <c r="U89" s="175">
        <f t="shared" si="10"/>
        <v>0</v>
      </c>
    </row>
    <row r="90" spans="1:21">
      <c r="A90" s="183" t="str">
        <f t="shared" si="8"/>
        <v>219</v>
      </c>
      <c r="B90" s="183" t="str">
        <f t="shared" si="9"/>
        <v>219.0</v>
      </c>
      <c r="C90" s="184" t="s">
        <v>1055</v>
      </c>
      <c r="D90" t="s">
        <v>1056</v>
      </c>
      <c r="G90" s="175">
        <v>-737788.26</v>
      </c>
      <c r="H90" s="175">
        <v>-729641.73000039998</v>
      </c>
      <c r="I90" s="175">
        <v>-721490.76000040001</v>
      </c>
      <c r="J90" s="175">
        <v>-713339.79000040004</v>
      </c>
      <c r="K90" s="175">
        <v>-705188.82000039995</v>
      </c>
      <c r="L90" s="175">
        <v>-697037.85000029998</v>
      </c>
      <c r="M90" s="175">
        <v>-688886.88000030001</v>
      </c>
      <c r="N90" s="175">
        <v>-680735.91000030003</v>
      </c>
      <c r="O90" s="175">
        <v>-672584.94000029995</v>
      </c>
      <c r="P90" s="175">
        <v>-664433.97000029997</v>
      </c>
      <c r="Q90" s="175">
        <v>-656283.0000003</v>
      </c>
      <c r="R90" s="175">
        <v>-648132.03000030003</v>
      </c>
      <c r="S90" s="175">
        <v>-639981.06000030006</v>
      </c>
      <c r="U90" s="175">
        <f t="shared" si="10"/>
        <v>-688886.53846184607</v>
      </c>
    </row>
    <row r="91" spans="1:21">
      <c r="A91" s="183" t="str">
        <f t="shared" si="8"/>
        <v>221</v>
      </c>
      <c r="B91" s="183" t="str">
        <f t="shared" si="9"/>
        <v>221.0</v>
      </c>
      <c r="C91" s="184" t="s">
        <v>1057</v>
      </c>
      <c r="D91" t="s">
        <v>1058</v>
      </c>
      <c r="G91" s="175">
        <v>3775000000</v>
      </c>
      <c r="H91" s="175">
        <v>4275000000</v>
      </c>
      <c r="I91" s="175">
        <v>4275000000</v>
      </c>
      <c r="J91" s="175">
        <v>4275000000</v>
      </c>
      <c r="K91" s="175">
        <v>4275000000</v>
      </c>
      <c r="L91" s="175">
        <v>4275000000</v>
      </c>
      <c r="M91" s="175">
        <v>4275000000</v>
      </c>
      <c r="N91" s="175">
        <v>3975000000</v>
      </c>
      <c r="O91" s="175">
        <v>3975000000</v>
      </c>
      <c r="P91" s="175">
        <v>3975000000</v>
      </c>
      <c r="Q91" s="175">
        <v>3975000000</v>
      </c>
      <c r="R91" s="175">
        <v>3975000000</v>
      </c>
      <c r="S91" s="175">
        <v>3975000000</v>
      </c>
      <c r="U91" s="175">
        <f t="shared" si="10"/>
        <v>4098076923.0769229</v>
      </c>
    </row>
    <row r="92" spans="1:21">
      <c r="A92" s="183" t="str">
        <f t="shared" si="8"/>
        <v>223</v>
      </c>
      <c r="B92" s="183" t="str">
        <f t="shared" si="9"/>
        <v>223.0</v>
      </c>
      <c r="C92" s="184" t="s">
        <v>1059</v>
      </c>
      <c r="D92" t="s">
        <v>1060</v>
      </c>
      <c r="G92" s="175">
        <v>0</v>
      </c>
      <c r="H92" s="175">
        <v>0</v>
      </c>
      <c r="I92" s="175">
        <v>0</v>
      </c>
      <c r="J92" s="175">
        <v>0</v>
      </c>
      <c r="K92" s="175">
        <v>0</v>
      </c>
      <c r="L92" s="175">
        <v>0</v>
      </c>
      <c r="M92" s="175">
        <v>0</v>
      </c>
      <c r="N92" s="175">
        <v>0</v>
      </c>
      <c r="O92" s="175">
        <v>0</v>
      </c>
      <c r="P92" s="175">
        <v>0</v>
      </c>
      <c r="Q92" s="175">
        <v>0</v>
      </c>
      <c r="R92" s="175">
        <v>0</v>
      </c>
      <c r="S92" s="175">
        <v>0</v>
      </c>
      <c r="U92" s="175">
        <f t="shared" si="10"/>
        <v>0</v>
      </c>
    </row>
    <row r="93" spans="1:21">
      <c r="A93" s="183" t="str">
        <f t="shared" si="8"/>
        <v>224</v>
      </c>
      <c r="B93" s="183" t="str">
        <f t="shared" si="9"/>
        <v>224.0</v>
      </c>
      <c r="C93" s="184" t="s">
        <v>1061</v>
      </c>
      <c r="D93" t="s">
        <v>1062</v>
      </c>
      <c r="G93" s="175">
        <v>0</v>
      </c>
      <c r="H93" s="175">
        <v>0</v>
      </c>
      <c r="I93" s="175">
        <v>0</v>
      </c>
      <c r="J93" s="175">
        <v>0</v>
      </c>
      <c r="K93" s="175">
        <v>0</v>
      </c>
      <c r="L93" s="175">
        <v>0</v>
      </c>
      <c r="M93" s="175">
        <v>0</v>
      </c>
      <c r="N93" s="175">
        <v>0</v>
      </c>
      <c r="O93" s="175">
        <v>0</v>
      </c>
      <c r="P93" s="175">
        <v>0</v>
      </c>
      <c r="Q93" s="175">
        <v>0</v>
      </c>
      <c r="R93" s="175">
        <v>0</v>
      </c>
      <c r="S93" s="175">
        <v>0</v>
      </c>
      <c r="U93" s="175">
        <f t="shared" si="10"/>
        <v>0</v>
      </c>
    </row>
    <row r="94" spans="1:21">
      <c r="A94" s="183" t="str">
        <f t="shared" si="8"/>
        <v>225</v>
      </c>
      <c r="B94" s="183" t="str">
        <f t="shared" si="9"/>
        <v>225.0</v>
      </c>
      <c r="C94" s="184" t="s">
        <v>1063</v>
      </c>
      <c r="D94" t="s">
        <v>1064</v>
      </c>
      <c r="G94" s="175">
        <v>0</v>
      </c>
      <c r="H94" s="175">
        <v>0</v>
      </c>
      <c r="I94" s="175">
        <v>0</v>
      </c>
      <c r="J94" s="175">
        <v>0</v>
      </c>
      <c r="K94" s="175">
        <v>0</v>
      </c>
      <c r="L94" s="175">
        <v>0</v>
      </c>
      <c r="M94" s="175">
        <v>0</v>
      </c>
      <c r="N94" s="175">
        <v>0</v>
      </c>
      <c r="O94" s="175">
        <v>0</v>
      </c>
      <c r="P94" s="175">
        <v>0</v>
      </c>
      <c r="Q94" s="175">
        <v>0</v>
      </c>
      <c r="R94" s="175">
        <v>0</v>
      </c>
      <c r="S94" s="175">
        <v>0</v>
      </c>
      <c r="U94" s="175">
        <f t="shared" si="10"/>
        <v>0</v>
      </c>
    </row>
    <row r="95" spans="1:21">
      <c r="A95" s="183" t="str">
        <f t="shared" si="8"/>
        <v>226</v>
      </c>
      <c r="B95" s="183" t="str">
        <f t="shared" si="9"/>
        <v>226.0</v>
      </c>
      <c r="C95" s="184" t="s">
        <v>1065</v>
      </c>
      <c r="D95" t="s">
        <v>1066</v>
      </c>
      <c r="G95" s="175">
        <v>-10645719.5</v>
      </c>
      <c r="H95" s="175">
        <v>-13593814.470000001</v>
      </c>
      <c r="I95" s="175">
        <v>-13491909.439999999</v>
      </c>
      <c r="J95" s="175">
        <v>-13390004.41</v>
      </c>
      <c r="K95" s="175">
        <v>-13288099.380000001</v>
      </c>
      <c r="L95" s="175">
        <v>-13186194.35</v>
      </c>
      <c r="M95" s="175">
        <v>-13084289.32</v>
      </c>
      <c r="N95" s="175">
        <v>-12987150.039999999</v>
      </c>
      <c r="O95" s="175">
        <v>-12890010.76</v>
      </c>
      <c r="P95" s="175">
        <v>-12792871.48</v>
      </c>
      <c r="Q95" s="175">
        <v>-12695732.199999999</v>
      </c>
      <c r="R95" s="175">
        <v>-12598592.92</v>
      </c>
      <c r="S95" s="175">
        <v>-12501453.640000001</v>
      </c>
      <c r="U95" s="175">
        <f t="shared" si="10"/>
        <v>-12857372.454615382</v>
      </c>
    </row>
    <row r="96" spans="1:21">
      <c r="A96" s="183" t="str">
        <f t="shared" si="8"/>
        <v>227</v>
      </c>
      <c r="B96" s="183" t="str">
        <f t="shared" si="9"/>
        <v>227.0</v>
      </c>
      <c r="C96" s="184" t="s">
        <v>1067</v>
      </c>
      <c r="D96" t="s">
        <v>296</v>
      </c>
      <c r="G96" s="175">
        <v>22880584.18</v>
      </c>
      <c r="H96" s="175">
        <v>34163254.327925801</v>
      </c>
      <c r="I96" s="175">
        <v>34119322.174466699</v>
      </c>
      <c r="J96" s="175">
        <v>33632954.918725401</v>
      </c>
      <c r="K96" s="175">
        <v>33588898.950708799</v>
      </c>
      <c r="L96" s="175">
        <v>33544238.332189798</v>
      </c>
      <c r="M96" s="175">
        <v>33053103.2396346</v>
      </c>
      <c r="N96" s="175">
        <v>33008316.7539092</v>
      </c>
      <c r="O96" s="175">
        <v>32963467.202157099</v>
      </c>
      <c r="P96" s="175">
        <v>32465421.0850881</v>
      </c>
      <c r="Q96" s="175">
        <v>32420445.134738799</v>
      </c>
      <c r="R96" s="175">
        <v>32375405.851568598</v>
      </c>
      <c r="S96" s="175">
        <v>32374997.680403501</v>
      </c>
      <c r="U96" s="175">
        <f t="shared" si="10"/>
        <v>32353108.448578183</v>
      </c>
    </row>
    <row r="97" spans="1:21">
      <c r="A97" s="183" t="str">
        <f t="shared" si="8"/>
        <v>228</v>
      </c>
      <c r="B97" s="183" t="str">
        <f t="shared" si="9"/>
        <v>228.1</v>
      </c>
      <c r="C97" s="184" t="s">
        <v>1068</v>
      </c>
      <c r="D97" t="s">
        <v>1069</v>
      </c>
      <c r="G97" s="175">
        <v>0</v>
      </c>
      <c r="H97" s="175">
        <v>0</v>
      </c>
      <c r="I97" s="175">
        <v>0</v>
      </c>
      <c r="J97" s="175">
        <v>0</v>
      </c>
      <c r="K97" s="175">
        <v>0</v>
      </c>
      <c r="L97" s="175">
        <v>1705238.45</v>
      </c>
      <c r="M97" s="175">
        <v>2586520.1066667</v>
      </c>
      <c r="N97" s="175">
        <v>5364979.0566667002</v>
      </c>
      <c r="O97" s="175">
        <v>8127081.8766666995</v>
      </c>
      <c r="P97" s="175">
        <v>11105409.116666701</v>
      </c>
      <c r="Q97" s="175">
        <v>13702134.9166667</v>
      </c>
      <c r="R97" s="175">
        <v>15842203.4966667</v>
      </c>
      <c r="S97" s="175">
        <v>17835455.5666667</v>
      </c>
      <c r="U97" s="175">
        <f t="shared" si="10"/>
        <v>5866847.8912820686</v>
      </c>
    </row>
    <row r="98" spans="1:21">
      <c r="A98" s="183" t="str">
        <f t="shared" si="8"/>
        <v>228</v>
      </c>
      <c r="B98" s="183" t="str">
        <f t="shared" si="9"/>
        <v>228.2</v>
      </c>
      <c r="C98" s="184" t="s">
        <v>1070</v>
      </c>
      <c r="D98" t="s">
        <v>1071</v>
      </c>
      <c r="G98" s="175">
        <v>7974627</v>
      </c>
      <c r="H98" s="175">
        <v>7970697.6110421</v>
      </c>
      <c r="I98" s="175">
        <v>7966767.1110420004</v>
      </c>
      <c r="J98" s="175">
        <v>7962836.6110421</v>
      </c>
      <c r="K98" s="175">
        <v>7958906.1110421</v>
      </c>
      <c r="L98" s="175">
        <v>7954975.6110420004</v>
      </c>
      <c r="M98" s="175">
        <v>7951045.1110421</v>
      </c>
      <c r="N98" s="175">
        <v>7947114.6110421</v>
      </c>
      <c r="O98" s="175">
        <v>7943184.1110420004</v>
      </c>
      <c r="P98" s="175">
        <v>7939253.6110421</v>
      </c>
      <c r="Q98" s="175">
        <v>7935323.1110421</v>
      </c>
      <c r="R98" s="175">
        <v>7931392.6110420004</v>
      </c>
      <c r="S98" s="175">
        <v>7927462.1110421</v>
      </c>
      <c r="U98" s="175">
        <f t="shared" si="10"/>
        <v>7951045.0255772918</v>
      </c>
    </row>
    <row r="99" spans="1:21">
      <c r="A99" s="183" t="str">
        <f t="shared" si="8"/>
        <v>228</v>
      </c>
      <c r="B99" s="183" t="str">
        <f t="shared" si="9"/>
        <v>228.3</v>
      </c>
      <c r="C99" s="184" t="s">
        <v>1072</v>
      </c>
      <c r="D99" t="s">
        <v>1073</v>
      </c>
      <c r="G99" s="175">
        <v>102007176.86</v>
      </c>
      <c r="H99" s="175">
        <v>98559045.230000004</v>
      </c>
      <c r="I99" s="175">
        <v>98084711.230000004</v>
      </c>
      <c r="J99" s="175">
        <v>97803801.230000004</v>
      </c>
      <c r="K99" s="175">
        <v>94517468.230000004</v>
      </c>
      <c r="L99" s="175">
        <v>93493134.230000004</v>
      </c>
      <c r="M99" s="175">
        <v>93437224.230000004</v>
      </c>
      <c r="N99" s="175">
        <v>89950891.230000004</v>
      </c>
      <c r="O99" s="175">
        <v>89126557.230000004</v>
      </c>
      <c r="P99" s="175">
        <v>86083647.230000004</v>
      </c>
      <c r="Q99" s="175">
        <v>85284314.230000004</v>
      </c>
      <c r="R99" s="175">
        <v>84259980.230000004</v>
      </c>
      <c r="S99" s="175">
        <v>84079070.230000004</v>
      </c>
      <c r="U99" s="175">
        <f t="shared" si="10"/>
        <v>92052847.816923082</v>
      </c>
    </row>
    <row r="100" spans="1:21">
      <c r="A100" s="183" t="str">
        <f t="shared" si="8"/>
        <v>228</v>
      </c>
      <c r="B100" s="183" t="str">
        <f t="shared" si="9"/>
        <v>228.4</v>
      </c>
      <c r="C100" s="184" t="s">
        <v>1074</v>
      </c>
      <c r="D100" t="s">
        <v>460</v>
      </c>
      <c r="G100" s="175">
        <v>782704.03</v>
      </c>
      <c r="H100" s="175">
        <v>783000</v>
      </c>
      <c r="I100" s="175">
        <v>783000</v>
      </c>
      <c r="J100" s="175">
        <v>783000</v>
      </c>
      <c r="K100" s="175">
        <v>783000</v>
      </c>
      <c r="L100" s="175">
        <v>783000</v>
      </c>
      <c r="M100" s="175">
        <v>783000</v>
      </c>
      <c r="N100" s="175">
        <v>783000</v>
      </c>
      <c r="O100" s="175">
        <v>783000</v>
      </c>
      <c r="P100" s="175">
        <v>783000</v>
      </c>
      <c r="Q100" s="175">
        <v>783000</v>
      </c>
      <c r="R100" s="175">
        <v>783000</v>
      </c>
      <c r="S100" s="175">
        <v>783000</v>
      </c>
      <c r="U100" s="175">
        <f t="shared" si="10"/>
        <v>782977.23307692318</v>
      </c>
    </row>
    <row r="101" spans="1:21">
      <c r="A101" s="183" t="str">
        <f t="shared" si="8"/>
        <v>229</v>
      </c>
      <c r="B101" s="183" t="str">
        <f t="shared" si="9"/>
        <v>229.0</v>
      </c>
      <c r="C101" s="184" t="s">
        <v>1075</v>
      </c>
      <c r="D101" t="s">
        <v>462</v>
      </c>
      <c r="G101" s="175">
        <v>0</v>
      </c>
      <c r="H101" s="175">
        <v>0</v>
      </c>
      <c r="I101" s="175">
        <v>0</v>
      </c>
      <c r="J101" s="175">
        <v>0</v>
      </c>
      <c r="K101" s="175">
        <v>0</v>
      </c>
      <c r="L101" s="175">
        <v>0</v>
      </c>
      <c r="M101" s="175">
        <v>0</v>
      </c>
      <c r="N101" s="175">
        <v>0</v>
      </c>
      <c r="O101" s="175">
        <v>0</v>
      </c>
      <c r="P101" s="175">
        <v>0</v>
      </c>
      <c r="Q101" s="175">
        <v>0</v>
      </c>
      <c r="R101" s="175">
        <v>0</v>
      </c>
      <c r="S101" s="175">
        <v>0</v>
      </c>
      <c r="U101" s="175">
        <f t="shared" si="10"/>
        <v>0</v>
      </c>
    </row>
    <row r="102" spans="1:21">
      <c r="A102" s="183" t="str">
        <f t="shared" si="8"/>
        <v>230</v>
      </c>
      <c r="B102" s="183" t="str">
        <f t="shared" si="9"/>
        <v>230.0</v>
      </c>
      <c r="C102" s="184" t="s">
        <v>1076</v>
      </c>
      <c r="D102" t="s">
        <v>1077</v>
      </c>
      <c r="G102" s="175">
        <v>32144872.23</v>
      </c>
      <c r="H102" s="175">
        <v>32278809.199999999</v>
      </c>
      <c r="I102" s="175">
        <v>32413304.239999998</v>
      </c>
      <c r="J102" s="175">
        <v>32548359.670000002</v>
      </c>
      <c r="K102" s="175">
        <v>32683977.84</v>
      </c>
      <c r="L102" s="175">
        <v>32820161.079999998</v>
      </c>
      <c r="M102" s="175">
        <v>32956911.75</v>
      </c>
      <c r="N102" s="175">
        <v>33094232.219999999</v>
      </c>
      <c r="O102" s="175">
        <v>33232124.850000001</v>
      </c>
      <c r="P102" s="175">
        <v>33370592.039999999</v>
      </c>
      <c r="Q102" s="175">
        <v>33509636.170000002</v>
      </c>
      <c r="R102" s="175">
        <v>33649259.649999999</v>
      </c>
      <c r="S102" s="175">
        <v>33789464.899999999</v>
      </c>
      <c r="U102" s="175">
        <f t="shared" si="10"/>
        <v>32960900.449230768</v>
      </c>
    </row>
    <row r="103" spans="1:21">
      <c r="A103" s="183" t="str">
        <f t="shared" si="8"/>
        <v>231</v>
      </c>
      <c r="B103" s="183" t="str">
        <f t="shared" si="9"/>
        <v>231.0</v>
      </c>
      <c r="C103" s="184" t="s">
        <v>1078</v>
      </c>
      <c r="D103" t="s">
        <v>1079</v>
      </c>
      <c r="G103" s="175">
        <v>706000000</v>
      </c>
      <c r="H103" s="175">
        <v>253875217.16501299</v>
      </c>
      <c r="I103" s="175">
        <v>23112680.197484601</v>
      </c>
      <c r="J103" s="175">
        <v>69456980.805116206</v>
      </c>
      <c r="K103" s="175">
        <v>132240944.637391</v>
      </c>
      <c r="L103" s="175">
        <v>3610154.4458916001</v>
      </c>
      <c r="M103" s="175">
        <v>40187817.569180399</v>
      </c>
      <c r="N103" s="175">
        <v>391732415.85794401</v>
      </c>
      <c r="O103" s="175">
        <v>392354481.29398</v>
      </c>
      <c r="P103" s="175">
        <v>424115799.08827001</v>
      </c>
      <c r="Q103" s="175">
        <v>348298234.241916</v>
      </c>
      <c r="R103" s="175">
        <v>603052469.14338696</v>
      </c>
      <c r="S103" s="175">
        <v>595364857.17259896</v>
      </c>
      <c r="U103" s="175">
        <f t="shared" si="10"/>
        <v>306415542.43216717</v>
      </c>
    </row>
    <row r="104" spans="1:21">
      <c r="A104" s="183" t="str">
        <f t="shared" si="8"/>
        <v>232</v>
      </c>
      <c r="B104" s="183" t="str">
        <f t="shared" si="9"/>
        <v>232.0</v>
      </c>
      <c r="C104" s="184" t="s">
        <v>1080</v>
      </c>
      <c r="D104" t="s">
        <v>301</v>
      </c>
      <c r="G104" s="175">
        <v>320892311.77999997</v>
      </c>
      <c r="H104" s="175">
        <v>222368324.6219666</v>
      </c>
      <c r="I104" s="175">
        <v>227528498.78225091</v>
      </c>
      <c r="J104" s="175">
        <v>221517189.51220959</v>
      </c>
      <c r="K104" s="175">
        <v>213476604.888971</v>
      </c>
      <c r="L104" s="175">
        <v>250184686.95991519</v>
      </c>
      <c r="M104" s="175">
        <v>292070779.18831718</v>
      </c>
      <c r="N104" s="175">
        <v>246427347.71153179</v>
      </c>
      <c r="O104" s="175">
        <v>247604958.04764819</v>
      </c>
      <c r="P104" s="175">
        <v>225796818.2167896</v>
      </c>
      <c r="Q104" s="175">
        <v>233312767.04401121</v>
      </c>
      <c r="R104" s="175">
        <v>197673924.78381431</v>
      </c>
      <c r="S104" s="175">
        <v>254338784.1293402</v>
      </c>
      <c r="U104" s="175">
        <f t="shared" si="10"/>
        <v>242553307.35898203</v>
      </c>
    </row>
    <row r="105" spans="1:21">
      <c r="A105" s="183" t="str">
        <f t="shared" si="8"/>
        <v>233</v>
      </c>
      <c r="B105" s="183" t="str">
        <f t="shared" si="9"/>
        <v>233.0</v>
      </c>
      <c r="C105" s="184" t="s">
        <v>1081</v>
      </c>
      <c r="D105" t="s">
        <v>1082</v>
      </c>
      <c r="G105" s="175">
        <v>0</v>
      </c>
      <c r="H105" s="175">
        <v>0</v>
      </c>
      <c r="I105" s="175">
        <v>0</v>
      </c>
      <c r="J105" s="175">
        <v>0</v>
      </c>
      <c r="K105" s="175">
        <v>0</v>
      </c>
      <c r="L105" s="175">
        <v>0</v>
      </c>
      <c r="M105" s="175">
        <v>0</v>
      </c>
      <c r="N105" s="175">
        <v>0</v>
      </c>
      <c r="O105" s="175">
        <v>0</v>
      </c>
      <c r="P105" s="175">
        <v>0</v>
      </c>
      <c r="Q105" s="175">
        <v>0</v>
      </c>
      <c r="R105" s="175">
        <v>0</v>
      </c>
      <c r="S105" s="175">
        <v>0</v>
      </c>
      <c r="U105" s="175">
        <f t="shared" si="10"/>
        <v>0</v>
      </c>
    </row>
    <row r="106" spans="1:21">
      <c r="A106" s="183" t="str">
        <f t="shared" si="8"/>
        <v>234</v>
      </c>
      <c r="B106" s="183" t="str">
        <f t="shared" si="9"/>
        <v>234.0</v>
      </c>
      <c r="C106" s="184" t="s">
        <v>1083</v>
      </c>
      <c r="D106" t="s">
        <v>1084</v>
      </c>
      <c r="G106" s="175">
        <v>10201858.869999999</v>
      </c>
      <c r="H106" s="175">
        <v>11285338.220000001</v>
      </c>
      <c r="I106" s="175">
        <v>11013983.210000001</v>
      </c>
      <c r="J106" s="175">
        <v>10948220.93</v>
      </c>
      <c r="K106" s="175">
        <v>10949678.289999999</v>
      </c>
      <c r="L106" s="175">
        <v>12044990.76</v>
      </c>
      <c r="M106" s="175">
        <v>13084711.02</v>
      </c>
      <c r="N106" s="175">
        <v>13582962.630000001</v>
      </c>
      <c r="O106" s="175">
        <v>13728186.810000001</v>
      </c>
      <c r="P106" s="175">
        <v>13382229.720000001</v>
      </c>
      <c r="Q106" s="175">
        <v>12499186.41</v>
      </c>
      <c r="R106" s="175">
        <v>11570235.73</v>
      </c>
      <c r="S106" s="175">
        <v>11940227.210000001</v>
      </c>
      <c r="U106" s="175">
        <f t="shared" si="10"/>
        <v>12017831.523846153</v>
      </c>
    </row>
    <row r="107" spans="1:21">
      <c r="A107" s="183" t="str">
        <f t="shared" si="8"/>
        <v>235</v>
      </c>
      <c r="B107" s="183" t="str">
        <f t="shared" si="9"/>
        <v>235.0</v>
      </c>
      <c r="C107" s="184" t="s">
        <v>1085</v>
      </c>
      <c r="D107" t="s">
        <v>471</v>
      </c>
      <c r="G107" s="175">
        <v>120634376.44</v>
      </c>
      <c r="H107" s="175">
        <v>120684640.76351701</v>
      </c>
      <c r="I107" s="175">
        <v>120734926.03050099</v>
      </c>
      <c r="J107" s="175">
        <v>120785232.249681</v>
      </c>
      <c r="K107" s="175">
        <v>120835559.429785</v>
      </c>
      <c r="L107" s="175">
        <v>120885907.579547</v>
      </c>
      <c r="M107" s="175">
        <v>120936276.70770501</v>
      </c>
      <c r="N107" s="175">
        <v>120986666.823</v>
      </c>
      <c r="O107" s="175">
        <v>121037077.934177</v>
      </c>
      <c r="P107" s="175">
        <v>121087510.049982</v>
      </c>
      <c r="Q107" s="175">
        <v>121137963.17917</v>
      </c>
      <c r="R107" s="175">
        <v>121188437.330495</v>
      </c>
      <c r="S107" s="175">
        <v>121238932.512716</v>
      </c>
      <c r="U107" s="175">
        <f t="shared" si="10"/>
        <v>120936423.61771354</v>
      </c>
    </row>
    <row r="108" spans="1:21">
      <c r="A108" s="183" t="str">
        <f t="shared" si="8"/>
        <v>236</v>
      </c>
      <c r="B108" s="183" t="str">
        <f t="shared" si="9"/>
        <v>236.0</v>
      </c>
      <c r="C108" s="184" t="s">
        <v>1086</v>
      </c>
      <c r="D108" t="s">
        <v>592</v>
      </c>
      <c r="G108" s="175">
        <v>11208630.720000001</v>
      </c>
      <c r="H108" s="175">
        <v>19191337.6695829</v>
      </c>
      <c r="I108" s="175">
        <v>26814378.717757098</v>
      </c>
      <c r="J108" s="175">
        <v>25377375.734316401</v>
      </c>
      <c r="K108" s="175">
        <v>23857131.306695301</v>
      </c>
      <c r="L108" s="175">
        <v>40692545.061730698</v>
      </c>
      <c r="M108" s="175">
        <v>45543377.250467598</v>
      </c>
      <c r="N108" s="175">
        <v>68318983.628554493</v>
      </c>
      <c r="O108" s="175">
        <v>91157108.364112705</v>
      </c>
      <c r="P108" s="175">
        <v>92103587.212003604</v>
      </c>
      <c r="Q108" s="175">
        <v>104450420.76456051</v>
      </c>
      <c r="R108" s="175">
        <v>22243989.8804143</v>
      </c>
      <c r="S108" s="175">
        <v>12925257.539249999</v>
      </c>
      <c r="U108" s="175">
        <f t="shared" si="10"/>
        <v>44914163.373034276</v>
      </c>
    </row>
    <row r="109" spans="1:21">
      <c r="A109" s="183" t="str">
        <f t="shared" si="8"/>
        <v>237</v>
      </c>
      <c r="B109" s="183" t="str">
        <f t="shared" si="9"/>
        <v>237.0</v>
      </c>
      <c r="C109" s="184" t="s">
        <v>1087</v>
      </c>
      <c r="D109" t="s">
        <v>306</v>
      </c>
      <c r="G109" s="175">
        <v>28439716.84</v>
      </c>
      <c r="H109" s="175">
        <v>29591297.1952684</v>
      </c>
      <c r="I109" s="175">
        <v>44627588.829847999</v>
      </c>
      <c r="J109" s="175">
        <v>48471565.992010102</v>
      </c>
      <c r="K109" s="175">
        <v>64105339.101437002</v>
      </c>
      <c r="L109" s="175">
        <v>52044569.100345202</v>
      </c>
      <c r="M109" s="175">
        <v>46349927.203795701</v>
      </c>
      <c r="N109" s="175">
        <v>51710904.4276281</v>
      </c>
      <c r="O109" s="175">
        <v>60363355.102329999</v>
      </c>
      <c r="P109" s="175">
        <v>48920262.856631301</v>
      </c>
      <c r="Q109" s="175">
        <v>63514274.977524802</v>
      </c>
      <c r="R109" s="175">
        <v>50595293.619069397</v>
      </c>
      <c r="S109" s="175">
        <v>35201520.636353798</v>
      </c>
      <c r="U109" s="175">
        <f t="shared" si="10"/>
        <v>47995047.375557065</v>
      </c>
    </row>
    <row r="110" spans="1:21">
      <c r="A110" s="183" t="str">
        <f t="shared" si="8"/>
        <v>238</v>
      </c>
      <c r="B110" s="183" t="str">
        <f t="shared" si="9"/>
        <v>238.0</v>
      </c>
      <c r="C110" s="184" t="s">
        <v>1088</v>
      </c>
      <c r="D110" t="s">
        <v>139</v>
      </c>
      <c r="G110" s="175">
        <v>0</v>
      </c>
      <c r="H110" s="175">
        <v>0</v>
      </c>
      <c r="I110" s="175">
        <v>0</v>
      </c>
      <c r="J110" s="175">
        <v>0</v>
      </c>
      <c r="K110" s="175">
        <v>0</v>
      </c>
      <c r="L110" s="175">
        <v>0</v>
      </c>
      <c r="M110" s="175">
        <v>0</v>
      </c>
      <c r="N110" s="175">
        <v>0</v>
      </c>
      <c r="O110" s="175">
        <v>0</v>
      </c>
      <c r="P110" s="175">
        <v>0</v>
      </c>
      <c r="Q110" s="175">
        <v>0</v>
      </c>
      <c r="R110" s="175">
        <v>0</v>
      </c>
      <c r="S110" s="175">
        <v>0</v>
      </c>
      <c r="U110" s="175">
        <f t="shared" si="10"/>
        <v>0</v>
      </c>
    </row>
    <row r="111" spans="1:21">
      <c r="A111" s="183" t="str">
        <f t="shared" si="8"/>
        <v>241</v>
      </c>
      <c r="B111" s="183" t="str">
        <f t="shared" si="9"/>
        <v>241.0</v>
      </c>
      <c r="C111" s="184" t="s">
        <v>1089</v>
      </c>
      <c r="D111" t="s">
        <v>308</v>
      </c>
      <c r="G111" s="175">
        <v>10948055.890000001</v>
      </c>
      <c r="H111" s="175">
        <v>12043092.1800001</v>
      </c>
      <c r="I111" s="175">
        <v>12152692.18</v>
      </c>
      <c r="J111" s="175">
        <v>12206892.1800001</v>
      </c>
      <c r="K111" s="175">
        <v>12410092.18</v>
      </c>
      <c r="L111" s="175">
        <v>13262092.18</v>
      </c>
      <c r="M111" s="175">
        <v>14134892.179999899</v>
      </c>
      <c r="N111" s="175">
        <v>14640092.18</v>
      </c>
      <c r="O111" s="175">
        <v>15218452.18</v>
      </c>
      <c r="P111" s="175">
        <v>15446572.18</v>
      </c>
      <c r="Q111" s="175">
        <v>14377076.18</v>
      </c>
      <c r="R111" s="175">
        <v>13314340.18</v>
      </c>
      <c r="S111" s="175">
        <v>13498460.1800001</v>
      </c>
      <c r="U111" s="175">
        <f t="shared" si="10"/>
        <v>13357907.850000016</v>
      </c>
    </row>
    <row r="112" spans="1:21">
      <c r="A112" s="183" t="str">
        <f t="shared" si="8"/>
        <v>242</v>
      </c>
      <c r="B112" s="183" t="str">
        <f t="shared" si="9"/>
        <v>242.0</v>
      </c>
      <c r="C112" s="184" t="s">
        <v>1090</v>
      </c>
      <c r="D112" t="s">
        <v>1091</v>
      </c>
      <c r="G112" s="175">
        <v>39977160.109999999</v>
      </c>
      <c r="H112" s="175">
        <v>39567949.289999999</v>
      </c>
      <c r="I112" s="175">
        <v>39661949.289999999</v>
      </c>
      <c r="J112" s="175">
        <v>38435770.1848258</v>
      </c>
      <c r="K112" s="175">
        <v>38513770.1848258</v>
      </c>
      <c r="L112" s="175">
        <v>38568770.1848258</v>
      </c>
      <c r="M112" s="175">
        <v>39379718.219651803</v>
      </c>
      <c r="N112" s="175">
        <v>39390718.219651803</v>
      </c>
      <c r="O112" s="175">
        <v>39435718.219651803</v>
      </c>
      <c r="P112" s="175">
        <v>40215666.254477598</v>
      </c>
      <c r="Q112" s="175">
        <v>40260666.254477598</v>
      </c>
      <c r="R112" s="175">
        <v>40305666.254477598</v>
      </c>
      <c r="S112" s="175">
        <v>40869614.289303496</v>
      </c>
      <c r="U112" s="175">
        <f t="shared" si="10"/>
        <v>39583318.227397628</v>
      </c>
    </row>
    <row r="113" spans="1:21">
      <c r="A113" s="183" t="str">
        <f t="shared" si="8"/>
        <v>243</v>
      </c>
      <c r="B113" s="183" t="str">
        <f t="shared" si="9"/>
        <v>243.0</v>
      </c>
      <c r="C113" s="184" t="s">
        <v>1092</v>
      </c>
      <c r="D113" t="s">
        <v>310</v>
      </c>
      <c r="G113" s="175">
        <v>2408283.37</v>
      </c>
      <c r="H113" s="175">
        <v>2219975.9631821001</v>
      </c>
      <c r="I113" s="175">
        <v>2221956.7459736001</v>
      </c>
      <c r="J113" s="175">
        <v>2246764.6784258001</v>
      </c>
      <c r="K113" s="175">
        <v>2248751.0436868002</v>
      </c>
      <c r="L113" s="175">
        <v>2250752.1533762999</v>
      </c>
      <c r="M113" s="175">
        <v>2275810.6437300998</v>
      </c>
      <c r="N113" s="175">
        <v>2277817.3931307001</v>
      </c>
      <c r="O113" s="175">
        <v>2279826.9683327</v>
      </c>
      <c r="P113" s="175">
        <v>2305173.3054914</v>
      </c>
      <c r="Q113" s="175">
        <v>2307188.5442391001</v>
      </c>
      <c r="R113" s="175">
        <v>2309206.6207424002</v>
      </c>
      <c r="S113" s="175">
        <v>1831399.0999980001</v>
      </c>
      <c r="U113" s="175">
        <f t="shared" si="10"/>
        <v>2244838.9638699228</v>
      </c>
    </row>
    <row r="114" spans="1:21">
      <c r="A114" s="183" t="str">
        <f t="shared" si="8"/>
        <v>245</v>
      </c>
      <c r="B114" s="183" t="str">
        <f t="shared" si="9"/>
        <v>245.0</v>
      </c>
      <c r="C114" s="184" t="s">
        <v>1093</v>
      </c>
      <c r="D114" t="s">
        <v>1094</v>
      </c>
      <c r="G114" s="175">
        <v>0</v>
      </c>
      <c r="H114" s="175">
        <v>0</v>
      </c>
      <c r="I114" s="175">
        <v>0</v>
      </c>
      <c r="J114" s="175">
        <v>0</v>
      </c>
      <c r="K114" s="175">
        <v>0</v>
      </c>
      <c r="L114" s="175">
        <v>0</v>
      </c>
      <c r="M114" s="175">
        <v>0</v>
      </c>
      <c r="N114" s="175">
        <v>0</v>
      </c>
      <c r="O114" s="175">
        <v>0</v>
      </c>
      <c r="P114" s="175">
        <v>0</v>
      </c>
      <c r="Q114" s="175">
        <v>0</v>
      </c>
      <c r="R114" s="175">
        <v>0</v>
      </c>
      <c r="S114" s="175">
        <v>0</v>
      </c>
      <c r="U114" s="175">
        <f t="shared" si="10"/>
        <v>0</v>
      </c>
    </row>
    <row r="115" spans="1:21">
      <c r="A115" s="183" t="str">
        <f t="shared" si="8"/>
        <v>252</v>
      </c>
      <c r="B115" s="183" t="str">
        <f t="shared" si="9"/>
        <v>252.0</v>
      </c>
      <c r="C115" s="184" t="s">
        <v>1095</v>
      </c>
      <c r="D115" t="s">
        <v>1096</v>
      </c>
      <c r="G115" s="175">
        <v>0</v>
      </c>
      <c r="H115" s="175">
        <v>0</v>
      </c>
      <c r="I115" s="175">
        <v>0</v>
      </c>
      <c r="J115" s="175">
        <v>0</v>
      </c>
      <c r="K115" s="175">
        <v>0</v>
      </c>
      <c r="L115" s="175">
        <v>0</v>
      </c>
      <c r="M115" s="175">
        <v>0</v>
      </c>
      <c r="N115" s="175">
        <v>0</v>
      </c>
      <c r="O115" s="175">
        <v>0</v>
      </c>
      <c r="P115" s="175">
        <v>0</v>
      </c>
      <c r="Q115" s="175">
        <v>0</v>
      </c>
      <c r="R115" s="175">
        <v>0</v>
      </c>
      <c r="S115" s="175">
        <v>0</v>
      </c>
      <c r="U115" s="175">
        <f t="shared" si="10"/>
        <v>0</v>
      </c>
    </row>
    <row r="116" spans="1:21">
      <c r="A116" s="183" t="str">
        <f t="shared" si="8"/>
        <v>253</v>
      </c>
      <c r="B116" s="183" t="str">
        <f t="shared" si="9"/>
        <v>253.0</v>
      </c>
      <c r="C116" s="184" t="s">
        <v>1097</v>
      </c>
      <c r="D116" t="s">
        <v>313</v>
      </c>
      <c r="G116" s="175">
        <v>30209508.5</v>
      </c>
      <c r="H116" s="175">
        <v>30048417.234761801</v>
      </c>
      <c r="I116" s="175">
        <v>31726441.461231101</v>
      </c>
      <c r="J116" s="175">
        <v>32054678.755257498</v>
      </c>
      <c r="K116" s="175">
        <v>27027576.0865108</v>
      </c>
      <c r="L116" s="175">
        <v>28858251.476195499</v>
      </c>
      <c r="M116" s="175">
        <v>32838609.355730899</v>
      </c>
      <c r="N116" s="175">
        <v>28377393.735798601</v>
      </c>
      <c r="O116" s="175">
        <v>28730750.697996501</v>
      </c>
      <c r="P116" s="175">
        <v>31772863.605962899</v>
      </c>
      <c r="Q116" s="175">
        <v>33743822.724322803</v>
      </c>
      <c r="R116" s="175">
        <v>35386053.515369199</v>
      </c>
      <c r="S116" s="175">
        <v>38095902.782142498</v>
      </c>
      <c r="U116" s="175">
        <f t="shared" si="10"/>
        <v>31451559.225483082</v>
      </c>
    </row>
    <row r="117" spans="1:21">
      <c r="A117" s="183" t="str">
        <f t="shared" si="8"/>
        <v>254</v>
      </c>
      <c r="B117" s="183" t="str">
        <f t="shared" si="9"/>
        <v>254.0</v>
      </c>
      <c r="C117" s="184" t="s">
        <v>1098</v>
      </c>
      <c r="D117" t="s">
        <v>1099</v>
      </c>
      <c r="G117" s="175">
        <v>523312089.22000003</v>
      </c>
      <c r="H117" s="175">
        <v>520899122.14830321</v>
      </c>
      <c r="I117" s="175">
        <v>518880312.39834309</v>
      </c>
      <c r="J117" s="175">
        <v>523843905.16764081</v>
      </c>
      <c r="K117" s="175">
        <v>522773254.52823812</v>
      </c>
      <c r="L117" s="175">
        <v>522770243.54677588</v>
      </c>
      <c r="M117" s="175">
        <v>522847116.49038869</v>
      </c>
      <c r="N117" s="175">
        <v>522818721.7718631</v>
      </c>
      <c r="O117" s="175">
        <v>524298228.51559019</v>
      </c>
      <c r="P117" s="175">
        <v>527623439.81169599</v>
      </c>
      <c r="Q117" s="175">
        <v>539814820.10134006</v>
      </c>
      <c r="R117" s="175">
        <v>545939728.73853505</v>
      </c>
      <c r="S117" s="175">
        <v>543889302.90357983</v>
      </c>
      <c r="U117" s="175">
        <f t="shared" si="10"/>
        <v>527670021.94940728</v>
      </c>
    </row>
    <row r="118" spans="1:21">
      <c r="A118" s="183" t="str">
        <f t="shared" si="8"/>
        <v>255</v>
      </c>
      <c r="B118" s="183" t="str">
        <f t="shared" si="9"/>
        <v>255.0</v>
      </c>
      <c r="C118" s="184" t="s">
        <v>1100</v>
      </c>
      <c r="D118" t="s">
        <v>1101</v>
      </c>
      <c r="G118" s="175">
        <v>237151599.27000001</v>
      </c>
      <c r="H118" s="175">
        <v>236478499.19</v>
      </c>
      <c r="I118" s="175">
        <v>236079875.19</v>
      </c>
      <c r="J118" s="175">
        <v>235406143.19</v>
      </c>
      <c r="K118" s="175">
        <v>234732411.19</v>
      </c>
      <c r="L118" s="175">
        <v>234058679.19</v>
      </c>
      <c r="M118" s="175">
        <v>233384947.19</v>
      </c>
      <c r="N118" s="175">
        <v>232711215.19</v>
      </c>
      <c r="O118" s="175">
        <v>232037483.19</v>
      </c>
      <c r="P118" s="175">
        <v>236844751.19</v>
      </c>
      <c r="Q118" s="175">
        <v>236125344.19</v>
      </c>
      <c r="R118" s="175">
        <v>235405937.19</v>
      </c>
      <c r="S118" s="175">
        <v>234686520.19</v>
      </c>
      <c r="U118" s="175">
        <f t="shared" si="10"/>
        <v>235007954.27307698</v>
      </c>
    </row>
    <row r="119" spans="1:21">
      <c r="A119" s="183" t="str">
        <f t="shared" si="8"/>
        <v>256</v>
      </c>
      <c r="B119" s="183" t="str">
        <f t="shared" si="9"/>
        <v>256.0</v>
      </c>
      <c r="C119" s="184" t="s">
        <v>1102</v>
      </c>
      <c r="D119" t="s">
        <v>1103</v>
      </c>
      <c r="G119" s="175">
        <v>-7876.12</v>
      </c>
      <c r="H119" s="175">
        <v>-7876.12</v>
      </c>
      <c r="I119" s="175">
        <v>-7876.12</v>
      </c>
      <c r="J119" s="175">
        <v>-7876.12</v>
      </c>
      <c r="K119" s="175">
        <v>-7876.12</v>
      </c>
      <c r="L119" s="175">
        <v>-7876.12</v>
      </c>
      <c r="M119" s="175">
        <v>-7876.12</v>
      </c>
      <c r="N119" s="175">
        <v>-7876.12</v>
      </c>
      <c r="O119" s="175">
        <v>-7876.12</v>
      </c>
      <c r="P119" s="175">
        <v>-7876.12</v>
      </c>
      <c r="Q119" s="175">
        <v>-7876.12</v>
      </c>
      <c r="R119" s="175">
        <v>-7876.12</v>
      </c>
      <c r="S119" s="175">
        <v>-7876.12</v>
      </c>
      <c r="U119" s="175">
        <f t="shared" si="10"/>
        <v>-7876.119999999999</v>
      </c>
    </row>
    <row r="120" spans="1:21">
      <c r="A120" s="183" t="str">
        <f t="shared" si="8"/>
        <v>257</v>
      </c>
      <c r="B120" s="183" t="str">
        <f t="shared" si="9"/>
        <v>257.0</v>
      </c>
      <c r="C120" s="184" t="s">
        <v>1104</v>
      </c>
      <c r="D120" t="s">
        <v>1105</v>
      </c>
      <c r="G120" s="175">
        <v>0</v>
      </c>
      <c r="H120" s="175">
        <v>0</v>
      </c>
      <c r="I120" s="175">
        <v>0</v>
      </c>
      <c r="J120" s="175">
        <v>0</v>
      </c>
      <c r="K120" s="175">
        <v>0</v>
      </c>
      <c r="L120" s="175">
        <v>0</v>
      </c>
      <c r="M120" s="175">
        <v>0</v>
      </c>
      <c r="N120" s="175">
        <v>0</v>
      </c>
      <c r="O120" s="175">
        <v>0</v>
      </c>
      <c r="P120" s="175">
        <v>0</v>
      </c>
      <c r="Q120" s="175">
        <v>0</v>
      </c>
      <c r="R120" s="175">
        <v>0</v>
      </c>
      <c r="S120" s="175">
        <v>0</v>
      </c>
      <c r="U120" s="175">
        <f t="shared" si="10"/>
        <v>0</v>
      </c>
    </row>
    <row r="121" spans="1:21">
      <c r="A121" s="183" t="str">
        <f t="shared" si="8"/>
        <v>281</v>
      </c>
      <c r="B121" s="183" t="str">
        <f t="shared" si="9"/>
        <v>281.0</v>
      </c>
      <c r="C121" s="184" t="s">
        <v>1106</v>
      </c>
      <c r="D121" t="s">
        <v>1107</v>
      </c>
      <c r="G121" s="175">
        <v>55086302.539999999</v>
      </c>
      <c r="H121" s="175">
        <v>54923093.189999998</v>
      </c>
      <c r="I121" s="175">
        <v>54759891.189999998</v>
      </c>
      <c r="J121" s="175">
        <v>54596689.189999998</v>
      </c>
      <c r="K121" s="175">
        <v>54433487.189999998</v>
      </c>
      <c r="L121" s="175">
        <v>54270285.189999998</v>
      </c>
      <c r="M121" s="175">
        <v>54107083.189999998</v>
      </c>
      <c r="N121" s="175">
        <v>53943881.189999998</v>
      </c>
      <c r="O121" s="175">
        <v>53780679.189999998</v>
      </c>
      <c r="P121" s="175">
        <v>53617477.189999998</v>
      </c>
      <c r="Q121" s="175">
        <v>53454275.189999998</v>
      </c>
      <c r="R121" s="175">
        <v>53291073.189999998</v>
      </c>
      <c r="S121" s="175">
        <v>53127871.189999998</v>
      </c>
      <c r="U121" s="175">
        <f t="shared" si="10"/>
        <v>54107083.755384631</v>
      </c>
    </row>
    <row r="122" spans="1:21">
      <c r="A122" s="183" t="str">
        <f t="shared" si="8"/>
        <v>282</v>
      </c>
      <c r="B122" s="183" t="str">
        <f t="shared" si="9"/>
        <v>282.0</v>
      </c>
      <c r="C122" s="184" t="s">
        <v>1108</v>
      </c>
      <c r="D122" t="s">
        <v>1109</v>
      </c>
      <c r="G122" s="175">
        <v>1483702467.6700001</v>
      </c>
      <c r="H122" s="175">
        <v>1491515328.21</v>
      </c>
      <c r="I122" s="175">
        <v>1499524839.21</v>
      </c>
      <c r="J122" s="175">
        <v>1502318127.21</v>
      </c>
      <c r="K122" s="175">
        <v>1510204808.21</v>
      </c>
      <c r="L122" s="175">
        <v>1518818112.21</v>
      </c>
      <c r="M122" s="175">
        <v>1527054475.21</v>
      </c>
      <c r="N122" s="175">
        <v>1535235623.21</v>
      </c>
      <c r="O122" s="175">
        <v>1543403151.21</v>
      </c>
      <c r="P122" s="175">
        <v>1560469502.21</v>
      </c>
      <c r="Q122" s="175">
        <v>1568612576.21</v>
      </c>
      <c r="R122" s="175">
        <v>1576790554.21</v>
      </c>
      <c r="S122" s="175">
        <v>1581777672.21</v>
      </c>
      <c r="U122" s="175">
        <f t="shared" si="10"/>
        <v>1530725172.091538</v>
      </c>
    </row>
    <row r="123" spans="1:21">
      <c r="A123" s="183" t="str">
        <f t="shared" si="8"/>
        <v>283</v>
      </c>
      <c r="B123" s="183" t="str">
        <f t="shared" si="9"/>
        <v>283.0</v>
      </c>
      <c r="C123" s="184" t="s">
        <v>1110</v>
      </c>
      <c r="D123" t="s">
        <v>1111</v>
      </c>
      <c r="G123" s="175">
        <v>58119338.350000001</v>
      </c>
      <c r="H123" s="175">
        <v>60621440.780000001</v>
      </c>
      <c r="I123" s="175">
        <v>59359214.780000001</v>
      </c>
      <c r="J123" s="175">
        <v>68738946.780000001</v>
      </c>
      <c r="K123" s="175">
        <v>66176706.780000001</v>
      </c>
      <c r="L123" s="175">
        <v>63969592.780000001</v>
      </c>
      <c r="M123" s="175">
        <v>59322809.780000001</v>
      </c>
      <c r="N123" s="175">
        <v>55495193.780000001</v>
      </c>
      <c r="O123" s="175">
        <v>52181517.780000001</v>
      </c>
      <c r="P123" s="175">
        <v>44900424.780000001</v>
      </c>
      <c r="Q123" s="175">
        <v>44997872.780000001</v>
      </c>
      <c r="R123" s="175">
        <v>45491850.780000001</v>
      </c>
      <c r="S123" s="175">
        <v>47507059.780000001</v>
      </c>
      <c r="U123" s="175">
        <f t="shared" si="10"/>
        <v>55913997.669999987</v>
      </c>
    </row>
    <row r="124" spans="1:21">
      <c r="A124" s="183" t="str">
        <f t="shared" si="8"/>
        <v>403</v>
      </c>
      <c r="B124" s="183" t="str">
        <f t="shared" si="9"/>
        <v>403.0</v>
      </c>
      <c r="C124" s="184" t="s">
        <v>1112</v>
      </c>
      <c r="D124" t="s">
        <v>1113</v>
      </c>
      <c r="G124" s="175">
        <v>33020537.760000002</v>
      </c>
      <c r="H124" s="175">
        <v>34205781.127366804</v>
      </c>
      <c r="I124" s="175">
        <v>34408753.848585799</v>
      </c>
      <c r="J124" s="175">
        <v>34646572.530244902</v>
      </c>
      <c r="K124" s="175">
        <v>35013188.605203196</v>
      </c>
      <c r="L124" s="175">
        <v>35226630.180031002</v>
      </c>
      <c r="M124" s="175">
        <v>35601527.973921299</v>
      </c>
      <c r="N124" s="175">
        <v>35810766.474385999</v>
      </c>
      <c r="O124" s="175">
        <v>35915518.766862497</v>
      </c>
      <c r="P124" s="175">
        <v>36053678.4218494</v>
      </c>
      <c r="Q124" s="175">
        <v>36338928.976649299</v>
      </c>
      <c r="R124" s="175">
        <v>36446961.174210399</v>
      </c>
      <c r="S124" s="175">
        <v>36542548.618281104</v>
      </c>
      <c r="U124" s="175">
        <f t="shared" si="10"/>
        <v>35325491.881353214</v>
      </c>
    </row>
    <row r="125" spans="1:21">
      <c r="A125" s="183" t="str">
        <f t="shared" si="8"/>
        <v>403</v>
      </c>
      <c r="B125" s="183" t="str">
        <f t="shared" si="9"/>
        <v>403.1</v>
      </c>
      <c r="C125" s="184" t="s">
        <v>1114</v>
      </c>
      <c r="D125" t="s">
        <v>1115</v>
      </c>
      <c r="G125" s="175">
        <v>0</v>
      </c>
      <c r="H125" s="175">
        <v>0</v>
      </c>
      <c r="I125" s="175">
        <v>0</v>
      </c>
      <c r="J125" s="175">
        <v>0</v>
      </c>
      <c r="K125" s="175">
        <v>0</v>
      </c>
      <c r="L125" s="175">
        <v>0</v>
      </c>
      <c r="M125" s="175">
        <v>0</v>
      </c>
      <c r="N125" s="175">
        <v>0</v>
      </c>
      <c r="O125" s="175">
        <v>0</v>
      </c>
      <c r="P125" s="175">
        <v>0</v>
      </c>
      <c r="Q125" s="175">
        <v>0</v>
      </c>
      <c r="R125" s="175">
        <v>0</v>
      </c>
      <c r="S125" s="175">
        <v>0</v>
      </c>
      <c r="U125" s="175">
        <f t="shared" si="10"/>
        <v>0</v>
      </c>
    </row>
    <row r="126" spans="1:21">
      <c r="A126" s="183" t="str">
        <f t="shared" si="8"/>
        <v>404</v>
      </c>
      <c r="B126" s="183" t="str">
        <f t="shared" si="9"/>
        <v>404.0</v>
      </c>
      <c r="C126" s="184" t="s">
        <v>1116</v>
      </c>
      <c r="D126" t="s">
        <v>1117</v>
      </c>
      <c r="G126" s="175">
        <v>2765827.3</v>
      </c>
      <c r="H126" s="175">
        <v>2962184.0264149001</v>
      </c>
      <c r="I126" s="175">
        <v>2996132.1164148999</v>
      </c>
      <c r="J126" s="175">
        <v>3044144.2664148998</v>
      </c>
      <c r="K126" s="175">
        <v>3073845.1064149002</v>
      </c>
      <c r="L126" s="175">
        <v>3072912.0464149001</v>
      </c>
      <c r="M126" s="175">
        <v>3032298.7364149</v>
      </c>
      <c r="N126" s="175">
        <v>3037521.0264149001</v>
      </c>
      <c r="O126" s="175">
        <v>3037608.6364149</v>
      </c>
      <c r="P126" s="175">
        <v>3031839.4364148998</v>
      </c>
      <c r="Q126" s="175">
        <v>3109260.9364148998</v>
      </c>
      <c r="R126" s="175">
        <v>3119358.9064149</v>
      </c>
      <c r="S126" s="175">
        <v>3131050.9664149</v>
      </c>
      <c r="U126" s="175">
        <f t="shared" si="10"/>
        <v>3031844.8851522151</v>
      </c>
    </row>
    <row r="127" spans="1:21">
      <c r="A127" s="183" t="str">
        <f t="shared" si="8"/>
        <v>404</v>
      </c>
      <c r="B127" s="183" t="str">
        <f t="shared" si="9"/>
        <v>404.1</v>
      </c>
      <c r="C127" s="184" t="s">
        <v>1118</v>
      </c>
      <c r="D127" t="s">
        <v>1119</v>
      </c>
      <c r="G127" s="175">
        <v>0</v>
      </c>
      <c r="H127" s="175">
        <v>0</v>
      </c>
      <c r="I127" s="175">
        <v>0</v>
      </c>
      <c r="J127" s="175">
        <v>0</v>
      </c>
      <c r="K127" s="175">
        <v>0</v>
      </c>
      <c r="L127" s="175">
        <v>0</v>
      </c>
      <c r="M127" s="175">
        <v>0</v>
      </c>
      <c r="N127" s="175">
        <v>0</v>
      </c>
      <c r="O127" s="175">
        <v>0</v>
      </c>
      <c r="P127" s="175">
        <v>0</v>
      </c>
      <c r="Q127" s="175">
        <v>0</v>
      </c>
      <c r="R127" s="175">
        <v>0</v>
      </c>
      <c r="S127" s="175">
        <v>0</v>
      </c>
      <c r="U127" s="175">
        <f t="shared" si="10"/>
        <v>0</v>
      </c>
    </row>
    <row r="128" spans="1:21">
      <c r="A128" s="183" t="str">
        <f t="shared" si="8"/>
        <v>404</v>
      </c>
      <c r="B128" s="183" t="str">
        <f t="shared" si="9"/>
        <v>404.2</v>
      </c>
      <c r="C128" s="184" t="s">
        <v>1120</v>
      </c>
      <c r="D128" t="s">
        <v>1121</v>
      </c>
      <c r="G128" s="175">
        <v>0</v>
      </c>
      <c r="H128" s="175">
        <v>0</v>
      </c>
      <c r="I128" s="175">
        <v>0</v>
      </c>
      <c r="J128" s="175">
        <v>0</v>
      </c>
      <c r="K128" s="175">
        <v>0</v>
      </c>
      <c r="L128" s="175">
        <v>0</v>
      </c>
      <c r="M128" s="175">
        <v>0</v>
      </c>
      <c r="N128" s="175">
        <v>0</v>
      </c>
      <c r="O128" s="175">
        <v>0</v>
      </c>
      <c r="P128" s="175">
        <v>0</v>
      </c>
      <c r="Q128" s="175">
        <v>0</v>
      </c>
      <c r="R128" s="175">
        <v>0</v>
      </c>
      <c r="S128" s="175">
        <v>0</v>
      </c>
      <c r="U128" s="175">
        <f t="shared" si="10"/>
        <v>0</v>
      </c>
    </row>
    <row r="129" spans="1:21">
      <c r="A129" s="183" t="str">
        <f t="shared" si="8"/>
        <v>404</v>
      </c>
      <c r="B129" s="183" t="str">
        <f t="shared" si="9"/>
        <v>404.3</v>
      </c>
      <c r="C129" s="184" t="s">
        <v>1122</v>
      </c>
      <c r="D129" t="s">
        <v>1123</v>
      </c>
      <c r="G129" s="175">
        <v>0</v>
      </c>
      <c r="H129" s="175">
        <v>0</v>
      </c>
      <c r="I129" s="175">
        <v>0</v>
      </c>
      <c r="J129" s="175">
        <v>0</v>
      </c>
      <c r="K129" s="175">
        <v>0</v>
      </c>
      <c r="L129" s="175">
        <v>0</v>
      </c>
      <c r="M129" s="175">
        <v>0</v>
      </c>
      <c r="N129" s="175">
        <v>0</v>
      </c>
      <c r="O129" s="175">
        <v>0</v>
      </c>
      <c r="P129" s="175">
        <v>0</v>
      </c>
      <c r="Q129" s="175">
        <v>0</v>
      </c>
      <c r="R129" s="175">
        <v>0</v>
      </c>
      <c r="S129" s="175">
        <v>0</v>
      </c>
      <c r="U129" s="175">
        <f t="shared" si="10"/>
        <v>0</v>
      </c>
    </row>
    <row r="130" spans="1:21">
      <c r="A130" s="183" t="str">
        <f t="shared" si="8"/>
        <v>405</v>
      </c>
      <c r="B130" s="183" t="str">
        <f t="shared" si="9"/>
        <v>405.0</v>
      </c>
      <c r="C130" s="184" t="s">
        <v>1124</v>
      </c>
      <c r="D130" t="s">
        <v>1125</v>
      </c>
      <c r="G130" s="175">
        <v>0</v>
      </c>
      <c r="H130" s="175">
        <v>0</v>
      </c>
      <c r="I130" s="175">
        <v>0</v>
      </c>
      <c r="J130" s="175">
        <v>0</v>
      </c>
      <c r="K130" s="175">
        <v>0</v>
      </c>
      <c r="L130" s="175">
        <v>0</v>
      </c>
      <c r="M130" s="175">
        <v>0</v>
      </c>
      <c r="N130" s="175">
        <v>0</v>
      </c>
      <c r="O130" s="175">
        <v>0</v>
      </c>
      <c r="P130" s="175">
        <v>0</v>
      </c>
      <c r="Q130" s="175">
        <v>0</v>
      </c>
      <c r="R130" s="175">
        <v>0</v>
      </c>
      <c r="S130" s="175">
        <v>0</v>
      </c>
      <c r="U130" s="175">
        <f t="shared" si="10"/>
        <v>0</v>
      </c>
    </row>
    <row r="131" spans="1:21">
      <c r="A131" s="183" t="str">
        <f t="shared" si="8"/>
        <v>406</v>
      </c>
      <c r="B131" s="183" t="str">
        <f t="shared" si="9"/>
        <v>406.0</v>
      </c>
      <c r="C131" s="184" t="s">
        <v>1126</v>
      </c>
      <c r="D131" t="s">
        <v>1127</v>
      </c>
      <c r="G131" s="175">
        <v>15479.11</v>
      </c>
      <c r="H131" s="175">
        <v>15479.11</v>
      </c>
      <c r="I131" s="175">
        <v>15479.11</v>
      </c>
      <c r="J131" s="175">
        <v>15479.11</v>
      </c>
      <c r="K131" s="175">
        <v>15479.11</v>
      </c>
      <c r="L131" s="175">
        <v>15479.11</v>
      </c>
      <c r="M131" s="175">
        <v>15479.11</v>
      </c>
      <c r="N131" s="175">
        <v>15479.11</v>
      </c>
      <c r="O131" s="175">
        <v>15479.11</v>
      </c>
      <c r="P131" s="175">
        <v>15479.11</v>
      </c>
      <c r="Q131" s="175">
        <v>15479.11</v>
      </c>
      <c r="R131" s="175">
        <v>15479.11</v>
      </c>
      <c r="S131" s="175">
        <v>15479.11</v>
      </c>
      <c r="U131" s="175">
        <f t="shared" si="10"/>
        <v>15479.109999999995</v>
      </c>
    </row>
    <row r="132" spans="1:21">
      <c r="A132" s="183" t="str">
        <f t="shared" si="8"/>
        <v>407</v>
      </c>
      <c r="B132" s="183" t="str">
        <f t="shared" si="9"/>
        <v>407.0</v>
      </c>
      <c r="C132" s="184" t="s">
        <v>1128</v>
      </c>
      <c r="D132" t="s">
        <v>1129</v>
      </c>
      <c r="G132" s="175">
        <v>2598881.23</v>
      </c>
      <c r="H132" s="175">
        <v>2475501.12</v>
      </c>
      <c r="I132" s="175">
        <v>2475501.12</v>
      </c>
      <c r="J132" s="175">
        <v>2475501.12</v>
      </c>
      <c r="K132" s="175">
        <v>2475501.12</v>
      </c>
      <c r="L132" s="175">
        <v>2475501.12</v>
      </c>
      <c r="M132" s="175">
        <v>2475501.12</v>
      </c>
      <c r="N132" s="175">
        <v>2475501.12</v>
      </c>
      <c r="O132" s="175">
        <v>2475501.12</v>
      </c>
      <c r="P132" s="175">
        <v>2475501.12</v>
      </c>
      <c r="Q132" s="175">
        <v>2475501.12</v>
      </c>
      <c r="R132" s="175">
        <v>2475501.12</v>
      </c>
      <c r="S132" s="175">
        <v>2475501.11</v>
      </c>
      <c r="U132" s="175">
        <f t="shared" si="10"/>
        <v>2484991.8969230773</v>
      </c>
    </row>
    <row r="133" spans="1:21">
      <c r="A133" s="183" t="str">
        <f t="shared" si="8"/>
        <v>407</v>
      </c>
      <c r="B133" s="183" t="str">
        <f t="shared" si="9"/>
        <v>407.1</v>
      </c>
      <c r="C133" s="184" t="s">
        <v>1130</v>
      </c>
      <c r="D133" t="s">
        <v>1131</v>
      </c>
      <c r="G133" s="175">
        <v>0</v>
      </c>
      <c r="H133" s="175">
        <v>0</v>
      </c>
      <c r="I133" s="175">
        <v>0</v>
      </c>
      <c r="J133" s="175">
        <v>0</v>
      </c>
      <c r="K133" s="175">
        <v>0</v>
      </c>
      <c r="L133" s="175">
        <v>0</v>
      </c>
      <c r="M133" s="175">
        <v>0</v>
      </c>
      <c r="N133" s="175">
        <v>0</v>
      </c>
      <c r="O133" s="175">
        <v>0</v>
      </c>
      <c r="P133" s="175">
        <v>0</v>
      </c>
      <c r="Q133" s="175">
        <v>0</v>
      </c>
      <c r="R133" s="175">
        <v>0</v>
      </c>
      <c r="S133" s="175">
        <v>0</v>
      </c>
      <c r="U133" s="175">
        <f t="shared" si="10"/>
        <v>0</v>
      </c>
    </row>
    <row r="134" spans="1:21">
      <c r="A134" s="183" t="str">
        <f t="shared" si="8"/>
        <v>407</v>
      </c>
      <c r="B134" s="183" t="str">
        <f t="shared" si="9"/>
        <v>407.2</v>
      </c>
      <c r="C134" s="184" t="s">
        <v>1132</v>
      </c>
      <c r="D134" t="s">
        <v>1133</v>
      </c>
      <c r="G134" s="175">
        <v>0</v>
      </c>
      <c r="H134" s="175">
        <v>0</v>
      </c>
      <c r="I134" s="175">
        <v>0</v>
      </c>
      <c r="J134" s="175">
        <v>0</v>
      </c>
      <c r="K134" s="175">
        <v>0</v>
      </c>
      <c r="L134" s="175">
        <v>0</v>
      </c>
      <c r="M134" s="175">
        <v>0</v>
      </c>
      <c r="N134" s="175">
        <v>0</v>
      </c>
      <c r="O134" s="175">
        <v>0</v>
      </c>
      <c r="P134" s="175">
        <v>0</v>
      </c>
      <c r="Q134" s="175">
        <v>0</v>
      </c>
      <c r="R134" s="175">
        <v>0</v>
      </c>
      <c r="S134" s="175">
        <v>0</v>
      </c>
      <c r="U134" s="175">
        <f t="shared" si="10"/>
        <v>0</v>
      </c>
    </row>
    <row r="135" spans="1:21">
      <c r="A135" s="183" t="str">
        <f t="shared" ref="A135:A198" si="11">MID(C135,2,3)</f>
        <v>407</v>
      </c>
      <c r="B135" s="183" t="str">
        <f t="shared" ref="B135:B198" si="12">MID(C135,2,3)&amp;"."&amp;MID(C135,5,1)</f>
        <v>407.3</v>
      </c>
      <c r="C135" s="184" t="s">
        <v>1134</v>
      </c>
      <c r="D135" t="s">
        <v>1135</v>
      </c>
      <c r="G135" s="175">
        <v>37331521.960000001</v>
      </c>
      <c r="H135" s="175">
        <v>13497558.5816365</v>
      </c>
      <c r="I135" s="175">
        <v>13461201.533373199</v>
      </c>
      <c r="J135" s="175">
        <v>13968847.9591127</v>
      </c>
      <c r="K135" s="175">
        <v>15933149.7592318</v>
      </c>
      <c r="L135" s="175">
        <v>15620048.741331499</v>
      </c>
      <c r="M135" s="175">
        <v>21087679.589657899</v>
      </c>
      <c r="N135" s="175">
        <v>21235359.679308701</v>
      </c>
      <c r="O135" s="175">
        <v>20870598.798875701</v>
      </c>
      <c r="P135" s="175">
        <v>25335033.602422498</v>
      </c>
      <c r="Q135" s="175">
        <v>18275209.130223799</v>
      </c>
      <c r="R135" s="175">
        <v>13399599.707875799</v>
      </c>
      <c r="S135" s="175">
        <v>12859333.751640501</v>
      </c>
      <c r="U135" s="175">
        <f t="shared" ref="U135:U198" si="13">AVERAGE(G135:S135)</f>
        <v>18682703.291899279</v>
      </c>
    </row>
    <row r="136" spans="1:21">
      <c r="A136" s="183" t="str">
        <f t="shared" si="11"/>
        <v>407</v>
      </c>
      <c r="B136" s="183" t="str">
        <f t="shared" si="12"/>
        <v>407.4</v>
      </c>
      <c r="C136" s="184" t="s">
        <v>1136</v>
      </c>
      <c r="D136" t="s">
        <v>1137</v>
      </c>
      <c r="G136" s="175">
        <v>-5355537</v>
      </c>
      <c r="H136" s="175">
        <v>-6778029.8128492003</v>
      </c>
      <c r="I136" s="175">
        <v>-5201571.3083421001</v>
      </c>
      <c r="J136" s="175">
        <v>-5787918.9833153998</v>
      </c>
      <c r="K136" s="175">
        <v>-2317340.8558399999</v>
      </c>
      <c r="L136" s="175">
        <v>-2634403.4190611001</v>
      </c>
      <c r="M136" s="175">
        <v>-1152876</v>
      </c>
      <c r="N136" s="175">
        <v>-1152876</v>
      </c>
      <c r="O136" s="175">
        <v>-1152876</v>
      </c>
      <c r="P136" s="175">
        <v>-1152876</v>
      </c>
      <c r="Q136" s="175">
        <v>-1152876</v>
      </c>
      <c r="R136" s="175">
        <v>-2517717.9420449999</v>
      </c>
      <c r="S136" s="175">
        <v>-14403291.5848442</v>
      </c>
      <c r="U136" s="175">
        <f t="shared" si="13"/>
        <v>-3904630.0697151544</v>
      </c>
    </row>
    <row r="137" spans="1:21">
      <c r="A137" s="183" t="str">
        <f t="shared" si="11"/>
        <v>408</v>
      </c>
      <c r="B137" s="183" t="str">
        <f t="shared" si="12"/>
        <v>408.1</v>
      </c>
      <c r="C137" s="184" t="s">
        <v>1138</v>
      </c>
      <c r="D137" t="s">
        <v>1139</v>
      </c>
      <c r="G137" s="175">
        <v>17618844.870000001</v>
      </c>
      <c r="H137" s="175">
        <v>18242567.430204999</v>
      </c>
      <c r="I137" s="175">
        <v>17475590.746084701</v>
      </c>
      <c r="J137" s="175">
        <v>17358301.972268999</v>
      </c>
      <c r="K137" s="175">
        <v>17750825.8823511</v>
      </c>
      <c r="L137" s="175">
        <v>18717896.823051199</v>
      </c>
      <c r="M137" s="175">
        <v>20253106.160507701</v>
      </c>
      <c r="N137" s="175">
        <v>20927468.988385201</v>
      </c>
      <c r="O137" s="175">
        <v>20776623.212662298</v>
      </c>
      <c r="P137" s="175">
        <v>21186622.376331698</v>
      </c>
      <c r="Q137" s="175">
        <v>19924395.463133801</v>
      </c>
      <c r="R137" s="175">
        <v>18194738.8372689</v>
      </c>
      <c r="S137" s="175">
        <v>17837410.345667999</v>
      </c>
      <c r="U137" s="175">
        <f t="shared" si="13"/>
        <v>18943414.854455277</v>
      </c>
    </row>
    <row r="138" spans="1:21">
      <c r="A138" s="183" t="str">
        <f t="shared" si="11"/>
        <v>408</v>
      </c>
      <c r="B138" s="183" t="str">
        <f t="shared" si="12"/>
        <v>408.2</v>
      </c>
      <c r="C138" s="184" t="s">
        <v>1140</v>
      </c>
      <c r="D138" t="s">
        <v>1141</v>
      </c>
      <c r="G138" s="175">
        <v>35543.480000000003</v>
      </c>
      <c r="H138" s="175">
        <v>13718.1060691</v>
      </c>
      <c r="I138" s="175">
        <v>13467.257302599999</v>
      </c>
      <c r="J138" s="175">
        <v>13467.257302599999</v>
      </c>
      <c r="K138" s="175">
        <v>13645.981296800001</v>
      </c>
      <c r="L138" s="175">
        <v>13811.7076206</v>
      </c>
      <c r="M138" s="175">
        <v>13314.5282871</v>
      </c>
      <c r="N138" s="175">
        <v>13903.066503</v>
      </c>
      <c r="O138" s="175">
        <v>13733.368055999999</v>
      </c>
      <c r="P138" s="175">
        <v>13563.669609</v>
      </c>
      <c r="Q138" s="175">
        <v>13903.066503</v>
      </c>
      <c r="R138" s="175">
        <v>13563.669609</v>
      </c>
      <c r="S138" s="175">
        <v>13733.368055999999</v>
      </c>
      <c r="U138" s="175">
        <f t="shared" si="13"/>
        <v>15336.040478061539</v>
      </c>
    </row>
    <row r="139" spans="1:21">
      <c r="A139" s="183" t="str">
        <f t="shared" si="11"/>
        <v>409</v>
      </c>
      <c r="B139" s="183" t="str">
        <f t="shared" si="12"/>
        <v>409.1</v>
      </c>
      <c r="C139" s="184" t="s">
        <v>1142</v>
      </c>
      <c r="D139" t="s">
        <v>1143</v>
      </c>
      <c r="G139" s="175">
        <v>-16500875.68</v>
      </c>
      <c r="H139" s="175">
        <v>1747929</v>
      </c>
      <c r="I139" s="175">
        <v>153008</v>
      </c>
      <c r="J139" s="175">
        <v>-7391371</v>
      </c>
      <c r="K139" s="175">
        <v>4412635</v>
      </c>
      <c r="L139" s="175">
        <v>7805202</v>
      </c>
      <c r="M139" s="175">
        <v>12449608</v>
      </c>
      <c r="N139" s="175">
        <v>14215118</v>
      </c>
      <c r="O139" s="175">
        <v>14518798</v>
      </c>
      <c r="P139" s="175">
        <v>9756266</v>
      </c>
      <c r="Q139" s="175">
        <v>5575225</v>
      </c>
      <c r="R139" s="175">
        <v>-182593</v>
      </c>
      <c r="S139" s="175">
        <v>343808</v>
      </c>
      <c r="U139" s="175">
        <f t="shared" si="13"/>
        <v>3607904.4092307691</v>
      </c>
    </row>
    <row r="140" spans="1:21">
      <c r="A140" s="183" t="str">
        <f t="shared" si="11"/>
        <v>409</v>
      </c>
      <c r="B140" s="183" t="str">
        <f t="shared" si="12"/>
        <v>409.2</v>
      </c>
      <c r="C140" s="184" t="s">
        <v>1144</v>
      </c>
      <c r="D140" t="s">
        <v>1145</v>
      </c>
      <c r="G140" s="175">
        <v>14645575.529999999</v>
      </c>
      <c r="H140" s="175">
        <v>376432</v>
      </c>
      <c r="I140" s="175">
        <v>408577</v>
      </c>
      <c r="J140" s="175">
        <v>868450</v>
      </c>
      <c r="K140" s="175">
        <v>376641</v>
      </c>
      <c r="L140" s="175">
        <v>385739</v>
      </c>
      <c r="M140" s="175">
        <v>307233</v>
      </c>
      <c r="N140" s="175">
        <v>1063239</v>
      </c>
      <c r="O140" s="175">
        <v>682037</v>
      </c>
      <c r="P140" s="175">
        <v>300802</v>
      </c>
      <c r="Q140" s="175">
        <v>305264</v>
      </c>
      <c r="R140" s="175">
        <v>313803</v>
      </c>
      <c r="S140" s="175">
        <v>270247</v>
      </c>
      <c r="U140" s="175">
        <f t="shared" si="13"/>
        <v>1561849.1946153848</v>
      </c>
    </row>
    <row r="141" spans="1:21">
      <c r="A141" s="183" t="str">
        <f t="shared" si="11"/>
        <v>409</v>
      </c>
      <c r="B141" s="183" t="str">
        <f t="shared" si="12"/>
        <v>409.3</v>
      </c>
      <c r="C141" s="184" t="s">
        <v>1146</v>
      </c>
      <c r="D141" t="s">
        <v>1147</v>
      </c>
      <c r="G141" s="175">
        <v>0</v>
      </c>
      <c r="H141" s="175">
        <v>0</v>
      </c>
      <c r="I141" s="175">
        <v>0</v>
      </c>
      <c r="J141" s="175">
        <v>0</v>
      </c>
      <c r="K141" s="175">
        <v>0</v>
      </c>
      <c r="L141" s="175">
        <v>0</v>
      </c>
      <c r="M141" s="175">
        <v>0</v>
      </c>
      <c r="N141" s="175">
        <v>0</v>
      </c>
      <c r="O141" s="175">
        <v>0</v>
      </c>
      <c r="P141" s="175">
        <v>0</v>
      </c>
      <c r="Q141" s="175">
        <v>0</v>
      </c>
      <c r="R141" s="175">
        <v>0</v>
      </c>
      <c r="S141" s="175">
        <v>0</v>
      </c>
      <c r="U141" s="175">
        <f t="shared" si="13"/>
        <v>0</v>
      </c>
    </row>
    <row r="142" spans="1:21">
      <c r="A142" s="183" t="str">
        <f t="shared" si="11"/>
        <v>410</v>
      </c>
      <c r="B142" s="183" t="str">
        <f t="shared" si="12"/>
        <v>410.1</v>
      </c>
      <c r="C142" s="184" t="s">
        <v>1148</v>
      </c>
      <c r="D142" t="s">
        <v>1149</v>
      </c>
      <c r="G142" s="175">
        <v>28220711.41</v>
      </c>
      <c r="H142" s="175">
        <v>13087984</v>
      </c>
      <c r="I142" s="175">
        <v>8506501</v>
      </c>
      <c r="J142" s="175">
        <v>20978886</v>
      </c>
      <c r="K142" s="175">
        <v>8379629</v>
      </c>
      <c r="L142" s="175">
        <v>8907178</v>
      </c>
      <c r="M142" s="175">
        <v>8354789</v>
      </c>
      <c r="N142" s="175">
        <v>8461038</v>
      </c>
      <c r="O142" s="175">
        <v>8318178</v>
      </c>
      <c r="P142" s="175">
        <v>8218569</v>
      </c>
      <c r="Q142" s="175">
        <v>7983102</v>
      </c>
      <c r="R142" s="175">
        <v>8050787</v>
      </c>
      <c r="S142" s="175">
        <v>11593916</v>
      </c>
      <c r="U142" s="175">
        <f t="shared" si="13"/>
        <v>11466251.416153846</v>
      </c>
    </row>
    <row r="143" spans="1:21">
      <c r="A143" s="183" t="str">
        <f t="shared" si="11"/>
        <v>410</v>
      </c>
      <c r="B143" s="183" t="str">
        <f t="shared" si="12"/>
        <v>410.2</v>
      </c>
      <c r="C143" s="184" t="s">
        <v>1150</v>
      </c>
      <c r="D143" t="s">
        <v>1151</v>
      </c>
      <c r="G143" s="175">
        <v>243.06</v>
      </c>
      <c r="H143" s="175">
        <v>0</v>
      </c>
      <c r="I143" s="175">
        <v>0</v>
      </c>
      <c r="J143" s="175">
        <v>0</v>
      </c>
      <c r="K143" s="175">
        <v>0</v>
      </c>
      <c r="L143" s="175">
        <v>0</v>
      </c>
      <c r="M143" s="175">
        <v>0</v>
      </c>
      <c r="N143" s="175">
        <v>0</v>
      </c>
      <c r="O143" s="175">
        <v>0</v>
      </c>
      <c r="P143" s="175">
        <v>0</v>
      </c>
      <c r="Q143" s="175">
        <v>0</v>
      </c>
      <c r="R143" s="175">
        <v>0</v>
      </c>
      <c r="S143" s="175">
        <v>0</v>
      </c>
      <c r="U143" s="175">
        <f t="shared" si="13"/>
        <v>18.696923076923078</v>
      </c>
    </row>
    <row r="144" spans="1:21">
      <c r="A144" s="183" t="str">
        <f t="shared" si="11"/>
        <v>411</v>
      </c>
      <c r="B144" s="183" t="str">
        <f t="shared" si="12"/>
        <v>411.1</v>
      </c>
      <c r="C144" s="184" t="s">
        <v>1152</v>
      </c>
      <c r="D144" t="s">
        <v>1153</v>
      </c>
      <c r="G144" s="175">
        <v>-18696371.210000001</v>
      </c>
      <c r="H144" s="175">
        <v>-11433748</v>
      </c>
      <c r="I144" s="175">
        <v>-8292864</v>
      </c>
      <c r="J144" s="175">
        <v>-8762025</v>
      </c>
      <c r="K144" s="175">
        <v>-10390987</v>
      </c>
      <c r="L144" s="175">
        <v>-10517178</v>
      </c>
      <c r="M144" s="175">
        <v>-12497405</v>
      </c>
      <c r="N144" s="175">
        <v>-11934025</v>
      </c>
      <c r="O144" s="175">
        <v>-11262878</v>
      </c>
      <c r="P144" s="175">
        <v>-23853684</v>
      </c>
      <c r="Q144" s="175">
        <v>-7198220</v>
      </c>
      <c r="R144" s="175">
        <v>-6254867</v>
      </c>
      <c r="S144" s="175">
        <v>-7445126</v>
      </c>
      <c r="U144" s="175">
        <f t="shared" si="13"/>
        <v>-11426106.016153846</v>
      </c>
    </row>
    <row r="145" spans="1:21">
      <c r="A145" s="183" t="str">
        <f t="shared" si="11"/>
        <v>411</v>
      </c>
      <c r="B145" s="183" t="str">
        <f t="shared" si="12"/>
        <v>411.2</v>
      </c>
      <c r="C145" s="184" t="s">
        <v>1154</v>
      </c>
      <c r="D145" t="s">
        <v>1155</v>
      </c>
      <c r="G145" s="175">
        <v>-5576.63</v>
      </c>
      <c r="H145" s="175">
        <v>0</v>
      </c>
      <c r="I145" s="175">
        <v>0</v>
      </c>
      <c r="J145" s="175">
        <v>0</v>
      </c>
      <c r="K145" s="175">
        <v>0</v>
      </c>
      <c r="L145" s="175">
        <v>0</v>
      </c>
      <c r="M145" s="175">
        <v>0</v>
      </c>
      <c r="N145" s="175">
        <v>0</v>
      </c>
      <c r="O145" s="175">
        <v>0</v>
      </c>
      <c r="P145" s="175">
        <v>0</v>
      </c>
      <c r="Q145" s="175">
        <v>0</v>
      </c>
      <c r="R145" s="175">
        <v>0</v>
      </c>
      <c r="S145" s="175">
        <v>0</v>
      </c>
      <c r="U145" s="175">
        <f t="shared" si="13"/>
        <v>-428.97153846153844</v>
      </c>
    </row>
    <row r="146" spans="1:21">
      <c r="A146" s="183" t="str">
        <f t="shared" si="11"/>
        <v>411</v>
      </c>
      <c r="B146" s="183" t="str">
        <f t="shared" si="12"/>
        <v>411.4</v>
      </c>
      <c r="C146" s="184" t="s">
        <v>1156</v>
      </c>
      <c r="D146" t="s">
        <v>1157</v>
      </c>
      <c r="G146" s="175">
        <v>-345077.55</v>
      </c>
      <c r="H146" s="175">
        <v>-673078</v>
      </c>
      <c r="I146" s="175">
        <v>-398623</v>
      </c>
      <c r="J146" s="175">
        <v>-673731</v>
      </c>
      <c r="K146" s="175">
        <v>-673731</v>
      </c>
      <c r="L146" s="175">
        <v>-673731</v>
      </c>
      <c r="M146" s="175">
        <v>-673731</v>
      </c>
      <c r="N146" s="175">
        <v>-673731</v>
      </c>
      <c r="O146" s="175">
        <v>-673731</v>
      </c>
      <c r="P146" s="175">
        <v>4807269</v>
      </c>
      <c r="Q146" s="175">
        <v>-719406</v>
      </c>
      <c r="R146" s="175">
        <v>-719406</v>
      </c>
      <c r="S146" s="175">
        <v>-719416</v>
      </c>
      <c r="U146" s="175">
        <f t="shared" si="13"/>
        <v>-216163.34999999998</v>
      </c>
    </row>
    <row r="147" spans="1:21">
      <c r="A147" s="183" t="str">
        <f t="shared" si="11"/>
        <v>411</v>
      </c>
      <c r="B147" s="183" t="str">
        <f t="shared" si="12"/>
        <v>411.5</v>
      </c>
      <c r="C147" s="184" t="s">
        <v>1158</v>
      </c>
      <c r="D147" t="s">
        <v>1159</v>
      </c>
      <c r="G147" s="175">
        <v>-1.44</v>
      </c>
      <c r="H147" s="175">
        <v>-1</v>
      </c>
      <c r="I147" s="175">
        <v>-1</v>
      </c>
      <c r="J147" s="175">
        <v>-1</v>
      </c>
      <c r="K147" s="175">
        <v>-1</v>
      </c>
      <c r="L147" s="175">
        <v>-1</v>
      </c>
      <c r="M147" s="175">
        <v>-1</v>
      </c>
      <c r="N147" s="175">
        <v>-1</v>
      </c>
      <c r="O147" s="175">
        <v>-1</v>
      </c>
      <c r="P147" s="175">
        <v>-1</v>
      </c>
      <c r="Q147" s="175">
        <v>-1</v>
      </c>
      <c r="R147" s="175">
        <v>-1</v>
      </c>
      <c r="S147" s="175">
        <v>-1</v>
      </c>
      <c r="U147" s="175">
        <f t="shared" si="13"/>
        <v>-1.0338461538461539</v>
      </c>
    </row>
    <row r="148" spans="1:21">
      <c r="A148" s="183" t="str">
        <f t="shared" si="11"/>
        <v>411</v>
      </c>
      <c r="B148" s="183" t="str">
        <f t="shared" si="12"/>
        <v>411.6</v>
      </c>
      <c r="C148" s="184" t="s">
        <v>1160</v>
      </c>
      <c r="D148" t="s">
        <v>1161</v>
      </c>
      <c r="G148" s="175">
        <v>0</v>
      </c>
      <c r="H148" s="175">
        <v>0</v>
      </c>
      <c r="I148" s="175">
        <v>0</v>
      </c>
      <c r="J148" s="175">
        <v>0</v>
      </c>
      <c r="K148" s="175">
        <v>0</v>
      </c>
      <c r="L148" s="175">
        <v>0</v>
      </c>
      <c r="M148" s="175">
        <v>0</v>
      </c>
      <c r="N148" s="175">
        <v>0</v>
      </c>
      <c r="O148" s="175">
        <v>0</v>
      </c>
      <c r="P148" s="175">
        <v>0</v>
      </c>
      <c r="Q148" s="175">
        <v>0</v>
      </c>
      <c r="R148" s="175">
        <v>0</v>
      </c>
      <c r="S148" s="175">
        <v>0</v>
      </c>
      <c r="U148" s="175">
        <f t="shared" si="13"/>
        <v>0</v>
      </c>
    </row>
    <row r="149" spans="1:21">
      <c r="A149" s="183" t="str">
        <f t="shared" si="11"/>
        <v>411</v>
      </c>
      <c r="B149" s="183" t="str">
        <f t="shared" si="12"/>
        <v>411.7</v>
      </c>
      <c r="C149" s="184" t="s">
        <v>1162</v>
      </c>
      <c r="D149" t="s">
        <v>1163</v>
      </c>
      <c r="G149" s="175">
        <v>0</v>
      </c>
      <c r="H149" s="175">
        <v>0</v>
      </c>
      <c r="I149" s="175">
        <v>0</v>
      </c>
      <c r="J149" s="175">
        <v>0</v>
      </c>
      <c r="K149" s="175">
        <v>0</v>
      </c>
      <c r="L149" s="175">
        <v>0</v>
      </c>
      <c r="M149" s="175">
        <v>0</v>
      </c>
      <c r="N149" s="175">
        <v>0</v>
      </c>
      <c r="O149" s="175">
        <v>0</v>
      </c>
      <c r="P149" s="175">
        <v>0</v>
      </c>
      <c r="Q149" s="175">
        <v>0</v>
      </c>
      <c r="R149" s="175">
        <v>0</v>
      </c>
      <c r="S149" s="175">
        <v>0</v>
      </c>
      <c r="U149" s="175">
        <f t="shared" si="13"/>
        <v>0</v>
      </c>
    </row>
    <row r="150" spans="1:21">
      <c r="A150" s="183" t="str">
        <f t="shared" si="11"/>
        <v>411</v>
      </c>
      <c r="B150" s="183" t="str">
        <f t="shared" si="12"/>
        <v>411.8</v>
      </c>
      <c r="C150" s="184" t="s">
        <v>1164</v>
      </c>
      <c r="D150" t="s">
        <v>1165</v>
      </c>
      <c r="G150" s="175">
        <v>2256347.85</v>
      </c>
      <c r="H150" s="175">
        <v>303440</v>
      </c>
      <c r="I150" s="175">
        <v>283864</v>
      </c>
      <c r="J150" s="175">
        <v>303440</v>
      </c>
      <c r="K150" s="175">
        <v>293652</v>
      </c>
      <c r="L150" s="175">
        <v>303440</v>
      </c>
      <c r="M150" s="175">
        <v>293652</v>
      </c>
      <c r="N150" s="175">
        <v>303440</v>
      </c>
      <c r="O150" s="175">
        <v>303440</v>
      </c>
      <c r="P150" s="175">
        <v>293652</v>
      </c>
      <c r="Q150" s="175">
        <v>303440</v>
      </c>
      <c r="R150" s="175">
        <v>293652</v>
      </c>
      <c r="S150" s="175">
        <v>303442</v>
      </c>
      <c r="U150" s="175">
        <f t="shared" si="13"/>
        <v>449146.29615384614</v>
      </c>
    </row>
    <row r="151" spans="1:21">
      <c r="A151" s="183" t="str">
        <f t="shared" si="11"/>
        <v>411</v>
      </c>
      <c r="B151" s="183" t="str">
        <f t="shared" si="12"/>
        <v>411.9</v>
      </c>
      <c r="C151" s="184" t="s">
        <v>1166</v>
      </c>
      <c r="D151" t="s">
        <v>1167</v>
      </c>
      <c r="G151" s="175">
        <v>0</v>
      </c>
      <c r="H151" s="175">
        <v>0</v>
      </c>
      <c r="I151" s="175">
        <v>0</v>
      </c>
      <c r="J151" s="175">
        <v>0</v>
      </c>
      <c r="K151" s="175">
        <v>0</v>
      </c>
      <c r="L151" s="175">
        <v>0</v>
      </c>
      <c r="M151" s="175">
        <v>0</v>
      </c>
      <c r="N151" s="175">
        <v>0</v>
      </c>
      <c r="O151" s="175">
        <v>0</v>
      </c>
      <c r="P151" s="175">
        <v>0</v>
      </c>
      <c r="Q151" s="175">
        <v>0</v>
      </c>
      <c r="R151" s="175">
        <v>0</v>
      </c>
      <c r="S151" s="175">
        <v>0</v>
      </c>
      <c r="U151" s="175">
        <f t="shared" si="13"/>
        <v>0</v>
      </c>
    </row>
    <row r="152" spans="1:21">
      <c r="A152" s="183" t="str">
        <f t="shared" si="11"/>
        <v>412</v>
      </c>
      <c r="B152" s="183" t="str">
        <f t="shared" si="12"/>
        <v>412.0</v>
      </c>
      <c r="C152" s="184" t="s">
        <v>1168</v>
      </c>
      <c r="D152" t="s">
        <v>1169</v>
      </c>
      <c r="G152" s="175">
        <v>0</v>
      </c>
      <c r="H152" s="175">
        <v>0</v>
      </c>
      <c r="I152" s="175">
        <v>0</v>
      </c>
      <c r="J152" s="175">
        <v>0</v>
      </c>
      <c r="K152" s="175">
        <v>0</v>
      </c>
      <c r="L152" s="175">
        <v>0</v>
      </c>
      <c r="M152" s="175">
        <v>0</v>
      </c>
      <c r="N152" s="175">
        <v>0</v>
      </c>
      <c r="O152" s="175">
        <v>0</v>
      </c>
      <c r="P152" s="175">
        <v>0</v>
      </c>
      <c r="Q152" s="175">
        <v>0</v>
      </c>
      <c r="R152" s="175">
        <v>0</v>
      </c>
      <c r="S152" s="175">
        <v>0</v>
      </c>
      <c r="U152" s="175">
        <f t="shared" si="13"/>
        <v>0</v>
      </c>
    </row>
    <row r="153" spans="1:21">
      <c r="A153" s="183" t="str">
        <f t="shared" si="11"/>
        <v>413</v>
      </c>
      <c r="B153" s="183" t="str">
        <f t="shared" si="12"/>
        <v>413.0</v>
      </c>
      <c r="C153" s="184" t="s">
        <v>1170</v>
      </c>
      <c r="D153" t="s">
        <v>1171</v>
      </c>
      <c r="G153" s="175">
        <v>0</v>
      </c>
      <c r="H153" s="175">
        <v>0</v>
      </c>
      <c r="I153" s="175">
        <v>0</v>
      </c>
      <c r="J153" s="175">
        <v>0</v>
      </c>
      <c r="K153" s="175">
        <v>0</v>
      </c>
      <c r="L153" s="175">
        <v>0</v>
      </c>
      <c r="M153" s="175">
        <v>0</v>
      </c>
      <c r="N153" s="175">
        <v>0</v>
      </c>
      <c r="O153" s="175">
        <v>0</v>
      </c>
      <c r="P153" s="175">
        <v>0</v>
      </c>
      <c r="Q153" s="175">
        <v>0</v>
      </c>
      <c r="R153" s="175">
        <v>0</v>
      </c>
      <c r="S153" s="175">
        <v>0</v>
      </c>
      <c r="U153" s="175">
        <f t="shared" si="13"/>
        <v>0</v>
      </c>
    </row>
    <row r="154" spans="1:21">
      <c r="A154" s="183" t="str">
        <f t="shared" si="11"/>
        <v>414</v>
      </c>
      <c r="B154" s="183" t="str">
        <f t="shared" si="12"/>
        <v>414.0</v>
      </c>
      <c r="C154" s="184" t="s">
        <v>1172</v>
      </c>
      <c r="D154" t="s">
        <v>1173</v>
      </c>
      <c r="G154" s="175">
        <v>0</v>
      </c>
      <c r="H154" s="175">
        <v>0</v>
      </c>
      <c r="I154" s="175">
        <v>0</v>
      </c>
      <c r="J154" s="175">
        <v>0</v>
      </c>
      <c r="K154" s="175">
        <v>0</v>
      </c>
      <c r="L154" s="175">
        <v>0</v>
      </c>
      <c r="M154" s="175">
        <v>0</v>
      </c>
      <c r="N154" s="175">
        <v>0</v>
      </c>
      <c r="O154" s="175">
        <v>0</v>
      </c>
      <c r="P154" s="175">
        <v>0</v>
      </c>
      <c r="Q154" s="175">
        <v>0</v>
      </c>
      <c r="R154" s="175">
        <v>0</v>
      </c>
      <c r="S154" s="175">
        <v>0</v>
      </c>
      <c r="U154" s="175">
        <f t="shared" si="13"/>
        <v>0</v>
      </c>
    </row>
    <row r="155" spans="1:21">
      <c r="A155" s="183" t="str">
        <f t="shared" si="11"/>
        <v>415</v>
      </c>
      <c r="B155" s="183" t="str">
        <f t="shared" si="12"/>
        <v>415.0</v>
      </c>
      <c r="C155" s="184" t="s">
        <v>1174</v>
      </c>
      <c r="D155" t="s">
        <v>1175</v>
      </c>
      <c r="G155" s="175">
        <v>535852.80000000005</v>
      </c>
      <c r="H155" s="175">
        <v>497000</v>
      </c>
      <c r="I155" s="175">
        <v>522600</v>
      </c>
      <c r="J155" s="175">
        <v>498200</v>
      </c>
      <c r="K155" s="175">
        <v>524800</v>
      </c>
      <c r="L155" s="175">
        <v>491500</v>
      </c>
      <c r="M155" s="175">
        <v>493100</v>
      </c>
      <c r="N155" s="175">
        <v>3282737</v>
      </c>
      <c r="O155" s="175">
        <v>2279763</v>
      </c>
      <c r="P155" s="175">
        <v>508900</v>
      </c>
      <c r="Q155" s="175">
        <v>559000</v>
      </c>
      <c r="R155" s="175">
        <v>509100</v>
      </c>
      <c r="S155" s="175">
        <v>544200</v>
      </c>
      <c r="U155" s="175">
        <f t="shared" si="13"/>
        <v>865134.83076923084</v>
      </c>
    </row>
    <row r="156" spans="1:21">
      <c r="A156" s="183" t="str">
        <f t="shared" si="11"/>
        <v>416</v>
      </c>
      <c r="B156" s="183" t="str">
        <f t="shared" si="12"/>
        <v>416.0</v>
      </c>
      <c r="C156" s="184" t="s">
        <v>1176</v>
      </c>
      <c r="D156" t="s">
        <v>1177</v>
      </c>
      <c r="G156" s="175">
        <v>-1196506.8500000001</v>
      </c>
      <c r="H156" s="175">
        <v>343908.11036430002</v>
      </c>
      <c r="I156" s="175">
        <v>337604.71400460001</v>
      </c>
      <c r="J156" s="175">
        <v>351327.9540046</v>
      </c>
      <c r="K156" s="175">
        <v>387983.10840949998</v>
      </c>
      <c r="L156" s="175">
        <v>361328.6853824</v>
      </c>
      <c r="M156" s="175">
        <v>353619.578629</v>
      </c>
      <c r="N156" s="175">
        <v>366019.3273601</v>
      </c>
      <c r="O156" s="175">
        <v>394233.38990289997</v>
      </c>
      <c r="P156" s="175">
        <v>364183.02244570001</v>
      </c>
      <c r="Q156" s="175">
        <v>370235.11736009998</v>
      </c>
      <c r="R156" s="175">
        <v>365816.29244569998</v>
      </c>
      <c r="S156" s="175">
        <v>374206.7299029</v>
      </c>
      <c r="U156" s="175">
        <f t="shared" si="13"/>
        <v>244150.70617013847</v>
      </c>
    </row>
    <row r="157" spans="1:21">
      <c r="A157" s="183" t="str">
        <f t="shared" si="11"/>
        <v>417</v>
      </c>
      <c r="B157" s="183" t="str">
        <f t="shared" si="12"/>
        <v>417.0</v>
      </c>
      <c r="C157" s="184" t="s">
        <v>1178</v>
      </c>
      <c r="D157" t="s">
        <v>1179</v>
      </c>
      <c r="G157" s="175">
        <v>0</v>
      </c>
      <c r="H157" s="175">
        <v>0</v>
      </c>
      <c r="I157" s="175">
        <v>0</v>
      </c>
      <c r="J157" s="175">
        <v>0</v>
      </c>
      <c r="K157" s="175">
        <v>0</v>
      </c>
      <c r="L157" s="175">
        <v>0</v>
      </c>
      <c r="M157" s="175">
        <v>0</v>
      </c>
      <c r="N157" s="175">
        <v>0</v>
      </c>
      <c r="O157" s="175">
        <v>0</v>
      </c>
      <c r="P157" s="175">
        <v>0</v>
      </c>
      <c r="Q157" s="175">
        <v>0</v>
      </c>
      <c r="R157" s="175">
        <v>0</v>
      </c>
      <c r="S157" s="175">
        <v>0</v>
      </c>
      <c r="U157" s="175">
        <f t="shared" si="13"/>
        <v>0</v>
      </c>
    </row>
    <row r="158" spans="1:21">
      <c r="A158" s="183" t="str">
        <f t="shared" si="11"/>
        <v>417</v>
      </c>
      <c r="B158" s="183" t="str">
        <f t="shared" si="12"/>
        <v>417.1</v>
      </c>
      <c r="C158" s="184" t="s">
        <v>1180</v>
      </c>
      <c r="D158" t="s">
        <v>1181</v>
      </c>
      <c r="G158" s="175">
        <v>0</v>
      </c>
      <c r="H158" s="175">
        <v>0</v>
      </c>
      <c r="I158" s="175">
        <v>0</v>
      </c>
      <c r="J158" s="175">
        <v>0</v>
      </c>
      <c r="K158" s="175">
        <v>0</v>
      </c>
      <c r="L158" s="175">
        <v>0</v>
      </c>
      <c r="M158" s="175">
        <v>0</v>
      </c>
      <c r="N158" s="175">
        <v>0</v>
      </c>
      <c r="O158" s="175">
        <v>0</v>
      </c>
      <c r="P158" s="175">
        <v>0</v>
      </c>
      <c r="Q158" s="175">
        <v>0</v>
      </c>
      <c r="R158" s="175">
        <v>0</v>
      </c>
      <c r="S158" s="175">
        <v>0</v>
      </c>
      <c r="U158" s="175">
        <f t="shared" si="13"/>
        <v>0</v>
      </c>
    </row>
    <row r="159" spans="1:21">
      <c r="A159" s="183" t="str">
        <f t="shared" si="11"/>
        <v>418</v>
      </c>
      <c r="B159" s="183" t="str">
        <f t="shared" si="12"/>
        <v>418.0</v>
      </c>
      <c r="C159" s="184" t="s">
        <v>1182</v>
      </c>
      <c r="D159" t="s">
        <v>1183</v>
      </c>
      <c r="G159" s="175">
        <v>-5090.04</v>
      </c>
      <c r="H159" s="175">
        <v>0</v>
      </c>
      <c r="I159" s="175">
        <v>0</v>
      </c>
      <c r="J159" s="175">
        <v>0</v>
      </c>
      <c r="K159" s="175">
        <v>0</v>
      </c>
      <c r="L159" s="175">
        <v>0</v>
      </c>
      <c r="M159" s="175">
        <v>0</v>
      </c>
      <c r="N159" s="175">
        <v>0</v>
      </c>
      <c r="O159" s="175">
        <v>0</v>
      </c>
      <c r="P159" s="175">
        <v>0</v>
      </c>
      <c r="Q159" s="175">
        <v>0</v>
      </c>
      <c r="R159" s="175">
        <v>0</v>
      </c>
      <c r="S159" s="175">
        <v>0</v>
      </c>
      <c r="U159" s="175">
        <f t="shared" si="13"/>
        <v>-391.54153846153844</v>
      </c>
    </row>
    <row r="160" spans="1:21">
      <c r="A160" s="183" t="str">
        <f t="shared" si="11"/>
        <v>418</v>
      </c>
      <c r="B160" s="183" t="str">
        <f t="shared" si="12"/>
        <v>418.1</v>
      </c>
      <c r="C160" s="184" t="s">
        <v>1184</v>
      </c>
      <c r="D160" t="s">
        <v>1185</v>
      </c>
      <c r="G160" s="175">
        <v>0</v>
      </c>
      <c r="H160" s="175">
        <v>0</v>
      </c>
      <c r="I160" s="175">
        <v>0</v>
      </c>
      <c r="J160" s="175">
        <v>0</v>
      </c>
      <c r="K160" s="175">
        <v>0</v>
      </c>
      <c r="L160" s="175">
        <v>0</v>
      </c>
      <c r="M160" s="175">
        <v>0</v>
      </c>
      <c r="N160" s="175">
        <v>0</v>
      </c>
      <c r="O160" s="175">
        <v>0</v>
      </c>
      <c r="P160" s="175">
        <v>0</v>
      </c>
      <c r="Q160" s="175">
        <v>0</v>
      </c>
      <c r="R160" s="175">
        <v>0</v>
      </c>
      <c r="S160" s="175">
        <v>0</v>
      </c>
      <c r="U160" s="175">
        <f t="shared" si="13"/>
        <v>0</v>
      </c>
    </row>
    <row r="161" spans="1:21">
      <c r="A161" s="183" t="str">
        <f t="shared" si="11"/>
        <v>419</v>
      </c>
      <c r="B161" s="183" t="str">
        <f t="shared" si="12"/>
        <v>419.0</v>
      </c>
      <c r="C161" s="184" t="s">
        <v>1186</v>
      </c>
      <c r="D161" t="s">
        <v>1187</v>
      </c>
      <c r="G161" s="175">
        <v>3137285.87</v>
      </c>
      <c r="H161" s="175">
        <v>557146.61333329999</v>
      </c>
      <c r="I161" s="175">
        <v>557146.61333329999</v>
      </c>
      <c r="J161" s="175">
        <v>557146.61333329999</v>
      </c>
      <c r="K161" s="175">
        <v>547896.61333329999</v>
      </c>
      <c r="L161" s="175">
        <v>547896.61333329999</v>
      </c>
      <c r="M161" s="175">
        <v>547896.61333329999</v>
      </c>
      <c r="N161" s="175">
        <v>535563.28</v>
      </c>
      <c r="O161" s="175">
        <v>535563.28</v>
      </c>
      <c r="P161" s="175">
        <v>396813.28</v>
      </c>
      <c r="Q161" s="175">
        <v>396813.28</v>
      </c>
      <c r="R161" s="175">
        <v>396813.28</v>
      </c>
      <c r="S161" s="175">
        <v>396813.29</v>
      </c>
      <c r="U161" s="175">
        <f t="shared" si="13"/>
        <v>700830.40307690762</v>
      </c>
    </row>
    <row r="162" spans="1:21">
      <c r="A162" s="183" t="str">
        <f t="shared" si="11"/>
        <v>419</v>
      </c>
      <c r="B162" s="183" t="str">
        <f t="shared" si="12"/>
        <v>419.1</v>
      </c>
      <c r="C162" s="184" t="s">
        <v>1188</v>
      </c>
      <c r="D162" t="s">
        <v>1189</v>
      </c>
      <c r="G162" s="175">
        <v>1859640.88</v>
      </c>
      <c r="H162" s="175">
        <v>1609893.14</v>
      </c>
      <c r="I162" s="175">
        <v>1738674.37</v>
      </c>
      <c r="J162" s="175">
        <v>1894619.87</v>
      </c>
      <c r="K162" s="175">
        <v>2081678.34</v>
      </c>
      <c r="L162" s="175">
        <v>2221183.56</v>
      </c>
      <c r="M162" s="175">
        <v>2434833.04</v>
      </c>
      <c r="N162" s="175">
        <v>2711773</v>
      </c>
      <c r="O162" s="175">
        <v>2924424.62</v>
      </c>
      <c r="P162" s="175">
        <v>3084407.46</v>
      </c>
      <c r="Q162" s="175">
        <v>3249700.59</v>
      </c>
      <c r="R162" s="175">
        <v>3467010.01</v>
      </c>
      <c r="S162" s="175">
        <v>3342061.76</v>
      </c>
      <c r="U162" s="175">
        <f t="shared" si="13"/>
        <v>2509223.1261538463</v>
      </c>
    </row>
    <row r="163" spans="1:21">
      <c r="A163" s="183" t="str">
        <f t="shared" si="11"/>
        <v>420</v>
      </c>
      <c r="B163" s="183" t="str">
        <f t="shared" si="12"/>
        <v>420.0</v>
      </c>
      <c r="C163" s="184" t="s">
        <v>1190</v>
      </c>
      <c r="D163" t="s">
        <v>1191</v>
      </c>
      <c r="G163" s="175">
        <v>0</v>
      </c>
      <c r="H163" s="175">
        <v>0</v>
      </c>
      <c r="I163" s="175">
        <v>0</v>
      </c>
      <c r="J163" s="175">
        <v>0</v>
      </c>
      <c r="K163" s="175">
        <v>0</v>
      </c>
      <c r="L163" s="175">
        <v>0</v>
      </c>
      <c r="M163" s="175">
        <v>0</v>
      </c>
      <c r="N163" s="175">
        <v>0</v>
      </c>
      <c r="O163" s="175">
        <v>0</v>
      </c>
      <c r="P163" s="175">
        <v>0</v>
      </c>
      <c r="Q163" s="175">
        <v>0</v>
      </c>
      <c r="R163" s="175">
        <v>0</v>
      </c>
      <c r="S163" s="175">
        <v>0</v>
      </c>
      <c r="U163" s="175">
        <f t="shared" si="13"/>
        <v>0</v>
      </c>
    </row>
    <row r="164" spans="1:21">
      <c r="A164" s="183" t="str">
        <f t="shared" si="11"/>
        <v>421</v>
      </c>
      <c r="B164" s="183" t="str">
        <f t="shared" si="12"/>
        <v>421.0</v>
      </c>
      <c r="C164" s="184" t="s">
        <v>1192</v>
      </c>
      <c r="D164" t="s">
        <v>1193</v>
      </c>
      <c r="G164" s="175">
        <v>480441</v>
      </c>
      <c r="H164" s="175">
        <v>397583</v>
      </c>
      <c r="I164" s="175">
        <v>365737</v>
      </c>
      <c r="J164" s="175">
        <v>340309</v>
      </c>
      <c r="K164" s="175">
        <v>296971</v>
      </c>
      <c r="L164" s="175">
        <v>249287</v>
      </c>
      <c r="M164" s="175">
        <v>200690</v>
      </c>
      <c r="N164" s="175">
        <v>131189</v>
      </c>
      <c r="O164" s="175">
        <v>70970</v>
      </c>
      <c r="P164" s="175">
        <v>20121</v>
      </c>
      <c r="Q164" s="175">
        <v>15676</v>
      </c>
      <c r="R164" s="175">
        <v>11942</v>
      </c>
      <c r="S164" s="175">
        <v>9051</v>
      </c>
      <c r="U164" s="175">
        <f t="shared" si="13"/>
        <v>199228.23076923078</v>
      </c>
    </row>
    <row r="165" spans="1:21">
      <c r="A165" s="183" t="str">
        <f t="shared" si="11"/>
        <v>421</v>
      </c>
      <c r="B165" s="183" t="str">
        <f t="shared" si="12"/>
        <v>421.1</v>
      </c>
      <c r="C165" s="184" t="s">
        <v>1194</v>
      </c>
      <c r="D165" t="s">
        <v>1195</v>
      </c>
      <c r="G165" s="175">
        <v>612.9</v>
      </c>
      <c r="H165" s="175">
        <v>585.72</v>
      </c>
      <c r="I165" s="175">
        <v>585.72</v>
      </c>
      <c r="J165" s="175">
        <v>2000295.86</v>
      </c>
      <c r="K165" s="175">
        <v>295.86</v>
      </c>
      <c r="L165" s="175">
        <v>295.86</v>
      </c>
      <c r="M165" s="175">
        <v>295.86</v>
      </c>
      <c r="N165" s="175">
        <v>295.86</v>
      </c>
      <c r="O165" s="175">
        <v>295.86</v>
      </c>
      <c r="P165" s="175">
        <v>0</v>
      </c>
      <c r="Q165" s="175">
        <v>0</v>
      </c>
      <c r="R165" s="175">
        <v>0</v>
      </c>
      <c r="S165" s="175">
        <v>0</v>
      </c>
      <c r="U165" s="175">
        <f t="shared" si="13"/>
        <v>154119.96153846159</v>
      </c>
    </row>
    <row r="166" spans="1:21">
      <c r="A166" s="183" t="str">
        <f t="shared" si="11"/>
        <v>421</v>
      </c>
      <c r="B166" s="183" t="str">
        <f t="shared" si="12"/>
        <v>421.2</v>
      </c>
      <c r="C166" s="184" t="s">
        <v>1196</v>
      </c>
      <c r="D166" t="s">
        <v>1197</v>
      </c>
      <c r="G166" s="175">
        <v>0</v>
      </c>
      <c r="H166" s="175">
        <v>0</v>
      </c>
      <c r="I166" s="175">
        <v>0</v>
      </c>
      <c r="J166" s="175">
        <v>0</v>
      </c>
      <c r="K166" s="175">
        <v>0</v>
      </c>
      <c r="L166" s="175">
        <v>0</v>
      </c>
      <c r="M166" s="175">
        <v>0</v>
      </c>
      <c r="N166" s="175">
        <v>0</v>
      </c>
      <c r="O166" s="175">
        <v>0</v>
      </c>
      <c r="P166" s="175">
        <v>0</v>
      </c>
      <c r="Q166" s="175">
        <v>0</v>
      </c>
      <c r="R166" s="175">
        <v>0</v>
      </c>
      <c r="S166" s="175">
        <v>0</v>
      </c>
      <c r="U166" s="175">
        <f t="shared" si="13"/>
        <v>0</v>
      </c>
    </row>
    <row r="167" spans="1:21">
      <c r="A167" s="183" t="str">
        <f t="shared" si="11"/>
        <v>425</v>
      </c>
      <c r="B167" s="183" t="str">
        <f t="shared" si="12"/>
        <v>425.0</v>
      </c>
      <c r="C167" s="184" t="s">
        <v>1198</v>
      </c>
      <c r="D167" t="s">
        <v>1199</v>
      </c>
      <c r="G167" s="175">
        <v>4246.63</v>
      </c>
      <c r="H167" s="175">
        <v>4246.62</v>
      </c>
      <c r="I167" s="175">
        <v>4246.62</v>
      </c>
      <c r="J167" s="175">
        <v>4246.62</v>
      </c>
      <c r="K167" s="175">
        <v>4246.62</v>
      </c>
      <c r="L167" s="175">
        <v>4246.62</v>
      </c>
      <c r="M167" s="175">
        <v>4246.62</v>
      </c>
      <c r="N167" s="175">
        <v>4246.62</v>
      </c>
      <c r="O167" s="175">
        <v>4246.62</v>
      </c>
      <c r="P167" s="175">
        <v>4246.62</v>
      </c>
      <c r="Q167" s="175">
        <v>4246.62</v>
      </c>
      <c r="R167" s="175">
        <v>4246.62</v>
      </c>
      <c r="S167" s="175">
        <v>4246.62</v>
      </c>
      <c r="U167" s="175">
        <f t="shared" si="13"/>
        <v>4246.6207692307698</v>
      </c>
    </row>
    <row r="168" spans="1:21">
      <c r="A168" s="183" t="str">
        <f t="shared" si="11"/>
        <v>426</v>
      </c>
      <c r="B168" s="183" t="str">
        <f t="shared" si="12"/>
        <v>426.1</v>
      </c>
      <c r="C168" s="184" t="s">
        <v>1200</v>
      </c>
      <c r="D168" t="s">
        <v>1201</v>
      </c>
      <c r="G168" s="175">
        <v>198605.15</v>
      </c>
      <c r="H168" s="175">
        <v>421083</v>
      </c>
      <c r="I168" s="175">
        <v>219333</v>
      </c>
      <c r="J168" s="175">
        <v>415417</v>
      </c>
      <c r="K168" s="175">
        <v>293933</v>
      </c>
      <c r="L168" s="175">
        <v>203583</v>
      </c>
      <c r="M168" s="175">
        <v>474183</v>
      </c>
      <c r="N168" s="175">
        <v>186583</v>
      </c>
      <c r="O168" s="175">
        <v>599233</v>
      </c>
      <c r="P168" s="175">
        <v>172583</v>
      </c>
      <c r="Q168" s="175">
        <v>194783</v>
      </c>
      <c r="R168" s="175">
        <v>111733</v>
      </c>
      <c r="S168" s="175">
        <v>307583</v>
      </c>
      <c r="U168" s="175">
        <f t="shared" si="13"/>
        <v>292202.70384615386</v>
      </c>
    </row>
    <row r="169" spans="1:21">
      <c r="A169" s="183" t="str">
        <f t="shared" si="11"/>
        <v>426</v>
      </c>
      <c r="B169" s="183" t="str">
        <f t="shared" si="12"/>
        <v>426.2</v>
      </c>
      <c r="C169" s="184" t="s">
        <v>1202</v>
      </c>
      <c r="D169" t="s">
        <v>1203</v>
      </c>
      <c r="G169" s="175">
        <v>0</v>
      </c>
      <c r="H169" s="175">
        <v>0</v>
      </c>
      <c r="I169" s="175">
        <v>0</v>
      </c>
      <c r="J169" s="175">
        <v>0</v>
      </c>
      <c r="K169" s="175">
        <v>0</v>
      </c>
      <c r="L169" s="175">
        <v>0</v>
      </c>
      <c r="M169" s="175">
        <v>0</v>
      </c>
      <c r="N169" s="175">
        <v>0</v>
      </c>
      <c r="O169" s="175">
        <v>0</v>
      </c>
      <c r="P169" s="175">
        <v>0</v>
      </c>
      <c r="Q169" s="175">
        <v>0</v>
      </c>
      <c r="R169" s="175">
        <v>0</v>
      </c>
      <c r="S169" s="175">
        <v>0</v>
      </c>
      <c r="U169" s="175">
        <f t="shared" si="13"/>
        <v>0</v>
      </c>
    </row>
    <row r="170" spans="1:21">
      <c r="A170" s="183" t="str">
        <f t="shared" si="11"/>
        <v>426</v>
      </c>
      <c r="B170" s="183" t="str">
        <f t="shared" si="12"/>
        <v>426.3</v>
      </c>
      <c r="C170" s="184" t="s">
        <v>1204</v>
      </c>
      <c r="D170" t="s">
        <v>1205</v>
      </c>
      <c r="G170" s="175">
        <v>85683</v>
      </c>
      <c r="H170" s="175">
        <v>0</v>
      </c>
      <c r="I170" s="175">
        <v>75000</v>
      </c>
      <c r="J170" s="175">
        <v>0</v>
      </c>
      <c r="K170" s="175">
        <v>0</v>
      </c>
      <c r="L170" s="175">
        <v>0</v>
      </c>
      <c r="M170" s="175">
        <v>0</v>
      </c>
      <c r="N170" s="175">
        <v>0</v>
      </c>
      <c r="O170" s="175">
        <v>0</v>
      </c>
      <c r="P170" s="175">
        <v>0</v>
      </c>
      <c r="Q170" s="175">
        <v>0</v>
      </c>
      <c r="R170" s="175">
        <v>0</v>
      </c>
      <c r="S170" s="175">
        <v>0</v>
      </c>
      <c r="U170" s="175">
        <f t="shared" si="13"/>
        <v>12360.23076923077</v>
      </c>
    </row>
    <row r="171" spans="1:21">
      <c r="A171" s="183" t="str">
        <f t="shared" si="11"/>
        <v>426</v>
      </c>
      <c r="B171" s="183" t="str">
        <f t="shared" si="12"/>
        <v>426.4</v>
      </c>
      <c r="C171" s="184" t="s">
        <v>1206</v>
      </c>
      <c r="D171" t="s">
        <v>1207</v>
      </c>
      <c r="G171" s="175">
        <v>79868.55</v>
      </c>
      <c r="H171" s="175">
        <v>123485</v>
      </c>
      <c r="I171" s="175">
        <v>100</v>
      </c>
      <c r="J171" s="175">
        <v>500</v>
      </c>
      <c r="K171" s="175">
        <v>0</v>
      </c>
      <c r="L171" s="175">
        <v>100</v>
      </c>
      <c r="M171" s="175">
        <v>0</v>
      </c>
      <c r="N171" s="175">
        <v>100</v>
      </c>
      <c r="O171" s="175">
        <v>0</v>
      </c>
      <c r="P171" s="175">
        <v>100</v>
      </c>
      <c r="Q171" s="175">
        <v>0</v>
      </c>
      <c r="R171" s="175">
        <v>100</v>
      </c>
      <c r="S171" s="175">
        <v>0</v>
      </c>
      <c r="U171" s="175">
        <f t="shared" si="13"/>
        <v>15719.503846153846</v>
      </c>
    </row>
    <row r="172" spans="1:21">
      <c r="A172" s="183" t="str">
        <f t="shared" si="11"/>
        <v>426</v>
      </c>
      <c r="B172" s="183" t="str">
        <f t="shared" si="12"/>
        <v>426.5</v>
      </c>
      <c r="C172" s="184" t="s">
        <v>1208</v>
      </c>
      <c r="D172" t="s">
        <v>1209</v>
      </c>
      <c r="G172" s="175">
        <v>75119.13</v>
      </c>
      <c r="H172" s="175">
        <v>-6537.2643337999998</v>
      </c>
      <c r="I172" s="175">
        <v>-6685.5021333000004</v>
      </c>
      <c r="J172" s="175">
        <v>-6500.1868992999998</v>
      </c>
      <c r="K172" s="175">
        <v>-6417.2434706000004</v>
      </c>
      <c r="L172" s="175">
        <v>-6537.2643337999998</v>
      </c>
      <c r="M172" s="175">
        <v>-6759.6211952000003</v>
      </c>
      <c r="N172" s="175">
        <v>-6537.2643337999998</v>
      </c>
      <c r="O172" s="175">
        <v>-6611.3832339999999</v>
      </c>
      <c r="P172" s="175">
        <v>-6685.5021333000004</v>
      </c>
      <c r="Q172" s="175">
        <v>-6334.3000407999998</v>
      </c>
      <c r="R172" s="175">
        <v>-6500.1868992999998</v>
      </c>
      <c r="S172" s="175">
        <v>-6417.2434706000004</v>
      </c>
      <c r="U172" s="175">
        <f t="shared" si="13"/>
        <v>-261.83326752307732</v>
      </c>
    </row>
    <row r="173" spans="1:21">
      <c r="A173" s="183" t="str">
        <f t="shared" si="11"/>
        <v>427</v>
      </c>
      <c r="B173" s="183" t="str">
        <f t="shared" si="12"/>
        <v>427.0</v>
      </c>
      <c r="C173" s="184" t="s">
        <v>1210</v>
      </c>
      <c r="D173" t="s">
        <v>1211</v>
      </c>
      <c r="G173" s="175">
        <v>13353125</v>
      </c>
      <c r="H173" s="175">
        <v>13489236</v>
      </c>
      <c r="I173" s="175">
        <v>15394791.6666667</v>
      </c>
      <c r="J173" s="175">
        <v>15394791.6666667</v>
      </c>
      <c r="K173" s="175">
        <v>15394791.6666667</v>
      </c>
      <c r="L173" s="175">
        <v>15394791.6666667</v>
      </c>
      <c r="M173" s="175">
        <v>15394791.6666667</v>
      </c>
      <c r="N173" s="175">
        <v>14813541.6666667</v>
      </c>
      <c r="O173" s="175">
        <v>14426041.6666667</v>
      </c>
      <c r="P173" s="175">
        <v>14426041.6666667</v>
      </c>
      <c r="Q173" s="175">
        <v>14426041.6666667</v>
      </c>
      <c r="R173" s="175">
        <v>14426041.6666667</v>
      </c>
      <c r="S173" s="175">
        <v>14426041.6666667</v>
      </c>
      <c r="U173" s="175">
        <f t="shared" si="13"/>
        <v>14673851.487179514</v>
      </c>
    </row>
    <row r="174" spans="1:21">
      <c r="A174" s="183" t="str">
        <f t="shared" si="11"/>
        <v>428</v>
      </c>
      <c r="B174" s="183" t="str">
        <f t="shared" si="12"/>
        <v>428.0</v>
      </c>
      <c r="C174" s="184" t="s">
        <v>1212</v>
      </c>
      <c r="D174" t="s">
        <v>1213</v>
      </c>
      <c r="G174" s="175">
        <v>249680.13</v>
      </c>
      <c r="H174" s="175">
        <v>249680.13</v>
      </c>
      <c r="I174" s="175">
        <v>333013.46000000002</v>
      </c>
      <c r="J174" s="175">
        <v>333013.46000000002</v>
      </c>
      <c r="K174" s="175">
        <v>333013.46000000002</v>
      </c>
      <c r="L174" s="175">
        <v>333013.46000000002</v>
      </c>
      <c r="M174" s="175">
        <v>333013.46000000002</v>
      </c>
      <c r="N174" s="175">
        <v>328247.71000000002</v>
      </c>
      <c r="O174" s="175">
        <v>264967.75</v>
      </c>
      <c r="P174" s="175">
        <v>264967.75</v>
      </c>
      <c r="Q174" s="175">
        <v>264967.75</v>
      </c>
      <c r="R174" s="175">
        <v>264967.75</v>
      </c>
      <c r="S174" s="175">
        <v>264967.75</v>
      </c>
      <c r="U174" s="175">
        <f t="shared" si="13"/>
        <v>293654.9246153846</v>
      </c>
    </row>
    <row r="175" spans="1:21">
      <c r="A175" s="183" t="str">
        <f t="shared" si="11"/>
        <v>428</v>
      </c>
      <c r="B175" s="183" t="str">
        <f t="shared" si="12"/>
        <v>428.1</v>
      </c>
      <c r="C175" s="184" t="s">
        <v>1214</v>
      </c>
      <c r="D175" t="s">
        <v>1215</v>
      </c>
      <c r="G175" s="175">
        <v>31846.57</v>
      </c>
      <c r="H175" s="175">
        <v>31846.57</v>
      </c>
      <c r="I175" s="175">
        <v>31846.57</v>
      </c>
      <c r="J175" s="175">
        <v>31846.57</v>
      </c>
      <c r="K175" s="175">
        <v>31846.57</v>
      </c>
      <c r="L175" s="175">
        <v>31846.57</v>
      </c>
      <c r="M175" s="175">
        <v>31846.57</v>
      </c>
      <c r="N175" s="175">
        <v>31846.57</v>
      </c>
      <c r="O175" s="175">
        <v>31846.57</v>
      </c>
      <c r="P175" s="175">
        <v>31846.57</v>
      </c>
      <c r="Q175" s="175">
        <v>31846.57</v>
      </c>
      <c r="R175" s="175">
        <v>31846.57</v>
      </c>
      <c r="S175" s="175">
        <v>31846.57</v>
      </c>
      <c r="U175" s="175">
        <f t="shared" si="13"/>
        <v>31846.570000000003</v>
      </c>
    </row>
    <row r="176" spans="1:21">
      <c r="A176" s="183" t="str">
        <f t="shared" si="11"/>
        <v>429</v>
      </c>
      <c r="B176" s="183" t="str">
        <f t="shared" si="12"/>
        <v>429.0</v>
      </c>
      <c r="C176" s="184" t="s">
        <v>1216</v>
      </c>
      <c r="D176" t="s">
        <v>1217</v>
      </c>
      <c r="G176" s="175">
        <v>0</v>
      </c>
      <c r="H176" s="175">
        <v>0</v>
      </c>
      <c r="I176" s="175">
        <v>0</v>
      </c>
      <c r="J176" s="175">
        <v>0</v>
      </c>
      <c r="K176" s="175">
        <v>0</v>
      </c>
      <c r="L176" s="175">
        <v>0</v>
      </c>
      <c r="M176" s="175">
        <v>0</v>
      </c>
      <c r="N176" s="175">
        <v>0</v>
      </c>
      <c r="O176" s="175">
        <v>0</v>
      </c>
      <c r="P176" s="175">
        <v>0</v>
      </c>
      <c r="Q176" s="175">
        <v>0</v>
      </c>
      <c r="R176" s="175">
        <v>0</v>
      </c>
      <c r="S176" s="175">
        <v>0</v>
      </c>
      <c r="U176" s="175">
        <f t="shared" si="13"/>
        <v>0</v>
      </c>
    </row>
    <row r="177" spans="1:21">
      <c r="A177" s="183" t="str">
        <f t="shared" si="11"/>
        <v>429</v>
      </c>
      <c r="B177" s="183" t="str">
        <f t="shared" si="12"/>
        <v>429.1</v>
      </c>
      <c r="C177" s="184" t="s">
        <v>1218</v>
      </c>
      <c r="D177" t="s">
        <v>1219</v>
      </c>
      <c r="G177" s="175">
        <v>0</v>
      </c>
      <c r="H177" s="175">
        <v>0</v>
      </c>
      <c r="I177" s="175">
        <v>0</v>
      </c>
      <c r="J177" s="175">
        <v>0</v>
      </c>
      <c r="K177" s="175">
        <v>0</v>
      </c>
      <c r="L177" s="175">
        <v>0</v>
      </c>
      <c r="M177" s="175">
        <v>0</v>
      </c>
      <c r="N177" s="175">
        <v>0</v>
      </c>
      <c r="O177" s="175">
        <v>0</v>
      </c>
      <c r="P177" s="175">
        <v>0</v>
      </c>
      <c r="Q177" s="175">
        <v>0</v>
      </c>
      <c r="R177" s="175">
        <v>0</v>
      </c>
      <c r="S177" s="175">
        <v>0</v>
      </c>
      <c r="U177" s="175">
        <f t="shared" si="13"/>
        <v>0</v>
      </c>
    </row>
    <row r="178" spans="1:21">
      <c r="A178" s="183" t="str">
        <f t="shared" si="11"/>
        <v>430</v>
      </c>
      <c r="B178" s="183" t="str">
        <f t="shared" si="12"/>
        <v>430.0</v>
      </c>
      <c r="C178" s="184" t="s">
        <v>1220</v>
      </c>
      <c r="D178" t="s">
        <v>1221</v>
      </c>
      <c r="G178" s="175">
        <v>0</v>
      </c>
      <c r="H178" s="175">
        <v>0</v>
      </c>
      <c r="I178" s="175">
        <v>0</v>
      </c>
      <c r="J178" s="175">
        <v>0</v>
      </c>
      <c r="K178" s="175">
        <v>0</v>
      </c>
      <c r="L178" s="175">
        <v>0</v>
      </c>
      <c r="M178" s="175">
        <v>0</v>
      </c>
      <c r="N178" s="175">
        <v>0</v>
      </c>
      <c r="O178" s="175">
        <v>0</v>
      </c>
      <c r="P178" s="175">
        <v>0</v>
      </c>
      <c r="Q178" s="175">
        <v>0</v>
      </c>
      <c r="R178" s="175">
        <v>0</v>
      </c>
      <c r="S178" s="175">
        <v>0</v>
      </c>
      <c r="U178" s="175">
        <f t="shared" si="13"/>
        <v>0</v>
      </c>
    </row>
    <row r="179" spans="1:21">
      <c r="A179" s="183" t="str">
        <f t="shared" si="11"/>
        <v>431</v>
      </c>
      <c r="B179" s="183" t="str">
        <f t="shared" si="12"/>
        <v>431.0</v>
      </c>
      <c r="C179" s="184" t="s">
        <v>1222</v>
      </c>
      <c r="D179" t="s">
        <v>1223</v>
      </c>
      <c r="G179" s="175">
        <v>6246011.1699999999</v>
      </c>
      <c r="H179" s="175">
        <v>3596424.6677277</v>
      </c>
      <c r="I179" s="175">
        <v>1057691.9778736001</v>
      </c>
      <c r="J179" s="175">
        <v>821121.10139540001</v>
      </c>
      <c r="K179" s="175">
        <v>770678.30178760004</v>
      </c>
      <c r="L179" s="175">
        <v>628085.3349136</v>
      </c>
      <c r="M179" s="175">
        <v>587386.93840079999</v>
      </c>
      <c r="N179" s="175">
        <v>1219080.9940428</v>
      </c>
      <c r="O179" s="175">
        <v>1871903.1633786</v>
      </c>
      <c r="P179" s="175">
        <v>2028971.8149369999</v>
      </c>
      <c r="Q179" s="175">
        <v>1830752.2855668999</v>
      </c>
      <c r="R179" s="175">
        <v>2201805.5460335999</v>
      </c>
      <c r="S179" s="175">
        <v>2725922.5533253001</v>
      </c>
      <c r="U179" s="175">
        <f t="shared" si="13"/>
        <v>1968141.2191832997</v>
      </c>
    </row>
    <row r="180" spans="1:21">
      <c r="A180" s="183" t="str">
        <f t="shared" si="11"/>
        <v>432</v>
      </c>
      <c r="B180" s="183" t="str">
        <f t="shared" si="12"/>
        <v>432.0</v>
      </c>
      <c r="C180" s="184" t="s">
        <v>1224</v>
      </c>
      <c r="D180" t="s">
        <v>1225</v>
      </c>
      <c r="G180" s="175">
        <v>-606023.59</v>
      </c>
      <c r="H180" s="175">
        <v>-524635.29</v>
      </c>
      <c r="I180" s="175">
        <v>-566602.79</v>
      </c>
      <c r="J180" s="175">
        <v>-617422.6</v>
      </c>
      <c r="K180" s="175">
        <v>-678381.57</v>
      </c>
      <c r="L180" s="175">
        <v>-723843.8</v>
      </c>
      <c r="M180" s="175">
        <v>-793468.36</v>
      </c>
      <c r="N180" s="175">
        <v>-883718.11</v>
      </c>
      <c r="O180" s="175">
        <v>-953017.46</v>
      </c>
      <c r="P180" s="175">
        <v>-1005152.94</v>
      </c>
      <c r="Q180" s="175">
        <v>-1059018.99</v>
      </c>
      <c r="R180" s="175">
        <v>-1129836.23</v>
      </c>
      <c r="S180" s="175">
        <v>-1089117.94</v>
      </c>
      <c r="U180" s="175">
        <f t="shared" si="13"/>
        <v>-817710.74384615384</v>
      </c>
    </row>
    <row r="181" spans="1:21">
      <c r="A181" s="183" t="str">
        <f t="shared" si="11"/>
        <v>433</v>
      </c>
      <c r="B181" s="183" t="str">
        <f t="shared" si="12"/>
        <v>433.0</v>
      </c>
      <c r="C181" s="184" t="s">
        <v>1226</v>
      </c>
      <c r="D181" t="s">
        <v>1227</v>
      </c>
      <c r="G181" s="175">
        <v>-21205891.399999999</v>
      </c>
      <c r="H181" s="175">
        <v>0</v>
      </c>
      <c r="I181" s="175">
        <v>0</v>
      </c>
      <c r="J181" s="175">
        <v>0</v>
      </c>
      <c r="K181" s="175">
        <v>0</v>
      </c>
      <c r="L181" s="175">
        <v>0</v>
      </c>
      <c r="M181" s="175">
        <v>0</v>
      </c>
      <c r="N181" s="175">
        <v>0</v>
      </c>
      <c r="O181" s="175">
        <v>0</v>
      </c>
      <c r="P181" s="175">
        <v>0</v>
      </c>
      <c r="Q181" s="175">
        <v>0</v>
      </c>
      <c r="R181" s="175">
        <v>0</v>
      </c>
      <c r="S181" s="175">
        <v>0</v>
      </c>
      <c r="U181" s="175">
        <f t="shared" si="13"/>
        <v>-1631222.4153846153</v>
      </c>
    </row>
    <row r="182" spans="1:21">
      <c r="A182" s="183" t="str">
        <f t="shared" si="11"/>
        <v>434</v>
      </c>
      <c r="B182" s="183" t="str">
        <f t="shared" si="12"/>
        <v>434.0</v>
      </c>
      <c r="C182" s="184" t="s">
        <v>1228</v>
      </c>
      <c r="D182" t="s">
        <v>1229</v>
      </c>
      <c r="G182" s="175">
        <v>0</v>
      </c>
      <c r="H182" s="175">
        <v>0</v>
      </c>
      <c r="I182" s="175">
        <v>0</v>
      </c>
      <c r="J182" s="175">
        <v>0</v>
      </c>
      <c r="K182" s="175">
        <v>0</v>
      </c>
      <c r="L182" s="175">
        <v>0</v>
      </c>
      <c r="M182" s="175">
        <v>0</v>
      </c>
      <c r="N182" s="175">
        <v>0</v>
      </c>
      <c r="O182" s="175">
        <v>0</v>
      </c>
      <c r="P182" s="175">
        <v>0</v>
      </c>
      <c r="Q182" s="175">
        <v>0</v>
      </c>
      <c r="R182" s="175">
        <v>0</v>
      </c>
      <c r="S182" s="175">
        <v>0</v>
      </c>
      <c r="U182" s="175">
        <f t="shared" si="13"/>
        <v>0</v>
      </c>
    </row>
    <row r="183" spans="1:21">
      <c r="A183" s="183" t="str">
        <f t="shared" si="11"/>
        <v>435</v>
      </c>
      <c r="B183" s="183" t="str">
        <f t="shared" si="12"/>
        <v>435.0</v>
      </c>
      <c r="C183" s="184" t="s">
        <v>1230</v>
      </c>
      <c r="D183" t="s">
        <v>1231</v>
      </c>
      <c r="G183" s="175">
        <v>0</v>
      </c>
      <c r="H183" s="175">
        <v>0</v>
      </c>
      <c r="I183" s="175">
        <v>0</v>
      </c>
      <c r="J183" s="175">
        <v>0</v>
      </c>
      <c r="K183" s="175">
        <v>0</v>
      </c>
      <c r="L183" s="175">
        <v>0</v>
      </c>
      <c r="M183" s="175">
        <v>0</v>
      </c>
      <c r="N183" s="175">
        <v>0</v>
      </c>
      <c r="O183" s="175">
        <v>0</v>
      </c>
      <c r="P183" s="175">
        <v>0</v>
      </c>
      <c r="Q183" s="175">
        <v>0</v>
      </c>
      <c r="R183" s="175">
        <v>0</v>
      </c>
      <c r="S183" s="175">
        <v>0</v>
      </c>
      <c r="U183" s="175">
        <f t="shared" si="13"/>
        <v>0</v>
      </c>
    </row>
    <row r="184" spans="1:21">
      <c r="A184" s="183" t="str">
        <f t="shared" si="11"/>
        <v>438</v>
      </c>
      <c r="B184" s="183" t="str">
        <f t="shared" si="12"/>
        <v>438.0</v>
      </c>
      <c r="C184" s="184" t="s">
        <v>1232</v>
      </c>
      <c r="D184" t="s">
        <v>1233</v>
      </c>
      <c r="G184" s="175">
        <v>0</v>
      </c>
      <c r="H184" s="175">
        <v>0</v>
      </c>
      <c r="I184" s="175">
        <v>0</v>
      </c>
      <c r="J184" s="175">
        <v>0</v>
      </c>
      <c r="K184" s="175">
        <v>0</v>
      </c>
      <c r="L184" s="175">
        <v>0</v>
      </c>
      <c r="M184" s="175">
        <v>0</v>
      </c>
      <c r="N184" s="175">
        <v>0</v>
      </c>
      <c r="O184" s="175">
        <v>0</v>
      </c>
      <c r="P184" s="175">
        <v>0</v>
      </c>
      <c r="Q184" s="175">
        <v>0</v>
      </c>
      <c r="R184" s="175">
        <v>0</v>
      </c>
      <c r="S184" s="175">
        <v>0</v>
      </c>
      <c r="U184" s="175">
        <f t="shared" si="13"/>
        <v>0</v>
      </c>
    </row>
    <row r="185" spans="1:21">
      <c r="A185" s="183" t="str">
        <f t="shared" si="11"/>
        <v>440</v>
      </c>
      <c r="B185" s="183" t="str">
        <f t="shared" si="12"/>
        <v>440.0</v>
      </c>
      <c r="C185" s="184" t="s">
        <v>1234</v>
      </c>
      <c r="D185" t="s">
        <v>1235</v>
      </c>
      <c r="G185" s="175">
        <v>115903382.06</v>
      </c>
      <c r="H185" s="175">
        <v>117868453.55</v>
      </c>
      <c r="I185" s="175">
        <v>107138424.37</v>
      </c>
      <c r="J185" s="175">
        <v>100468879.8</v>
      </c>
      <c r="K185" s="175">
        <v>106319235.92</v>
      </c>
      <c r="L185" s="175">
        <v>122584291.95</v>
      </c>
      <c r="M185" s="175">
        <v>149255897.08000001</v>
      </c>
      <c r="N185" s="175">
        <v>159496007.18000001</v>
      </c>
      <c r="O185" s="175">
        <v>157707322.81999999</v>
      </c>
      <c r="P185" s="175">
        <v>163207619.46000001</v>
      </c>
      <c r="Q185" s="175">
        <v>140386936.62</v>
      </c>
      <c r="R185" s="175">
        <v>113814653.48999999</v>
      </c>
      <c r="S185" s="175">
        <v>107607766.91</v>
      </c>
      <c r="U185" s="175">
        <f t="shared" si="13"/>
        <v>127827605.47769231</v>
      </c>
    </row>
    <row r="186" spans="1:21">
      <c r="A186" s="183" t="str">
        <f t="shared" si="11"/>
        <v>442</v>
      </c>
      <c r="B186" s="183" t="str">
        <f t="shared" si="12"/>
        <v>442.0</v>
      </c>
      <c r="C186" s="184" t="s">
        <v>1236</v>
      </c>
      <c r="D186" t="s">
        <v>1237</v>
      </c>
      <c r="G186" s="175">
        <v>77720365.129999995</v>
      </c>
      <c r="H186" s="175">
        <v>66709989.960000001</v>
      </c>
      <c r="I186" s="175">
        <v>63825980.75</v>
      </c>
      <c r="J186" s="175">
        <v>64708326.850000001</v>
      </c>
      <c r="K186" s="175">
        <v>67657671.620000005</v>
      </c>
      <c r="L186" s="175">
        <v>70759342.870000005</v>
      </c>
      <c r="M186" s="175">
        <v>75513297.659999996</v>
      </c>
      <c r="N186" s="175">
        <v>77950463.349999994</v>
      </c>
      <c r="O186" s="175">
        <v>77788095.590000004</v>
      </c>
      <c r="P186" s="175">
        <v>78372768.159999996</v>
      </c>
      <c r="Q186" s="175">
        <v>74620978.260000005</v>
      </c>
      <c r="R186" s="175">
        <v>69378444.5</v>
      </c>
      <c r="S186" s="175">
        <v>66586439.07</v>
      </c>
      <c r="U186" s="175">
        <f t="shared" si="13"/>
        <v>71660935.674615398</v>
      </c>
    </row>
    <row r="187" spans="1:21">
      <c r="A187" s="183" t="str">
        <f t="shared" si="11"/>
        <v>444</v>
      </c>
      <c r="B187" s="183" t="str">
        <f t="shared" si="12"/>
        <v>444.0</v>
      </c>
      <c r="C187" s="184" t="s">
        <v>1238</v>
      </c>
      <c r="D187" t="s">
        <v>1239</v>
      </c>
      <c r="G187" s="175">
        <v>3396576.35</v>
      </c>
      <c r="H187" s="175">
        <v>0</v>
      </c>
      <c r="I187" s="175">
        <v>0</v>
      </c>
      <c r="J187" s="175">
        <v>0</v>
      </c>
      <c r="K187" s="175">
        <v>0</v>
      </c>
      <c r="L187" s="175">
        <v>0</v>
      </c>
      <c r="M187" s="175">
        <v>0</v>
      </c>
      <c r="N187" s="175">
        <v>0</v>
      </c>
      <c r="O187" s="175">
        <v>0</v>
      </c>
      <c r="P187" s="175">
        <v>0</v>
      </c>
      <c r="Q187" s="175">
        <v>0</v>
      </c>
      <c r="R187" s="175">
        <v>0</v>
      </c>
      <c r="S187" s="175">
        <v>0</v>
      </c>
      <c r="U187" s="175">
        <f t="shared" si="13"/>
        <v>261275.10384615386</v>
      </c>
    </row>
    <row r="188" spans="1:21">
      <c r="A188" s="183" t="str">
        <f t="shared" si="11"/>
        <v>445</v>
      </c>
      <c r="B188" s="183" t="str">
        <f t="shared" si="12"/>
        <v>445.0</v>
      </c>
      <c r="C188" s="184" t="s">
        <v>1240</v>
      </c>
      <c r="D188" t="s">
        <v>1241</v>
      </c>
      <c r="G188" s="175">
        <v>16572843.359999999</v>
      </c>
      <c r="H188" s="175">
        <v>17403602.629999999</v>
      </c>
      <c r="I188" s="175">
        <v>17350479.25</v>
      </c>
      <c r="J188" s="175">
        <v>17367163.350000001</v>
      </c>
      <c r="K188" s="175">
        <v>17812781.170000002</v>
      </c>
      <c r="L188" s="175">
        <v>18619267.030000001</v>
      </c>
      <c r="M188" s="175">
        <v>19676974.52</v>
      </c>
      <c r="N188" s="175">
        <v>19849714.690000001</v>
      </c>
      <c r="O188" s="175">
        <v>20007604.960000001</v>
      </c>
      <c r="P188" s="175">
        <v>20258545.670000002</v>
      </c>
      <c r="Q188" s="175">
        <v>19738715.940000001</v>
      </c>
      <c r="R188" s="175">
        <v>18255155.879999999</v>
      </c>
      <c r="S188" s="175">
        <v>17593371.629999999</v>
      </c>
      <c r="U188" s="175">
        <f t="shared" si="13"/>
        <v>18500478.467692308</v>
      </c>
    </row>
    <row r="189" spans="1:21">
      <c r="A189" s="183" t="str">
        <f t="shared" si="11"/>
        <v>446</v>
      </c>
      <c r="B189" s="183" t="str">
        <f t="shared" si="12"/>
        <v>446.0</v>
      </c>
      <c r="C189" s="184" t="s">
        <v>1242</v>
      </c>
      <c r="D189" t="s">
        <v>1243</v>
      </c>
      <c r="G189" s="175">
        <v>0</v>
      </c>
      <c r="H189" s="175">
        <v>0</v>
      </c>
      <c r="I189" s="175">
        <v>0</v>
      </c>
      <c r="J189" s="175">
        <v>0</v>
      </c>
      <c r="K189" s="175">
        <v>0</v>
      </c>
      <c r="L189" s="175">
        <v>0</v>
      </c>
      <c r="M189" s="175">
        <v>0</v>
      </c>
      <c r="N189" s="175">
        <v>0</v>
      </c>
      <c r="O189" s="175">
        <v>0</v>
      </c>
      <c r="P189" s="175">
        <v>0</v>
      </c>
      <c r="Q189" s="175">
        <v>0</v>
      </c>
      <c r="R189" s="175">
        <v>0</v>
      </c>
      <c r="S189" s="175">
        <v>0</v>
      </c>
      <c r="U189" s="175">
        <f t="shared" si="13"/>
        <v>0</v>
      </c>
    </row>
    <row r="190" spans="1:21">
      <c r="A190" s="183" t="str">
        <f t="shared" si="11"/>
        <v>447</v>
      </c>
      <c r="B190" s="183" t="str">
        <f t="shared" si="12"/>
        <v>447.0</v>
      </c>
      <c r="C190" s="184" t="s">
        <v>1244</v>
      </c>
      <c r="D190" t="s">
        <v>1245</v>
      </c>
      <c r="G190" s="175">
        <v>801897.31</v>
      </c>
      <c r="H190" s="175">
        <v>181596</v>
      </c>
      <c r="I190" s="175">
        <v>192368.29999969999</v>
      </c>
      <c r="J190" s="175">
        <v>165290.6</v>
      </c>
      <c r="K190" s="175">
        <v>123808.8</v>
      </c>
      <c r="L190" s="175">
        <v>146305.39999969999</v>
      </c>
      <c r="M190" s="175">
        <v>119026.6</v>
      </c>
      <c r="N190" s="175">
        <v>131752</v>
      </c>
      <c r="O190" s="175">
        <v>135780.6</v>
      </c>
      <c r="P190" s="175">
        <v>171824.8</v>
      </c>
      <c r="Q190" s="175">
        <v>140586.0000003</v>
      </c>
      <c r="R190" s="175">
        <v>180073</v>
      </c>
      <c r="S190" s="175">
        <v>155627.9999996</v>
      </c>
      <c r="U190" s="175">
        <f t="shared" si="13"/>
        <v>203533.6469230231</v>
      </c>
    </row>
    <row r="191" spans="1:21">
      <c r="A191" s="183" t="str">
        <f t="shared" si="11"/>
        <v>448</v>
      </c>
      <c r="B191" s="183" t="str">
        <f t="shared" si="12"/>
        <v>448.0</v>
      </c>
      <c r="C191" s="184" t="s">
        <v>1246</v>
      </c>
      <c r="D191" t="s">
        <v>1247</v>
      </c>
      <c r="G191" s="175">
        <v>0</v>
      </c>
      <c r="H191" s="175">
        <v>0</v>
      </c>
      <c r="I191" s="175">
        <v>0</v>
      </c>
      <c r="J191" s="175">
        <v>0</v>
      </c>
      <c r="K191" s="175">
        <v>0</v>
      </c>
      <c r="L191" s="175">
        <v>0</v>
      </c>
      <c r="M191" s="175">
        <v>0</v>
      </c>
      <c r="N191" s="175">
        <v>0</v>
      </c>
      <c r="O191" s="175">
        <v>0</v>
      </c>
      <c r="P191" s="175">
        <v>0</v>
      </c>
      <c r="Q191" s="175">
        <v>0</v>
      </c>
      <c r="R191" s="175">
        <v>0</v>
      </c>
      <c r="S191" s="175">
        <v>0</v>
      </c>
      <c r="U191" s="175">
        <f t="shared" si="13"/>
        <v>0</v>
      </c>
    </row>
    <row r="192" spans="1:21">
      <c r="A192" s="183" t="str">
        <f t="shared" si="11"/>
        <v>449</v>
      </c>
      <c r="B192" s="183" t="str">
        <f t="shared" si="12"/>
        <v>449.1</v>
      </c>
      <c r="C192" s="184" t="s">
        <v>1248</v>
      </c>
      <c r="D192" t="s">
        <v>1249</v>
      </c>
      <c r="G192" s="175">
        <v>0</v>
      </c>
      <c r="H192" s="175">
        <v>0</v>
      </c>
      <c r="I192" s="175">
        <v>0</v>
      </c>
      <c r="J192" s="175">
        <v>0</v>
      </c>
      <c r="K192" s="175">
        <v>0</v>
      </c>
      <c r="L192" s="175">
        <v>0</v>
      </c>
      <c r="M192" s="175">
        <v>0</v>
      </c>
      <c r="N192" s="175">
        <v>0</v>
      </c>
      <c r="O192" s="175">
        <v>0</v>
      </c>
      <c r="P192" s="175">
        <v>0</v>
      </c>
      <c r="Q192" s="175">
        <v>0</v>
      </c>
      <c r="R192" s="175">
        <v>0</v>
      </c>
      <c r="S192" s="175">
        <v>0</v>
      </c>
      <c r="U192" s="175">
        <f t="shared" si="13"/>
        <v>0</v>
      </c>
    </row>
    <row r="193" spans="1:21">
      <c r="A193" s="183" t="str">
        <f t="shared" si="11"/>
        <v>450</v>
      </c>
      <c r="B193" s="183" t="str">
        <f t="shared" si="12"/>
        <v>450.0</v>
      </c>
      <c r="C193" s="184" t="s">
        <v>1250</v>
      </c>
      <c r="D193" t="s">
        <v>1251</v>
      </c>
      <c r="G193" s="175">
        <v>0</v>
      </c>
      <c r="H193" s="175">
        <v>0</v>
      </c>
      <c r="I193" s="175">
        <v>0</v>
      </c>
      <c r="J193" s="175">
        <v>0</v>
      </c>
      <c r="K193" s="175">
        <v>0</v>
      </c>
      <c r="L193" s="175">
        <v>0</v>
      </c>
      <c r="M193" s="175">
        <v>0</v>
      </c>
      <c r="N193" s="175">
        <v>0</v>
      </c>
      <c r="O193" s="175">
        <v>0</v>
      </c>
      <c r="P193" s="175">
        <v>0</v>
      </c>
      <c r="Q193" s="175">
        <v>0</v>
      </c>
      <c r="R193" s="175">
        <v>0</v>
      </c>
      <c r="S193" s="175">
        <v>0</v>
      </c>
      <c r="U193" s="175">
        <f t="shared" si="13"/>
        <v>0</v>
      </c>
    </row>
    <row r="194" spans="1:21">
      <c r="A194" s="183" t="str">
        <f t="shared" si="11"/>
        <v>451</v>
      </c>
      <c r="B194" s="183" t="str">
        <f t="shared" si="12"/>
        <v>451.0</v>
      </c>
      <c r="C194" s="184" t="s">
        <v>1252</v>
      </c>
      <c r="D194" t="s">
        <v>1253</v>
      </c>
      <c r="G194" s="175">
        <v>1639963.69</v>
      </c>
      <c r="H194" s="175">
        <v>1562621.9764167001</v>
      </c>
      <c r="I194" s="175">
        <v>1564251.7784167</v>
      </c>
      <c r="J194" s="175">
        <v>1651386.3129167</v>
      </c>
      <c r="K194" s="175">
        <v>1562838.3151666999</v>
      </c>
      <c r="L194" s="175">
        <v>1625774.3864167</v>
      </c>
      <c r="M194" s="175">
        <v>1646775.5956667</v>
      </c>
      <c r="N194" s="175">
        <v>1556460.1806667</v>
      </c>
      <c r="O194" s="175">
        <v>1563302.8866667</v>
      </c>
      <c r="P194" s="175">
        <v>1572896.0616667001</v>
      </c>
      <c r="Q194" s="175">
        <v>1573264.2116667</v>
      </c>
      <c r="R194" s="175">
        <v>1573637.3866667</v>
      </c>
      <c r="S194" s="175">
        <v>1574011.6116667001</v>
      </c>
      <c r="U194" s="175">
        <f t="shared" si="13"/>
        <v>1589783.414923108</v>
      </c>
    </row>
    <row r="195" spans="1:21">
      <c r="A195" s="183" t="str">
        <f t="shared" si="11"/>
        <v>453</v>
      </c>
      <c r="B195" s="183" t="str">
        <f t="shared" si="12"/>
        <v>453.0</v>
      </c>
      <c r="C195" s="184" t="s">
        <v>1254</v>
      </c>
      <c r="D195" t="s">
        <v>1255</v>
      </c>
      <c r="G195" s="175">
        <v>0</v>
      </c>
      <c r="H195" s="175">
        <v>0</v>
      </c>
      <c r="I195" s="175">
        <v>0</v>
      </c>
      <c r="J195" s="175">
        <v>0</v>
      </c>
      <c r="K195" s="175">
        <v>0</v>
      </c>
      <c r="L195" s="175">
        <v>0</v>
      </c>
      <c r="M195" s="175">
        <v>0</v>
      </c>
      <c r="N195" s="175">
        <v>0</v>
      </c>
      <c r="O195" s="175">
        <v>0</v>
      </c>
      <c r="P195" s="175">
        <v>0</v>
      </c>
      <c r="Q195" s="175">
        <v>0</v>
      </c>
      <c r="R195" s="175">
        <v>0</v>
      </c>
      <c r="S195" s="175">
        <v>0</v>
      </c>
      <c r="U195" s="175">
        <f t="shared" si="13"/>
        <v>0</v>
      </c>
    </row>
    <row r="196" spans="1:21">
      <c r="A196" s="183" t="str">
        <f t="shared" si="11"/>
        <v>454</v>
      </c>
      <c r="B196" s="183" t="str">
        <f t="shared" si="12"/>
        <v>454.0</v>
      </c>
      <c r="C196" s="184" t="s">
        <v>1256</v>
      </c>
      <c r="D196" t="s">
        <v>1257</v>
      </c>
      <c r="G196" s="175">
        <v>791137.3</v>
      </c>
      <c r="H196" s="175">
        <v>1233333.7326288</v>
      </c>
      <c r="I196" s="175">
        <v>1638474.8283595</v>
      </c>
      <c r="J196" s="175">
        <v>1222579.2637028999</v>
      </c>
      <c r="K196" s="175">
        <v>1241948.2221315999</v>
      </c>
      <c r="L196" s="175">
        <v>1203849.0832970999</v>
      </c>
      <c r="M196" s="175">
        <v>1205771.157017</v>
      </c>
      <c r="N196" s="175">
        <v>1209470.7122521</v>
      </c>
      <c r="O196" s="175">
        <v>1288556.7998998</v>
      </c>
      <c r="P196" s="175">
        <v>1218860.7149216</v>
      </c>
      <c r="Q196" s="175">
        <v>1237661.4261676001</v>
      </c>
      <c r="R196" s="175">
        <v>1222498.9609168</v>
      </c>
      <c r="S196" s="175">
        <v>1232452.8385920001</v>
      </c>
      <c r="U196" s="175">
        <f t="shared" si="13"/>
        <v>1226661.1569143692</v>
      </c>
    </row>
    <row r="197" spans="1:21">
      <c r="A197" s="183" t="str">
        <f t="shared" si="11"/>
        <v>455</v>
      </c>
      <c r="B197" s="183" t="str">
        <f t="shared" si="12"/>
        <v>455.0</v>
      </c>
      <c r="C197" s="184" t="s">
        <v>1258</v>
      </c>
      <c r="D197" t="s">
        <v>1259</v>
      </c>
      <c r="G197" s="175">
        <v>348593.84</v>
      </c>
      <c r="H197" s="175">
        <v>0</v>
      </c>
      <c r="I197" s="175">
        <v>0</v>
      </c>
      <c r="J197" s="175">
        <v>0</v>
      </c>
      <c r="K197" s="175">
        <v>0</v>
      </c>
      <c r="L197" s="175">
        <v>0</v>
      </c>
      <c r="M197" s="175">
        <v>0</v>
      </c>
      <c r="N197" s="175">
        <v>0</v>
      </c>
      <c r="O197" s="175">
        <v>0</v>
      </c>
      <c r="P197" s="175">
        <v>0</v>
      </c>
      <c r="Q197" s="175">
        <v>0</v>
      </c>
      <c r="R197" s="175">
        <v>0</v>
      </c>
      <c r="S197" s="175">
        <v>0</v>
      </c>
      <c r="U197" s="175">
        <f t="shared" si="13"/>
        <v>26814.91076923077</v>
      </c>
    </row>
    <row r="198" spans="1:21">
      <c r="A198" s="183" t="str">
        <f t="shared" si="11"/>
        <v>456</v>
      </c>
      <c r="B198" s="183" t="str">
        <f t="shared" si="12"/>
        <v>456.0</v>
      </c>
      <c r="C198" s="184" t="s">
        <v>1260</v>
      </c>
      <c r="D198" t="s">
        <v>1261</v>
      </c>
      <c r="G198" s="175">
        <v>-1581218.52</v>
      </c>
      <c r="H198" s="175">
        <v>-2071728.6781138</v>
      </c>
      <c r="I198" s="175">
        <v>-4723547.1810342995</v>
      </c>
      <c r="J198" s="175">
        <v>4897327.0925529003</v>
      </c>
      <c r="K198" s="175">
        <v>4790729.7404512996</v>
      </c>
      <c r="L198" s="175">
        <v>10537735.3853868</v>
      </c>
      <c r="M198" s="175">
        <v>3882943.4750097999</v>
      </c>
      <c r="N198" s="175">
        <v>2844893.6684686998</v>
      </c>
      <c r="O198" s="175">
        <v>5337992.6813907996</v>
      </c>
      <c r="P198" s="175">
        <v>-8286159.0530928997</v>
      </c>
      <c r="Q198" s="175">
        <v>-4209102.3125676</v>
      </c>
      <c r="R198" s="175">
        <v>-8450124.7856315002</v>
      </c>
      <c r="S198" s="175">
        <v>1254156.0974474</v>
      </c>
      <c r="U198" s="175">
        <f t="shared" si="13"/>
        <v>324915.20078981534</v>
      </c>
    </row>
    <row r="199" spans="1:21">
      <c r="A199" s="183" t="str">
        <f t="shared" ref="A199:A262" si="14">MID(C199,2,3)</f>
        <v>456</v>
      </c>
      <c r="B199" s="183" t="str">
        <f t="shared" ref="B199:B262" si="15">MID(C199,2,3)&amp;"."&amp;MID(C199,5,1)</f>
        <v>456.1</v>
      </c>
      <c r="C199" s="184" t="s">
        <v>1262</v>
      </c>
      <c r="D199" t="s">
        <v>1263</v>
      </c>
      <c r="G199" s="175">
        <v>232375.18</v>
      </c>
      <c r="H199" s="175">
        <v>715644.94780219998</v>
      </c>
      <c r="I199" s="175">
        <v>715644.94780219998</v>
      </c>
      <c r="J199" s="175">
        <v>115644.9501099</v>
      </c>
      <c r="K199" s="175">
        <v>715644.94780219998</v>
      </c>
      <c r="L199" s="175">
        <v>715644.94780219998</v>
      </c>
      <c r="M199" s="175">
        <v>679467.75</v>
      </c>
      <c r="N199" s="175">
        <v>679467.75</v>
      </c>
      <c r="O199" s="175">
        <v>679467.75</v>
      </c>
      <c r="P199" s="175">
        <v>679467.75</v>
      </c>
      <c r="Q199" s="175">
        <v>715644.94780219998</v>
      </c>
      <c r="R199" s="175">
        <v>715644.94780219998</v>
      </c>
      <c r="S199" s="175">
        <v>715644.94780219998</v>
      </c>
      <c r="U199" s="175">
        <f t="shared" ref="U199:U262" si="16">AVERAGE(G199:S199)</f>
        <v>621185.05882502301</v>
      </c>
    </row>
    <row r="200" spans="1:21">
      <c r="A200" s="183" t="str">
        <f t="shared" si="14"/>
        <v>457</v>
      </c>
      <c r="B200" s="183" t="str">
        <f t="shared" si="15"/>
        <v>457.1</v>
      </c>
      <c r="C200" s="184" t="s">
        <v>1264</v>
      </c>
      <c r="D200" t="s">
        <v>1265</v>
      </c>
      <c r="G200" s="175">
        <v>0</v>
      </c>
      <c r="H200" s="175">
        <v>0</v>
      </c>
      <c r="I200" s="175">
        <v>0</v>
      </c>
      <c r="J200" s="175">
        <v>0</v>
      </c>
      <c r="K200" s="175">
        <v>0</v>
      </c>
      <c r="L200" s="175">
        <v>0</v>
      </c>
      <c r="M200" s="175">
        <v>0</v>
      </c>
      <c r="N200" s="175">
        <v>0</v>
      </c>
      <c r="O200" s="175">
        <v>0</v>
      </c>
      <c r="P200" s="175">
        <v>0</v>
      </c>
      <c r="Q200" s="175">
        <v>0</v>
      </c>
      <c r="R200" s="175">
        <v>0</v>
      </c>
      <c r="S200" s="175">
        <v>0</v>
      </c>
      <c r="U200" s="175">
        <f t="shared" si="16"/>
        <v>0</v>
      </c>
    </row>
    <row r="201" spans="1:21">
      <c r="A201" s="183" t="str">
        <f t="shared" si="14"/>
        <v>457</v>
      </c>
      <c r="B201" s="183" t="str">
        <f t="shared" si="15"/>
        <v>457.2</v>
      </c>
      <c r="C201" s="184" t="s">
        <v>1266</v>
      </c>
      <c r="D201" t="s">
        <v>1267</v>
      </c>
      <c r="G201" s="175">
        <v>0</v>
      </c>
      <c r="H201" s="175">
        <v>0</v>
      </c>
      <c r="I201" s="175">
        <v>0</v>
      </c>
      <c r="J201" s="175">
        <v>0</v>
      </c>
      <c r="K201" s="175">
        <v>0</v>
      </c>
      <c r="L201" s="175">
        <v>0</v>
      </c>
      <c r="M201" s="175">
        <v>0</v>
      </c>
      <c r="N201" s="175">
        <v>0</v>
      </c>
      <c r="O201" s="175">
        <v>0</v>
      </c>
      <c r="P201" s="175">
        <v>0</v>
      </c>
      <c r="Q201" s="175">
        <v>0</v>
      </c>
      <c r="R201" s="175">
        <v>0</v>
      </c>
      <c r="S201" s="175">
        <v>0</v>
      </c>
      <c r="U201" s="175">
        <f t="shared" si="16"/>
        <v>0</v>
      </c>
    </row>
    <row r="202" spans="1:21">
      <c r="A202" s="183" t="str">
        <f t="shared" si="14"/>
        <v>458</v>
      </c>
      <c r="B202" s="183" t="str">
        <f t="shared" si="15"/>
        <v>458.1</v>
      </c>
      <c r="C202" s="184" t="s">
        <v>1268</v>
      </c>
      <c r="D202" t="s">
        <v>1269</v>
      </c>
      <c r="G202" s="175">
        <v>0</v>
      </c>
      <c r="H202" s="175">
        <v>0</v>
      </c>
      <c r="I202" s="175">
        <v>0</v>
      </c>
      <c r="J202" s="175">
        <v>0</v>
      </c>
      <c r="K202" s="175">
        <v>0</v>
      </c>
      <c r="L202" s="175">
        <v>0</v>
      </c>
      <c r="M202" s="175">
        <v>0</v>
      </c>
      <c r="N202" s="175">
        <v>0</v>
      </c>
      <c r="O202" s="175">
        <v>0</v>
      </c>
      <c r="P202" s="175">
        <v>0</v>
      </c>
      <c r="Q202" s="175">
        <v>0</v>
      </c>
      <c r="R202" s="175">
        <v>0</v>
      </c>
      <c r="S202" s="175">
        <v>0</v>
      </c>
      <c r="U202" s="175">
        <f t="shared" si="16"/>
        <v>0</v>
      </c>
    </row>
    <row r="203" spans="1:21">
      <c r="A203" s="183" t="str">
        <f t="shared" si="14"/>
        <v>480</v>
      </c>
      <c r="B203" s="183" t="str">
        <f t="shared" si="15"/>
        <v>480.0</v>
      </c>
      <c r="C203" s="184" t="s">
        <v>1270</v>
      </c>
      <c r="D203" t="s">
        <v>1271</v>
      </c>
      <c r="G203" s="175">
        <v>0</v>
      </c>
      <c r="H203" s="175">
        <v>0</v>
      </c>
      <c r="I203" s="175">
        <v>0</v>
      </c>
      <c r="J203" s="175">
        <v>0</v>
      </c>
      <c r="K203" s="175">
        <v>0</v>
      </c>
      <c r="L203" s="175">
        <v>0</v>
      </c>
      <c r="M203" s="175">
        <v>0</v>
      </c>
      <c r="N203" s="175">
        <v>0</v>
      </c>
      <c r="O203" s="175">
        <v>0</v>
      </c>
      <c r="P203" s="175">
        <v>0</v>
      </c>
      <c r="Q203" s="175">
        <v>0</v>
      </c>
      <c r="R203" s="175">
        <v>0</v>
      </c>
      <c r="S203" s="175">
        <v>0</v>
      </c>
      <c r="U203" s="175">
        <f t="shared" si="16"/>
        <v>0</v>
      </c>
    </row>
    <row r="204" spans="1:21">
      <c r="A204" s="183" t="str">
        <f t="shared" si="14"/>
        <v>481</v>
      </c>
      <c r="B204" s="183" t="str">
        <f t="shared" si="15"/>
        <v>481.0</v>
      </c>
      <c r="C204" s="184" t="s">
        <v>1272</v>
      </c>
      <c r="D204" t="s">
        <v>1273</v>
      </c>
      <c r="G204" s="175">
        <v>0</v>
      </c>
      <c r="H204" s="175">
        <v>0</v>
      </c>
      <c r="I204" s="175">
        <v>0</v>
      </c>
      <c r="J204" s="175">
        <v>0</v>
      </c>
      <c r="K204" s="175">
        <v>0</v>
      </c>
      <c r="L204" s="175">
        <v>0</v>
      </c>
      <c r="M204" s="175">
        <v>0</v>
      </c>
      <c r="N204" s="175">
        <v>0</v>
      </c>
      <c r="O204" s="175">
        <v>0</v>
      </c>
      <c r="P204" s="175">
        <v>0</v>
      </c>
      <c r="Q204" s="175">
        <v>0</v>
      </c>
      <c r="R204" s="175">
        <v>0</v>
      </c>
      <c r="S204" s="175">
        <v>0</v>
      </c>
      <c r="U204" s="175">
        <f t="shared" si="16"/>
        <v>0</v>
      </c>
    </row>
    <row r="205" spans="1:21">
      <c r="A205" s="183" t="str">
        <f t="shared" si="14"/>
        <v>482</v>
      </c>
      <c r="B205" s="183" t="str">
        <f t="shared" si="15"/>
        <v>482.0</v>
      </c>
      <c r="C205" s="184" t="s">
        <v>1274</v>
      </c>
      <c r="D205" t="s">
        <v>1275</v>
      </c>
      <c r="G205" s="175">
        <v>0</v>
      </c>
      <c r="H205" s="175">
        <v>0</v>
      </c>
      <c r="I205" s="175">
        <v>0</v>
      </c>
      <c r="J205" s="175">
        <v>0</v>
      </c>
      <c r="K205" s="175">
        <v>0</v>
      </c>
      <c r="L205" s="175">
        <v>0</v>
      </c>
      <c r="M205" s="175">
        <v>0</v>
      </c>
      <c r="N205" s="175">
        <v>0</v>
      </c>
      <c r="O205" s="175">
        <v>0</v>
      </c>
      <c r="P205" s="175">
        <v>0</v>
      </c>
      <c r="Q205" s="175">
        <v>0</v>
      </c>
      <c r="R205" s="175">
        <v>0</v>
      </c>
      <c r="S205" s="175">
        <v>0</v>
      </c>
      <c r="U205" s="175">
        <f t="shared" si="16"/>
        <v>0</v>
      </c>
    </row>
    <row r="206" spans="1:21">
      <c r="A206" s="183" t="str">
        <f t="shared" si="14"/>
        <v>483</v>
      </c>
      <c r="B206" s="183" t="str">
        <f t="shared" si="15"/>
        <v>483.0</v>
      </c>
      <c r="C206" s="184" t="s">
        <v>1276</v>
      </c>
      <c r="D206" t="s">
        <v>1277</v>
      </c>
      <c r="G206" s="175">
        <v>0</v>
      </c>
      <c r="H206" s="175">
        <v>0</v>
      </c>
      <c r="I206" s="175">
        <v>0</v>
      </c>
      <c r="J206" s="175">
        <v>0</v>
      </c>
      <c r="K206" s="175">
        <v>0</v>
      </c>
      <c r="L206" s="175">
        <v>0</v>
      </c>
      <c r="M206" s="175">
        <v>0</v>
      </c>
      <c r="N206" s="175">
        <v>0</v>
      </c>
      <c r="O206" s="175">
        <v>0</v>
      </c>
      <c r="P206" s="175">
        <v>0</v>
      </c>
      <c r="Q206" s="175">
        <v>0</v>
      </c>
      <c r="R206" s="175">
        <v>0</v>
      </c>
      <c r="S206" s="175">
        <v>0</v>
      </c>
      <c r="U206" s="175">
        <f t="shared" si="16"/>
        <v>0</v>
      </c>
    </row>
    <row r="207" spans="1:21">
      <c r="A207" s="183" t="str">
        <f t="shared" si="14"/>
        <v>484</v>
      </c>
      <c r="B207" s="183" t="str">
        <f t="shared" si="15"/>
        <v>484.0</v>
      </c>
      <c r="C207" s="184" t="s">
        <v>1278</v>
      </c>
      <c r="D207" t="s">
        <v>1279</v>
      </c>
      <c r="G207" s="175">
        <v>0</v>
      </c>
      <c r="H207" s="175">
        <v>0</v>
      </c>
      <c r="I207" s="175">
        <v>0</v>
      </c>
      <c r="J207" s="175">
        <v>0</v>
      </c>
      <c r="K207" s="175">
        <v>0</v>
      </c>
      <c r="L207" s="175">
        <v>0</v>
      </c>
      <c r="M207" s="175">
        <v>0</v>
      </c>
      <c r="N207" s="175">
        <v>0</v>
      </c>
      <c r="O207" s="175">
        <v>0</v>
      </c>
      <c r="P207" s="175">
        <v>0</v>
      </c>
      <c r="Q207" s="175">
        <v>0</v>
      </c>
      <c r="R207" s="175">
        <v>0</v>
      </c>
      <c r="S207" s="175">
        <v>0</v>
      </c>
      <c r="U207" s="175">
        <f t="shared" si="16"/>
        <v>0</v>
      </c>
    </row>
    <row r="208" spans="1:21">
      <c r="A208" s="183" t="str">
        <f t="shared" si="14"/>
        <v>485</v>
      </c>
      <c r="B208" s="183" t="str">
        <f t="shared" si="15"/>
        <v>485.0</v>
      </c>
      <c r="C208" s="184" t="s">
        <v>1280</v>
      </c>
      <c r="D208" t="s">
        <v>1281</v>
      </c>
      <c r="G208" s="175">
        <v>0</v>
      </c>
      <c r="H208" s="175">
        <v>0</v>
      </c>
      <c r="I208" s="175">
        <v>0</v>
      </c>
      <c r="J208" s="175">
        <v>0</v>
      </c>
      <c r="K208" s="175">
        <v>0</v>
      </c>
      <c r="L208" s="175">
        <v>0</v>
      </c>
      <c r="M208" s="175">
        <v>0</v>
      </c>
      <c r="N208" s="175">
        <v>0</v>
      </c>
      <c r="O208" s="175">
        <v>0</v>
      </c>
      <c r="P208" s="175">
        <v>0</v>
      </c>
      <c r="Q208" s="175">
        <v>0</v>
      </c>
      <c r="R208" s="175">
        <v>0</v>
      </c>
      <c r="S208" s="175">
        <v>0</v>
      </c>
      <c r="U208" s="175">
        <f t="shared" si="16"/>
        <v>0</v>
      </c>
    </row>
    <row r="209" spans="1:21">
      <c r="A209" s="183" t="str">
        <f t="shared" si="14"/>
        <v>487</v>
      </c>
      <c r="B209" s="183" t="str">
        <f t="shared" si="15"/>
        <v>487.0</v>
      </c>
      <c r="C209" s="184" t="s">
        <v>1282</v>
      </c>
      <c r="D209" t="s">
        <v>1283</v>
      </c>
      <c r="G209" s="175">
        <v>0</v>
      </c>
      <c r="H209" s="175">
        <v>0</v>
      </c>
      <c r="I209" s="175">
        <v>0</v>
      </c>
      <c r="J209" s="175">
        <v>0</v>
      </c>
      <c r="K209" s="175">
        <v>0</v>
      </c>
      <c r="L209" s="175">
        <v>0</v>
      </c>
      <c r="M209" s="175">
        <v>0</v>
      </c>
      <c r="N209" s="175">
        <v>0</v>
      </c>
      <c r="O209" s="175">
        <v>0</v>
      </c>
      <c r="P209" s="175">
        <v>0</v>
      </c>
      <c r="Q209" s="175">
        <v>0</v>
      </c>
      <c r="R209" s="175">
        <v>0</v>
      </c>
      <c r="S209" s="175">
        <v>0</v>
      </c>
      <c r="U209" s="175">
        <f t="shared" si="16"/>
        <v>0</v>
      </c>
    </row>
    <row r="210" spans="1:21">
      <c r="A210" s="183" t="str">
        <f t="shared" si="14"/>
        <v>488</v>
      </c>
      <c r="B210" s="183" t="str">
        <f t="shared" si="15"/>
        <v>488.0</v>
      </c>
      <c r="C210" s="184" t="s">
        <v>1284</v>
      </c>
      <c r="D210" t="s">
        <v>1285</v>
      </c>
      <c r="G210" s="175">
        <v>0</v>
      </c>
      <c r="H210" s="175">
        <v>0</v>
      </c>
      <c r="I210" s="175">
        <v>0</v>
      </c>
      <c r="J210" s="175">
        <v>0</v>
      </c>
      <c r="K210" s="175">
        <v>0</v>
      </c>
      <c r="L210" s="175">
        <v>0</v>
      </c>
      <c r="M210" s="175">
        <v>0</v>
      </c>
      <c r="N210" s="175">
        <v>0</v>
      </c>
      <c r="O210" s="175">
        <v>0</v>
      </c>
      <c r="P210" s="175">
        <v>0</v>
      </c>
      <c r="Q210" s="175">
        <v>0</v>
      </c>
      <c r="R210" s="175">
        <v>0</v>
      </c>
      <c r="S210" s="175">
        <v>0</v>
      </c>
      <c r="U210" s="175">
        <f t="shared" si="16"/>
        <v>0</v>
      </c>
    </row>
    <row r="211" spans="1:21">
      <c r="A211" s="183" t="str">
        <f t="shared" si="14"/>
        <v>489</v>
      </c>
      <c r="B211" s="183" t="str">
        <f t="shared" si="15"/>
        <v>489.1</v>
      </c>
      <c r="C211" s="184" t="s">
        <v>1286</v>
      </c>
      <c r="D211" t="s">
        <v>1287</v>
      </c>
      <c r="G211" s="175">
        <v>0</v>
      </c>
      <c r="H211" s="175">
        <v>0</v>
      </c>
      <c r="I211" s="175">
        <v>0</v>
      </c>
      <c r="J211" s="175">
        <v>0</v>
      </c>
      <c r="K211" s="175">
        <v>0</v>
      </c>
      <c r="L211" s="175">
        <v>0</v>
      </c>
      <c r="M211" s="175">
        <v>0</v>
      </c>
      <c r="N211" s="175">
        <v>0</v>
      </c>
      <c r="O211" s="175">
        <v>0</v>
      </c>
      <c r="P211" s="175">
        <v>0</v>
      </c>
      <c r="Q211" s="175">
        <v>0</v>
      </c>
      <c r="R211" s="175">
        <v>0</v>
      </c>
      <c r="S211" s="175">
        <v>0</v>
      </c>
      <c r="U211" s="175">
        <f t="shared" si="16"/>
        <v>0</v>
      </c>
    </row>
    <row r="212" spans="1:21">
      <c r="A212" s="183" t="str">
        <f t="shared" si="14"/>
        <v>489</v>
      </c>
      <c r="B212" s="183" t="str">
        <f t="shared" si="15"/>
        <v>489.2</v>
      </c>
      <c r="C212" s="184" t="s">
        <v>1288</v>
      </c>
      <c r="D212" t="s">
        <v>1289</v>
      </c>
      <c r="G212" s="175">
        <v>0</v>
      </c>
      <c r="H212" s="175">
        <v>0</v>
      </c>
      <c r="I212" s="175">
        <v>0</v>
      </c>
      <c r="J212" s="175">
        <v>0</v>
      </c>
      <c r="K212" s="175">
        <v>0</v>
      </c>
      <c r="L212" s="175">
        <v>0</v>
      </c>
      <c r="M212" s="175">
        <v>0</v>
      </c>
      <c r="N212" s="175">
        <v>0</v>
      </c>
      <c r="O212" s="175">
        <v>0</v>
      </c>
      <c r="P212" s="175">
        <v>0</v>
      </c>
      <c r="Q212" s="175">
        <v>0</v>
      </c>
      <c r="R212" s="175">
        <v>0</v>
      </c>
      <c r="S212" s="175">
        <v>0</v>
      </c>
      <c r="U212" s="175">
        <f t="shared" si="16"/>
        <v>0</v>
      </c>
    </row>
    <row r="213" spans="1:21">
      <c r="A213" s="183" t="str">
        <f t="shared" si="14"/>
        <v>489</v>
      </c>
      <c r="B213" s="183" t="str">
        <f t="shared" si="15"/>
        <v>489.3</v>
      </c>
      <c r="C213" s="184" t="s">
        <v>1290</v>
      </c>
      <c r="D213" t="s">
        <v>1291</v>
      </c>
      <c r="G213" s="175">
        <v>0</v>
      </c>
      <c r="H213" s="175">
        <v>0</v>
      </c>
      <c r="I213" s="175">
        <v>0</v>
      </c>
      <c r="J213" s="175">
        <v>0</v>
      </c>
      <c r="K213" s="175">
        <v>0</v>
      </c>
      <c r="L213" s="175">
        <v>0</v>
      </c>
      <c r="M213" s="175">
        <v>0</v>
      </c>
      <c r="N213" s="175">
        <v>0</v>
      </c>
      <c r="O213" s="175">
        <v>0</v>
      </c>
      <c r="P213" s="175">
        <v>0</v>
      </c>
      <c r="Q213" s="175">
        <v>0</v>
      </c>
      <c r="R213" s="175">
        <v>0</v>
      </c>
      <c r="S213" s="175">
        <v>0</v>
      </c>
      <c r="U213" s="175">
        <f t="shared" si="16"/>
        <v>0</v>
      </c>
    </row>
    <row r="214" spans="1:21">
      <c r="A214" s="183" t="str">
        <f t="shared" si="14"/>
        <v>489</v>
      </c>
      <c r="B214" s="183" t="str">
        <f t="shared" si="15"/>
        <v>489.4</v>
      </c>
      <c r="C214" s="184" t="s">
        <v>1292</v>
      </c>
      <c r="D214" t="s">
        <v>1293</v>
      </c>
      <c r="G214" s="175">
        <v>0</v>
      </c>
      <c r="H214" s="175">
        <v>0</v>
      </c>
      <c r="I214" s="175">
        <v>0</v>
      </c>
      <c r="J214" s="175">
        <v>0</v>
      </c>
      <c r="K214" s="175">
        <v>0</v>
      </c>
      <c r="L214" s="175">
        <v>0</v>
      </c>
      <c r="M214" s="175">
        <v>0</v>
      </c>
      <c r="N214" s="175">
        <v>0</v>
      </c>
      <c r="O214" s="175">
        <v>0</v>
      </c>
      <c r="P214" s="175">
        <v>0</v>
      </c>
      <c r="Q214" s="175">
        <v>0</v>
      </c>
      <c r="R214" s="175">
        <v>0</v>
      </c>
      <c r="S214" s="175">
        <v>0</v>
      </c>
      <c r="U214" s="175">
        <f t="shared" si="16"/>
        <v>0</v>
      </c>
    </row>
    <row r="215" spans="1:21">
      <c r="A215" s="183" t="str">
        <f t="shared" si="14"/>
        <v>490</v>
      </c>
      <c r="B215" s="183" t="str">
        <f t="shared" si="15"/>
        <v>490.0</v>
      </c>
      <c r="C215" s="184" t="s">
        <v>1294</v>
      </c>
      <c r="D215" t="s">
        <v>1295</v>
      </c>
      <c r="G215" s="175">
        <v>0</v>
      </c>
      <c r="H215" s="175">
        <v>0</v>
      </c>
      <c r="I215" s="175">
        <v>0</v>
      </c>
      <c r="J215" s="175">
        <v>0</v>
      </c>
      <c r="K215" s="175">
        <v>0</v>
      </c>
      <c r="L215" s="175">
        <v>0</v>
      </c>
      <c r="M215" s="175">
        <v>0</v>
      </c>
      <c r="N215" s="175">
        <v>0</v>
      </c>
      <c r="O215" s="175">
        <v>0</v>
      </c>
      <c r="P215" s="175">
        <v>0</v>
      </c>
      <c r="Q215" s="175">
        <v>0</v>
      </c>
      <c r="R215" s="175">
        <v>0</v>
      </c>
      <c r="S215" s="175">
        <v>0</v>
      </c>
      <c r="U215" s="175">
        <f t="shared" si="16"/>
        <v>0</v>
      </c>
    </row>
    <row r="216" spans="1:21">
      <c r="A216" s="183" t="str">
        <f t="shared" si="14"/>
        <v>491</v>
      </c>
      <c r="B216" s="183" t="str">
        <f t="shared" si="15"/>
        <v>491.0</v>
      </c>
      <c r="C216" s="184" t="s">
        <v>1296</v>
      </c>
      <c r="D216" t="s">
        <v>1297</v>
      </c>
      <c r="G216" s="175">
        <v>0</v>
      </c>
      <c r="H216" s="175">
        <v>0</v>
      </c>
      <c r="I216" s="175">
        <v>0</v>
      </c>
      <c r="J216" s="175">
        <v>0</v>
      </c>
      <c r="K216" s="175">
        <v>0</v>
      </c>
      <c r="L216" s="175">
        <v>0</v>
      </c>
      <c r="M216" s="175">
        <v>0</v>
      </c>
      <c r="N216" s="175">
        <v>0</v>
      </c>
      <c r="O216" s="175">
        <v>0</v>
      </c>
      <c r="P216" s="175">
        <v>0</v>
      </c>
      <c r="Q216" s="175">
        <v>0</v>
      </c>
      <c r="R216" s="175">
        <v>0</v>
      </c>
      <c r="S216" s="175">
        <v>0</v>
      </c>
      <c r="U216" s="175">
        <f t="shared" si="16"/>
        <v>0</v>
      </c>
    </row>
    <row r="217" spans="1:21">
      <c r="A217" s="183" t="str">
        <f t="shared" si="14"/>
        <v>492</v>
      </c>
      <c r="B217" s="183" t="str">
        <f t="shared" si="15"/>
        <v>492.0</v>
      </c>
      <c r="C217" s="184" t="s">
        <v>1298</v>
      </c>
      <c r="D217" t="s">
        <v>1299</v>
      </c>
      <c r="G217" s="175">
        <v>0</v>
      </c>
      <c r="H217" s="175">
        <v>0</v>
      </c>
      <c r="I217" s="175">
        <v>0</v>
      </c>
      <c r="J217" s="175">
        <v>0</v>
      </c>
      <c r="K217" s="175">
        <v>0</v>
      </c>
      <c r="L217" s="175">
        <v>0</v>
      </c>
      <c r="M217" s="175">
        <v>0</v>
      </c>
      <c r="N217" s="175">
        <v>0</v>
      </c>
      <c r="O217" s="175">
        <v>0</v>
      </c>
      <c r="P217" s="175">
        <v>0</v>
      </c>
      <c r="Q217" s="175">
        <v>0</v>
      </c>
      <c r="R217" s="175">
        <v>0</v>
      </c>
      <c r="S217" s="175">
        <v>0</v>
      </c>
      <c r="U217" s="175">
        <f t="shared" si="16"/>
        <v>0</v>
      </c>
    </row>
    <row r="218" spans="1:21">
      <c r="A218" s="183" t="str">
        <f t="shared" si="14"/>
        <v>493</v>
      </c>
      <c r="B218" s="183" t="str">
        <f t="shared" si="15"/>
        <v>493.0</v>
      </c>
      <c r="C218" s="184" t="s">
        <v>1300</v>
      </c>
      <c r="D218" t="s">
        <v>1301</v>
      </c>
      <c r="G218" s="175">
        <v>0</v>
      </c>
      <c r="H218" s="175">
        <v>0</v>
      </c>
      <c r="I218" s="175">
        <v>0</v>
      </c>
      <c r="J218" s="175">
        <v>0</v>
      </c>
      <c r="K218" s="175">
        <v>0</v>
      </c>
      <c r="L218" s="175">
        <v>0</v>
      </c>
      <c r="M218" s="175">
        <v>0</v>
      </c>
      <c r="N218" s="175">
        <v>0</v>
      </c>
      <c r="O218" s="175">
        <v>0</v>
      </c>
      <c r="P218" s="175">
        <v>0</v>
      </c>
      <c r="Q218" s="175">
        <v>0</v>
      </c>
      <c r="R218" s="175">
        <v>0</v>
      </c>
      <c r="S218" s="175">
        <v>0</v>
      </c>
      <c r="U218" s="175">
        <f t="shared" si="16"/>
        <v>0</v>
      </c>
    </row>
    <row r="219" spans="1:21">
      <c r="A219" s="183" t="str">
        <f t="shared" si="14"/>
        <v>494</v>
      </c>
      <c r="B219" s="183" t="str">
        <f t="shared" si="15"/>
        <v>494.0</v>
      </c>
      <c r="C219" s="184" t="s">
        <v>1302</v>
      </c>
      <c r="D219" t="s">
        <v>1303</v>
      </c>
      <c r="G219" s="175">
        <v>0</v>
      </c>
      <c r="H219" s="175">
        <v>0</v>
      </c>
      <c r="I219" s="175">
        <v>0</v>
      </c>
      <c r="J219" s="175">
        <v>0</v>
      </c>
      <c r="K219" s="175">
        <v>0</v>
      </c>
      <c r="L219" s="175">
        <v>0</v>
      </c>
      <c r="M219" s="175">
        <v>0</v>
      </c>
      <c r="N219" s="175">
        <v>0</v>
      </c>
      <c r="O219" s="175">
        <v>0</v>
      </c>
      <c r="P219" s="175">
        <v>0</v>
      </c>
      <c r="Q219" s="175">
        <v>0</v>
      </c>
      <c r="R219" s="175">
        <v>0</v>
      </c>
      <c r="S219" s="175">
        <v>0</v>
      </c>
      <c r="U219" s="175">
        <f t="shared" si="16"/>
        <v>0</v>
      </c>
    </row>
    <row r="220" spans="1:21">
      <c r="A220" s="183" t="str">
        <f t="shared" si="14"/>
        <v>495</v>
      </c>
      <c r="B220" s="183" t="str">
        <f t="shared" si="15"/>
        <v>495.0</v>
      </c>
      <c r="C220" s="184" t="s">
        <v>1304</v>
      </c>
      <c r="D220" t="s">
        <v>1305</v>
      </c>
      <c r="G220" s="175">
        <v>0</v>
      </c>
      <c r="H220" s="175">
        <v>0</v>
      </c>
      <c r="I220" s="175">
        <v>0</v>
      </c>
      <c r="J220" s="175">
        <v>0</v>
      </c>
      <c r="K220" s="175">
        <v>0</v>
      </c>
      <c r="L220" s="175">
        <v>0</v>
      </c>
      <c r="M220" s="175">
        <v>0</v>
      </c>
      <c r="N220" s="175">
        <v>0</v>
      </c>
      <c r="O220" s="175">
        <v>0</v>
      </c>
      <c r="P220" s="175">
        <v>0</v>
      </c>
      <c r="Q220" s="175">
        <v>0</v>
      </c>
      <c r="R220" s="175">
        <v>0</v>
      </c>
      <c r="S220" s="175">
        <v>0</v>
      </c>
      <c r="U220" s="175">
        <f t="shared" si="16"/>
        <v>0</v>
      </c>
    </row>
    <row r="221" spans="1:21">
      <c r="A221" s="183" t="str">
        <f t="shared" si="14"/>
        <v>496</v>
      </c>
      <c r="B221" s="183" t="str">
        <f t="shared" si="15"/>
        <v>496.0</v>
      </c>
      <c r="C221" s="184" t="s">
        <v>1306</v>
      </c>
      <c r="D221" t="s">
        <v>1307</v>
      </c>
      <c r="G221" s="175">
        <v>0</v>
      </c>
      <c r="H221" s="175">
        <v>0</v>
      </c>
      <c r="I221" s="175">
        <v>0</v>
      </c>
      <c r="J221" s="175">
        <v>0</v>
      </c>
      <c r="K221" s="175">
        <v>0</v>
      </c>
      <c r="L221" s="175">
        <v>0</v>
      </c>
      <c r="M221" s="175">
        <v>0</v>
      </c>
      <c r="N221" s="175">
        <v>0</v>
      </c>
      <c r="O221" s="175">
        <v>0</v>
      </c>
      <c r="P221" s="175">
        <v>0</v>
      </c>
      <c r="Q221" s="175">
        <v>0</v>
      </c>
      <c r="R221" s="175">
        <v>0</v>
      </c>
      <c r="S221" s="175">
        <v>0</v>
      </c>
      <c r="U221" s="175">
        <f t="shared" si="16"/>
        <v>0</v>
      </c>
    </row>
    <row r="222" spans="1:21">
      <c r="A222" s="183" t="str">
        <f t="shared" si="14"/>
        <v>500</v>
      </c>
      <c r="B222" s="183" t="str">
        <f t="shared" si="15"/>
        <v>500.0</v>
      </c>
      <c r="C222" s="184" t="s">
        <v>1308</v>
      </c>
      <c r="D222" t="s">
        <v>1309</v>
      </c>
      <c r="G222" s="175">
        <v>-503811.55</v>
      </c>
      <c r="H222" s="175">
        <v>422441.86651060003</v>
      </c>
      <c r="I222" s="175">
        <v>393147.27804389998</v>
      </c>
      <c r="J222" s="175">
        <v>402510.73694859998</v>
      </c>
      <c r="K222" s="175">
        <v>431903.00693610002</v>
      </c>
      <c r="L222" s="175">
        <v>452118.74124180002</v>
      </c>
      <c r="M222" s="175">
        <v>404325.02949609997</v>
      </c>
      <c r="N222" s="175">
        <v>464167.95472480002</v>
      </c>
      <c r="O222" s="175">
        <v>449212.05058739998</v>
      </c>
      <c r="P222" s="175">
        <v>430780.60005230003</v>
      </c>
      <c r="Q222" s="175">
        <v>470532.9769912</v>
      </c>
      <c r="R222" s="175">
        <v>434052.09936709999</v>
      </c>
      <c r="S222" s="175">
        <v>460983.86916449998</v>
      </c>
      <c r="U222" s="175">
        <f t="shared" si="16"/>
        <v>362489.58923572308</v>
      </c>
    </row>
    <row r="223" spans="1:21">
      <c r="A223" s="183" t="str">
        <f t="shared" si="14"/>
        <v>501</v>
      </c>
      <c r="B223" s="183" t="str">
        <f t="shared" si="15"/>
        <v>501.0</v>
      </c>
      <c r="C223" s="184" t="s">
        <v>1310</v>
      </c>
      <c r="D223" t="s">
        <v>1311</v>
      </c>
      <c r="G223" s="175">
        <v>7504276.2300000004</v>
      </c>
      <c r="H223" s="175">
        <v>1322285.8241822999</v>
      </c>
      <c r="I223" s="175">
        <v>464530.5363031</v>
      </c>
      <c r="J223" s="175">
        <v>575904.53630309994</v>
      </c>
      <c r="K223" s="175">
        <v>55243.753352500004</v>
      </c>
      <c r="L223" s="175">
        <v>897036.39729210001</v>
      </c>
      <c r="M223" s="175">
        <v>587618.4651728</v>
      </c>
      <c r="N223" s="175">
        <v>216108.68384690001</v>
      </c>
      <c r="O223" s="175">
        <v>583275.03990730003</v>
      </c>
      <c r="P223" s="175">
        <v>417176.39596769999</v>
      </c>
      <c r="Q223" s="175">
        <v>873150.9704017</v>
      </c>
      <c r="R223" s="175">
        <v>3459605.6825224999</v>
      </c>
      <c r="S223" s="175">
        <v>9339957.7592364997</v>
      </c>
      <c r="U223" s="175">
        <f t="shared" si="16"/>
        <v>2022782.3288068078</v>
      </c>
    </row>
    <row r="224" spans="1:21">
      <c r="A224" s="183" t="str">
        <f t="shared" si="14"/>
        <v>502</v>
      </c>
      <c r="B224" s="183" t="str">
        <f t="shared" si="15"/>
        <v>502.0</v>
      </c>
      <c r="C224" s="184" t="s">
        <v>1312</v>
      </c>
      <c r="D224" t="s">
        <v>1313</v>
      </c>
      <c r="G224" s="175">
        <v>717484.46</v>
      </c>
      <c r="H224" s="175">
        <v>1003285.65146</v>
      </c>
      <c r="I224" s="175">
        <v>917761.66991049994</v>
      </c>
      <c r="J224" s="175">
        <v>1039858.4256647</v>
      </c>
      <c r="K224" s="175">
        <v>1044835.0962299</v>
      </c>
      <c r="L224" s="175">
        <v>1079475.1473675</v>
      </c>
      <c r="M224" s="175">
        <v>975554.91828770004</v>
      </c>
      <c r="N224" s="175">
        <v>1106574.2263092001</v>
      </c>
      <c r="O224" s="175">
        <v>1071934.1751716</v>
      </c>
      <c r="P224" s="175">
        <v>1037294.123987</v>
      </c>
      <c r="Q224" s="175">
        <v>1113673.3052514</v>
      </c>
      <c r="R224" s="175">
        <v>1044393.2029292</v>
      </c>
      <c r="S224" s="175">
        <v>1107028.648823</v>
      </c>
      <c r="U224" s="175">
        <f t="shared" si="16"/>
        <v>1019934.8501070539</v>
      </c>
    </row>
    <row r="225" spans="1:21">
      <c r="A225" s="183" t="str">
        <f t="shared" si="14"/>
        <v>503</v>
      </c>
      <c r="B225" s="183" t="str">
        <f t="shared" si="15"/>
        <v>503.0</v>
      </c>
      <c r="C225" s="184" t="s">
        <v>1314</v>
      </c>
      <c r="D225" t="s">
        <v>1315</v>
      </c>
      <c r="G225" s="175">
        <v>0</v>
      </c>
      <c r="H225" s="175">
        <v>0</v>
      </c>
      <c r="I225" s="175">
        <v>0</v>
      </c>
      <c r="J225" s="175">
        <v>0</v>
      </c>
      <c r="K225" s="175">
        <v>0</v>
      </c>
      <c r="L225" s="175">
        <v>0</v>
      </c>
      <c r="M225" s="175">
        <v>0</v>
      </c>
      <c r="N225" s="175">
        <v>0</v>
      </c>
      <c r="O225" s="175">
        <v>0</v>
      </c>
      <c r="P225" s="175">
        <v>0</v>
      </c>
      <c r="Q225" s="175">
        <v>0</v>
      </c>
      <c r="R225" s="175">
        <v>0</v>
      </c>
      <c r="S225" s="175">
        <v>0</v>
      </c>
      <c r="U225" s="175">
        <f t="shared" si="16"/>
        <v>0</v>
      </c>
    </row>
    <row r="226" spans="1:21">
      <c r="A226" s="183" t="str">
        <f t="shared" si="14"/>
        <v>504</v>
      </c>
      <c r="B226" s="183" t="str">
        <f t="shared" si="15"/>
        <v>504.0</v>
      </c>
      <c r="C226" s="184" t="s">
        <v>1316</v>
      </c>
      <c r="D226" t="s">
        <v>1317</v>
      </c>
      <c r="G226" s="175">
        <v>0</v>
      </c>
      <c r="H226" s="175">
        <v>0</v>
      </c>
      <c r="I226" s="175">
        <v>0</v>
      </c>
      <c r="J226" s="175">
        <v>0</v>
      </c>
      <c r="K226" s="175">
        <v>0</v>
      </c>
      <c r="L226" s="175">
        <v>0</v>
      </c>
      <c r="M226" s="175">
        <v>0</v>
      </c>
      <c r="N226" s="175">
        <v>0</v>
      </c>
      <c r="O226" s="175">
        <v>0</v>
      </c>
      <c r="P226" s="175">
        <v>0</v>
      </c>
      <c r="Q226" s="175">
        <v>0</v>
      </c>
      <c r="R226" s="175">
        <v>0</v>
      </c>
      <c r="S226" s="175">
        <v>0</v>
      </c>
      <c r="U226" s="175">
        <f t="shared" si="16"/>
        <v>0</v>
      </c>
    </row>
    <row r="227" spans="1:21">
      <c r="A227" s="183" t="str">
        <f t="shared" si="14"/>
        <v>505</v>
      </c>
      <c r="B227" s="183" t="str">
        <f t="shared" si="15"/>
        <v>505.0</v>
      </c>
      <c r="C227" s="184" t="s">
        <v>1318</v>
      </c>
      <c r="D227" t="s">
        <v>1319</v>
      </c>
      <c r="G227" s="175">
        <v>246749.09</v>
      </c>
      <c r="H227" s="175">
        <v>16994.542679999999</v>
      </c>
      <c r="I227" s="175">
        <v>16994.542679999999</v>
      </c>
      <c r="J227" s="175">
        <v>16994.542679999999</v>
      </c>
      <c r="K227" s="175">
        <v>19422.334491500002</v>
      </c>
      <c r="L227" s="175">
        <v>19422.334491500002</v>
      </c>
      <c r="M227" s="175">
        <v>19422.334491500002</v>
      </c>
      <c r="N227" s="175">
        <v>20636.230397200001</v>
      </c>
      <c r="O227" s="175">
        <v>20636.230397200001</v>
      </c>
      <c r="P227" s="175">
        <v>20636.230397200001</v>
      </c>
      <c r="Q227" s="175">
        <v>21850.126302799999</v>
      </c>
      <c r="R227" s="175">
        <v>21850.126302799999</v>
      </c>
      <c r="S227" s="175">
        <v>27919.605831500001</v>
      </c>
      <c r="U227" s="175">
        <f t="shared" si="16"/>
        <v>37656.020857169227</v>
      </c>
    </row>
    <row r="228" spans="1:21">
      <c r="A228" s="183" t="str">
        <f t="shared" si="14"/>
        <v>506</v>
      </c>
      <c r="B228" s="183" t="str">
        <f t="shared" si="15"/>
        <v>506.0</v>
      </c>
      <c r="C228" s="184" t="s">
        <v>1320</v>
      </c>
      <c r="D228" t="s">
        <v>1321</v>
      </c>
      <c r="G228" s="175">
        <v>441493.14</v>
      </c>
      <c r="H228" s="175">
        <v>437939.45760259998</v>
      </c>
      <c r="I228" s="175">
        <v>375752.53996660002</v>
      </c>
      <c r="J228" s="175">
        <v>381668.5251186</v>
      </c>
      <c r="K228" s="175">
        <v>402920.20608690003</v>
      </c>
      <c r="L228" s="175">
        <v>406109.52589559997</v>
      </c>
      <c r="M228" s="175">
        <v>396101.25263150001</v>
      </c>
      <c r="N228" s="175">
        <v>424313.98639610002</v>
      </c>
      <c r="O228" s="175">
        <v>420977.89773600001</v>
      </c>
      <c r="P228" s="175">
        <v>417641.80907610001</v>
      </c>
      <c r="Q228" s="175">
        <v>442671.88705610001</v>
      </c>
      <c r="R228" s="175">
        <v>435986.36712110002</v>
      </c>
      <c r="S228" s="175">
        <v>474851.42959090002</v>
      </c>
      <c r="U228" s="175">
        <f t="shared" si="16"/>
        <v>419879.07879062311</v>
      </c>
    </row>
    <row r="229" spans="1:21">
      <c r="A229" s="183" t="str">
        <f t="shared" si="14"/>
        <v>507</v>
      </c>
      <c r="B229" s="183" t="str">
        <f t="shared" si="15"/>
        <v>507.0</v>
      </c>
      <c r="C229" s="184" t="s">
        <v>1322</v>
      </c>
      <c r="D229" t="s">
        <v>1323</v>
      </c>
      <c r="G229" s="175">
        <v>0</v>
      </c>
      <c r="H229" s="175">
        <v>2000</v>
      </c>
      <c r="I229" s="175">
        <v>2000</v>
      </c>
      <c r="J229" s="175">
        <v>2000</v>
      </c>
      <c r="K229" s="175">
        <v>2000</v>
      </c>
      <c r="L229" s="175">
        <v>2000</v>
      </c>
      <c r="M229" s="175">
        <v>2000</v>
      </c>
      <c r="N229" s="175">
        <v>2000</v>
      </c>
      <c r="O229" s="175">
        <v>2000</v>
      </c>
      <c r="P229" s="175">
        <v>2000</v>
      </c>
      <c r="Q229" s="175">
        <v>2000</v>
      </c>
      <c r="R229" s="175">
        <v>2000</v>
      </c>
      <c r="S229" s="175">
        <v>2000</v>
      </c>
      <c r="U229" s="175">
        <f t="shared" si="16"/>
        <v>1846.1538461538462</v>
      </c>
    </row>
    <row r="230" spans="1:21">
      <c r="A230" s="183" t="str">
        <f t="shared" si="14"/>
        <v>509</v>
      </c>
      <c r="B230" s="183" t="str">
        <f t="shared" si="15"/>
        <v>509.0</v>
      </c>
      <c r="C230" s="184" t="s">
        <v>1324</v>
      </c>
      <c r="D230" t="s">
        <v>1325</v>
      </c>
      <c r="G230" s="175">
        <v>0</v>
      </c>
      <c r="H230" s="175">
        <v>1410</v>
      </c>
      <c r="I230" s="175">
        <v>1325</v>
      </c>
      <c r="J230" s="175">
        <v>1416</v>
      </c>
      <c r="K230" s="175">
        <v>1365</v>
      </c>
      <c r="L230" s="175">
        <v>1416</v>
      </c>
      <c r="M230" s="175">
        <v>757</v>
      </c>
      <c r="N230" s="175">
        <v>-5</v>
      </c>
      <c r="O230" s="175">
        <v>0</v>
      </c>
      <c r="P230" s="175">
        <v>2350</v>
      </c>
      <c r="Q230" s="175">
        <v>-5</v>
      </c>
      <c r="R230" s="175">
        <v>0</v>
      </c>
      <c r="S230" s="175">
        <v>0</v>
      </c>
      <c r="U230" s="175">
        <f t="shared" si="16"/>
        <v>771.46153846153845</v>
      </c>
    </row>
    <row r="231" spans="1:21">
      <c r="A231" s="183" t="str">
        <f t="shared" si="14"/>
        <v>510</v>
      </c>
      <c r="B231" s="183" t="str">
        <f t="shared" si="15"/>
        <v>510.0</v>
      </c>
      <c r="C231" s="184" t="s">
        <v>1326</v>
      </c>
      <c r="D231" t="s">
        <v>1327</v>
      </c>
      <c r="G231" s="175">
        <v>0</v>
      </c>
      <c r="H231" s="175">
        <v>0</v>
      </c>
      <c r="I231" s="175">
        <v>0</v>
      </c>
      <c r="J231" s="175">
        <v>0</v>
      </c>
      <c r="K231" s="175">
        <v>0</v>
      </c>
      <c r="L231" s="175">
        <v>0</v>
      </c>
      <c r="M231" s="175">
        <v>0</v>
      </c>
      <c r="N231" s="175">
        <v>0</v>
      </c>
      <c r="O231" s="175">
        <v>0</v>
      </c>
      <c r="P231" s="175">
        <v>0</v>
      </c>
      <c r="Q231" s="175">
        <v>0</v>
      </c>
      <c r="R231" s="175">
        <v>0</v>
      </c>
      <c r="S231" s="175">
        <v>0</v>
      </c>
      <c r="U231" s="175">
        <f t="shared" si="16"/>
        <v>0</v>
      </c>
    </row>
    <row r="232" spans="1:21">
      <c r="A232" s="183" t="str">
        <f t="shared" si="14"/>
        <v>511</v>
      </c>
      <c r="B232" s="183" t="str">
        <f t="shared" si="15"/>
        <v>511.0</v>
      </c>
      <c r="C232" s="184" t="s">
        <v>1328</v>
      </c>
      <c r="D232" t="s">
        <v>1329</v>
      </c>
      <c r="G232" s="175">
        <v>657160.77</v>
      </c>
      <c r="H232" s="175">
        <v>285894.0456438</v>
      </c>
      <c r="I232" s="175">
        <v>276424.31670069997</v>
      </c>
      <c r="J232" s="175">
        <v>276866.6587262</v>
      </c>
      <c r="K232" s="175">
        <v>307498.0946671</v>
      </c>
      <c r="L232" s="175">
        <v>308463.00445920002</v>
      </c>
      <c r="M232" s="175">
        <v>292771.61095629999</v>
      </c>
      <c r="N232" s="175">
        <v>316750.25367339997</v>
      </c>
      <c r="O232" s="175">
        <v>312885.72413300001</v>
      </c>
      <c r="P232" s="175">
        <v>310723.34130620002</v>
      </c>
      <c r="Q232" s="175">
        <v>342033.63747050002</v>
      </c>
      <c r="R232" s="175">
        <v>332335.06581830001</v>
      </c>
      <c r="S232" s="175">
        <v>395243.5260294</v>
      </c>
      <c r="U232" s="175">
        <f t="shared" si="16"/>
        <v>339619.23458339233</v>
      </c>
    </row>
    <row r="233" spans="1:21">
      <c r="A233" s="183" t="str">
        <f t="shared" si="14"/>
        <v>512</v>
      </c>
      <c r="B233" s="183" t="str">
        <f t="shared" si="15"/>
        <v>512.0</v>
      </c>
      <c r="C233" s="184" t="s">
        <v>1330</v>
      </c>
      <c r="D233" t="s">
        <v>1331</v>
      </c>
      <c r="G233" s="175">
        <v>1109031.02</v>
      </c>
      <c r="H233" s="175">
        <v>1281364.6684946001</v>
      </c>
      <c r="I233" s="175">
        <v>1258004.7444308</v>
      </c>
      <c r="J233" s="175">
        <v>1258004.7444308</v>
      </c>
      <c r="K233" s="175">
        <v>1384879.3672076</v>
      </c>
      <c r="L233" s="175">
        <v>1367551.8542223</v>
      </c>
      <c r="M233" s="175">
        <v>1386201.0539953001</v>
      </c>
      <c r="N233" s="175">
        <v>1455443.520889</v>
      </c>
      <c r="O233" s="175">
        <v>1452771.0338743001</v>
      </c>
      <c r="P233" s="175">
        <v>1450098.5468421001</v>
      </c>
      <c r="Q233" s="175">
        <v>1483335.1875557001</v>
      </c>
      <c r="R233" s="175">
        <v>1511323.5468421001</v>
      </c>
      <c r="S233" s="175">
        <v>1780810.8077707</v>
      </c>
      <c r="U233" s="175">
        <f t="shared" si="16"/>
        <v>1398370.7766581001</v>
      </c>
    </row>
    <row r="234" spans="1:21">
      <c r="A234" s="183" t="str">
        <f t="shared" si="14"/>
        <v>513</v>
      </c>
      <c r="B234" s="183" t="str">
        <f t="shared" si="15"/>
        <v>513.0</v>
      </c>
      <c r="C234" s="184" t="s">
        <v>1332</v>
      </c>
      <c r="D234" t="s">
        <v>1333</v>
      </c>
      <c r="G234" s="175">
        <v>42704.3</v>
      </c>
      <c r="H234" s="175">
        <v>8374.7447775000001</v>
      </c>
      <c r="I234" s="175">
        <v>7646.5065161000002</v>
      </c>
      <c r="J234" s="175">
        <v>7646.5065161000002</v>
      </c>
      <c r="K234" s="175">
        <v>8010.6256468000001</v>
      </c>
      <c r="L234" s="175">
        <v>8374.7447775000001</v>
      </c>
      <c r="M234" s="175">
        <v>7282.3865902999996</v>
      </c>
      <c r="N234" s="175">
        <v>8374.7447775000001</v>
      </c>
      <c r="O234" s="175">
        <v>8010.6256468000001</v>
      </c>
      <c r="P234" s="175">
        <v>7646.5065161000002</v>
      </c>
      <c r="Q234" s="175">
        <v>8374.7447775000001</v>
      </c>
      <c r="R234" s="175">
        <v>7646.5065161000002</v>
      </c>
      <c r="S234" s="175">
        <v>8010.6256468000001</v>
      </c>
      <c r="U234" s="175">
        <f t="shared" si="16"/>
        <v>10623.351438853848</v>
      </c>
    </row>
    <row r="235" spans="1:21">
      <c r="A235" s="183" t="str">
        <f t="shared" si="14"/>
        <v>514</v>
      </c>
      <c r="B235" s="183" t="str">
        <f t="shared" si="15"/>
        <v>514.0</v>
      </c>
      <c r="C235" s="184" t="s">
        <v>1334</v>
      </c>
      <c r="D235" t="s">
        <v>1335</v>
      </c>
      <c r="G235" s="175">
        <v>271703.40999999997</v>
      </c>
      <c r="H235" s="175">
        <v>8374.7447775000001</v>
      </c>
      <c r="I235" s="175">
        <v>7646.5065161000002</v>
      </c>
      <c r="J235" s="175">
        <v>7646.5065161000002</v>
      </c>
      <c r="K235" s="175">
        <v>8010.6256468000001</v>
      </c>
      <c r="L235" s="175">
        <v>8374.7447775000001</v>
      </c>
      <c r="M235" s="175">
        <v>7282.3865902999996</v>
      </c>
      <c r="N235" s="175">
        <v>8374.7447775000001</v>
      </c>
      <c r="O235" s="175">
        <v>8010.6256468000001</v>
      </c>
      <c r="P235" s="175">
        <v>7646.5065161000002</v>
      </c>
      <c r="Q235" s="175">
        <v>8374.7447775000001</v>
      </c>
      <c r="R235" s="175">
        <v>7646.5065161000002</v>
      </c>
      <c r="S235" s="175">
        <v>8010.6256468000001</v>
      </c>
      <c r="U235" s="175">
        <f t="shared" si="16"/>
        <v>28238.667592699996</v>
      </c>
    </row>
    <row r="236" spans="1:21">
      <c r="A236" s="183" t="str">
        <f t="shared" si="14"/>
        <v>517</v>
      </c>
      <c r="B236" s="183" t="str">
        <f t="shared" si="15"/>
        <v>517.0</v>
      </c>
      <c r="C236" s="184" t="s">
        <v>1336</v>
      </c>
      <c r="D236" t="s">
        <v>1337</v>
      </c>
      <c r="G236" s="175">
        <v>0</v>
      </c>
      <c r="H236" s="175">
        <v>0</v>
      </c>
      <c r="I236" s="175">
        <v>0</v>
      </c>
      <c r="J236" s="175">
        <v>0</v>
      </c>
      <c r="K236" s="175">
        <v>0</v>
      </c>
      <c r="L236" s="175">
        <v>0</v>
      </c>
      <c r="M236" s="175">
        <v>0</v>
      </c>
      <c r="N236" s="175">
        <v>0</v>
      </c>
      <c r="O236" s="175">
        <v>0</v>
      </c>
      <c r="P236" s="175">
        <v>0</v>
      </c>
      <c r="Q236" s="175">
        <v>0</v>
      </c>
      <c r="R236" s="175">
        <v>0</v>
      </c>
      <c r="S236" s="175">
        <v>0</v>
      </c>
      <c r="U236" s="175">
        <f t="shared" si="16"/>
        <v>0</v>
      </c>
    </row>
    <row r="237" spans="1:21">
      <c r="A237" s="183" t="str">
        <f t="shared" si="14"/>
        <v>518</v>
      </c>
      <c r="B237" s="183" t="str">
        <f t="shared" si="15"/>
        <v>518.0</v>
      </c>
      <c r="C237" s="184" t="s">
        <v>1338</v>
      </c>
      <c r="D237" t="s">
        <v>1339</v>
      </c>
      <c r="G237" s="175">
        <v>0</v>
      </c>
      <c r="H237" s="175">
        <v>0</v>
      </c>
      <c r="I237" s="175">
        <v>0</v>
      </c>
      <c r="J237" s="175">
        <v>0</v>
      </c>
      <c r="K237" s="175">
        <v>0</v>
      </c>
      <c r="L237" s="175">
        <v>0</v>
      </c>
      <c r="M237" s="175">
        <v>0</v>
      </c>
      <c r="N237" s="175">
        <v>0</v>
      </c>
      <c r="O237" s="175">
        <v>0</v>
      </c>
      <c r="P237" s="175">
        <v>0</v>
      </c>
      <c r="Q237" s="175">
        <v>0</v>
      </c>
      <c r="R237" s="175">
        <v>0</v>
      </c>
      <c r="S237" s="175">
        <v>0</v>
      </c>
      <c r="U237" s="175">
        <f t="shared" si="16"/>
        <v>0</v>
      </c>
    </row>
    <row r="238" spans="1:21">
      <c r="A238" s="183" t="str">
        <f t="shared" si="14"/>
        <v>519</v>
      </c>
      <c r="B238" s="183" t="str">
        <f t="shared" si="15"/>
        <v>519.0</v>
      </c>
      <c r="C238" s="184" t="s">
        <v>1340</v>
      </c>
      <c r="D238" t="s">
        <v>1341</v>
      </c>
      <c r="G238" s="175">
        <v>0</v>
      </c>
      <c r="H238" s="175">
        <v>0</v>
      </c>
      <c r="I238" s="175">
        <v>0</v>
      </c>
      <c r="J238" s="175">
        <v>0</v>
      </c>
      <c r="K238" s="175">
        <v>0</v>
      </c>
      <c r="L238" s="175">
        <v>0</v>
      </c>
      <c r="M238" s="175">
        <v>0</v>
      </c>
      <c r="N238" s="175">
        <v>0</v>
      </c>
      <c r="O238" s="175">
        <v>0</v>
      </c>
      <c r="P238" s="175">
        <v>0</v>
      </c>
      <c r="Q238" s="175">
        <v>0</v>
      </c>
      <c r="R238" s="175">
        <v>0</v>
      </c>
      <c r="S238" s="175">
        <v>0</v>
      </c>
      <c r="U238" s="175">
        <f t="shared" si="16"/>
        <v>0</v>
      </c>
    </row>
    <row r="239" spans="1:21">
      <c r="A239" s="183" t="str">
        <f t="shared" si="14"/>
        <v>520</v>
      </c>
      <c r="B239" s="183" t="str">
        <f t="shared" si="15"/>
        <v>520.0</v>
      </c>
      <c r="C239" s="184" t="s">
        <v>1342</v>
      </c>
      <c r="D239" t="s">
        <v>1343</v>
      </c>
      <c r="G239" s="175">
        <v>0</v>
      </c>
      <c r="H239" s="175">
        <v>0</v>
      </c>
      <c r="I239" s="175">
        <v>0</v>
      </c>
      <c r="J239" s="175">
        <v>0</v>
      </c>
      <c r="K239" s="175">
        <v>0</v>
      </c>
      <c r="L239" s="175">
        <v>0</v>
      </c>
      <c r="M239" s="175">
        <v>0</v>
      </c>
      <c r="N239" s="175">
        <v>0</v>
      </c>
      <c r="O239" s="175">
        <v>0</v>
      </c>
      <c r="P239" s="175">
        <v>0</v>
      </c>
      <c r="Q239" s="175">
        <v>0</v>
      </c>
      <c r="R239" s="175">
        <v>0</v>
      </c>
      <c r="S239" s="175">
        <v>0</v>
      </c>
      <c r="U239" s="175">
        <f t="shared" si="16"/>
        <v>0</v>
      </c>
    </row>
    <row r="240" spans="1:21">
      <c r="A240" s="183" t="str">
        <f t="shared" si="14"/>
        <v>521</v>
      </c>
      <c r="B240" s="183" t="str">
        <f t="shared" si="15"/>
        <v>521.0</v>
      </c>
      <c r="C240" s="184" t="s">
        <v>1344</v>
      </c>
      <c r="D240" t="s">
        <v>1345</v>
      </c>
      <c r="G240" s="175">
        <v>0</v>
      </c>
      <c r="H240" s="175">
        <v>0</v>
      </c>
      <c r="I240" s="175">
        <v>0</v>
      </c>
      <c r="J240" s="175">
        <v>0</v>
      </c>
      <c r="K240" s="175">
        <v>0</v>
      </c>
      <c r="L240" s="175">
        <v>0</v>
      </c>
      <c r="M240" s="175">
        <v>0</v>
      </c>
      <c r="N240" s="175">
        <v>0</v>
      </c>
      <c r="O240" s="175">
        <v>0</v>
      </c>
      <c r="P240" s="175">
        <v>0</v>
      </c>
      <c r="Q240" s="175">
        <v>0</v>
      </c>
      <c r="R240" s="175">
        <v>0</v>
      </c>
      <c r="S240" s="175">
        <v>0</v>
      </c>
      <c r="U240" s="175">
        <f t="shared" si="16"/>
        <v>0</v>
      </c>
    </row>
    <row r="241" spans="1:21">
      <c r="A241" s="183" t="str">
        <f t="shared" si="14"/>
        <v>522</v>
      </c>
      <c r="B241" s="183" t="str">
        <f t="shared" si="15"/>
        <v>522.0</v>
      </c>
      <c r="C241" s="184" t="s">
        <v>1346</v>
      </c>
      <c r="D241" t="s">
        <v>1347</v>
      </c>
      <c r="G241" s="175">
        <v>0</v>
      </c>
      <c r="H241" s="175">
        <v>0</v>
      </c>
      <c r="I241" s="175">
        <v>0</v>
      </c>
      <c r="J241" s="175">
        <v>0</v>
      </c>
      <c r="K241" s="175">
        <v>0</v>
      </c>
      <c r="L241" s="175">
        <v>0</v>
      </c>
      <c r="M241" s="175">
        <v>0</v>
      </c>
      <c r="N241" s="175">
        <v>0</v>
      </c>
      <c r="O241" s="175">
        <v>0</v>
      </c>
      <c r="P241" s="175">
        <v>0</v>
      </c>
      <c r="Q241" s="175">
        <v>0</v>
      </c>
      <c r="R241" s="175">
        <v>0</v>
      </c>
      <c r="S241" s="175">
        <v>0</v>
      </c>
      <c r="U241" s="175">
        <f t="shared" si="16"/>
        <v>0</v>
      </c>
    </row>
    <row r="242" spans="1:21">
      <c r="A242" s="183" t="str">
        <f t="shared" si="14"/>
        <v>523</v>
      </c>
      <c r="B242" s="183" t="str">
        <f t="shared" si="15"/>
        <v>523.0</v>
      </c>
      <c r="C242" s="184" t="s">
        <v>1348</v>
      </c>
      <c r="D242" t="s">
        <v>1349</v>
      </c>
      <c r="G242" s="175">
        <v>0</v>
      </c>
      <c r="H242" s="175">
        <v>0</v>
      </c>
      <c r="I242" s="175">
        <v>0</v>
      </c>
      <c r="J242" s="175">
        <v>0</v>
      </c>
      <c r="K242" s="175">
        <v>0</v>
      </c>
      <c r="L242" s="175">
        <v>0</v>
      </c>
      <c r="M242" s="175">
        <v>0</v>
      </c>
      <c r="N242" s="175">
        <v>0</v>
      </c>
      <c r="O242" s="175">
        <v>0</v>
      </c>
      <c r="P242" s="175">
        <v>0</v>
      </c>
      <c r="Q242" s="175">
        <v>0</v>
      </c>
      <c r="R242" s="175">
        <v>0</v>
      </c>
      <c r="S242" s="175">
        <v>0</v>
      </c>
      <c r="U242" s="175">
        <f t="shared" si="16"/>
        <v>0</v>
      </c>
    </row>
    <row r="243" spans="1:21">
      <c r="A243" s="183" t="str">
        <f t="shared" si="14"/>
        <v>524</v>
      </c>
      <c r="B243" s="183" t="str">
        <f t="shared" si="15"/>
        <v>524.0</v>
      </c>
      <c r="C243" s="184" t="s">
        <v>1350</v>
      </c>
      <c r="D243" t="s">
        <v>1351</v>
      </c>
      <c r="G243" s="175">
        <v>0</v>
      </c>
      <c r="H243" s="175">
        <v>0</v>
      </c>
      <c r="I243" s="175">
        <v>0</v>
      </c>
      <c r="J243" s="175">
        <v>0</v>
      </c>
      <c r="K243" s="175">
        <v>0</v>
      </c>
      <c r="L243" s="175">
        <v>0</v>
      </c>
      <c r="M243" s="175">
        <v>0</v>
      </c>
      <c r="N243" s="175">
        <v>0</v>
      </c>
      <c r="O243" s="175">
        <v>0</v>
      </c>
      <c r="P243" s="175">
        <v>0</v>
      </c>
      <c r="Q243" s="175">
        <v>0</v>
      </c>
      <c r="R243" s="175">
        <v>0</v>
      </c>
      <c r="S243" s="175">
        <v>0</v>
      </c>
      <c r="U243" s="175">
        <f t="shared" si="16"/>
        <v>0</v>
      </c>
    </row>
    <row r="244" spans="1:21">
      <c r="A244" s="183" t="str">
        <f t="shared" si="14"/>
        <v>525</v>
      </c>
      <c r="B244" s="183" t="str">
        <f t="shared" si="15"/>
        <v>525.0</v>
      </c>
      <c r="C244" s="184" t="s">
        <v>1352</v>
      </c>
      <c r="D244" t="s">
        <v>1353</v>
      </c>
      <c r="G244" s="175">
        <v>0</v>
      </c>
      <c r="H244" s="175">
        <v>0</v>
      </c>
      <c r="I244" s="175">
        <v>0</v>
      </c>
      <c r="J244" s="175">
        <v>0</v>
      </c>
      <c r="K244" s="175">
        <v>0</v>
      </c>
      <c r="L244" s="175">
        <v>0</v>
      </c>
      <c r="M244" s="175">
        <v>0</v>
      </c>
      <c r="N244" s="175">
        <v>0</v>
      </c>
      <c r="O244" s="175">
        <v>0</v>
      </c>
      <c r="P244" s="175">
        <v>0</v>
      </c>
      <c r="Q244" s="175">
        <v>0</v>
      </c>
      <c r="R244" s="175">
        <v>0</v>
      </c>
      <c r="S244" s="175">
        <v>0</v>
      </c>
      <c r="U244" s="175">
        <f t="shared" si="16"/>
        <v>0</v>
      </c>
    </row>
    <row r="245" spans="1:21">
      <c r="A245" s="183" t="str">
        <f t="shared" si="14"/>
        <v>528</v>
      </c>
      <c r="B245" s="183" t="str">
        <f t="shared" si="15"/>
        <v>528.0</v>
      </c>
      <c r="C245" s="184" t="s">
        <v>1354</v>
      </c>
      <c r="D245" t="s">
        <v>1355</v>
      </c>
      <c r="G245" s="175">
        <v>0</v>
      </c>
      <c r="H245" s="175">
        <v>0</v>
      </c>
      <c r="I245" s="175">
        <v>0</v>
      </c>
      <c r="J245" s="175">
        <v>0</v>
      </c>
      <c r="K245" s="175">
        <v>0</v>
      </c>
      <c r="L245" s="175">
        <v>0</v>
      </c>
      <c r="M245" s="175">
        <v>0</v>
      </c>
      <c r="N245" s="175">
        <v>0</v>
      </c>
      <c r="O245" s="175">
        <v>0</v>
      </c>
      <c r="P245" s="175">
        <v>0</v>
      </c>
      <c r="Q245" s="175">
        <v>0</v>
      </c>
      <c r="R245" s="175">
        <v>0</v>
      </c>
      <c r="S245" s="175">
        <v>0</v>
      </c>
      <c r="U245" s="175">
        <f t="shared" si="16"/>
        <v>0</v>
      </c>
    </row>
    <row r="246" spans="1:21">
      <c r="A246" s="183" t="str">
        <f t="shared" si="14"/>
        <v>529</v>
      </c>
      <c r="B246" s="183" t="str">
        <f t="shared" si="15"/>
        <v>529.0</v>
      </c>
      <c r="C246" s="184" t="s">
        <v>1356</v>
      </c>
      <c r="D246" t="s">
        <v>1357</v>
      </c>
      <c r="G246" s="175">
        <v>0</v>
      </c>
      <c r="H246" s="175">
        <v>0</v>
      </c>
      <c r="I246" s="175">
        <v>0</v>
      </c>
      <c r="J246" s="175">
        <v>0</v>
      </c>
      <c r="K246" s="175">
        <v>0</v>
      </c>
      <c r="L246" s="175">
        <v>0</v>
      </c>
      <c r="M246" s="175">
        <v>0</v>
      </c>
      <c r="N246" s="175">
        <v>0</v>
      </c>
      <c r="O246" s="175">
        <v>0</v>
      </c>
      <c r="P246" s="175">
        <v>0</v>
      </c>
      <c r="Q246" s="175">
        <v>0</v>
      </c>
      <c r="R246" s="175">
        <v>0</v>
      </c>
      <c r="S246" s="175">
        <v>0</v>
      </c>
      <c r="U246" s="175">
        <f t="shared" si="16"/>
        <v>0</v>
      </c>
    </row>
    <row r="247" spans="1:21">
      <c r="A247" s="183" t="str">
        <f t="shared" si="14"/>
        <v>530</v>
      </c>
      <c r="B247" s="183" t="str">
        <f t="shared" si="15"/>
        <v>530.0</v>
      </c>
      <c r="C247" s="184" t="s">
        <v>1358</v>
      </c>
      <c r="D247" t="s">
        <v>1359</v>
      </c>
      <c r="G247" s="175">
        <v>0</v>
      </c>
      <c r="H247" s="175">
        <v>0</v>
      </c>
      <c r="I247" s="175">
        <v>0</v>
      </c>
      <c r="J247" s="175">
        <v>0</v>
      </c>
      <c r="K247" s="175">
        <v>0</v>
      </c>
      <c r="L247" s="175">
        <v>0</v>
      </c>
      <c r="M247" s="175">
        <v>0</v>
      </c>
      <c r="N247" s="175">
        <v>0</v>
      </c>
      <c r="O247" s="175">
        <v>0</v>
      </c>
      <c r="P247" s="175">
        <v>0</v>
      </c>
      <c r="Q247" s="175">
        <v>0</v>
      </c>
      <c r="R247" s="175">
        <v>0</v>
      </c>
      <c r="S247" s="175">
        <v>0</v>
      </c>
      <c r="U247" s="175">
        <f t="shared" si="16"/>
        <v>0</v>
      </c>
    </row>
    <row r="248" spans="1:21">
      <c r="A248" s="183" t="str">
        <f t="shared" si="14"/>
        <v>531</v>
      </c>
      <c r="B248" s="183" t="str">
        <f t="shared" si="15"/>
        <v>531.0</v>
      </c>
      <c r="C248" s="184" t="s">
        <v>1360</v>
      </c>
      <c r="D248" t="s">
        <v>1361</v>
      </c>
      <c r="G248" s="175">
        <v>0</v>
      </c>
      <c r="H248" s="175">
        <v>0</v>
      </c>
      <c r="I248" s="175">
        <v>0</v>
      </c>
      <c r="J248" s="175">
        <v>0</v>
      </c>
      <c r="K248" s="175">
        <v>0</v>
      </c>
      <c r="L248" s="175">
        <v>0</v>
      </c>
      <c r="M248" s="175">
        <v>0</v>
      </c>
      <c r="N248" s="175">
        <v>0</v>
      </c>
      <c r="O248" s="175">
        <v>0</v>
      </c>
      <c r="P248" s="175">
        <v>0</v>
      </c>
      <c r="Q248" s="175">
        <v>0</v>
      </c>
      <c r="R248" s="175">
        <v>0</v>
      </c>
      <c r="S248" s="175">
        <v>0</v>
      </c>
      <c r="U248" s="175">
        <f t="shared" si="16"/>
        <v>0</v>
      </c>
    </row>
    <row r="249" spans="1:21">
      <c r="A249" s="183" t="str">
        <f t="shared" si="14"/>
        <v>532</v>
      </c>
      <c r="B249" s="183" t="str">
        <f t="shared" si="15"/>
        <v>532.0</v>
      </c>
      <c r="C249" s="184" t="s">
        <v>1362</v>
      </c>
      <c r="D249" t="s">
        <v>1363</v>
      </c>
      <c r="G249" s="175">
        <v>0</v>
      </c>
      <c r="H249" s="175">
        <v>0</v>
      </c>
      <c r="I249" s="175">
        <v>0</v>
      </c>
      <c r="J249" s="175">
        <v>0</v>
      </c>
      <c r="K249" s="175">
        <v>0</v>
      </c>
      <c r="L249" s="175">
        <v>0</v>
      </c>
      <c r="M249" s="175">
        <v>0</v>
      </c>
      <c r="N249" s="175">
        <v>0</v>
      </c>
      <c r="O249" s="175">
        <v>0</v>
      </c>
      <c r="P249" s="175">
        <v>0</v>
      </c>
      <c r="Q249" s="175">
        <v>0</v>
      </c>
      <c r="R249" s="175">
        <v>0</v>
      </c>
      <c r="S249" s="175">
        <v>0</v>
      </c>
      <c r="U249" s="175">
        <f t="shared" si="16"/>
        <v>0</v>
      </c>
    </row>
    <row r="250" spans="1:21">
      <c r="A250" s="183" t="str">
        <f t="shared" si="14"/>
        <v>535</v>
      </c>
      <c r="B250" s="183" t="str">
        <f t="shared" si="15"/>
        <v>535.0</v>
      </c>
      <c r="C250" s="184" t="s">
        <v>1364</v>
      </c>
      <c r="D250" t="s">
        <v>1365</v>
      </c>
      <c r="G250" s="175">
        <v>0</v>
      </c>
      <c r="H250" s="175">
        <v>0</v>
      </c>
      <c r="I250" s="175">
        <v>0</v>
      </c>
      <c r="J250" s="175">
        <v>0</v>
      </c>
      <c r="K250" s="175">
        <v>0</v>
      </c>
      <c r="L250" s="175">
        <v>0</v>
      </c>
      <c r="M250" s="175">
        <v>0</v>
      </c>
      <c r="N250" s="175">
        <v>0</v>
      </c>
      <c r="O250" s="175">
        <v>0</v>
      </c>
      <c r="P250" s="175">
        <v>0</v>
      </c>
      <c r="Q250" s="175">
        <v>0</v>
      </c>
      <c r="R250" s="175">
        <v>0</v>
      </c>
      <c r="S250" s="175">
        <v>0</v>
      </c>
      <c r="U250" s="175">
        <f t="shared" si="16"/>
        <v>0</v>
      </c>
    </row>
    <row r="251" spans="1:21">
      <c r="A251" s="183" t="str">
        <f t="shared" si="14"/>
        <v>536</v>
      </c>
      <c r="B251" s="183" t="str">
        <f t="shared" si="15"/>
        <v>536.0</v>
      </c>
      <c r="C251" s="184" t="s">
        <v>1366</v>
      </c>
      <c r="D251" t="s">
        <v>1367</v>
      </c>
      <c r="G251" s="175">
        <v>0</v>
      </c>
      <c r="H251" s="175">
        <v>0</v>
      </c>
      <c r="I251" s="175">
        <v>0</v>
      </c>
      <c r="J251" s="175">
        <v>0</v>
      </c>
      <c r="K251" s="175">
        <v>0</v>
      </c>
      <c r="L251" s="175">
        <v>0</v>
      </c>
      <c r="M251" s="175">
        <v>0</v>
      </c>
      <c r="N251" s="175">
        <v>0</v>
      </c>
      <c r="O251" s="175">
        <v>0</v>
      </c>
      <c r="P251" s="175">
        <v>0</v>
      </c>
      <c r="Q251" s="175">
        <v>0</v>
      </c>
      <c r="R251" s="175">
        <v>0</v>
      </c>
      <c r="S251" s="175">
        <v>0</v>
      </c>
      <c r="U251" s="175">
        <f t="shared" si="16"/>
        <v>0</v>
      </c>
    </row>
    <row r="252" spans="1:21">
      <c r="A252" s="183" t="str">
        <f t="shared" si="14"/>
        <v>537</v>
      </c>
      <c r="B252" s="183" t="str">
        <f t="shared" si="15"/>
        <v>537.0</v>
      </c>
      <c r="C252" s="184" t="s">
        <v>1368</v>
      </c>
      <c r="D252" t="s">
        <v>1369</v>
      </c>
      <c r="G252" s="175">
        <v>0</v>
      </c>
      <c r="H252" s="175">
        <v>0</v>
      </c>
      <c r="I252" s="175">
        <v>0</v>
      </c>
      <c r="J252" s="175">
        <v>0</v>
      </c>
      <c r="K252" s="175">
        <v>0</v>
      </c>
      <c r="L252" s="175">
        <v>0</v>
      </c>
      <c r="M252" s="175">
        <v>0</v>
      </c>
      <c r="N252" s="175">
        <v>0</v>
      </c>
      <c r="O252" s="175">
        <v>0</v>
      </c>
      <c r="P252" s="175">
        <v>0</v>
      </c>
      <c r="Q252" s="175">
        <v>0</v>
      </c>
      <c r="R252" s="175">
        <v>0</v>
      </c>
      <c r="S252" s="175">
        <v>0</v>
      </c>
      <c r="U252" s="175">
        <f t="shared" si="16"/>
        <v>0</v>
      </c>
    </row>
    <row r="253" spans="1:21">
      <c r="A253" s="183" t="str">
        <f t="shared" si="14"/>
        <v>538</v>
      </c>
      <c r="B253" s="183" t="str">
        <f t="shared" si="15"/>
        <v>538.0</v>
      </c>
      <c r="C253" s="184" t="s">
        <v>1370</v>
      </c>
      <c r="D253" t="s">
        <v>1371</v>
      </c>
      <c r="G253" s="175">
        <v>0</v>
      </c>
      <c r="H253" s="175">
        <v>0</v>
      </c>
      <c r="I253" s="175">
        <v>0</v>
      </c>
      <c r="J253" s="175">
        <v>0</v>
      </c>
      <c r="K253" s="175">
        <v>0</v>
      </c>
      <c r="L253" s="175">
        <v>0</v>
      </c>
      <c r="M253" s="175">
        <v>0</v>
      </c>
      <c r="N253" s="175">
        <v>0</v>
      </c>
      <c r="O253" s="175">
        <v>0</v>
      </c>
      <c r="P253" s="175">
        <v>0</v>
      </c>
      <c r="Q253" s="175">
        <v>0</v>
      </c>
      <c r="R253" s="175">
        <v>0</v>
      </c>
      <c r="S253" s="175">
        <v>0</v>
      </c>
      <c r="U253" s="175">
        <f t="shared" si="16"/>
        <v>0</v>
      </c>
    </row>
    <row r="254" spans="1:21">
      <c r="A254" s="183" t="str">
        <f t="shared" si="14"/>
        <v>539</v>
      </c>
      <c r="B254" s="183" t="str">
        <f t="shared" si="15"/>
        <v>539.0</v>
      </c>
      <c r="C254" s="184" t="s">
        <v>1372</v>
      </c>
      <c r="D254" t="s">
        <v>1373</v>
      </c>
      <c r="G254" s="175">
        <v>0</v>
      </c>
      <c r="H254" s="175">
        <v>0</v>
      </c>
      <c r="I254" s="175">
        <v>0</v>
      </c>
      <c r="J254" s="175">
        <v>0</v>
      </c>
      <c r="K254" s="175">
        <v>0</v>
      </c>
      <c r="L254" s="175">
        <v>0</v>
      </c>
      <c r="M254" s="175">
        <v>0</v>
      </c>
      <c r="N254" s="175">
        <v>0</v>
      </c>
      <c r="O254" s="175">
        <v>0</v>
      </c>
      <c r="P254" s="175">
        <v>0</v>
      </c>
      <c r="Q254" s="175">
        <v>0</v>
      </c>
      <c r="R254" s="175">
        <v>0</v>
      </c>
      <c r="S254" s="175">
        <v>0</v>
      </c>
      <c r="U254" s="175">
        <f t="shared" si="16"/>
        <v>0</v>
      </c>
    </row>
    <row r="255" spans="1:21">
      <c r="A255" s="183" t="str">
        <f t="shared" si="14"/>
        <v>540</v>
      </c>
      <c r="B255" s="183" t="str">
        <f t="shared" si="15"/>
        <v>540.0</v>
      </c>
      <c r="C255" s="184" t="s">
        <v>1374</v>
      </c>
      <c r="D255" t="s">
        <v>1375</v>
      </c>
      <c r="G255" s="175">
        <v>0</v>
      </c>
      <c r="H255" s="175">
        <v>0</v>
      </c>
      <c r="I255" s="175">
        <v>0</v>
      </c>
      <c r="J255" s="175">
        <v>0</v>
      </c>
      <c r="K255" s="175">
        <v>0</v>
      </c>
      <c r="L255" s="175">
        <v>0</v>
      </c>
      <c r="M255" s="175">
        <v>0</v>
      </c>
      <c r="N255" s="175">
        <v>0</v>
      </c>
      <c r="O255" s="175">
        <v>0</v>
      </c>
      <c r="P255" s="175">
        <v>0</v>
      </c>
      <c r="Q255" s="175">
        <v>0</v>
      </c>
      <c r="R255" s="175">
        <v>0</v>
      </c>
      <c r="S255" s="175">
        <v>0</v>
      </c>
      <c r="U255" s="175">
        <f t="shared" si="16"/>
        <v>0</v>
      </c>
    </row>
    <row r="256" spans="1:21">
      <c r="A256" s="183" t="str">
        <f t="shared" si="14"/>
        <v>541</v>
      </c>
      <c r="B256" s="183" t="str">
        <f t="shared" si="15"/>
        <v>541.0</v>
      </c>
      <c r="C256" s="184" t="s">
        <v>1376</v>
      </c>
      <c r="D256" t="s">
        <v>1377</v>
      </c>
      <c r="G256" s="175">
        <v>0</v>
      </c>
      <c r="H256" s="175">
        <v>0</v>
      </c>
      <c r="I256" s="175">
        <v>0</v>
      </c>
      <c r="J256" s="175">
        <v>0</v>
      </c>
      <c r="K256" s="175">
        <v>0</v>
      </c>
      <c r="L256" s="175">
        <v>0</v>
      </c>
      <c r="M256" s="175">
        <v>0</v>
      </c>
      <c r="N256" s="175">
        <v>0</v>
      </c>
      <c r="O256" s="175">
        <v>0</v>
      </c>
      <c r="P256" s="175">
        <v>0</v>
      </c>
      <c r="Q256" s="175">
        <v>0</v>
      </c>
      <c r="R256" s="175">
        <v>0</v>
      </c>
      <c r="S256" s="175">
        <v>0</v>
      </c>
      <c r="U256" s="175">
        <f t="shared" si="16"/>
        <v>0</v>
      </c>
    </row>
    <row r="257" spans="1:21">
      <c r="A257" s="183" t="str">
        <f t="shared" si="14"/>
        <v>542</v>
      </c>
      <c r="B257" s="183" t="str">
        <f t="shared" si="15"/>
        <v>542.0</v>
      </c>
      <c r="C257" s="184" t="s">
        <v>1378</v>
      </c>
      <c r="D257" t="s">
        <v>1379</v>
      </c>
      <c r="G257" s="175">
        <v>0</v>
      </c>
      <c r="H257" s="175">
        <v>0</v>
      </c>
      <c r="I257" s="175">
        <v>0</v>
      </c>
      <c r="J257" s="175">
        <v>0</v>
      </c>
      <c r="K257" s="175">
        <v>0</v>
      </c>
      <c r="L257" s="175">
        <v>0</v>
      </c>
      <c r="M257" s="175">
        <v>0</v>
      </c>
      <c r="N257" s="175">
        <v>0</v>
      </c>
      <c r="O257" s="175">
        <v>0</v>
      </c>
      <c r="P257" s="175">
        <v>0</v>
      </c>
      <c r="Q257" s="175">
        <v>0</v>
      </c>
      <c r="R257" s="175">
        <v>0</v>
      </c>
      <c r="S257" s="175">
        <v>0</v>
      </c>
      <c r="U257" s="175">
        <f t="shared" si="16"/>
        <v>0</v>
      </c>
    </row>
    <row r="258" spans="1:21">
      <c r="A258" s="183" t="str">
        <f t="shared" si="14"/>
        <v>543</v>
      </c>
      <c r="B258" s="183" t="str">
        <f t="shared" si="15"/>
        <v>543.0</v>
      </c>
      <c r="C258" s="184" t="s">
        <v>1380</v>
      </c>
      <c r="D258" t="s">
        <v>1381</v>
      </c>
      <c r="G258" s="175">
        <v>0</v>
      </c>
      <c r="H258" s="175">
        <v>0</v>
      </c>
      <c r="I258" s="175">
        <v>0</v>
      </c>
      <c r="J258" s="175">
        <v>0</v>
      </c>
      <c r="K258" s="175">
        <v>0</v>
      </c>
      <c r="L258" s="175">
        <v>0</v>
      </c>
      <c r="M258" s="175">
        <v>0</v>
      </c>
      <c r="N258" s="175">
        <v>0</v>
      </c>
      <c r="O258" s="175">
        <v>0</v>
      </c>
      <c r="P258" s="175">
        <v>0</v>
      </c>
      <c r="Q258" s="175">
        <v>0</v>
      </c>
      <c r="R258" s="175">
        <v>0</v>
      </c>
      <c r="S258" s="175">
        <v>0</v>
      </c>
      <c r="U258" s="175">
        <f t="shared" si="16"/>
        <v>0</v>
      </c>
    </row>
    <row r="259" spans="1:21">
      <c r="A259" s="183" t="str">
        <f t="shared" si="14"/>
        <v>544</v>
      </c>
      <c r="B259" s="183" t="str">
        <f t="shared" si="15"/>
        <v>544.0</v>
      </c>
      <c r="C259" s="184" t="s">
        <v>1382</v>
      </c>
      <c r="D259" t="s">
        <v>1383</v>
      </c>
      <c r="G259" s="175">
        <v>0</v>
      </c>
      <c r="H259" s="175">
        <v>0</v>
      </c>
      <c r="I259" s="175">
        <v>0</v>
      </c>
      <c r="J259" s="175">
        <v>0</v>
      </c>
      <c r="K259" s="175">
        <v>0</v>
      </c>
      <c r="L259" s="175">
        <v>0</v>
      </c>
      <c r="M259" s="175">
        <v>0</v>
      </c>
      <c r="N259" s="175">
        <v>0</v>
      </c>
      <c r="O259" s="175">
        <v>0</v>
      </c>
      <c r="P259" s="175">
        <v>0</v>
      </c>
      <c r="Q259" s="175">
        <v>0</v>
      </c>
      <c r="R259" s="175">
        <v>0</v>
      </c>
      <c r="S259" s="175">
        <v>0</v>
      </c>
      <c r="U259" s="175">
        <f t="shared" si="16"/>
        <v>0</v>
      </c>
    </row>
    <row r="260" spans="1:21">
      <c r="A260" s="183" t="str">
        <f t="shared" si="14"/>
        <v>545</v>
      </c>
      <c r="B260" s="183" t="str">
        <f t="shared" si="15"/>
        <v>545.0</v>
      </c>
      <c r="C260" s="184" t="s">
        <v>1384</v>
      </c>
      <c r="D260" t="s">
        <v>1385</v>
      </c>
      <c r="G260" s="175">
        <v>0</v>
      </c>
      <c r="H260" s="175">
        <v>0</v>
      </c>
      <c r="I260" s="175">
        <v>0</v>
      </c>
      <c r="J260" s="175">
        <v>0</v>
      </c>
      <c r="K260" s="175">
        <v>0</v>
      </c>
      <c r="L260" s="175">
        <v>0</v>
      </c>
      <c r="M260" s="175">
        <v>0</v>
      </c>
      <c r="N260" s="175">
        <v>0</v>
      </c>
      <c r="O260" s="175">
        <v>0</v>
      </c>
      <c r="P260" s="175">
        <v>0</v>
      </c>
      <c r="Q260" s="175">
        <v>0</v>
      </c>
      <c r="R260" s="175">
        <v>0</v>
      </c>
      <c r="S260" s="175">
        <v>0</v>
      </c>
      <c r="U260" s="175">
        <f t="shared" si="16"/>
        <v>0</v>
      </c>
    </row>
    <row r="261" spans="1:21">
      <c r="A261" s="183" t="str">
        <f t="shared" si="14"/>
        <v>546</v>
      </c>
      <c r="B261" s="183" t="str">
        <f t="shared" si="15"/>
        <v>546.0</v>
      </c>
      <c r="C261" s="184" t="s">
        <v>1386</v>
      </c>
      <c r="D261" t="s">
        <v>1387</v>
      </c>
      <c r="G261" s="175">
        <v>4879.5600000000004</v>
      </c>
      <c r="H261" s="175">
        <v>0</v>
      </c>
      <c r="I261" s="175">
        <v>0</v>
      </c>
      <c r="J261" s="175">
        <v>0</v>
      </c>
      <c r="K261" s="175">
        <v>0</v>
      </c>
      <c r="L261" s="175">
        <v>0</v>
      </c>
      <c r="M261" s="175">
        <v>0</v>
      </c>
      <c r="N261" s="175">
        <v>0</v>
      </c>
      <c r="O261" s="175">
        <v>0</v>
      </c>
      <c r="P261" s="175">
        <v>0</v>
      </c>
      <c r="Q261" s="175">
        <v>0</v>
      </c>
      <c r="R261" s="175">
        <v>0</v>
      </c>
      <c r="S261" s="175">
        <v>0</v>
      </c>
      <c r="U261" s="175">
        <f t="shared" si="16"/>
        <v>375.35076923076929</v>
      </c>
    </row>
    <row r="262" spans="1:21">
      <c r="A262" s="183" t="str">
        <f t="shared" si="14"/>
        <v>547</v>
      </c>
      <c r="B262" s="183" t="str">
        <f t="shared" si="15"/>
        <v>547.0</v>
      </c>
      <c r="C262" s="184" t="s">
        <v>1388</v>
      </c>
      <c r="D262" t="s">
        <v>1389</v>
      </c>
      <c r="G262" s="175">
        <v>34447368.649999999</v>
      </c>
      <c r="H262" s="175">
        <v>49401217</v>
      </c>
      <c r="I262" s="175">
        <v>43252487</v>
      </c>
      <c r="J262" s="175">
        <v>44350282</v>
      </c>
      <c r="K262" s="175">
        <v>43576972.571428597</v>
      </c>
      <c r="L262" s="175">
        <v>51672260.571428597</v>
      </c>
      <c r="M262" s="175">
        <v>58031891.571428597</v>
      </c>
      <c r="N262" s="175">
        <v>62291296.857142903</v>
      </c>
      <c r="O262" s="175">
        <v>62863417.857142903</v>
      </c>
      <c r="P262" s="175">
        <v>57636939.857142903</v>
      </c>
      <c r="Q262" s="175">
        <v>54284835.142857097</v>
      </c>
      <c r="R262" s="175">
        <v>44731326.142857097</v>
      </c>
      <c r="S262" s="175">
        <v>47233879.571428597</v>
      </c>
      <c r="U262" s="175">
        <f t="shared" si="16"/>
        <v>50290321.137912109</v>
      </c>
    </row>
    <row r="263" spans="1:21">
      <c r="A263" s="183" t="str">
        <f t="shared" ref="A263:A326" si="17">MID(C263,2,3)</f>
        <v>548</v>
      </c>
      <c r="B263" s="183" t="str">
        <f t="shared" ref="B263:B326" si="18">MID(C263,2,3)&amp;"."&amp;MID(C263,5,1)</f>
        <v>548.0</v>
      </c>
      <c r="C263" s="184" t="s">
        <v>1390</v>
      </c>
      <c r="D263" t="s">
        <v>1391</v>
      </c>
      <c r="G263" s="175">
        <v>220348.29</v>
      </c>
      <c r="H263" s="175">
        <v>2513187.8034930001</v>
      </c>
      <c r="I263" s="175">
        <v>2247193.0010686</v>
      </c>
      <c r="J263" s="175">
        <v>2336123.2109600999</v>
      </c>
      <c r="K263" s="175">
        <v>2453145.9762951001</v>
      </c>
      <c r="L263" s="175">
        <v>2362786.3636015002</v>
      </c>
      <c r="M263" s="175">
        <v>2222188.6803378002</v>
      </c>
      <c r="N263" s="175">
        <v>2488918.0960861002</v>
      </c>
      <c r="O263" s="175">
        <v>2293041.0304924999</v>
      </c>
      <c r="P263" s="175">
        <v>2245956.5455077002</v>
      </c>
      <c r="Q263" s="175">
        <v>2497770.6072771</v>
      </c>
      <c r="R263" s="175">
        <v>2336851.3058174001</v>
      </c>
      <c r="S263" s="175">
        <v>2386257.5984383998</v>
      </c>
      <c r="U263" s="175">
        <f t="shared" ref="U263:U326" si="19">AVERAGE(G263:S263)</f>
        <v>2200289.8853365616</v>
      </c>
    </row>
    <row r="264" spans="1:21">
      <c r="A264" s="183" t="str">
        <f t="shared" si="17"/>
        <v>548</v>
      </c>
      <c r="B264" s="183" t="str">
        <f t="shared" si="18"/>
        <v>548.1</v>
      </c>
      <c r="C264" s="184" t="s">
        <v>1392</v>
      </c>
      <c r="D264" t="s">
        <v>1393</v>
      </c>
      <c r="G264" s="175">
        <v>0</v>
      </c>
      <c r="H264" s="175">
        <v>0</v>
      </c>
      <c r="I264" s="175">
        <v>0</v>
      </c>
      <c r="J264" s="175">
        <v>0</v>
      </c>
      <c r="K264" s="175">
        <v>0</v>
      </c>
      <c r="L264" s="175">
        <v>0</v>
      </c>
      <c r="M264" s="175">
        <v>0</v>
      </c>
      <c r="N264" s="175">
        <v>0</v>
      </c>
      <c r="O264" s="175">
        <v>0</v>
      </c>
      <c r="P264" s="175">
        <v>0</v>
      </c>
      <c r="Q264" s="175">
        <v>0</v>
      </c>
      <c r="R264" s="175">
        <v>0</v>
      </c>
      <c r="S264" s="175">
        <v>0</v>
      </c>
      <c r="U264" s="175">
        <f t="shared" si="19"/>
        <v>0</v>
      </c>
    </row>
    <row r="265" spans="1:21">
      <c r="A265" s="183" t="str">
        <f t="shared" si="17"/>
        <v>549</v>
      </c>
      <c r="B265" s="183" t="str">
        <f t="shared" si="18"/>
        <v>549.0</v>
      </c>
      <c r="C265" s="184" t="s">
        <v>1394</v>
      </c>
      <c r="D265" t="s">
        <v>1395</v>
      </c>
      <c r="G265" s="175">
        <v>750854.24</v>
      </c>
      <c r="H265" s="175">
        <v>673201.69359240006</v>
      </c>
      <c r="I265" s="175">
        <v>696851.41144000005</v>
      </c>
      <c r="J265" s="175">
        <v>706937.1948234</v>
      </c>
      <c r="K265" s="175">
        <v>651937.07011570001</v>
      </c>
      <c r="L265" s="175">
        <v>789495.15441960003</v>
      </c>
      <c r="M265" s="175">
        <v>670765.64862959995</v>
      </c>
      <c r="N265" s="175">
        <v>1090119.9747500999</v>
      </c>
      <c r="O265" s="175">
        <v>650052.84791330004</v>
      </c>
      <c r="P265" s="175">
        <v>752241.45473300002</v>
      </c>
      <c r="Q265" s="175">
        <v>793804.93909500004</v>
      </c>
      <c r="R265" s="175">
        <v>831874.29099290003</v>
      </c>
      <c r="S265" s="175">
        <v>845740.13228350005</v>
      </c>
      <c r="U265" s="175">
        <f t="shared" si="19"/>
        <v>761836.61944526923</v>
      </c>
    </row>
    <row r="266" spans="1:21">
      <c r="A266" s="183" t="str">
        <f t="shared" si="17"/>
        <v>550</v>
      </c>
      <c r="B266" s="183" t="str">
        <f t="shared" si="18"/>
        <v>550.0</v>
      </c>
      <c r="C266" s="184" t="s">
        <v>1396</v>
      </c>
      <c r="D266" t="s">
        <v>1397</v>
      </c>
      <c r="G266" s="175">
        <v>0</v>
      </c>
      <c r="H266" s="175">
        <v>0</v>
      </c>
      <c r="I266" s="175">
        <v>0</v>
      </c>
      <c r="J266" s="175">
        <v>0</v>
      </c>
      <c r="K266" s="175">
        <v>0</v>
      </c>
      <c r="L266" s="175">
        <v>0</v>
      </c>
      <c r="M266" s="175">
        <v>0</v>
      </c>
      <c r="N266" s="175">
        <v>0</v>
      </c>
      <c r="O266" s="175">
        <v>0</v>
      </c>
      <c r="P266" s="175">
        <v>0</v>
      </c>
      <c r="Q266" s="175">
        <v>0</v>
      </c>
      <c r="R266" s="175">
        <v>0</v>
      </c>
      <c r="S266" s="175">
        <v>0</v>
      </c>
      <c r="U266" s="175">
        <f t="shared" si="19"/>
        <v>0</v>
      </c>
    </row>
    <row r="267" spans="1:21">
      <c r="A267" s="183" t="str">
        <f t="shared" si="17"/>
        <v>551</v>
      </c>
      <c r="B267" s="183" t="str">
        <f t="shared" si="18"/>
        <v>551.0</v>
      </c>
      <c r="C267" s="184" t="s">
        <v>1398</v>
      </c>
      <c r="D267" t="s">
        <v>1399</v>
      </c>
      <c r="G267" s="175">
        <v>0</v>
      </c>
      <c r="H267" s="175">
        <v>0</v>
      </c>
      <c r="I267" s="175">
        <v>0</v>
      </c>
      <c r="J267" s="175">
        <v>0</v>
      </c>
      <c r="K267" s="175">
        <v>0</v>
      </c>
      <c r="L267" s="175">
        <v>0</v>
      </c>
      <c r="M267" s="175">
        <v>0</v>
      </c>
      <c r="N267" s="175">
        <v>0</v>
      </c>
      <c r="O267" s="175">
        <v>0</v>
      </c>
      <c r="P267" s="175">
        <v>0</v>
      </c>
      <c r="Q267" s="175">
        <v>0</v>
      </c>
      <c r="R267" s="175">
        <v>0</v>
      </c>
      <c r="S267" s="175">
        <v>0</v>
      </c>
      <c r="U267" s="175">
        <f t="shared" si="19"/>
        <v>0</v>
      </c>
    </row>
    <row r="268" spans="1:21">
      <c r="A268" s="183" t="str">
        <f t="shared" si="17"/>
        <v>552</v>
      </c>
      <c r="B268" s="183" t="str">
        <f t="shared" si="18"/>
        <v>552.0</v>
      </c>
      <c r="C268" s="184" t="s">
        <v>1400</v>
      </c>
      <c r="D268" t="s">
        <v>1401</v>
      </c>
      <c r="G268" s="175">
        <v>43612.61</v>
      </c>
      <c r="H268" s="175">
        <v>123965.212736</v>
      </c>
      <c r="I268" s="175">
        <v>113185.6351594</v>
      </c>
      <c r="J268" s="175">
        <v>115048.3382878</v>
      </c>
      <c r="K268" s="175">
        <v>125084.91864620001</v>
      </c>
      <c r="L268" s="175">
        <v>128730.49006690001</v>
      </c>
      <c r="M268" s="175">
        <v>114568.5561032</v>
      </c>
      <c r="N268" s="175">
        <v>135445.54929960001</v>
      </c>
      <c r="O268" s="175">
        <v>129556.61572669999</v>
      </c>
      <c r="P268" s="175">
        <v>123667.6821541</v>
      </c>
      <c r="Q268" s="175">
        <v>139159.33635659999</v>
      </c>
      <c r="R268" s="175">
        <v>127058.53139020001</v>
      </c>
      <c r="S268" s="175">
        <v>133108.9338724</v>
      </c>
      <c r="U268" s="175">
        <f t="shared" si="19"/>
        <v>119399.41613839231</v>
      </c>
    </row>
    <row r="269" spans="1:21">
      <c r="A269" s="183" t="str">
        <f t="shared" si="17"/>
        <v>553</v>
      </c>
      <c r="B269" s="183" t="str">
        <f t="shared" si="18"/>
        <v>553.0</v>
      </c>
      <c r="C269" s="184" t="s">
        <v>1402</v>
      </c>
      <c r="D269" t="s">
        <v>1403</v>
      </c>
      <c r="G269" s="175">
        <v>2417400.63</v>
      </c>
      <c r="H269" s="175">
        <v>1595060.7795162001</v>
      </c>
      <c r="I269" s="175">
        <v>5332670.5313048996</v>
      </c>
      <c r="J269" s="175">
        <v>6282877.1630579</v>
      </c>
      <c r="K269" s="175">
        <v>1738473.7460392001</v>
      </c>
      <c r="L269" s="175">
        <v>1735029.1746789</v>
      </c>
      <c r="M269" s="175">
        <v>1728143.7323218</v>
      </c>
      <c r="N269" s="175">
        <v>1802794.0922266</v>
      </c>
      <c r="O269" s="175">
        <v>1782117.380987</v>
      </c>
      <c r="P269" s="175">
        <v>2325767.4151009</v>
      </c>
      <c r="Q269" s="175">
        <v>2543245.8926982</v>
      </c>
      <c r="R269" s="175">
        <v>2608926.74645</v>
      </c>
      <c r="S269" s="175">
        <v>1867433.1715480001</v>
      </c>
      <c r="U269" s="175">
        <f t="shared" si="19"/>
        <v>2596918.4966099686</v>
      </c>
    </row>
    <row r="270" spans="1:21">
      <c r="A270" s="183" t="str">
        <f t="shared" si="17"/>
        <v>553</v>
      </c>
      <c r="B270" s="183" t="str">
        <f t="shared" si="18"/>
        <v>553.1</v>
      </c>
      <c r="C270" s="184" t="s">
        <v>1404</v>
      </c>
      <c r="D270" t="s">
        <v>1405</v>
      </c>
      <c r="G270" s="175">
        <v>0</v>
      </c>
      <c r="H270" s="175">
        <v>0</v>
      </c>
      <c r="I270" s="175">
        <v>0</v>
      </c>
      <c r="J270" s="175">
        <v>0</v>
      </c>
      <c r="K270" s="175">
        <v>0</v>
      </c>
      <c r="L270" s="175">
        <v>0</v>
      </c>
      <c r="M270" s="175">
        <v>0</v>
      </c>
      <c r="N270" s="175">
        <v>0</v>
      </c>
      <c r="O270" s="175">
        <v>0</v>
      </c>
      <c r="P270" s="175">
        <v>0</v>
      </c>
      <c r="Q270" s="175">
        <v>0</v>
      </c>
      <c r="R270" s="175">
        <v>0</v>
      </c>
      <c r="S270" s="175">
        <v>0</v>
      </c>
      <c r="U270" s="175">
        <f t="shared" si="19"/>
        <v>0</v>
      </c>
    </row>
    <row r="271" spans="1:21">
      <c r="A271" s="183" t="str">
        <f t="shared" si="17"/>
        <v>554</v>
      </c>
      <c r="B271" s="183" t="str">
        <f t="shared" si="18"/>
        <v>554.0</v>
      </c>
      <c r="C271" s="184" t="s">
        <v>1406</v>
      </c>
      <c r="D271" t="s">
        <v>1407</v>
      </c>
      <c r="G271" s="175">
        <v>127042.52</v>
      </c>
      <c r="H271" s="175">
        <v>91093.321662100003</v>
      </c>
      <c r="I271" s="175">
        <v>111770.4274402</v>
      </c>
      <c r="J271" s="175">
        <v>154986.6147223</v>
      </c>
      <c r="K271" s="175">
        <v>91557.165967099994</v>
      </c>
      <c r="L271" s="175">
        <v>91093.321662100003</v>
      </c>
      <c r="M271" s="175">
        <v>90233.9797043</v>
      </c>
      <c r="N271" s="175">
        <v>91093.321662100003</v>
      </c>
      <c r="O271" s="175">
        <v>90806.874550399996</v>
      </c>
      <c r="P271" s="175">
        <v>90520.427440200001</v>
      </c>
      <c r="Q271" s="175">
        <v>113127.71721440001</v>
      </c>
      <c r="R271" s="175">
        <v>154986.6147223</v>
      </c>
      <c r="S271" s="175">
        <v>91557.165967099994</v>
      </c>
      <c r="U271" s="175">
        <f t="shared" si="19"/>
        <v>106913.03636266154</v>
      </c>
    </row>
    <row r="272" spans="1:21">
      <c r="A272" s="183" t="str">
        <f t="shared" si="17"/>
        <v>555</v>
      </c>
      <c r="B272" s="183" t="str">
        <f t="shared" si="18"/>
        <v>555.0</v>
      </c>
      <c r="C272" s="184" t="s">
        <v>1408</v>
      </c>
      <c r="D272" t="s">
        <v>1409</v>
      </c>
      <c r="G272" s="175">
        <v>2207516.41</v>
      </c>
      <c r="H272" s="175">
        <v>3972327.2478429</v>
      </c>
      <c r="I272" s="175">
        <v>4100042.9461522</v>
      </c>
      <c r="J272" s="175">
        <v>1350259.4972095999</v>
      </c>
      <c r="K272" s="175">
        <v>1348156.9236709999</v>
      </c>
      <c r="L272" s="175">
        <v>1634485.1844202001</v>
      </c>
      <c r="M272" s="175">
        <v>686575.92626710003</v>
      </c>
      <c r="N272" s="175">
        <v>1032697.5637826</v>
      </c>
      <c r="O272" s="175">
        <v>137238.86247960001</v>
      </c>
      <c r="P272" s="175">
        <v>2884726.5675364002</v>
      </c>
      <c r="Q272" s="175">
        <v>1942781.5899179999</v>
      </c>
      <c r="R272" s="175">
        <v>1497848.7890695001</v>
      </c>
      <c r="S272" s="175">
        <v>441510.33011169999</v>
      </c>
      <c r="U272" s="175">
        <f t="shared" si="19"/>
        <v>1787397.5260354462</v>
      </c>
    </row>
    <row r="273" spans="1:21">
      <c r="A273" s="183" t="str">
        <f t="shared" si="17"/>
        <v>556</v>
      </c>
      <c r="B273" s="183" t="str">
        <f t="shared" si="18"/>
        <v>556.0</v>
      </c>
      <c r="C273" s="184" t="s">
        <v>1410</v>
      </c>
      <c r="D273" t="s">
        <v>1411</v>
      </c>
      <c r="G273" s="175">
        <v>54250.11</v>
      </c>
      <c r="H273" s="175">
        <v>87229.565948200005</v>
      </c>
      <c r="I273" s="175">
        <v>14037.390625</v>
      </c>
      <c r="J273" s="175">
        <v>14037.390625</v>
      </c>
      <c r="K273" s="175">
        <v>17829.978287099999</v>
      </c>
      <c r="L273" s="175">
        <v>21622.565948200001</v>
      </c>
      <c r="M273" s="175">
        <v>16349.7722701</v>
      </c>
      <c r="N273" s="175">
        <v>35526.353485599997</v>
      </c>
      <c r="O273" s="175">
        <v>21911.934100499999</v>
      </c>
      <c r="P273" s="175">
        <v>15419.988600799999</v>
      </c>
      <c r="Q273" s="175">
        <v>24513.452465900002</v>
      </c>
      <c r="R273" s="175">
        <v>15419.988600799999</v>
      </c>
      <c r="S273" s="175">
        <v>32446.013619000001</v>
      </c>
      <c r="U273" s="175">
        <f t="shared" si="19"/>
        <v>28507.269582784611</v>
      </c>
    </row>
    <row r="274" spans="1:21">
      <c r="A274" s="183" t="str">
        <f t="shared" si="17"/>
        <v>557</v>
      </c>
      <c r="B274" s="183" t="str">
        <f t="shared" si="18"/>
        <v>557.0</v>
      </c>
      <c r="C274" s="184" t="s">
        <v>1412</v>
      </c>
      <c r="D274" t="s">
        <v>1413</v>
      </c>
      <c r="G274" s="175">
        <v>0</v>
      </c>
      <c r="H274" s="175">
        <v>0</v>
      </c>
      <c r="I274" s="175">
        <v>0</v>
      </c>
      <c r="J274" s="175">
        <v>0</v>
      </c>
      <c r="K274" s="175">
        <v>0</v>
      </c>
      <c r="L274" s="175">
        <v>0</v>
      </c>
      <c r="M274" s="175">
        <v>0</v>
      </c>
      <c r="N274" s="175">
        <v>0</v>
      </c>
      <c r="O274" s="175">
        <v>0</v>
      </c>
      <c r="P274" s="175">
        <v>0</v>
      </c>
      <c r="Q274" s="175">
        <v>0</v>
      </c>
      <c r="R274" s="175">
        <v>0</v>
      </c>
      <c r="S274" s="175">
        <v>0</v>
      </c>
      <c r="U274" s="175">
        <f t="shared" si="19"/>
        <v>0</v>
      </c>
    </row>
    <row r="275" spans="1:21">
      <c r="A275" s="183" t="str">
        <f t="shared" si="17"/>
        <v>560</v>
      </c>
      <c r="B275" s="183" t="str">
        <f t="shared" si="18"/>
        <v>560.0</v>
      </c>
      <c r="C275" s="184" t="s">
        <v>1414</v>
      </c>
      <c r="D275" t="s">
        <v>1415</v>
      </c>
      <c r="G275" s="175">
        <v>44187.81</v>
      </c>
      <c r="H275" s="175">
        <v>133572.49717049999</v>
      </c>
      <c r="I275" s="175">
        <v>59248.719721900001</v>
      </c>
      <c r="J275" s="175">
        <v>59913.280675900001</v>
      </c>
      <c r="K275" s="175">
        <v>63861.1034</v>
      </c>
      <c r="L275" s="175">
        <v>71527.463007700004</v>
      </c>
      <c r="M275" s="175">
        <v>69768.7007343</v>
      </c>
      <c r="N275" s="175">
        <v>68271.283704000001</v>
      </c>
      <c r="O275" s="175">
        <v>66910.582659799999</v>
      </c>
      <c r="P275" s="175">
        <v>64189.009232999997</v>
      </c>
      <c r="Q275" s="175">
        <v>68277.028865100001</v>
      </c>
      <c r="R275" s="175">
        <v>61598.363873000002</v>
      </c>
      <c r="S275" s="175">
        <v>64057.240669500003</v>
      </c>
      <c r="U275" s="175">
        <f t="shared" si="19"/>
        <v>68875.621824207687</v>
      </c>
    </row>
    <row r="276" spans="1:21">
      <c r="A276" s="183" t="str">
        <f t="shared" si="17"/>
        <v>561</v>
      </c>
      <c r="B276" s="183" t="str">
        <f t="shared" si="18"/>
        <v>561.0</v>
      </c>
      <c r="C276" s="184" t="s">
        <v>1416</v>
      </c>
      <c r="D276" t="s">
        <v>1417</v>
      </c>
      <c r="G276" s="175">
        <v>0</v>
      </c>
      <c r="H276" s="175">
        <v>0</v>
      </c>
      <c r="I276" s="175">
        <v>0</v>
      </c>
      <c r="J276" s="175">
        <v>0</v>
      </c>
      <c r="K276" s="175">
        <v>0</v>
      </c>
      <c r="L276" s="175">
        <v>0</v>
      </c>
      <c r="M276" s="175">
        <v>0</v>
      </c>
      <c r="N276" s="175">
        <v>0</v>
      </c>
      <c r="O276" s="175">
        <v>0</v>
      </c>
      <c r="P276" s="175">
        <v>0</v>
      </c>
      <c r="Q276" s="175">
        <v>0</v>
      </c>
      <c r="R276" s="175">
        <v>0</v>
      </c>
      <c r="S276" s="175">
        <v>0</v>
      </c>
      <c r="U276" s="175">
        <f t="shared" si="19"/>
        <v>0</v>
      </c>
    </row>
    <row r="277" spans="1:21">
      <c r="A277" s="183" t="str">
        <f t="shared" si="17"/>
        <v>561</v>
      </c>
      <c r="B277" s="183" t="str">
        <f t="shared" si="18"/>
        <v>561.1</v>
      </c>
      <c r="C277" s="184" t="s">
        <v>1418</v>
      </c>
      <c r="D277" t="s">
        <v>1419</v>
      </c>
      <c r="G277" s="175">
        <v>8355.2800000000007</v>
      </c>
      <c r="H277" s="175">
        <v>0</v>
      </c>
      <c r="I277" s="175">
        <v>0</v>
      </c>
      <c r="J277" s="175">
        <v>0</v>
      </c>
      <c r="K277" s="175">
        <v>0</v>
      </c>
      <c r="L277" s="175">
        <v>0</v>
      </c>
      <c r="M277" s="175">
        <v>0</v>
      </c>
      <c r="N277" s="175">
        <v>0</v>
      </c>
      <c r="O277" s="175">
        <v>0</v>
      </c>
      <c r="P277" s="175">
        <v>0</v>
      </c>
      <c r="Q277" s="175">
        <v>0</v>
      </c>
      <c r="R277" s="175">
        <v>0</v>
      </c>
      <c r="S277" s="175">
        <v>0</v>
      </c>
      <c r="U277" s="175">
        <f t="shared" si="19"/>
        <v>642.71384615384625</v>
      </c>
    </row>
    <row r="278" spans="1:21">
      <c r="A278" s="183" t="str">
        <f t="shared" si="17"/>
        <v>561</v>
      </c>
      <c r="B278" s="183" t="str">
        <f t="shared" si="18"/>
        <v>561.2</v>
      </c>
      <c r="C278" s="184" t="s">
        <v>1420</v>
      </c>
      <c r="D278" t="s">
        <v>1421</v>
      </c>
      <c r="G278" s="175">
        <v>136933.29</v>
      </c>
      <c r="H278" s="175">
        <v>210436.8738419</v>
      </c>
      <c r="I278" s="175">
        <v>136396.71830460001</v>
      </c>
      <c r="J278" s="175">
        <v>136396.71830460001</v>
      </c>
      <c r="K278" s="175">
        <v>142891.79607410001</v>
      </c>
      <c r="L278" s="175">
        <v>149386.8738419</v>
      </c>
      <c r="M278" s="175">
        <v>139059.09273539999</v>
      </c>
      <c r="N278" s="175">
        <v>170242.55514809999</v>
      </c>
      <c r="O278" s="175">
        <v>149014.72979410001</v>
      </c>
      <c r="P278" s="175">
        <v>138470.6152683</v>
      </c>
      <c r="Q278" s="175">
        <v>153723.2036185</v>
      </c>
      <c r="R278" s="175">
        <v>138470.6152683</v>
      </c>
      <c r="S278" s="175">
        <v>164815.84907180001</v>
      </c>
      <c r="U278" s="175">
        <f t="shared" si="19"/>
        <v>151249.14855935384</v>
      </c>
    </row>
    <row r="279" spans="1:21">
      <c r="A279" s="183" t="str">
        <f t="shared" si="17"/>
        <v>561</v>
      </c>
      <c r="B279" s="183" t="str">
        <f t="shared" si="18"/>
        <v>561.3</v>
      </c>
      <c r="C279" s="184" t="s">
        <v>1422</v>
      </c>
      <c r="D279" t="s">
        <v>1423</v>
      </c>
      <c r="G279" s="175">
        <v>81303.87</v>
      </c>
      <c r="H279" s="175">
        <v>104103.3233837</v>
      </c>
      <c r="I279" s="175">
        <v>79152.365114600005</v>
      </c>
      <c r="J279" s="175">
        <v>79152.365114600005</v>
      </c>
      <c r="K279" s="175">
        <v>83678.593986699998</v>
      </c>
      <c r="L279" s="175">
        <v>88204.822857799998</v>
      </c>
      <c r="M279" s="175">
        <v>79713.607683099995</v>
      </c>
      <c r="N279" s="175">
        <v>99791.312472399994</v>
      </c>
      <c r="O279" s="175">
        <v>87080.223831199997</v>
      </c>
      <c r="P279" s="175">
        <v>80304.530094400005</v>
      </c>
      <c r="Q279" s="175">
        <v>90613.894955900003</v>
      </c>
      <c r="R279" s="175">
        <v>80304.530094400005</v>
      </c>
      <c r="S279" s="175">
        <v>95858.623429900006</v>
      </c>
      <c r="U279" s="175">
        <f t="shared" si="19"/>
        <v>86866.312539900013</v>
      </c>
    </row>
    <row r="280" spans="1:21">
      <c r="A280" s="183" t="str">
        <f t="shared" si="17"/>
        <v>561</v>
      </c>
      <c r="B280" s="183" t="str">
        <f t="shared" si="18"/>
        <v>561.4</v>
      </c>
      <c r="C280" s="184" t="s">
        <v>1424</v>
      </c>
      <c r="D280" t="s">
        <v>1425</v>
      </c>
      <c r="G280" s="175">
        <v>0</v>
      </c>
      <c r="H280" s="175">
        <v>0</v>
      </c>
      <c r="I280" s="175">
        <v>0</v>
      </c>
      <c r="J280" s="175">
        <v>0</v>
      </c>
      <c r="K280" s="175">
        <v>0</v>
      </c>
      <c r="L280" s="175">
        <v>0</v>
      </c>
      <c r="M280" s="175">
        <v>0</v>
      </c>
      <c r="N280" s="175">
        <v>0</v>
      </c>
      <c r="O280" s="175">
        <v>0</v>
      </c>
      <c r="P280" s="175">
        <v>0</v>
      </c>
      <c r="Q280" s="175">
        <v>0</v>
      </c>
      <c r="R280" s="175">
        <v>0</v>
      </c>
      <c r="S280" s="175">
        <v>0</v>
      </c>
      <c r="U280" s="175">
        <f t="shared" si="19"/>
        <v>0</v>
      </c>
    </row>
    <row r="281" spans="1:21">
      <c r="A281" s="183" t="str">
        <f t="shared" si="17"/>
        <v>561</v>
      </c>
      <c r="B281" s="183" t="str">
        <f t="shared" si="18"/>
        <v>561.5</v>
      </c>
      <c r="C281" s="184" t="s">
        <v>1426</v>
      </c>
      <c r="D281" t="s">
        <v>1427</v>
      </c>
      <c r="G281" s="175">
        <v>0</v>
      </c>
      <c r="H281" s="175">
        <v>0</v>
      </c>
      <c r="I281" s="175">
        <v>0</v>
      </c>
      <c r="J281" s="175">
        <v>0</v>
      </c>
      <c r="K281" s="175">
        <v>0</v>
      </c>
      <c r="L281" s="175">
        <v>0</v>
      </c>
      <c r="M281" s="175">
        <v>0</v>
      </c>
      <c r="N281" s="175">
        <v>0</v>
      </c>
      <c r="O281" s="175">
        <v>0</v>
      </c>
      <c r="P281" s="175">
        <v>0</v>
      </c>
      <c r="Q281" s="175">
        <v>0</v>
      </c>
      <c r="R281" s="175">
        <v>0</v>
      </c>
      <c r="S281" s="175">
        <v>0</v>
      </c>
      <c r="U281" s="175">
        <f t="shared" si="19"/>
        <v>0</v>
      </c>
    </row>
    <row r="282" spans="1:21">
      <c r="A282" s="183" t="str">
        <f t="shared" si="17"/>
        <v>561</v>
      </c>
      <c r="B282" s="183" t="str">
        <f t="shared" si="18"/>
        <v>561.6</v>
      </c>
      <c r="C282" s="184" t="s">
        <v>1428</v>
      </c>
      <c r="D282" t="s">
        <v>1429</v>
      </c>
      <c r="G282" s="175">
        <v>0</v>
      </c>
      <c r="H282" s="175">
        <v>0</v>
      </c>
      <c r="I282" s="175">
        <v>0</v>
      </c>
      <c r="J282" s="175">
        <v>0</v>
      </c>
      <c r="K282" s="175">
        <v>0</v>
      </c>
      <c r="L282" s="175">
        <v>0</v>
      </c>
      <c r="M282" s="175">
        <v>0</v>
      </c>
      <c r="N282" s="175">
        <v>0</v>
      </c>
      <c r="O282" s="175">
        <v>0</v>
      </c>
      <c r="P282" s="175">
        <v>0</v>
      </c>
      <c r="Q282" s="175">
        <v>0</v>
      </c>
      <c r="R282" s="175">
        <v>0</v>
      </c>
      <c r="S282" s="175">
        <v>0</v>
      </c>
      <c r="U282" s="175">
        <f t="shared" si="19"/>
        <v>0</v>
      </c>
    </row>
    <row r="283" spans="1:21">
      <c r="A283" s="183" t="str">
        <f t="shared" si="17"/>
        <v>561</v>
      </c>
      <c r="B283" s="183" t="str">
        <f t="shared" si="18"/>
        <v>561.7</v>
      </c>
      <c r="C283" s="184" t="s">
        <v>1430</v>
      </c>
      <c r="D283" t="s">
        <v>1431</v>
      </c>
      <c r="G283" s="175">
        <v>0</v>
      </c>
      <c r="H283" s="175">
        <v>0</v>
      </c>
      <c r="I283" s="175">
        <v>0</v>
      </c>
      <c r="J283" s="175">
        <v>0</v>
      </c>
      <c r="K283" s="175">
        <v>0</v>
      </c>
      <c r="L283" s="175">
        <v>0</v>
      </c>
      <c r="M283" s="175">
        <v>0</v>
      </c>
      <c r="N283" s="175">
        <v>0</v>
      </c>
      <c r="O283" s="175">
        <v>0</v>
      </c>
      <c r="P283" s="175">
        <v>0</v>
      </c>
      <c r="Q283" s="175">
        <v>0</v>
      </c>
      <c r="R283" s="175">
        <v>0</v>
      </c>
      <c r="S283" s="175">
        <v>0</v>
      </c>
      <c r="U283" s="175">
        <f t="shared" si="19"/>
        <v>0</v>
      </c>
    </row>
    <row r="284" spans="1:21">
      <c r="A284" s="183" t="str">
        <f t="shared" si="17"/>
        <v>561</v>
      </c>
      <c r="B284" s="183" t="str">
        <f t="shared" si="18"/>
        <v>561.8</v>
      </c>
      <c r="C284" s="184" t="s">
        <v>1432</v>
      </c>
      <c r="D284" t="s">
        <v>1433</v>
      </c>
      <c r="G284" s="175">
        <v>0</v>
      </c>
      <c r="H284" s="175">
        <v>0</v>
      </c>
      <c r="I284" s="175">
        <v>0</v>
      </c>
      <c r="J284" s="175">
        <v>0</v>
      </c>
      <c r="K284" s="175">
        <v>0</v>
      </c>
      <c r="L284" s="175">
        <v>0</v>
      </c>
      <c r="M284" s="175">
        <v>0</v>
      </c>
      <c r="N284" s="175">
        <v>0</v>
      </c>
      <c r="O284" s="175">
        <v>0</v>
      </c>
      <c r="P284" s="175">
        <v>0</v>
      </c>
      <c r="Q284" s="175">
        <v>0</v>
      </c>
      <c r="R284" s="175">
        <v>0</v>
      </c>
      <c r="S284" s="175">
        <v>0</v>
      </c>
      <c r="U284" s="175">
        <f t="shared" si="19"/>
        <v>0</v>
      </c>
    </row>
    <row r="285" spans="1:21">
      <c r="A285" s="183" t="str">
        <f t="shared" si="17"/>
        <v>562</v>
      </c>
      <c r="B285" s="183" t="str">
        <f t="shared" si="18"/>
        <v>562.0</v>
      </c>
      <c r="C285" s="184" t="s">
        <v>1434</v>
      </c>
      <c r="D285" t="s">
        <v>1435</v>
      </c>
      <c r="G285" s="175">
        <v>181130.12</v>
      </c>
      <c r="H285" s="175">
        <v>179108.46040889999</v>
      </c>
      <c r="I285" s="175">
        <v>168554.54393459999</v>
      </c>
      <c r="J285" s="175">
        <v>168574.871625</v>
      </c>
      <c r="K285" s="175">
        <v>176418.42179359999</v>
      </c>
      <c r="L285" s="175">
        <v>181835.56974850001</v>
      </c>
      <c r="M285" s="175">
        <v>165640.05180630001</v>
      </c>
      <c r="N285" s="175">
        <v>181883.72222620001</v>
      </c>
      <c r="O285" s="175">
        <v>176485.87866340001</v>
      </c>
      <c r="P285" s="175">
        <v>171080.26637259999</v>
      </c>
      <c r="Q285" s="175">
        <v>181869.65440649999</v>
      </c>
      <c r="R285" s="175">
        <v>171016.6335735</v>
      </c>
      <c r="S285" s="175">
        <v>176410.373712</v>
      </c>
      <c r="U285" s="175">
        <f t="shared" si="19"/>
        <v>175385.2744823923</v>
      </c>
    </row>
    <row r="286" spans="1:21">
      <c r="A286" s="183" t="str">
        <f t="shared" si="17"/>
        <v>563</v>
      </c>
      <c r="B286" s="183" t="str">
        <f t="shared" si="18"/>
        <v>563.0</v>
      </c>
      <c r="C286" s="184" t="s">
        <v>1436</v>
      </c>
      <c r="D286" t="s">
        <v>1437</v>
      </c>
      <c r="G286" s="175">
        <v>16595.77</v>
      </c>
      <c r="H286" s="175">
        <v>28529.584244199999</v>
      </c>
      <c r="I286" s="175">
        <v>28529.584244199999</v>
      </c>
      <c r="J286" s="175">
        <v>28529.584244199999</v>
      </c>
      <c r="K286" s="175">
        <v>28529.584244199999</v>
      </c>
      <c r="L286" s="175">
        <v>28529.584244199999</v>
      </c>
      <c r="M286" s="175">
        <v>149775.7246251</v>
      </c>
      <c r="N286" s="175">
        <v>28529.584244199999</v>
      </c>
      <c r="O286" s="175">
        <v>28529.584244199999</v>
      </c>
      <c r="P286" s="175">
        <v>28529.584244199999</v>
      </c>
      <c r="Q286" s="175">
        <v>28529.584244199999</v>
      </c>
      <c r="R286" s="175">
        <v>28529.584244199999</v>
      </c>
      <c r="S286" s="175">
        <v>28529.584244199999</v>
      </c>
      <c r="U286" s="175">
        <f t="shared" si="19"/>
        <v>36938.224716253855</v>
      </c>
    </row>
    <row r="287" spans="1:21">
      <c r="A287" s="183" t="str">
        <f t="shared" si="17"/>
        <v>564</v>
      </c>
      <c r="B287" s="183" t="str">
        <f t="shared" si="18"/>
        <v>564.0</v>
      </c>
      <c r="C287" s="184" t="s">
        <v>1438</v>
      </c>
      <c r="D287" t="s">
        <v>1439</v>
      </c>
      <c r="G287" s="175">
        <v>0</v>
      </c>
      <c r="H287" s="175">
        <v>0</v>
      </c>
      <c r="I287" s="175">
        <v>0</v>
      </c>
      <c r="J287" s="175">
        <v>0</v>
      </c>
      <c r="K287" s="175">
        <v>0</v>
      </c>
      <c r="L287" s="175">
        <v>0</v>
      </c>
      <c r="M287" s="175">
        <v>0</v>
      </c>
      <c r="N287" s="175">
        <v>0</v>
      </c>
      <c r="O287" s="175">
        <v>0</v>
      </c>
      <c r="P287" s="175">
        <v>0</v>
      </c>
      <c r="Q287" s="175">
        <v>0</v>
      </c>
      <c r="R287" s="175">
        <v>0</v>
      </c>
      <c r="S287" s="175">
        <v>0</v>
      </c>
      <c r="U287" s="175">
        <f t="shared" si="19"/>
        <v>0</v>
      </c>
    </row>
    <row r="288" spans="1:21">
      <c r="A288" s="183" t="str">
        <f t="shared" si="17"/>
        <v>565</v>
      </c>
      <c r="B288" s="183" t="str">
        <f t="shared" si="18"/>
        <v>565.0</v>
      </c>
      <c r="C288" s="184" t="s">
        <v>1440</v>
      </c>
      <c r="D288" t="s">
        <v>1441</v>
      </c>
      <c r="G288" s="175">
        <v>0</v>
      </c>
      <c r="H288" s="175">
        <v>0</v>
      </c>
      <c r="I288" s="175">
        <v>0</v>
      </c>
      <c r="J288" s="175">
        <v>0</v>
      </c>
      <c r="K288" s="175">
        <v>0</v>
      </c>
      <c r="L288" s="175">
        <v>0</v>
      </c>
      <c r="M288" s="175">
        <v>0</v>
      </c>
      <c r="N288" s="175">
        <v>0</v>
      </c>
      <c r="O288" s="175">
        <v>0</v>
      </c>
      <c r="P288" s="175">
        <v>0</v>
      </c>
      <c r="Q288" s="175">
        <v>0</v>
      </c>
      <c r="R288" s="175">
        <v>0</v>
      </c>
      <c r="S288" s="175">
        <v>0</v>
      </c>
      <c r="U288" s="175">
        <f t="shared" si="19"/>
        <v>0</v>
      </c>
    </row>
    <row r="289" spans="1:21">
      <c r="A289" s="183" t="str">
        <f t="shared" si="17"/>
        <v>566</v>
      </c>
      <c r="B289" s="183" t="str">
        <f t="shared" si="18"/>
        <v>566.0</v>
      </c>
      <c r="C289" s="184" t="s">
        <v>1442</v>
      </c>
      <c r="D289" t="s">
        <v>1443</v>
      </c>
      <c r="G289" s="175">
        <v>282308.78999999998</v>
      </c>
      <c r="H289" s="175">
        <v>155379.72349130001</v>
      </c>
      <c r="I289" s="175">
        <v>146440.77567490001</v>
      </c>
      <c r="J289" s="175">
        <v>182889.00560909999</v>
      </c>
      <c r="K289" s="175">
        <v>160846.61086650001</v>
      </c>
      <c r="L289" s="175">
        <v>157032.26881499999</v>
      </c>
      <c r="M289" s="175">
        <v>154045.8861761</v>
      </c>
      <c r="N289" s="175">
        <v>162934.7269525</v>
      </c>
      <c r="O289" s="175">
        <v>161532.43838050001</v>
      </c>
      <c r="P289" s="175">
        <v>149792.6178337</v>
      </c>
      <c r="Q289" s="175">
        <v>163971.64861110001</v>
      </c>
      <c r="R289" s="175">
        <v>151778.41017660001</v>
      </c>
      <c r="S289" s="175">
        <v>164317.3783943</v>
      </c>
      <c r="U289" s="175">
        <f t="shared" si="19"/>
        <v>168713.09853704617</v>
      </c>
    </row>
    <row r="290" spans="1:21">
      <c r="A290" s="183" t="str">
        <f t="shared" si="17"/>
        <v>567</v>
      </c>
      <c r="B290" s="183" t="str">
        <f t="shared" si="18"/>
        <v>567.0</v>
      </c>
      <c r="C290" s="184" t="s">
        <v>1444</v>
      </c>
      <c r="D290" t="s">
        <v>1445</v>
      </c>
      <c r="G290" s="175">
        <v>0</v>
      </c>
      <c r="H290" s="175">
        <v>0</v>
      </c>
      <c r="I290" s="175">
        <v>0</v>
      </c>
      <c r="J290" s="175">
        <v>0</v>
      </c>
      <c r="K290" s="175">
        <v>0</v>
      </c>
      <c r="L290" s="175">
        <v>0</v>
      </c>
      <c r="M290" s="175">
        <v>0</v>
      </c>
      <c r="N290" s="175">
        <v>0</v>
      </c>
      <c r="O290" s="175">
        <v>0</v>
      </c>
      <c r="P290" s="175">
        <v>0</v>
      </c>
      <c r="Q290" s="175">
        <v>0</v>
      </c>
      <c r="R290" s="175">
        <v>0</v>
      </c>
      <c r="S290" s="175">
        <v>0</v>
      </c>
      <c r="U290" s="175">
        <f t="shared" si="19"/>
        <v>0</v>
      </c>
    </row>
    <row r="291" spans="1:21">
      <c r="A291" s="183" t="str">
        <f t="shared" si="17"/>
        <v>568</v>
      </c>
      <c r="B291" s="183" t="str">
        <f t="shared" si="18"/>
        <v>568.0</v>
      </c>
      <c r="C291" s="184" t="s">
        <v>1446</v>
      </c>
      <c r="D291" t="s">
        <v>1447</v>
      </c>
      <c r="G291" s="175">
        <v>0</v>
      </c>
      <c r="H291" s="175">
        <v>0</v>
      </c>
      <c r="I291" s="175">
        <v>0</v>
      </c>
      <c r="J291" s="175">
        <v>0</v>
      </c>
      <c r="K291" s="175">
        <v>0</v>
      </c>
      <c r="L291" s="175">
        <v>0</v>
      </c>
      <c r="M291" s="175">
        <v>0</v>
      </c>
      <c r="N291" s="175">
        <v>0</v>
      </c>
      <c r="O291" s="175">
        <v>0</v>
      </c>
      <c r="P291" s="175">
        <v>0</v>
      </c>
      <c r="Q291" s="175">
        <v>0</v>
      </c>
      <c r="R291" s="175">
        <v>0</v>
      </c>
      <c r="S291" s="175">
        <v>0</v>
      </c>
      <c r="U291" s="175">
        <f t="shared" si="19"/>
        <v>0</v>
      </c>
    </row>
    <row r="292" spans="1:21">
      <c r="A292" s="183" t="str">
        <f t="shared" si="17"/>
        <v>569</v>
      </c>
      <c r="B292" s="183" t="str">
        <f t="shared" si="18"/>
        <v>569.0</v>
      </c>
      <c r="C292" s="184" t="s">
        <v>1448</v>
      </c>
      <c r="D292" t="s">
        <v>1449</v>
      </c>
      <c r="G292" s="175">
        <v>161.86000000000001</v>
      </c>
      <c r="H292" s="175">
        <v>0</v>
      </c>
      <c r="I292" s="175">
        <v>0</v>
      </c>
      <c r="J292" s="175">
        <v>0</v>
      </c>
      <c r="K292" s="175">
        <v>0</v>
      </c>
      <c r="L292" s="175">
        <v>0</v>
      </c>
      <c r="M292" s="175">
        <v>0</v>
      </c>
      <c r="N292" s="175">
        <v>0</v>
      </c>
      <c r="O292" s="175">
        <v>0</v>
      </c>
      <c r="P292" s="175">
        <v>0</v>
      </c>
      <c r="Q292" s="175">
        <v>0</v>
      </c>
      <c r="R292" s="175">
        <v>0</v>
      </c>
      <c r="S292" s="175">
        <v>0</v>
      </c>
      <c r="U292" s="175">
        <f t="shared" si="19"/>
        <v>12.450769230769232</v>
      </c>
    </row>
    <row r="293" spans="1:21">
      <c r="A293" s="183" t="str">
        <f t="shared" si="17"/>
        <v>569</v>
      </c>
      <c r="B293" s="183" t="str">
        <f t="shared" si="18"/>
        <v>569.1</v>
      </c>
      <c r="C293" s="184" t="s">
        <v>1450</v>
      </c>
      <c r="D293" t="s">
        <v>1451</v>
      </c>
      <c r="G293" s="175">
        <v>0</v>
      </c>
      <c r="H293" s="175">
        <v>0</v>
      </c>
      <c r="I293" s="175">
        <v>0</v>
      </c>
      <c r="J293" s="175">
        <v>0</v>
      </c>
      <c r="K293" s="175">
        <v>0</v>
      </c>
      <c r="L293" s="175">
        <v>0</v>
      </c>
      <c r="M293" s="175">
        <v>0</v>
      </c>
      <c r="N293" s="175">
        <v>0</v>
      </c>
      <c r="O293" s="175">
        <v>0</v>
      </c>
      <c r="P293" s="175">
        <v>0</v>
      </c>
      <c r="Q293" s="175">
        <v>0</v>
      </c>
      <c r="R293" s="175">
        <v>0</v>
      </c>
      <c r="S293" s="175">
        <v>0</v>
      </c>
      <c r="U293" s="175">
        <f t="shared" si="19"/>
        <v>0</v>
      </c>
    </row>
    <row r="294" spans="1:21">
      <c r="A294" s="183" t="str">
        <f t="shared" si="17"/>
        <v>569</v>
      </c>
      <c r="B294" s="183" t="str">
        <f t="shared" si="18"/>
        <v>569.2</v>
      </c>
      <c r="C294" s="184" t="s">
        <v>1452</v>
      </c>
      <c r="D294" t="s">
        <v>1453</v>
      </c>
      <c r="G294" s="175">
        <v>213989.14</v>
      </c>
      <c r="H294" s="175">
        <v>192646.27247180001</v>
      </c>
      <c r="I294" s="175">
        <v>147594.4805796</v>
      </c>
      <c r="J294" s="175">
        <v>142561.59338599999</v>
      </c>
      <c r="K294" s="175">
        <v>201066.698802</v>
      </c>
      <c r="L294" s="175">
        <v>149472.30164789999</v>
      </c>
      <c r="M294" s="175">
        <v>152455.087676</v>
      </c>
      <c r="N294" s="175">
        <v>200448.5987725</v>
      </c>
      <c r="O294" s="175">
        <v>168336.3023217</v>
      </c>
      <c r="P294" s="175">
        <v>159682.91034169999</v>
      </c>
      <c r="Q294" s="175">
        <v>198518.07626110001</v>
      </c>
      <c r="R294" s="175">
        <v>179798.7230728</v>
      </c>
      <c r="S294" s="175">
        <v>166582.85792549999</v>
      </c>
      <c r="U294" s="175">
        <f t="shared" si="19"/>
        <v>174857.92640450766</v>
      </c>
    </row>
    <row r="295" spans="1:21">
      <c r="A295" s="183" t="str">
        <f t="shared" si="17"/>
        <v>569</v>
      </c>
      <c r="B295" s="183" t="str">
        <f t="shared" si="18"/>
        <v>569.3</v>
      </c>
      <c r="C295" s="184" t="s">
        <v>1454</v>
      </c>
      <c r="D295" t="s">
        <v>1455</v>
      </c>
      <c r="G295" s="175">
        <v>12754.16</v>
      </c>
      <c r="H295" s="175">
        <v>1633.3333333</v>
      </c>
      <c r="I295" s="175">
        <v>1633.3333333</v>
      </c>
      <c r="J295" s="175">
        <v>1633.3333333</v>
      </c>
      <c r="K295" s="175">
        <v>1633.3333333</v>
      </c>
      <c r="L295" s="175">
        <v>2757.5333332999999</v>
      </c>
      <c r="M295" s="175">
        <v>1633.3333333</v>
      </c>
      <c r="N295" s="175">
        <v>1633.3333333</v>
      </c>
      <c r="O295" s="175">
        <v>3370.7333333000001</v>
      </c>
      <c r="P295" s="175">
        <v>1633.3333333</v>
      </c>
      <c r="Q295" s="175">
        <v>1633.3333333</v>
      </c>
      <c r="R295" s="175">
        <v>3370.7333333000001</v>
      </c>
      <c r="S295" s="175">
        <v>1633.3333333</v>
      </c>
      <c r="U295" s="175">
        <f t="shared" si="19"/>
        <v>2842.5507692000001</v>
      </c>
    </row>
    <row r="296" spans="1:21">
      <c r="A296" s="183" t="str">
        <f t="shared" si="17"/>
        <v>569</v>
      </c>
      <c r="B296" s="183" t="str">
        <f t="shared" si="18"/>
        <v>569.4</v>
      </c>
      <c r="C296" s="184" t="s">
        <v>1456</v>
      </c>
      <c r="D296" t="s">
        <v>1457</v>
      </c>
      <c r="G296" s="175">
        <v>0</v>
      </c>
      <c r="H296" s="175">
        <v>0</v>
      </c>
      <c r="I296" s="175">
        <v>0</v>
      </c>
      <c r="J296" s="175">
        <v>0</v>
      </c>
      <c r="K296" s="175">
        <v>0</v>
      </c>
      <c r="L296" s="175">
        <v>0</v>
      </c>
      <c r="M296" s="175">
        <v>0</v>
      </c>
      <c r="N296" s="175">
        <v>0</v>
      </c>
      <c r="O296" s="175">
        <v>0</v>
      </c>
      <c r="P296" s="175">
        <v>0</v>
      </c>
      <c r="Q296" s="175">
        <v>0</v>
      </c>
      <c r="R296" s="175">
        <v>0</v>
      </c>
      <c r="S296" s="175">
        <v>0</v>
      </c>
      <c r="U296" s="175">
        <f t="shared" si="19"/>
        <v>0</v>
      </c>
    </row>
    <row r="297" spans="1:21">
      <c r="A297" s="183" t="str">
        <f t="shared" si="17"/>
        <v>570</v>
      </c>
      <c r="B297" s="183" t="str">
        <f t="shared" si="18"/>
        <v>570.0</v>
      </c>
      <c r="C297" s="184" t="s">
        <v>1458</v>
      </c>
      <c r="D297" t="s">
        <v>1459</v>
      </c>
      <c r="G297" s="175">
        <v>60330.1</v>
      </c>
      <c r="H297" s="175">
        <v>91156.558760100001</v>
      </c>
      <c r="I297" s="175">
        <v>86095.957620400004</v>
      </c>
      <c r="J297" s="175">
        <v>86112.520923799995</v>
      </c>
      <c r="K297" s="175">
        <v>89985.177274700007</v>
      </c>
      <c r="L297" s="175">
        <v>92595.663734700007</v>
      </c>
      <c r="M297" s="175">
        <v>84809.777566000004</v>
      </c>
      <c r="N297" s="175">
        <v>92634.899086899997</v>
      </c>
      <c r="O297" s="175">
        <v>90040.142131600005</v>
      </c>
      <c r="P297" s="175">
        <v>87439.055103699997</v>
      </c>
      <c r="Q297" s="175">
        <v>92623.436419000005</v>
      </c>
      <c r="R297" s="175">
        <v>87387.206156300002</v>
      </c>
      <c r="S297" s="175">
        <v>89978.619578500002</v>
      </c>
      <c r="U297" s="175">
        <f t="shared" si="19"/>
        <v>87014.547258130769</v>
      </c>
    </row>
    <row r="298" spans="1:21">
      <c r="A298" s="183" t="str">
        <f t="shared" si="17"/>
        <v>571</v>
      </c>
      <c r="B298" s="183" t="str">
        <f t="shared" si="18"/>
        <v>571.0</v>
      </c>
      <c r="C298" s="184" t="s">
        <v>1460</v>
      </c>
      <c r="D298" t="s">
        <v>1461</v>
      </c>
      <c r="G298" s="175">
        <v>338161.65</v>
      </c>
      <c r="H298" s="175">
        <v>321193.81894530001</v>
      </c>
      <c r="I298" s="175">
        <v>309260.49727489997</v>
      </c>
      <c r="J298" s="175">
        <v>309849.28122230002</v>
      </c>
      <c r="K298" s="175">
        <v>318822.22377119999</v>
      </c>
      <c r="L298" s="175">
        <v>319709.20847359998</v>
      </c>
      <c r="M298" s="175">
        <v>320935.18943019997</v>
      </c>
      <c r="N298" s="175">
        <v>326474.5749836</v>
      </c>
      <c r="O298" s="175">
        <v>316906.48578230001</v>
      </c>
      <c r="P298" s="175">
        <v>314287.97100199998</v>
      </c>
      <c r="Q298" s="175">
        <v>319433.71231039998</v>
      </c>
      <c r="R298" s="175">
        <v>311131.80487639998</v>
      </c>
      <c r="S298" s="175">
        <v>324163.9777934</v>
      </c>
      <c r="U298" s="175">
        <f t="shared" si="19"/>
        <v>319256.18429735384</v>
      </c>
    </row>
    <row r="299" spans="1:21">
      <c r="A299" s="183" t="str">
        <f t="shared" si="17"/>
        <v>572</v>
      </c>
      <c r="B299" s="183" t="str">
        <f t="shared" si="18"/>
        <v>572.0</v>
      </c>
      <c r="C299" s="184" t="s">
        <v>1462</v>
      </c>
      <c r="D299" t="s">
        <v>1463</v>
      </c>
      <c r="G299" s="175">
        <v>0</v>
      </c>
      <c r="H299" s="175">
        <v>0</v>
      </c>
      <c r="I299" s="175">
        <v>0</v>
      </c>
      <c r="J299" s="175">
        <v>0</v>
      </c>
      <c r="K299" s="175">
        <v>0</v>
      </c>
      <c r="L299" s="175">
        <v>0</v>
      </c>
      <c r="M299" s="175">
        <v>0</v>
      </c>
      <c r="N299" s="175">
        <v>0</v>
      </c>
      <c r="O299" s="175">
        <v>0</v>
      </c>
      <c r="P299" s="175">
        <v>0</v>
      </c>
      <c r="Q299" s="175">
        <v>0</v>
      </c>
      <c r="R299" s="175">
        <v>0</v>
      </c>
      <c r="S299" s="175">
        <v>0</v>
      </c>
      <c r="U299" s="175">
        <f t="shared" si="19"/>
        <v>0</v>
      </c>
    </row>
    <row r="300" spans="1:21">
      <c r="A300" s="183" t="str">
        <f t="shared" si="17"/>
        <v>573</v>
      </c>
      <c r="B300" s="183" t="str">
        <f t="shared" si="18"/>
        <v>573.0</v>
      </c>
      <c r="C300" s="184" t="s">
        <v>1464</v>
      </c>
      <c r="D300" t="s">
        <v>1465</v>
      </c>
      <c r="G300" s="175">
        <v>0</v>
      </c>
      <c r="H300" s="175">
        <v>0</v>
      </c>
      <c r="I300" s="175">
        <v>0</v>
      </c>
      <c r="J300" s="175">
        <v>0</v>
      </c>
      <c r="K300" s="175">
        <v>0</v>
      </c>
      <c r="L300" s="175">
        <v>0</v>
      </c>
      <c r="M300" s="175">
        <v>0</v>
      </c>
      <c r="N300" s="175">
        <v>0</v>
      </c>
      <c r="O300" s="175">
        <v>0</v>
      </c>
      <c r="P300" s="175">
        <v>0</v>
      </c>
      <c r="Q300" s="175">
        <v>0</v>
      </c>
      <c r="R300" s="175">
        <v>0</v>
      </c>
      <c r="S300" s="175">
        <v>0</v>
      </c>
      <c r="U300" s="175">
        <f t="shared" si="19"/>
        <v>0</v>
      </c>
    </row>
    <row r="301" spans="1:21">
      <c r="A301" s="183" t="str">
        <f t="shared" si="17"/>
        <v>575</v>
      </c>
      <c r="B301" s="183" t="str">
        <f t="shared" si="18"/>
        <v>575.1</v>
      </c>
      <c r="C301" s="184" t="s">
        <v>1466</v>
      </c>
      <c r="D301" t="s">
        <v>1467</v>
      </c>
      <c r="G301" s="175">
        <v>0</v>
      </c>
      <c r="H301" s="175">
        <v>0</v>
      </c>
      <c r="I301" s="175">
        <v>0</v>
      </c>
      <c r="J301" s="175">
        <v>0</v>
      </c>
      <c r="K301" s="175">
        <v>0</v>
      </c>
      <c r="L301" s="175">
        <v>0</v>
      </c>
      <c r="M301" s="175">
        <v>0</v>
      </c>
      <c r="N301" s="175">
        <v>0</v>
      </c>
      <c r="O301" s="175">
        <v>0</v>
      </c>
      <c r="P301" s="175">
        <v>0</v>
      </c>
      <c r="Q301" s="175">
        <v>0</v>
      </c>
      <c r="R301" s="175">
        <v>0</v>
      </c>
      <c r="S301" s="175">
        <v>0</v>
      </c>
      <c r="U301" s="175">
        <f t="shared" si="19"/>
        <v>0</v>
      </c>
    </row>
    <row r="302" spans="1:21">
      <c r="A302" s="183" t="str">
        <f t="shared" si="17"/>
        <v>575</v>
      </c>
      <c r="B302" s="183" t="str">
        <f t="shared" si="18"/>
        <v>575.2</v>
      </c>
      <c r="C302" s="184" t="s">
        <v>1468</v>
      </c>
      <c r="D302" t="s">
        <v>1469</v>
      </c>
      <c r="G302" s="175">
        <v>0</v>
      </c>
      <c r="H302" s="175">
        <v>0</v>
      </c>
      <c r="I302" s="175">
        <v>0</v>
      </c>
      <c r="J302" s="175">
        <v>0</v>
      </c>
      <c r="K302" s="175">
        <v>0</v>
      </c>
      <c r="L302" s="175">
        <v>0</v>
      </c>
      <c r="M302" s="175">
        <v>0</v>
      </c>
      <c r="N302" s="175">
        <v>0</v>
      </c>
      <c r="O302" s="175">
        <v>0</v>
      </c>
      <c r="P302" s="175">
        <v>0</v>
      </c>
      <c r="Q302" s="175">
        <v>0</v>
      </c>
      <c r="R302" s="175">
        <v>0</v>
      </c>
      <c r="S302" s="175">
        <v>0</v>
      </c>
      <c r="U302" s="175">
        <f t="shared" si="19"/>
        <v>0</v>
      </c>
    </row>
    <row r="303" spans="1:21">
      <c r="A303" s="183" t="str">
        <f t="shared" si="17"/>
        <v>575</v>
      </c>
      <c r="B303" s="183" t="str">
        <f t="shared" si="18"/>
        <v>575.3</v>
      </c>
      <c r="C303" s="184" t="s">
        <v>1470</v>
      </c>
      <c r="D303" t="s">
        <v>1471</v>
      </c>
      <c r="G303" s="175">
        <v>0</v>
      </c>
      <c r="H303" s="175">
        <v>0</v>
      </c>
      <c r="I303" s="175">
        <v>0</v>
      </c>
      <c r="J303" s="175">
        <v>0</v>
      </c>
      <c r="K303" s="175">
        <v>0</v>
      </c>
      <c r="L303" s="175">
        <v>0</v>
      </c>
      <c r="M303" s="175">
        <v>0</v>
      </c>
      <c r="N303" s="175">
        <v>0</v>
      </c>
      <c r="O303" s="175">
        <v>0</v>
      </c>
      <c r="P303" s="175">
        <v>0</v>
      </c>
      <c r="Q303" s="175">
        <v>0</v>
      </c>
      <c r="R303" s="175">
        <v>0</v>
      </c>
      <c r="S303" s="175">
        <v>0</v>
      </c>
      <c r="U303" s="175">
        <f t="shared" si="19"/>
        <v>0</v>
      </c>
    </row>
    <row r="304" spans="1:21">
      <c r="A304" s="183" t="str">
        <f t="shared" si="17"/>
        <v>575</v>
      </c>
      <c r="B304" s="183" t="str">
        <f t="shared" si="18"/>
        <v>575.4</v>
      </c>
      <c r="C304" s="184" t="s">
        <v>1472</v>
      </c>
      <c r="D304" t="s">
        <v>1473</v>
      </c>
      <c r="G304" s="175">
        <v>0</v>
      </c>
      <c r="H304" s="175">
        <v>0</v>
      </c>
      <c r="I304" s="175">
        <v>0</v>
      </c>
      <c r="J304" s="175">
        <v>0</v>
      </c>
      <c r="K304" s="175">
        <v>0</v>
      </c>
      <c r="L304" s="175">
        <v>0</v>
      </c>
      <c r="M304" s="175">
        <v>0</v>
      </c>
      <c r="N304" s="175">
        <v>0</v>
      </c>
      <c r="O304" s="175">
        <v>0</v>
      </c>
      <c r="P304" s="175">
        <v>0</v>
      </c>
      <c r="Q304" s="175">
        <v>0</v>
      </c>
      <c r="R304" s="175">
        <v>0</v>
      </c>
      <c r="S304" s="175">
        <v>0</v>
      </c>
      <c r="U304" s="175">
        <f t="shared" si="19"/>
        <v>0</v>
      </c>
    </row>
    <row r="305" spans="1:21">
      <c r="A305" s="183" t="str">
        <f t="shared" si="17"/>
        <v>575</v>
      </c>
      <c r="B305" s="183" t="str">
        <f t="shared" si="18"/>
        <v>575.5</v>
      </c>
      <c r="C305" s="184" t="s">
        <v>1474</v>
      </c>
      <c r="D305" t="s">
        <v>1475</v>
      </c>
      <c r="G305" s="175">
        <v>0</v>
      </c>
      <c r="H305" s="175">
        <v>0</v>
      </c>
      <c r="I305" s="175">
        <v>0</v>
      </c>
      <c r="J305" s="175">
        <v>0</v>
      </c>
      <c r="K305" s="175">
        <v>0</v>
      </c>
      <c r="L305" s="175">
        <v>0</v>
      </c>
      <c r="M305" s="175">
        <v>0</v>
      </c>
      <c r="N305" s="175">
        <v>0</v>
      </c>
      <c r="O305" s="175">
        <v>0</v>
      </c>
      <c r="P305" s="175">
        <v>0</v>
      </c>
      <c r="Q305" s="175">
        <v>0</v>
      </c>
      <c r="R305" s="175">
        <v>0</v>
      </c>
      <c r="S305" s="175">
        <v>0</v>
      </c>
      <c r="U305" s="175">
        <f t="shared" si="19"/>
        <v>0</v>
      </c>
    </row>
    <row r="306" spans="1:21">
      <c r="A306" s="183" t="str">
        <f t="shared" si="17"/>
        <v>575</v>
      </c>
      <c r="B306" s="183" t="str">
        <f t="shared" si="18"/>
        <v>575.6</v>
      </c>
      <c r="C306" s="184" t="s">
        <v>1476</v>
      </c>
      <c r="D306" t="s">
        <v>1477</v>
      </c>
      <c r="G306" s="175">
        <v>0</v>
      </c>
      <c r="H306" s="175">
        <v>0</v>
      </c>
      <c r="I306" s="175">
        <v>0</v>
      </c>
      <c r="J306" s="175">
        <v>0</v>
      </c>
      <c r="K306" s="175">
        <v>0</v>
      </c>
      <c r="L306" s="175">
        <v>0</v>
      </c>
      <c r="M306" s="175">
        <v>0</v>
      </c>
      <c r="N306" s="175">
        <v>0</v>
      </c>
      <c r="O306" s="175">
        <v>0</v>
      </c>
      <c r="P306" s="175">
        <v>0</v>
      </c>
      <c r="Q306" s="175">
        <v>0</v>
      </c>
      <c r="R306" s="175">
        <v>0</v>
      </c>
      <c r="S306" s="175">
        <v>0</v>
      </c>
      <c r="U306" s="175">
        <f t="shared" si="19"/>
        <v>0</v>
      </c>
    </row>
    <row r="307" spans="1:21">
      <c r="A307" s="183" t="str">
        <f t="shared" si="17"/>
        <v>575</v>
      </c>
      <c r="B307" s="183" t="str">
        <f t="shared" si="18"/>
        <v>575.7</v>
      </c>
      <c r="C307" s="184" t="s">
        <v>1478</v>
      </c>
      <c r="D307" t="s">
        <v>1479</v>
      </c>
      <c r="G307" s="175">
        <v>0</v>
      </c>
      <c r="H307" s="175">
        <v>0</v>
      </c>
      <c r="I307" s="175">
        <v>0</v>
      </c>
      <c r="J307" s="175">
        <v>0</v>
      </c>
      <c r="K307" s="175">
        <v>0</v>
      </c>
      <c r="L307" s="175">
        <v>0</v>
      </c>
      <c r="M307" s="175">
        <v>0</v>
      </c>
      <c r="N307" s="175">
        <v>0</v>
      </c>
      <c r="O307" s="175">
        <v>0</v>
      </c>
      <c r="P307" s="175">
        <v>0</v>
      </c>
      <c r="Q307" s="175">
        <v>0</v>
      </c>
      <c r="R307" s="175">
        <v>0</v>
      </c>
      <c r="S307" s="175">
        <v>0</v>
      </c>
      <c r="U307" s="175">
        <f t="shared" si="19"/>
        <v>0</v>
      </c>
    </row>
    <row r="308" spans="1:21">
      <c r="A308" s="183" t="str">
        <f t="shared" si="17"/>
        <v>575</v>
      </c>
      <c r="B308" s="183" t="str">
        <f t="shared" si="18"/>
        <v>575.8</v>
      </c>
      <c r="C308" s="184" t="s">
        <v>1480</v>
      </c>
      <c r="D308" t="s">
        <v>1481</v>
      </c>
      <c r="G308" s="175">
        <v>0</v>
      </c>
      <c r="H308" s="175">
        <v>0</v>
      </c>
      <c r="I308" s="175">
        <v>0</v>
      </c>
      <c r="J308" s="175">
        <v>0</v>
      </c>
      <c r="K308" s="175">
        <v>0</v>
      </c>
      <c r="L308" s="175">
        <v>0</v>
      </c>
      <c r="M308" s="175">
        <v>0</v>
      </c>
      <c r="N308" s="175">
        <v>0</v>
      </c>
      <c r="O308" s="175">
        <v>0</v>
      </c>
      <c r="P308" s="175">
        <v>0</v>
      </c>
      <c r="Q308" s="175">
        <v>0</v>
      </c>
      <c r="R308" s="175">
        <v>0</v>
      </c>
      <c r="S308" s="175">
        <v>0</v>
      </c>
      <c r="U308" s="175">
        <f t="shared" si="19"/>
        <v>0</v>
      </c>
    </row>
    <row r="309" spans="1:21">
      <c r="A309" s="183" t="str">
        <f t="shared" si="17"/>
        <v>576</v>
      </c>
      <c r="B309" s="183" t="str">
        <f t="shared" si="18"/>
        <v>576.1</v>
      </c>
      <c r="C309" s="184" t="s">
        <v>1482</v>
      </c>
      <c r="D309" t="s">
        <v>1483</v>
      </c>
      <c r="G309" s="175">
        <v>0</v>
      </c>
      <c r="H309" s="175">
        <v>0</v>
      </c>
      <c r="I309" s="175">
        <v>0</v>
      </c>
      <c r="J309" s="175">
        <v>0</v>
      </c>
      <c r="K309" s="175">
        <v>0</v>
      </c>
      <c r="L309" s="175">
        <v>0</v>
      </c>
      <c r="M309" s="175">
        <v>0</v>
      </c>
      <c r="N309" s="175">
        <v>0</v>
      </c>
      <c r="O309" s="175">
        <v>0</v>
      </c>
      <c r="P309" s="175">
        <v>0</v>
      </c>
      <c r="Q309" s="175">
        <v>0</v>
      </c>
      <c r="R309" s="175">
        <v>0</v>
      </c>
      <c r="S309" s="175">
        <v>0</v>
      </c>
      <c r="U309" s="175">
        <f t="shared" si="19"/>
        <v>0</v>
      </c>
    </row>
    <row r="310" spans="1:21">
      <c r="A310" s="183" t="str">
        <f t="shared" si="17"/>
        <v>576</v>
      </c>
      <c r="B310" s="183" t="str">
        <f t="shared" si="18"/>
        <v>576.2</v>
      </c>
      <c r="C310" s="184" t="s">
        <v>1484</v>
      </c>
      <c r="D310" t="s">
        <v>1485</v>
      </c>
      <c r="G310" s="175">
        <v>0</v>
      </c>
      <c r="H310" s="175">
        <v>0</v>
      </c>
      <c r="I310" s="175">
        <v>0</v>
      </c>
      <c r="J310" s="175">
        <v>0</v>
      </c>
      <c r="K310" s="175">
        <v>0</v>
      </c>
      <c r="L310" s="175">
        <v>0</v>
      </c>
      <c r="M310" s="175">
        <v>0</v>
      </c>
      <c r="N310" s="175">
        <v>0</v>
      </c>
      <c r="O310" s="175">
        <v>0</v>
      </c>
      <c r="P310" s="175">
        <v>0</v>
      </c>
      <c r="Q310" s="175">
        <v>0</v>
      </c>
      <c r="R310" s="175">
        <v>0</v>
      </c>
      <c r="S310" s="175">
        <v>0</v>
      </c>
      <c r="U310" s="175">
        <f t="shared" si="19"/>
        <v>0</v>
      </c>
    </row>
    <row r="311" spans="1:21">
      <c r="A311" s="183" t="str">
        <f t="shared" si="17"/>
        <v>576</v>
      </c>
      <c r="B311" s="183" t="str">
        <f t="shared" si="18"/>
        <v>576.3</v>
      </c>
      <c r="C311" s="184" t="s">
        <v>1486</v>
      </c>
      <c r="D311" t="s">
        <v>1487</v>
      </c>
      <c r="G311" s="175">
        <v>0</v>
      </c>
      <c r="H311" s="175">
        <v>0</v>
      </c>
      <c r="I311" s="175">
        <v>0</v>
      </c>
      <c r="J311" s="175">
        <v>0</v>
      </c>
      <c r="K311" s="175">
        <v>0</v>
      </c>
      <c r="L311" s="175">
        <v>0</v>
      </c>
      <c r="M311" s="175">
        <v>0</v>
      </c>
      <c r="N311" s="175">
        <v>0</v>
      </c>
      <c r="O311" s="175">
        <v>0</v>
      </c>
      <c r="P311" s="175">
        <v>0</v>
      </c>
      <c r="Q311" s="175">
        <v>0</v>
      </c>
      <c r="R311" s="175">
        <v>0</v>
      </c>
      <c r="S311" s="175">
        <v>0</v>
      </c>
      <c r="U311" s="175">
        <f t="shared" si="19"/>
        <v>0</v>
      </c>
    </row>
    <row r="312" spans="1:21">
      <c r="A312" s="183" t="str">
        <f t="shared" si="17"/>
        <v>576</v>
      </c>
      <c r="B312" s="183" t="str">
        <f t="shared" si="18"/>
        <v>576.4</v>
      </c>
      <c r="C312" s="184" t="s">
        <v>1488</v>
      </c>
      <c r="D312" t="s">
        <v>1489</v>
      </c>
      <c r="G312" s="175">
        <v>0</v>
      </c>
      <c r="H312" s="175">
        <v>0</v>
      </c>
      <c r="I312" s="175">
        <v>0</v>
      </c>
      <c r="J312" s="175">
        <v>0</v>
      </c>
      <c r="K312" s="175">
        <v>0</v>
      </c>
      <c r="L312" s="175">
        <v>0</v>
      </c>
      <c r="M312" s="175">
        <v>0</v>
      </c>
      <c r="N312" s="175">
        <v>0</v>
      </c>
      <c r="O312" s="175">
        <v>0</v>
      </c>
      <c r="P312" s="175">
        <v>0</v>
      </c>
      <c r="Q312" s="175">
        <v>0</v>
      </c>
      <c r="R312" s="175">
        <v>0</v>
      </c>
      <c r="S312" s="175">
        <v>0</v>
      </c>
      <c r="U312" s="175">
        <f t="shared" si="19"/>
        <v>0</v>
      </c>
    </row>
    <row r="313" spans="1:21">
      <c r="A313" s="183" t="str">
        <f t="shared" si="17"/>
        <v>576</v>
      </c>
      <c r="B313" s="183" t="str">
        <f t="shared" si="18"/>
        <v>576.5</v>
      </c>
      <c r="C313" s="184" t="s">
        <v>1490</v>
      </c>
      <c r="D313" t="s">
        <v>1491</v>
      </c>
      <c r="G313" s="175">
        <v>0</v>
      </c>
      <c r="H313" s="175">
        <v>0</v>
      </c>
      <c r="I313" s="175">
        <v>0</v>
      </c>
      <c r="J313" s="175">
        <v>0</v>
      </c>
      <c r="K313" s="175">
        <v>0</v>
      </c>
      <c r="L313" s="175">
        <v>0</v>
      </c>
      <c r="M313" s="175">
        <v>0</v>
      </c>
      <c r="N313" s="175">
        <v>0</v>
      </c>
      <c r="O313" s="175">
        <v>0</v>
      </c>
      <c r="P313" s="175">
        <v>0</v>
      </c>
      <c r="Q313" s="175">
        <v>0</v>
      </c>
      <c r="R313" s="175">
        <v>0</v>
      </c>
      <c r="S313" s="175">
        <v>0</v>
      </c>
      <c r="U313" s="175">
        <f t="shared" si="19"/>
        <v>0</v>
      </c>
    </row>
    <row r="314" spans="1:21">
      <c r="A314" s="183" t="str">
        <f t="shared" si="17"/>
        <v>580</v>
      </c>
      <c r="B314" s="183" t="str">
        <f t="shared" si="18"/>
        <v>580.0</v>
      </c>
      <c r="C314" s="184" t="s">
        <v>1492</v>
      </c>
      <c r="D314" t="s">
        <v>1493</v>
      </c>
      <c r="G314" s="175">
        <v>136833.47</v>
      </c>
      <c r="H314" s="175">
        <v>125780.3098721</v>
      </c>
      <c r="I314" s="175">
        <v>116671.5621449</v>
      </c>
      <c r="J314" s="175">
        <v>117463.3509435</v>
      </c>
      <c r="K314" s="175">
        <v>121441.153853</v>
      </c>
      <c r="L314" s="175">
        <v>125515.6771521</v>
      </c>
      <c r="M314" s="175">
        <v>116006.926456</v>
      </c>
      <c r="N314" s="175">
        <v>126297.9724936</v>
      </c>
      <c r="O314" s="175">
        <v>123840.0945351</v>
      </c>
      <c r="P314" s="175">
        <v>120221.9120715</v>
      </c>
      <c r="Q314" s="175">
        <v>123876.96513</v>
      </c>
      <c r="R314" s="175">
        <v>116064.7771828</v>
      </c>
      <c r="S314" s="175">
        <v>119001.7203413</v>
      </c>
      <c r="U314" s="175">
        <f t="shared" si="19"/>
        <v>122231.99170583843</v>
      </c>
    </row>
    <row r="315" spans="1:21">
      <c r="A315" s="183" t="str">
        <f t="shared" si="17"/>
        <v>581</v>
      </c>
      <c r="B315" s="183" t="str">
        <f t="shared" si="18"/>
        <v>581.0</v>
      </c>
      <c r="C315" s="184" t="s">
        <v>1494</v>
      </c>
      <c r="D315" t="s">
        <v>1495</v>
      </c>
      <c r="G315" s="175">
        <v>113063.84</v>
      </c>
      <c r="H315" s="175">
        <v>82498.212986700004</v>
      </c>
      <c r="I315" s="175">
        <v>80452.267091400005</v>
      </c>
      <c r="J315" s="175">
        <v>86981.558735800005</v>
      </c>
      <c r="K315" s="175">
        <v>89260.850166599994</v>
      </c>
      <c r="L315" s="175">
        <v>92101.873232500002</v>
      </c>
      <c r="M315" s="175">
        <v>91412.114921</v>
      </c>
      <c r="N315" s="175">
        <v>104488.28487829999</v>
      </c>
      <c r="O315" s="175">
        <v>114786.4884952</v>
      </c>
      <c r="P315" s="175">
        <v>112158.57591840001</v>
      </c>
      <c r="Q315" s="175">
        <v>113787.43155769999</v>
      </c>
      <c r="R315" s="175">
        <v>96586.334247000006</v>
      </c>
      <c r="S315" s="175">
        <v>98404.624770299997</v>
      </c>
      <c r="U315" s="175">
        <f t="shared" si="19"/>
        <v>98152.496692376924</v>
      </c>
    </row>
    <row r="316" spans="1:21">
      <c r="A316" s="183" t="str">
        <f t="shared" si="17"/>
        <v>581</v>
      </c>
      <c r="B316" s="183" t="str">
        <f t="shared" si="18"/>
        <v>581.1</v>
      </c>
      <c r="C316" s="184" t="s">
        <v>1496</v>
      </c>
      <c r="D316" t="s">
        <v>1497</v>
      </c>
      <c r="G316" s="175">
        <v>0</v>
      </c>
      <c r="H316" s="175">
        <v>0</v>
      </c>
      <c r="I316" s="175">
        <v>0</v>
      </c>
      <c r="J316" s="175">
        <v>0</v>
      </c>
      <c r="K316" s="175">
        <v>0</v>
      </c>
      <c r="L316" s="175">
        <v>0</v>
      </c>
      <c r="M316" s="175">
        <v>0</v>
      </c>
      <c r="N316" s="175">
        <v>0</v>
      </c>
      <c r="O316" s="175">
        <v>0</v>
      </c>
      <c r="P316" s="175">
        <v>0</v>
      </c>
      <c r="Q316" s="175">
        <v>0</v>
      </c>
      <c r="R316" s="175">
        <v>0</v>
      </c>
      <c r="S316" s="175">
        <v>0</v>
      </c>
      <c r="U316" s="175">
        <f t="shared" si="19"/>
        <v>0</v>
      </c>
    </row>
    <row r="317" spans="1:21">
      <c r="A317" s="183" t="str">
        <f t="shared" si="17"/>
        <v>582</v>
      </c>
      <c r="B317" s="183" t="str">
        <f t="shared" si="18"/>
        <v>582.0</v>
      </c>
      <c r="C317" s="184" t="s">
        <v>1498</v>
      </c>
      <c r="D317" t="s">
        <v>1499</v>
      </c>
      <c r="G317" s="175">
        <v>221096.15</v>
      </c>
      <c r="H317" s="175">
        <v>175266.7899459</v>
      </c>
      <c r="I317" s="175">
        <v>159549.65637889999</v>
      </c>
      <c r="J317" s="175">
        <v>159763.43456679999</v>
      </c>
      <c r="K317" s="175">
        <v>164973.66016669999</v>
      </c>
      <c r="L317" s="175">
        <v>169514.71863019999</v>
      </c>
      <c r="M317" s="175">
        <v>156468.006991</v>
      </c>
      <c r="N317" s="175">
        <v>171000.84948539999</v>
      </c>
      <c r="O317" s="175">
        <v>166357.77609989999</v>
      </c>
      <c r="P317" s="175">
        <v>161718.92691529999</v>
      </c>
      <c r="Q317" s="175">
        <v>170808.7584928</v>
      </c>
      <c r="R317" s="175">
        <v>161494.0234451</v>
      </c>
      <c r="S317" s="175">
        <v>165988.4894969</v>
      </c>
      <c r="U317" s="175">
        <f t="shared" si="19"/>
        <v>169538.55697037693</v>
      </c>
    </row>
    <row r="318" spans="1:21">
      <c r="A318" s="183" t="str">
        <f t="shared" si="17"/>
        <v>583</v>
      </c>
      <c r="B318" s="183" t="str">
        <f t="shared" si="18"/>
        <v>583.0</v>
      </c>
      <c r="C318" s="184" t="s">
        <v>1500</v>
      </c>
      <c r="D318" t="s">
        <v>1501</v>
      </c>
      <c r="G318" s="175">
        <v>2036467.73</v>
      </c>
      <c r="H318" s="175">
        <v>732713.28593679995</v>
      </c>
      <c r="I318" s="175">
        <v>663775.850018</v>
      </c>
      <c r="J318" s="175">
        <v>674264.4693769</v>
      </c>
      <c r="K318" s="175">
        <v>684536.07106690004</v>
      </c>
      <c r="L318" s="175">
        <v>690760.64404399996</v>
      </c>
      <c r="M318" s="175">
        <v>643088.66517749999</v>
      </c>
      <c r="N318" s="175">
        <v>693047.53016890003</v>
      </c>
      <c r="O318" s="175">
        <v>704984.20053739997</v>
      </c>
      <c r="P318" s="175">
        <v>682330.01254689996</v>
      </c>
      <c r="Q318" s="175">
        <v>708653.1472293</v>
      </c>
      <c r="R318" s="175">
        <v>648609.1988741</v>
      </c>
      <c r="S318" s="175">
        <v>665066.99476819998</v>
      </c>
      <c r="U318" s="175">
        <f t="shared" si="19"/>
        <v>786792.13844191539</v>
      </c>
    </row>
    <row r="319" spans="1:21">
      <c r="A319" s="183" t="str">
        <f t="shared" si="17"/>
        <v>584</v>
      </c>
      <c r="B319" s="183" t="str">
        <f t="shared" si="18"/>
        <v>584.0</v>
      </c>
      <c r="C319" s="184" t="s">
        <v>1502</v>
      </c>
      <c r="D319" t="s">
        <v>1503</v>
      </c>
      <c r="G319" s="175">
        <v>60767.89</v>
      </c>
      <c r="H319" s="175">
        <v>69945.487039400003</v>
      </c>
      <c r="I319" s="175">
        <v>65394.013118499999</v>
      </c>
      <c r="J319" s="175">
        <v>70831.190856000001</v>
      </c>
      <c r="K319" s="175">
        <v>73848.579007299995</v>
      </c>
      <c r="L319" s="175">
        <v>76865.967158900006</v>
      </c>
      <c r="M319" s="175">
        <v>68880.796101600004</v>
      </c>
      <c r="N319" s="175">
        <v>78999.967158900006</v>
      </c>
      <c r="O319" s="175">
        <v>78115.579007299995</v>
      </c>
      <c r="P319" s="175">
        <v>75098.190856000001</v>
      </c>
      <c r="Q319" s="175">
        <v>81132.967158900006</v>
      </c>
      <c r="R319" s="175">
        <v>72965.190856000001</v>
      </c>
      <c r="S319" s="175">
        <v>75982.579007299995</v>
      </c>
      <c r="U319" s="175">
        <f t="shared" si="19"/>
        <v>72986.79979431539</v>
      </c>
    </row>
    <row r="320" spans="1:21">
      <c r="A320" s="183" t="str">
        <f t="shared" si="17"/>
        <v>585</v>
      </c>
      <c r="B320" s="183" t="str">
        <f t="shared" si="18"/>
        <v>585.0</v>
      </c>
      <c r="C320" s="184" t="s">
        <v>1504</v>
      </c>
      <c r="D320" t="s">
        <v>1505</v>
      </c>
      <c r="G320" s="175">
        <v>122180.41</v>
      </c>
      <c r="H320" s="175">
        <v>207606.33753990001</v>
      </c>
      <c r="I320" s="175">
        <v>194294.05809030001</v>
      </c>
      <c r="J320" s="175">
        <v>202294.05809030001</v>
      </c>
      <c r="K320" s="175">
        <v>204339.20002389999</v>
      </c>
      <c r="L320" s="175">
        <v>211344.2165753</v>
      </c>
      <c r="M320" s="175">
        <v>190329.15164309999</v>
      </c>
      <c r="N320" s="175">
        <v>211344.2165753</v>
      </c>
      <c r="O320" s="175">
        <v>212339.20002389999</v>
      </c>
      <c r="P320" s="175">
        <v>197334.18348189999</v>
      </c>
      <c r="Q320" s="175">
        <v>211344.2165753</v>
      </c>
      <c r="R320" s="175">
        <v>197334.18348189999</v>
      </c>
      <c r="S320" s="175">
        <v>204339.20002389999</v>
      </c>
      <c r="U320" s="175">
        <f t="shared" si="19"/>
        <v>197417.12554807693</v>
      </c>
    </row>
    <row r="321" spans="1:21">
      <c r="A321" s="183" t="str">
        <f t="shared" si="17"/>
        <v>586</v>
      </c>
      <c r="B321" s="183" t="str">
        <f t="shared" si="18"/>
        <v>586.0</v>
      </c>
      <c r="C321" s="184" t="s">
        <v>1506</v>
      </c>
      <c r="D321" t="s">
        <v>1507</v>
      </c>
      <c r="G321" s="175">
        <v>332649.38</v>
      </c>
      <c r="H321" s="175">
        <v>470163.15004719998</v>
      </c>
      <c r="I321" s="175">
        <v>440680.59997799998</v>
      </c>
      <c r="J321" s="175">
        <v>457088.62626230001</v>
      </c>
      <c r="K321" s="175">
        <v>479330.3323214</v>
      </c>
      <c r="L321" s="175">
        <v>496713.64348799997</v>
      </c>
      <c r="M321" s="175">
        <v>455040.62244250003</v>
      </c>
      <c r="N321" s="175">
        <v>510096.45243200002</v>
      </c>
      <c r="O321" s="175">
        <v>506049.73271860002</v>
      </c>
      <c r="P321" s="175">
        <v>491384.98530330003</v>
      </c>
      <c r="Q321" s="175">
        <v>519780.96605639998</v>
      </c>
      <c r="R321" s="175">
        <v>471808.14384739997</v>
      </c>
      <c r="S321" s="175">
        <v>490705.10069460003</v>
      </c>
      <c r="U321" s="175">
        <f t="shared" si="19"/>
        <v>470883.97966090002</v>
      </c>
    </row>
    <row r="322" spans="1:21">
      <c r="A322" s="183" t="str">
        <f t="shared" si="17"/>
        <v>587</v>
      </c>
      <c r="B322" s="183" t="str">
        <f t="shared" si="18"/>
        <v>587.0</v>
      </c>
      <c r="C322" s="184" t="s">
        <v>1508</v>
      </c>
      <c r="D322" t="s">
        <v>1509</v>
      </c>
      <c r="G322" s="175">
        <v>33477.43</v>
      </c>
      <c r="H322" s="175">
        <v>0</v>
      </c>
      <c r="I322" s="175">
        <v>0</v>
      </c>
      <c r="J322" s="175">
        <v>0</v>
      </c>
      <c r="K322" s="175">
        <v>0</v>
      </c>
      <c r="L322" s="175">
        <v>0</v>
      </c>
      <c r="M322" s="175">
        <v>0</v>
      </c>
      <c r="N322" s="175">
        <v>0</v>
      </c>
      <c r="O322" s="175">
        <v>0</v>
      </c>
      <c r="P322" s="175">
        <v>0</v>
      </c>
      <c r="Q322" s="175">
        <v>0</v>
      </c>
      <c r="R322" s="175">
        <v>0</v>
      </c>
      <c r="S322" s="175">
        <v>0</v>
      </c>
      <c r="U322" s="175">
        <f t="shared" si="19"/>
        <v>2575.186923076923</v>
      </c>
    </row>
    <row r="323" spans="1:21">
      <c r="A323" s="183" t="str">
        <f t="shared" si="17"/>
        <v>588</v>
      </c>
      <c r="B323" s="183" t="str">
        <f t="shared" si="18"/>
        <v>588.0</v>
      </c>
      <c r="C323" s="184" t="s">
        <v>1510</v>
      </c>
      <c r="D323" t="s">
        <v>1511</v>
      </c>
      <c r="G323" s="175">
        <v>458215.27</v>
      </c>
      <c r="H323" s="175">
        <v>481046.01503250003</v>
      </c>
      <c r="I323" s="175">
        <v>290092.7118778</v>
      </c>
      <c r="J323" s="175">
        <v>291322.12730739999</v>
      </c>
      <c r="K323" s="175">
        <v>387215.9886254</v>
      </c>
      <c r="L323" s="175">
        <v>364507.79853859998</v>
      </c>
      <c r="M323" s="175">
        <v>297281.11790220003</v>
      </c>
      <c r="N323" s="175">
        <v>445364.54313300003</v>
      </c>
      <c r="O323" s="175">
        <v>374513.4731537</v>
      </c>
      <c r="P323" s="175">
        <v>330091.78750470001</v>
      </c>
      <c r="Q323" s="175">
        <v>430972.69940009998</v>
      </c>
      <c r="R323" s="175">
        <v>343103.70229719998</v>
      </c>
      <c r="S323" s="175">
        <v>364608.23481390002</v>
      </c>
      <c r="U323" s="175">
        <f t="shared" si="19"/>
        <v>373718.11304511537</v>
      </c>
    </row>
    <row r="324" spans="1:21">
      <c r="A324" s="183" t="str">
        <f t="shared" si="17"/>
        <v>589</v>
      </c>
      <c r="B324" s="183" t="str">
        <f t="shared" si="18"/>
        <v>589.0</v>
      </c>
      <c r="C324" s="184" t="s">
        <v>1512</v>
      </c>
      <c r="D324" t="s">
        <v>1513</v>
      </c>
      <c r="G324" s="175">
        <v>30091.3</v>
      </c>
      <c r="H324" s="175">
        <v>31417</v>
      </c>
      <c r="I324" s="175">
        <v>31417</v>
      </c>
      <c r="J324" s="175">
        <v>31417</v>
      </c>
      <c r="K324" s="175">
        <v>31417</v>
      </c>
      <c r="L324" s="175">
        <v>31417</v>
      </c>
      <c r="M324" s="175">
        <v>31417</v>
      </c>
      <c r="N324" s="175">
        <v>31417</v>
      </c>
      <c r="O324" s="175">
        <v>31417</v>
      </c>
      <c r="P324" s="175">
        <v>31417</v>
      </c>
      <c r="Q324" s="175">
        <v>31417</v>
      </c>
      <c r="R324" s="175">
        <v>31417</v>
      </c>
      <c r="S324" s="175">
        <v>31417</v>
      </c>
      <c r="U324" s="175">
        <f t="shared" si="19"/>
        <v>31315.023076923077</v>
      </c>
    </row>
    <row r="325" spans="1:21">
      <c r="A325" s="183" t="str">
        <f t="shared" si="17"/>
        <v>590</v>
      </c>
      <c r="B325" s="183" t="str">
        <f t="shared" si="18"/>
        <v>590.0</v>
      </c>
      <c r="C325" s="184" t="s">
        <v>1514</v>
      </c>
      <c r="D325" t="s">
        <v>1515</v>
      </c>
      <c r="G325" s="175">
        <v>0</v>
      </c>
      <c r="H325" s="175">
        <v>0</v>
      </c>
      <c r="I325" s="175">
        <v>0</v>
      </c>
      <c r="J325" s="175">
        <v>0</v>
      </c>
      <c r="K325" s="175">
        <v>0</v>
      </c>
      <c r="L325" s="175">
        <v>0</v>
      </c>
      <c r="M325" s="175">
        <v>0</v>
      </c>
      <c r="N325" s="175">
        <v>0</v>
      </c>
      <c r="O325" s="175">
        <v>0</v>
      </c>
      <c r="P325" s="175">
        <v>0</v>
      </c>
      <c r="Q325" s="175">
        <v>0</v>
      </c>
      <c r="R325" s="175">
        <v>0</v>
      </c>
      <c r="S325" s="175">
        <v>0</v>
      </c>
      <c r="U325" s="175">
        <f t="shared" si="19"/>
        <v>0</v>
      </c>
    </row>
    <row r="326" spans="1:21">
      <c r="A326" s="183" t="str">
        <f t="shared" si="17"/>
        <v>591</v>
      </c>
      <c r="B326" s="183" t="str">
        <f t="shared" si="18"/>
        <v>591.0</v>
      </c>
      <c r="C326" s="184" t="s">
        <v>1516</v>
      </c>
      <c r="D326" t="s">
        <v>1517</v>
      </c>
      <c r="G326" s="175">
        <v>17223.900000000001</v>
      </c>
      <c r="H326" s="175">
        <v>38142.683502799999</v>
      </c>
      <c r="I326" s="175">
        <v>37304.743155999997</v>
      </c>
      <c r="J326" s="175">
        <v>37706.441950599998</v>
      </c>
      <c r="K326" s="175">
        <v>38133.748671399997</v>
      </c>
      <c r="L326" s="175">
        <v>38556.105926199998</v>
      </c>
      <c r="M326" s="175">
        <v>37477.769330199997</v>
      </c>
      <c r="N326" s="175">
        <v>38882.667773900001</v>
      </c>
      <c r="O326" s="175">
        <v>38648.358760299998</v>
      </c>
      <c r="P326" s="175">
        <v>38234.760932899997</v>
      </c>
      <c r="Q326" s="175">
        <v>38750.875808600002</v>
      </c>
      <c r="R326" s="175">
        <v>37415.4043026</v>
      </c>
      <c r="S326" s="175">
        <v>37629.754036600003</v>
      </c>
      <c r="U326" s="175">
        <f t="shared" si="19"/>
        <v>36469.785704007692</v>
      </c>
    </row>
    <row r="327" spans="1:21">
      <c r="A327" s="183" t="str">
        <f t="shared" ref="A327:A390" si="20">MID(C327,2,3)</f>
        <v>592</v>
      </c>
      <c r="B327" s="183" t="str">
        <f t="shared" ref="B327:B390" si="21">MID(C327,2,3)&amp;"."&amp;MID(C327,5,1)</f>
        <v>592.0</v>
      </c>
      <c r="C327" s="184" t="s">
        <v>1518</v>
      </c>
      <c r="D327" t="s">
        <v>1519</v>
      </c>
      <c r="G327" s="175">
        <v>172824.02</v>
      </c>
      <c r="H327" s="175">
        <v>237115.78621650001</v>
      </c>
      <c r="I327" s="175">
        <v>225384.3926656</v>
      </c>
      <c r="J327" s="175">
        <v>225422.7894143</v>
      </c>
      <c r="K327" s="175">
        <v>234400.3109553</v>
      </c>
      <c r="L327" s="175">
        <v>240451.89320329999</v>
      </c>
      <c r="M327" s="175">
        <v>222402.79344849999</v>
      </c>
      <c r="N327" s="175">
        <v>240542.84788340001</v>
      </c>
      <c r="O327" s="175">
        <v>234527.729487</v>
      </c>
      <c r="P327" s="175">
        <v>228497.9368313</v>
      </c>
      <c r="Q327" s="175">
        <v>240516.27533490001</v>
      </c>
      <c r="R327" s="175">
        <v>228377.74154429999</v>
      </c>
      <c r="S327" s="175">
        <v>234385.109023</v>
      </c>
      <c r="U327" s="175">
        <f t="shared" ref="U327:U390" si="22">AVERAGE(G327:S327)</f>
        <v>228065.35584672305</v>
      </c>
    </row>
    <row r="328" spans="1:21">
      <c r="A328" s="183" t="str">
        <f t="shared" si="20"/>
        <v>592</v>
      </c>
      <c r="B328" s="183" t="str">
        <f t="shared" si="21"/>
        <v>592.1</v>
      </c>
      <c r="C328" s="184" t="s">
        <v>1520</v>
      </c>
      <c r="D328" t="s">
        <v>1521</v>
      </c>
      <c r="G328" s="175">
        <v>0</v>
      </c>
      <c r="H328" s="175">
        <v>0</v>
      </c>
      <c r="I328" s="175">
        <v>0</v>
      </c>
      <c r="J328" s="175">
        <v>0</v>
      </c>
      <c r="K328" s="175">
        <v>0</v>
      </c>
      <c r="L328" s="175">
        <v>0</v>
      </c>
      <c r="M328" s="175">
        <v>0</v>
      </c>
      <c r="N328" s="175">
        <v>0</v>
      </c>
      <c r="O328" s="175">
        <v>0</v>
      </c>
      <c r="P328" s="175">
        <v>0</v>
      </c>
      <c r="Q328" s="175">
        <v>0</v>
      </c>
      <c r="R328" s="175">
        <v>0</v>
      </c>
      <c r="S328" s="175">
        <v>0</v>
      </c>
      <c r="U328" s="175">
        <f t="shared" si="22"/>
        <v>0</v>
      </c>
    </row>
    <row r="329" spans="1:21">
      <c r="A329" s="183" t="str">
        <f t="shared" si="20"/>
        <v>593</v>
      </c>
      <c r="B329" s="183" t="str">
        <f t="shared" si="21"/>
        <v>593.0</v>
      </c>
      <c r="C329" s="184" t="s">
        <v>1522</v>
      </c>
      <c r="D329" t="s">
        <v>1523</v>
      </c>
      <c r="G329" s="175">
        <v>3634535.96</v>
      </c>
      <c r="H329" s="175">
        <v>3334995.6608916</v>
      </c>
      <c r="I329" s="175">
        <v>3283602.5991520002</v>
      </c>
      <c r="J329" s="175">
        <v>3302434.6122627002</v>
      </c>
      <c r="K329" s="175">
        <v>3376528.9641192001</v>
      </c>
      <c r="L329" s="175">
        <v>3405068.7539710002</v>
      </c>
      <c r="M329" s="175">
        <v>3340875.4407488001</v>
      </c>
      <c r="N329" s="175">
        <v>3502995.1223785998</v>
      </c>
      <c r="O329" s="175">
        <v>3514988.8431287999</v>
      </c>
      <c r="P329" s="175">
        <v>3473036.7222895999</v>
      </c>
      <c r="Q329" s="175">
        <v>3547100.9879019</v>
      </c>
      <c r="R329" s="175">
        <v>3378016.2236338998</v>
      </c>
      <c r="S329" s="175">
        <v>3411539.2640002999</v>
      </c>
      <c r="U329" s="175">
        <f t="shared" si="22"/>
        <v>3423516.8580368003</v>
      </c>
    </row>
    <row r="330" spans="1:21">
      <c r="A330" s="183" t="str">
        <f t="shared" si="20"/>
        <v>594</v>
      </c>
      <c r="B330" s="183" t="str">
        <f t="shared" si="21"/>
        <v>594.0</v>
      </c>
      <c r="C330" s="184" t="s">
        <v>1524</v>
      </c>
      <c r="D330" t="s">
        <v>1525</v>
      </c>
      <c r="G330" s="175">
        <v>401398.77</v>
      </c>
      <c r="H330" s="175">
        <v>489855.87433670001</v>
      </c>
      <c r="I330" s="175">
        <v>466398.15145830001</v>
      </c>
      <c r="J330" s="175">
        <v>475097.02030580002</v>
      </c>
      <c r="K330" s="175">
        <v>491885.68724930001</v>
      </c>
      <c r="L330" s="175">
        <v>506541.20150520001</v>
      </c>
      <c r="M330" s="175">
        <v>483579.32487469999</v>
      </c>
      <c r="N330" s="175">
        <v>534487.1782807</v>
      </c>
      <c r="O330" s="175">
        <v>539389.88990790001</v>
      </c>
      <c r="P330" s="175">
        <v>524986.62170400005</v>
      </c>
      <c r="Q330" s="175">
        <v>548135.96457780001</v>
      </c>
      <c r="R330" s="175">
        <v>494958.50525029999</v>
      </c>
      <c r="S330" s="175">
        <v>507197.27252120001</v>
      </c>
      <c r="U330" s="175">
        <f t="shared" si="22"/>
        <v>497223.95861322305</v>
      </c>
    </row>
    <row r="331" spans="1:21">
      <c r="A331" s="183" t="str">
        <f t="shared" si="20"/>
        <v>595</v>
      </c>
      <c r="B331" s="183" t="str">
        <f t="shared" si="21"/>
        <v>595.0</v>
      </c>
      <c r="C331" s="184" t="s">
        <v>1526</v>
      </c>
      <c r="D331" t="s">
        <v>1527</v>
      </c>
      <c r="G331" s="175">
        <v>1687</v>
      </c>
      <c r="H331" s="175">
        <v>26639.072139600001</v>
      </c>
      <c r="I331" s="175">
        <v>25205.943204499999</v>
      </c>
      <c r="J331" s="175">
        <v>25336.165097699999</v>
      </c>
      <c r="K331" s="175">
        <v>27645.984044100001</v>
      </c>
      <c r="L331" s="175">
        <v>27257.109344699998</v>
      </c>
      <c r="M331" s="175">
        <v>25026.800816499999</v>
      </c>
      <c r="N331" s="175">
        <v>27405.081714100001</v>
      </c>
      <c r="O331" s="175">
        <v>26513.6737097</v>
      </c>
      <c r="P331" s="175">
        <v>25770.238074699999</v>
      </c>
      <c r="Q331" s="175">
        <v>28440.888299900002</v>
      </c>
      <c r="R331" s="175">
        <v>25770.238074699999</v>
      </c>
      <c r="S331" s="175">
        <v>26655.212501400001</v>
      </c>
      <c r="U331" s="175">
        <f t="shared" si="22"/>
        <v>24565.646693969229</v>
      </c>
    </row>
    <row r="332" spans="1:21">
      <c r="A332" s="183" t="str">
        <f t="shared" si="20"/>
        <v>596</v>
      </c>
      <c r="B332" s="183" t="str">
        <f t="shared" si="21"/>
        <v>596.0</v>
      </c>
      <c r="C332" s="184" t="s">
        <v>1528</v>
      </c>
      <c r="D332" t="s">
        <v>1529</v>
      </c>
      <c r="G332" s="175">
        <v>147100.07999999999</v>
      </c>
      <c r="H332" s="175">
        <v>117950.5475493</v>
      </c>
      <c r="I332" s="175">
        <v>117950.5475493</v>
      </c>
      <c r="J332" s="175">
        <v>117950.5475493</v>
      </c>
      <c r="K332" s="175">
        <v>117950.5475493</v>
      </c>
      <c r="L332" s="175">
        <v>117950.5475493</v>
      </c>
      <c r="M332" s="175">
        <v>117950.5475493</v>
      </c>
      <c r="N332" s="175">
        <v>117950.5475493</v>
      </c>
      <c r="O332" s="175">
        <v>117950.5475493</v>
      </c>
      <c r="P332" s="175">
        <v>117950.5475493</v>
      </c>
      <c r="Q332" s="175">
        <v>117950.5475493</v>
      </c>
      <c r="R332" s="175">
        <v>117950.5475493</v>
      </c>
      <c r="S332" s="175">
        <v>117950.5475493</v>
      </c>
      <c r="U332" s="175">
        <f t="shared" si="22"/>
        <v>120192.81927627689</v>
      </c>
    </row>
    <row r="333" spans="1:21">
      <c r="A333" s="183" t="str">
        <f t="shared" si="20"/>
        <v>597</v>
      </c>
      <c r="B333" s="183" t="str">
        <f t="shared" si="21"/>
        <v>597.0</v>
      </c>
      <c r="C333" s="184" t="s">
        <v>1530</v>
      </c>
      <c r="D333" t="s">
        <v>1531</v>
      </c>
      <c r="G333" s="175">
        <v>28195.26</v>
      </c>
      <c r="H333" s="175">
        <v>56763.731600599996</v>
      </c>
      <c r="I333" s="175">
        <v>51273.800248500003</v>
      </c>
      <c r="J333" s="175">
        <v>52596.883166699998</v>
      </c>
      <c r="K333" s="175">
        <v>57031.604415100002</v>
      </c>
      <c r="L333" s="175">
        <v>59913.517213799998</v>
      </c>
      <c r="M333" s="175">
        <v>51267.7725249</v>
      </c>
      <c r="N333" s="175">
        <v>59913.517213799998</v>
      </c>
      <c r="O333" s="175">
        <v>57031.604415100002</v>
      </c>
      <c r="P333" s="175">
        <v>54149.691615999996</v>
      </c>
      <c r="Q333" s="175">
        <v>59913.517213799998</v>
      </c>
      <c r="R333" s="175">
        <v>54149.691615999996</v>
      </c>
      <c r="S333" s="175">
        <v>57031.604415100002</v>
      </c>
      <c r="U333" s="175">
        <f t="shared" si="22"/>
        <v>53787.091973799994</v>
      </c>
    </row>
    <row r="334" spans="1:21">
      <c r="A334" s="183" t="str">
        <f t="shared" si="20"/>
        <v>598</v>
      </c>
      <c r="B334" s="183" t="str">
        <f t="shared" si="21"/>
        <v>598.0</v>
      </c>
      <c r="C334" s="184" t="s">
        <v>1532</v>
      </c>
      <c r="D334" t="s">
        <v>1533</v>
      </c>
      <c r="G334" s="175">
        <v>0</v>
      </c>
      <c r="H334" s="175">
        <v>0</v>
      </c>
      <c r="I334" s="175">
        <v>0</v>
      </c>
      <c r="J334" s="175">
        <v>0</v>
      </c>
      <c r="K334" s="175">
        <v>0</v>
      </c>
      <c r="L334" s="175">
        <v>0</v>
      </c>
      <c r="M334" s="175">
        <v>0</v>
      </c>
      <c r="N334" s="175">
        <v>0</v>
      </c>
      <c r="O334" s="175">
        <v>0</v>
      </c>
      <c r="P334" s="175">
        <v>0</v>
      </c>
      <c r="Q334" s="175">
        <v>0</v>
      </c>
      <c r="R334" s="175">
        <v>0</v>
      </c>
      <c r="S334" s="175">
        <v>0</v>
      </c>
      <c r="U334" s="175">
        <f t="shared" si="22"/>
        <v>0</v>
      </c>
    </row>
    <row r="335" spans="1:21">
      <c r="A335" s="183" t="str">
        <f t="shared" si="20"/>
        <v>800</v>
      </c>
      <c r="B335" s="183" t="str">
        <f t="shared" si="21"/>
        <v>800.0</v>
      </c>
      <c r="C335" s="184" t="s">
        <v>1534</v>
      </c>
      <c r="D335" t="s">
        <v>1535</v>
      </c>
      <c r="G335" s="175">
        <v>0</v>
      </c>
      <c r="H335" s="175">
        <v>0</v>
      </c>
      <c r="I335" s="175">
        <v>0</v>
      </c>
      <c r="J335" s="175">
        <v>0</v>
      </c>
      <c r="K335" s="175">
        <v>0</v>
      </c>
      <c r="L335" s="175">
        <v>0</v>
      </c>
      <c r="M335" s="175">
        <v>0</v>
      </c>
      <c r="N335" s="175">
        <v>0</v>
      </c>
      <c r="O335" s="175">
        <v>0</v>
      </c>
      <c r="P335" s="175">
        <v>0</v>
      </c>
      <c r="Q335" s="175">
        <v>0</v>
      </c>
      <c r="R335" s="175">
        <v>0</v>
      </c>
      <c r="S335" s="175">
        <v>0</v>
      </c>
      <c r="U335" s="175">
        <f t="shared" si="22"/>
        <v>0</v>
      </c>
    </row>
    <row r="336" spans="1:21">
      <c r="A336" s="183" t="str">
        <f t="shared" si="20"/>
        <v>800</v>
      </c>
      <c r="B336" s="183" t="str">
        <f t="shared" si="21"/>
        <v>800.1</v>
      </c>
      <c r="C336" s="184" t="s">
        <v>1536</v>
      </c>
      <c r="D336" t="s">
        <v>1537</v>
      </c>
      <c r="G336" s="175">
        <v>0</v>
      </c>
      <c r="H336" s="175">
        <v>0</v>
      </c>
      <c r="I336" s="175">
        <v>0</v>
      </c>
      <c r="J336" s="175">
        <v>0</v>
      </c>
      <c r="K336" s="175">
        <v>0</v>
      </c>
      <c r="L336" s="175">
        <v>0</v>
      </c>
      <c r="M336" s="175">
        <v>0</v>
      </c>
      <c r="N336" s="175">
        <v>0</v>
      </c>
      <c r="O336" s="175">
        <v>0</v>
      </c>
      <c r="P336" s="175">
        <v>0</v>
      </c>
      <c r="Q336" s="175">
        <v>0</v>
      </c>
      <c r="R336" s="175">
        <v>0</v>
      </c>
      <c r="S336" s="175">
        <v>0</v>
      </c>
      <c r="U336" s="175">
        <f t="shared" si="22"/>
        <v>0</v>
      </c>
    </row>
    <row r="337" spans="1:21">
      <c r="A337" s="183" t="str">
        <f t="shared" si="20"/>
        <v>801</v>
      </c>
      <c r="B337" s="183" t="str">
        <f t="shared" si="21"/>
        <v>801.0</v>
      </c>
      <c r="C337" s="184" t="s">
        <v>1538</v>
      </c>
      <c r="D337" t="s">
        <v>1539</v>
      </c>
      <c r="G337" s="175">
        <v>0</v>
      </c>
      <c r="H337" s="175">
        <v>0</v>
      </c>
      <c r="I337" s="175">
        <v>0</v>
      </c>
      <c r="J337" s="175">
        <v>0</v>
      </c>
      <c r="K337" s="175">
        <v>0</v>
      </c>
      <c r="L337" s="175">
        <v>0</v>
      </c>
      <c r="M337" s="175">
        <v>0</v>
      </c>
      <c r="N337" s="175">
        <v>0</v>
      </c>
      <c r="O337" s="175">
        <v>0</v>
      </c>
      <c r="P337" s="175">
        <v>0</v>
      </c>
      <c r="Q337" s="175">
        <v>0</v>
      </c>
      <c r="R337" s="175">
        <v>0</v>
      </c>
      <c r="S337" s="175">
        <v>0</v>
      </c>
      <c r="U337" s="175">
        <f t="shared" si="22"/>
        <v>0</v>
      </c>
    </row>
    <row r="338" spans="1:21">
      <c r="A338" s="183" t="str">
        <f t="shared" si="20"/>
        <v>802</v>
      </c>
      <c r="B338" s="183" t="str">
        <f t="shared" si="21"/>
        <v>802.0</v>
      </c>
      <c r="C338" s="184" t="s">
        <v>1540</v>
      </c>
      <c r="D338" t="s">
        <v>1541</v>
      </c>
      <c r="G338" s="175">
        <v>0</v>
      </c>
      <c r="H338" s="175">
        <v>0</v>
      </c>
      <c r="I338" s="175">
        <v>0</v>
      </c>
      <c r="J338" s="175">
        <v>0</v>
      </c>
      <c r="K338" s="175">
        <v>0</v>
      </c>
      <c r="L338" s="175">
        <v>0</v>
      </c>
      <c r="M338" s="175">
        <v>0</v>
      </c>
      <c r="N338" s="175">
        <v>0</v>
      </c>
      <c r="O338" s="175">
        <v>0</v>
      </c>
      <c r="P338" s="175">
        <v>0</v>
      </c>
      <c r="Q338" s="175">
        <v>0</v>
      </c>
      <c r="R338" s="175">
        <v>0</v>
      </c>
      <c r="S338" s="175">
        <v>0</v>
      </c>
      <c r="U338" s="175">
        <f t="shared" si="22"/>
        <v>0</v>
      </c>
    </row>
    <row r="339" spans="1:21">
      <c r="A339" s="183" t="str">
        <f t="shared" si="20"/>
        <v>803</v>
      </c>
      <c r="B339" s="183" t="str">
        <f t="shared" si="21"/>
        <v>803.0</v>
      </c>
      <c r="C339" s="184" t="s">
        <v>1542</v>
      </c>
      <c r="D339" t="s">
        <v>1543</v>
      </c>
      <c r="G339" s="175">
        <v>0</v>
      </c>
      <c r="H339" s="175">
        <v>0</v>
      </c>
      <c r="I339" s="175">
        <v>0</v>
      </c>
      <c r="J339" s="175">
        <v>0</v>
      </c>
      <c r="K339" s="175">
        <v>0</v>
      </c>
      <c r="L339" s="175">
        <v>0</v>
      </c>
      <c r="M339" s="175">
        <v>0</v>
      </c>
      <c r="N339" s="175">
        <v>0</v>
      </c>
      <c r="O339" s="175">
        <v>0</v>
      </c>
      <c r="P339" s="175">
        <v>0</v>
      </c>
      <c r="Q339" s="175">
        <v>0</v>
      </c>
      <c r="R339" s="175">
        <v>0</v>
      </c>
      <c r="S339" s="175">
        <v>0</v>
      </c>
      <c r="U339" s="175">
        <f t="shared" si="22"/>
        <v>0</v>
      </c>
    </row>
    <row r="340" spans="1:21">
      <c r="A340" s="183" t="str">
        <f t="shared" si="20"/>
        <v>804</v>
      </c>
      <c r="B340" s="183" t="str">
        <f t="shared" si="21"/>
        <v>804.0</v>
      </c>
      <c r="C340" s="184" t="s">
        <v>1544</v>
      </c>
      <c r="D340" t="s">
        <v>1545</v>
      </c>
      <c r="G340" s="175">
        <v>0</v>
      </c>
      <c r="H340" s="175">
        <v>0</v>
      </c>
      <c r="I340" s="175">
        <v>0</v>
      </c>
      <c r="J340" s="175">
        <v>0</v>
      </c>
      <c r="K340" s="175">
        <v>0</v>
      </c>
      <c r="L340" s="175">
        <v>0</v>
      </c>
      <c r="M340" s="175">
        <v>0</v>
      </c>
      <c r="N340" s="175">
        <v>0</v>
      </c>
      <c r="O340" s="175">
        <v>0</v>
      </c>
      <c r="P340" s="175">
        <v>0</v>
      </c>
      <c r="Q340" s="175">
        <v>0</v>
      </c>
      <c r="R340" s="175">
        <v>0</v>
      </c>
      <c r="S340" s="175">
        <v>0</v>
      </c>
      <c r="U340" s="175">
        <f t="shared" si="22"/>
        <v>0</v>
      </c>
    </row>
    <row r="341" spans="1:21">
      <c r="A341" s="183" t="str">
        <f t="shared" si="20"/>
        <v>804</v>
      </c>
      <c r="B341" s="183" t="str">
        <f t="shared" si="21"/>
        <v>804.1</v>
      </c>
      <c r="C341" s="184" t="s">
        <v>1546</v>
      </c>
      <c r="D341" t="s">
        <v>1547</v>
      </c>
      <c r="G341" s="175">
        <v>0</v>
      </c>
      <c r="H341" s="175">
        <v>0</v>
      </c>
      <c r="I341" s="175">
        <v>0</v>
      </c>
      <c r="J341" s="175">
        <v>0</v>
      </c>
      <c r="K341" s="175">
        <v>0</v>
      </c>
      <c r="L341" s="175">
        <v>0</v>
      </c>
      <c r="M341" s="175">
        <v>0</v>
      </c>
      <c r="N341" s="175">
        <v>0</v>
      </c>
      <c r="O341" s="175">
        <v>0</v>
      </c>
      <c r="P341" s="175">
        <v>0</v>
      </c>
      <c r="Q341" s="175">
        <v>0</v>
      </c>
      <c r="R341" s="175">
        <v>0</v>
      </c>
      <c r="S341" s="175">
        <v>0</v>
      </c>
      <c r="U341" s="175">
        <f t="shared" si="22"/>
        <v>0</v>
      </c>
    </row>
    <row r="342" spans="1:21">
      <c r="A342" s="183" t="str">
        <f t="shared" si="20"/>
        <v>805</v>
      </c>
      <c r="B342" s="183" t="str">
        <f t="shared" si="21"/>
        <v>805.0</v>
      </c>
      <c r="C342" s="184" t="s">
        <v>1548</v>
      </c>
      <c r="D342" t="s">
        <v>1549</v>
      </c>
      <c r="G342" s="175">
        <v>0</v>
      </c>
      <c r="H342" s="175">
        <v>0</v>
      </c>
      <c r="I342" s="175">
        <v>0</v>
      </c>
      <c r="J342" s="175">
        <v>0</v>
      </c>
      <c r="K342" s="175">
        <v>0</v>
      </c>
      <c r="L342" s="175">
        <v>0</v>
      </c>
      <c r="M342" s="175">
        <v>0</v>
      </c>
      <c r="N342" s="175">
        <v>0</v>
      </c>
      <c r="O342" s="175">
        <v>0</v>
      </c>
      <c r="P342" s="175">
        <v>0</v>
      </c>
      <c r="Q342" s="175">
        <v>0</v>
      </c>
      <c r="R342" s="175">
        <v>0</v>
      </c>
      <c r="S342" s="175">
        <v>0</v>
      </c>
      <c r="U342" s="175">
        <f t="shared" si="22"/>
        <v>0</v>
      </c>
    </row>
    <row r="343" spans="1:21">
      <c r="A343" s="183" t="str">
        <f t="shared" si="20"/>
        <v>805</v>
      </c>
      <c r="B343" s="183" t="str">
        <f t="shared" si="21"/>
        <v>805.1</v>
      </c>
      <c r="C343" s="184" t="s">
        <v>1550</v>
      </c>
      <c r="D343" t="s">
        <v>1551</v>
      </c>
      <c r="G343" s="175">
        <v>0</v>
      </c>
      <c r="H343" s="175">
        <v>0</v>
      </c>
      <c r="I343" s="175">
        <v>0</v>
      </c>
      <c r="J343" s="175">
        <v>0</v>
      </c>
      <c r="K343" s="175">
        <v>0</v>
      </c>
      <c r="L343" s="175">
        <v>0</v>
      </c>
      <c r="M343" s="175">
        <v>0</v>
      </c>
      <c r="N343" s="175">
        <v>0</v>
      </c>
      <c r="O343" s="175">
        <v>0</v>
      </c>
      <c r="P343" s="175">
        <v>0</v>
      </c>
      <c r="Q343" s="175">
        <v>0</v>
      </c>
      <c r="R343" s="175">
        <v>0</v>
      </c>
      <c r="S343" s="175">
        <v>0</v>
      </c>
      <c r="U343" s="175">
        <f t="shared" si="22"/>
        <v>0</v>
      </c>
    </row>
    <row r="344" spans="1:21">
      <c r="A344" s="183" t="str">
        <f t="shared" si="20"/>
        <v>806</v>
      </c>
      <c r="B344" s="183" t="str">
        <f t="shared" si="21"/>
        <v>806.0</v>
      </c>
      <c r="C344" s="184" t="s">
        <v>1552</v>
      </c>
      <c r="D344" t="s">
        <v>1553</v>
      </c>
      <c r="G344" s="175">
        <v>0</v>
      </c>
      <c r="H344" s="175">
        <v>0</v>
      </c>
      <c r="I344" s="175">
        <v>0</v>
      </c>
      <c r="J344" s="175">
        <v>0</v>
      </c>
      <c r="K344" s="175">
        <v>0</v>
      </c>
      <c r="L344" s="175">
        <v>0</v>
      </c>
      <c r="M344" s="175">
        <v>0</v>
      </c>
      <c r="N344" s="175">
        <v>0</v>
      </c>
      <c r="O344" s="175">
        <v>0</v>
      </c>
      <c r="P344" s="175">
        <v>0</v>
      </c>
      <c r="Q344" s="175">
        <v>0</v>
      </c>
      <c r="R344" s="175">
        <v>0</v>
      </c>
      <c r="S344" s="175">
        <v>0</v>
      </c>
      <c r="U344" s="175">
        <f t="shared" si="22"/>
        <v>0</v>
      </c>
    </row>
    <row r="345" spans="1:21">
      <c r="A345" s="183" t="str">
        <f t="shared" si="20"/>
        <v>807</v>
      </c>
      <c r="B345" s="183" t="str">
        <f t="shared" si="21"/>
        <v>807.1</v>
      </c>
      <c r="C345" s="184" t="s">
        <v>1554</v>
      </c>
      <c r="D345" t="s">
        <v>1555</v>
      </c>
      <c r="G345" s="175">
        <v>0</v>
      </c>
      <c r="H345" s="175">
        <v>0</v>
      </c>
      <c r="I345" s="175">
        <v>0</v>
      </c>
      <c r="J345" s="175">
        <v>0</v>
      </c>
      <c r="K345" s="175">
        <v>0</v>
      </c>
      <c r="L345" s="175">
        <v>0</v>
      </c>
      <c r="M345" s="175">
        <v>0</v>
      </c>
      <c r="N345" s="175">
        <v>0</v>
      </c>
      <c r="O345" s="175">
        <v>0</v>
      </c>
      <c r="P345" s="175">
        <v>0</v>
      </c>
      <c r="Q345" s="175">
        <v>0</v>
      </c>
      <c r="R345" s="175">
        <v>0</v>
      </c>
      <c r="S345" s="175">
        <v>0</v>
      </c>
      <c r="U345" s="175">
        <f t="shared" si="22"/>
        <v>0</v>
      </c>
    </row>
    <row r="346" spans="1:21">
      <c r="A346" s="183" t="str">
        <f t="shared" si="20"/>
        <v>807</v>
      </c>
      <c r="B346" s="183" t="str">
        <f t="shared" si="21"/>
        <v>807.2</v>
      </c>
      <c r="C346" s="184" t="s">
        <v>1556</v>
      </c>
      <c r="D346" t="s">
        <v>1557</v>
      </c>
      <c r="G346" s="175">
        <v>0</v>
      </c>
      <c r="H346" s="175">
        <v>0</v>
      </c>
      <c r="I346" s="175">
        <v>0</v>
      </c>
      <c r="J346" s="175">
        <v>0</v>
      </c>
      <c r="K346" s="175">
        <v>0</v>
      </c>
      <c r="L346" s="175">
        <v>0</v>
      </c>
      <c r="M346" s="175">
        <v>0</v>
      </c>
      <c r="N346" s="175">
        <v>0</v>
      </c>
      <c r="O346" s="175">
        <v>0</v>
      </c>
      <c r="P346" s="175">
        <v>0</v>
      </c>
      <c r="Q346" s="175">
        <v>0</v>
      </c>
      <c r="R346" s="175">
        <v>0</v>
      </c>
      <c r="S346" s="175">
        <v>0</v>
      </c>
      <c r="U346" s="175">
        <f t="shared" si="22"/>
        <v>0</v>
      </c>
    </row>
    <row r="347" spans="1:21">
      <c r="A347" s="183" t="str">
        <f t="shared" si="20"/>
        <v>807</v>
      </c>
      <c r="B347" s="183" t="str">
        <f t="shared" si="21"/>
        <v>807.3</v>
      </c>
      <c r="C347" s="184" t="s">
        <v>1558</v>
      </c>
      <c r="D347" t="s">
        <v>1559</v>
      </c>
      <c r="G347" s="175">
        <v>0</v>
      </c>
      <c r="H347" s="175">
        <v>0</v>
      </c>
      <c r="I347" s="175">
        <v>0</v>
      </c>
      <c r="J347" s="175">
        <v>0</v>
      </c>
      <c r="K347" s="175">
        <v>0</v>
      </c>
      <c r="L347" s="175">
        <v>0</v>
      </c>
      <c r="M347" s="175">
        <v>0</v>
      </c>
      <c r="N347" s="175">
        <v>0</v>
      </c>
      <c r="O347" s="175">
        <v>0</v>
      </c>
      <c r="P347" s="175">
        <v>0</v>
      </c>
      <c r="Q347" s="175">
        <v>0</v>
      </c>
      <c r="R347" s="175">
        <v>0</v>
      </c>
      <c r="S347" s="175">
        <v>0</v>
      </c>
      <c r="U347" s="175">
        <f t="shared" si="22"/>
        <v>0</v>
      </c>
    </row>
    <row r="348" spans="1:21">
      <c r="A348" s="183" t="str">
        <f t="shared" si="20"/>
        <v>807</v>
      </c>
      <c r="B348" s="183" t="str">
        <f t="shared" si="21"/>
        <v>807.4</v>
      </c>
      <c r="C348" s="184" t="s">
        <v>1560</v>
      </c>
      <c r="D348" t="s">
        <v>1561</v>
      </c>
      <c r="G348" s="175">
        <v>0</v>
      </c>
      <c r="H348" s="175">
        <v>0</v>
      </c>
      <c r="I348" s="175">
        <v>0</v>
      </c>
      <c r="J348" s="175">
        <v>0</v>
      </c>
      <c r="K348" s="175">
        <v>0</v>
      </c>
      <c r="L348" s="175">
        <v>0</v>
      </c>
      <c r="M348" s="175">
        <v>0</v>
      </c>
      <c r="N348" s="175">
        <v>0</v>
      </c>
      <c r="O348" s="175">
        <v>0</v>
      </c>
      <c r="P348" s="175">
        <v>0</v>
      </c>
      <c r="Q348" s="175">
        <v>0</v>
      </c>
      <c r="R348" s="175">
        <v>0</v>
      </c>
      <c r="S348" s="175">
        <v>0</v>
      </c>
      <c r="U348" s="175">
        <f t="shared" si="22"/>
        <v>0</v>
      </c>
    </row>
    <row r="349" spans="1:21">
      <c r="A349" s="183" t="str">
        <f t="shared" si="20"/>
        <v>807</v>
      </c>
      <c r="B349" s="183" t="str">
        <f t="shared" si="21"/>
        <v>807.5</v>
      </c>
      <c r="C349" s="184" t="s">
        <v>1562</v>
      </c>
      <c r="D349" t="s">
        <v>1563</v>
      </c>
      <c r="G349" s="175">
        <v>0</v>
      </c>
      <c r="H349" s="175">
        <v>0</v>
      </c>
      <c r="I349" s="175">
        <v>0</v>
      </c>
      <c r="J349" s="175">
        <v>0</v>
      </c>
      <c r="K349" s="175">
        <v>0</v>
      </c>
      <c r="L349" s="175">
        <v>0</v>
      </c>
      <c r="M349" s="175">
        <v>0</v>
      </c>
      <c r="N349" s="175">
        <v>0</v>
      </c>
      <c r="O349" s="175">
        <v>0</v>
      </c>
      <c r="P349" s="175">
        <v>0</v>
      </c>
      <c r="Q349" s="175">
        <v>0</v>
      </c>
      <c r="R349" s="175">
        <v>0</v>
      </c>
      <c r="S349" s="175">
        <v>0</v>
      </c>
      <c r="U349" s="175">
        <f t="shared" si="22"/>
        <v>0</v>
      </c>
    </row>
    <row r="350" spans="1:21">
      <c r="A350" s="183" t="str">
        <f t="shared" si="20"/>
        <v>808</v>
      </c>
      <c r="B350" s="183" t="str">
        <f t="shared" si="21"/>
        <v>808.1</v>
      </c>
      <c r="C350" s="184" t="s">
        <v>1564</v>
      </c>
      <c r="D350" t="s">
        <v>1565</v>
      </c>
      <c r="G350" s="175">
        <v>0</v>
      </c>
      <c r="H350" s="175">
        <v>0</v>
      </c>
      <c r="I350" s="175">
        <v>0</v>
      </c>
      <c r="J350" s="175">
        <v>0</v>
      </c>
      <c r="K350" s="175">
        <v>0</v>
      </c>
      <c r="L350" s="175">
        <v>0</v>
      </c>
      <c r="M350" s="175">
        <v>0</v>
      </c>
      <c r="N350" s="175">
        <v>0</v>
      </c>
      <c r="O350" s="175">
        <v>0</v>
      </c>
      <c r="P350" s="175">
        <v>0</v>
      </c>
      <c r="Q350" s="175">
        <v>0</v>
      </c>
      <c r="R350" s="175">
        <v>0</v>
      </c>
      <c r="S350" s="175">
        <v>0</v>
      </c>
      <c r="U350" s="175">
        <f t="shared" si="22"/>
        <v>0</v>
      </c>
    </row>
    <row r="351" spans="1:21">
      <c r="A351" s="183" t="str">
        <f t="shared" si="20"/>
        <v>808</v>
      </c>
      <c r="B351" s="183" t="str">
        <f t="shared" si="21"/>
        <v>808.2</v>
      </c>
      <c r="C351" s="184" t="s">
        <v>1566</v>
      </c>
      <c r="D351" t="s">
        <v>1567</v>
      </c>
      <c r="G351" s="175">
        <v>0</v>
      </c>
      <c r="H351" s="175">
        <v>0</v>
      </c>
      <c r="I351" s="175">
        <v>0</v>
      </c>
      <c r="J351" s="175">
        <v>0</v>
      </c>
      <c r="K351" s="175">
        <v>0</v>
      </c>
      <c r="L351" s="175">
        <v>0</v>
      </c>
      <c r="M351" s="175">
        <v>0</v>
      </c>
      <c r="N351" s="175">
        <v>0</v>
      </c>
      <c r="O351" s="175">
        <v>0</v>
      </c>
      <c r="P351" s="175">
        <v>0</v>
      </c>
      <c r="Q351" s="175">
        <v>0</v>
      </c>
      <c r="R351" s="175">
        <v>0</v>
      </c>
      <c r="S351" s="175">
        <v>0</v>
      </c>
      <c r="U351" s="175">
        <f t="shared" si="22"/>
        <v>0</v>
      </c>
    </row>
    <row r="352" spans="1:21">
      <c r="A352" s="183" t="str">
        <f t="shared" si="20"/>
        <v>809</v>
      </c>
      <c r="B352" s="183" t="str">
        <f t="shared" si="21"/>
        <v>809.1</v>
      </c>
      <c r="C352" s="184" t="s">
        <v>1568</v>
      </c>
      <c r="D352" t="s">
        <v>1569</v>
      </c>
      <c r="G352" s="175">
        <v>0</v>
      </c>
      <c r="H352" s="175">
        <v>0</v>
      </c>
      <c r="I352" s="175">
        <v>0</v>
      </c>
      <c r="J352" s="175">
        <v>0</v>
      </c>
      <c r="K352" s="175">
        <v>0</v>
      </c>
      <c r="L352" s="175">
        <v>0</v>
      </c>
      <c r="M352" s="175">
        <v>0</v>
      </c>
      <c r="N352" s="175">
        <v>0</v>
      </c>
      <c r="O352" s="175">
        <v>0</v>
      </c>
      <c r="P352" s="175">
        <v>0</v>
      </c>
      <c r="Q352" s="175">
        <v>0</v>
      </c>
      <c r="R352" s="175">
        <v>0</v>
      </c>
      <c r="S352" s="175">
        <v>0</v>
      </c>
      <c r="U352" s="175">
        <f t="shared" si="22"/>
        <v>0</v>
      </c>
    </row>
    <row r="353" spans="1:21">
      <c r="A353" s="183" t="str">
        <f t="shared" si="20"/>
        <v>809</v>
      </c>
      <c r="B353" s="183" t="str">
        <f t="shared" si="21"/>
        <v>809.2</v>
      </c>
      <c r="C353" s="184" t="s">
        <v>1570</v>
      </c>
      <c r="D353" t="s">
        <v>1571</v>
      </c>
      <c r="G353" s="175">
        <v>0</v>
      </c>
      <c r="H353" s="175">
        <v>0</v>
      </c>
      <c r="I353" s="175">
        <v>0</v>
      </c>
      <c r="J353" s="175">
        <v>0</v>
      </c>
      <c r="K353" s="175">
        <v>0</v>
      </c>
      <c r="L353" s="175">
        <v>0</v>
      </c>
      <c r="M353" s="175">
        <v>0</v>
      </c>
      <c r="N353" s="175">
        <v>0</v>
      </c>
      <c r="O353" s="175">
        <v>0</v>
      </c>
      <c r="P353" s="175">
        <v>0</v>
      </c>
      <c r="Q353" s="175">
        <v>0</v>
      </c>
      <c r="R353" s="175">
        <v>0</v>
      </c>
      <c r="S353" s="175">
        <v>0</v>
      </c>
      <c r="U353" s="175">
        <f t="shared" si="22"/>
        <v>0</v>
      </c>
    </row>
    <row r="354" spans="1:21">
      <c r="A354" s="183" t="str">
        <f t="shared" si="20"/>
        <v>810</v>
      </c>
      <c r="B354" s="183" t="str">
        <f t="shared" si="21"/>
        <v>810.0</v>
      </c>
      <c r="C354" s="184" t="s">
        <v>1572</v>
      </c>
      <c r="D354" t="s">
        <v>1573</v>
      </c>
      <c r="G354" s="175">
        <v>0</v>
      </c>
      <c r="H354" s="175">
        <v>0</v>
      </c>
      <c r="I354" s="175">
        <v>0</v>
      </c>
      <c r="J354" s="175">
        <v>0</v>
      </c>
      <c r="K354" s="175">
        <v>0</v>
      </c>
      <c r="L354" s="175">
        <v>0</v>
      </c>
      <c r="M354" s="175">
        <v>0</v>
      </c>
      <c r="N354" s="175">
        <v>0</v>
      </c>
      <c r="O354" s="175">
        <v>0</v>
      </c>
      <c r="P354" s="175">
        <v>0</v>
      </c>
      <c r="Q354" s="175">
        <v>0</v>
      </c>
      <c r="R354" s="175">
        <v>0</v>
      </c>
      <c r="S354" s="175">
        <v>0</v>
      </c>
      <c r="U354" s="175">
        <f t="shared" si="22"/>
        <v>0</v>
      </c>
    </row>
    <row r="355" spans="1:21">
      <c r="A355" s="183" t="str">
        <f t="shared" si="20"/>
        <v>811</v>
      </c>
      <c r="B355" s="183" t="str">
        <f t="shared" si="21"/>
        <v>811.0</v>
      </c>
      <c r="C355" s="184" t="s">
        <v>1574</v>
      </c>
      <c r="D355" t="s">
        <v>1575</v>
      </c>
      <c r="G355" s="175">
        <v>0</v>
      </c>
      <c r="H355" s="175">
        <v>0</v>
      </c>
      <c r="I355" s="175">
        <v>0</v>
      </c>
      <c r="J355" s="175">
        <v>0</v>
      </c>
      <c r="K355" s="175">
        <v>0</v>
      </c>
      <c r="L355" s="175">
        <v>0</v>
      </c>
      <c r="M355" s="175">
        <v>0</v>
      </c>
      <c r="N355" s="175">
        <v>0</v>
      </c>
      <c r="O355" s="175">
        <v>0</v>
      </c>
      <c r="P355" s="175">
        <v>0</v>
      </c>
      <c r="Q355" s="175">
        <v>0</v>
      </c>
      <c r="R355" s="175">
        <v>0</v>
      </c>
      <c r="S355" s="175">
        <v>0</v>
      </c>
      <c r="U355" s="175">
        <f t="shared" si="22"/>
        <v>0</v>
      </c>
    </row>
    <row r="356" spans="1:21">
      <c r="A356" s="183" t="str">
        <f t="shared" si="20"/>
        <v>812</v>
      </c>
      <c r="B356" s="183" t="str">
        <f t="shared" si="21"/>
        <v>812.0</v>
      </c>
      <c r="C356" s="184" t="s">
        <v>1576</v>
      </c>
      <c r="D356" t="s">
        <v>1577</v>
      </c>
      <c r="G356" s="175">
        <v>0</v>
      </c>
      <c r="H356" s="175">
        <v>0</v>
      </c>
      <c r="I356" s="175">
        <v>0</v>
      </c>
      <c r="J356" s="175">
        <v>0</v>
      </c>
      <c r="K356" s="175">
        <v>0</v>
      </c>
      <c r="L356" s="175">
        <v>0</v>
      </c>
      <c r="M356" s="175">
        <v>0</v>
      </c>
      <c r="N356" s="175">
        <v>0</v>
      </c>
      <c r="O356" s="175">
        <v>0</v>
      </c>
      <c r="P356" s="175">
        <v>0</v>
      </c>
      <c r="Q356" s="175">
        <v>0</v>
      </c>
      <c r="R356" s="175">
        <v>0</v>
      </c>
      <c r="S356" s="175">
        <v>0</v>
      </c>
      <c r="U356" s="175">
        <f t="shared" si="22"/>
        <v>0</v>
      </c>
    </row>
    <row r="357" spans="1:21">
      <c r="A357" s="183" t="str">
        <f t="shared" si="20"/>
        <v>813</v>
      </c>
      <c r="B357" s="183" t="str">
        <f t="shared" si="21"/>
        <v>813.0</v>
      </c>
      <c r="C357" s="184" t="s">
        <v>1578</v>
      </c>
      <c r="D357" t="s">
        <v>1579</v>
      </c>
      <c r="G357" s="175">
        <v>0</v>
      </c>
      <c r="H357" s="175">
        <v>0</v>
      </c>
      <c r="I357" s="175">
        <v>0</v>
      </c>
      <c r="J357" s="175">
        <v>0</v>
      </c>
      <c r="K357" s="175">
        <v>0</v>
      </c>
      <c r="L357" s="175">
        <v>0</v>
      </c>
      <c r="M357" s="175">
        <v>0</v>
      </c>
      <c r="N357" s="175">
        <v>0</v>
      </c>
      <c r="O357" s="175">
        <v>0</v>
      </c>
      <c r="P357" s="175">
        <v>0</v>
      </c>
      <c r="Q357" s="175">
        <v>0</v>
      </c>
      <c r="R357" s="175">
        <v>0</v>
      </c>
      <c r="S357" s="175">
        <v>0</v>
      </c>
      <c r="U357" s="175">
        <f t="shared" si="22"/>
        <v>0</v>
      </c>
    </row>
    <row r="358" spans="1:21">
      <c r="A358" s="183" t="str">
        <f t="shared" si="20"/>
        <v>826</v>
      </c>
      <c r="B358" s="183" t="str">
        <f t="shared" si="21"/>
        <v>826.0</v>
      </c>
      <c r="C358" s="184" t="s">
        <v>1580</v>
      </c>
      <c r="D358" t="s">
        <v>1581</v>
      </c>
      <c r="G358" s="175">
        <v>0</v>
      </c>
      <c r="H358" s="175">
        <v>0</v>
      </c>
      <c r="I358" s="175">
        <v>0</v>
      </c>
      <c r="J358" s="175">
        <v>0</v>
      </c>
      <c r="K358" s="175">
        <v>0</v>
      </c>
      <c r="L358" s="175">
        <v>0</v>
      </c>
      <c r="M358" s="175">
        <v>0</v>
      </c>
      <c r="N358" s="175">
        <v>0</v>
      </c>
      <c r="O358" s="175">
        <v>0</v>
      </c>
      <c r="P358" s="175">
        <v>0</v>
      </c>
      <c r="Q358" s="175">
        <v>0</v>
      </c>
      <c r="R358" s="175">
        <v>0</v>
      </c>
      <c r="S358" s="175">
        <v>0</v>
      </c>
      <c r="U358" s="175">
        <f t="shared" si="22"/>
        <v>0</v>
      </c>
    </row>
    <row r="359" spans="1:21">
      <c r="A359" s="183" t="str">
        <f t="shared" si="20"/>
        <v>850</v>
      </c>
      <c r="B359" s="183" t="str">
        <f t="shared" si="21"/>
        <v>850.0</v>
      </c>
      <c r="C359" s="184" t="s">
        <v>1582</v>
      </c>
      <c r="D359" t="s">
        <v>1583</v>
      </c>
      <c r="G359" s="175">
        <v>0</v>
      </c>
      <c r="H359" s="175">
        <v>0</v>
      </c>
      <c r="I359" s="175">
        <v>0</v>
      </c>
      <c r="J359" s="175">
        <v>0</v>
      </c>
      <c r="K359" s="175">
        <v>0</v>
      </c>
      <c r="L359" s="175">
        <v>0</v>
      </c>
      <c r="M359" s="175">
        <v>0</v>
      </c>
      <c r="N359" s="175">
        <v>0</v>
      </c>
      <c r="O359" s="175">
        <v>0</v>
      </c>
      <c r="P359" s="175">
        <v>0</v>
      </c>
      <c r="Q359" s="175">
        <v>0</v>
      </c>
      <c r="R359" s="175">
        <v>0</v>
      </c>
      <c r="S359" s="175">
        <v>0</v>
      </c>
      <c r="U359" s="175">
        <f t="shared" si="22"/>
        <v>0</v>
      </c>
    </row>
    <row r="360" spans="1:21">
      <c r="A360" s="183" t="str">
        <f t="shared" si="20"/>
        <v>851</v>
      </c>
      <c r="B360" s="183" t="str">
        <f t="shared" si="21"/>
        <v>851.0</v>
      </c>
      <c r="C360" s="184" t="s">
        <v>1584</v>
      </c>
      <c r="D360" t="s">
        <v>1585</v>
      </c>
      <c r="G360" s="175">
        <v>0</v>
      </c>
      <c r="H360" s="175">
        <v>0</v>
      </c>
      <c r="I360" s="175">
        <v>0</v>
      </c>
      <c r="J360" s="175">
        <v>0</v>
      </c>
      <c r="K360" s="175">
        <v>0</v>
      </c>
      <c r="L360" s="175">
        <v>0</v>
      </c>
      <c r="M360" s="175">
        <v>0</v>
      </c>
      <c r="N360" s="175">
        <v>0</v>
      </c>
      <c r="O360" s="175">
        <v>0</v>
      </c>
      <c r="P360" s="175">
        <v>0</v>
      </c>
      <c r="Q360" s="175">
        <v>0</v>
      </c>
      <c r="R360" s="175">
        <v>0</v>
      </c>
      <c r="S360" s="175">
        <v>0</v>
      </c>
      <c r="U360" s="175">
        <f t="shared" si="22"/>
        <v>0</v>
      </c>
    </row>
    <row r="361" spans="1:21">
      <c r="A361" s="183" t="str">
        <f t="shared" si="20"/>
        <v>852</v>
      </c>
      <c r="B361" s="183" t="str">
        <f t="shared" si="21"/>
        <v>852.0</v>
      </c>
      <c r="C361" s="184" t="s">
        <v>1586</v>
      </c>
      <c r="D361" t="s">
        <v>1587</v>
      </c>
      <c r="G361" s="175">
        <v>0</v>
      </c>
      <c r="H361" s="175">
        <v>0</v>
      </c>
      <c r="I361" s="175">
        <v>0</v>
      </c>
      <c r="J361" s="175">
        <v>0</v>
      </c>
      <c r="K361" s="175">
        <v>0</v>
      </c>
      <c r="L361" s="175">
        <v>0</v>
      </c>
      <c r="M361" s="175">
        <v>0</v>
      </c>
      <c r="N361" s="175">
        <v>0</v>
      </c>
      <c r="O361" s="175">
        <v>0</v>
      </c>
      <c r="P361" s="175">
        <v>0</v>
      </c>
      <c r="Q361" s="175">
        <v>0</v>
      </c>
      <c r="R361" s="175">
        <v>0</v>
      </c>
      <c r="S361" s="175">
        <v>0</v>
      </c>
      <c r="U361" s="175">
        <f t="shared" si="22"/>
        <v>0</v>
      </c>
    </row>
    <row r="362" spans="1:21">
      <c r="A362" s="183" t="str">
        <f t="shared" si="20"/>
        <v>853</v>
      </c>
      <c r="B362" s="183" t="str">
        <f t="shared" si="21"/>
        <v>853.0</v>
      </c>
      <c r="C362" s="184" t="s">
        <v>1588</v>
      </c>
      <c r="D362" t="s">
        <v>1589</v>
      </c>
      <c r="G362" s="175">
        <v>0</v>
      </c>
      <c r="H362" s="175">
        <v>0</v>
      </c>
      <c r="I362" s="175">
        <v>0</v>
      </c>
      <c r="J362" s="175">
        <v>0</v>
      </c>
      <c r="K362" s="175">
        <v>0</v>
      </c>
      <c r="L362" s="175">
        <v>0</v>
      </c>
      <c r="M362" s="175">
        <v>0</v>
      </c>
      <c r="N362" s="175">
        <v>0</v>
      </c>
      <c r="O362" s="175">
        <v>0</v>
      </c>
      <c r="P362" s="175">
        <v>0</v>
      </c>
      <c r="Q362" s="175">
        <v>0</v>
      </c>
      <c r="R362" s="175">
        <v>0</v>
      </c>
      <c r="S362" s="175">
        <v>0</v>
      </c>
      <c r="U362" s="175">
        <f t="shared" si="22"/>
        <v>0</v>
      </c>
    </row>
    <row r="363" spans="1:21">
      <c r="A363" s="183" t="str">
        <f t="shared" si="20"/>
        <v>854</v>
      </c>
      <c r="B363" s="183" t="str">
        <f t="shared" si="21"/>
        <v>854.0</v>
      </c>
      <c r="C363" s="184" t="s">
        <v>1590</v>
      </c>
      <c r="D363" t="s">
        <v>1591</v>
      </c>
      <c r="G363" s="175">
        <v>0</v>
      </c>
      <c r="H363" s="175">
        <v>0</v>
      </c>
      <c r="I363" s="175">
        <v>0</v>
      </c>
      <c r="J363" s="175">
        <v>0</v>
      </c>
      <c r="K363" s="175">
        <v>0</v>
      </c>
      <c r="L363" s="175">
        <v>0</v>
      </c>
      <c r="M363" s="175">
        <v>0</v>
      </c>
      <c r="N363" s="175">
        <v>0</v>
      </c>
      <c r="O363" s="175">
        <v>0</v>
      </c>
      <c r="P363" s="175">
        <v>0</v>
      </c>
      <c r="Q363" s="175">
        <v>0</v>
      </c>
      <c r="R363" s="175">
        <v>0</v>
      </c>
      <c r="S363" s="175">
        <v>0</v>
      </c>
      <c r="U363" s="175">
        <f t="shared" si="22"/>
        <v>0</v>
      </c>
    </row>
    <row r="364" spans="1:21">
      <c r="A364" s="183" t="str">
        <f t="shared" si="20"/>
        <v>855</v>
      </c>
      <c r="B364" s="183" t="str">
        <f t="shared" si="21"/>
        <v>855.0</v>
      </c>
      <c r="C364" s="184" t="s">
        <v>1592</v>
      </c>
      <c r="D364" t="s">
        <v>1593</v>
      </c>
      <c r="G364" s="175">
        <v>0</v>
      </c>
      <c r="H364" s="175">
        <v>0</v>
      </c>
      <c r="I364" s="175">
        <v>0</v>
      </c>
      <c r="J364" s="175">
        <v>0</v>
      </c>
      <c r="K364" s="175">
        <v>0</v>
      </c>
      <c r="L364" s="175">
        <v>0</v>
      </c>
      <c r="M364" s="175">
        <v>0</v>
      </c>
      <c r="N364" s="175">
        <v>0</v>
      </c>
      <c r="O364" s="175">
        <v>0</v>
      </c>
      <c r="P364" s="175">
        <v>0</v>
      </c>
      <c r="Q364" s="175">
        <v>0</v>
      </c>
      <c r="R364" s="175">
        <v>0</v>
      </c>
      <c r="S364" s="175">
        <v>0</v>
      </c>
      <c r="U364" s="175">
        <f t="shared" si="22"/>
        <v>0</v>
      </c>
    </row>
    <row r="365" spans="1:21">
      <c r="A365" s="183" t="str">
        <f t="shared" si="20"/>
        <v>856</v>
      </c>
      <c r="B365" s="183" t="str">
        <f t="shared" si="21"/>
        <v>856.0</v>
      </c>
      <c r="C365" s="184" t="s">
        <v>1594</v>
      </c>
      <c r="D365" t="s">
        <v>1595</v>
      </c>
      <c r="G365" s="175">
        <v>0</v>
      </c>
      <c r="H365" s="175">
        <v>0</v>
      </c>
      <c r="I365" s="175">
        <v>0</v>
      </c>
      <c r="J365" s="175">
        <v>0</v>
      </c>
      <c r="K365" s="175">
        <v>0</v>
      </c>
      <c r="L365" s="175">
        <v>0</v>
      </c>
      <c r="M365" s="175">
        <v>0</v>
      </c>
      <c r="N365" s="175">
        <v>0</v>
      </c>
      <c r="O365" s="175">
        <v>0</v>
      </c>
      <c r="P365" s="175">
        <v>0</v>
      </c>
      <c r="Q365" s="175">
        <v>0</v>
      </c>
      <c r="R365" s="175">
        <v>0</v>
      </c>
      <c r="S365" s="175">
        <v>0</v>
      </c>
      <c r="U365" s="175">
        <f t="shared" si="22"/>
        <v>0</v>
      </c>
    </row>
    <row r="366" spans="1:21">
      <c r="A366" s="183" t="str">
        <f t="shared" si="20"/>
        <v>857</v>
      </c>
      <c r="B366" s="183" t="str">
        <f t="shared" si="21"/>
        <v>857.0</v>
      </c>
      <c r="C366" s="184" t="s">
        <v>1596</v>
      </c>
      <c r="D366" t="s">
        <v>1597</v>
      </c>
      <c r="G366" s="175">
        <v>0</v>
      </c>
      <c r="H366" s="175">
        <v>0</v>
      </c>
      <c r="I366" s="175">
        <v>0</v>
      </c>
      <c r="J366" s="175">
        <v>0</v>
      </c>
      <c r="K366" s="175">
        <v>0</v>
      </c>
      <c r="L366" s="175">
        <v>0</v>
      </c>
      <c r="M366" s="175">
        <v>0</v>
      </c>
      <c r="N366" s="175">
        <v>0</v>
      </c>
      <c r="O366" s="175">
        <v>0</v>
      </c>
      <c r="P366" s="175">
        <v>0</v>
      </c>
      <c r="Q366" s="175">
        <v>0</v>
      </c>
      <c r="R366" s="175">
        <v>0</v>
      </c>
      <c r="S366" s="175">
        <v>0</v>
      </c>
      <c r="U366" s="175">
        <f t="shared" si="22"/>
        <v>0</v>
      </c>
    </row>
    <row r="367" spans="1:21">
      <c r="A367" s="183" t="str">
        <f t="shared" si="20"/>
        <v>858</v>
      </c>
      <c r="B367" s="183" t="str">
        <f t="shared" si="21"/>
        <v>858.0</v>
      </c>
      <c r="C367" s="184" t="s">
        <v>1598</v>
      </c>
      <c r="D367" t="s">
        <v>1599</v>
      </c>
      <c r="G367" s="175">
        <v>0</v>
      </c>
      <c r="H367" s="175">
        <v>0</v>
      </c>
      <c r="I367" s="175">
        <v>0</v>
      </c>
      <c r="J367" s="175">
        <v>0</v>
      </c>
      <c r="K367" s="175">
        <v>0</v>
      </c>
      <c r="L367" s="175">
        <v>0</v>
      </c>
      <c r="M367" s="175">
        <v>0</v>
      </c>
      <c r="N367" s="175">
        <v>0</v>
      </c>
      <c r="O367" s="175">
        <v>0</v>
      </c>
      <c r="P367" s="175">
        <v>0</v>
      </c>
      <c r="Q367" s="175">
        <v>0</v>
      </c>
      <c r="R367" s="175">
        <v>0</v>
      </c>
      <c r="S367" s="175">
        <v>0</v>
      </c>
      <c r="U367" s="175">
        <f t="shared" si="22"/>
        <v>0</v>
      </c>
    </row>
    <row r="368" spans="1:21">
      <c r="A368" s="183" t="str">
        <f t="shared" si="20"/>
        <v>859</v>
      </c>
      <c r="B368" s="183" t="str">
        <f t="shared" si="21"/>
        <v>859.0</v>
      </c>
      <c r="C368" s="184" t="s">
        <v>1600</v>
      </c>
      <c r="D368" t="s">
        <v>1601</v>
      </c>
      <c r="G368" s="175">
        <v>0</v>
      </c>
      <c r="H368" s="175">
        <v>0</v>
      </c>
      <c r="I368" s="175">
        <v>0</v>
      </c>
      <c r="J368" s="175">
        <v>0</v>
      </c>
      <c r="K368" s="175">
        <v>0</v>
      </c>
      <c r="L368" s="175">
        <v>0</v>
      </c>
      <c r="M368" s="175">
        <v>0</v>
      </c>
      <c r="N368" s="175">
        <v>0</v>
      </c>
      <c r="O368" s="175">
        <v>0</v>
      </c>
      <c r="P368" s="175">
        <v>0</v>
      </c>
      <c r="Q368" s="175">
        <v>0</v>
      </c>
      <c r="R368" s="175">
        <v>0</v>
      </c>
      <c r="S368" s="175">
        <v>0</v>
      </c>
      <c r="U368" s="175">
        <f t="shared" si="22"/>
        <v>0</v>
      </c>
    </row>
    <row r="369" spans="1:21">
      <c r="A369" s="183" t="str">
        <f t="shared" si="20"/>
        <v>860</v>
      </c>
      <c r="B369" s="183" t="str">
        <f t="shared" si="21"/>
        <v>860.0</v>
      </c>
      <c r="C369" s="184" t="s">
        <v>1602</v>
      </c>
      <c r="D369" t="s">
        <v>1603</v>
      </c>
      <c r="G369" s="175">
        <v>0</v>
      </c>
      <c r="H369" s="175">
        <v>0</v>
      </c>
      <c r="I369" s="175">
        <v>0</v>
      </c>
      <c r="J369" s="175">
        <v>0</v>
      </c>
      <c r="K369" s="175">
        <v>0</v>
      </c>
      <c r="L369" s="175">
        <v>0</v>
      </c>
      <c r="M369" s="175">
        <v>0</v>
      </c>
      <c r="N369" s="175">
        <v>0</v>
      </c>
      <c r="O369" s="175">
        <v>0</v>
      </c>
      <c r="P369" s="175">
        <v>0</v>
      </c>
      <c r="Q369" s="175">
        <v>0</v>
      </c>
      <c r="R369" s="175">
        <v>0</v>
      </c>
      <c r="S369" s="175">
        <v>0</v>
      </c>
      <c r="U369" s="175">
        <f t="shared" si="22"/>
        <v>0</v>
      </c>
    </row>
    <row r="370" spans="1:21">
      <c r="A370" s="183" t="str">
        <f t="shared" si="20"/>
        <v>861</v>
      </c>
      <c r="B370" s="183" t="str">
        <f t="shared" si="21"/>
        <v>861.0</v>
      </c>
      <c r="C370" s="184" t="s">
        <v>1604</v>
      </c>
      <c r="D370" t="s">
        <v>1605</v>
      </c>
      <c r="G370" s="175">
        <v>0</v>
      </c>
      <c r="H370" s="175">
        <v>0</v>
      </c>
      <c r="I370" s="175">
        <v>0</v>
      </c>
      <c r="J370" s="175">
        <v>0</v>
      </c>
      <c r="K370" s="175">
        <v>0</v>
      </c>
      <c r="L370" s="175">
        <v>0</v>
      </c>
      <c r="M370" s="175">
        <v>0</v>
      </c>
      <c r="N370" s="175">
        <v>0</v>
      </c>
      <c r="O370" s="175">
        <v>0</v>
      </c>
      <c r="P370" s="175">
        <v>0</v>
      </c>
      <c r="Q370" s="175">
        <v>0</v>
      </c>
      <c r="R370" s="175">
        <v>0</v>
      </c>
      <c r="S370" s="175">
        <v>0</v>
      </c>
      <c r="U370" s="175">
        <f t="shared" si="22"/>
        <v>0</v>
      </c>
    </row>
    <row r="371" spans="1:21">
      <c r="A371" s="183" t="str">
        <f t="shared" si="20"/>
        <v>862</v>
      </c>
      <c r="B371" s="183" t="str">
        <f t="shared" si="21"/>
        <v>862.0</v>
      </c>
      <c r="C371" s="184" t="s">
        <v>1606</v>
      </c>
      <c r="D371" t="s">
        <v>1607</v>
      </c>
      <c r="G371" s="175">
        <v>0</v>
      </c>
      <c r="H371" s="175">
        <v>0</v>
      </c>
      <c r="I371" s="175">
        <v>0</v>
      </c>
      <c r="J371" s="175">
        <v>0</v>
      </c>
      <c r="K371" s="175">
        <v>0</v>
      </c>
      <c r="L371" s="175">
        <v>0</v>
      </c>
      <c r="M371" s="175">
        <v>0</v>
      </c>
      <c r="N371" s="175">
        <v>0</v>
      </c>
      <c r="O371" s="175">
        <v>0</v>
      </c>
      <c r="P371" s="175">
        <v>0</v>
      </c>
      <c r="Q371" s="175">
        <v>0</v>
      </c>
      <c r="R371" s="175">
        <v>0</v>
      </c>
      <c r="S371" s="175">
        <v>0</v>
      </c>
      <c r="U371" s="175">
        <f t="shared" si="22"/>
        <v>0</v>
      </c>
    </row>
    <row r="372" spans="1:21">
      <c r="A372" s="183" t="str">
        <f t="shared" si="20"/>
        <v>863</v>
      </c>
      <c r="B372" s="183" t="str">
        <f t="shared" si="21"/>
        <v>863.0</v>
      </c>
      <c r="C372" s="184" t="s">
        <v>1608</v>
      </c>
      <c r="D372" t="s">
        <v>1609</v>
      </c>
      <c r="G372" s="175">
        <v>0</v>
      </c>
      <c r="H372" s="175">
        <v>0</v>
      </c>
      <c r="I372" s="175">
        <v>0</v>
      </c>
      <c r="J372" s="175">
        <v>0</v>
      </c>
      <c r="K372" s="175">
        <v>0</v>
      </c>
      <c r="L372" s="175">
        <v>0</v>
      </c>
      <c r="M372" s="175">
        <v>0</v>
      </c>
      <c r="N372" s="175">
        <v>0</v>
      </c>
      <c r="O372" s="175">
        <v>0</v>
      </c>
      <c r="P372" s="175">
        <v>0</v>
      </c>
      <c r="Q372" s="175">
        <v>0</v>
      </c>
      <c r="R372" s="175">
        <v>0</v>
      </c>
      <c r="S372" s="175">
        <v>0</v>
      </c>
      <c r="U372" s="175">
        <f t="shared" si="22"/>
        <v>0</v>
      </c>
    </row>
    <row r="373" spans="1:21">
      <c r="A373" s="183" t="str">
        <f t="shared" si="20"/>
        <v>864</v>
      </c>
      <c r="B373" s="183" t="str">
        <f t="shared" si="21"/>
        <v>864.0</v>
      </c>
      <c r="C373" s="184" t="s">
        <v>1610</v>
      </c>
      <c r="D373" t="s">
        <v>1611</v>
      </c>
      <c r="G373" s="175">
        <v>0</v>
      </c>
      <c r="H373" s="175">
        <v>0</v>
      </c>
      <c r="I373" s="175">
        <v>0</v>
      </c>
      <c r="J373" s="175">
        <v>0</v>
      </c>
      <c r="K373" s="175">
        <v>0</v>
      </c>
      <c r="L373" s="175">
        <v>0</v>
      </c>
      <c r="M373" s="175">
        <v>0</v>
      </c>
      <c r="N373" s="175">
        <v>0</v>
      </c>
      <c r="O373" s="175">
        <v>0</v>
      </c>
      <c r="P373" s="175">
        <v>0</v>
      </c>
      <c r="Q373" s="175">
        <v>0</v>
      </c>
      <c r="R373" s="175">
        <v>0</v>
      </c>
      <c r="S373" s="175">
        <v>0</v>
      </c>
      <c r="U373" s="175">
        <f t="shared" si="22"/>
        <v>0</v>
      </c>
    </row>
    <row r="374" spans="1:21">
      <c r="A374" s="183" t="str">
        <f t="shared" si="20"/>
        <v>865</v>
      </c>
      <c r="B374" s="183" t="str">
        <f t="shared" si="21"/>
        <v>865.0</v>
      </c>
      <c r="C374" s="184" t="s">
        <v>1612</v>
      </c>
      <c r="D374" t="s">
        <v>1613</v>
      </c>
      <c r="G374" s="175">
        <v>0</v>
      </c>
      <c r="H374" s="175">
        <v>0</v>
      </c>
      <c r="I374" s="175">
        <v>0</v>
      </c>
      <c r="J374" s="175">
        <v>0</v>
      </c>
      <c r="K374" s="175">
        <v>0</v>
      </c>
      <c r="L374" s="175">
        <v>0</v>
      </c>
      <c r="M374" s="175">
        <v>0</v>
      </c>
      <c r="N374" s="175">
        <v>0</v>
      </c>
      <c r="O374" s="175">
        <v>0</v>
      </c>
      <c r="P374" s="175">
        <v>0</v>
      </c>
      <c r="Q374" s="175">
        <v>0</v>
      </c>
      <c r="R374" s="175">
        <v>0</v>
      </c>
      <c r="S374" s="175">
        <v>0</v>
      </c>
      <c r="U374" s="175">
        <f t="shared" si="22"/>
        <v>0</v>
      </c>
    </row>
    <row r="375" spans="1:21">
      <c r="A375" s="183" t="str">
        <f t="shared" si="20"/>
        <v>866</v>
      </c>
      <c r="B375" s="183" t="str">
        <f t="shared" si="21"/>
        <v>866.0</v>
      </c>
      <c r="C375" s="184" t="s">
        <v>1614</v>
      </c>
      <c r="D375" t="s">
        <v>1615</v>
      </c>
      <c r="G375" s="175">
        <v>0</v>
      </c>
      <c r="H375" s="175">
        <v>0</v>
      </c>
      <c r="I375" s="175">
        <v>0</v>
      </c>
      <c r="J375" s="175">
        <v>0</v>
      </c>
      <c r="K375" s="175">
        <v>0</v>
      </c>
      <c r="L375" s="175">
        <v>0</v>
      </c>
      <c r="M375" s="175">
        <v>0</v>
      </c>
      <c r="N375" s="175">
        <v>0</v>
      </c>
      <c r="O375" s="175">
        <v>0</v>
      </c>
      <c r="P375" s="175">
        <v>0</v>
      </c>
      <c r="Q375" s="175">
        <v>0</v>
      </c>
      <c r="R375" s="175">
        <v>0</v>
      </c>
      <c r="S375" s="175">
        <v>0</v>
      </c>
      <c r="U375" s="175">
        <f t="shared" si="22"/>
        <v>0</v>
      </c>
    </row>
    <row r="376" spans="1:21">
      <c r="A376" s="183" t="str">
        <f t="shared" si="20"/>
        <v>867</v>
      </c>
      <c r="B376" s="183" t="str">
        <f t="shared" si="21"/>
        <v>867.0</v>
      </c>
      <c r="C376" s="184" t="s">
        <v>1616</v>
      </c>
      <c r="D376" t="s">
        <v>1617</v>
      </c>
      <c r="G376" s="175">
        <v>0</v>
      </c>
      <c r="H376" s="175">
        <v>0</v>
      </c>
      <c r="I376" s="175">
        <v>0</v>
      </c>
      <c r="J376" s="175">
        <v>0</v>
      </c>
      <c r="K376" s="175">
        <v>0</v>
      </c>
      <c r="L376" s="175">
        <v>0</v>
      </c>
      <c r="M376" s="175">
        <v>0</v>
      </c>
      <c r="N376" s="175">
        <v>0</v>
      </c>
      <c r="O376" s="175">
        <v>0</v>
      </c>
      <c r="P376" s="175">
        <v>0</v>
      </c>
      <c r="Q376" s="175">
        <v>0</v>
      </c>
      <c r="R376" s="175">
        <v>0</v>
      </c>
      <c r="S376" s="175">
        <v>0</v>
      </c>
      <c r="U376" s="175">
        <f t="shared" si="22"/>
        <v>0</v>
      </c>
    </row>
    <row r="377" spans="1:21">
      <c r="A377" s="183" t="str">
        <f t="shared" si="20"/>
        <v>870</v>
      </c>
      <c r="B377" s="183" t="str">
        <f t="shared" si="21"/>
        <v>870.0</v>
      </c>
      <c r="C377" s="184" t="s">
        <v>1618</v>
      </c>
      <c r="D377" t="s">
        <v>1619</v>
      </c>
      <c r="G377" s="175">
        <v>0</v>
      </c>
      <c r="H377" s="175">
        <v>0</v>
      </c>
      <c r="I377" s="175">
        <v>0</v>
      </c>
      <c r="J377" s="175">
        <v>0</v>
      </c>
      <c r="K377" s="175">
        <v>0</v>
      </c>
      <c r="L377" s="175">
        <v>0</v>
      </c>
      <c r="M377" s="175">
        <v>0</v>
      </c>
      <c r="N377" s="175">
        <v>0</v>
      </c>
      <c r="O377" s="175">
        <v>0</v>
      </c>
      <c r="P377" s="175">
        <v>0</v>
      </c>
      <c r="Q377" s="175">
        <v>0</v>
      </c>
      <c r="R377" s="175">
        <v>0</v>
      </c>
      <c r="S377" s="175">
        <v>0</v>
      </c>
      <c r="U377" s="175">
        <f t="shared" si="22"/>
        <v>0</v>
      </c>
    </row>
    <row r="378" spans="1:21">
      <c r="A378" s="183" t="str">
        <f t="shared" si="20"/>
        <v>871</v>
      </c>
      <c r="B378" s="183" t="str">
        <f t="shared" si="21"/>
        <v>871.0</v>
      </c>
      <c r="C378" s="184" t="s">
        <v>1620</v>
      </c>
      <c r="D378" t="s">
        <v>1621</v>
      </c>
      <c r="G378" s="175">
        <v>0</v>
      </c>
      <c r="H378" s="175">
        <v>0</v>
      </c>
      <c r="I378" s="175">
        <v>0</v>
      </c>
      <c r="J378" s="175">
        <v>0</v>
      </c>
      <c r="K378" s="175">
        <v>0</v>
      </c>
      <c r="L378" s="175">
        <v>0</v>
      </c>
      <c r="M378" s="175">
        <v>0</v>
      </c>
      <c r="N378" s="175">
        <v>0</v>
      </c>
      <c r="O378" s="175">
        <v>0</v>
      </c>
      <c r="P378" s="175">
        <v>0</v>
      </c>
      <c r="Q378" s="175">
        <v>0</v>
      </c>
      <c r="R378" s="175">
        <v>0</v>
      </c>
      <c r="S378" s="175">
        <v>0</v>
      </c>
      <c r="U378" s="175">
        <f t="shared" si="22"/>
        <v>0</v>
      </c>
    </row>
    <row r="379" spans="1:21">
      <c r="A379" s="183" t="str">
        <f t="shared" si="20"/>
        <v>872</v>
      </c>
      <c r="B379" s="183" t="str">
        <f t="shared" si="21"/>
        <v>872.0</v>
      </c>
      <c r="C379" s="184" t="s">
        <v>1622</v>
      </c>
      <c r="D379" t="s">
        <v>1623</v>
      </c>
      <c r="G379" s="175">
        <v>0</v>
      </c>
      <c r="H379" s="175">
        <v>0</v>
      </c>
      <c r="I379" s="175">
        <v>0</v>
      </c>
      <c r="J379" s="175">
        <v>0</v>
      </c>
      <c r="K379" s="175">
        <v>0</v>
      </c>
      <c r="L379" s="175">
        <v>0</v>
      </c>
      <c r="M379" s="175">
        <v>0</v>
      </c>
      <c r="N379" s="175">
        <v>0</v>
      </c>
      <c r="O379" s="175">
        <v>0</v>
      </c>
      <c r="P379" s="175">
        <v>0</v>
      </c>
      <c r="Q379" s="175">
        <v>0</v>
      </c>
      <c r="R379" s="175">
        <v>0</v>
      </c>
      <c r="S379" s="175">
        <v>0</v>
      </c>
      <c r="U379" s="175">
        <f t="shared" si="22"/>
        <v>0</v>
      </c>
    </row>
    <row r="380" spans="1:21">
      <c r="A380" s="183" t="str">
        <f t="shared" si="20"/>
        <v>873</v>
      </c>
      <c r="B380" s="183" t="str">
        <f t="shared" si="21"/>
        <v>873.0</v>
      </c>
      <c r="C380" s="184" t="s">
        <v>1624</v>
      </c>
      <c r="D380" t="s">
        <v>1625</v>
      </c>
      <c r="G380" s="175">
        <v>0</v>
      </c>
      <c r="H380" s="175">
        <v>0</v>
      </c>
      <c r="I380" s="175">
        <v>0</v>
      </c>
      <c r="J380" s="175">
        <v>0</v>
      </c>
      <c r="K380" s="175">
        <v>0</v>
      </c>
      <c r="L380" s="175">
        <v>0</v>
      </c>
      <c r="M380" s="175">
        <v>0</v>
      </c>
      <c r="N380" s="175">
        <v>0</v>
      </c>
      <c r="O380" s="175">
        <v>0</v>
      </c>
      <c r="P380" s="175">
        <v>0</v>
      </c>
      <c r="Q380" s="175">
        <v>0</v>
      </c>
      <c r="R380" s="175">
        <v>0</v>
      </c>
      <c r="S380" s="175">
        <v>0</v>
      </c>
      <c r="U380" s="175">
        <f t="shared" si="22"/>
        <v>0</v>
      </c>
    </row>
    <row r="381" spans="1:21">
      <c r="A381" s="183" t="str">
        <f t="shared" si="20"/>
        <v>874</v>
      </c>
      <c r="B381" s="183" t="str">
        <f t="shared" si="21"/>
        <v>874.0</v>
      </c>
      <c r="C381" s="184" t="s">
        <v>1626</v>
      </c>
      <c r="D381" t="s">
        <v>1627</v>
      </c>
      <c r="G381" s="175">
        <v>0</v>
      </c>
      <c r="H381" s="175">
        <v>0</v>
      </c>
      <c r="I381" s="175">
        <v>0</v>
      </c>
      <c r="J381" s="175">
        <v>0</v>
      </c>
      <c r="K381" s="175">
        <v>0</v>
      </c>
      <c r="L381" s="175">
        <v>0</v>
      </c>
      <c r="M381" s="175">
        <v>0</v>
      </c>
      <c r="N381" s="175">
        <v>0</v>
      </c>
      <c r="O381" s="175">
        <v>0</v>
      </c>
      <c r="P381" s="175">
        <v>0</v>
      </c>
      <c r="Q381" s="175">
        <v>0</v>
      </c>
      <c r="R381" s="175">
        <v>0</v>
      </c>
      <c r="S381" s="175">
        <v>0</v>
      </c>
      <c r="U381" s="175">
        <f t="shared" si="22"/>
        <v>0</v>
      </c>
    </row>
    <row r="382" spans="1:21">
      <c r="A382" s="183" t="str">
        <f t="shared" si="20"/>
        <v>875</v>
      </c>
      <c r="B382" s="183" t="str">
        <f t="shared" si="21"/>
        <v>875.0</v>
      </c>
      <c r="C382" s="184" t="s">
        <v>1628</v>
      </c>
      <c r="D382" t="s">
        <v>1629</v>
      </c>
      <c r="G382" s="175">
        <v>0</v>
      </c>
      <c r="H382" s="175">
        <v>0</v>
      </c>
      <c r="I382" s="175">
        <v>0</v>
      </c>
      <c r="J382" s="175">
        <v>0</v>
      </c>
      <c r="K382" s="175">
        <v>0</v>
      </c>
      <c r="L382" s="175">
        <v>0</v>
      </c>
      <c r="M382" s="175">
        <v>0</v>
      </c>
      <c r="N382" s="175">
        <v>0</v>
      </c>
      <c r="O382" s="175">
        <v>0</v>
      </c>
      <c r="P382" s="175">
        <v>0</v>
      </c>
      <c r="Q382" s="175">
        <v>0</v>
      </c>
      <c r="R382" s="175">
        <v>0</v>
      </c>
      <c r="S382" s="175">
        <v>0</v>
      </c>
      <c r="U382" s="175">
        <f t="shared" si="22"/>
        <v>0</v>
      </c>
    </row>
    <row r="383" spans="1:21">
      <c r="A383" s="183" t="str">
        <f t="shared" si="20"/>
        <v>876</v>
      </c>
      <c r="B383" s="183" t="str">
        <f t="shared" si="21"/>
        <v>876.0</v>
      </c>
      <c r="C383" s="184" t="s">
        <v>1630</v>
      </c>
      <c r="D383" t="s">
        <v>1631</v>
      </c>
      <c r="G383" s="175">
        <v>0</v>
      </c>
      <c r="H383" s="175">
        <v>0</v>
      </c>
      <c r="I383" s="175">
        <v>0</v>
      </c>
      <c r="J383" s="175">
        <v>0</v>
      </c>
      <c r="K383" s="175">
        <v>0</v>
      </c>
      <c r="L383" s="175">
        <v>0</v>
      </c>
      <c r="M383" s="175">
        <v>0</v>
      </c>
      <c r="N383" s="175">
        <v>0</v>
      </c>
      <c r="O383" s="175">
        <v>0</v>
      </c>
      <c r="P383" s="175">
        <v>0</v>
      </c>
      <c r="Q383" s="175">
        <v>0</v>
      </c>
      <c r="R383" s="175">
        <v>0</v>
      </c>
      <c r="S383" s="175">
        <v>0</v>
      </c>
      <c r="U383" s="175">
        <f t="shared" si="22"/>
        <v>0</v>
      </c>
    </row>
    <row r="384" spans="1:21">
      <c r="A384" s="183" t="str">
        <f t="shared" si="20"/>
        <v>877</v>
      </c>
      <c r="B384" s="183" t="str">
        <f t="shared" si="21"/>
        <v>877.0</v>
      </c>
      <c r="C384" s="184" t="s">
        <v>1632</v>
      </c>
      <c r="D384" t="s">
        <v>1633</v>
      </c>
      <c r="G384" s="175">
        <v>0</v>
      </c>
      <c r="H384" s="175">
        <v>0</v>
      </c>
      <c r="I384" s="175">
        <v>0</v>
      </c>
      <c r="J384" s="175">
        <v>0</v>
      </c>
      <c r="K384" s="175">
        <v>0</v>
      </c>
      <c r="L384" s="175">
        <v>0</v>
      </c>
      <c r="M384" s="175">
        <v>0</v>
      </c>
      <c r="N384" s="175">
        <v>0</v>
      </c>
      <c r="O384" s="175">
        <v>0</v>
      </c>
      <c r="P384" s="175">
        <v>0</v>
      </c>
      <c r="Q384" s="175">
        <v>0</v>
      </c>
      <c r="R384" s="175">
        <v>0</v>
      </c>
      <c r="S384" s="175">
        <v>0</v>
      </c>
      <c r="U384" s="175">
        <f t="shared" si="22"/>
        <v>0</v>
      </c>
    </row>
    <row r="385" spans="1:21">
      <c r="A385" s="183" t="str">
        <f t="shared" si="20"/>
        <v>878</v>
      </c>
      <c r="B385" s="183" t="str">
        <f t="shared" si="21"/>
        <v>878.0</v>
      </c>
      <c r="C385" s="184" t="s">
        <v>1634</v>
      </c>
      <c r="D385" t="s">
        <v>1635</v>
      </c>
      <c r="G385" s="175">
        <v>0</v>
      </c>
      <c r="H385" s="175">
        <v>0</v>
      </c>
      <c r="I385" s="175">
        <v>0</v>
      </c>
      <c r="J385" s="175">
        <v>0</v>
      </c>
      <c r="K385" s="175">
        <v>0</v>
      </c>
      <c r="L385" s="175">
        <v>0</v>
      </c>
      <c r="M385" s="175">
        <v>0</v>
      </c>
      <c r="N385" s="175">
        <v>0</v>
      </c>
      <c r="O385" s="175">
        <v>0</v>
      </c>
      <c r="P385" s="175">
        <v>0</v>
      </c>
      <c r="Q385" s="175">
        <v>0</v>
      </c>
      <c r="R385" s="175">
        <v>0</v>
      </c>
      <c r="S385" s="175">
        <v>0</v>
      </c>
      <c r="U385" s="175">
        <f t="shared" si="22"/>
        <v>0</v>
      </c>
    </row>
    <row r="386" spans="1:21">
      <c r="A386" s="183" t="str">
        <f t="shared" si="20"/>
        <v>879</v>
      </c>
      <c r="B386" s="183" t="str">
        <f t="shared" si="21"/>
        <v>879.0</v>
      </c>
      <c r="C386" s="184" t="s">
        <v>1636</v>
      </c>
      <c r="D386" t="s">
        <v>1637</v>
      </c>
      <c r="G386" s="175">
        <v>0</v>
      </c>
      <c r="H386" s="175">
        <v>0</v>
      </c>
      <c r="I386" s="175">
        <v>0</v>
      </c>
      <c r="J386" s="175">
        <v>0</v>
      </c>
      <c r="K386" s="175">
        <v>0</v>
      </c>
      <c r="L386" s="175">
        <v>0</v>
      </c>
      <c r="M386" s="175">
        <v>0</v>
      </c>
      <c r="N386" s="175">
        <v>0</v>
      </c>
      <c r="O386" s="175">
        <v>0</v>
      </c>
      <c r="P386" s="175">
        <v>0</v>
      </c>
      <c r="Q386" s="175">
        <v>0</v>
      </c>
      <c r="R386" s="175">
        <v>0</v>
      </c>
      <c r="S386" s="175">
        <v>0</v>
      </c>
      <c r="U386" s="175">
        <f t="shared" si="22"/>
        <v>0</v>
      </c>
    </row>
    <row r="387" spans="1:21">
      <c r="A387" s="183" t="str">
        <f t="shared" si="20"/>
        <v>880</v>
      </c>
      <c r="B387" s="183" t="str">
        <f t="shared" si="21"/>
        <v>880.0</v>
      </c>
      <c r="C387" s="184" t="s">
        <v>1638</v>
      </c>
      <c r="D387" t="s">
        <v>1639</v>
      </c>
      <c r="G387" s="175">
        <v>0</v>
      </c>
      <c r="H387" s="175">
        <v>0</v>
      </c>
      <c r="I387" s="175">
        <v>0</v>
      </c>
      <c r="J387" s="175">
        <v>0</v>
      </c>
      <c r="K387" s="175">
        <v>0</v>
      </c>
      <c r="L387" s="175">
        <v>0</v>
      </c>
      <c r="M387" s="175">
        <v>0</v>
      </c>
      <c r="N387" s="175">
        <v>0</v>
      </c>
      <c r="O387" s="175">
        <v>0</v>
      </c>
      <c r="P387" s="175">
        <v>0</v>
      </c>
      <c r="Q387" s="175">
        <v>0</v>
      </c>
      <c r="R387" s="175">
        <v>0</v>
      </c>
      <c r="S387" s="175">
        <v>0</v>
      </c>
      <c r="U387" s="175">
        <f t="shared" si="22"/>
        <v>0</v>
      </c>
    </row>
    <row r="388" spans="1:21">
      <c r="A388" s="183" t="str">
        <f t="shared" si="20"/>
        <v>881</v>
      </c>
      <c r="B388" s="183" t="str">
        <f t="shared" si="21"/>
        <v>881.0</v>
      </c>
      <c r="C388" s="184" t="s">
        <v>1640</v>
      </c>
      <c r="D388" t="s">
        <v>1641</v>
      </c>
      <c r="G388" s="175">
        <v>0</v>
      </c>
      <c r="H388" s="175">
        <v>0</v>
      </c>
      <c r="I388" s="175">
        <v>0</v>
      </c>
      <c r="J388" s="175">
        <v>0</v>
      </c>
      <c r="K388" s="175">
        <v>0</v>
      </c>
      <c r="L388" s="175">
        <v>0</v>
      </c>
      <c r="M388" s="175">
        <v>0</v>
      </c>
      <c r="N388" s="175">
        <v>0</v>
      </c>
      <c r="O388" s="175">
        <v>0</v>
      </c>
      <c r="P388" s="175">
        <v>0</v>
      </c>
      <c r="Q388" s="175">
        <v>0</v>
      </c>
      <c r="R388" s="175">
        <v>0</v>
      </c>
      <c r="S388" s="175">
        <v>0</v>
      </c>
      <c r="U388" s="175">
        <f t="shared" si="22"/>
        <v>0</v>
      </c>
    </row>
    <row r="389" spans="1:21">
      <c r="A389" s="183" t="str">
        <f t="shared" si="20"/>
        <v>885</v>
      </c>
      <c r="B389" s="183" t="str">
        <f t="shared" si="21"/>
        <v>885.0</v>
      </c>
      <c r="C389" s="184" t="s">
        <v>1642</v>
      </c>
      <c r="D389" t="s">
        <v>1643</v>
      </c>
      <c r="G389" s="175">
        <v>0</v>
      </c>
      <c r="H389" s="175">
        <v>0</v>
      </c>
      <c r="I389" s="175">
        <v>0</v>
      </c>
      <c r="J389" s="175">
        <v>0</v>
      </c>
      <c r="K389" s="175">
        <v>0</v>
      </c>
      <c r="L389" s="175">
        <v>0</v>
      </c>
      <c r="M389" s="175">
        <v>0</v>
      </c>
      <c r="N389" s="175">
        <v>0</v>
      </c>
      <c r="O389" s="175">
        <v>0</v>
      </c>
      <c r="P389" s="175">
        <v>0</v>
      </c>
      <c r="Q389" s="175">
        <v>0</v>
      </c>
      <c r="R389" s="175">
        <v>0</v>
      </c>
      <c r="S389" s="175">
        <v>0</v>
      </c>
      <c r="U389" s="175">
        <f t="shared" si="22"/>
        <v>0</v>
      </c>
    </row>
    <row r="390" spans="1:21">
      <c r="A390" s="183" t="str">
        <f t="shared" si="20"/>
        <v>886</v>
      </c>
      <c r="B390" s="183" t="str">
        <f t="shared" si="21"/>
        <v>886.0</v>
      </c>
      <c r="C390" s="184" t="s">
        <v>1644</v>
      </c>
      <c r="D390" t="s">
        <v>1645</v>
      </c>
      <c r="G390" s="175">
        <v>0</v>
      </c>
      <c r="H390" s="175">
        <v>0</v>
      </c>
      <c r="I390" s="175">
        <v>0</v>
      </c>
      <c r="J390" s="175">
        <v>0</v>
      </c>
      <c r="K390" s="175">
        <v>0</v>
      </c>
      <c r="L390" s="175">
        <v>0</v>
      </c>
      <c r="M390" s="175">
        <v>0</v>
      </c>
      <c r="N390" s="175">
        <v>0</v>
      </c>
      <c r="O390" s="175">
        <v>0</v>
      </c>
      <c r="P390" s="175">
        <v>0</v>
      </c>
      <c r="Q390" s="175">
        <v>0</v>
      </c>
      <c r="R390" s="175">
        <v>0</v>
      </c>
      <c r="S390" s="175">
        <v>0</v>
      </c>
      <c r="U390" s="175">
        <f t="shared" si="22"/>
        <v>0</v>
      </c>
    </row>
    <row r="391" spans="1:21">
      <c r="A391" s="183" t="str">
        <f t="shared" ref="A391:A426" si="23">MID(C391,2,3)</f>
        <v>887</v>
      </c>
      <c r="B391" s="183" t="str">
        <f t="shared" ref="B391:B426" si="24">MID(C391,2,3)&amp;"."&amp;MID(C391,5,1)</f>
        <v>887.0</v>
      </c>
      <c r="C391" s="184" t="s">
        <v>1646</v>
      </c>
      <c r="D391" t="s">
        <v>1647</v>
      </c>
      <c r="G391" s="175">
        <v>0</v>
      </c>
      <c r="H391" s="175">
        <v>0</v>
      </c>
      <c r="I391" s="175">
        <v>0</v>
      </c>
      <c r="J391" s="175">
        <v>0</v>
      </c>
      <c r="K391" s="175">
        <v>0</v>
      </c>
      <c r="L391" s="175">
        <v>0</v>
      </c>
      <c r="M391" s="175">
        <v>0</v>
      </c>
      <c r="N391" s="175">
        <v>0</v>
      </c>
      <c r="O391" s="175">
        <v>0</v>
      </c>
      <c r="P391" s="175">
        <v>0</v>
      </c>
      <c r="Q391" s="175">
        <v>0</v>
      </c>
      <c r="R391" s="175">
        <v>0</v>
      </c>
      <c r="S391" s="175">
        <v>0</v>
      </c>
      <c r="U391" s="175">
        <f t="shared" ref="U391:U426" si="25">AVERAGE(G391:S391)</f>
        <v>0</v>
      </c>
    </row>
    <row r="392" spans="1:21">
      <c r="A392" s="183" t="str">
        <f t="shared" si="23"/>
        <v>888</v>
      </c>
      <c r="B392" s="183" t="str">
        <f t="shared" si="24"/>
        <v>888.0</v>
      </c>
      <c r="C392" s="184" t="s">
        <v>1648</v>
      </c>
      <c r="D392" t="s">
        <v>1649</v>
      </c>
      <c r="G392" s="175">
        <v>0</v>
      </c>
      <c r="H392" s="175">
        <v>0</v>
      </c>
      <c r="I392" s="175">
        <v>0</v>
      </c>
      <c r="J392" s="175">
        <v>0</v>
      </c>
      <c r="K392" s="175">
        <v>0</v>
      </c>
      <c r="L392" s="175">
        <v>0</v>
      </c>
      <c r="M392" s="175">
        <v>0</v>
      </c>
      <c r="N392" s="175">
        <v>0</v>
      </c>
      <c r="O392" s="175">
        <v>0</v>
      </c>
      <c r="P392" s="175">
        <v>0</v>
      </c>
      <c r="Q392" s="175">
        <v>0</v>
      </c>
      <c r="R392" s="175">
        <v>0</v>
      </c>
      <c r="S392" s="175">
        <v>0</v>
      </c>
      <c r="U392" s="175">
        <f t="shared" si="25"/>
        <v>0</v>
      </c>
    </row>
    <row r="393" spans="1:21">
      <c r="A393" s="183" t="str">
        <f t="shared" si="23"/>
        <v>889</v>
      </c>
      <c r="B393" s="183" t="str">
        <f t="shared" si="24"/>
        <v>889.0</v>
      </c>
      <c r="C393" s="184" t="s">
        <v>1650</v>
      </c>
      <c r="D393" t="s">
        <v>1651</v>
      </c>
      <c r="G393" s="175">
        <v>0</v>
      </c>
      <c r="H393" s="175">
        <v>0</v>
      </c>
      <c r="I393" s="175">
        <v>0</v>
      </c>
      <c r="J393" s="175">
        <v>0</v>
      </c>
      <c r="K393" s="175">
        <v>0</v>
      </c>
      <c r="L393" s="175">
        <v>0</v>
      </c>
      <c r="M393" s="175">
        <v>0</v>
      </c>
      <c r="N393" s="175">
        <v>0</v>
      </c>
      <c r="O393" s="175">
        <v>0</v>
      </c>
      <c r="P393" s="175">
        <v>0</v>
      </c>
      <c r="Q393" s="175">
        <v>0</v>
      </c>
      <c r="R393" s="175">
        <v>0</v>
      </c>
      <c r="S393" s="175">
        <v>0</v>
      </c>
      <c r="U393" s="175">
        <f t="shared" si="25"/>
        <v>0</v>
      </c>
    </row>
    <row r="394" spans="1:21">
      <c r="A394" s="183" t="str">
        <f t="shared" si="23"/>
        <v>890</v>
      </c>
      <c r="B394" s="183" t="str">
        <f t="shared" si="24"/>
        <v>890.0</v>
      </c>
      <c r="C394" s="184" t="s">
        <v>1652</v>
      </c>
      <c r="D394" t="s">
        <v>1653</v>
      </c>
      <c r="G394" s="175">
        <v>0</v>
      </c>
      <c r="H394" s="175">
        <v>0</v>
      </c>
      <c r="I394" s="175">
        <v>0</v>
      </c>
      <c r="J394" s="175">
        <v>0</v>
      </c>
      <c r="K394" s="175">
        <v>0</v>
      </c>
      <c r="L394" s="175">
        <v>0</v>
      </c>
      <c r="M394" s="175">
        <v>0</v>
      </c>
      <c r="N394" s="175">
        <v>0</v>
      </c>
      <c r="O394" s="175">
        <v>0</v>
      </c>
      <c r="P394" s="175">
        <v>0</v>
      </c>
      <c r="Q394" s="175">
        <v>0</v>
      </c>
      <c r="R394" s="175">
        <v>0</v>
      </c>
      <c r="S394" s="175">
        <v>0</v>
      </c>
      <c r="U394" s="175">
        <f t="shared" si="25"/>
        <v>0</v>
      </c>
    </row>
    <row r="395" spans="1:21">
      <c r="A395" s="183" t="str">
        <f t="shared" si="23"/>
        <v>891</v>
      </c>
      <c r="B395" s="183" t="str">
        <f t="shared" si="24"/>
        <v>891.0</v>
      </c>
      <c r="C395" s="184" t="s">
        <v>1654</v>
      </c>
      <c r="D395" t="s">
        <v>1655</v>
      </c>
      <c r="G395" s="175">
        <v>0</v>
      </c>
      <c r="H395" s="175">
        <v>0</v>
      </c>
      <c r="I395" s="175">
        <v>0</v>
      </c>
      <c r="J395" s="175">
        <v>0</v>
      </c>
      <c r="K395" s="175">
        <v>0</v>
      </c>
      <c r="L395" s="175">
        <v>0</v>
      </c>
      <c r="M395" s="175">
        <v>0</v>
      </c>
      <c r="N395" s="175">
        <v>0</v>
      </c>
      <c r="O395" s="175">
        <v>0</v>
      </c>
      <c r="P395" s="175">
        <v>0</v>
      </c>
      <c r="Q395" s="175">
        <v>0</v>
      </c>
      <c r="R395" s="175">
        <v>0</v>
      </c>
      <c r="S395" s="175">
        <v>0</v>
      </c>
      <c r="U395" s="175">
        <f t="shared" si="25"/>
        <v>0</v>
      </c>
    </row>
    <row r="396" spans="1:21">
      <c r="A396" s="183" t="str">
        <f t="shared" si="23"/>
        <v>892</v>
      </c>
      <c r="B396" s="183" t="str">
        <f t="shared" si="24"/>
        <v>892.0</v>
      </c>
      <c r="C396" s="184" t="s">
        <v>1656</v>
      </c>
      <c r="D396" t="s">
        <v>1657</v>
      </c>
      <c r="G396" s="175">
        <v>0</v>
      </c>
      <c r="H396" s="175">
        <v>0</v>
      </c>
      <c r="I396" s="175">
        <v>0</v>
      </c>
      <c r="J396" s="175">
        <v>0</v>
      </c>
      <c r="K396" s="175">
        <v>0</v>
      </c>
      <c r="L396" s="175">
        <v>0</v>
      </c>
      <c r="M396" s="175">
        <v>0</v>
      </c>
      <c r="N396" s="175">
        <v>0</v>
      </c>
      <c r="O396" s="175">
        <v>0</v>
      </c>
      <c r="P396" s="175">
        <v>0</v>
      </c>
      <c r="Q396" s="175">
        <v>0</v>
      </c>
      <c r="R396" s="175">
        <v>0</v>
      </c>
      <c r="S396" s="175">
        <v>0</v>
      </c>
      <c r="U396" s="175">
        <f t="shared" si="25"/>
        <v>0</v>
      </c>
    </row>
    <row r="397" spans="1:21">
      <c r="A397" s="183" t="str">
        <f t="shared" si="23"/>
        <v>893</v>
      </c>
      <c r="B397" s="183" t="str">
        <f t="shared" si="24"/>
        <v>893.0</v>
      </c>
      <c r="C397" s="184" t="s">
        <v>1658</v>
      </c>
      <c r="D397" t="s">
        <v>1659</v>
      </c>
      <c r="G397" s="175">
        <v>0</v>
      </c>
      <c r="H397" s="175">
        <v>0</v>
      </c>
      <c r="I397" s="175">
        <v>0</v>
      </c>
      <c r="J397" s="175">
        <v>0</v>
      </c>
      <c r="K397" s="175">
        <v>0</v>
      </c>
      <c r="L397" s="175">
        <v>0</v>
      </c>
      <c r="M397" s="175">
        <v>0</v>
      </c>
      <c r="N397" s="175">
        <v>0</v>
      </c>
      <c r="O397" s="175">
        <v>0</v>
      </c>
      <c r="P397" s="175">
        <v>0</v>
      </c>
      <c r="Q397" s="175">
        <v>0</v>
      </c>
      <c r="R397" s="175">
        <v>0</v>
      </c>
      <c r="S397" s="175">
        <v>0</v>
      </c>
      <c r="U397" s="175">
        <f t="shared" si="25"/>
        <v>0</v>
      </c>
    </row>
    <row r="398" spans="1:21">
      <c r="A398" s="183" t="str">
        <f t="shared" si="23"/>
        <v>894</v>
      </c>
      <c r="B398" s="183" t="str">
        <f t="shared" si="24"/>
        <v>894.0</v>
      </c>
      <c r="C398" s="184" t="s">
        <v>1660</v>
      </c>
      <c r="D398" t="s">
        <v>1661</v>
      </c>
      <c r="G398" s="175">
        <v>0</v>
      </c>
      <c r="H398" s="175">
        <v>0</v>
      </c>
      <c r="I398" s="175">
        <v>0</v>
      </c>
      <c r="J398" s="175">
        <v>0</v>
      </c>
      <c r="K398" s="175">
        <v>0</v>
      </c>
      <c r="L398" s="175">
        <v>0</v>
      </c>
      <c r="M398" s="175">
        <v>0</v>
      </c>
      <c r="N398" s="175">
        <v>0</v>
      </c>
      <c r="O398" s="175">
        <v>0</v>
      </c>
      <c r="P398" s="175">
        <v>0</v>
      </c>
      <c r="Q398" s="175">
        <v>0</v>
      </c>
      <c r="R398" s="175">
        <v>0</v>
      </c>
      <c r="S398" s="175">
        <v>0</v>
      </c>
      <c r="U398" s="175">
        <f t="shared" si="25"/>
        <v>0</v>
      </c>
    </row>
    <row r="399" spans="1:21">
      <c r="A399" s="183" t="str">
        <f t="shared" si="23"/>
        <v>901</v>
      </c>
      <c r="B399" s="183" t="str">
        <f t="shared" si="24"/>
        <v>901.0</v>
      </c>
      <c r="C399" s="184" t="s">
        <v>1662</v>
      </c>
      <c r="D399" t="s">
        <v>1663</v>
      </c>
      <c r="G399" s="175">
        <v>26639.34</v>
      </c>
      <c r="H399" s="175">
        <v>0</v>
      </c>
      <c r="I399" s="175">
        <v>0</v>
      </c>
      <c r="J399" s="175">
        <v>0</v>
      </c>
      <c r="K399" s="175">
        <v>0</v>
      </c>
      <c r="L399" s="175">
        <v>0</v>
      </c>
      <c r="M399" s="175">
        <v>0</v>
      </c>
      <c r="N399" s="175">
        <v>0</v>
      </c>
      <c r="O399" s="175">
        <v>0</v>
      </c>
      <c r="P399" s="175">
        <v>0</v>
      </c>
      <c r="Q399" s="175">
        <v>0</v>
      </c>
      <c r="R399" s="175">
        <v>0</v>
      </c>
      <c r="S399" s="175">
        <v>0</v>
      </c>
      <c r="U399" s="175">
        <f t="shared" si="25"/>
        <v>2049.1799999999998</v>
      </c>
    </row>
    <row r="400" spans="1:21">
      <c r="A400" s="183" t="str">
        <f t="shared" si="23"/>
        <v>902</v>
      </c>
      <c r="B400" s="183" t="str">
        <f t="shared" si="24"/>
        <v>902.0</v>
      </c>
      <c r="C400" s="184" t="s">
        <v>1664</v>
      </c>
      <c r="D400" t="s">
        <v>1665</v>
      </c>
      <c r="G400" s="175">
        <v>182722.98</v>
      </c>
      <c r="H400" s="175">
        <v>431185.06006809999</v>
      </c>
      <c r="I400" s="175">
        <v>302261.96785219997</v>
      </c>
      <c r="J400" s="175">
        <v>287542.43879819999</v>
      </c>
      <c r="K400" s="175">
        <v>457231.26276239997</v>
      </c>
      <c r="L400" s="175">
        <v>304915.48686260002</v>
      </c>
      <c r="M400" s="175">
        <v>312722.44296880002</v>
      </c>
      <c r="N400" s="175">
        <v>444291.44127439999</v>
      </c>
      <c r="O400" s="175">
        <v>352215.14415459998</v>
      </c>
      <c r="P400" s="175">
        <v>328748.37724160001</v>
      </c>
      <c r="Q400" s="175">
        <v>438645.30197069998</v>
      </c>
      <c r="R400" s="175">
        <v>387580.47074060002</v>
      </c>
      <c r="S400" s="175">
        <v>347086.8997214</v>
      </c>
      <c r="U400" s="175">
        <f t="shared" si="25"/>
        <v>352088.40572427685</v>
      </c>
    </row>
    <row r="401" spans="1:21">
      <c r="A401" s="183" t="str">
        <f t="shared" si="23"/>
        <v>903</v>
      </c>
      <c r="B401" s="183" t="str">
        <f t="shared" si="24"/>
        <v>903.0</v>
      </c>
      <c r="C401" s="184" t="s">
        <v>1666</v>
      </c>
      <c r="D401" t="s">
        <v>1667</v>
      </c>
      <c r="G401" s="175">
        <v>2538311.62</v>
      </c>
      <c r="H401" s="175">
        <v>2483466.9503064002</v>
      </c>
      <c r="I401" s="175">
        <v>2272770.0009331</v>
      </c>
      <c r="J401" s="175">
        <v>2329379.214036</v>
      </c>
      <c r="K401" s="175">
        <v>2368584.2230767999</v>
      </c>
      <c r="L401" s="175">
        <v>2629683.3095717002</v>
      </c>
      <c r="M401" s="175">
        <v>2346298.4262504</v>
      </c>
      <c r="N401" s="175">
        <v>2460088.0544249001</v>
      </c>
      <c r="O401" s="175">
        <v>2452091.9577934002</v>
      </c>
      <c r="P401" s="175">
        <v>2394935.7240089001</v>
      </c>
      <c r="Q401" s="175">
        <v>2450814.7907750998</v>
      </c>
      <c r="R401" s="175">
        <v>2541841.2027588999</v>
      </c>
      <c r="S401" s="175">
        <v>2444298.2362452</v>
      </c>
      <c r="U401" s="175">
        <f t="shared" si="25"/>
        <v>2439427.9777062153</v>
      </c>
    </row>
    <row r="402" spans="1:21">
      <c r="A402" s="183" t="str">
        <f t="shared" si="23"/>
        <v>904</v>
      </c>
      <c r="B402" s="183" t="str">
        <f t="shared" si="24"/>
        <v>904.0</v>
      </c>
      <c r="C402" s="184" t="s">
        <v>1668</v>
      </c>
      <c r="D402" t="s">
        <v>1669</v>
      </c>
      <c r="G402" s="175">
        <v>1565228</v>
      </c>
      <c r="H402" s="175">
        <v>574632.5389711</v>
      </c>
      <c r="I402" s="175">
        <v>486320.32511149999</v>
      </c>
      <c r="J402" s="175">
        <v>451292.05330159998</v>
      </c>
      <c r="K402" s="175">
        <v>518358.93154309998</v>
      </c>
      <c r="L402" s="175">
        <v>483819.8039837</v>
      </c>
      <c r="M402" s="175">
        <v>486213.10342890001</v>
      </c>
      <c r="N402" s="175">
        <v>495813.26185110002</v>
      </c>
      <c r="O402" s="175">
        <v>457544.74031700002</v>
      </c>
      <c r="P402" s="175">
        <v>565906.79020469997</v>
      </c>
      <c r="Q402" s="175">
        <v>510622.59346930002</v>
      </c>
      <c r="R402" s="175">
        <v>488866.29032089998</v>
      </c>
      <c r="S402" s="175">
        <v>562792.63471110002</v>
      </c>
      <c r="U402" s="175">
        <f t="shared" si="25"/>
        <v>588262.38978569233</v>
      </c>
    </row>
    <row r="403" spans="1:21">
      <c r="A403" s="183" t="str">
        <f t="shared" si="23"/>
        <v>905</v>
      </c>
      <c r="B403" s="183" t="str">
        <f t="shared" si="24"/>
        <v>905.0</v>
      </c>
      <c r="C403" s="184" t="s">
        <v>1670</v>
      </c>
      <c r="D403" t="s">
        <v>1671</v>
      </c>
      <c r="G403" s="175">
        <v>0</v>
      </c>
      <c r="H403" s="175">
        <v>0</v>
      </c>
      <c r="I403" s="175">
        <v>0</v>
      </c>
      <c r="J403" s="175">
        <v>0</v>
      </c>
      <c r="K403" s="175">
        <v>0</v>
      </c>
      <c r="L403" s="175">
        <v>0</v>
      </c>
      <c r="M403" s="175">
        <v>0</v>
      </c>
      <c r="N403" s="175">
        <v>0</v>
      </c>
      <c r="O403" s="175">
        <v>0</v>
      </c>
      <c r="P403" s="175">
        <v>0</v>
      </c>
      <c r="Q403" s="175">
        <v>0</v>
      </c>
      <c r="R403" s="175">
        <v>0</v>
      </c>
      <c r="S403" s="175">
        <v>0</v>
      </c>
      <c r="U403" s="175">
        <f t="shared" si="25"/>
        <v>0</v>
      </c>
    </row>
    <row r="404" spans="1:21">
      <c r="A404" s="183" t="str">
        <f t="shared" si="23"/>
        <v>907</v>
      </c>
      <c r="B404" s="183" t="str">
        <f t="shared" si="24"/>
        <v>907.0</v>
      </c>
      <c r="C404" s="184" t="s">
        <v>1672</v>
      </c>
      <c r="D404" t="s">
        <v>1673</v>
      </c>
      <c r="G404" s="175">
        <v>0</v>
      </c>
      <c r="H404" s="175">
        <v>0</v>
      </c>
      <c r="I404" s="175">
        <v>0</v>
      </c>
      <c r="J404" s="175">
        <v>0</v>
      </c>
      <c r="K404" s="175">
        <v>0</v>
      </c>
      <c r="L404" s="175">
        <v>0</v>
      </c>
      <c r="M404" s="175">
        <v>0</v>
      </c>
      <c r="N404" s="175">
        <v>0</v>
      </c>
      <c r="O404" s="175">
        <v>0</v>
      </c>
      <c r="P404" s="175">
        <v>0</v>
      </c>
      <c r="Q404" s="175">
        <v>0</v>
      </c>
      <c r="R404" s="175">
        <v>0</v>
      </c>
      <c r="S404" s="175">
        <v>0</v>
      </c>
      <c r="U404" s="175">
        <f t="shared" si="25"/>
        <v>0</v>
      </c>
    </row>
    <row r="405" spans="1:21">
      <c r="A405" s="183" t="str">
        <f t="shared" si="23"/>
        <v>908</v>
      </c>
      <c r="B405" s="183" t="str">
        <f t="shared" si="24"/>
        <v>908.0</v>
      </c>
      <c r="C405" s="184" t="s">
        <v>1674</v>
      </c>
      <c r="D405" t="s">
        <v>1675</v>
      </c>
      <c r="G405" s="175">
        <v>3936734.09</v>
      </c>
      <c r="H405" s="175">
        <v>3579869.3087904998</v>
      </c>
      <c r="I405" s="175">
        <v>3539137.8221676</v>
      </c>
      <c r="J405" s="175">
        <v>3622185.9023731998</v>
      </c>
      <c r="K405" s="175">
        <v>3873680.7755443002</v>
      </c>
      <c r="L405" s="175">
        <v>3634030.2879094002</v>
      </c>
      <c r="M405" s="175">
        <v>3584067.0757203</v>
      </c>
      <c r="N405" s="175">
        <v>4170102.9644018998</v>
      </c>
      <c r="O405" s="175">
        <v>3702059.5731652998</v>
      </c>
      <c r="P405" s="175">
        <v>3809253.8641388998</v>
      </c>
      <c r="Q405" s="175">
        <v>3615984.0325215999</v>
      </c>
      <c r="R405" s="175">
        <v>3588357.3560906998</v>
      </c>
      <c r="S405" s="175">
        <v>3610478.2141871001</v>
      </c>
      <c r="U405" s="175">
        <f t="shared" si="25"/>
        <v>3712764.7128469846</v>
      </c>
    </row>
    <row r="406" spans="1:21">
      <c r="A406" s="183" t="str">
        <f t="shared" si="23"/>
        <v>909</v>
      </c>
      <c r="B406" s="183" t="str">
        <f t="shared" si="24"/>
        <v>909.0</v>
      </c>
      <c r="C406" s="184" t="s">
        <v>1676</v>
      </c>
      <c r="D406" t="s">
        <v>1677</v>
      </c>
      <c r="G406" s="175">
        <v>202970.43</v>
      </c>
      <c r="H406" s="175">
        <v>335519.98</v>
      </c>
      <c r="I406" s="175">
        <v>332866.28000000003</v>
      </c>
      <c r="J406" s="175">
        <v>583801.98</v>
      </c>
      <c r="K406" s="175">
        <v>309218.17</v>
      </c>
      <c r="L406" s="175">
        <v>322337.71154230001</v>
      </c>
      <c r="M406" s="175">
        <v>292878.48</v>
      </c>
      <c r="N406" s="175">
        <v>460886.78</v>
      </c>
      <c r="O406" s="175">
        <v>625506.98</v>
      </c>
      <c r="P406" s="175">
        <v>429116.3</v>
      </c>
      <c r="Q406" s="175">
        <v>396535.78</v>
      </c>
      <c r="R406" s="175">
        <v>193285.98</v>
      </c>
      <c r="S406" s="175">
        <v>153403.5066811</v>
      </c>
      <c r="U406" s="175">
        <f t="shared" si="25"/>
        <v>356794.48909410764</v>
      </c>
    </row>
    <row r="407" spans="1:21">
      <c r="A407" s="183" t="str">
        <f t="shared" si="23"/>
        <v>910</v>
      </c>
      <c r="B407" s="183" t="str">
        <f t="shared" si="24"/>
        <v>910.0</v>
      </c>
      <c r="C407" s="184" t="s">
        <v>1678</v>
      </c>
      <c r="D407" t="s">
        <v>1679</v>
      </c>
      <c r="G407" s="175">
        <v>0</v>
      </c>
      <c r="H407" s="175">
        <v>0</v>
      </c>
      <c r="I407" s="175">
        <v>0</v>
      </c>
      <c r="J407" s="175">
        <v>0</v>
      </c>
      <c r="K407" s="175">
        <v>0</v>
      </c>
      <c r="L407" s="175">
        <v>0</v>
      </c>
      <c r="M407" s="175">
        <v>0</v>
      </c>
      <c r="N407" s="175">
        <v>0</v>
      </c>
      <c r="O407" s="175">
        <v>0</v>
      </c>
      <c r="P407" s="175">
        <v>0</v>
      </c>
      <c r="Q407" s="175">
        <v>0</v>
      </c>
      <c r="R407" s="175">
        <v>0</v>
      </c>
      <c r="S407" s="175">
        <v>0</v>
      </c>
      <c r="U407" s="175">
        <f t="shared" si="25"/>
        <v>0</v>
      </c>
    </row>
    <row r="408" spans="1:21">
      <c r="A408" s="183" t="str">
        <f t="shared" si="23"/>
        <v>911</v>
      </c>
      <c r="B408" s="183" t="str">
        <f t="shared" si="24"/>
        <v>911.0</v>
      </c>
      <c r="C408" s="184" t="s">
        <v>1680</v>
      </c>
      <c r="D408" t="s">
        <v>1681</v>
      </c>
      <c r="G408" s="175">
        <v>0</v>
      </c>
      <c r="H408" s="175">
        <v>0</v>
      </c>
      <c r="I408" s="175">
        <v>0</v>
      </c>
      <c r="J408" s="175">
        <v>0</v>
      </c>
      <c r="K408" s="175">
        <v>0</v>
      </c>
      <c r="L408" s="175">
        <v>0</v>
      </c>
      <c r="M408" s="175">
        <v>0</v>
      </c>
      <c r="N408" s="175">
        <v>0</v>
      </c>
      <c r="O408" s="175">
        <v>0</v>
      </c>
      <c r="P408" s="175">
        <v>0</v>
      </c>
      <c r="Q408" s="175">
        <v>0</v>
      </c>
      <c r="R408" s="175">
        <v>0</v>
      </c>
      <c r="S408" s="175">
        <v>0</v>
      </c>
      <c r="U408" s="175">
        <f t="shared" si="25"/>
        <v>0</v>
      </c>
    </row>
    <row r="409" spans="1:21">
      <c r="A409" s="183" t="str">
        <f t="shared" si="23"/>
        <v>912</v>
      </c>
      <c r="B409" s="183" t="str">
        <f t="shared" si="24"/>
        <v>912.0</v>
      </c>
      <c r="C409" s="184" t="s">
        <v>1682</v>
      </c>
      <c r="D409" t="s">
        <v>1683</v>
      </c>
      <c r="G409" s="175">
        <v>26535</v>
      </c>
      <c r="H409" s="175">
        <v>97997</v>
      </c>
      <c r="I409" s="175">
        <v>10000</v>
      </c>
      <c r="J409" s="175">
        <v>16470</v>
      </c>
      <c r="K409" s="175">
        <v>26647</v>
      </c>
      <c r="L409" s="175">
        <v>11290</v>
      </c>
      <c r="M409" s="175">
        <v>13385</v>
      </c>
      <c r="N409" s="175">
        <v>24197</v>
      </c>
      <c r="O409" s="175">
        <v>11500</v>
      </c>
      <c r="P409" s="175">
        <v>26500</v>
      </c>
      <c r="Q409" s="175">
        <v>54516</v>
      </c>
      <c r="R409" s="175">
        <v>29500</v>
      </c>
      <c r="S409" s="175">
        <v>13000</v>
      </c>
      <c r="U409" s="175">
        <f t="shared" si="25"/>
        <v>27810.538461538461</v>
      </c>
    </row>
    <row r="410" spans="1:21">
      <c r="A410" s="183" t="str">
        <f t="shared" si="23"/>
        <v>913</v>
      </c>
      <c r="B410" s="183" t="str">
        <f t="shared" si="24"/>
        <v>913.0</v>
      </c>
      <c r="C410" s="184" t="s">
        <v>1684</v>
      </c>
      <c r="D410" t="s">
        <v>1685</v>
      </c>
      <c r="G410" s="175">
        <v>121118.73</v>
      </c>
      <c r="H410" s="175">
        <v>0</v>
      </c>
      <c r="I410" s="175">
        <v>0</v>
      </c>
      <c r="J410" s="175">
        <v>0</v>
      </c>
      <c r="K410" s="175">
        <v>0</v>
      </c>
      <c r="L410" s="175">
        <v>0</v>
      </c>
      <c r="M410" s="175">
        <v>0</v>
      </c>
      <c r="N410" s="175">
        <v>0</v>
      </c>
      <c r="O410" s="175">
        <v>0</v>
      </c>
      <c r="P410" s="175">
        <v>0</v>
      </c>
      <c r="Q410" s="175">
        <v>0</v>
      </c>
      <c r="R410" s="175">
        <v>0</v>
      </c>
      <c r="S410" s="175">
        <v>0</v>
      </c>
      <c r="U410" s="175">
        <f t="shared" si="25"/>
        <v>9316.8253846153839</v>
      </c>
    </row>
    <row r="411" spans="1:21">
      <c r="A411" s="183" t="str">
        <f t="shared" si="23"/>
        <v>916</v>
      </c>
      <c r="B411" s="183" t="str">
        <f t="shared" si="24"/>
        <v>916.0</v>
      </c>
      <c r="C411" s="184" t="s">
        <v>1686</v>
      </c>
      <c r="D411" t="s">
        <v>1687</v>
      </c>
      <c r="G411" s="175">
        <v>0</v>
      </c>
      <c r="H411" s="175">
        <v>0</v>
      </c>
      <c r="I411" s="175">
        <v>0</v>
      </c>
      <c r="J411" s="175">
        <v>0</v>
      </c>
      <c r="K411" s="175">
        <v>0</v>
      </c>
      <c r="L411" s="175">
        <v>0</v>
      </c>
      <c r="M411" s="175">
        <v>0</v>
      </c>
      <c r="N411" s="175">
        <v>0</v>
      </c>
      <c r="O411" s="175">
        <v>0</v>
      </c>
      <c r="P411" s="175">
        <v>0</v>
      </c>
      <c r="Q411" s="175">
        <v>0</v>
      </c>
      <c r="R411" s="175">
        <v>0</v>
      </c>
      <c r="S411" s="175">
        <v>0</v>
      </c>
      <c r="U411" s="175">
        <f t="shared" si="25"/>
        <v>0</v>
      </c>
    </row>
    <row r="412" spans="1:21">
      <c r="A412" s="183" t="str">
        <f t="shared" si="23"/>
        <v>920</v>
      </c>
      <c r="B412" s="183" t="str">
        <f t="shared" si="24"/>
        <v>920.0</v>
      </c>
      <c r="C412" s="184" t="s">
        <v>1688</v>
      </c>
      <c r="D412" t="s">
        <v>1689</v>
      </c>
      <c r="G412" s="175">
        <v>4787881.21</v>
      </c>
      <c r="H412" s="175">
        <v>6684501.8748313999</v>
      </c>
      <c r="I412" s="175">
        <v>6317414.1171209998</v>
      </c>
      <c r="J412" s="175">
        <v>6220582.5432406003</v>
      </c>
      <c r="K412" s="175">
        <v>6500562.2975530997</v>
      </c>
      <c r="L412" s="175">
        <v>6708872.5634898003</v>
      </c>
      <c r="M412" s="175">
        <v>6061170.1434749002</v>
      </c>
      <c r="N412" s="175">
        <v>6765053.1784950998</v>
      </c>
      <c r="O412" s="175">
        <v>6594480.5406448999</v>
      </c>
      <c r="P412" s="175">
        <v>6304554.9419245003</v>
      </c>
      <c r="Q412" s="175">
        <v>6753895.6714754999</v>
      </c>
      <c r="R412" s="175">
        <v>6340865.9639210999</v>
      </c>
      <c r="S412" s="175">
        <v>6524414.9561860999</v>
      </c>
      <c r="U412" s="175">
        <f t="shared" si="25"/>
        <v>6351096.1540275384</v>
      </c>
    </row>
    <row r="413" spans="1:21">
      <c r="A413" s="183" t="str">
        <f t="shared" si="23"/>
        <v>921</v>
      </c>
      <c r="B413" s="183" t="str">
        <f t="shared" si="24"/>
        <v>921.0</v>
      </c>
      <c r="C413" s="184" t="s">
        <v>1690</v>
      </c>
      <c r="D413" t="s">
        <v>1691</v>
      </c>
      <c r="G413" s="175">
        <v>602093.14</v>
      </c>
      <c r="H413" s="175">
        <v>688431.51283470006</v>
      </c>
      <c r="I413" s="175">
        <v>402135.05076670001</v>
      </c>
      <c r="J413" s="175">
        <v>587114.32166669995</v>
      </c>
      <c r="K413" s="175">
        <v>615786.31096669997</v>
      </c>
      <c r="L413" s="175">
        <v>389968.1854667</v>
      </c>
      <c r="M413" s="175">
        <v>561169.15766669996</v>
      </c>
      <c r="N413" s="175">
        <v>577475.78766669997</v>
      </c>
      <c r="O413" s="175">
        <v>383670.76066670002</v>
      </c>
      <c r="P413" s="175">
        <v>458636.62766669999</v>
      </c>
      <c r="Q413" s="175">
        <v>603499.08166669996</v>
      </c>
      <c r="R413" s="175">
        <v>411731.77266670001</v>
      </c>
      <c r="S413" s="175">
        <v>561693.60566670005</v>
      </c>
      <c r="U413" s="175">
        <f t="shared" si="25"/>
        <v>526415.7934898769</v>
      </c>
    </row>
    <row r="414" spans="1:21">
      <c r="A414" s="183" t="str">
        <f t="shared" si="23"/>
        <v>922</v>
      </c>
      <c r="B414" s="183" t="str">
        <f t="shared" si="24"/>
        <v>922.0</v>
      </c>
      <c r="C414" s="184" t="s">
        <v>1692</v>
      </c>
      <c r="D414" t="s">
        <v>1693</v>
      </c>
      <c r="G414" s="175">
        <v>-4759914.6399999997</v>
      </c>
      <c r="H414" s="175">
        <v>-4919996.2021065997</v>
      </c>
      <c r="I414" s="175">
        <v>-4737751.6986606</v>
      </c>
      <c r="J414" s="175">
        <v>-5016839.8149931002</v>
      </c>
      <c r="K414" s="175">
        <v>-4894033.2973223003</v>
      </c>
      <c r="L414" s="175">
        <v>-4859809.9234923003</v>
      </c>
      <c r="M414" s="175">
        <v>-4926983.4058875004</v>
      </c>
      <c r="N414" s="175">
        <v>-5020883.6103910003</v>
      </c>
      <c r="O414" s="175">
        <v>-4853309.0005270001</v>
      </c>
      <c r="P414" s="175">
        <v>-4959169.9694357002</v>
      </c>
      <c r="Q414" s="175">
        <v>-4939508.0585701996</v>
      </c>
      <c r="R414" s="175">
        <v>-4800999.7301706001</v>
      </c>
      <c r="S414" s="175">
        <v>-5001705.4754798003</v>
      </c>
      <c r="U414" s="175">
        <f t="shared" si="25"/>
        <v>-4899300.3713105153</v>
      </c>
    </row>
    <row r="415" spans="1:21">
      <c r="A415" s="183" t="str">
        <f t="shared" si="23"/>
        <v>923</v>
      </c>
      <c r="B415" s="183" t="str">
        <f t="shared" si="24"/>
        <v>923.0</v>
      </c>
      <c r="C415" s="184" t="s">
        <v>1694</v>
      </c>
      <c r="D415" t="s">
        <v>1695</v>
      </c>
      <c r="G415" s="175">
        <v>2875031.87</v>
      </c>
      <c r="H415" s="175">
        <v>3282226.4087383002</v>
      </c>
      <c r="I415" s="175">
        <v>2501735.3273836002</v>
      </c>
      <c r="J415" s="175">
        <v>2883184.9942866</v>
      </c>
      <c r="K415" s="175">
        <v>2756632.2862165999</v>
      </c>
      <c r="L415" s="175">
        <v>2743830.3535023001</v>
      </c>
      <c r="M415" s="175">
        <v>2824254.4956022999</v>
      </c>
      <c r="N415" s="175">
        <v>3135338.5440166001</v>
      </c>
      <c r="O415" s="175">
        <v>2689362.3905023001</v>
      </c>
      <c r="P415" s="175">
        <v>2867678.0771690002</v>
      </c>
      <c r="Q415" s="175">
        <v>2766810.6962166</v>
      </c>
      <c r="R415" s="175">
        <v>2642511.4105023001</v>
      </c>
      <c r="S415" s="175">
        <v>2931479.9405022999</v>
      </c>
      <c r="U415" s="175">
        <f t="shared" si="25"/>
        <v>2838467.4457414467</v>
      </c>
    </row>
    <row r="416" spans="1:21">
      <c r="A416" s="183" t="str">
        <f t="shared" si="23"/>
        <v>924</v>
      </c>
      <c r="B416" s="183" t="str">
        <f t="shared" si="24"/>
        <v>924.0</v>
      </c>
      <c r="C416" s="184" t="s">
        <v>1696</v>
      </c>
      <c r="D416" t="s">
        <v>1697</v>
      </c>
      <c r="G416" s="175">
        <v>10152316.01</v>
      </c>
      <c r="H416" s="175">
        <v>3288732.52</v>
      </c>
      <c r="I416" s="175">
        <v>3105824.22</v>
      </c>
      <c r="J416" s="175">
        <v>3322750.9787738998</v>
      </c>
      <c r="K416" s="175">
        <v>3432227.38</v>
      </c>
      <c r="L416" s="175">
        <v>3719897.14</v>
      </c>
      <c r="M416" s="175">
        <v>4180729.26</v>
      </c>
      <c r="N416" s="175">
        <v>4360334.7699999996</v>
      </c>
      <c r="O416" s="175">
        <v>4343978.6399999997</v>
      </c>
      <c r="P416" s="175">
        <v>4421453.0599999996</v>
      </c>
      <c r="Q416" s="175">
        <v>4039851.62</v>
      </c>
      <c r="R416" s="175">
        <v>3583194.4</v>
      </c>
      <c r="S416" s="175">
        <v>3436377.89</v>
      </c>
      <c r="U416" s="175">
        <f t="shared" si="25"/>
        <v>4260589.8375979923</v>
      </c>
    </row>
    <row r="417" spans="1:21">
      <c r="A417" s="183" t="str">
        <f t="shared" si="23"/>
        <v>925</v>
      </c>
      <c r="B417" s="183" t="str">
        <f t="shared" si="24"/>
        <v>925.0</v>
      </c>
      <c r="C417" s="184" t="s">
        <v>1698</v>
      </c>
      <c r="D417" t="s">
        <v>1699</v>
      </c>
      <c r="G417" s="175">
        <v>2225195.9700000002</v>
      </c>
      <c r="H417" s="175">
        <v>1748488.4747293</v>
      </c>
      <c r="I417" s="175">
        <v>1748488.4681420999</v>
      </c>
      <c r="J417" s="175">
        <v>1751806.2731421001</v>
      </c>
      <c r="K417" s="175">
        <v>1748488.4681420999</v>
      </c>
      <c r="L417" s="175">
        <v>1748529.0730214</v>
      </c>
      <c r="M417" s="175">
        <v>1834835.6658493001</v>
      </c>
      <c r="N417" s="175">
        <v>1831517.9481420999</v>
      </c>
      <c r="O417" s="175">
        <v>1835897.7681421</v>
      </c>
      <c r="P417" s="175">
        <v>1839215.6331420999</v>
      </c>
      <c r="Q417" s="175">
        <v>1835897.8281421</v>
      </c>
      <c r="R417" s="175">
        <v>1835897.8281421</v>
      </c>
      <c r="S417" s="175">
        <v>2448313.9910006998</v>
      </c>
      <c r="U417" s="175">
        <f t="shared" si="25"/>
        <v>1879428.7222875</v>
      </c>
    </row>
    <row r="418" spans="1:21">
      <c r="A418" s="183" t="str">
        <f t="shared" si="23"/>
        <v>926</v>
      </c>
      <c r="B418" s="183" t="str">
        <f t="shared" si="24"/>
        <v>926.0</v>
      </c>
      <c r="C418" s="184" t="s">
        <v>1700</v>
      </c>
      <c r="D418" t="s">
        <v>1701</v>
      </c>
      <c r="G418" s="175">
        <v>2064381.41</v>
      </c>
      <c r="H418" s="175">
        <v>2399972.2373072999</v>
      </c>
      <c r="I418" s="175">
        <v>2571995.8463296001</v>
      </c>
      <c r="J418" s="175">
        <v>5008649.8246294996</v>
      </c>
      <c r="K418" s="175">
        <v>2383142.1636681999</v>
      </c>
      <c r="L418" s="175">
        <v>2258407.6277906001</v>
      </c>
      <c r="M418" s="175">
        <v>5085078.1464560004</v>
      </c>
      <c r="N418" s="175">
        <v>2214892.8410589001</v>
      </c>
      <c r="O418" s="175">
        <v>2329784.6115263002</v>
      </c>
      <c r="P418" s="175">
        <v>4918211.2732766997</v>
      </c>
      <c r="Q418" s="175">
        <v>2216459.2549908999</v>
      </c>
      <c r="R418" s="175">
        <v>2495157.7780399998</v>
      </c>
      <c r="S418" s="175">
        <v>4847441.3870545002</v>
      </c>
      <c r="U418" s="175">
        <f t="shared" si="25"/>
        <v>3137967.261702192</v>
      </c>
    </row>
    <row r="419" spans="1:21">
      <c r="A419" s="183" t="str">
        <f t="shared" si="23"/>
        <v>927</v>
      </c>
      <c r="B419" s="183" t="str">
        <f t="shared" si="24"/>
        <v>927.0</v>
      </c>
      <c r="C419" s="184" t="s">
        <v>1702</v>
      </c>
      <c r="D419" t="s">
        <v>1703</v>
      </c>
      <c r="G419" s="175">
        <v>0</v>
      </c>
      <c r="H419" s="175">
        <v>0</v>
      </c>
      <c r="I419" s="175">
        <v>0</v>
      </c>
      <c r="J419" s="175">
        <v>0</v>
      </c>
      <c r="K419" s="175">
        <v>0</v>
      </c>
      <c r="L419" s="175">
        <v>0</v>
      </c>
      <c r="M419" s="175">
        <v>0</v>
      </c>
      <c r="N419" s="175">
        <v>0</v>
      </c>
      <c r="O419" s="175">
        <v>0</v>
      </c>
      <c r="P419" s="175">
        <v>0</v>
      </c>
      <c r="Q419" s="175">
        <v>0</v>
      </c>
      <c r="R419" s="175">
        <v>0</v>
      </c>
      <c r="S419" s="175">
        <v>0</v>
      </c>
      <c r="U419" s="175">
        <f t="shared" si="25"/>
        <v>0</v>
      </c>
    </row>
    <row r="420" spans="1:21">
      <c r="A420" s="183" t="str">
        <f t="shared" si="23"/>
        <v>928</v>
      </c>
      <c r="B420" s="183" t="str">
        <f t="shared" si="24"/>
        <v>928.0</v>
      </c>
      <c r="C420" s="184" t="s">
        <v>1704</v>
      </c>
      <c r="D420" t="s">
        <v>1705</v>
      </c>
      <c r="G420" s="175">
        <v>213447.83</v>
      </c>
      <c r="H420" s="175">
        <v>76763.935400500006</v>
      </c>
      <c r="I420" s="175">
        <v>76763.935400500006</v>
      </c>
      <c r="J420" s="175">
        <v>76763.935400500006</v>
      </c>
      <c r="K420" s="175">
        <v>76763.935400500006</v>
      </c>
      <c r="L420" s="175">
        <v>76763.935400500006</v>
      </c>
      <c r="M420" s="175">
        <v>76763.935400500006</v>
      </c>
      <c r="N420" s="175">
        <v>76763.935400500006</v>
      </c>
      <c r="O420" s="175">
        <v>76763.935400500006</v>
      </c>
      <c r="P420" s="175">
        <v>76763.935400500006</v>
      </c>
      <c r="Q420" s="175">
        <v>76763.935400500006</v>
      </c>
      <c r="R420" s="175">
        <v>86763.935400500006</v>
      </c>
      <c r="S420" s="175">
        <v>86763.935400500006</v>
      </c>
      <c r="U420" s="175">
        <f t="shared" si="25"/>
        <v>88816.542677384597</v>
      </c>
    </row>
    <row r="421" spans="1:21">
      <c r="A421" s="183" t="str">
        <f t="shared" si="23"/>
        <v>929</v>
      </c>
      <c r="B421" s="183" t="str">
        <f t="shared" si="24"/>
        <v>929.0</v>
      </c>
      <c r="C421" s="184" t="s">
        <v>1706</v>
      </c>
      <c r="D421" t="s">
        <v>1707</v>
      </c>
      <c r="G421" s="175">
        <v>0</v>
      </c>
      <c r="H421" s="175">
        <v>0</v>
      </c>
      <c r="I421" s="175">
        <v>0</v>
      </c>
      <c r="J421" s="175">
        <v>0</v>
      </c>
      <c r="K421" s="175">
        <v>0</v>
      </c>
      <c r="L421" s="175">
        <v>0</v>
      </c>
      <c r="M421" s="175">
        <v>0</v>
      </c>
      <c r="N421" s="175">
        <v>0</v>
      </c>
      <c r="O421" s="175">
        <v>0</v>
      </c>
      <c r="P421" s="175">
        <v>0</v>
      </c>
      <c r="Q421" s="175">
        <v>0</v>
      </c>
      <c r="R421" s="175">
        <v>0</v>
      </c>
      <c r="S421" s="175">
        <v>0</v>
      </c>
      <c r="U421" s="175">
        <f t="shared" si="25"/>
        <v>0</v>
      </c>
    </row>
    <row r="422" spans="1:21">
      <c r="A422" s="183" t="str">
        <f t="shared" si="23"/>
        <v>930</v>
      </c>
      <c r="B422" s="183" t="str">
        <f t="shared" si="24"/>
        <v>930.1</v>
      </c>
      <c r="C422" s="184" t="s">
        <v>1708</v>
      </c>
      <c r="D422" t="s">
        <v>1709</v>
      </c>
      <c r="G422" s="175">
        <v>913.02</v>
      </c>
      <c r="H422" s="175">
        <v>2333.3333333</v>
      </c>
      <c r="I422" s="175">
        <v>2333.3333333</v>
      </c>
      <c r="J422" s="175">
        <v>2333.3333333</v>
      </c>
      <c r="K422" s="175">
        <v>2333.3333333</v>
      </c>
      <c r="L422" s="175">
        <v>2333.3333333</v>
      </c>
      <c r="M422" s="175">
        <v>82333.333333300005</v>
      </c>
      <c r="N422" s="175">
        <v>2333.3333333</v>
      </c>
      <c r="O422" s="175">
        <v>2333.3333333</v>
      </c>
      <c r="P422" s="175">
        <v>2333.3333333</v>
      </c>
      <c r="Q422" s="175">
        <v>2333.3333333</v>
      </c>
      <c r="R422" s="175">
        <v>2333.3333333</v>
      </c>
      <c r="S422" s="175">
        <v>2333.3333333</v>
      </c>
      <c r="U422" s="175">
        <f t="shared" si="25"/>
        <v>8377.9246153538479</v>
      </c>
    </row>
    <row r="423" spans="1:21">
      <c r="A423" s="183" t="str">
        <f t="shared" si="23"/>
        <v>930</v>
      </c>
      <c r="B423" s="183" t="str">
        <f t="shared" si="24"/>
        <v>930.2</v>
      </c>
      <c r="C423" s="184" t="s">
        <v>1710</v>
      </c>
      <c r="D423" t="s">
        <v>1711</v>
      </c>
      <c r="G423" s="175">
        <v>1987424.57</v>
      </c>
      <c r="H423" s="175">
        <v>1598888.4594676001</v>
      </c>
      <c r="I423" s="175">
        <v>1020811.9718749</v>
      </c>
      <c r="J423" s="175">
        <v>2424629.6478507002</v>
      </c>
      <c r="K423" s="175">
        <v>1051862.8512075001</v>
      </c>
      <c r="L423" s="175">
        <v>1028770.8800716</v>
      </c>
      <c r="M423" s="175">
        <v>2315454.6449199999</v>
      </c>
      <c r="N423" s="175">
        <v>1009527.9597392</v>
      </c>
      <c r="O423" s="175">
        <v>1020209.8743646001</v>
      </c>
      <c r="P423" s="175">
        <v>2444205.5018206998</v>
      </c>
      <c r="Q423" s="175">
        <v>1080846.9597392001</v>
      </c>
      <c r="R423" s="175">
        <v>1012435.7889903</v>
      </c>
      <c r="S423" s="175">
        <v>2176897.8939887001</v>
      </c>
      <c r="U423" s="175">
        <f t="shared" si="25"/>
        <v>1551689.7695411539</v>
      </c>
    </row>
    <row r="424" spans="1:21">
      <c r="A424" s="183" t="str">
        <f t="shared" si="23"/>
        <v>931</v>
      </c>
      <c r="B424" s="183" t="str">
        <f t="shared" si="24"/>
        <v>931.0</v>
      </c>
      <c r="C424" s="184" t="s">
        <v>1712</v>
      </c>
      <c r="D424" t="s">
        <v>1713</v>
      </c>
      <c r="G424" s="175">
        <v>136294.17000000001</v>
      </c>
      <c r="H424" s="175">
        <v>154922.79</v>
      </c>
      <c r="I424" s="175">
        <v>154922.79</v>
      </c>
      <c r="J424" s="175">
        <v>154922.79</v>
      </c>
      <c r="K424" s="175">
        <v>154922.79</v>
      </c>
      <c r="L424" s="175">
        <v>154922.79</v>
      </c>
      <c r="M424" s="175">
        <v>154922.79</v>
      </c>
      <c r="N424" s="175">
        <v>154922.79</v>
      </c>
      <c r="O424" s="175">
        <v>154922.79</v>
      </c>
      <c r="P424" s="175">
        <v>154922.79</v>
      </c>
      <c r="Q424" s="175">
        <v>154922.79</v>
      </c>
      <c r="R424" s="175">
        <v>154922.79</v>
      </c>
      <c r="S424" s="175">
        <v>154922.79</v>
      </c>
      <c r="U424" s="175">
        <f t="shared" si="25"/>
        <v>153489.81923076927</v>
      </c>
    </row>
    <row r="425" spans="1:21">
      <c r="A425" s="183" t="str">
        <f t="shared" si="23"/>
        <v>932</v>
      </c>
      <c r="B425" s="183" t="str">
        <f t="shared" si="24"/>
        <v>932.0</v>
      </c>
      <c r="C425" s="184" t="s">
        <v>1714</v>
      </c>
      <c r="D425" t="s">
        <v>1715</v>
      </c>
      <c r="G425" s="175">
        <v>0</v>
      </c>
      <c r="H425" s="175">
        <v>0</v>
      </c>
      <c r="I425" s="175">
        <v>0</v>
      </c>
      <c r="J425" s="175">
        <v>0</v>
      </c>
      <c r="K425" s="175">
        <v>0</v>
      </c>
      <c r="L425" s="175">
        <v>0</v>
      </c>
      <c r="M425" s="175">
        <v>0</v>
      </c>
      <c r="N425" s="175">
        <v>0</v>
      </c>
      <c r="O425" s="175">
        <v>0</v>
      </c>
      <c r="P425" s="175">
        <v>0</v>
      </c>
      <c r="Q425" s="175">
        <v>0</v>
      </c>
      <c r="R425" s="175">
        <v>0</v>
      </c>
      <c r="S425" s="175">
        <v>0</v>
      </c>
      <c r="U425" s="175">
        <f t="shared" si="25"/>
        <v>0</v>
      </c>
    </row>
    <row r="426" spans="1:21">
      <c r="A426" s="183" t="str">
        <f t="shared" si="23"/>
        <v>935</v>
      </c>
      <c r="B426" s="183" t="str">
        <f t="shared" si="24"/>
        <v>935.0</v>
      </c>
      <c r="C426" s="184" t="s">
        <v>1716</v>
      </c>
      <c r="D426" t="s">
        <v>1717</v>
      </c>
      <c r="G426" s="175">
        <v>44326.13</v>
      </c>
      <c r="H426" s="175">
        <v>205733.2447413</v>
      </c>
      <c r="I426" s="175">
        <v>167243.30072850001</v>
      </c>
      <c r="J426" s="175">
        <v>152358.97072849999</v>
      </c>
      <c r="K426" s="175">
        <v>163058.31426899999</v>
      </c>
      <c r="L426" s="175">
        <v>166135.64916860001</v>
      </c>
      <c r="M426" s="175">
        <v>153326.0122007</v>
      </c>
      <c r="N426" s="175">
        <v>231503.53357699999</v>
      </c>
      <c r="O426" s="175">
        <v>162574.0298163</v>
      </c>
      <c r="P426" s="175">
        <v>157949.5260557</v>
      </c>
      <c r="Q426" s="175">
        <v>174383.53357699999</v>
      </c>
      <c r="R426" s="175">
        <v>157950.5260557</v>
      </c>
      <c r="S426" s="175">
        <v>162582.93025999999</v>
      </c>
      <c r="U426" s="175">
        <f t="shared" si="25"/>
        <v>161471.20778294612</v>
      </c>
    </row>
    <row r="427" spans="1:21">
      <c r="A427" s="183"/>
      <c r="B427" s="183"/>
      <c r="C427" s="184"/>
    </row>
    <row r="428" spans="1:21" hidden="1">
      <c r="A428" s="181"/>
      <c r="B428" s="181"/>
    </row>
    <row r="429" spans="1:21" hidden="1"/>
    <row r="430" spans="1:21" hidden="1"/>
    <row r="431" spans="1:21" hidden="1"/>
    <row r="432" spans="1:21" hidden="1"/>
    <row r="433" spans="1:21" hidden="1"/>
    <row r="434" spans="1:21" hidden="1"/>
    <row r="435" spans="1:21" hidden="1"/>
    <row r="436" spans="1:21" hidden="1"/>
    <row r="437" spans="1:21" hidden="1">
      <c r="A437" s="181"/>
      <c r="B437" s="181"/>
    </row>
    <row r="438" spans="1:21" hidden="1">
      <c r="G438"/>
      <c r="H438"/>
      <c r="I438"/>
      <c r="J438"/>
      <c r="K438"/>
      <c r="L438"/>
      <c r="M438"/>
      <c r="N438"/>
      <c r="O438"/>
      <c r="P438"/>
      <c r="Q438"/>
      <c r="R438"/>
      <c r="S438"/>
      <c r="T438"/>
      <c r="U438"/>
    </row>
    <row r="439" spans="1:21" hidden="1">
      <c r="G439"/>
      <c r="H439"/>
      <c r="I439"/>
      <c r="J439"/>
      <c r="K439"/>
      <c r="L439"/>
      <c r="M439"/>
      <c r="N439"/>
      <c r="O439"/>
      <c r="P439"/>
      <c r="Q439"/>
      <c r="R439"/>
      <c r="S439"/>
      <c r="T439"/>
      <c r="U439"/>
    </row>
    <row r="440" spans="1:21" hidden="1">
      <c r="G440"/>
      <c r="H440"/>
      <c r="I440"/>
      <c r="J440"/>
      <c r="K440"/>
      <c r="L440"/>
      <c r="M440"/>
      <c r="N440"/>
      <c r="O440"/>
      <c r="P440"/>
      <c r="Q440"/>
      <c r="R440"/>
      <c r="S440"/>
      <c r="T440"/>
      <c r="U440"/>
    </row>
    <row r="441" spans="1:21" hidden="1">
      <c r="G441"/>
    </row>
    <row r="442" spans="1:21" hidden="1">
      <c r="G442"/>
    </row>
    <row r="443" spans="1:21" hidden="1">
      <c r="G443"/>
    </row>
    <row r="444" spans="1:21" hidden="1">
      <c r="A444" s="181"/>
      <c r="B444" s="181"/>
      <c r="G444"/>
    </row>
    <row r="445" spans="1:21" hidden="1">
      <c r="A445" s="181"/>
      <c r="B445" s="181"/>
      <c r="G445"/>
    </row>
    <row r="446" spans="1:21" hidden="1">
      <c r="A446" s="181"/>
      <c r="B446" s="181"/>
      <c r="G446"/>
    </row>
    <row r="447" spans="1:21" hidden="1">
      <c r="A447" s="181"/>
      <c r="B447" s="181"/>
      <c r="G447"/>
    </row>
    <row r="448" spans="1:21" hidden="1">
      <c r="A448" s="181"/>
      <c r="B448" s="181"/>
      <c r="G448"/>
    </row>
    <row r="449" spans="1:7" hidden="1">
      <c r="A449" s="181"/>
      <c r="B449" s="181"/>
      <c r="G449"/>
    </row>
    <row r="450" spans="1:7" hidden="1">
      <c r="A450" s="181"/>
      <c r="B450" s="181"/>
      <c r="G450"/>
    </row>
    <row r="451" spans="1:7" hidden="1">
      <c r="A451" s="181"/>
      <c r="B451" s="181"/>
      <c r="G451"/>
    </row>
    <row r="452" spans="1:7" hidden="1">
      <c r="A452" s="181"/>
      <c r="B452" s="181"/>
      <c r="G452"/>
    </row>
    <row r="453" spans="1:7" hidden="1">
      <c r="A453" s="181"/>
      <c r="B453" s="181"/>
      <c r="G453"/>
    </row>
    <row r="454" spans="1:7" hidden="1">
      <c r="A454" s="181"/>
      <c r="B454" s="181"/>
    </row>
    <row r="455" spans="1:7" hidden="1">
      <c r="A455" s="181"/>
      <c r="B455" s="181"/>
    </row>
    <row r="456" spans="1:7" hidden="1">
      <c r="A456" s="181"/>
      <c r="B456" s="181"/>
    </row>
    <row r="457" spans="1:7" hidden="1"/>
    <row r="458" spans="1:7" hidden="1"/>
    <row r="459" spans="1:7" hidden="1"/>
    <row r="460" spans="1:7" hidden="1"/>
    <row r="461" spans="1:7" hidden="1"/>
    <row r="462" spans="1:7" hidden="1"/>
    <row r="463" spans="1:7" hidden="1"/>
    <row r="464" spans="1:7"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spans="1:21" hidden="1"/>
    <row r="498" spans="1:21" hidden="1"/>
    <row r="499" spans="1:21" hidden="1"/>
    <row r="501" spans="1:21">
      <c r="A501" s="181"/>
      <c r="B501" s="181"/>
      <c r="C501" t="s">
        <v>1718</v>
      </c>
      <c r="D501" t="s">
        <v>1719</v>
      </c>
      <c r="G501" s="175">
        <v>111138803.81</v>
      </c>
      <c r="H501" s="175">
        <v>111306456.08</v>
      </c>
      <c r="I501" s="175">
        <v>111564417.08</v>
      </c>
      <c r="J501" s="175">
        <v>111828622.08</v>
      </c>
      <c r="K501" s="175">
        <v>112156332.08</v>
      </c>
      <c r="L501" s="175">
        <v>112531404.08</v>
      </c>
      <c r="M501" s="175">
        <v>112979008.08</v>
      </c>
      <c r="N501" s="175">
        <v>113520632.08</v>
      </c>
      <c r="O501" s="175">
        <v>114134450.08</v>
      </c>
      <c r="P501" s="175">
        <v>115732968.08</v>
      </c>
      <c r="Q501" s="175">
        <v>116449463.08</v>
      </c>
      <c r="R501" s="175">
        <v>117239733.08</v>
      </c>
      <c r="S501" s="175">
        <v>117987584.08</v>
      </c>
      <c r="U501" s="175">
        <f t="shared" ref="U501:U508" si="26">AVERAGE(G501:S501)</f>
        <v>113736144.13615385</v>
      </c>
    </row>
    <row r="502" spans="1:21">
      <c r="A502" s="181"/>
      <c r="B502" s="530">
        <v>1900610</v>
      </c>
      <c r="C502" s="531"/>
      <c r="D502" s="531" t="s">
        <v>1720</v>
      </c>
      <c r="G502" s="175">
        <v>-66709310.520000003</v>
      </c>
      <c r="H502" s="175">
        <v>-66519977.759999998</v>
      </c>
      <c r="I502" s="175">
        <v>-66407846.759999998</v>
      </c>
      <c r="J502" s="175">
        <v>-66218329.759999998</v>
      </c>
      <c r="K502" s="175">
        <v>-66028812.759999998</v>
      </c>
      <c r="L502" s="175">
        <v>-65839295.759999998</v>
      </c>
      <c r="M502" s="175">
        <v>-65649778.759999998</v>
      </c>
      <c r="N502" s="175">
        <v>-65460261.759999998</v>
      </c>
      <c r="O502" s="175">
        <v>-65270744.759999998</v>
      </c>
      <c r="P502" s="175">
        <v>-66622999.759999998</v>
      </c>
      <c r="Q502" s="175">
        <v>-66420634.759999998</v>
      </c>
      <c r="R502" s="175">
        <v>-66218269.759999998</v>
      </c>
      <c r="S502" s="175">
        <v>-66015901.759999998</v>
      </c>
      <c r="U502" s="175">
        <f t="shared" si="26"/>
        <v>-66106320.356923074</v>
      </c>
    </row>
    <row r="503" spans="1:21">
      <c r="A503" s="181"/>
      <c r="B503" s="181"/>
      <c r="C503" s="128">
        <v>2540610</v>
      </c>
      <c r="D503" t="s">
        <v>1721</v>
      </c>
      <c r="G503" s="175">
        <v>476702076.82999998</v>
      </c>
      <c r="H503" s="175">
        <v>473537620.86000001</v>
      </c>
      <c r="I503" s="175">
        <v>470450365.86000001</v>
      </c>
      <c r="J503" s="175">
        <v>474297900.86000001</v>
      </c>
      <c r="K503" s="175">
        <v>471133260.86000001</v>
      </c>
      <c r="L503" s="175">
        <v>467968620.86000001</v>
      </c>
      <c r="M503" s="175">
        <v>464680067.86000001</v>
      </c>
      <c r="N503" s="175">
        <v>461515426.86000001</v>
      </c>
      <c r="O503" s="175">
        <v>458350786.86000001</v>
      </c>
      <c r="P503" s="175">
        <v>445634452.86000001</v>
      </c>
      <c r="Q503" s="175">
        <v>442456963.86000001</v>
      </c>
      <c r="R503" s="175">
        <v>439279474.86000001</v>
      </c>
      <c r="S503" s="175">
        <v>440307185.86000001</v>
      </c>
      <c r="U503" s="175">
        <f t="shared" si="26"/>
        <v>460485708.08846152</v>
      </c>
    </row>
    <row r="504" spans="1:21">
      <c r="A504" s="181"/>
      <c r="B504" s="530">
        <v>2820610</v>
      </c>
      <c r="C504" s="531"/>
      <c r="D504" s="531" t="s">
        <v>1722</v>
      </c>
      <c r="G504" s="175">
        <v>-222922291.34999999</v>
      </c>
      <c r="H504" s="175">
        <v>-220576052.05000001</v>
      </c>
      <c r="I504" s="175">
        <v>-218162392.05000001</v>
      </c>
      <c r="J504" s="175">
        <v>-220979011.05000001</v>
      </c>
      <c r="K504" s="175">
        <v>-218513281.05000001</v>
      </c>
      <c r="L504" s="175">
        <v>-216012193.05000001</v>
      </c>
      <c r="M504" s="175">
        <v>-213364448.05000001</v>
      </c>
      <c r="N504" s="175">
        <v>-210739020.05000001</v>
      </c>
      <c r="O504" s="175">
        <v>-208059695.05000001</v>
      </c>
      <c r="P504" s="175">
        <v>-196363416.05000001</v>
      </c>
      <c r="Q504" s="175">
        <v>-193607438.05000001</v>
      </c>
      <c r="R504" s="175">
        <v>-190796383.05000001</v>
      </c>
      <c r="S504" s="175">
        <v>-191156390.05000001</v>
      </c>
      <c r="U504" s="175">
        <f t="shared" si="26"/>
        <v>-209327077.76538464</v>
      </c>
    </row>
    <row r="505" spans="1:21">
      <c r="A505" s="181"/>
      <c r="B505" s="530">
        <v>2830610</v>
      </c>
      <c r="C505" s="531"/>
      <c r="D505" s="531" t="s">
        <v>1723</v>
      </c>
      <c r="G505" s="175">
        <v>-75931671.549999997</v>
      </c>
      <c r="H505" s="175">
        <v>-75135135.969999999</v>
      </c>
      <c r="I505" s="175">
        <v>-74315709.969999999</v>
      </c>
      <c r="J505" s="175">
        <v>-75271937.969999999</v>
      </c>
      <c r="K505" s="175">
        <v>-74434834.969999999</v>
      </c>
      <c r="L505" s="175">
        <v>-73585727.969999999</v>
      </c>
      <c r="M505" s="175">
        <v>-72686832.969999999</v>
      </c>
      <c r="N505" s="175">
        <v>-71795512.969999999</v>
      </c>
      <c r="O505" s="175">
        <v>-70885895.969999999</v>
      </c>
      <c r="P505" s="175">
        <v>-66915067.969999999</v>
      </c>
      <c r="Q505" s="175">
        <v>-65979426.969999999</v>
      </c>
      <c r="R505" s="175">
        <v>-65025087.969999999</v>
      </c>
      <c r="S505" s="175">
        <v>-65147308.969999999</v>
      </c>
      <c r="U505" s="175">
        <f t="shared" si="26"/>
        <v>-71316165.553076938</v>
      </c>
    </row>
    <row r="506" spans="1:21">
      <c r="A506" t="s">
        <v>1724</v>
      </c>
      <c r="B506" s="189" t="s">
        <v>1724</v>
      </c>
      <c r="D506" t="s">
        <v>1725</v>
      </c>
      <c r="G506" s="175">
        <v>0</v>
      </c>
      <c r="H506" s="175">
        <v>0</v>
      </c>
      <c r="I506" s="175">
        <v>0</v>
      </c>
      <c r="J506" s="175">
        <v>0</v>
      </c>
      <c r="K506" s="175">
        <v>0</v>
      </c>
      <c r="L506" s="175">
        <v>0</v>
      </c>
      <c r="M506" s="175">
        <v>0</v>
      </c>
      <c r="N506" s="175">
        <v>0</v>
      </c>
      <c r="O506" s="175">
        <v>0</v>
      </c>
      <c r="P506" s="175">
        <v>0</v>
      </c>
      <c r="Q506" s="175">
        <v>0</v>
      </c>
      <c r="R506" s="175">
        <v>0</v>
      </c>
      <c r="S506" s="175">
        <v>0</v>
      </c>
      <c r="U506" s="175">
        <f t="shared" si="26"/>
        <v>0</v>
      </c>
    </row>
    <row r="507" spans="1:21">
      <c r="A507" t="s">
        <v>1726</v>
      </c>
      <c r="B507" s="190" t="s">
        <v>1726</v>
      </c>
      <c r="D507" t="s">
        <v>1727</v>
      </c>
      <c r="G507" s="175">
        <v>0</v>
      </c>
      <c r="H507" s="175">
        <v>0</v>
      </c>
      <c r="I507" s="175">
        <v>0</v>
      </c>
      <c r="J507" s="175">
        <v>0</v>
      </c>
      <c r="K507" s="175">
        <v>0</v>
      </c>
      <c r="L507" s="175">
        <v>0</v>
      </c>
      <c r="M507" s="175">
        <v>0</v>
      </c>
      <c r="N507" s="175">
        <v>0</v>
      </c>
      <c r="O507" s="175">
        <v>0</v>
      </c>
      <c r="P507" s="175">
        <v>0</v>
      </c>
      <c r="Q507" s="175">
        <v>0</v>
      </c>
      <c r="R507" s="175">
        <v>0</v>
      </c>
      <c r="S507" s="175">
        <v>0</v>
      </c>
      <c r="U507" s="175">
        <f t="shared" si="26"/>
        <v>0</v>
      </c>
    </row>
    <row r="508" spans="1:21">
      <c r="A508" t="s">
        <v>1728</v>
      </c>
      <c r="B508" s="190" t="s">
        <v>1728</v>
      </c>
      <c r="D508" t="s">
        <v>1729</v>
      </c>
      <c r="G508">
        <v>-14616289.719999999</v>
      </c>
      <c r="H508">
        <v>-15002721.719999999</v>
      </c>
      <c r="I508">
        <v>-15421298.719999999</v>
      </c>
      <c r="J508">
        <v>-5051082.72</v>
      </c>
      <c r="K508">
        <v>-666721.71999999927</v>
      </c>
      <c r="L508">
        <v>-1062460.7199999993</v>
      </c>
      <c r="M508">
        <v>273763.28000000067</v>
      </c>
      <c r="N508">
        <v>-799475.71999999927</v>
      </c>
      <c r="O508">
        <v>-1491512.7199999993</v>
      </c>
      <c r="P508">
        <v>-1024623.7199999993</v>
      </c>
      <c r="Q508">
        <v>-1339887.7199999993</v>
      </c>
      <c r="R508">
        <v>-1663690.7199999993</v>
      </c>
      <c r="S508">
        <v>450320.28000000067</v>
      </c>
      <c r="U508" s="175">
        <f t="shared" si="26"/>
        <v>-4416590.9507692298</v>
      </c>
    </row>
  </sheetData>
  <phoneticPr fontId="119" type="noConversion"/>
  <pageMargins left="0.7" right="0.7" top="0.75" bottom="0.75" header="0.3" footer="0.3"/>
  <customProperties>
    <customPr name="EpmWorksheetKeyString_GUID" r:id="rId1"/>
  </customPropertie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C02CC-87D1-4B29-8CE2-654D126C0FDE}">
  <sheetPr>
    <tabColor rgb="FF66FF99"/>
  </sheetPr>
  <dimension ref="A1:V523"/>
  <sheetViews>
    <sheetView zoomScale="90" zoomScaleNormal="90" workbookViewId="0">
      <pane ySplit="4" topLeftCell="A5" activePane="bottomLeft" state="frozen"/>
      <selection activeCell="K169" sqref="K169"/>
      <selection pane="bottomLeft" activeCell="G5" sqref="G5"/>
    </sheetView>
  </sheetViews>
  <sheetFormatPr defaultRowHeight="14.4"/>
  <cols>
    <col min="1" max="2" width="10.33203125" customWidth="1"/>
    <col min="3" max="3" width="11.44140625" bestFit="1" customWidth="1"/>
    <col min="4" max="4" width="48.5546875" bestFit="1" customWidth="1"/>
    <col min="5" max="6" width="1" style="462" customWidth="1"/>
    <col min="7" max="19" width="15.44140625" bestFit="1" customWidth="1"/>
    <col min="20" max="20" width="1.88671875" bestFit="1" customWidth="1"/>
    <col min="21" max="21" width="18" style="175" bestFit="1" customWidth="1"/>
    <col min="22" max="22" width="16.109375" bestFit="1" customWidth="1"/>
  </cols>
  <sheetData>
    <row r="1" spans="1:21">
      <c r="C1" s="249" t="s">
        <v>1745</v>
      </c>
      <c r="D1" s="248"/>
      <c r="E1" s="461"/>
      <c r="F1" s="461"/>
      <c r="G1" s="451">
        <f>SUM(G6:G80)</f>
        <v>11855260230.330004</v>
      </c>
      <c r="H1" s="451">
        <f t="shared" ref="H1:S1" si="0">SUM(H6:H80)</f>
        <v>12652879275.379997</v>
      </c>
      <c r="I1" s="451">
        <f t="shared" si="0"/>
        <v>12659017203.030001</v>
      </c>
      <c r="J1" s="451">
        <f t="shared" si="0"/>
        <v>12715983840.449997</v>
      </c>
      <c r="K1" s="451">
        <f t="shared" si="0"/>
        <v>12806378686.679996</v>
      </c>
      <c r="L1" s="451">
        <f t="shared" si="0"/>
        <v>12871215935.140003</v>
      </c>
      <c r="M1" s="451">
        <f t="shared" si="0"/>
        <v>12916362072.419998</v>
      </c>
      <c r="N1" s="451">
        <f t="shared" si="0"/>
        <v>13021046097.610001</v>
      </c>
      <c r="O1" s="451">
        <f t="shared" si="0"/>
        <v>13088300949.470001</v>
      </c>
      <c r="P1" s="451">
        <f t="shared" si="0"/>
        <v>13083529405.059999</v>
      </c>
      <c r="Q1" s="451">
        <f t="shared" si="0"/>
        <v>13086208383.729996</v>
      </c>
      <c r="R1" s="451">
        <f t="shared" si="0"/>
        <v>13069915751.849998</v>
      </c>
      <c r="S1" s="451">
        <f t="shared" si="0"/>
        <v>12291169296.059998</v>
      </c>
      <c r="T1" s="452"/>
      <c r="U1" s="453">
        <f t="shared" ref="U1" si="1">SUM(U6:U80)</f>
        <v>12778251317.47769</v>
      </c>
    </row>
    <row r="2" spans="1:21">
      <c r="A2" s="176" t="s">
        <v>885</v>
      </c>
      <c r="B2" s="176" t="s">
        <v>885</v>
      </c>
      <c r="G2" s="451">
        <f>SUM(G81:G123)</f>
        <v>11855260230.329994</v>
      </c>
      <c r="H2" s="451">
        <f t="shared" ref="H2:S2" si="2">SUM(H81:H123)</f>
        <v>12652879275.379999</v>
      </c>
      <c r="I2" s="451">
        <f t="shared" si="2"/>
        <v>12659017203.029997</v>
      </c>
      <c r="J2" s="451">
        <f t="shared" si="2"/>
        <v>12715983840.450001</v>
      </c>
      <c r="K2" s="451">
        <f t="shared" si="2"/>
        <v>12806378686.679995</v>
      </c>
      <c r="L2" s="451">
        <f t="shared" si="2"/>
        <v>12871215935.139997</v>
      </c>
      <c r="M2" s="451">
        <f t="shared" si="2"/>
        <v>12916362072.419996</v>
      </c>
      <c r="N2" s="451">
        <f t="shared" si="2"/>
        <v>13021046097.610003</v>
      </c>
      <c r="O2" s="451">
        <f t="shared" si="2"/>
        <v>13088300949.470003</v>
      </c>
      <c r="P2" s="451">
        <f t="shared" si="2"/>
        <v>13083529405.059999</v>
      </c>
      <c r="Q2" s="451">
        <f t="shared" si="2"/>
        <v>13086208383.729996</v>
      </c>
      <c r="R2" s="451">
        <f t="shared" si="2"/>
        <v>13069915751.849997</v>
      </c>
      <c r="S2" s="451">
        <f t="shared" si="2"/>
        <v>12291169296.060003</v>
      </c>
      <c r="T2" s="452"/>
      <c r="U2" s="453">
        <f t="shared" ref="U2" si="3">SUM(U81:U123)</f>
        <v>12778251317.477686</v>
      </c>
    </row>
    <row r="3" spans="1:21" ht="15">
      <c r="A3" s="177"/>
      <c r="B3" s="177"/>
      <c r="G3" s="240" t="s">
        <v>1746</v>
      </c>
      <c r="H3" s="240" t="s">
        <v>1746</v>
      </c>
      <c r="I3" s="240" t="s">
        <v>1746</v>
      </c>
      <c r="J3" s="240" t="s">
        <v>1746</v>
      </c>
      <c r="K3" s="240" t="s">
        <v>1746</v>
      </c>
      <c r="L3" s="240" t="s">
        <v>1746</v>
      </c>
      <c r="M3" s="240" t="s">
        <v>1746</v>
      </c>
      <c r="N3" s="240" t="s">
        <v>1746</v>
      </c>
      <c r="O3" s="240" t="s">
        <v>1746</v>
      </c>
      <c r="P3" s="240" t="s">
        <v>1746</v>
      </c>
      <c r="Q3" s="240" t="s">
        <v>1746</v>
      </c>
      <c r="R3" s="240" t="s">
        <v>1746</v>
      </c>
      <c r="S3" s="240" t="s">
        <v>1746</v>
      </c>
      <c r="T3" s="240"/>
      <c r="U3" s="447" t="s">
        <v>1746</v>
      </c>
    </row>
    <row r="4" spans="1:21" ht="15">
      <c r="A4" s="179" t="s">
        <v>355</v>
      </c>
      <c r="B4" s="179" t="s">
        <v>355</v>
      </c>
      <c r="C4" s="180" t="s">
        <v>889</v>
      </c>
      <c r="D4" s="124" t="s">
        <v>890</v>
      </c>
      <c r="E4" s="463"/>
      <c r="F4" s="463"/>
      <c r="G4" s="448" t="s">
        <v>1747</v>
      </c>
      <c r="H4" s="448" t="s">
        <v>1748</v>
      </c>
      <c r="I4" s="448" t="s">
        <v>1749</v>
      </c>
      <c r="J4" s="448" t="s">
        <v>1750</v>
      </c>
      <c r="K4" s="448" t="s">
        <v>1751</v>
      </c>
      <c r="L4" s="448" t="s">
        <v>1752</v>
      </c>
      <c r="M4" s="448" t="s">
        <v>1753</v>
      </c>
      <c r="N4" s="448" t="s">
        <v>1754</v>
      </c>
      <c r="O4" s="448" t="s">
        <v>1755</v>
      </c>
      <c r="P4" s="448" t="s">
        <v>1756</v>
      </c>
      <c r="Q4" s="448" t="s">
        <v>1757</v>
      </c>
      <c r="R4" s="448" t="s">
        <v>1758</v>
      </c>
      <c r="S4" s="448" t="s">
        <v>1759</v>
      </c>
      <c r="T4" s="449"/>
      <c r="U4" s="450" t="s">
        <v>1760</v>
      </c>
    </row>
    <row r="5" spans="1:21">
      <c r="A5" s="181"/>
      <c r="B5" s="181"/>
      <c r="G5" s="182">
        <v>7</v>
      </c>
      <c r="H5" s="182">
        <v>8</v>
      </c>
      <c r="I5" s="182">
        <v>9</v>
      </c>
      <c r="J5" s="182">
        <v>10</v>
      </c>
      <c r="K5" s="182">
        <v>11</v>
      </c>
      <c r="L5" s="182">
        <v>12</v>
      </c>
      <c r="M5" s="182">
        <v>13</v>
      </c>
      <c r="N5" s="182">
        <v>14</v>
      </c>
      <c r="O5" s="182">
        <v>15</v>
      </c>
      <c r="P5" s="182">
        <v>16</v>
      </c>
      <c r="Q5" s="182">
        <v>17</v>
      </c>
      <c r="R5" s="182">
        <v>18</v>
      </c>
      <c r="S5" s="182">
        <v>19</v>
      </c>
    </row>
    <row r="6" spans="1:21">
      <c r="A6" s="183" t="str">
        <f>MID(C6,4,3)</f>
        <v>101</v>
      </c>
      <c r="B6" s="183" t="str">
        <f>MID(C6,4,3)&amp;"."&amp;MID(C6,7,1)</f>
        <v>101.0</v>
      </c>
      <c r="C6" t="s">
        <v>1761</v>
      </c>
      <c r="D6" t="s">
        <v>388</v>
      </c>
      <c r="G6">
        <v>10039841645.940001</v>
      </c>
      <c r="H6">
        <v>10051217021.440001</v>
      </c>
      <c r="I6">
        <v>10059089037.889999</v>
      </c>
      <c r="J6">
        <v>10085877637.4</v>
      </c>
      <c r="K6">
        <v>10107781525.780001</v>
      </c>
      <c r="L6">
        <v>10117136077.450001</v>
      </c>
      <c r="M6">
        <v>10177335824.93</v>
      </c>
      <c r="N6">
        <v>10186923941.219999</v>
      </c>
      <c r="O6">
        <v>10226671445.120001</v>
      </c>
      <c r="P6">
        <v>10276653729.27</v>
      </c>
      <c r="Q6">
        <v>10317435622.68</v>
      </c>
      <c r="R6">
        <v>10365026128.49</v>
      </c>
      <c r="S6">
        <v>10414173451.530001</v>
      </c>
      <c r="U6" s="175">
        <f>AVERAGE(G6:S6)</f>
        <v>10186551006.856922</v>
      </c>
    </row>
    <row r="7" spans="1:21">
      <c r="A7" s="183" t="str">
        <f t="shared" ref="A7:A70" si="4">MID(C7,4,3)</f>
        <v>101</v>
      </c>
      <c r="B7" s="183" t="str">
        <f t="shared" ref="B7:B70" si="5">MID(C7,4,3)&amp;"."&amp;MID(C7,7,1)</f>
        <v>101.1</v>
      </c>
      <c r="C7" t="s">
        <v>1762</v>
      </c>
      <c r="D7" t="s">
        <v>907</v>
      </c>
      <c r="G7">
        <v>25388678.699999999</v>
      </c>
      <c r="H7">
        <v>25344223.969999999</v>
      </c>
      <c r="I7">
        <v>25299466.43</v>
      </c>
      <c r="J7">
        <v>25903318.16</v>
      </c>
      <c r="K7">
        <v>25858511.390000001</v>
      </c>
      <c r="L7">
        <v>25813679.879999999</v>
      </c>
      <c r="M7">
        <v>25344748.649999999</v>
      </c>
      <c r="N7">
        <v>25299867.370000001</v>
      </c>
      <c r="O7">
        <v>25254957.91</v>
      </c>
      <c r="P7">
        <v>24781867.469999999</v>
      </c>
      <c r="Q7">
        <v>24736901.34</v>
      </c>
      <c r="R7">
        <v>24691906.719999999</v>
      </c>
      <c r="S7">
        <v>24214614.43</v>
      </c>
      <c r="U7" s="175">
        <f t="shared" ref="U7:U70" si="6">AVERAGE(G7:S7)</f>
        <v>25225595.570769232</v>
      </c>
    </row>
    <row r="8" spans="1:21">
      <c r="A8" s="183" t="str">
        <f t="shared" si="4"/>
        <v>102</v>
      </c>
      <c r="B8" s="183" t="str">
        <f t="shared" si="5"/>
        <v>102.0</v>
      </c>
      <c r="C8" t="s">
        <v>1763</v>
      </c>
      <c r="D8" t="s">
        <v>909</v>
      </c>
      <c r="G8">
        <v>218909.87</v>
      </c>
      <c r="H8">
        <v>218909.87</v>
      </c>
      <c r="I8">
        <v>225416.4</v>
      </c>
      <c r="J8">
        <v>226444.67</v>
      </c>
      <c r="K8">
        <v>229844.67</v>
      </c>
      <c r="L8">
        <v>232006.62</v>
      </c>
      <c r="M8">
        <v>232231.49</v>
      </c>
      <c r="N8">
        <v>88339.63</v>
      </c>
      <c r="O8">
        <v>395935.06</v>
      </c>
      <c r="P8">
        <v>369064.18</v>
      </c>
      <c r="Q8">
        <v>369064.18</v>
      </c>
      <c r="R8">
        <v>372248.24</v>
      </c>
      <c r="S8">
        <v>411071.06</v>
      </c>
      <c r="U8" s="175">
        <f t="shared" si="6"/>
        <v>276114.30307692313</v>
      </c>
    </row>
    <row r="9" spans="1:21">
      <c r="A9" s="183" t="str">
        <f t="shared" si="4"/>
        <v>103</v>
      </c>
      <c r="B9" s="183" t="str">
        <f t="shared" si="5"/>
        <v>103.0</v>
      </c>
      <c r="C9" t="s">
        <v>1764</v>
      </c>
      <c r="D9" t="s">
        <v>911</v>
      </c>
      <c r="G9">
        <v>0</v>
      </c>
      <c r="H9">
        <v>0</v>
      </c>
      <c r="I9">
        <v>0</v>
      </c>
      <c r="J9">
        <v>0</v>
      </c>
      <c r="K9">
        <v>0</v>
      </c>
      <c r="L9">
        <v>0</v>
      </c>
      <c r="M9">
        <v>0</v>
      </c>
      <c r="N9">
        <v>0</v>
      </c>
      <c r="O9">
        <v>0</v>
      </c>
      <c r="P9">
        <v>0</v>
      </c>
      <c r="Q9">
        <v>0</v>
      </c>
      <c r="R9">
        <v>0</v>
      </c>
      <c r="S9">
        <v>0</v>
      </c>
      <c r="U9" s="175">
        <f t="shared" si="6"/>
        <v>0</v>
      </c>
    </row>
    <row r="10" spans="1:21">
      <c r="A10" s="183" t="str">
        <f t="shared" si="4"/>
        <v>103</v>
      </c>
      <c r="B10" s="183" t="str">
        <f t="shared" si="5"/>
        <v>103.1</v>
      </c>
      <c r="C10" t="s">
        <v>1765</v>
      </c>
      <c r="D10" t="s">
        <v>913</v>
      </c>
      <c r="G10">
        <v>0</v>
      </c>
      <c r="H10">
        <v>0</v>
      </c>
      <c r="I10">
        <v>0</v>
      </c>
      <c r="J10">
        <v>0</v>
      </c>
      <c r="K10">
        <v>0</v>
      </c>
      <c r="L10">
        <v>0</v>
      </c>
      <c r="M10">
        <v>0</v>
      </c>
      <c r="N10">
        <v>0</v>
      </c>
      <c r="O10">
        <v>0</v>
      </c>
      <c r="P10">
        <v>0</v>
      </c>
      <c r="Q10">
        <v>0</v>
      </c>
      <c r="R10">
        <v>0</v>
      </c>
      <c r="S10">
        <v>0</v>
      </c>
      <c r="U10" s="175">
        <f t="shared" si="6"/>
        <v>0</v>
      </c>
    </row>
    <row r="11" spans="1:21">
      <c r="A11" s="183" t="str">
        <f t="shared" si="4"/>
        <v>104</v>
      </c>
      <c r="B11" s="183" t="str">
        <f t="shared" si="5"/>
        <v>104.0</v>
      </c>
      <c r="C11" t="s">
        <v>1766</v>
      </c>
      <c r="D11" t="s">
        <v>915</v>
      </c>
      <c r="G11">
        <v>0</v>
      </c>
      <c r="H11">
        <v>0</v>
      </c>
      <c r="I11">
        <v>0</v>
      </c>
      <c r="J11">
        <v>0</v>
      </c>
      <c r="K11">
        <v>0</v>
      </c>
      <c r="L11">
        <v>0</v>
      </c>
      <c r="M11">
        <v>0</v>
      </c>
      <c r="N11">
        <v>0</v>
      </c>
      <c r="O11">
        <v>0</v>
      </c>
      <c r="P11">
        <v>0</v>
      </c>
      <c r="Q11">
        <v>0</v>
      </c>
      <c r="R11">
        <v>0</v>
      </c>
      <c r="S11">
        <v>0</v>
      </c>
      <c r="U11" s="175">
        <f t="shared" si="6"/>
        <v>0</v>
      </c>
    </row>
    <row r="12" spans="1:21">
      <c r="A12" s="183" t="str">
        <f t="shared" si="4"/>
        <v>105</v>
      </c>
      <c r="B12" s="183" t="str">
        <f t="shared" si="5"/>
        <v>105.0</v>
      </c>
      <c r="C12" t="s">
        <v>1767</v>
      </c>
      <c r="D12" t="s">
        <v>917</v>
      </c>
      <c r="G12">
        <v>54570735.409999996</v>
      </c>
      <c r="H12">
        <v>54570735.409999996</v>
      </c>
      <c r="I12">
        <v>54570997.909999996</v>
      </c>
      <c r="J12">
        <v>54570735.409999996</v>
      </c>
      <c r="K12">
        <v>54570735.409999996</v>
      </c>
      <c r="L12">
        <v>54570735.409999996</v>
      </c>
      <c r="M12">
        <v>54570735.409999996</v>
      </c>
      <c r="N12">
        <v>54570735.409999996</v>
      </c>
      <c r="O12">
        <v>58127610.409999996</v>
      </c>
      <c r="P12">
        <v>58127610.409999996</v>
      </c>
      <c r="Q12">
        <v>58127610.409999996</v>
      </c>
      <c r="R12">
        <v>58127610.409999996</v>
      </c>
      <c r="S12">
        <v>58127610.409999996</v>
      </c>
      <c r="U12" s="175">
        <f t="shared" si="6"/>
        <v>55938784.448461518</v>
      </c>
    </row>
    <row r="13" spans="1:21">
      <c r="A13" s="183" t="str">
        <f t="shared" si="4"/>
        <v>105</v>
      </c>
      <c r="B13" s="183" t="str">
        <f t="shared" si="5"/>
        <v>105.1</v>
      </c>
      <c r="C13" t="s">
        <v>1768</v>
      </c>
      <c r="D13" t="s">
        <v>919</v>
      </c>
      <c r="G13">
        <v>0</v>
      </c>
      <c r="H13">
        <v>0</v>
      </c>
      <c r="I13">
        <v>0</v>
      </c>
      <c r="J13">
        <v>0</v>
      </c>
      <c r="K13">
        <v>0</v>
      </c>
      <c r="L13">
        <v>0</v>
      </c>
      <c r="M13">
        <v>0</v>
      </c>
      <c r="N13">
        <v>0</v>
      </c>
      <c r="O13">
        <v>0</v>
      </c>
      <c r="P13">
        <v>0</v>
      </c>
      <c r="Q13">
        <v>0</v>
      </c>
      <c r="R13">
        <v>0</v>
      </c>
      <c r="S13">
        <v>0</v>
      </c>
      <c r="U13" s="175">
        <f t="shared" si="6"/>
        <v>0</v>
      </c>
    </row>
    <row r="14" spans="1:21">
      <c r="A14" s="183" t="str">
        <f t="shared" si="4"/>
        <v>106</v>
      </c>
      <c r="B14" s="183" t="str">
        <f t="shared" si="5"/>
        <v>106.0</v>
      </c>
      <c r="C14" t="s">
        <v>1769</v>
      </c>
      <c r="D14" t="s">
        <v>921</v>
      </c>
      <c r="G14">
        <v>1535981028.8</v>
      </c>
      <c r="H14">
        <v>1558707133.1099999</v>
      </c>
      <c r="I14">
        <v>1599543352.5</v>
      </c>
      <c r="J14">
        <v>1618439059.98</v>
      </c>
      <c r="K14">
        <v>1626997509.5799999</v>
      </c>
      <c r="L14">
        <v>1639420478.3800001</v>
      </c>
      <c r="M14">
        <v>1625123264.3800001</v>
      </c>
      <c r="N14">
        <v>1649061418.8299999</v>
      </c>
      <c r="O14">
        <v>1675384633.24</v>
      </c>
      <c r="P14">
        <v>1659350763</v>
      </c>
      <c r="Q14">
        <v>1675422473.1199999</v>
      </c>
      <c r="R14">
        <v>1649571094.9000001</v>
      </c>
      <c r="S14">
        <v>2078381704.5999999</v>
      </c>
      <c r="U14" s="175">
        <f t="shared" si="6"/>
        <v>1660875685.7246153</v>
      </c>
    </row>
    <row r="15" spans="1:21">
      <c r="A15" s="183" t="str">
        <f t="shared" si="4"/>
        <v>107</v>
      </c>
      <c r="B15" s="183" t="str">
        <f t="shared" si="5"/>
        <v>107.0</v>
      </c>
      <c r="C15" t="s">
        <v>1770</v>
      </c>
      <c r="D15" t="s">
        <v>166</v>
      </c>
      <c r="G15">
        <v>894768621.66999996</v>
      </c>
      <c r="H15">
        <v>922778122.98000002</v>
      </c>
      <c r="I15">
        <v>925379876.38999999</v>
      </c>
      <c r="J15">
        <v>949370617.48000002</v>
      </c>
      <c r="K15">
        <v>1002657647.66</v>
      </c>
      <c r="L15">
        <v>1079336505.8699999</v>
      </c>
      <c r="M15">
        <v>1123863394.21</v>
      </c>
      <c r="N15">
        <v>1186787043.3099999</v>
      </c>
      <c r="O15">
        <v>1221328634.6800001</v>
      </c>
      <c r="P15">
        <v>1264523215.3900001</v>
      </c>
      <c r="Q15">
        <v>1274279141.9100001</v>
      </c>
      <c r="R15">
        <v>1346699933.4300001</v>
      </c>
      <c r="S15">
        <v>1093242214.55</v>
      </c>
      <c r="U15" s="175">
        <f t="shared" si="6"/>
        <v>1098847305.3484614</v>
      </c>
    </row>
    <row r="16" spans="1:21">
      <c r="A16" s="183" t="str">
        <f t="shared" si="4"/>
        <v>108</v>
      </c>
      <c r="B16" s="183" t="str">
        <f t="shared" si="5"/>
        <v>108.0</v>
      </c>
      <c r="C16" t="s">
        <v>1771</v>
      </c>
      <c r="D16" t="s">
        <v>561</v>
      </c>
      <c r="G16">
        <v>-3317745810.5999999</v>
      </c>
      <c r="H16">
        <v>-3338494110.4899998</v>
      </c>
      <c r="I16">
        <v>-3355912118.4200001</v>
      </c>
      <c r="J16">
        <v>-3353008132.3200002</v>
      </c>
      <c r="K16">
        <v>-3372143843.6599998</v>
      </c>
      <c r="L16">
        <v>-3393315116.46</v>
      </c>
      <c r="M16">
        <v>-3416816315.6300001</v>
      </c>
      <c r="N16">
        <v>-3442629620.9099998</v>
      </c>
      <c r="O16">
        <v>-3461538510.0799999</v>
      </c>
      <c r="P16">
        <v>-3487933327.6999998</v>
      </c>
      <c r="Q16">
        <v>-3502538944.6199999</v>
      </c>
      <c r="R16">
        <v>-3521955594.52</v>
      </c>
      <c r="S16">
        <v>-3539066630.0599999</v>
      </c>
      <c r="U16" s="175">
        <f t="shared" si="6"/>
        <v>-3423315236.574615</v>
      </c>
    </row>
    <row r="17" spans="1:21">
      <c r="A17" s="183" t="str">
        <f t="shared" si="4"/>
        <v>111</v>
      </c>
      <c r="B17" s="183" t="str">
        <f t="shared" si="5"/>
        <v>111.0</v>
      </c>
      <c r="C17" t="s">
        <v>1772</v>
      </c>
      <c r="D17" t="s">
        <v>925</v>
      </c>
      <c r="G17">
        <v>-128784270.09999999</v>
      </c>
      <c r="H17">
        <v>-131350286.20999999</v>
      </c>
      <c r="I17">
        <v>-133923224.55</v>
      </c>
      <c r="J17">
        <v>-136504426.06999999</v>
      </c>
      <c r="K17">
        <v>-139145759.38999999</v>
      </c>
      <c r="L17">
        <v>-141786812.99000001</v>
      </c>
      <c r="M17">
        <v>-144448299.11000001</v>
      </c>
      <c r="N17">
        <v>-147136444.74000001</v>
      </c>
      <c r="O17">
        <v>-149849135.19999999</v>
      </c>
      <c r="P17">
        <v>-152588499.90000001</v>
      </c>
      <c r="Q17">
        <v>-155311581.47999999</v>
      </c>
      <c r="R17">
        <v>-158040371.49000001</v>
      </c>
      <c r="S17">
        <v>-160768005.36000001</v>
      </c>
      <c r="U17" s="175">
        <f t="shared" si="6"/>
        <v>-144587470.50692308</v>
      </c>
    </row>
    <row r="18" spans="1:21">
      <c r="A18" s="183" t="str">
        <f t="shared" si="4"/>
        <v>114</v>
      </c>
      <c r="B18" s="183" t="str">
        <f t="shared" si="5"/>
        <v>114.0</v>
      </c>
      <c r="C18" t="s">
        <v>1773</v>
      </c>
      <c r="D18" t="s">
        <v>927</v>
      </c>
      <c r="G18">
        <v>7484822.7599999998</v>
      </c>
      <c r="H18">
        <v>7484822.7599999998</v>
      </c>
      <c r="I18">
        <v>7484822.7599999998</v>
      </c>
      <c r="J18">
        <v>7484822.7599999998</v>
      </c>
      <c r="K18">
        <v>7484822.7599999998</v>
      </c>
      <c r="L18">
        <v>7484822.7599999998</v>
      </c>
      <c r="M18">
        <v>7484822.7599999998</v>
      </c>
      <c r="N18">
        <v>7484822.7599999998</v>
      </c>
      <c r="O18">
        <v>7484822.7599999998</v>
      </c>
      <c r="P18">
        <v>7484822.7599999998</v>
      </c>
      <c r="Q18">
        <v>7484822.7599999998</v>
      </c>
      <c r="R18">
        <v>7484822.7599999998</v>
      </c>
      <c r="S18">
        <v>7484822.7599999998</v>
      </c>
      <c r="U18" s="175">
        <f t="shared" si="6"/>
        <v>7484822.7600000007</v>
      </c>
    </row>
    <row r="19" spans="1:21">
      <c r="A19" s="183" t="str">
        <f t="shared" si="4"/>
        <v>115</v>
      </c>
      <c r="B19" s="183" t="str">
        <f t="shared" si="5"/>
        <v>115.0</v>
      </c>
      <c r="C19" t="s">
        <v>1774</v>
      </c>
      <c r="D19" t="s">
        <v>929</v>
      </c>
      <c r="G19">
        <v>-6409948.71</v>
      </c>
      <c r="H19">
        <v>-6429674.4199999999</v>
      </c>
      <c r="I19">
        <v>-6449400.1600000001</v>
      </c>
      <c r="J19">
        <v>-6469125.8700000001</v>
      </c>
      <c r="K19">
        <v>-6488851.6100000003</v>
      </c>
      <c r="L19">
        <v>-6508577.3200000003</v>
      </c>
      <c r="M19">
        <v>-6528303.0599999996</v>
      </c>
      <c r="N19">
        <v>-6548028.7699999996</v>
      </c>
      <c r="O19">
        <v>-6567754.5099999998</v>
      </c>
      <c r="P19">
        <v>-6587480.2199999997</v>
      </c>
      <c r="Q19">
        <v>-6607205.9500000002</v>
      </c>
      <c r="R19">
        <v>-6626931.6699999999</v>
      </c>
      <c r="S19">
        <v>-6646657.4100000001</v>
      </c>
      <c r="U19" s="175">
        <f t="shared" si="6"/>
        <v>-6528303.0523076914</v>
      </c>
    </row>
    <row r="20" spans="1:21">
      <c r="A20" s="183" t="str">
        <f t="shared" si="4"/>
        <v>116</v>
      </c>
      <c r="B20" s="183" t="str">
        <f t="shared" si="5"/>
        <v>116.0</v>
      </c>
      <c r="C20" t="s">
        <v>1775</v>
      </c>
      <c r="D20" t="s">
        <v>931</v>
      </c>
      <c r="G20">
        <v>0</v>
      </c>
      <c r="H20">
        <v>0</v>
      </c>
      <c r="I20">
        <v>0</v>
      </c>
      <c r="J20">
        <v>0</v>
      </c>
      <c r="K20">
        <v>0</v>
      </c>
      <c r="L20">
        <v>0</v>
      </c>
      <c r="M20">
        <v>0</v>
      </c>
      <c r="N20">
        <v>0</v>
      </c>
      <c r="O20">
        <v>0</v>
      </c>
      <c r="P20">
        <v>0</v>
      </c>
      <c r="Q20">
        <v>0</v>
      </c>
      <c r="R20">
        <v>0</v>
      </c>
      <c r="S20">
        <v>0</v>
      </c>
      <c r="U20" s="175">
        <f t="shared" si="6"/>
        <v>0</v>
      </c>
    </row>
    <row r="21" spans="1:21">
      <c r="A21" s="183" t="str">
        <f t="shared" si="4"/>
        <v>117</v>
      </c>
      <c r="B21" s="183" t="str">
        <f t="shared" si="5"/>
        <v>117.1</v>
      </c>
      <c r="C21" t="s">
        <v>1776</v>
      </c>
      <c r="D21" t="s">
        <v>933</v>
      </c>
      <c r="G21">
        <v>0</v>
      </c>
      <c r="H21">
        <v>0</v>
      </c>
      <c r="I21">
        <v>0</v>
      </c>
      <c r="J21">
        <v>0</v>
      </c>
      <c r="K21">
        <v>0</v>
      </c>
      <c r="L21">
        <v>0</v>
      </c>
      <c r="M21">
        <v>0</v>
      </c>
      <c r="N21">
        <v>0</v>
      </c>
      <c r="O21">
        <v>0</v>
      </c>
      <c r="P21">
        <v>0</v>
      </c>
      <c r="Q21">
        <v>0</v>
      </c>
      <c r="R21">
        <v>0</v>
      </c>
      <c r="S21">
        <v>0</v>
      </c>
      <c r="U21" s="175">
        <f t="shared" si="6"/>
        <v>0</v>
      </c>
    </row>
    <row r="22" spans="1:21">
      <c r="A22" s="183" t="str">
        <f t="shared" si="4"/>
        <v>117</v>
      </c>
      <c r="B22" s="183" t="str">
        <f t="shared" si="5"/>
        <v>117.2</v>
      </c>
      <c r="C22" t="s">
        <v>1777</v>
      </c>
      <c r="D22" t="s">
        <v>935</v>
      </c>
      <c r="G22">
        <v>0</v>
      </c>
      <c r="H22">
        <v>0</v>
      </c>
      <c r="I22">
        <v>0</v>
      </c>
      <c r="J22">
        <v>0</v>
      </c>
      <c r="K22">
        <v>0</v>
      </c>
      <c r="L22">
        <v>0</v>
      </c>
      <c r="M22">
        <v>0</v>
      </c>
      <c r="N22">
        <v>0</v>
      </c>
      <c r="O22">
        <v>0</v>
      </c>
      <c r="P22">
        <v>0</v>
      </c>
      <c r="Q22">
        <v>0</v>
      </c>
      <c r="R22">
        <v>0</v>
      </c>
      <c r="S22">
        <v>0</v>
      </c>
      <c r="U22" s="175">
        <f t="shared" si="6"/>
        <v>0</v>
      </c>
    </row>
    <row r="23" spans="1:21">
      <c r="A23" s="183" t="str">
        <f t="shared" si="4"/>
        <v>117</v>
      </c>
      <c r="B23" s="183" t="str">
        <f t="shared" si="5"/>
        <v>117.3</v>
      </c>
      <c r="C23" t="s">
        <v>1778</v>
      </c>
      <c r="D23" t="s">
        <v>937</v>
      </c>
      <c r="G23">
        <v>0</v>
      </c>
      <c r="H23">
        <v>0</v>
      </c>
      <c r="I23">
        <v>0</v>
      </c>
      <c r="J23">
        <v>0</v>
      </c>
      <c r="K23">
        <v>0</v>
      </c>
      <c r="L23">
        <v>0</v>
      </c>
      <c r="M23">
        <v>0</v>
      </c>
      <c r="N23">
        <v>0</v>
      </c>
      <c r="O23">
        <v>0</v>
      </c>
      <c r="P23">
        <v>0</v>
      </c>
      <c r="Q23">
        <v>0</v>
      </c>
      <c r="R23">
        <v>0</v>
      </c>
      <c r="S23">
        <v>0</v>
      </c>
      <c r="U23" s="175">
        <f t="shared" si="6"/>
        <v>0</v>
      </c>
    </row>
    <row r="24" spans="1:21">
      <c r="A24" s="183" t="str">
        <f t="shared" si="4"/>
        <v>117</v>
      </c>
      <c r="B24" s="183" t="str">
        <f t="shared" si="5"/>
        <v>117.4</v>
      </c>
      <c r="C24" t="s">
        <v>1779</v>
      </c>
      <c r="D24" t="s">
        <v>939</v>
      </c>
      <c r="G24">
        <v>0</v>
      </c>
      <c r="H24">
        <v>0</v>
      </c>
      <c r="I24">
        <v>0</v>
      </c>
      <c r="J24">
        <v>0</v>
      </c>
      <c r="K24">
        <v>0</v>
      </c>
      <c r="L24">
        <v>0</v>
      </c>
      <c r="M24">
        <v>0</v>
      </c>
      <c r="N24">
        <v>0</v>
      </c>
      <c r="O24">
        <v>0</v>
      </c>
      <c r="P24">
        <v>0</v>
      </c>
      <c r="Q24">
        <v>0</v>
      </c>
      <c r="R24">
        <v>0</v>
      </c>
      <c r="S24">
        <v>0</v>
      </c>
      <c r="U24" s="175">
        <f t="shared" si="6"/>
        <v>0</v>
      </c>
    </row>
    <row r="25" spans="1:21">
      <c r="A25" s="183" t="str">
        <f t="shared" si="4"/>
        <v>118</v>
      </c>
      <c r="B25" s="183" t="str">
        <f t="shared" si="5"/>
        <v>118.0</v>
      </c>
      <c r="C25" t="s">
        <v>1780</v>
      </c>
      <c r="D25" t="s">
        <v>941</v>
      </c>
      <c r="G25">
        <v>0</v>
      </c>
      <c r="H25">
        <v>0</v>
      </c>
      <c r="I25">
        <v>0</v>
      </c>
      <c r="J25">
        <v>0</v>
      </c>
      <c r="K25">
        <v>0</v>
      </c>
      <c r="L25">
        <v>0</v>
      </c>
      <c r="M25">
        <v>0</v>
      </c>
      <c r="N25">
        <v>0</v>
      </c>
      <c r="O25">
        <v>0</v>
      </c>
      <c r="P25">
        <v>0</v>
      </c>
      <c r="Q25">
        <v>0</v>
      </c>
      <c r="R25">
        <v>0</v>
      </c>
      <c r="S25">
        <v>0</v>
      </c>
      <c r="U25" s="175">
        <f t="shared" si="6"/>
        <v>0</v>
      </c>
    </row>
    <row r="26" spans="1:21">
      <c r="A26" s="183" t="str">
        <f t="shared" si="4"/>
        <v>119</v>
      </c>
      <c r="B26" s="183" t="str">
        <f t="shared" si="5"/>
        <v>119.0</v>
      </c>
      <c r="C26" t="s">
        <v>1781</v>
      </c>
      <c r="D26" t="s">
        <v>943</v>
      </c>
      <c r="G26">
        <v>0</v>
      </c>
      <c r="H26">
        <v>0</v>
      </c>
      <c r="I26">
        <v>0</v>
      </c>
      <c r="J26">
        <v>0</v>
      </c>
      <c r="K26">
        <v>0</v>
      </c>
      <c r="L26">
        <v>0</v>
      </c>
      <c r="M26">
        <v>0</v>
      </c>
      <c r="N26">
        <v>0</v>
      </c>
      <c r="O26">
        <v>0</v>
      </c>
      <c r="P26">
        <v>0</v>
      </c>
      <c r="Q26">
        <v>0</v>
      </c>
      <c r="R26">
        <v>0</v>
      </c>
      <c r="S26">
        <v>0</v>
      </c>
      <c r="U26" s="175">
        <f t="shared" si="6"/>
        <v>0</v>
      </c>
    </row>
    <row r="27" spans="1:21">
      <c r="A27" s="183" t="str">
        <f t="shared" si="4"/>
        <v>121</v>
      </c>
      <c r="B27" s="183" t="str">
        <f t="shared" si="5"/>
        <v>121.0</v>
      </c>
      <c r="C27" t="s">
        <v>1782</v>
      </c>
      <c r="D27" t="s">
        <v>945</v>
      </c>
      <c r="G27">
        <v>20099786.539999999</v>
      </c>
      <c r="H27">
        <v>20275236.809999999</v>
      </c>
      <c r="I27">
        <v>20330970.32</v>
      </c>
      <c r="J27">
        <v>20449617.5</v>
      </c>
      <c r="K27">
        <v>20404922.18</v>
      </c>
      <c r="L27">
        <v>20431518.379999999</v>
      </c>
      <c r="M27">
        <v>21088334.16</v>
      </c>
      <c r="N27">
        <v>20609038.379999999</v>
      </c>
      <c r="O27">
        <v>20722564.559999999</v>
      </c>
      <c r="P27">
        <v>20582914.420000002</v>
      </c>
      <c r="Q27">
        <v>20621884.969999999</v>
      </c>
      <c r="R27">
        <v>20637962.329999998</v>
      </c>
      <c r="S27">
        <v>20624555.809999999</v>
      </c>
      <c r="U27" s="175">
        <f t="shared" si="6"/>
        <v>20529177.412307695</v>
      </c>
    </row>
    <row r="28" spans="1:21">
      <c r="A28" s="183" t="str">
        <f t="shared" si="4"/>
        <v>122</v>
      </c>
      <c r="B28" s="183" t="str">
        <f t="shared" si="5"/>
        <v>122.0</v>
      </c>
      <c r="C28" t="s">
        <v>1783</v>
      </c>
      <c r="D28" t="s">
        <v>947</v>
      </c>
      <c r="G28">
        <v>-7709451.3399999999</v>
      </c>
      <c r="H28">
        <v>-7808174.8700000001</v>
      </c>
      <c r="I28">
        <v>-7904804.2300000004</v>
      </c>
      <c r="J28">
        <v>-8005854.1699999999</v>
      </c>
      <c r="K28">
        <v>-8075982.3600000003</v>
      </c>
      <c r="L28">
        <v>-8132079.9800000004</v>
      </c>
      <c r="M28">
        <v>-8239435.1200000001</v>
      </c>
      <c r="N28">
        <v>-8305890.6500000004</v>
      </c>
      <c r="O28">
        <v>-8410516.0299999993</v>
      </c>
      <c r="P28">
        <v>-8350661.0999999996</v>
      </c>
      <c r="Q28">
        <v>-8422593.0999999996</v>
      </c>
      <c r="R28">
        <v>-8554023.7400000002</v>
      </c>
      <c r="S28">
        <v>-7144756.8499999996</v>
      </c>
      <c r="U28" s="175">
        <f t="shared" si="6"/>
        <v>-8081863.3492307672</v>
      </c>
    </row>
    <row r="29" spans="1:21">
      <c r="A29" s="183" t="str">
        <f t="shared" si="4"/>
        <v>123</v>
      </c>
      <c r="B29" s="183" t="str">
        <f t="shared" si="5"/>
        <v>123.0</v>
      </c>
      <c r="C29" t="s">
        <v>1784</v>
      </c>
      <c r="D29" t="s">
        <v>949</v>
      </c>
      <c r="G29">
        <v>0</v>
      </c>
      <c r="H29">
        <v>0</v>
      </c>
      <c r="I29">
        <v>0</v>
      </c>
      <c r="J29">
        <v>0</v>
      </c>
      <c r="K29">
        <v>0</v>
      </c>
      <c r="L29">
        <v>0</v>
      </c>
      <c r="M29">
        <v>0</v>
      </c>
      <c r="N29">
        <v>0</v>
      </c>
      <c r="O29">
        <v>0</v>
      </c>
      <c r="P29">
        <v>0</v>
      </c>
      <c r="Q29">
        <v>0</v>
      </c>
      <c r="R29">
        <v>0</v>
      </c>
      <c r="S29">
        <v>0</v>
      </c>
      <c r="U29" s="175">
        <f t="shared" si="6"/>
        <v>0</v>
      </c>
    </row>
    <row r="30" spans="1:21">
      <c r="A30" s="183" t="str">
        <f t="shared" si="4"/>
        <v>123</v>
      </c>
      <c r="B30" s="183" t="str">
        <f t="shared" si="5"/>
        <v>123.1</v>
      </c>
      <c r="C30" t="s">
        <v>1785</v>
      </c>
      <c r="D30" t="s">
        <v>951</v>
      </c>
      <c r="G30">
        <v>0</v>
      </c>
      <c r="H30">
        <v>0</v>
      </c>
      <c r="I30">
        <v>0</v>
      </c>
      <c r="J30">
        <v>0</v>
      </c>
      <c r="K30">
        <v>0</v>
      </c>
      <c r="L30">
        <v>0</v>
      </c>
      <c r="M30">
        <v>0</v>
      </c>
      <c r="N30">
        <v>0</v>
      </c>
      <c r="O30">
        <v>0</v>
      </c>
      <c r="P30">
        <v>0</v>
      </c>
      <c r="Q30">
        <v>0</v>
      </c>
      <c r="R30">
        <v>0</v>
      </c>
      <c r="S30">
        <v>0</v>
      </c>
      <c r="U30" s="175">
        <f t="shared" si="6"/>
        <v>0</v>
      </c>
    </row>
    <row r="31" spans="1:21">
      <c r="A31" s="183" t="str">
        <f t="shared" si="4"/>
        <v>124</v>
      </c>
      <c r="B31" s="183" t="str">
        <f t="shared" si="5"/>
        <v>124.0</v>
      </c>
      <c r="C31" t="s">
        <v>1786</v>
      </c>
      <c r="D31" t="s">
        <v>953</v>
      </c>
      <c r="G31">
        <v>0</v>
      </c>
      <c r="H31">
        <v>0</v>
      </c>
      <c r="I31">
        <v>0</v>
      </c>
      <c r="J31">
        <v>0</v>
      </c>
      <c r="K31">
        <v>0</v>
      </c>
      <c r="L31">
        <v>0</v>
      </c>
      <c r="M31">
        <v>0</v>
      </c>
      <c r="N31">
        <v>0</v>
      </c>
      <c r="O31">
        <v>0</v>
      </c>
      <c r="P31">
        <v>0</v>
      </c>
      <c r="Q31">
        <v>0</v>
      </c>
      <c r="R31">
        <v>0</v>
      </c>
      <c r="S31">
        <v>0</v>
      </c>
      <c r="U31" s="175">
        <f t="shared" si="6"/>
        <v>0</v>
      </c>
    </row>
    <row r="32" spans="1:21">
      <c r="A32" s="183" t="str">
        <f t="shared" si="4"/>
        <v>125</v>
      </c>
      <c r="B32" s="183" t="str">
        <f t="shared" si="5"/>
        <v>125.0</v>
      </c>
      <c r="C32" t="s">
        <v>1787</v>
      </c>
      <c r="D32" t="s">
        <v>955</v>
      </c>
      <c r="G32">
        <v>0</v>
      </c>
      <c r="H32">
        <v>0</v>
      </c>
      <c r="I32">
        <v>0</v>
      </c>
      <c r="J32">
        <v>0</v>
      </c>
      <c r="K32">
        <v>0</v>
      </c>
      <c r="L32">
        <v>0</v>
      </c>
      <c r="M32">
        <v>0</v>
      </c>
      <c r="N32">
        <v>0</v>
      </c>
      <c r="O32">
        <v>0</v>
      </c>
      <c r="P32">
        <v>0</v>
      </c>
      <c r="Q32">
        <v>0</v>
      </c>
      <c r="R32">
        <v>0</v>
      </c>
      <c r="S32">
        <v>0</v>
      </c>
      <c r="U32" s="175">
        <f t="shared" si="6"/>
        <v>0</v>
      </c>
    </row>
    <row r="33" spans="1:21">
      <c r="A33" s="183" t="str">
        <f t="shared" si="4"/>
        <v>126</v>
      </c>
      <c r="B33" s="183" t="str">
        <f t="shared" si="5"/>
        <v>126.0</v>
      </c>
      <c r="C33" t="s">
        <v>1788</v>
      </c>
      <c r="D33" t="s">
        <v>957</v>
      </c>
      <c r="G33">
        <v>0</v>
      </c>
      <c r="H33">
        <v>0</v>
      </c>
      <c r="I33">
        <v>0</v>
      </c>
      <c r="J33">
        <v>0</v>
      </c>
      <c r="K33">
        <v>0</v>
      </c>
      <c r="L33">
        <v>0</v>
      </c>
      <c r="M33">
        <v>0</v>
      </c>
      <c r="N33">
        <v>0</v>
      </c>
      <c r="O33">
        <v>0</v>
      </c>
      <c r="P33">
        <v>0</v>
      </c>
      <c r="Q33">
        <v>0</v>
      </c>
      <c r="R33">
        <v>0</v>
      </c>
      <c r="S33">
        <v>0</v>
      </c>
      <c r="U33" s="175">
        <f t="shared" si="6"/>
        <v>0</v>
      </c>
    </row>
    <row r="34" spans="1:21">
      <c r="A34" s="183" t="str">
        <f t="shared" si="4"/>
        <v>127</v>
      </c>
      <c r="B34" s="183" t="str">
        <f t="shared" si="5"/>
        <v>127.0</v>
      </c>
      <c r="C34" t="s">
        <v>1789</v>
      </c>
      <c r="D34" t="s">
        <v>959</v>
      </c>
      <c r="G34">
        <v>0</v>
      </c>
      <c r="H34">
        <v>0</v>
      </c>
      <c r="I34">
        <v>0</v>
      </c>
      <c r="J34">
        <v>0</v>
      </c>
      <c r="K34">
        <v>0</v>
      </c>
      <c r="L34">
        <v>0</v>
      </c>
      <c r="M34">
        <v>0</v>
      </c>
      <c r="N34">
        <v>0</v>
      </c>
      <c r="O34">
        <v>0</v>
      </c>
      <c r="P34">
        <v>0</v>
      </c>
      <c r="Q34">
        <v>0</v>
      </c>
      <c r="R34">
        <v>0</v>
      </c>
      <c r="S34">
        <v>0</v>
      </c>
      <c r="U34" s="175">
        <f t="shared" si="6"/>
        <v>0</v>
      </c>
    </row>
    <row r="35" spans="1:21">
      <c r="A35" s="183" t="str">
        <f t="shared" si="4"/>
        <v>128</v>
      </c>
      <c r="B35" s="183" t="str">
        <f t="shared" si="5"/>
        <v>128.0</v>
      </c>
      <c r="C35" t="s">
        <v>1790</v>
      </c>
      <c r="D35" t="s">
        <v>961</v>
      </c>
      <c r="G35">
        <v>0</v>
      </c>
      <c r="H35">
        <v>0</v>
      </c>
      <c r="I35">
        <v>0</v>
      </c>
      <c r="J35">
        <v>0</v>
      </c>
      <c r="K35">
        <v>0</v>
      </c>
      <c r="L35">
        <v>0</v>
      </c>
      <c r="M35">
        <v>0</v>
      </c>
      <c r="N35">
        <v>0</v>
      </c>
      <c r="O35">
        <v>0</v>
      </c>
      <c r="P35">
        <v>0</v>
      </c>
      <c r="Q35">
        <v>0</v>
      </c>
      <c r="R35">
        <v>0</v>
      </c>
      <c r="S35">
        <v>0</v>
      </c>
      <c r="U35" s="175">
        <f t="shared" si="6"/>
        <v>0</v>
      </c>
    </row>
    <row r="36" spans="1:21">
      <c r="A36" s="183" t="str">
        <f t="shared" si="4"/>
        <v>131</v>
      </c>
      <c r="B36" s="183" t="str">
        <f t="shared" si="5"/>
        <v>131.0</v>
      </c>
      <c r="C36" t="s">
        <v>1791</v>
      </c>
      <c r="D36" t="s">
        <v>270</v>
      </c>
      <c r="G36">
        <v>9902835</v>
      </c>
      <c r="H36">
        <v>10400810.279999999</v>
      </c>
      <c r="I36">
        <v>6073314.6200000001</v>
      </c>
      <c r="J36">
        <v>3481075.17</v>
      </c>
      <c r="K36">
        <v>1063506.83</v>
      </c>
      <c r="L36">
        <v>19193258.48</v>
      </c>
      <c r="M36">
        <v>5165955.51</v>
      </c>
      <c r="N36">
        <v>10929299.67</v>
      </c>
      <c r="O36">
        <v>7223621.3499999996</v>
      </c>
      <c r="P36">
        <v>7816324.6799999997</v>
      </c>
      <c r="Q36">
        <v>13837999.73</v>
      </c>
      <c r="R36">
        <v>2685056.36</v>
      </c>
      <c r="S36">
        <v>4766851.41</v>
      </c>
      <c r="U36" s="175">
        <f t="shared" si="6"/>
        <v>7887685.3146153847</v>
      </c>
    </row>
    <row r="37" spans="1:21">
      <c r="A37" s="183" t="str">
        <f t="shared" si="4"/>
        <v>132</v>
      </c>
      <c r="B37" s="183" t="str">
        <f t="shared" si="5"/>
        <v>132.0</v>
      </c>
      <c r="C37" t="s">
        <v>1792</v>
      </c>
      <c r="D37" t="s">
        <v>964</v>
      </c>
      <c r="G37">
        <v>0</v>
      </c>
      <c r="H37">
        <v>0</v>
      </c>
      <c r="I37">
        <v>0</v>
      </c>
      <c r="J37">
        <v>0</v>
      </c>
      <c r="K37">
        <v>0</v>
      </c>
      <c r="L37">
        <v>0</v>
      </c>
      <c r="M37">
        <v>0</v>
      </c>
      <c r="N37">
        <v>0</v>
      </c>
      <c r="O37">
        <v>0</v>
      </c>
      <c r="P37">
        <v>0</v>
      </c>
      <c r="Q37">
        <v>0</v>
      </c>
      <c r="R37">
        <v>0</v>
      </c>
      <c r="S37">
        <v>0</v>
      </c>
      <c r="U37" s="175">
        <f t="shared" si="6"/>
        <v>0</v>
      </c>
    </row>
    <row r="38" spans="1:21">
      <c r="A38" s="183" t="str">
        <f t="shared" si="4"/>
        <v>133</v>
      </c>
      <c r="B38" s="183" t="str">
        <f t="shared" si="5"/>
        <v>133.0</v>
      </c>
      <c r="C38" t="s">
        <v>1793</v>
      </c>
      <c r="D38" t="s">
        <v>966</v>
      </c>
      <c r="G38">
        <v>0</v>
      </c>
      <c r="H38">
        <v>0</v>
      </c>
      <c r="I38">
        <v>0</v>
      </c>
      <c r="J38">
        <v>0</v>
      </c>
      <c r="K38">
        <v>0</v>
      </c>
      <c r="L38">
        <v>0</v>
      </c>
      <c r="M38">
        <v>0</v>
      </c>
      <c r="N38">
        <v>0</v>
      </c>
      <c r="O38">
        <v>0</v>
      </c>
      <c r="P38">
        <v>0</v>
      </c>
      <c r="Q38">
        <v>0</v>
      </c>
      <c r="R38">
        <v>0</v>
      </c>
      <c r="S38">
        <v>0</v>
      </c>
      <c r="U38" s="175">
        <f t="shared" si="6"/>
        <v>0</v>
      </c>
    </row>
    <row r="39" spans="1:21">
      <c r="A39" s="183" t="str">
        <f t="shared" si="4"/>
        <v>134</v>
      </c>
      <c r="B39" s="183" t="str">
        <f t="shared" si="5"/>
        <v>134.0</v>
      </c>
      <c r="C39" t="s">
        <v>1794</v>
      </c>
      <c r="D39" t="s">
        <v>271</v>
      </c>
      <c r="G39">
        <v>0</v>
      </c>
      <c r="H39">
        <v>0</v>
      </c>
      <c r="I39">
        <v>0</v>
      </c>
      <c r="J39">
        <v>0</v>
      </c>
      <c r="K39">
        <v>0</v>
      </c>
      <c r="L39">
        <v>0</v>
      </c>
      <c r="M39">
        <v>0</v>
      </c>
      <c r="N39">
        <v>0</v>
      </c>
      <c r="O39">
        <v>0</v>
      </c>
      <c r="P39">
        <v>0</v>
      </c>
      <c r="Q39">
        <v>0</v>
      </c>
      <c r="R39">
        <v>0</v>
      </c>
      <c r="S39">
        <v>0</v>
      </c>
      <c r="U39" s="175">
        <f t="shared" si="6"/>
        <v>0</v>
      </c>
    </row>
    <row r="40" spans="1:21">
      <c r="A40" s="183" t="str">
        <f t="shared" si="4"/>
        <v>135</v>
      </c>
      <c r="B40" s="183" t="str">
        <f t="shared" si="5"/>
        <v>135.0</v>
      </c>
      <c r="C40" t="s">
        <v>1795</v>
      </c>
      <c r="D40" t="s">
        <v>568</v>
      </c>
      <c r="G40">
        <v>51065.39</v>
      </c>
      <c r="H40">
        <v>51065.39</v>
      </c>
      <c r="I40">
        <v>51065.39</v>
      </c>
      <c r="J40">
        <v>51065.39</v>
      </c>
      <c r="K40">
        <v>51065.39</v>
      </c>
      <c r="L40">
        <v>51065.39</v>
      </c>
      <c r="M40">
        <v>51065.39</v>
      </c>
      <c r="N40">
        <v>51065.39</v>
      </c>
      <c r="O40">
        <v>51065.39</v>
      </c>
      <c r="P40">
        <v>51065.39</v>
      </c>
      <c r="Q40">
        <v>51065.39</v>
      </c>
      <c r="R40">
        <v>51065.39</v>
      </c>
      <c r="S40">
        <v>51065.39</v>
      </c>
      <c r="U40" s="175">
        <f t="shared" si="6"/>
        <v>51065.390000000007</v>
      </c>
    </row>
    <row r="41" spans="1:21">
      <c r="A41" s="183" t="str">
        <f t="shared" si="4"/>
        <v>136</v>
      </c>
      <c r="B41" s="183" t="str">
        <f t="shared" si="5"/>
        <v>136.0</v>
      </c>
      <c r="C41" t="s">
        <v>1796</v>
      </c>
      <c r="D41" t="s">
        <v>569</v>
      </c>
      <c r="G41">
        <v>0</v>
      </c>
      <c r="H41">
        <v>0</v>
      </c>
      <c r="I41">
        <v>0</v>
      </c>
      <c r="J41">
        <v>0</v>
      </c>
      <c r="K41">
        <v>0</v>
      </c>
      <c r="L41">
        <v>0</v>
      </c>
      <c r="M41">
        <v>0</v>
      </c>
      <c r="N41">
        <v>0</v>
      </c>
      <c r="O41">
        <v>0</v>
      </c>
      <c r="P41">
        <v>0</v>
      </c>
      <c r="Q41">
        <v>0</v>
      </c>
      <c r="R41">
        <v>0</v>
      </c>
      <c r="S41">
        <v>0</v>
      </c>
      <c r="U41" s="175">
        <f t="shared" si="6"/>
        <v>0</v>
      </c>
    </row>
    <row r="42" spans="1:21">
      <c r="A42" s="183" t="str">
        <f t="shared" si="4"/>
        <v>141</v>
      </c>
      <c r="B42" s="183" t="str">
        <f t="shared" si="5"/>
        <v>141.0</v>
      </c>
      <c r="C42" t="s">
        <v>1797</v>
      </c>
      <c r="D42" t="s">
        <v>274</v>
      </c>
      <c r="G42">
        <v>0</v>
      </c>
      <c r="H42">
        <v>0</v>
      </c>
      <c r="I42">
        <v>0</v>
      </c>
      <c r="J42">
        <v>0</v>
      </c>
      <c r="K42">
        <v>0</v>
      </c>
      <c r="L42">
        <v>0</v>
      </c>
      <c r="M42">
        <v>0</v>
      </c>
      <c r="N42">
        <v>0</v>
      </c>
      <c r="O42">
        <v>0</v>
      </c>
      <c r="P42">
        <v>0</v>
      </c>
      <c r="Q42">
        <v>0</v>
      </c>
      <c r="R42">
        <v>0</v>
      </c>
      <c r="S42">
        <v>0</v>
      </c>
      <c r="U42" s="175">
        <f t="shared" si="6"/>
        <v>0</v>
      </c>
    </row>
    <row r="43" spans="1:21">
      <c r="A43" s="183" t="str">
        <f t="shared" si="4"/>
        <v>142</v>
      </c>
      <c r="B43" s="183" t="str">
        <f t="shared" si="5"/>
        <v>142.0</v>
      </c>
      <c r="C43" t="s">
        <v>1798</v>
      </c>
      <c r="D43" t="s">
        <v>570</v>
      </c>
      <c r="G43">
        <v>163872375.47999999</v>
      </c>
      <c r="H43">
        <v>189587787.66</v>
      </c>
      <c r="I43">
        <v>169142460.03999999</v>
      </c>
      <c r="J43">
        <v>154325023.93000001</v>
      </c>
      <c r="K43">
        <v>202062062.41</v>
      </c>
      <c r="L43">
        <v>194907320.62</v>
      </c>
      <c r="M43">
        <v>211215589.56999999</v>
      </c>
      <c r="N43">
        <v>251856428.06999999</v>
      </c>
      <c r="O43">
        <v>247211867.97</v>
      </c>
      <c r="P43">
        <v>278340172.16000003</v>
      </c>
      <c r="Q43">
        <v>239606739.21000001</v>
      </c>
      <c r="R43">
        <v>211412798.00999999</v>
      </c>
      <c r="S43">
        <v>212903081.16</v>
      </c>
      <c r="U43" s="175">
        <f t="shared" si="6"/>
        <v>209726438.94538462</v>
      </c>
    </row>
    <row r="44" spans="1:21">
      <c r="A44" s="183" t="str">
        <f t="shared" si="4"/>
        <v>143</v>
      </c>
      <c r="B44" s="183" t="str">
        <f t="shared" si="5"/>
        <v>143.0</v>
      </c>
      <c r="C44" t="s">
        <v>1799</v>
      </c>
      <c r="D44" t="s">
        <v>276</v>
      </c>
      <c r="G44">
        <v>16710606.970000001</v>
      </c>
      <c r="H44">
        <v>7155974.3099999996</v>
      </c>
      <c r="I44">
        <v>6985706.8300000001</v>
      </c>
      <c r="J44">
        <v>11498593.5</v>
      </c>
      <c r="K44">
        <v>9450269.0700000003</v>
      </c>
      <c r="L44">
        <v>7500786.6299999999</v>
      </c>
      <c r="M44">
        <v>12170917.84</v>
      </c>
      <c r="N44">
        <v>15817907.07</v>
      </c>
      <c r="O44">
        <v>17140051.890000001</v>
      </c>
      <c r="P44">
        <v>14970552.939999999</v>
      </c>
      <c r="Q44">
        <v>15166768.66</v>
      </c>
      <c r="R44">
        <v>11135400.58</v>
      </c>
      <c r="S44">
        <v>11189501.109999999</v>
      </c>
      <c r="U44" s="175">
        <f t="shared" si="6"/>
        <v>12068695.184615387</v>
      </c>
    </row>
    <row r="45" spans="1:21">
      <c r="A45" s="183" t="str">
        <f t="shared" si="4"/>
        <v>144</v>
      </c>
      <c r="B45" s="183" t="str">
        <f t="shared" si="5"/>
        <v>144.0</v>
      </c>
      <c r="C45" t="s">
        <v>1800</v>
      </c>
      <c r="D45" t="s">
        <v>974</v>
      </c>
      <c r="G45">
        <v>-2628410.31</v>
      </c>
      <c r="H45">
        <v>-2790671.31</v>
      </c>
      <c r="I45">
        <v>-2744745.29</v>
      </c>
      <c r="J45">
        <v>-2356231.88</v>
      </c>
      <c r="K45">
        <v>-2215175.44</v>
      </c>
      <c r="L45">
        <v>-2250556.9500000002</v>
      </c>
      <c r="M45">
        <v>-2319086.9300000002</v>
      </c>
      <c r="N45">
        <v>-2422537.64</v>
      </c>
      <c r="O45">
        <v>-2472349.42</v>
      </c>
      <c r="P45">
        <v>-2387485.04</v>
      </c>
      <c r="Q45">
        <v>-2189402.5299999998</v>
      </c>
      <c r="R45">
        <v>-2089075.69</v>
      </c>
      <c r="S45">
        <v>-1930107.35</v>
      </c>
      <c r="U45" s="175">
        <f t="shared" si="6"/>
        <v>-2368910.444615385</v>
      </c>
    </row>
    <row r="46" spans="1:21">
      <c r="A46" s="183" t="str">
        <f t="shared" si="4"/>
        <v>145</v>
      </c>
      <c r="B46" s="183" t="str">
        <f t="shared" si="5"/>
        <v>145.0</v>
      </c>
      <c r="C46" t="s">
        <v>1801</v>
      </c>
      <c r="D46" t="s">
        <v>976</v>
      </c>
      <c r="G46">
        <v>0</v>
      </c>
      <c r="H46">
        <v>768663714.58000004</v>
      </c>
      <c r="I46">
        <v>785599854.10000002</v>
      </c>
      <c r="J46">
        <v>805329548.30999994</v>
      </c>
      <c r="K46">
        <v>816720367.30999994</v>
      </c>
      <c r="L46">
        <v>830336818.73000002</v>
      </c>
      <c r="M46">
        <v>861048618.13999999</v>
      </c>
      <c r="N46">
        <v>868144634.12</v>
      </c>
      <c r="O46">
        <v>882382910</v>
      </c>
      <c r="P46">
        <v>889356711</v>
      </c>
      <c r="Q46">
        <v>935682810.75</v>
      </c>
      <c r="R46">
        <v>935853847.76999998</v>
      </c>
      <c r="S46">
        <v>0</v>
      </c>
      <c r="U46" s="175">
        <f t="shared" si="6"/>
        <v>721470756.52384615</v>
      </c>
    </row>
    <row r="47" spans="1:21">
      <c r="A47" s="183" t="str">
        <f t="shared" si="4"/>
        <v>146</v>
      </c>
      <c r="B47" s="183" t="str">
        <f t="shared" si="5"/>
        <v>146.0</v>
      </c>
      <c r="C47" t="s">
        <v>1802</v>
      </c>
      <c r="D47" t="s">
        <v>978</v>
      </c>
      <c r="G47">
        <v>25135738.690000001</v>
      </c>
      <c r="H47">
        <v>14885233.550000001</v>
      </c>
      <c r="I47">
        <v>19921694.370000001</v>
      </c>
      <c r="J47">
        <v>23813771.640000001</v>
      </c>
      <c r="K47">
        <v>32944203.16</v>
      </c>
      <c r="L47">
        <v>29543497.039999999</v>
      </c>
      <c r="M47">
        <v>12798981.27</v>
      </c>
      <c r="N47">
        <v>28629889.940000001</v>
      </c>
      <c r="O47">
        <v>16942319.699999999</v>
      </c>
      <c r="P47">
        <v>18200930.07</v>
      </c>
      <c r="Q47">
        <v>18507413.34</v>
      </c>
      <c r="R47">
        <v>17380824.989999998</v>
      </c>
      <c r="S47">
        <v>16583200.470000001</v>
      </c>
      <c r="U47" s="175">
        <f t="shared" si="6"/>
        <v>21175976.786923077</v>
      </c>
    </row>
    <row r="48" spans="1:21">
      <c r="A48" s="183" t="str">
        <f t="shared" si="4"/>
        <v>151</v>
      </c>
      <c r="B48" s="183" t="str">
        <f t="shared" si="5"/>
        <v>151.0</v>
      </c>
      <c r="C48" t="s">
        <v>1803</v>
      </c>
      <c r="D48" t="s">
        <v>279</v>
      </c>
      <c r="G48">
        <v>23065340.530000001</v>
      </c>
      <c r="H48">
        <v>28944547.34</v>
      </c>
      <c r="I48">
        <v>34514687.049999997</v>
      </c>
      <c r="J48">
        <v>30709999.149999999</v>
      </c>
      <c r="K48">
        <v>34930885.850000001</v>
      </c>
      <c r="L48">
        <v>39475797.159999996</v>
      </c>
      <c r="M48">
        <v>43058739.649999999</v>
      </c>
      <c r="N48">
        <v>44191355.25</v>
      </c>
      <c r="O48">
        <v>45429282.520000003</v>
      </c>
      <c r="P48">
        <v>48109283.579999998</v>
      </c>
      <c r="Q48">
        <v>43568175.689999998</v>
      </c>
      <c r="R48">
        <v>39308669.93</v>
      </c>
      <c r="S48">
        <v>35600010.369999997</v>
      </c>
      <c r="U48" s="175">
        <f t="shared" si="6"/>
        <v>37762059.543846153</v>
      </c>
    </row>
    <row r="49" spans="1:21">
      <c r="A49" s="183" t="str">
        <f t="shared" si="4"/>
        <v>152</v>
      </c>
      <c r="B49" s="183" t="str">
        <f t="shared" si="5"/>
        <v>152.0</v>
      </c>
      <c r="C49" t="s">
        <v>1804</v>
      </c>
      <c r="D49" t="s">
        <v>573</v>
      </c>
      <c r="G49">
        <v>0</v>
      </c>
      <c r="H49">
        <v>0</v>
      </c>
      <c r="I49">
        <v>0</v>
      </c>
      <c r="J49">
        <v>0</v>
      </c>
      <c r="K49">
        <v>0</v>
      </c>
      <c r="L49">
        <v>0</v>
      </c>
      <c r="M49">
        <v>0</v>
      </c>
      <c r="N49">
        <v>0</v>
      </c>
      <c r="O49">
        <v>0</v>
      </c>
      <c r="P49">
        <v>0</v>
      </c>
      <c r="Q49">
        <v>0</v>
      </c>
      <c r="R49">
        <v>0</v>
      </c>
      <c r="S49">
        <v>0</v>
      </c>
      <c r="U49" s="175">
        <f t="shared" si="6"/>
        <v>0</v>
      </c>
    </row>
    <row r="50" spans="1:21">
      <c r="A50" s="183" t="str">
        <f t="shared" si="4"/>
        <v>153</v>
      </c>
      <c r="B50" s="183" t="str">
        <f t="shared" si="5"/>
        <v>153.0</v>
      </c>
      <c r="C50" t="s">
        <v>1805</v>
      </c>
      <c r="D50" t="s">
        <v>982</v>
      </c>
      <c r="G50">
        <v>0</v>
      </c>
      <c r="H50">
        <v>0</v>
      </c>
      <c r="I50">
        <v>0</v>
      </c>
      <c r="J50">
        <v>0</v>
      </c>
      <c r="K50">
        <v>0</v>
      </c>
      <c r="L50">
        <v>0</v>
      </c>
      <c r="M50">
        <v>0</v>
      </c>
      <c r="N50">
        <v>0</v>
      </c>
      <c r="O50">
        <v>0</v>
      </c>
      <c r="P50">
        <v>0</v>
      </c>
      <c r="Q50">
        <v>0</v>
      </c>
      <c r="R50">
        <v>0</v>
      </c>
      <c r="S50">
        <v>0</v>
      </c>
      <c r="U50" s="175">
        <f t="shared" si="6"/>
        <v>0</v>
      </c>
    </row>
    <row r="51" spans="1:21">
      <c r="A51" s="183" t="str">
        <f t="shared" si="4"/>
        <v>154</v>
      </c>
      <c r="B51" s="183" t="str">
        <f t="shared" si="5"/>
        <v>154.0</v>
      </c>
      <c r="C51" t="s">
        <v>1806</v>
      </c>
      <c r="D51" t="s">
        <v>984</v>
      </c>
      <c r="G51">
        <v>154369560.02000001</v>
      </c>
      <c r="H51">
        <v>152956010.75</v>
      </c>
      <c r="I51">
        <v>153456985.03</v>
      </c>
      <c r="J51">
        <v>156985692.93000001</v>
      </c>
      <c r="K51">
        <v>158293895.61000001</v>
      </c>
      <c r="L51">
        <v>161834096.41999999</v>
      </c>
      <c r="M51">
        <v>164625809.58000001</v>
      </c>
      <c r="N51">
        <v>172014389.59</v>
      </c>
      <c r="O51">
        <v>175278727.28999999</v>
      </c>
      <c r="P51">
        <v>176473694.19999999</v>
      </c>
      <c r="Q51">
        <v>179008549.65000001</v>
      </c>
      <c r="R51">
        <v>180661611.38</v>
      </c>
      <c r="S51">
        <v>180913449.38999999</v>
      </c>
      <c r="U51" s="175">
        <f t="shared" si="6"/>
        <v>166682497.83384612</v>
      </c>
    </row>
    <row r="52" spans="1:21">
      <c r="A52" s="183" t="str">
        <f t="shared" si="4"/>
        <v>155</v>
      </c>
      <c r="B52" s="183" t="str">
        <f t="shared" si="5"/>
        <v>155.0</v>
      </c>
      <c r="C52" t="s">
        <v>1807</v>
      </c>
      <c r="D52" t="s">
        <v>986</v>
      </c>
      <c r="G52">
        <v>0</v>
      </c>
      <c r="H52">
        <v>0</v>
      </c>
      <c r="I52">
        <v>0</v>
      </c>
      <c r="J52">
        <v>0</v>
      </c>
      <c r="K52">
        <v>0</v>
      </c>
      <c r="L52">
        <v>0</v>
      </c>
      <c r="M52">
        <v>0</v>
      </c>
      <c r="N52">
        <v>0</v>
      </c>
      <c r="O52">
        <v>0</v>
      </c>
      <c r="P52">
        <v>0</v>
      </c>
      <c r="Q52">
        <v>0</v>
      </c>
      <c r="R52">
        <v>0</v>
      </c>
      <c r="S52">
        <v>0</v>
      </c>
      <c r="U52" s="175">
        <f t="shared" si="6"/>
        <v>0</v>
      </c>
    </row>
    <row r="53" spans="1:21">
      <c r="A53" s="183" t="str">
        <f t="shared" si="4"/>
        <v>156</v>
      </c>
      <c r="B53" s="183" t="str">
        <f t="shared" si="5"/>
        <v>156.0</v>
      </c>
      <c r="C53" t="s">
        <v>1808</v>
      </c>
      <c r="D53" t="s">
        <v>988</v>
      </c>
      <c r="G53">
        <v>0</v>
      </c>
      <c r="H53">
        <v>0</v>
      </c>
      <c r="I53">
        <v>0</v>
      </c>
      <c r="J53">
        <v>0</v>
      </c>
      <c r="K53">
        <v>0</v>
      </c>
      <c r="L53">
        <v>0</v>
      </c>
      <c r="M53">
        <v>0</v>
      </c>
      <c r="N53">
        <v>0</v>
      </c>
      <c r="O53">
        <v>0</v>
      </c>
      <c r="P53">
        <v>0</v>
      </c>
      <c r="Q53">
        <v>0</v>
      </c>
      <c r="R53">
        <v>0</v>
      </c>
      <c r="S53">
        <v>0</v>
      </c>
      <c r="U53" s="175">
        <f t="shared" si="6"/>
        <v>0</v>
      </c>
    </row>
    <row r="54" spans="1:21">
      <c r="A54" s="183" t="str">
        <f t="shared" si="4"/>
        <v>158</v>
      </c>
      <c r="B54" s="183" t="str">
        <f t="shared" si="5"/>
        <v>158.1</v>
      </c>
      <c r="C54" t="s">
        <v>1809</v>
      </c>
      <c r="D54" t="s">
        <v>990</v>
      </c>
      <c r="G54">
        <v>0</v>
      </c>
      <c r="H54">
        <v>0</v>
      </c>
      <c r="I54">
        <v>0</v>
      </c>
      <c r="J54">
        <v>0</v>
      </c>
      <c r="K54">
        <v>0</v>
      </c>
      <c r="L54">
        <v>0</v>
      </c>
      <c r="M54">
        <v>0</v>
      </c>
      <c r="N54">
        <v>0</v>
      </c>
      <c r="O54">
        <v>0</v>
      </c>
      <c r="P54">
        <v>0</v>
      </c>
      <c r="Q54">
        <v>0</v>
      </c>
      <c r="R54">
        <v>0</v>
      </c>
      <c r="S54">
        <v>0</v>
      </c>
      <c r="U54" s="175">
        <f t="shared" si="6"/>
        <v>0</v>
      </c>
    </row>
    <row r="55" spans="1:21">
      <c r="A55" s="183" t="str">
        <f t="shared" si="4"/>
        <v>158</v>
      </c>
      <c r="B55" s="183" t="str">
        <f t="shared" si="5"/>
        <v>158.2</v>
      </c>
      <c r="C55" t="s">
        <v>1810</v>
      </c>
      <c r="D55" t="s">
        <v>992</v>
      </c>
      <c r="G55">
        <v>0</v>
      </c>
      <c r="H55">
        <v>0</v>
      </c>
      <c r="I55">
        <v>0</v>
      </c>
      <c r="J55">
        <v>0</v>
      </c>
      <c r="K55">
        <v>0</v>
      </c>
      <c r="L55">
        <v>0</v>
      </c>
      <c r="M55">
        <v>0</v>
      </c>
      <c r="N55">
        <v>0</v>
      </c>
      <c r="O55">
        <v>0</v>
      </c>
      <c r="P55">
        <v>0</v>
      </c>
      <c r="Q55">
        <v>0</v>
      </c>
      <c r="R55">
        <v>0</v>
      </c>
      <c r="S55">
        <v>0</v>
      </c>
      <c r="U55" s="175">
        <f t="shared" si="6"/>
        <v>0</v>
      </c>
    </row>
    <row r="56" spans="1:21">
      <c r="A56" s="183" t="str">
        <f t="shared" si="4"/>
        <v>163</v>
      </c>
      <c r="B56" s="183" t="str">
        <f t="shared" si="5"/>
        <v>163.0</v>
      </c>
      <c r="C56" t="s">
        <v>1811</v>
      </c>
      <c r="D56" t="s">
        <v>994</v>
      </c>
      <c r="G56">
        <v>0</v>
      </c>
      <c r="H56">
        <v>0</v>
      </c>
      <c r="I56">
        <v>0</v>
      </c>
      <c r="J56">
        <v>0</v>
      </c>
      <c r="K56">
        <v>0</v>
      </c>
      <c r="L56">
        <v>0</v>
      </c>
      <c r="M56">
        <v>0</v>
      </c>
      <c r="N56">
        <v>0</v>
      </c>
      <c r="O56">
        <v>0</v>
      </c>
      <c r="P56">
        <v>0</v>
      </c>
      <c r="Q56">
        <v>0</v>
      </c>
      <c r="R56">
        <v>0</v>
      </c>
      <c r="S56">
        <v>0</v>
      </c>
      <c r="U56" s="175">
        <f t="shared" si="6"/>
        <v>0</v>
      </c>
    </row>
    <row r="57" spans="1:21">
      <c r="A57" s="183" t="str">
        <f t="shared" si="4"/>
        <v>164</v>
      </c>
      <c r="B57" s="183" t="str">
        <f t="shared" si="5"/>
        <v>164.1</v>
      </c>
      <c r="C57" t="s">
        <v>1812</v>
      </c>
      <c r="D57" t="s">
        <v>996</v>
      </c>
      <c r="G57">
        <v>0</v>
      </c>
      <c r="H57">
        <v>0</v>
      </c>
      <c r="I57">
        <v>0</v>
      </c>
      <c r="J57">
        <v>0</v>
      </c>
      <c r="K57">
        <v>0</v>
      </c>
      <c r="L57">
        <v>0</v>
      </c>
      <c r="M57">
        <v>0</v>
      </c>
      <c r="N57">
        <v>0</v>
      </c>
      <c r="O57">
        <v>0</v>
      </c>
      <c r="P57">
        <v>0</v>
      </c>
      <c r="Q57">
        <v>0</v>
      </c>
      <c r="R57">
        <v>0</v>
      </c>
      <c r="S57">
        <v>0</v>
      </c>
      <c r="U57" s="175">
        <f t="shared" si="6"/>
        <v>0</v>
      </c>
    </row>
    <row r="58" spans="1:21">
      <c r="A58" s="183" t="str">
        <f t="shared" si="4"/>
        <v>164</v>
      </c>
      <c r="B58" s="183" t="str">
        <f t="shared" si="5"/>
        <v>164.2</v>
      </c>
      <c r="C58" t="s">
        <v>1813</v>
      </c>
      <c r="D58" t="s">
        <v>998</v>
      </c>
      <c r="G58">
        <v>0</v>
      </c>
      <c r="H58">
        <v>0</v>
      </c>
      <c r="I58">
        <v>0</v>
      </c>
      <c r="J58">
        <v>0</v>
      </c>
      <c r="K58">
        <v>0</v>
      </c>
      <c r="L58">
        <v>0</v>
      </c>
      <c r="M58">
        <v>0</v>
      </c>
      <c r="N58">
        <v>0</v>
      </c>
      <c r="O58">
        <v>0</v>
      </c>
      <c r="P58">
        <v>0</v>
      </c>
      <c r="Q58">
        <v>0</v>
      </c>
      <c r="R58">
        <v>0</v>
      </c>
      <c r="S58">
        <v>0</v>
      </c>
      <c r="U58" s="175">
        <f t="shared" si="6"/>
        <v>0</v>
      </c>
    </row>
    <row r="59" spans="1:21">
      <c r="A59" s="183" t="str">
        <f t="shared" si="4"/>
        <v>164</v>
      </c>
      <c r="B59" s="183" t="str">
        <f t="shared" si="5"/>
        <v>164.3</v>
      </c>
      <c r="C59" t="s">
        <v>1814</v>
      </c>
      <c r="D59" t="s">
        <v>1000</v>
      </c>
      <c r="G59">
        <v>0</v>
      </c>
      <c r="H59">
        <v>0</v>
      </c>
      <c r="I59">
        <v>0</v>
      </c>
      <c r="J59">
        <v>0</v>
      </c>
      <c r="K59">
        <v>0</v>
      </c>
      <c r="L59">
        <v>0</v>
      </c>
      <c r="M59">
        <v>0</v>
      </c>
      <c r="N59">
        <v>0</v>
      </c>
      <c r="O59">
        <v>0</v>
      </c>
      <c r="P59">
        <v>0</v>
      </c>
      <c r="Q59">
        <v>0</v>
      </c>
      <c r="R59">
        <v>0</v>
      </c>
      <c r="S59">
        <v>0</v>
      </c>
      <c r="U59" s="175">
        <f t="shared" si="6"/>
        <v>0</v>
      </c>
    </row>
    <row r="60" spans="1:21">
      <c r="A60" s="183" t="str">
        <f t="shared" si="4"/>
        <v>165</v>
      </c>
      <c r="B60" s="183" t="str">
        <f t="shared" si="5"/>
        <v>165.0</v>
      </c>
      <c r="C60" t="s">
        <v>1815</v>
      </c>
      <c r="D60" t="s">
        <v>283</v>
      </c>
      <c r="G60">
        <v>26186389.98</v>
      </c>
      <c r="H60">
        <v>25894951.82</v>
      </c>
      <c r="I60">
        <v>22054123.719999999</v>
      </c>
      <c r="J60">
        <v>22475881.629999999</v>
      </c>
      <c r="K60">
        <v>19655903.280000001</v>
      </c>
      <c r="L60">
        <v>18025731.109999999</v>
      </c>
      <c r="M60">
        <v>27734706.859999999</v>
      </c>
      <c r="N60">
        <v>37724925.200000003</v>
      </c>
      <c r="O60">
        <v>37841758.770000003</v>
      </c>
      <c r="P60">
        <v>38185730.25</v>
      </c>
      <c r="Q60">
        <v>34277962.140000001</v>
      </c>
      <c r="R60">
        <v>31955843.280000001</v>
      </c>
      <c r="S60">
        <v>32486033.239999998</v>
      </c>
      <c r="U60" s="175">
        <f t="shared" si="6"/>
        <v>28807687.790769227</v>
      </c>
    </row>
    <row r="61" spans="1:21">
      <c r="A61" s="183" t="str">
        <f t="shared" si="4"/>
        <v>171</v>
      </c>
      <c r="B61" s="183" t="str">
        <f t="shared" si="5"/>
        <v>171.0</v>
      </c>
      <c r="C61" t="s">
        <v>1816</v>
      </c>
      <c r="D61" t="s">
        <v>1003</v>
      </c>
      <c r="G61">
        <v>0</v>
      </c>
      <c r="H61">
        <v>0</v>
      </c>
      <c r="I61">
        <v>0</v>
      </c>
      <c r="J61">
        <v>0</v>
      </c>
      <c r="K61">
        <v>0</v>
      </c>
      <c r="L61">
        <v>0</v>
      </c>
      <c r="M61">
        <v>0</v>
      </c>
      <c r="N61">
        <v>0</v>
      </c>
      <c r="O61">
        <v>0</v>
      </c>
      <c r="P61">
        <v>0</v>
      </c>
      <c r="Q61">
        <v>0</v>
      </c>
      <c r="R61">
        <v>0</v>
      </c>
      <c r="S61">
        <v>0</v>
      </c>
      <c r="U61" s="175">
        <f t="shared" si="6"/>
        <v>0</v>
      </c>
    </row>
    <row r="62" spans="1:21">
      <c r="A62" s="183" t="str">
        <f t="shared" si="4"/>
        <v>172</v>
      </c>
      <c r="B62" s="183" t="str">
        <f t="shared" si="5"/>
        <v>172.0</v>
      </c>
      <c r="C62" t="s">
        <v>1817</v>
      </c>
      <c r="D62" t="s">
        <v>1005</v>
      </c>
      <c r="G62">
        <v>0</v>
      </c>
      <c r="H62">
        <v>0</v>
      </c>
      <c r="I62">
        <v>0</v>
      </c>
      <c r="J62">
        <v>0</v>
      </c>
      <c r="K62">
        <v>0</v>
      </c>
      <c r="L62">
        <v>0</v>
      </c>
      <c r="M62">
        <v>0</v>
      </c>
      <c r="N62">
        <v>0</v>
      </c>
      <c r="O62">
        <v>0</v>
      </c>
      <c r="P62">
        <v>0</v>
      </c>
      <c r="Q62">
        <v>0</v>
      </c>
      <c r="R62">
        <v>0</v>
      </c>
      <c r="S62">
        <v>0</v>
      </c>
      <c r="U62" s="175">
        <f t="shared" si="6"/>
        <v>0</v>
      </c>
    </row>
    <row r="63" spans="1:21">
      <c r="A63" s="183" t="str">
        <f t="shared" si="4"/>
        <v>173</v>
      </c>
      <c r="B63" s="183" t="str">
        <f t="shared" si="5"/>
        <v>173.0</v>
      </c>
      <c r="C63" t="s">
        <v>1818</v>
      </c>
      <c r="D63" t="s">
        <v>1007</v>
      </c>
      <c r="G63">
        <v>65330194</v>
      </c>
      <c r="H63">
        <v>63073367</v>
      </c>
      <c r="I63">
        <v>59623658</v>
      </c>
      <c r="J63">
        <v>67807839</v>
      </c>
      <c r="K63">
        <v>69482951</v>
      </c>
      <c r="L63">
        <v>77079065</v>
      </c>
      <c r="M63">
        <v>89177746</v>
      </c>
      <c r="N63">
        <v>91221472</v>
      </c>
      <c r="O63">
        <v>99380372</v>
      </c>
      <c r="P63">
        <v>80927259</v>
      </c>
      <c r="Q63">
        <v>71770771</v>
      </c>
      <c r="R63">
        <v>65877638</v>
      </c>
      <c r="S63">
        <v>63361325</v>
      </c>
      <c r="U63" s="175">
        <f t="shared" si="6"/>
        <v>74162589</v>
      </c>
    </row>
    <row r="64" spans="1:21">
      <c r="A64" s="183" t="str">
        <f t="shared" si="4"/>
        <v>174</v>
      </c>
      <c r="B64" s="183" t="str">
        <f t="shared" si="5"/>
        <v>174.0</v>
      </c>
      <c r="C64" t="s">
        <v>1819</v>
      </c>
      <c r="D64" t="s">
        <v>1009</v>
      </c>
      <c r="G64">
        <v>0</v>
      </c>
      <c r="H64">
        <v>0</v>
      </c>
      <c r="I64">
        <v>0</v>
      </c>
      <c r="J64">
        <v>0</v>
      </c>
      <c r="K64">
        <v>0</v>
      </c>
      <c r="L64">
        <v>0</v>
      </c>
      <c r="M64">
        <v>0</v>
      </c>
      <c r="N64">
        <v>0</v>
      </c>
      <c r="O64">
        <v>0</v>
      </c>
      <c r="P64">
        <v>0</v>
      </c>
      <c r="Q64">
        <v>0</v>
      </c>
      <c r="R64">
        <v>0</v>
      </c>
      <c r="S64">
        <v>0</v>
      </c>
      <c r="U64" s="175">
        <f t="shared" si="6"/>
        <v>0</v>
      </c>
    </row>
    <row r="65" spans="1:22">
      <c r="A65" s="183" t="str">
        <f t="shared" si="4"/>
        <v>176</v>
      </c>
      <c r="B65" s="183" t="str">
        <f t="shared" si="5"/>
        <v>176.0</v>
      </c>
      <c r="C65" t="s">
        <v>1820</v>
      </c>
      <c r="D65" t="s">
        <v>1011</v>
      </c>
      <c r="G65">
        <v>4525000</v>
      </c>
      <c r="H65">
        <v>4525000</v>
      </c>
      <c r="I65">
        <v>4525000</v>
      </c>
      <c r="J65">
        <v>0</v>
      </c>
      <c r="K65">
        <v>0</v>
      </c>
      <c r="L65">
        <v>24007.58</v>
      </c>
      <c r="M65">
        <v>321859.03999999998</v>
      </c>
      <c r="N65">
        <v>527499.96</v>
      </c>
      <c r="O65">
        <v>499156.04</v>
      </c>
      <c r="P65">
        <v>775241.59</v>
      </c>
      <c r="Q65">
        <v>780776.92</v>
      </c>
      <c r="R65">
        <v>906631.74</v>
      </c>
      <c r="S65">
        <v>665079.21</v>
      </c>
      <c r="U65" s="175">
        <f t="shared" si="6"/>
        <v>1390404.0061538459</v>
      </c>
    </row>
    <row r="66" spans="1:22">
      <c r="A66" s="183" t="str">
        <f t="shared" si="4"/>
        <v>181</v>
      </c>
      <c r="B66" s="183" t="str">
        <f t="shared" si="5"/>
        <v>181.0</v>
      </c>
      <c r="C66" t="s">
        <v>1821</v>
      </c>
      <c r="D66" t="s">
        <v>420</v>
      </c>
      <c r="G66">
        <v>25769001.050000001</v>
      </c>
      <c r="H66">
        <v>30450811</v>
      </c>
      <c r="I66">
        <v>30249042.640000001</v>
      </c>
      <c r="J66">
        <v>30130264.879999999</v>
      </c>
      <c r="K66">
        <v>29922353.210000001</v>
      </c>
      <c r="L66">
        <v>29718626.370000001</v>
      </c>
      <c r="M66">
        <v>29508537.030000001</v>
      </c>
      <c r="N66">
        <v>29298447.690000001</v>
      </c>
      <c r="O66">
        <v>29088358.350000001</v>
      </c>
      <c r="P66">
        <v>28878269.010000002</v>
      </c>
      <c r="Q66">
        <v>28668179.670000002</v>
      </c>
      <c r="R66">
        <v>28458090.329999998</v>
      </c>
      <c r="S66">
        <v>28262912.219999999</v>
      </c>
      <c r="U66" s="175">
        <f t="shared" si="6"/>
        <v>29107914.880769234</v>
      </c>
    </row>
    <row r="67" spans="1:22">
      <c r="A67" s="183" t="str">
        <f t="shared" si="4"/>
        <v>182</v>
      </c>
      <c r="B67" s="183" t="str">
        <f t="shared" si="5"/>
        <v>182.1</v>
      </c>
      <c r="C67" t="s">
        <v>1822</v>
      </c>
      <c r="D67" t="s">
        <v>1014</v>
      </c>
      <c r="G67">
        <v>0</v>
      </c>
      <c r="H67">
        <v>0</v>
      </c>
      <c r="I67">
        <v>0</v>
      </c>
      <c r="J67">
        <v>0</v>
      </c>
      <c r="K67">
        <v>0</v>
      </c>
      <c r="L67">
        <v>0</v>
      </c>
      <c r="M67">
        <v>0</v>
      </c>
      <c r="N67">
        <v>0</v>
      </c>
      <c r="O67">
        <v>0</v>
      </c>
      <c r="P67">
        <v>0</v>
      </c>
      <c r="Q67">
        <v>0</v>
      </c>
      <c r="R67">
        <v>0</v>
      </c>
      <c r="S67">
        <v>0</v>
      </c>
      <c r="U67" s="175">
        <f t="shared" si="6"/>
        <v>0</v>
      </c>
    </row>
    <row r="68" spans="1:22">
      <c r="A68" s="183" t="str">
        <f t="shared" si="4"/>
        <v>182</v>
      </c>
      <c r="B68" s="183" t="str">
        <f t="shared" si="5"/>
        <v>182.2</v>
      </c>
      <c r="C68" t="s">
        <v>1823</v>
      </c>
      <c r="D68" t="s">
        <v>1016</v>
      </c>
      <c r="G68">
        <v>497407676.98000002</v>
      </c>
      <c r="H68">
        <v>495856678.31</v>
      </c>
      <c r="I68">
        <v>494637510.36000001</v>
      </c>
      <c r="J68">
        <v>493346918.08999997</v>
      </c>
      <c r="K68">
        <v>492760024.64999998</v>
      </c>
      <c r="L68">
        <v>492434471.77999997</v>
      </c>
      <c r="M68">
        <v>493725049.23000002</v>
      </c>
      <c r="N68">
        <v>494679843.92000002</v>
      </c>
      <c r="O68">
        <v>496293244.16000003</v>
      </c>
      <c r="P68">
        <v>498760163.49000001</v>
      </c>
      <c r="Q68">
        <v>499855133.06999999</v>
      </c>
      <c r="R68">
        <v>503333831.81999999</v>
      </c>
      <c r="S68">
        <v>507313063.85000002</v>
      </c>
      <c r="U68" s="175">
        <f t="shared" si="6"/>
        <v>496954123.82384616</v>
      </c>
      <c r="V68" s="141">
        <f>SUM(U68:U69)</f>
        <v>1254410024.0915384</v>
      </c>
    </row>
    <row r="69" spans="1:22">
      <c r="A69" s="183" t="str">
        <f t="shared" si="4"/>
        <v>182</v>
      </c>
      <c r="B69" s="183" t="str">
        <f t="shared" si="5"/>
        <v>182.3</v>
      </c>
      <c r="C69" t="s">
        <v>1824</v>
      </c>
      <c r="D69" t="s">
        <v>585</v>
      </c>
      <c r="G69">
        <v>988757439.61000001</v>
      </c>
      <c r="H69">
        <v>965769031.63999999</v>
      </c>
      <c r="I69">
        <v>944804517.03999996</v>
      </c>
      <c r="J69">
        <v>917404994.27999997</v>
      </c>
      <c r="K69">
        <v>873217374.04999995</v>
      </c>
      <c r="L69">
        <v>827382519.12</v>
      </c>
      <c r="M69">
        <v>767928341.25999999</v>
      </c>
      <c r="N69">
        <v>705940539.21000004</v>
      </c>
      <c r="O69">
        <v>682897604.44000006</v>
      </c>
      <c r="P69">
        <v>614214543.59000003</v>
      </c>
      <c r="Q69">
        <v>561506931.69000006</v>
      </c>
      <c r="R69">
        <v>519568691.45999998</v>
      </c>
      <c r="S69">
        <v>477534176.08999997</v>
      </c>
      <c r="U69" s="175">
        <f t="shared" si="6"/>
        <v>757455900.26769233</v>
      </c>
    </row>
    <row r="70" spans="1:22">
      <c r="A70" s="183" t="str">
        <f t="shared" si="4"/>
        <v>183</v>
      </c>
      <c r="B70" s="183" t="str">
        <f t="shared" si="5"/>
        <v>183.0</v>
      </c>
      <c r="C70" t="s">
        <v>1825</v>
      </c>
      <c r="D70" t="s">
        <v>1019</v>
      </c>
      <c r="G70">
        <v>2061602.77</v>
      </c>
      <c r="H70">
        <v>2262806.96</v>
      </c>
      <c r="I70">
        <v>2198070.27</v>
      </c>
      <c r="J70">
        <v>3167369.31</v>
      </c>
      <c r="K70">
        <v>3897786.09</v>
      </c>
      <c r="L70">
        <v>3757362.08</v>
      </c>
      <c r="M70">
        <v>4137859.18</v>
      </c>
      <c r="N70">
        <v>4854782.5999999996</v>
      </c>
      <c r="O70">
        <v>5514525.04</v>
      </c>
      <c r="P70">
        <v>6932935.2300000004</v>
      </c>
      <c r="Q70">
        <v>8559210.1300000008</v>
      </c>
      <c r="R70">
        <v>9933603.1199999992</v>
      </c>
      <c r="S70">
        <v>10078821.82</v>
      </c>
      <c r="U70" s="175">
        <f t="shared" si="6"/>
        <v>5181287.2769230762</v>
      </c>
    </row>
    <row r="71" spans="1:22">
      <c r="A71" s="183" t="str">
        <f t="shared" ref="A71:A134" si="7">MID(C71,4,3)</f>
        <v>183</v>
      </c>
      <c r="B71" s="183" t="str">
        <f t="shared" ref="B71:B134" si="8">MID(C71,4,3)&amp;"."&amp;MID(C71,7,1)</f>
        <v>183.1</v>
      </c>
      <c r="C71" t="s">
        <v>1826</v>
      </c>
      <c r="D71" t="s">
        <v>1021</v>
      </c>
      <c r="G71">
        <v>0</v>
      </c>
      <c r="H71">
        <v>0</v>
      </c>
      <c r="I71">
        <v>0</v>
      </c>
      <c r="J71">
        <v>0</v>
      </c>
      <c r="K71">
        <v>0</v>
      </c>
      <c r="L71">
        <v>0</v>
      </c>
      <c r="M71">
        <v>0</v>
      </c>
      <c r="N71">
        <v>0</v>
      </c>
      <c r="O71">
        <v>0</v>
      </c>
      <c r="P71">
        <v>0</v>
      </c>
      <c r="Q71">
        <v>0</v>
      </c>
      <c r="R71">
        <v>0</v>
      </c>
      <c r="S71">
        <v>0</v>
      </c>
      <c r="U71" s="175">
        <f t="shared" ref="U71:U134" si="9">AVERAGE(G71:S71)</f>
        <v>0</v>
      </c>
    </row>
    <row r="72" spans="1:22">
      <c r="A72" s="183" t="str">
        <f t="shared" si="7"/>
        <v>183</v>
      </c>
      <c r="B72" s="183" t="str">
        <f t="shared" si="8"/>
        <v>183.2</v>
      </c>
      <c r="C72" t="s">
        <v>1827</v>
      </c>
      <c r="D72" t="s">
        <v>1023</v>
      </c>
      <c r="G72">
        <v>0</v>
      </c>
      <c r="H72">
        <v>0</v>
      </c>
      <c r="I72">
        <v>0</v>
      </c>
      <c r="J72">
        <v>0</v>
      </c>
      <c r="K72">
        <v>0</v>
      </c>
      <c r="L72">
        <v>0</v>
      </c>
      <c r="M72">
        <v>0</v>
      </c>
      <c r="N72">
        <v>0</v>
      </c>
      <c r="O72">
        <v>0</v>
      </c>
      <c r="P72">
        <v>0</v>
      </c>
      <c r="Q72">
        <v>0</v>
      </c>
      <c r="R72">
        <v>0</v>
      </c>
      <c r="S72">
        <v>0</v>
      </c>
      <c r="U72" s="175">
        <f t="shared" si="9"/>
        <v>0</v>
      </c>
    </row>
    <row r="73" spans="1:22">
      <c r="A73" s="183" t="str">
        <f t="shared" si="7"/>
        <v>184</v>
      </c>
      <c r="B73" s="183" t="str">
        <f t="shared" si="8"/>
        <v>184.0</v>
      </c>
      <c r="C73" t="s">
        <v>1828</v>
      </c>
      <c r="D73" t="s">
        <v>291</v>
      </c>
      <c r="G73">
        <v>67773.86</v>
      </c>
      <c r="H73">
        <v>67455.17</v>
      </c>
      <c r="I73">
        <v>68381.16</v>
      </c>
      <c r="J73">
        <v>69392.33</v>
      </c>
      <c r="K73">
        <v>70494.36</v>
      </c>
      <c r="L73">
        <v>70456.509999999995</v>
      </c>
      <c r="M73">
        <v>71892.42</v>
      </c>
      <c r="N73">
        <v>72053.320000000007</v>
      </c>
      <c r="O73">
        <v>73763.89</v>
      </c>
      <c r="P73">
        <v>74647.199999999997</v>
      </c>
      <c r="Q73">
        <v>75308.81</v>
      </c>
      <c r="R73">
        <v>75748.45</v>
      </c>
      <c r="S73">
        <v>76622.31</v>
      </c>
      <c r="U73" s="175">
        <f t="shared" si="9"/>
        <v>71845.36846153847</v>
      </c>
    </row>
    <row r="74" spans="1:22">
      <c r="A74" s="183" t="str">
        <f t="shared" si="7"/>
        <v>184</v>
      </c>
      <c r="B74" s="183" t="str">
        <f t="shared" si="8"/>
        <v>184.1</v>
      </c>
      <c r="C74" t="s">
        <v>1829</v>
      </c>
      <c r="D74" t="s">
        <v>1026</v>
      </c>
      <c r="G74">
        <v>0</v>
      </c>
      <c r="H74">
        <v>0</v>
      </c>
      <c r="I74">
        <v>0</v>
      </c>
      <c r="J74">
        <v>0</v>
      </c>
      <c r="K74">
        <v>0</v>
      </c>
      <c r="L74">
        <v>0</v>
      </c>
      <c r="M74">
        <v>0</v>
      </c>
      <c r="N74">
        <v>0</v>
      </c>
      <c r="O74">
        <v>0</v>
      </c>
      <c r="P74">
        <v>0</v>
      </c>
      <c r="Q74">
        <v>0</v>
      </c>
      <c r="R74">
        <v>0</v>
      </c>
      <c r="S74">
        <v>0</v>
      </c>
      <c r="U74" s="175">
        <f t="shared" si="9"/>
        <v>0</v>
      </c>
    </row>
    <row r="75" spans="1:22">
      <c r="A75" s="183" t="str">
        <f t="shared" si="7"/>
        <v>186</v>
      </c>
      <c r="B75" s="183" t="str">
        <f t="shared" si="8"/>
        <v>186.0</v>
      </c>
      <c r="C75" t="s">
        <v>1830</v>
      </c>
      <c r="D75" t="s">
        <v>1028</v>
      </c>
      <c r="G75">
        <v>12387669.57</v>
      </c>
      <c r="H75">
        <v>12823384.050000001</v>
      </c>
      <c r="I75">
        <v>12946700.1</v>
      </c>
      <c r="J75">
        <v>12407220.27</v>
      </c>
      <c r="K75">
        <v>12558118.24</v>
      </c>
      <c r="L75">
        <v>12266335.07</v>
      </c>
      <c r="M75">
        <v>8046842.3300000001</v>
      </c>
      <c r="N75">
        <v>7806208.4400000004</v>
      </c>
      <c r="O75">
        <v>10302964.300000001</v>
      </c>
      <c r="P75">
        <v>8979025.6400000006</v>
      </c>
      <c r="Q75">
        <v>10195414.119999999</v>
      </c>
      <c r="R75">
        <v>11467779.77</v>
      </c>
      <c r="S75">
        <v>8801280.9499999993</v>
      </c>
      <c r="U75" s="175">
        <f t="shared" si="9"/>
        <v>10845303.296153845</v>
      </c>
    </row>
    <row r="76" spans="1:22">
      <c r="A76" s="183" t="str">
        <f t="shared" si="7"/>
        <v>187</v>
      </c>
      <c r="B76" s="183" t="str">
        <f t="shared" si="8"/>
        <v>187.0</v>
      </c>
      <c r="C76" t="s">
        <v>1831</v>
      </c>
      <c r="D76" t="s">
        <v>1030</v>
      </c>
      <c r="G76">
        <v>0</v>
      </c>
      <c r="H76">
        <v>0</v>
      </c>
      <c r="I76">
        <v>0</v>
      </c>
      <c r="J76">
        <v>0</v>
      </c>
      <c r="K76">
        <v>0</v>
      </c>
      <c r="L76">
        <v>0</v>
      </c>
      <c r="M76">
        <v>0</v>
      </c>
      <c r="N76">
        <v>0</v>
      </c>
      <c r="O76">
        <v>0</v>
      </c>
      <c r="P76">
        <v>0</v>
      </c>
      <c r="Q76">
        <v>0</v>
      </c>
      <c r="R76">
        <v>0</v>
      </c>
      <c r="S76">
        <v>0</v>
      </c>
      <c r="U76" s="175">
        <f t="shared" si="9"/>
        <v>0</v>
      </c>
    </row>
    <row r="77" spans="1:22">
      <c r="A77" s="183" t="str">
        <f t="shared" si="7"/>
        <v>188</v>
      </c>
      <c r="B77" s="183" t="str">
        <f t="shared" si="8"/>
        <v>188.0</v>
      </c>
      <c r="C77" t="s">
        <v>1832</v>
      </c>
      <c r="D77" t="s">
        <v>1032</v>
      </c>
      <c r="G77">
        <v>0</v>
      </c>
      <c r="H77">
        <v>0</v>
      </c>
      <c r="I77">
        <v>0</v>
      </c>
      <c r="J77">
        <v>0</v>
      </c>
      <c r="K77">
        <v>0</v>
      </c>
      <c r="L77">
        <v>0</v>
      </c>
      <c r="M77">
        <v>0</v>
      </c>
      <c r="N77">
        <v>0</v>
      </c>
      <c r="O77">
        <v>0</v>
      </c>
      <c r="P77">
        <v>0</v>
      </c>
      <c r="Q77">
        <v>0</v>
      </c>
      <c r="R77">
        <v>0</v>
      </c>
      <c r="S77">
        <v>0</v>
      </c>
      <c r="U77" s="175">
        <f t="shared" si="9"/>
        <v>0</v>
      </c>
    </row>
    <row r="78" spans="1:22">
      <c r="A78" s="183" t="str">
        <f t="shared" si="7"/>
        <v>189</v>
      </c>
      <c r="B78" s="183" t="str">
        <f t="shared" si="8"/>
        <v>189.0</v>
      </c>
      <c r="C78" t="s">
        <v>1833</v>
      </c>
      <c r="D78" t="s">
        <v>430</v>
      </c>
      <c r="G78">
        <v>3367124.77</v>
      </c>
      <c r="H78">
        <v>3327730.07</v>
      </c>
      <c r="I78">
        <v>3288335.37</v>
      </c>
      <c r="J78">
        <v>3248940.67</v>
      </c>
      <c r="K78">
        <v>3209545.97</v>
      </c>
      <c r="L78">
        <v>3170151.27</v>
      </c>
      <c r="M78">
        <v>3130756.57</v>
      </c>
      <c r="N78">
        <v>3091361.87</v>
      </c>
      <c r="O78">
        <v>3051967.17</v>
      </c>
      <c r="P78">
        <v>3012572.47</v>
      </c>
      <c r="Q78">
        <v>2980725.9</v>
      </c>
      <c r="R78">
        <v>2948879.33</v>
      </c>
      <c r="S78">
        <v>2917032.76</v>
      </c>
      <c r="U78" s="175">
        <f t="shared" si="9"/>
        <v>3134240.3223076919</v>
      </c>
    </row>
    <row r="79" spans="1:22">
      <c r="A79" s="183" t="str">
        <f t="shared" si="7"/>
        <v>190</v>
      </c>
      <c r="B79" s="183" t="str">
        <f t="shared" si="8"/>
        <v>190.0</v>
      </c>
      <c r="C79" t="s">
        <v>1834</v>
      </c>
      <c r="D79" t="s">
        <v>1035</v>
      </c>
      <c r="G79">
        <v>721216497.02999997</v>
      </c>
      <c r="H79">
        <v>722459626.45000005</v>
      </c>
      <c r="I79">
        <v>723886448.99000001</v>
      </c>
      <c r="J79">
        <v>723751766.91999996</v>
      </c>
      <c r="K79">
        <v>728171973.23000002</v>
      </c>
      <c r="L79">
        <v>732011887.73000002</v>
      </c>
      <c r="M79">
        <v>725750889.40999997</v>
      </c>
      <c r="N79">
        <v>730411310.10000002</v>
      </c>
      <c r="O79">
        <v>725165050.70000005</v>
      </c>
      <c r="P79">
        <v>715443750.63</v>
      </c>
      <c r="Q79">
        <v>718700654.16999996</v>
      </c>
      <c r="R79">
        <v>721554029.97000003</v>
      </c>
      <c r="S79">
        <v>716561901.19000006</v>
      </c>
      <c r="U79" s="175">
        <f t="shared" si="9"/>
        <v>723468137.42461538</v>
      </c>
    </row>
    <row r="80" spans="1:22">
      <c r="A80" s="183" t="str">
        <f t="shared" si="7"/>
        <v>191</v>
      </c>
      <c r="B80" s="183" t="str">
        <f t="shared" si="8"/>
        <v>191.0</v>
      </c>
      <c r="C80" t="s">
        <v>1835</v>
      </c>
      <c r="D80" t="s">
        <v>1037</v>
      </c>
      <c r="G80">
        <v>0</v>
      </c>
      <c r="H80">
        <v>0</v>
      </c>
      <c r="I80">
        <v>0</v>
      </c>
      <c r="J80">
        <v>0</v>
      </c>
      <c r="K80">
        <v>0</v>
      </c>
      <c r="L80">
        <v>0</v>
      </c>
      <c r="M80">
        <v>0</v>
      </c>
      <c r="N80">
        <v>0</v>
      </c>
      <c r="O80">
        <v>0</v>
      </c>
      <c r="P80">
        <v>0</v>
      </c>
      <c r="Q80">
        <v>0</v>
      </c>
      <c r="R80">
        <v>0</v>
      </c>
      <c r="S80">
        <v>0</v>
      </c>
      <c r="U80" s="175">
        <f t="shared" si="9"/>
        <v>0</v>
      </c>
    </row>
    <row r="81" spans="1:21">
      <c r="A81" s="183" t="str">
        <f t="shared" si="7"/>
        <v>201</v>
      </c>
      <c r="B81" s="183" t="str">
        <f t="shared" si="8"/>
        <v>201.0</v>
      </c>
      <c r="C81" t="s">
        <v>1836</v>
      </c>
      <c r="D81" t="s">
        <v>1039</v>
      </c>
      <c r="G81">
        <v>119696788.17</v>
      </c>
      <c r="H81">
        <v>119696788.17</v>
      </c>
      <c r="I81">
        <v>119696788.17</v>
      </c>
      <c r="J81">
        <v>119696788.17</v>
      </c>
      <c r="K81">
        <v>119696788.17</v>
      </c>
      <c r="L81">
        <v>119696788.17</v>
      </c>
      <c r="M81">
        <v>119696788.17</v>
      </c>
      <c r="N81">
        <v>119696788.17</v>
      </c>
      <c r="O81">
        <v>119696788.17</v>
      </c>
      <c r="P81">
        <v>119696788.17</v>
      </c>
      <c r="Q81">
        <v>119696788.17</v>
      </c>
      <c r="R81">
        <v>119696788.17</v>
      </c>
      <c r="S81">
        <v>119696788.17</v>
      </c>
      <c r="U81" s="175">
        <f t="shared" si="9"/>
        <v>119696788.17000002</v>
      </c>
    </row>
    <row r="82" spans="1:21">
      <c r="A82" s="183" t="str">
        <f t="shared" si="7"/>
        <v>207</v>
      </c>
      <c r="B82" s="183" t="str">
        <f t="shared" si="8"/>
        <v>207.0</v>
      </c>
      <c r="C82" t="s">
        <v>1837</v>
      </c>
      <c r="D82" t="s">
        <v>1041</v>
      </c>
      <c r="G82">
        <v>0</v>
      </c>
      <c r="H82">
        <v>0</v>
      </c>
      <c r="I82">
        <v>0</v>
      </c>
      <c r="J82">
        <v>0</v>
      </c>
      <c r="K82">
        <v>0</v>
      </c>
      <c r="L82">
        <v>0</v>
      </c>
      <c r="M82">
        <v>0</v>
      </c>
      <c r="N82">
        <v>0</v>
      </c>
      <c r="O82">
        <v>0</v>
      </c>
      <c r="P82">
        <v>0</v>
      </c>
      <c r="Q82">
        <v>0</v>
      </c>
      <c r="R82">
        <v>0</v>
      </c>
      <c r="S82">
        <v>0</v>
      </c>
      <c r="U82" s="175">
        <f t="shared" si="9"/>
        <v>0</v>
      </c>
    </row>
    <row r="83" spans="1:21">
      <c r="A83" s="183" t="str">
        <f t="shared" si="7"/>
        <v>208</v>
      </c>
      <c r="B83" s="183" t="str">
        <f t="shared" si="8"/>
        <v>208.0</v>
      </c>
      <c r="C83" t="s">
        <v>1838</v>
      </c>
      <c r="D83" t="s">
        <v>1043</v>
      </c>
      <c r="G83">
        <v>0</v>
      </c>
      <c r="H83">
        <v>0</v>
      </c>
      <c r="I83">
        <v>0</v>
      </c>
      <c r="J83">
        <v>0</v>
      </c>
      <c r="K83">
        <v>0</v>
      </c>
      <c r="L83">
        <v>0</v>
      </c>
      <c r="M83">
        <v>0</v>
      </c>
      <c r="N83">
        <v>0</v>
      </c>
      <c r="O83">
        <v>0</v>
      </c>
      <c r="P83">
        <v>0</v>
      </c>
      <c r="Q83">
        <v>0</v>
      </c>
      <c r="R83">
        <v>0</v>
      </c>
      <c r="S83">
        <v>0</v>
      </c>
      <c r="U83" s="175">
        <f t="shared" si="9"/>
        <v>0</v>
      </c>
    </row>
    <row r="84" spans="1:21">
      <c r="A84" s="183" t="str">
        <f t="shared" si="7"/>
        <v>211</v>
      </c>
      <c r="B84" s="183" t="str">
        <f t="shared" si="8"/>
        <v>211.0</v>
      </c>
      <c r="C84" t="s">
        <v>1839</v>
      </c>
      <c r="D84" t="s">
        <v>1045</v>
      </c>
      <c r="G84">
        <v>4085840249.4899998</v>
      </c>
      <c r="H84">
        <v>4085840249.4899998</v>
      </c>
      <c r="I84">
        <v>4185840249.4899998</v>
      </c>
      <c r="J84">
        <v>4185840249.4899998</v>
      </c>
      <c r="K84">
        <v>4185840249.4899998</v>
      </c>
      <c r="L84">
        <v>4285840249.4899998</v>
      </c>
      <c r="M84">
        <v>4285840249.4899998</v>
      </c>
      <c r="N84">
        <v>4285840249.4899998</v>
      </c>
      <c r="O84">
        <v>4385840249.4899998</v>
      </c>
      <c r="P84">
        <v>4385840249.4899998</v>
      </c>
      <c r="Q84">
        <v>4385840249.4899998</v>
      </c>
      <c r="R84">
        <v>4385840249.4899998</v>
      </c>
      <c r="S84">
        <v>4385840249.4899998</v>
      </c>
      <c r="U84" s="175">
        <f t="shared" si="9"/>
        <v>4270455634.1053829</v>
      </c>
    </row>
    <row r="85" spans="1:21">
      <c r="A85" s="183" t="str">
        <f t="shared" si="7"/>
        <v>214</v>
      </c>
      <c r="B85" s="183" t="str">
        <f t="shared" si="8"/>
        <v>214.0</v>
      </c>
      <c r="C85" t="s">
        <v>1840</v>
      </c>
      <c r="D85" t="s">
        <v>440</v>
      </c>
      <c r="G85">
        <v>-700920.51</v>
      </c>
      <c r="H85">
        <v>-700920.51</v>
      </c>
      <c r="I85">
        <v>-700920.51</v>
      </c>
      <c r="J85">
        <v>-700920.51</v>
      </c>
      <c r="K85">
        <v>-700920.51</v>
      </c>
      <c r="L85">
        <v>-700920.51</v>
      </c>
      <c r="M85">
        <v>-700920.51</v>
      </c>
      <c r="N85">
        <v>-700920.51</v>
      </c>
      <c r="O85">
        <v>-700920.51</v>
      </c>
      <c r="P85">
        <v>-700920.51</v>
      </c>
      <c r="Q85">
        <v>-700920.51</v>
      </c>
      <c r="R85">
        <v>-700920.51</v>
      </c>
      <c r="S85">
        <v>-700920.51</v>
      </c>
      <c r="U85" s="175">
        <f t="shared" si="9"/>
        <v>-700920.50999999989</v>
      </c>
    </row>
    <row r="86" spans="1:21">
      <c r="A86" s="183" t="str">
        <f t="shared" si="7"/>
        <v>215</v>
      </c>
      <c r="B86" s="183" t="str">
        <f t="shared" si="8"/>
        <v>215.0</v>
      </c>
      <c r="C86" t="s">
        <v>1841</v>
      </c>
      <c r="D86" t="s">
        <v>1048</v>
      </c>
      <c r="G86">
        <v>0</v>
      </c>
      <c r="H86">
        <v>0</v>
      </c>
      <c r="I86">
        <v>0</v>
      </c>
      <c r="J86">
        <v>0</v>
      </c>
      <c r="K86">
        <v>0</v>
      </c>
      <c r="L86">
        <v>0</v>
      </c>
      <c r="M86">
        <v>0</v>
      </c>
      <c r="N86">
        <v>0</v>
      </c>
      <c r="O86">
        <v>0</v>
      </c>
      <c r="P86">
        <v>0</v>
      </c>
      <c r="Q86">
        <v>0</v>
      </c>
      <c r="R86">
        <v>0</v>
      </c>
      <c r="S86">
        <v>0</v>
      </c>
      <c r="U86" s="175">
        <f t="shared" si="9"/>
        <v>0</v>
      </c>
    </row>
    <row r="87" spans="1:21">
      <c r="A87" s="183" t="str">
        <f t="shared" si="7"/>
        <v>215</v>
      </c>
      <c r="B87" s="183" t="str">
        <f t="shared" si="8"/>
        <v>215.1</v>
      </c>
      <c r="C87" t="s">
        <v>1842</v>
      </c>
      <c r="D87" t="s">
        <v>1050</v>
      </c>
      <c r="G87">
        <v>0</v>
      </c>
      <c r="H87">
        <v>0</v>
      </c>
      <c r="I87">
        <v>0</v>
      </c>
      <c r="J87">
        <v>0</v>
      </c>
      <c r="K87">
        <v>0</v>
      </c>
      <c r="L87">
        <v>0</v>
      </c>
      <c r="M87">
        <v>0</v>
      </c>
      <c r="N87">
        <v>0</v>
      </c>
      <c r="O87">
        <v>0</v>
      </c>
      <c r="P87">
        <v>0</v>
      </c>
      <c r="Q87">
        <v>0</v>
      </c>
      <c r="R87">
        <v>0</v>
      </c>
      <c r="S87">
        <v>0</v>
      </c>
      <c r="U87" s="175">
        <f t="shared" si="9"/>
        <v>0</v>
      </c>
    </row>
    <row r="88" spans="1:21">
      <c r="A88" s="183" t="str">
        <f t="shared" si="7"/>
        <v>216</v>
      </c>
      <c r="B88" s="183" t="str">
        <f t="shared" si="8"/>
        <v>216.0</v>
      </c>
      <c r="C88" t="s">
        <v>1843</v>
      </c>
      <c r="D88" t="s">
        <v>1052</v>
      </c>
      <c r="G88">
        <v>225276529.41</v>
      </c>
      <c r="H88">
        <v>257504587.68000001</v>
      </c>
      <c r="I88">
        <v>187957983.75</v>
      </c>
      <c r="J88">
        <v>213408199.78</v>
      </c>
      <c r="K88">
        <v>248262462.44999999</v>
      </c>
      <c r="L88">
        <v>212823494.81999999</v>
      </c>
      <c r="M88">
        <v>265545817.84999999</v>
      </c>
      <c r="N88">
        <v>322763443.83999997</v>
      </c>
      <c r="O88">
        <v>253237615.59</v>
      </c>
      <c r="P88">
        <v>303981431.95999998</v>
      </c>
      <c r="Q88">
        <v>341436991.25</v>
      </c>
      <c r="R88">
        <v>197437007.52000001</v>
      </c>
      <c r="S88">
        <v>218642898.91999999</v>
      </c>
      <c r="U88" s="175">
        <f t="shared" si="9"/>
        <v>249867574.21692306</v>
      </c>
    </row>
    <row r="89" spans="1:21">
      <c r="A89" s="183" t="str">
        <f t="shared" si="7"/>
        <v>216</v>
      </c>
      <c r="B89" s="183" t="str">
        <f t="shared" si="8"/>
        <v>216.1</v>
      </c>
      <c r="C89" t="s">
        <v>1844</v>
      </c>
      <c r="D89" t="s">
        <v>1054</v>
      </c>
      <c r="G89">
        <v>0</v>
      </c>
      <c r="H89">
        <v>0</v>
      </c>
      <c r="I89">
        <v>0</v>
      </c>
      <c r="J89">
        <v>0</v>
      </c>
      <c r="K89">
        <v>0</v>
      </c>
      <c r="L89">
        <v>0</v>
      </c>
      <c r="M89">
        <v>0</v>
      </c>
      <c r="N89">
        <v>0</v>
      </c>
      <c r="O89">
        <v>0</v>
      </c>
      <c r="P89">
        <v>0</v>
      </c>
      <c r="Q89">
        <v>0</v>
      </c>
      <c r="R89">
        <v>0</v>
      </c>
      <c r="S89">
        <v>0</v>
      </c>
      <c r="U89" s="175">
        <f t="shared" si="9"/>
        <v>0</v>
      </c>
    </row>
    <row r="90" spans="1:21">
      <c r="A90" s="183" t="str">
        <f t="shared" si="7"/>
        <v>219</v>
      </c>
      <c r="B90" s="183" t="str">
        <f t="shared" si="8"/>
        <v>219.0</v>
      </c>
      <c r="C90" t="s">
        <v>1845</v>
      </c>
      <c r="D90" t="s">
        <v>1056</v>
      </c>
      <c r="G90">
        <v>-714573.54</v>
      </c>
      <c r="H90">
        <v>-911523.57</v>
      </c>
      <c r="I90">
        <v>-856849.63</v>
      </c>
      <c r="J90">
        <v>-811145.5</v>
      </c>
      <c r="K90">
        <v>-802994.77</v>
      </c>
      <c r="L90">
        <v>-794843.95</v>
      </c>
      <c r="M90">
        <v>-786693.13</v>
      </c>
      <c r="N90">
        <v>-778542.31</v>
      </c>
      <c r="O90">
        <v>-770391.49</v>
      </c>
      <c r="P90">
        <v>-762240.66</v>
      </c>
      <c r="Q90">
        <v>-754089.87</v>
      </c>
      <c r="R90">
        <v>-745939.05</v>
      </c>
      <c r="S90">
        <v>-737788.26</v>
      </c>
      <c r="U90" s="175">
        <f t="shared" si="9"/>
        <v>-786739.67153846158</v>
      </c>
    </row>
    <row r="91" spans="1:21">
      <c r="A91" s="183" t="str">
        <f t="shared" si="7"/>
        <v>221</v>
      </c>
      <c r="B91" s="183" t="str">
        <f t="shared" si="8"/>
        <v>221.0</v>
      </c>
      <c r="C91" t="s">
        <v>1846</v>
      </c>
      <c r="D91" t="s">
        <v>1058</v>
      </c>
      <c r="G91">
        <v>3205000000</v>
      </c>
      <c r="H91">
        <v>3775000000</v>
      </c>
      <c r="I91">
        <v>3775000000</v>
      </c>
      <c r="J91">
        <v>3775000000</v>
      </c>
      <c r="K91">
        <v>3775000000</v>
      </c>
      <c r="L91">
        <v>3775000000</v>
      </c>
      <c r="M91">
        <v>3775000000</v>
      </c>
      <c r="N91">
        <v>3775000000</v>
      </c>
      <c r="O91">
        <v>3775000000</v>
      </c>
      <c r="P91">
        <v>3775000000</v>
      </c>
      <c r="Q91">
        <v>3775000000</v>
      </c>
      <c r="R91">
        <v>3775000000</v>
      </c>
      <c r="S91">
        <v>3775000000</v>
      </c>
      <c r="U91" s="175">
        <f t="shared" si="9"/>
        <v>3731153846.1538463</v>
      </c>
    </row>
    <row r="92" spans="1:21">
      <c r="A92" s="183" t="str">
        <f t="shared" si="7"/>
        <v>223</v>
      </c>
      <c r="B92" s="183" t="str">
        <f t="shared" si="8"/>
        <v>223.0</v>
      </c>
      <c r="C92" t="s">
        <v>1847</v>
      </c>
      <c r="D92" t="s">
        <v>1060</v>
      </c>
      <c r="G92">
        <v>0</v>
      </c>
      <c r="H92">
        <v>0</v>
      </c>
      <c r="I92">
        <v>0</v>
      </c>
      <c r="J92">
        <v>0</v>
      </c>
      <c r="K92">
        <v>0</v>
      </c>
      <c r="L92">
        <v>0</v>
      </c>
      <c r="M92">
        <v>0</v>
      </c>
      <c r="N92">
        <v>0</v>
      </c>
      <c r="O92">
        <v>0</v>
      </c>
      <c r="P92">
        <v>0</v>
      </c>
      <c r="Q92">
        <v>0</v>
      </c>
      <c r="R92">
        <v>0</v>
      </c>
      <c r="S92">
        <v>0</v>
      </c>
      <c r="U92" s="175">
        <f t="shared" si="9"/>
        <v>0</v>
      </c>
    </row>
    <row r="93" spans="1:21">
      <c r="A93" s="183" t="str">
        <f t="shared" si="7"/>
        <v>224</v>
      </c>
      <c r="B93" s="183" t="str">
        <f t="shared" si="8"/>
        <v>224.0</v>
      </c>
      <c r="C93" t="s">
        <v>1848</v>
      </c>
      <c r="D93" t="s">
        <v>1062</v>
      </c>
      <c r="G93">
        <v>0</v>
      </c>
      <c r="H93">
        <v>0</v>
      </c>
      <c r="I93">
        <v>0</v>
      </c>
      <c r="J93">
        <v>0</v>
      </c>
      <c r="K93">
        <v>0</v>
      </c>
      <c r="L93">
        <v>0</v>
      </c>
      <c r="M93">
        <v>0</v>
      </c>
      <c r="N93">
        <v>0</v>
      </c>
      <c r="O93">
        <v>0</v>
      </c>
      <c r="P93">
        <v>0</v>
      </c>
      <c r="Q93">
        <v>0</v>
      </c>
      <c r="R93">
        <v>0</v>
      </c>
      <c r="S93">
        <v>0</v>
      </c>
      <c r="U93" s="175">
        <f t="shared" si="9"/>
        <v>0</v>
      </c>
    </row>
    <row r="94" spans="1:21">
      <c r="A94" s="183" t="str">
        <f t="shared" si="7"/>
        <v>225</v>
      </c>
      <c r="B94" s="183" t="str">
        <f t="shared" si="8"/>
        <v>225.0</v>
      </c>
      <c r="C94" t="s">
        <v>1849</v>
      </c>
      <c r="D94" t="s">
        <v>1064</v>
      </c>
      <c r="G94">
        <v>0</v>
      </c>
      <c r="H94">
        <v>0</v>
      </c>
      <c r="I94">
        <v>0</v>
      </c>
      <c r="J94">
        <v>0</v>
      </c>
      <c r="K94">
        <v>0</v>
      </c>
      <c r="L94">
        <v>0</v>
      </c>
      <c r="M94">
        <v>0</v>
      </c>
      <c r="N94">
        <v>0</v>
      </c>
      <c r="O94">
        <v>0</v>
      </c>
      <c r="P94">
        <v>0</v>
      </c>
      <c r="Q94">
        <v>0</v>
      </c>
      <c r="R94">
        <v>0</v>
      </c>
      <c r="S94">
        <v>0</v>
      </c>
      <c r="U94" s="175">
        <f t="shared" si="9"/>
        <v>0</v>
      </c>
    </row>
    <row r="95" spans="1:21">
      <c r="A95" s="183" t="str">
        <f t="shared" si="7"/>
        <v>226</v>
      </c>
      <c r="B95" s="183" t="str">
        <f t="shared" si="8"/>
        <v>226.0</v>
      </c>
      <c r="C95" t="s">
        <v>1850</v>
      </c>
      <c r="D95" t="s">
        <v>1066</v>
      </c>
      <c r="G95">
        <v>-9656549</v>
      </c>
      <c r="H95">
        <v>-11216674.83</v>
      </c>
      <c r="I95">
        <v>-11164769.800000001</v>
      </c>
      <c r="J95">
        <v>-11112864.77</v>
      </c>
      <c r="K95">
        <v>-11060959.74</v>
      </c>
      <c r="L95">
        <v>-11009054.710000001</v>
      </c>
      <c r="M95">
        <v>-10957149.68</v>
      </c>
      <c r="N95">
        <v>-10905244.65</v>
      </c>
      <c r="O95">
        <v>-10853339.619999999</v>
      </c>
      <c r="P95">
        <v>-10801434.59</v>
      </c>
      <c r="Q95">
        <v>-10749529.560000001</v>
      </c>
      <c r="R95">
        <v>-10697624.529999999</v>
      </c>
      <c r="S95">
        <v>-10645719.5</v>
      </c>
      <c r="U95" s="175">
        <f t="shared" si="9"/>
        <v>-10833147.306153847</v>
      </c>
    </row>
    <row r="96" spans="1:21">
      <c r="A96" s="183" t="str">
        <f t="shared" si="7"/>
        <v>227</v>
      </c>
      <c r="B96" s="183" t="str">
        <f t="shared" si="8"/>
        <v>227.0</v>
      </c>
      <c r="C96" t="s">
        <v>1851</v>
      </c>
      <c r="D96" t="s">
        <v>296</v>
      </c>
      <c r="G96">
        <v>24402978.280000001</v>
      </c>
      <c r="H96">
        <v>24371840.300000001</v>
      </c>
      <c r="I96">
        <v>24340663.120000001</v>
      </c>
      <c r="J96">
        <v>24697224.48</v>
      </c>
      <c r="K96">
        <v>24667373.809999999</v>
      </c>
      <c r="L96">
        <v>24619891.399999999</v>
      </c>
      <c r="M96">
        <v>24098833.649999999</v>
      </c>
      <c r="N96">
        <v>24050338.23</v>
      </c>
      <c r="O96">
        <v>24001757.100000001</v>
      </c>
      <c r="P96">
        <v>23492268.129999999</v>
      </c>
      <c r="Q96">
        <v>23443515.030000001</v>
      </c>
      <c r="R96">
        <v>23394675.670000002</v>
      </c>
      <c r="S96">
        <v>22880584.18</v>
      </c>
      <c r="U96" s="175">
        <f t="shared" si="9"/>
        <v>24035534.106153846</v>
      </c>
    </row>
    <row r="97" spans="1:21">
      <c r="A97" s="183" t="str">
        <f t="shared" si="7"/>
        <v>228</v>
      </c>
      <c r="B97" s="183" t="str">
        <f t="shared" si="8"/>
        <v>228.1</v>
      </c>
      <c r="C97" t="s">
        <v>1852</v>
      </c>
      <c r="D97" t="s">
        <v>1069</v>
      </c>
      <c r="G97">
        <v>0</v>
      </c>
      <c r="H97">
        <v>0</v>
      </c>
      <c r="I97">
        <v>0</v>
      </c>
      <c r="J97">
        <v>0.21</v>
      </c>
      <c r="K97">
        <v>0</v>
      </c>
      <c r="L97">
        <v>0</v>
      </c>
      <c r="M97">
        <v>0</v>
      </c>
      <c r="N97">
        <v>30</v>
      </c>
      <c r="O97">
        <v>0</v>
      </c>
      <c r="P97">
        <v>0</v>
      </c>
      <c r="Q97">
        <v>0</v>
      </c>
      <c r="R97">
        <v>0</v>
      </c>
      <c r="S97">
        <v>0</v>
      </c>
      <c r="U97" s="175">
        <f t="shared" si="9"/>
        <v>2.3238461538461541</v>
      </c>
    </row>
    <row r="98" spans="1:21">
      <c r="A98" s="183" t="str">
        <f t="shared" si="7"/>
        <v>228</v>
      </c>
      <c r="B98" s="183" t="str">
        <f t="shared" si="8"/>
        <v>228.2</v>
      </c>
      <c r="C98" t="s">
        <v>1853</v>
      </c>
      <c r="D98" t="s">
        <v>1071</v>
      </c>
      <c r="G98">
        <v>8188946</v>
      </c>
      <c r="H98">
        <v>8448016.9700000007</v>
      </c>
      <c r="I98">
        <v>8433668.0500000007</v>
      </c>
      <c r="J98">
        <v>7911723</v>
      </c>
      <c r="K98">
        <v>8095936.9199999999</v>
      </c>
      <c r="L98">
        <v>8116715.5700000003</v>
      </c>
      <c r="M98">
        <v>8063735</v>
      </c>
      <c r="N98">
        <v>8214019.6200000001</v>
      </c>
      <c r="O98">
        <v>8156349.7400000002</v>
      </c>
      <c r="P98">
        <v>8080573</v>
      </c>
      <c r="Q98">
        <v>8058108.6100000003</v>
      </c>
      <c r="R98">
        <v>8112165.7599999998</v>
      </c>
      <c r="S98">
        <v>7974627</v>
      </c>
      <c r="U98" s="175">
        <f t="shared" si="9"/>
        <v>8142660.4030769235</v>
      </c>
    </row>
    <row r="99" spans="1:21">
      <c r="A99" s="183" t="str">
        <f t="shared" si="7"/>
        <v>228</v>
      </c>
      <c r="B99" s="183" t="str">
        <f t="shared" si="8"/>
        <v>228.3</v>
      </c>
      <c r="C99" t="s">
        <v>1854</v>
      </c>
      <c r="D99" t="s">
        <v>1073</v>
      </c>
      <c r="G99">
        <v>123309018.3</v>
      </c>
      <c r="H99">
        <v>119371093.45</v>
      </c>
      <c r="I99">
        <v>118462862.98</v>
      </c>
      <c r="J99">
        <v>116489462.73999999</v>
      </c>
      <c r="K99">
        <v>113142354.75</v>
      </c>
      <c r="L99">
        <v>112518530.95</v>
      </c>
      <c r="M99">
        <v>109484883.29000001</v>
      </c>
      <c r="N99">
        <v>105975565.12</v>
      </c>
      <c r="O99">
        <v>105816360.64</v>
      </c>
      <c r="P99">
        <v>106737870.78</v>
      </c>
      <c r="Q99">
        <v>104853196.25</v>
      </c>
      <c r="R99">
        <v>103606911.72</v>
      </c>
      <c r="S99">
        <v>102007176.86</v>
      </c>
      <c r="U99" s="175">
        <f t="shared" si="9"/>
        <v>110905791.37153846</v>
      </c>
    </row>
    <row r="100" spans="1:21">
      <c r="A100" s="183" t="str">
        <f t="shared" si="7"/>
        <v>228</v>
      </c>
      <c r="B100" s="183" t="str">
        <f t="shared" si="8"/>
        <v>228.4</v>
      </c>
      <c r="C100" t="s">
        <v>1855</v>
      </c>
      <c r="D100" t="s">
        <v>460</v>
      </c>
      <c r="G100">
        <v>33653.22</v>
      </c>
      <c r="H100">
        <v>33653.22</v>
      </c>
      <c r="I100">
        <v>33653.22</v>
      </c>
      <c r="J100">
        <v>493661.4</v>
      </c>
      <c r="K100">
        <v>493661.4</v>
      </c>
      <c r="L100">
        <v>493661.4</v>
      </c>
      <c r="M100">
        <v>421701.9</v>
      </c>
      <c r="N100">
        <v>421701.9</v>
      </c>
      <c r="O100">
        <v>421701.9</v>
      </c>
      <c r="P100">
        <v>967017.4</v>
      </c>
      <c r="Q100">
        <v>967017.4</v>
      </c>
      <c r="R100">
        <v>967017.4</v>
      </c>
      <c r="S100">
        <v>782704.03</v>
      </c>
      <c r="U100" s="175">
        <f t="shared" si="9"/>
        <v>502369.67615384614</v>
      </c>
    </row>
    <row r="101" spans="1:21">
      <c r="A101" s="183" t="str">
        <f t="shared" si="7"/>
        <v>229</v>
      </c>
      <c r="B101" s="183" t="str">
        <f t="shared" si="8"/>
        <v>229.0</v>
      </c>
      <c r="C101" t="s">
        <v>1856</v>
      </c>
      <c r="D101" t="s">
        <v>462</v>
      </c>
      <c r="G101">
        <v>0</v>
      </c>
      <c r="H101">
        <v>0</v>
      </c>
      <c r="I101">
        <v>0</v>
      </c>
      <c r="J101">
        <v>0</v>
      </c>
      <c r="K101">
        <v>0</v>
      </c>
      <c r="L101">
        <v>0</v>
      </c>
      <c r="M101">
        <v>0</v>
      </c>
      <c r="N101">
        <v>0</v>
      </c>
      <c r="O101">
        <v>0</v>
      </c>
      <c r="P101">
        <v>0</v>
      </c>
      <c r="Q101">
        <v>0</v>
      </c>
      <c r="R101">
        <v>0</v>
      </c>
      <c r="S101">
        <v>0</v>
      </c>
      <c r="U101" s="175">
        <f t="shared" si="9"/>
        <v>0</v>
      </c>
    </row>
    <row r="102" spans="1:21">
      <c r="A102" s="183" t="str">
        <f t="shared" si="7"/>
        <v>230</v>
      </c>
      <c r="B102" s="183" t="str">
        <f t="shared" si="8"/>
        <v>230.0</v>
      </c>
      <c r="C102" t="s">
        <v>1857</v>
      </c>
      <c r="D102" t="s">
        <v>1077</v>
      </c>
      <c r="G102">
        <v>35307076.869999997</v>
      </c>
      <c r="H102">
        <v>35431131.07</v>
      </c>
      <c r="I102">
        <v>35555658.57</v>
      </c>
      <c r="J102">
        <v>32516236.219999999</v>
      </c>
      <c r="K102">
        <v>32630113.350000001</v>
      </c>
      <c r="L102">
        <v>32744427.039999999</v>
      </c>
      <c r="M102">
        <v>32859179.079999998</v>
      </c>
      <c r="N102">
        <v>32974371.260000002</v>
      </c>
      <c r="O102">
        <v>33090005.420000002</v>
      </c>
      <c r="P102">
        <v>33206083.289999999</v>
      </c>
      <c r="Q102">
        <v>33322606.75</v>
      </c>
      <c r="R102">
        <v>33439577.620000001</v>
      </c>
      <c r="S102">
        <v>32144872.23</v>
      </c>
      <c r="U102" s="175">
        <f t="shared" si="9"/>
        <v>33478564.520769235</v>
      </c>
    </row>
    <row r="103" spans="1:21">
      <c r="A103" s="183" t="str">
        <f t="shared" si="7"/>
        <v>231</v>
      </c>
      <c r="B103" s="183" t="str">
        <f t="shared" si="8"/>
        <v>231.0</v>
      </c>
      <c r="C103" t="s">
        <v>1858</v>
      </c>
      <c r="D103" t="s">
        <v>1079</v>
      </c>
      <c r="G103">
        <v>853002849.89999998</v>
      </c>
      <c r="H103">
        <v>1130000000</v>
      </c>
      <c r="I103">
        <v>1128000000</v>
      </c>
      <c r="J103">
        <v>1182900000</v>
      </c>
      <c r="K103">
        <v>1196000000</v>
      </c>
      <c r="L103">
        <v>1201000000</v>
      </c>
      <c r="M103">
        <v>1224000000</v>
      </c>
      <c r="N103">
        <v>1234000000</v>
      </c>
      <c r="O103">
        <v>1186000000</v>
      </c>
      <c r="P103">
        <v>1158000000</v>
      </c>
      <c r="Q103">
        <v>1127500000</v>
      </c>
      <c r="R103">
        <v>1144000000</v>
      </c>
      <c r="S103">
        <v>706000000</v>
      </c>
      <c r="U103" s="175">
        <f t="shared" si="9"/>
        <v>1113107911.5307691</v>
      </c>
    </row>
    <row r="104" spans="1:21">
      <c r="A104" s="183" t="str">
        <f t="shared" si="7"/>
        <v>232</v>
      </c>
      <c r="B104" s="183" t="str">
        <f t="shared" si="8"/>
        <v>232.0</v>
      </c>
      <c r="C104" t="s">
        <v>1859</v>
      </c>
      <c r="D104" t="s">
        <v>301</v>
      </c>
      <c r="G104">
        <v>364873681.25999999</v>
      </c>
      <c r="H104">
        <v>293818078.88</v>
      </c>
      <c r="I104">
        <v>251262329.99000001</v>
      </c>
      <c r="J104">
        <v>219303436.37</v>
      </c>
      <c r="K104">
        <v>218308617.74000001</v>
      </c>
      <c r="L104">
        <v>232908482.25999999</v>
      </c>
      <c r="M104">
        <v>232257571.30000001</v>
      </c>
      <c r="N104">
        <v>229627204.44999999</v>
      </c>
      <c r="O104">
        <v>290999851.56</v>
      </c>
      <c r="P104">
        <v>286564155.12</v>
      </c>
      <c r="Q104">
        <v>258423356.75999999</v>
      </c>
      <c r="R104">
        <v>284695343.13</v>
      </c>
      <c r="S104">
        <v>320892311.77999997</v>
      </c>
      <c r="U104" s="175">
        <f t="shared" si="9"/>
        <v>267994955.43076918</v>
      </c>
    </row>
    <row r="105" spans="1:21">
      <c r="A105" s="183" t="str">
        <f t="shared" si="7"/>
        <v>233</v>
      </c>
      <c r="B105" s="183" t="str">
        <f t="shared" si="8"/>
        <v>233.0</v>
      </c>
      <c r="C105" t="s">
        <v>1860</v>
      </c>
      <c r="D105" t="s">
        <v>1082</v>
      </c>
      <c r="G105">
        <v>195000000</v>
      </c>
      <c r="H105">
        <v>195000000</v>
      </c>
      <c r="I105">
        <v>195000000</v>
      </c>
      <c r="J105">
        <v>195000000</v>
      </c>
      <c r="K105">
        <v>195000000</v>
      </c>
      <c r="L105">
        <v>195000000</v>
      </c>
      <c r="M105">
        <v>195000000</v>
      </c>
      <c r="N105">
        <v>195000000</v>
      </c>
      <c r="O105">
        <v>195000000</v>
      </c>
      <c r="P105">
        <v>195000000</v>
      </c>
      <c r="Q105">
        <v>195000000</v>
      </c>
      <c r="R105">
        <v>195000000</v>
      </c>
      <c r="S105">
        <v>0</v>
      </c>
      <c r="U105" s="175">
        <f t="shared" si="9"/>
        <v>180000000</v>
      </c>
    </row>
    <row r="106" spans="1:21">
      <c r="A106" s="183" t="str">
        <f t="shared" si="7"/>
        <v>234</v>
      </c>
      <c r="B106" s="183" t="str">
        <f t="shared" si="8"/>
        <v>234.0</v>
      </c>
      <c r="C106" t="s">
        <v>1861</v>
      </c>
      <c r="D106" t="s">
        <v>1084</v>
      </c>
      <c r="G106">
        <v>20807524.899999999</v>
      </c>
      <c r="H106">
        <v>17354466.289999999</v>
      </c>
      <c r="I106">
        <v>12045961.109999999</v>
      </c>
      <c r="J106">
        <v>18658820.289999999</v>
      </c>
      <c r="K106">
        <v>41043318.560000002</v>
      </c>
      <c r="L106">
        <v>15684230.949999999</v>
      </c>
      <c r="M106">
        <v>13637554.4</v>
      </c>
      <c r="N106">
        <v>16406306.369999999</v>
      </c>
      <c r="O106">
        <v>13657074.439999999</v>
      </c>
      <c r="P106">
        <v>14751879.390000001</v>
      </c>
      <c r="Q106">
        <v>12289311.93</v>
      </c>
      <c r="R106">
        <v>9045528.2100000009</v>
      </c>
      <c r="S106">
        <v>10201858.869999999</v>
      </c>
      <c r="U106" s="175">
        <f t="shared" si="9"/>
        <v>16583371.977692308</v>
      </c>
    </row>
    <row r="107" spans="1:21">
      <c r="A107" s="183" t="str">
        <f t="shared" si="7"/>
        <v>235</v>
      </c>
      <c r="B107" s="183" t="str">
        <f t="shared" si="8"/>
        <v>235.0</v>
      </c>
      <c r="C107" t="s">
        <v>1862</v>
      </c>
      <c r="D107" t="s">
        <v>471</v>
      </c>
      <c r="G107">
        <v>114803917.33</v>
      </c>
      <c r="H107">
        <v>116588139.98999999</v>
      </c>
      <c r="I107">
        <v>118062442.48</v>
      </c>
      <c r="J107">
        <v>119418997.5</v>
      </c>
      <c r="K107">
        <v>120370885.06</v>
      </c>
      <c r="L107">
        <v>121826567.34999999</v>
      </c>
      <c r="M107">
        <v>122838705.41</v>
      </c>
      <c r="N107">
        <v>123592240.5</v>
      </c>
      <c r="O107">
        <v>124815484.29000001</v>
      </c>
      <c r="P107">
        <v>118650839.42</v>
      </c>
      <c r="Q107">
        <v>118833528.97</v>
      </c>
      <c r="R107">
        <v>120058043.37</v>
      </c>
      <c r="S107">
        <v>120634376.44</v>
      </c>
      <c r="U107" s="175">
        <f t="shared" si="9"/>
        <v>120038012.93153848</v>
      </c>
    </row>
    <row r="108" spans="1:21" s="187" customFormat="1">
      <c r="A108" s="185" t="str">
        <f t="shared" si="7"/>
        <v>236</v>
      </c>
      <c r="B108" s="185" t="str">
        <f t="shared" si="8"/>
        <v>236.0</v>
      </c>
      <c r="C108" s="187" t="s">
        <v>1863</v>
      </c>
      <c r="D108" s="187" t="s">
        <v>592</v>
      </c>
      <c r="E108" s="462"/>
      <c r="F108" s="462"/>
      <c r="G108" s="187">
        <v>9718285.8000000007</v>
      </c>
      <c r="H108" s="187">
        <v>10537480.84</v>
      </c>
      <c r="I108" s="187">
        <v>20804548.300000001</v>
      </c>
      <c r="J108" s="187">
        <v>18441952.710000001</v>
      </c>
      <c r="K108" s="187">
        <v>18427966.870000001</v>
      </c>
      <c r="L108" s="187">
        <v>46598712.640000001</v>
      </c>
      <c r="M108" s="187">
        <v>36373954.060000002</v>
      </c>
      <c r="N108" s="187">
        <v>67894407.950000003</v>
      </c>
      <c r="O108" s="187">
        <v>90485218.010000005</v>
      </c>
      <c r="P108" s="187">
        <v>80643858.879999995</v>
      </c>
      <c r="Q108" s="187">
        <v>100970601.20999999</v>
      </c>
      <c r="R108" s="187">
        <v>35017802.909999996</v>
      </c>
      <c r="S108" s="187">
        <v>11208630.720000001</v>
      </c>
      <c r="U108" s="188">
        <f t="shared" si="9"/>
        <v>42086416.992307693</v>
      </c>
    </row>
    <row r="109" spans="1:21">
      <c r="A109" s="183" t="str">
        <f t="shared" si="7"/>
        <v>237</v>
      </c>
      <c r="B109" s="183" t="str">
        <f t="shared" si="8"/>
        <v>237.0</v>
      </c>
      <c r="C109" t="s">
        <v>1864</v>
      </c>
      <c r="D109" t="s">
        <v>306</v>
      </c>
      <c r="G109">
        <v>25147687</v>
      </c>
      <c r="H109">
        <v>29579958.100000001</v>
      </c>
      <c r="I109">
        <v>42996387.450000003</v>
      </c>
      <c r="J109">
        <v>45090694.18</v>
      </c>
      <c r="K109">
        <v>58629433.130000003</v>
      </c>
      <c r="L109">
        <v>44652349.479999997</v>
      </c>
      <c r="M109">
        <v>30525382.07</v>
      </c>
      <c r="N109">
        <v>30867957</v>
      </c>
      <c r="O109">
        <v>44358318.969999999</v>
      </c>
      <c r="P109">
        <v>46029324.390000001</v>
      </c>
      <c r="Q109">
        <v>59508835.460000001</v>
      </c>
      <c r="R109">
        <v>45417124.710000001</v>
      </c>
      <c r="S109">
        <v>28439716.84</v>
      </c>
      <c r="U109" s="175">
        <f t="shared" si="9"/>
        <v>40864859.136923067</v>
      </c>
    </row>
    <row r="110" spans="1:21">
      <c r="A110" s="183" t="str">
        <f t="shared" si="7"/>
        <v>238</v>
      </c>
      <c r="B110" s="183" t="str">
        <f t="shared" si="8"/>
        <v>238.0</v>
      </c>
      <c r="C110" t="s">
        <v>1865</v>
      </c>
      <c r="D110" t="s">
        <v>139</v>
      </c>
      <c r="G110">
        <v>0</v>
      </c>
      <c r="H110">
        <v>0</v>
      </c>
      <c r="I110">
        <v>0</v>
      </c>
      <c r="J110">
        <v>0</v>
      </c>
      <c r="K110">
        <v>0</v>
      </c>
      <c r="L110">
        <v>0</v>
      </c>
      <c r="M110">
        <v>0</v>
      </c>
      <c r="N110">
        <v>0</v>
      </c>
      <c r="O110">
        <v>0</v>
      </c>
      <c r="P110">
        <v>0</v>
      </c>
      <c r="Q110">
        <v>0</v>
      </c>
      <c r="R110">
        <v>169965146</v>
      </c>
      <c r="S110">
        <v>0</v>
      </c>
      <c r="U110" s="175">
        <f t="shared" si="9"/>
        <v>13074242</v>
      </c>
    </row>
    <row r="111" spans="1:21">
      <c r="A111" s="183" t="str">
        <f t="shared" si="7"/>
        <v>241</v>
      </c>
      <c r="B111" s="183" t="str">
        <f t="shared" si="8"/>
        <v>241.0</v>
      </c>
      <c r="C111" t="s">
        <v>1866</v>
      </c>
      <c r="D111" t="s">
        <v>308</v>
      </c>
      <c r="G111">
        <v>8273463.1600000001</v>
      </c>
      <c r="H111">
        <v>4961295.3600000003</v>
      </c>
      <c r="I111">
        <v>6336609.8700000001</v>
      </c>
      <c r="J111">
        <v>5900965.9100000001</v>
      </c>
      <c r="K111">
        <v>7520179.71</v>
      </c>
      <c r="L111">
        <v>9794711.0899999999</v>
      </c>
      <c r="M111">
        <v>12497076.800000001</v>
      </c>
      <c r="N111">
        <v>11953788.82</v>
      </c>
      <c r="O111">
        <v>12378407.890000001</v>
      </c>
      <c r="P111">
        <v>12634688.08</v>
      </c>
      <c r="Q111">
        <v>10294784.6</v>
      </c>
      <c r="R111">
        <v>10084166.130000001</v>
      </c>
      <c r="S111">
        <v>10948055.890000001</v>
      </c>
      <c r="U111" s="175">
        <f t="shared" si="9"/>
        <v>9506014.8699999992</v>
      </c>
    </row>
    <row r="112" spans="1:21">
      <c r="A112" s="183" t="str">
        <f t="shared" si="7"/>
        <v>242</v>
      </c>
      <c r="B112" s="183" t="str">
        <f t="shared" si="8"/>
        <v>242.0</v>
      </c>
      <c r="C112" t="s">
        <v>1867</v>
      </c>
      <c r="D112" t="s">
        <v>1091</v>
      </c>
      <c r="G112">
        <v>46244545.740000002</v>
      </c>
      <c r="H112">
        <v>46247382.82</v>
      </c>
      <c r="I112">
        <v>46337225.619999997</v>
      </c>
      <c r="J112">
        <v>44351323.100000001</v>
      </c>
      <c r="K112">
        <v>44428639.590000004</v>
      </c>
      <c r="L112">
        <v>44481906.789999999</v>
      </c>
      <c r="M112">
        <v>45033915.329999998</v>
      </c>
      <c r="N112">
        <v>44718948.270000003</v>
      </c>
      <c r="O112">
        <v>44677947.450000003</v>
      </c>
      <c r="P112">
        <v>40212255.159999996</v>
      </c>
      <c r="Q112">
        <v>40000504.649999999</v>
      </c>
      <c r="R112">
        <v>39902357.890000001</v>
      </c>
      <c r="S112">
        <v>39977160.109999999</v>
      </c>
      <c r="U112" s="175">
        <f t="shared" si="9"/>
        <v>43585700.963076919</v>
      </c>
    </row>
    <row r="113" spans="1:21">
      <c r="A113" s="183" t="str">
        <f t="shared" si="7"/>
        <v>243</v>
      </c>
      <c r="B113" s="183" t="str">
        <f t="shared" si="8"/>
        <v>243.0</v>
      </c>
      <c r="C113" t="s">
        <v>1868</v>
      </c>
      <c r="D113" t="s">
        <v>310</v>
      </c>
      <c r="G113">
        <v>2116732.13</v>
      </c>
      <c r="H113">
        <v>2116732.13</v>
      </c>
      <c r="I113">
        <v>2116732.13</v>
      </c>
      <c r="J113">
        <v>2328767.4900000002</v>
      </c>
      <c r="K113">
        <v>2328767.4900000002</v>
      </c>
      <c r="L113">
        <v>2328767.4900000002</v>
      </c>
      <c r="M113">
        <v>2355008.7000000002</v>
      </c>
      <c r="N113">
        <v>2355008.7000000002</v>
      </c>
      <c r="O113">
        <v>2355008.7000000002</v>
      </c>
      <c r="P113">
        <v>2381348.7999999998</v>
      </c>
      <c r="Q113">
        <v>2381348.7999999998</v>
      </c>
      <c r="R113">
        <v>2381348.7999999998</v>
      </c>
      <c r="S113">
        <v>2408283.37</v>
      </c>
      <c r="U113" s="175">
        <f t="shared" si="9"/>
        <v>2304142.6715384615</v>
      </c>
    </row>
    <row r="114" spans="1:21">
      <c r="A114" s="183" t="str">
        <f t="shared" si="7"/>
        <v>245</v>
      </c>
      <c r="B114" s="183" t="str">
        <f t="shared" si="8"/>
        <v>245.0</v>
      </c>
      <c r="C114" t="s">
        <v>1869</v>
      </c>
      <c r="D114" t="s">
        <v>1094</v>
      </c>
      <c r="G114">
        <v>1490119.05</v>
      </c>
      <c r="H114">
        <v>3080248.11</v>
      </c>
      <c r="I114">
        <v>2972674.16</v>
      </c>
      <c r="J114">
        <v>1079010.74</v>
      </c>
      <c r="K114">
        <v>95153.88</v>
      </c>
      <c r="L114">
        <v>0</v>
      </c>
      <c r="M114">
        <v>0</v>
      </c>
      <c r="N114">
        <v>0</v>
      </c>
      <c r="O114">
        <v>0</v>
      </c>
      <c r="P114">
        <v>0</v>
      </c>
      <c r="Q114">
        <v>0</v>
      </c>
      <c r="R114">
        <v>0</v>
      </c>
      <c r="S114">
        <v>0</v>
      </c>
      <c r="U114" s="175">
        <f t="shared" si="9"/>
        <v>670554.30307692313</v>
      </c>
    </row>
    <row r="115" spans="1:21">
      <c r="A115" s="183" t="str">
        <f t="shared" si="7"/>
        <v>252</v>
      </c>
      <c r="B115" s="183" t="str">
        <f t="shared" si="8"/>
        <v>252.0</v>
      </c>
      <c r="C115" t="s">
        <v>1870</v>
      </c>
      <c r="D115" t="s">
        <v>1096</v>
      </c>
      <c r="G115">
        <v>0</v>
      </c>
      <c r="H115">
        <v>0</v>
      </c>
      <c r="I115">
        <v>0</v>
      </c>
      <c r="J115">
        <v>0</v>
      </c>
      <c r="K115">
        <v>0</v>
      </c>
      <c r="L115">
        <v>0</v>
      </c>
      <c r="M115">
        <v>0</v>
      </c>
      <c r="N115">
        <v>0</v>
      </c>
      <c r="O115">
        <v>0</v>
      </c>
      <c r="P115">
        <v>0</v>
      </c>
      <c r="Q115">
        <v>0</v>
      </c>
      <c r="R115">
        <v>0</v>
      </c>
      <c r="S115">
        <v>0</v>
      </c>
      <c r="U115" s="175">
        <f t="shared" si="9"/>
        <v>0</v>
      </c>
    </row>
    <row r="116" spans="1:21">
      <c r="A116" s="183" t="str">
        <f t="shared" si="7"/>
        <v>253</v>
      </c>
      <c r="B116" s="183" t="str">
        <f t="shared" si="8"/>
        <v>253.0</v>
      </c>
      <c r="C116" t="s">
        <v>1871</v>
      </c>
      <c r="D116" t="s">
        <v>313</v>
      </c>
      <c r="G116">
        <v>14644478.880000001</v>
      </c>
      <c r="H116">
        <v>15997391.01</v>
      </c>
      <c r="I116">
        <v>17112836.149999999</v>
      </c>
      <c r="J116">
        <v>13930392.67</v>
      </c>
      <c r="K116">
        <v>23578525.800000001</v>
      </c>
      <c r="L116">
        <v>16322578.300000001</v>
      </c>
      <c r="M116">
        <v>18817331.100000001</v>
      </c>
      <c r="N116">
        <v>30678873.940000001</v>
      </c>
      <c r="O116">
        <v>22773256.420000002</v>
      </c>
      <c r="P116">
        <v>25243088.82</v>
      </c>
      <c r="Q116">
        <v>26368637.579999998</v>
      </c>
      <c r="R116">
        <v>27616856.260000002</v>
      </c>
      <c r="S116">
        <v>30209508.5</v>
      </c>
      <c r="U116" s="175">
        <f t="shared" si="9"/>
        <v>21791827.340769228</v>
      </c>
    </row>
    <row r="117" spans="1:21">
      <c r="A117" s="183" t="str">
        <f t="shared" si="7"/>
        <v>254</v>
      </c>
      <c r="B117" s="183" t="str">
        <f t="shared" si="8"/>
        <v>254.0</v>
      </c>
      <c r="C117" t="s">
        <v>1872</v>
      </c>
      <c r="D117" t="s">
        <v>1099</v>
      </c>
      <c r="G117">
        <v>549808332.34000003</v>
      </c>
      <c r="H117">
        <v>545655034.02999997</v>
      </c>
      <c r="I117">
        <v>541844560.13</v>
      </c>
      <c r="J117">
        <v>541917869.98000002</v>
      </c>
      <c r="K117">
        <v>539329595.33000004</v>
      </c>
      <c r="L117">
        <v>537026022.88999999</v>
      </c>
      <c r="M117">
        <v>532728373.27999997</v>
      </c>
      <c r="N117">
        <v>532692300.54000002</v>
      </c>
      <c r="O117">
        <v>531451949.94999999</v>
      </c>
      <c r="P117">
        <v>525038137.13</v>
      </c>
      <c r="Q117">
        <v>522219417.10000002</v>
      </c>
      <c r="R117">
        <v>518051448.56999999</v>
      </c>
      <c r="S117">
        <v>523312089.22000003</v>
      </c>
      <c r="U117" s="175">
        <f t="shared" si="9"/>
        <v>533928856.19153845</v>
      </c>
    </row>
    <row r="118" spans="1:21">
      <c r="A118" s="183" t="str">
        <f t="shared" si="7"/>
        <v>255</v>
      </c>
      <c r="B118" s="183" t="str">
        <f t="shared" si="8"/>
        <v>255.0</v>
      </c>
      <c r="C118" t="s">
        <v>1873</v>
      </c>
      <c r="D118" t="s">
        <v>1101</v>
      </c>
      <c r="G118">
        <v>243216489.00999999</v>
      </c>
      <c r="H118">
        <v>242671624.88</v>
      </c>
      <c r="I118">
        <v>242126760.71000001</v>
      </c>
      <c r="J118">
        <v>242663723.19</v>
      </c>
      <c r="K118">
        <v>241762452.53</v>
      </c>
      <c r="L118">
        <v>241085856.94999999</v>
      </c>
      <c r="M118">
        <v>240445384.94999999</v>
      </c>
      <c r="N118">
        <v>239775624.40000001</v>
      </c>
      <c r="O118">
        <v>239108694.09999999</v>
      </c>
      <c r="P118">
        <v>238439404.78999999</v>
      </c>
      <c r="Q118">
        <v>237770115.56</v>
      </c>
      <c r="R118">
        <v>237496678.25999999</v>
      </c>
      <c r="S118">
        <v>237151599.27000001</v>
      </c>
      <c r="U118" s="175">
        <f t="shared" si="9"/>
        <v>240285723.73846152</v>
      </c>
    </row>
    <row r="119" spans="1:21">
      <c r="A119" s="183" t="str">
        <f t="shared" si="7"/>
        <v>256</v>
      </c>
      <c r="B119" s="183" t="str">
        <f t="shared" si="8"/>
        <v>256.0</v>
      </c>
      <c r="C119" t="s">
        <v>1874</v>
      </c>
      <c r="D119" t="s">
        <v>1103</v>
      </c>
      <c r="G119">
        <v>-7876.12</v>
      </c>
      <c r="H119">
        <v>-7876.12</v>
      </c>
      <c r="I119">
        <v>-7876.12</v>
      </c>
      <c r="J119">
        <v>-7876.12</v>
      </c>
      <c r="K119">
        <v>-7876.12</v>
      </c>
      <c r="L119">
        <v>-7876.12</v>
      </c>
      <c r="M119">
        <v>-7876.12</v>
      </c>
      <c r="N119">
        <v>-7876.12</v>
      </c>
      <c r="O119">
        <v>-7876.12</v>
      </c>
      <c r="P119">
        <v>-7876.12</v>
      </c>
      <c r="Q119">
        <v>-7876.12</v>
      </c>
      <c r="R119">
        <v>-7876.12</v>
      </c>
      <c r="S119">
        <v>-7876.12</v>
      </c>
      <c r="U119" s="175">
        <f t="shared" si="9"/>
        <v>-7876.119999999999</v>
      </c>
    </row>
    <row r="120" spans="1:21">
      <c r="A120" s="183" t="str">
        <f t="shared" si="7"/>
        <v>257</v>
      </c>
      <c r="B120" s="183" t="str">
        <f t="shared" si="8"/>
        <v>257.0</v>
      </c>
      <c r="C120" t="s">
        <v>1875</v>
      </c>
      <c r="D120" t="s">
        <v>1105</v>
      </c>
      <c r="G120">
        <v>0</v>
      </c>
      <c r="H120">
        <v>0</v>
      </c>
      <c r="I120">
        <v>0</v>
      </c>
      <c r="J120">
        <v>0</v>
      </c>
      <c r="K120">
        <v>0</v>
      </c>
      <c r="L120">
        <v>0</v>
      </c>
      <c r="M120">
        <v>0</v>
      </c>
      <c r="N120">
        <v>0</v>
      </c>
      <c r="O120">
        <v>0</v>
      </c>
      <c r="P120">
        <v>0</v>
      </c>
      <c r="Q120">
        <v>0</v>
      </c>
      <c r="R120">
        <v>0</v>
      </c>
      <c r="S120">
        <v>0</v>
      </c>
      <c r="U120" s="175">
        <f t="shared" si="9"/>
        <v>0</v>
      </c>
    </row>
    <row r="121" spans="1:21">
      <c r="A121" s="183" t="str">
        <f t="shared" si="7"/>
        <v>281</v>
      </c>
      <c r="B121" s="183" t="str">
        <f t="shared" si="8"/>
        <v>281.0</v>
      </c>
      <c r="C121" t="s">
        <v>1876</v>
      </c>
      <c r="D121" t="s">
        <v>1107</v>
      </c>
      <c r="G121">
        <v>52270668.340000004</v>
      </c>
      <c r="H121">
        <v>52376513.880000003</v>
      </c>
      <c r="I121">
        <v>52475034.630000003</v>
      </c>
      <c r="J121">
        <v>52579695.039999999</v>
      </c>
      <c r="K121">
        <v>52682703.979999997</v>
      </c>
      <c r="L121">
        <v>52785712.909999996</v>
      </c>
      <c r="M121">
        <v>52944259.82</v>
      </c>
      <c r="N121">
        <v>53056525.090000004</v>
      </c>
      <c r="O121">
        <v>53169874.530000001</v>
      </c>
      <c r="P121">
        <v>53284958.689999998</v>
      </c>
      <c r="Q121">
        <v>53397657.630000003</v>
      </c>
      <c r="R121">
        <v>54880950.289999999</v>
      </c>
      <c r="S121">
        <v>55086302.539999999</v>
      </c>
      <c r="U121" s="175">
        <f t="shared" si="9"/>
        <v>53153142.874615379</v>
      </c>
    </row>
    <row r="122" spans="1:21">
      <c r="A122" s="183" t="str">
        <f t="shared" si="7"/>
        <v>282</v>
      </c>
      <c r="B122" s="183" t="str">
        <f t="shared" si="8"/>
        <v>282.0</v>
      </c>
      <c r="C122" t="s">
        <v>1877</v>
      </c>
      <c r="D122" t="s">
        <v>1109</v>
      </c>
      <c r="G122">
        <v>1383921096.21</v>
      </c>
      <c r="H122">
        <v>1386062553.3199999</v>
      </c>
      <c r="I122">
        <v>1394473882.25</v>
      </c>
      <c r="J122">
        <v>1401537298.8199999</v>
      </c>
      <c r="K122">
        <v>1412656658.26</v>
      </c>
      <c r="L122">
        <v>1420620201.72</v>
      </c>
      <c r="M122">
        <v>1433400412.73</v>
      </c>
      <c r="N122">
        <v>1442823428.0599999</v>
      </c>
      <c r="O122">
        <v>1449445786.74</v>
      </c>
      <c r="P122">
        <v>1463500350.04</v>
      </c>
      <c r="Q122">
        <v>1472352325.52</v>
      </c>
      <c r="R122">
        <v>1479534846.4000001</v>
      </c>
      <c r="S122">
        <v>1483702467.6700001</v>
      </c>
      <c r="U122" s="175">
        <f t="shared" si="9"/>
        <v>1432617792.9030766</v>
      </c>
    </row>
    <row r="123" spans="1:21">
      <c r="A123" s="183" t="str">
        <f t="shared" si="7"/>
        <v>283</v>
      </c>
      <c r="B123" s="183" t="str">
        <f t="shared" si="8"/>
        <v>283.0</v>
      </c>
      <c r="C123" t="s">
        <v>1878</v>
      </c>
      <c r="D123" t="s">
        <v>1111</v>
      </c>
      <c r="G123">
        <v>153945038.71000001</v>
      </c>
      <c r="H123">
        <v>147972010.41999999</v>
      </c>
      <c r="I123">
        <v>142458106.75999999</v>
      </c>
      <c r="J123">
        <v>147460153.87</v>
      </c>
      <c r="K123">
        <v>138959599.55000001</v>
      </c>
      <c r="L123">
        <v>129758770.77</v>
      </c>
      <c r="M123">
        <v>114948593.48</v>
      </c>
      <c r="N123">
        <v>103059559.48</v>
      </c>
      <c r="O123">
        <v>94695776.109999999</v>
      </c>
      <c r="P123">
        <v>78425306.010000005</v>
      </c>
      <c r="Q123">
        <v>68491901.069999993</v>
      </c>
      <c r="R123">
        <v>61426077.780000001</v>
      </c>
      <c r="S123">
        <v>58119338.350000001</v>
      </c>
      <c r="U123" s="175">
        <f t="shared" si="9"/>
        <v>110747710.18153843</v>
      </c>
    </row>
    <row r="124" spans="1:21">
      <c r="A124" s="183" t="str">
        <f t="shared" si="7"/>
        <v>400</v>
      </c>
      <c r="B124" s="183" t="str">
        <f t="shared" si="8"/>
        <v>400.0</v>
      </c>
      <c r="C124" t="s">
        <v>1879</v>
      </c>
      <c r="D124" t="s">
        <v>1880</v>
      </c>
      <c r="G124">
        <v>0</v>
      </c>
      <c r="H124">
        <v>0</v>
      </c>
      <c r="I124">
        <v>0</v>
      </c>
      <c r="J124">
        <v>0</v>
      </c>
      <c r="K124">
        <v>0</v>
      </c>
      <c r="L124">
        <v>0</v>
      </c>
      <c r="M124">
        <v>0</v>
      </c>
      <c r="N124">
        <v>0</v>
      </c>
      <c r="O124">
        <v>0</v>
      </c>
      <c r="P124">
        <v>0</v>
      </c>
      <c r="Q124">
        <v>0</v>
      </c>
      <c r="R124">
        <v>0</v>
      </c>
      <c r="S124">
        <v>0</v>
      </c>
      <c r="U124" s="175">
        <f t="shared" si="9"/>
        <v>0</v>
      </c>
    </row>
    <row r="125" spans="1:21">
      <c r="A125" s="183" t="str">
        <f t="shared" si="7"/>
        <v>401</v>
      </c>
      <c r="B125" s="183" t="str">
        <f t="shared" si="8"/>
        <v>401.0</v>
      </c>
      <c r="C125" t="s">
        <v>1881</v>
      </c>
      <c r="D125" t="s">
        <v>1882</v>
      </c>
      <c r="G125">
        <v>0</v>
      </c>
      <c r="H125">
        <v>0</v>
      </c>
      <c r="I125">
        <v>0</v>
      </c>
      <c r="J125">
        <v>0</v>
      </c>
      <c r="K125">
        <v>0</v>
      </c>
      <c r="L125">
        <v>0</v>
      </c>
      <c r="M125">
        <v>0</v>
      </c>
      <c r="N125">
        <v>0</v>
      </c>
      <c r="O125">
        <v>0</v>
      </c>
      <c r="P125">
        <v>0</v>
      </c>
      <c r="Q125">
        <v>0</v>
      </c>
      <c r="R125">
        <v>0</v>
      </c>
      <c r="S125">
        <v>0</v>
      </c>
      <c r="U125" s="175">
        <f t="shared" si="9"/>
        <v>0</v>
      </c>
    </row>
    <row r="126" spans="1:21">
      <c r="A126" s="183" t="str">
        <f t="shared" si="7"/>
        <v>402</v>
      </c>
      <c r="B126" s="183" t="str">
        <f t="shared" si="8"/>
        <v>402.0</v>
      </c>
      <c r="C126" t="s">
        <v>1883</v>
      </c>
      <c r="D126" t="s">
        <v>1884</v>
      </c>
      <c r="G126">
        <v>0</v>
      </c>
      <c r="H126">
        <v>0</v>
      </c>
      <c r="I126">
        <v>0</v>
      </c>
      <c r="J126">
        <v>0</v>
      </c>
      <c r="K126">
        <v>0</v>
      </c>
      <c r="L126">
        <v>0</v>
      </c>
      <c r="M126">
        <v>0</v>
      </c>
      <c r="N126">
        <v>0</v>
      </c>
      <c r="O126">
        <v>0</v>
      </c>
      <c r="P126">
        <v>0</v>
      </c>
      <c r="Q126">
        <v>0</v>
      </c>
      <c r="R126">
        <v>0</v>
      </c>
      <c r="S126">
        <v>0</v>
      </c>
      <c r="U126" s="175">
        <f t="shared" si="9"/>
        <v>0</v>
      </c>
    </row>
    <row r="127" spans="1:21">
      <c r="A127" s="183" t="str">
        <f t="shared" si="7"/>
        <v>403</v>
      </c>
      <c r="B127" s="183" t="str">
        <f t="shared" si="8"/>
        <v>403.0</v>
      </c>
      <c r="C127" t="s">
        <v>1885</v>
      </c>
      <c r="D127" t="s">
        <v>1113</v>
      </c>
      <c r="G127">
        <v>30296392.239999998</v>
      </c>
      <c r="H127">
        <v>31832688.899999999</v>
      </c>
      <c r="I127">
        <v>31914955.629999999</v>
      </c>
      <c r="J127">
        <v>32075990.469999999</v>
      </c>
      <c r="K127">
        <v>32361565.600000001</v>
      </c>
      <c r="L127">
        <v>32364262.309999999</v>
      </c>
      <c r="M127">
        <v>32391448.449999999</v>
      </c>
      <c r="N127">
        <v>32621678.77</v>
      </c>
      <c r="O127">
        <v>32650065.359999999</v>
      </c>
      <c r="P127">
        <v>32723460.280000001</v>
      </c>
      <c r="Q127">
        <v>32879707.280000001</v>
      </c>
      <c r="R127">
        <v>33089234.309999999</v>
      </c>
      <c r="S127">
        <v>33020537.760000002</v>
      </c>
      <c r="U127" s="175">
        <f t="shared" si="9"/>
        <v>32324768.258461535</v>
      </c>
    </row>
    <row r="128" spans="1:21">
      <c r="A128" s="183" t="str">
        <f t="shared" si="7"/>
        <v>403</v>
      </c>
      <c r="B128" s="183" t="str">
        <f t="shared" si="8"/>
        <v>403.1</v>
      </c>
      <c r="C128" t="s">
        <v>1886</v>
      </c>
      <c r="D128" t="s">
        <v>1115</v>
      </c>
      <c r="G128">
        <v>0</v>
      </c>
      <c r="H128">
        <v>0</v>
      </c>
      <c r="I128">
        <v>0</v>
      </c>
      <c r="J128">
        <v>0</v>
      </c>
      <c r="K128">
        <v>0</v>
      </c>
      <c r="L128">
        <v>0</v>
      </c>
      <c r="M128">
        <v>0</v>
      </c>
      <c r="N128">
        <v>0</v>
      </c>
      <c r="O128">
        <v>0</v>
      </c>
      <c r="P128">
        <v>0</v>
      </c>
      <c r="Q128">
        <v>0</v>
      </c>
      <c r="R128">
        <v>0</v>
      </c>
      <c r="S128">
        <v>0</v>
      </c>
      <c r="U128" s="175">
        <f t="shared" si="9"/>
        <v>0</v>
      </c>
    </row>
    <row r="129" spans="1:21">
      <c r="A129" s="183" t="str">
        <f t="shared" si="7"/>
        <v>404</v>
      </c>
      <c r="B129" s="183" t="str">
        <f t="shared" si="8"/>
        <v>404.0</v>
      </c>
      <c r="C129" t="s">
        <v>1887</v>
      </c>
      <c r="D129" t="s">
        <v>1117</v>
      </c>
      <c r="G129">
        <v>2530413.2999999998</v>
      </c>
      <c r="H129">
        <v>2593564.1</v>
      </c>
      <c r="I129">
        <v>2610764.67</v>
      </c>
      <c r="J129">
        <v>2602057.56</v>
      </c>
      <c r="K129">
        <v>2679159.65</v>
      </c>
      <c r="L129">
        <v>2678879.9300000002</v>
      </c>
      <c r="M129">
        <v>2682464.56</v>
      </c>
      <c r="N129">
        <v>2725971.96</v>
      </c>
      <c r="O129">
        <v>2750516.79</v>
      </c>
      <c r="P129">
        <v>2777191.03</v>
      </c>
      <c r="Q129">
        <v>2760907.91</v>
      </c>
      <c r="R129">
        <v>2766616.34</v>
      </c>
      <c r="S129">
        <v>2765827.3</v>
      </c>
      <c r="U129" s="175">
        <f t="shared" si="9"/>
        <v>2686487.3153846157</v>
      </c>
    </row>
    <row r="130" spans="1:21">
      <c r="A130" s="183" t="str">
        <f t="shared" si="7"/>
        <v>404</v>
      </c>
      <c r="B130" s="183" t="str">
        <f t="shared" si="8"/>
        <v>404.1</v>
      </c>
      <c r="C130" t="s">
        <v>1888</v>
      </c>
      <c r="D130" t="s">
        <v>1119</v>
      </c>
      <c r="G130">
        <v>0</v>
      </c>
      <c r="H130">
        <v>0</v>
      </c>
      <c r="I130">
        <v>0</v>
      </c>
      <c r="J130">
        <v>0</v>
      </c>
      <c r="K130">
        <v>0</v>
      </c>
      <c r="L130">
        <v>0</v>
      </c>
      <c r="M130">
        <v>0</v>
      </c>
      <c r="N130">
        <v>0</v>
      </c>
      <c r="O130">
        <v>0</v>
      </c>
      <c r="P130">
        <v>0</v>
      </c>
      <c r="Q130">
        <v>0</v>
      </c>
      <c r="R130">
        <v>0</v>
      </c>
      <c r="S130">
        <v>0</v>
      </c>
      <c r="U130" s="175">
        <f t="shared" si="9"/>
        <v>0</v>
      </c>
    </row>
    <row r="131" spans="1:21">
      <c r="A131" s="183" t="str">
        <f t="shared" si="7"/>
        <v>404</v>
      </c>
      <c r="B131" s="183" t="str">
        <f t="shared" si="8"/>
        <v>404.2</v>
      </c>
      <c r="C131" t="s">
        <v>1889</v>
      </c>
      <c r="D131" t="s">
        <v>1121</v>
      </c>
      <c r="G131">
        <v>0</v>
      </c>
      <c r="H131">
        <v>0</v>
      </c>
      <c r="I131">
        <v>0</v>
      </c>
      <c r="J131">
        <v>0</v>
      </c>
      <c r="K131">
        <v>0</v>
      </c>
      <c r="L131">
        <v>0</v>
      </c>
      <c r="M131">
        <v>0</v>
      </c>
      <c r="N131">
        <v>0</v>
      </c>
      <c r="O131">
        <v>0</v>
      </c>
      <c r="P131">
        <v>0</v>
      </c>
      <c r="Q131">
        <v>0</v>
      </c>
      <c r="R131">
        <v>0</v>
      </c>
      <c r="S131">
        <v>0</v>
      </c>
      <c r="U131" s="175">
        <f t="shared" si="9"/>
        <v>0</v>
      </c>
    </row>
    <row r="132" spans="1:21">
      <c r="A132" s="183" t="str">
        <f t="shared" si="7"/>
        <v>404</v>
      </c>
      <c r="B132" s="183" t="str">
        <f t="shared" si="8"/>
        <v>404.3</v>
      </c>
      <c r="C132" t="s">
        <v>1890</v>
      </c>
      <c r="D132" t="s">
        <v>1123</v>
      </c>
      <c r="G132">
        <v>0</v>
      </c>
      <c r="H132">
        <v>0</v>
      </c>
      <c r="I132">
        <v>0</v>
      </c>
      <c r="J132">
        <v>0</v>
      </c>
      <c r="K132">
        <v>0</v>
      </c>
      <c r="L132">
        <v>0</v>
      </c>
      <c r="M132">
        <v>0</v>
      </c>
      <c r="N132">
        <v>0</v>
      </c>
      <c r="O132">
        <v>0</v>
      </c>
      <c r="P132">
        <v>0</v>
      </c>
      <c r="Q132">
        <v>0</v>
      </c>
      <c r="R132">
        <v>0</v>
      </c>
      <c r="S132">
        <v>0</v>
      </c>
      <c r="U132" s="175">
        <f t="shared" si="9"/>
        <v>0</v>
      </c>
    </row>
    <row r="133" spans="1:21">
      <c r="A133" s="183" t="str">
        <f t="shared" si="7"/>
        <v>405</v>
      </c>
      <c r="B133" s="183" t="str">
        <f t="shared" si="8"/>
        <v>405.0</v>
      </c>
      <c r="C133" t="s">
        <v>1891</v>
      </c>
      <c r="D133" t="s">
        <v>1125</v>
      </c>
      <c r="G133">
        <v>0</v>
      </c>
      <c r="H133">
        <v>0</v>
      </c>
      <c r="I133">
        <v>0</v>
      </c>
      <c r="J133">
        <v>0</v>
      </c>
      <c r="K133">
        <v>0</v>
      </c>
      <c r="L133">
        <v>0</v>
      </c>
      <c r="M133">
        <v>0</v>
      </c>
      <c r="N133">
        <v>0</v>
      </c>
      <c r="O133">
        <v>0</v>
      </c>
      <c r="P133">
        <v>0</v>
      </c>
      <c r="Q133">
        <v>0</v>
      </c>
      <c r="R133">
        <v>0</v>
      </c>
      <c r="S133">
        <v>0</v>
      </c>
      <c r="U133" s="175">
        <f t="shared" si="9"/>
        <v>0</v>
      </c>
    </row>
    <row r="134" spans="1:21">
      <c r="A134" s="183" t="str">
        <f t="shared" si="7"/>
        <v>406</v>
      </c>
      <c r="B134" s="183" t="str">
        <f t="shared" si="8"/>
        <v>406.0</v>
      </c>
      <c r="C134" t="s">
        <v>1892</v>
      </c>
      <c r="D134" t="s">
        <v>1127</v>
      </c>
      <c r="G134">
        <v>15479.11</v>
      </c>
      <c r="H134">
        <v>15479.1</v>
      </c>
      <c r="I134">
        <v>15479.11</v>
      </c>
      <c r="J134">
        <v>15479.1</v>
      </c>
      <c r="K134">
        <v>15479.11</v>
      </c>
      <c r="L134">
        <v>15479.1</v>
      </c>
      <c r="M134">
        <v>15479.11</v>
      </c>
      <c r="N134">
        <v>15479.1</v>
      </c>
      <c r="O134">
        <v>15479.11</v>
      </c>
      <c r="P134">
        <v>15479.1</v>
      </c>
      <c r="Q134">
        <v>15479.11</v>
      </c>
      <c r="R134">
        <v>15479.1</v>
      </c>
      <c r="S134">
        <v>15479.11</v>
      </c>
      <c r="U134" s="175">
        <f t="shared" si="9"/>
        <v>15479.105384615388</v>
      </c>
    </row>
    <row r="135" spans="1:21">
      <c r="A135" s="183" t="str">
        <f t="shared" ref="A135:A198" si="10">MID(C135,4,3)</f>
        <v>407</v>
      </c>
      <c r="B135" s="183" t="str">
        <f t="shared" ref="B135:B198" si="11">MID(C135,4,3)&amp;"."&amp;MID(C135,7,1)</f>
        <v>407.0</v>
      </c>
      <c r="C135" t="s">
        <v>1893</v>
      </c>
      <c r="D135" t="s">
        <v>1129</v>
      </c>
      <c r="G135">
        <v>2425774.0800000001</v>
      </c>
      <c r="H135">
        <v>2598881.14</v>
      </c>
      <c r="I135">
        <v>2598881.14</v>
      </c>
      <c r="J135">
        <v>2598881.14</v>
      </c>
      <c r="K135">
        <v>2598881.14</v>
      </c>
      <c r="L135">
        <v>2598881.14</v>
      </c>
      <c r="M135">
        <v>2598881.14</v>
      </c>
      <c r="N135">
        <v>2598881.14</v>
      </c>
      <c r="O135">
        <v>2598881.14</v>
      </c>
      <c r="P135">
        <v>2598881.14</v>
      </c>
      <c r="Q135">
        <v>2598881.14</v>
      </c>
      <c r="R135">
        <v>2598881.14</v>
      </c>
      <c r="S135">
        <v>2598881.23</v>
      </c>
      <c r="U135" s="175">
        <f t="shared" ref="U135:U198" si="12">AVERAGE(G135:S135)</f>
        <v>2585565.2192307692</v>
      </c>
    </row>
    <row r="136" spans="1:21">
      <c r="A136" s="183" t="str">
        <f t="shared" si="10"/>
        <v>407</v>
      </c>
      <c r="B136" s="183" t="str">
        <f t="shared" si="11"/>
        <v>407.1</v>
      </c>
      <c r="C136" t="s">
        <v>1894</v>
      </c>
      <c r="D136" t="s">
        <v>1131</v>
      </c>
      <c r="G136">
        <v>0</v>
      </c>
      <c r="H136">
        <v>0</v>
      </c>
      <c r="I136">
        <v>0</v>
      </c>
      <c r="J136">
        <v>0</v>
      </c>
      <c r="K136">
        <v>0</v>
      </c>
      <c r="L136">
        <v>0</v>
      </c>
      <c r="M136">
        <v>0</v>
      </c>
      <c r="N136">
        <v>0</v>
      </c>
      <c r="O136">
        <v>0</v>
      </c>
      <c r="P136">
        <v>0</v>
      </c>
      <c r="Q136">
        <v>0</v>
      </c>
      <c r="R136">
        <v>0</v>
      </c>
      <c r="S136">
        <v>0</v>
      </c>
      <c r="U136" s="175">
        <f t="shared" si="12"/>
        <v>0</v>
      </c>
    </row>
    <row r="137" spans="1:21">
      <c r="A137" s="183" t="str">
        <f t="shared" si="10"/>
        <v>407</v>
      </c>
      <c r="B137" s="183" t="str">
        <f t="shared" si="11"/>
        <v>407.2</v>
      </c>
      <c r="C137" t="s">
        <v>1895</v>
      </c>
      <c r="D137" t="s">
        <v>1133</v>
      </c>
      <c r="G137">
        <v>0</v>
      </c>
      <c r="H137">
        <v>0</v>
      </c>
      <c r="I137">
        <v>0</v>
      </c>
      <c r="J137">
        <v>0</v>
      </c>
      <c r="K137">
        <v>0</v>
      </c>
      <c r="L137">
        <v>0</v>
      </c>
      <c r="M137">
        <v>0</v>
      </c>
      <c r="N137">
        <v>0</v>
      </c>
      <c r="O137">
        <v>0</v>
      </c>
      <c r="P137">
        <v>0</v>
      </c>
      <c r="Q137">
        <v>0</v>
      </c>
      <c r="R137">
        <v>0</v>
      </c>
      <c r="S137">
        <v>0</v>
      </c>
      <c r="U137" s="175">
        <f t="shared" si="12"/>
        <v>0</v>
      </c>
    </row>
    <row r="138" spans="1:21">
      <c r="A138" s="183" t="str">
        <f t="shared" si="10"/>
        <v>407</v>
      </c>
      <c r="B138" s="183" t="str">
        <f t="shared" si="11"/>
        <v>407.3</v>
      </c>
      <c r="C138" t="s">
        <v>1896</v>
      </c>
      <c r="D138" t="s">
        <v>1135</v>
      </c>
      <c r="G138">
        <v>19255652.309999999</v>
      </c>
      <c r="H138">
        <v>18971483.75</v>
      </c>
      <c r="I138">
        <v>26247439.440000001</v>
      </c>
      <c r="J138">
        <v>26595358.699999999</v>
      </c>
      <c r="K138">
        <v>39619849.619999997</v>
      </c>
      <c r="L138">
        <v>40205961.710000001</v>
      </c>
      <c r="M138">
        <v>50009902.880000003</v>
      </c>
      <c r="N138">
        <v>54289670.469999999</v>
      </c>
      <c r="O138">
        <v>52292507.43</v>
      </c>
      <c r="P138">
        <v>61485785.5</v>
      </c>
      <c r="Q138">
        <v>46580907.759999998</v>
      </c>
      <c r="R138">
        <v>36635350.229999997</v>
      </c>
      <c r="S138">
        <v>37331521.960000001</v>
      </c>
      <c r="U138" s="175">
        <f t="shared" si="12"/>
        <v>39193953.212307692</v>
      </c>
    </row>
    <row r="139" spans="1:21">
      <c r="A139" s="183" t="str">
        <f t="shared" si="10"/>
        <v>407</v>
      </c>
      <c r="B139" s="183" t="str">
        <f t="shared" si="11"/>
        <v>407.4</v>
      </c>
      <c r="C139" t="s">
        <v>1897</v>
      </c>
      <c r="D139" t="s">
        <v>1137</v>
      </c>
      <c r="G139">
        <v>-39524182</v>
      </c>
      <c r="H139">
        <v>-3553494</v>
      </c>
      <c r="I139">
        <v>-4161709</v>
      </c>
      <c r="J139">
        <v>-3116718</v>
      </c>
      <c r="K139">
        <v>-3377798</v>
      </c>
      <c r="L139">
        <v>-2372101</v>
      </c>
      <c r="M139">
        <v>-1869834</v>
      </c>
      <c r="N139">
        <v>-1758728</v>
      </c>
      <c r="O139">
        <v>-1936212</v>
      </c>
      <c r="P139">
        <v>-1929175</v>
      </c>
      <c r="Q139">
        <v>-2187598</v>
      </c>
      <c r="R139">
        <v>-4584150</v>
      </c>
      <c r="S139">
        <v>-5355537</v>
      </c>
      <c r="U139" s="175">
        <f t="shared" si="12"/>
        <v>-5825172</v>
      </c>
    </row>
    <row r="140" spans="1:21">
      <c r="A140" s="183" t="str">
        <f t="shared" si="10"/>
        <v>408</v>
      </c>
      <c r="B140" s="183" t="str">
        <f t="shared" si="11"/>
        <v>408.1</v>
      </c>
      <c r="C140" t="s">
        <v>1898</v>
      </c>
      <c r="D140" t="s">
        <v>1139</v>
      </c>
      <c r="G140">
        <v>18698537.859999999</v>
      </c>
      <c r="H140">
        <v>17928304.77</v>
      </c>
      <c r="I140">
        <v>16761712.32</v>
      </c>
      <c r="J140">
        <v>17028462.859999999</v>
      </c>
      <c r="K140">
        <v>18642490.469999999</v>
      </c>
      <c r="L140">
        <v>19152215.420000002</v>
      </c>
      <c r="M140">
        <v>20247347.039999999</v>
      </c>
      <c r="N140">
        <v>22039740.859999999</v>
      </c>
      <c r="O140">
        <v>21950102.68</v>
      </c>
      <c r="P140">
        <v>22575960.039999999</v>
      </c>
      <c r="Q140">
        <v>20153735.780000001</v>
      </c>
      <c r="R140">
        <v>18699687.940000001</v>
      </c>
      <c r="S140">
        <v>17618844.870000001</v>
      </c>
      <c r="U140" s="175">
        <f t="shared" si="12"/>
        <v>19345934.07</v>
      </c>
    </row>
    <row r="141" spans="1:21">
      <c r="A141" s="183" t="str">
        <f t="shared" si="10"/>
        <v>408</v>
      </c>
      <c r="B141" s="183" t="str">
        <f t="shared" si="11"/>
        <v>408.2</v>
      </c>
      <c r="C141" t="s">
        <v>1899</v>
      </c>
      <c r="D141" t="s">
        <v>1141</v>
      </c>
      <c r="G141">
        <v>9000</v>
      </c>
      <c r="H141">
        <v>9000</v>
      </c>
      <c r="I141">
        <v>9000</v>
      </c>
      <c r="J141">
        <v>9000</v>
      </c>
      <c r="K141">
        <v>9000</v>
      </c>
      <c r="L141">
        <v>9000</v>
      </c>
      <c r="M141">
        <v>9000</v>
      </c>
      <c r="N141">
        <v>9000</v>
      </c>
      <c r="O141">
        <v>9000</v>
      </c>
      <c r="P141">
        <v>9000</v>
      </c>
      <c r="Q141">
        <v>11443.71</v>
      </c>
      <c r="R141">
        <v>12247.56</v>
      </c>
      <c r="S141">
        <v>35543.480000000003</v>
      </c>
      <c r="U141" s="175">
        <f t="shared" si="12"/>
        <v>11479.596153846154</v>
      </c>
    </row>
    <row r="142" spans="1:21">
      <c r="A142" s="183" t="str">
        <f t="shared" si="10"/>
        <v>409</v>
      </c>
      <c r="B142" s="183" t="str">
        <f t="shared" si="11"/>
        <v>409.1</v>
      </c>
      <c r="C142" t="s">
        <v>1900</v>
      </c>
      <c r="D142" t="s">
        <v>1143</v>
      </c>
      <c r="G142">
        <v>-17323226.649999999</v>
      </c>
      <c r="H142">
        <v>4305517.21</v>
      </c>
      <c r="I142">
        <v>4126546.42</v>
      </c>
      <c r="J142">
        <v>-7451063.6299999999</v>
      </c>
      <c r="K142">
        <v>11325693.82</v>
      </c>
      <c r="L142">
        <v>17507280.25</v>
      </c>
      <c r="M142">
        <v>10911848.34</v>
      </c>
      <c r="N142">
        <v>24338550.600000001</v>
      </c>
      <c r="O142">
        <v>15809694.75</v>
      </c>
      <c r="P142">
        <v>7147001.2699999996</v>
      </c>
      <c r="Q142">
        <v>15577547.26</v>
      </c>
      <c r="R142">
        <v>5980413.0300000003</v>
      </c>
      <c r="S142">
        <v>-16500875.68</v>
      </c>
      <c r="U142" s="175">
        <f t="shared" si="12"/>
        <v>5827302.0761538465</v>
      </c>
    </row>
    <row r="143" spans="1:21">
      <c r="A143" s="183" t="str">
        <f t="shared" si="10"/>
        <v>409</v>
      </c>
      <c r="B143" s="183" t="str">
        <f t="shared" si="11"/>
        <v>409.2</v>
      </c>
      <c r="C143" t="s">
        <v>1901</v>
      </c>
      <c r="D143" t="s">
        <v>1145</v>
      </c>
      <c r="G143">
        <v>2938727.19</v>
      </c>
      <c r="H143">
        <v>124007.94</v>
      </c>
      <c r="I143">
        <v>133273.89000000001</v>
      </c>
      <c r="J143">
        <v>153672.82</v>
      </c>
      <c r="K143">
        <v>134592.29999999999</v>
      </c>
      <c r="L143">
        <v>103494.93</v>
      </c>
      <c r="M143">
        <v>176809.04</v>
      </c>
      <c r="N143">
        <v>114134.25</v>
      </c>
      <c r="O143">
        <v>-159263.24</v>
      </c>
      <c r="P143">
        <v>405060.07</v>
      </c>
      <c r="Q143">
        <v>19011.71</v>
      </c>
      <c r="R143">
        <v>96882.28</v>
      </c>
      <c r="S143">
        <v>14645575.529999999</v>
      </c>
      <c r="U143" s="175">
        <f t="shared" si="12"/>
        <v>1452767.5930769232</v>
      </c>
    </row>
    <row r="144" spans="1:21">
      <c r="A144" s="183" t="str">
        <f t="shared" si="10"/>
        <v>409</v>
      </c>
      <c r="B144" s="183" t="str">
        <f t="shared" si="11"/>
        <v>409.3</v>
      </c>
      <c r="C144" t="s">
        <v>1902</v>
      </c>
      <c r="D144" t="s">
        <v>1147</v>
      </c>
      <c r="G144">
        <v>0</v>
      </c>
      <c r="H144">
        <v>0</v>
      </c>
      <c r="I144">
        <v>0</v>
      </c>
      <c r="J144">
        <v>0</v>
      </c>
      <c r="K144">
        <v>0</v>
      </c>
      <c r="L144">
        <v>0</v>
      </c>
      <c r="M144">
        <v>0</v>
      </c>
      <c r="N144">
        <v>0</v>
      </c>
      <c r="O144">
        <v>0</v>
      </c>
      <c r="P144">
        <v>0</v>
      </c>
      <c r="Q144">
        <v>0</v>
      </c>
      <c r="R144">
        <v>0</v>
      </c>
      <c r="S144">
        <v>0</v>
      </c>
      <c r="U144" s="175">
        <f t="shared" si="12"/>
        <v>0</v>
      </c>
    </row>
    <row r="145" spans="1:21">
      <c r="A145" s="183" t="str">
        <f t="shared" si="10"/>
        <v>410</v>
      </c>
      <c r="B145" s="183" t="str">
        <f t="shared" si="11"/>
        <v>410.1</v>
      </c>
      <c r="C145" t="s">
        <v>1903</v>
      </c>
      <c r="D145" t="s">
        <v>1149</v>
      </c>
      <c r="G145">
        <v>118212102.69</v>
      </c>
      <c r="H145">
        <v>12540252.789999999</v>
      </c>
      <c r="I145">
        <v>11538419.99</v>
      </c>
      <c r="J145">
        <v>28064469.989999998</v>
      </c>
      <c r="K145">
        <v>13797952.859999999</v>
      </c>
      <c r="L145">
        <v>12193366.779999999</v>
      </c>
      <c r="M145">
        <v>25794511.289999999</v>
      </c>
      <c r="N145">
        <v>13025156.83</v>
      </c>
      <c r="O145">
        <v>22017393.449999999</v>
      </c>
      <c r="P145">
        <v>29713111.440000001</v>
      </c>
      <c r="Q145">
        <v>13229395.84</v>
      </c>
      <c r="R145">
        <v>94457471.549999997</v>
      </c>
      <c r="S145">
        <v>28220711.41</v>
      </c>
      <c r="U145" s="175">
        <f t="shared" si="12"/>
        <v>32523408.993076924</v>
      </c>
    </row>
    <row r="146" spans="1:21">
      <c r="A146" s="183" t="str">
        <f t="shared" si="10"/>
        <v>410</v>
      </c>
      <c r="B146" s="183" t="str">
        <f t="shared" si="11"/>
        <v>410.2</v>
      </c>
      <c r="C146" t="s">
        <v>1904</v>
      </c>
      <c r="D146" t="s">
        <v>1151</v>
      </c>
      <c r="G146">
        <v>124.73</v>
      </c>
      <c r="H146">
        <v>33.619999999999997</v>
      </c>
      <c r="I146">
        <v>5775.11</v>
      </c>
      <c r="J146">
        <v>413.34</v>
      </c>
      <c r="K146">
        <v>8572.1299999999992</v>
      </c>
      <c r="L146">
        <v>253.52</v>
      </c>
      <c r="M146">
        <v>466.16</v>
      </c>
      <c r="N146">
        <v>3612.34</v>
      </c>
      <c r="O146">
        <v>1364.72</v>
      </c>
      <c r="P146">
        <v>2662.15</v>
      </c>
      <c r="Q146">
        <v>3836.21</v>
      </c>
      <c r="R146">
        <v>3477.78</v>
      </c>
      <c r="S146">
        <v>243.06</v>
      </c>
      <c r="U146" s="175">
        <f t="shared" si="12"/>
        <v>2371.9130769230769</v>
      </c>
    </row>
    <row r="147" spans="1:21">
      <c r="A147" s="183" t="str">
        <f t="shared" si="10"/>
        <v>411</v>
      </c>
      <c r="B147" s="183" t="str">
        <f t="shared" si="11"/>
        <v>411.1</v>
      </c>
      <c r="C147" t="s">
        <v>1905</v>
      </c>
      <c r="D147" t="s">
        <v>1153</v>
      </c>
      <c r="G147">
        <v>-49318908.75</v>
      </c>
      <c r="H147">
        <v>-10182985.49</v>
      </c>
      <c r="I147">
        <v>-12693600.33</v>
      </c>
      <c r="J147">
        <v>-14883177.75</v>
      </c>
      <c r="K147">
        <v>-18497308.859999999</v>
      </c>
      <c r="L147">
        <v>-20229978.77</v>
      </c>
      <c r="M147">
        <v>-27613479.010000002</v>
      </c>
      <c r="N147">
        <v>-23188722.609999999</v>
      </c>
      <c r="O147">
        <v>-21586124.399999999</v>
      </c>
      <c r="P147">
        <v>-33383298.84</v>
      </c>
      <c r="Q147">
        <v>-20740768.82</v>
      </c>
      <c r="R147">
        <v>-98684384.379999995</v>
      </c>
      <c r="S147">
        <v>-18696371.210000001</v>
      </c>
      <c r="U147" s="175">
        <f t="shared" si="12"/>
        <v>-28438393.016923074</v>
      </c>
    </row>
    <row r="148" spans="1:21">
      <c r="A148" s="183" t="str">
        <f t="shared" si="10"/>
        <v>411</v>
      </c>
      <c r="B148" s="183" t="str">
        <f t="shared" si="11"/>
        <v>411.2</v>
      </c>
      <c r="C148" t="s">
        <v>1906</v>
      </c>
      <c r="D148" t="s">
        <v>1155</v>
      </c>
      <c r="G148">
        <v>-2861.9</v>
      </c>
      <c r="H148">
        <v>-771.33</v>
      </c>
      <c r="I148">
        <v>-251.71</v>
      </c>
      <c r="J148">
        <v>-9483.4699999999993</v>
      </c>
      <c r="K148">
        <v>-373.62</v>
      </c>
      <c r="L148">
        <v>-11.05</v>
      </c>
      <c r="M148">
        <v>-10695.39</v>
      </c>
      <c r="N148">
        <v>-157.44</v>
      </c>
      <c r="O148">
        <v>-59.48</v>
      </c>
      <c r="P148">
        <v>-116.03</v>
      </c>
      <c r="Q148">
        <v>-167.2</v>
      </c>
      <c r="R148">
        <v>-6078.9</v>
      </c>
      <c r="S148">
        <v>-5576.63</v>
      </c>
      <c r="U148" s="175">
        <f t="shared" si="12"/>
        <v>-2815.7038461538459</v>
      </c>
    </row>
    <row r="149" spans="1:21">
      <c r="A149" s="183" t="str">
        <f t="shared" si="10"/>
        <v>411</v>
      </c>
      <c r="B149" s="183" t="str">
        <f t="shared" si="11"/>
        <v>411.4</v>
      </c>
      <c r="C149" t="s">
        <v>1907</v>
      </c>
      <c r="D149" t="s">
        <v>1157</v>
      </c>
      <c r="G149">
        <v>-59725891.899999999</v>
      </c>
      <c r="H149">
        <v>-544862.68999999994</v>
      </c>
      <c r="I149">
        <v>-544862.73</v>
      </c>
      <c r="J149">
        <v>536963.93000000005</v>
      </c>
      <c r="K149">
        <v>-901269.22</v>
      </c>
      <c r="L149">
        <v>-676594.14</v>
      </c>
      <c r="M149">
        <v>-640470.56000000006</v>
      </c>
      <c r="N149">
        <v>-669759.11</v>
      </c>
      <c r="O149">
        <v>-666928.86</v>
      </c>
      <c r="P149">
        <v>-669287.86</v>
      </c>
      <c r="Q149">
        <v>-669287.79</v>
      </c>
      <c r="R149">
        <v>-273435.86</v>
      </c>
      <c r="S149">
        <v>-345077.55</v>
      </c>
      <c r="U149" s="175">
        <f t="shared" si="12"/>
        <v>-5060828.0261538457</v>
      </c>
    </row>
    <row r="150" spans="1:21">
      <c r="A150" s="183" t="str">
        <f t="shared" si="10"/>
        <v>411</v>
      </c>
      <c r="B150" s="183" t="str">
        <f t="shared" si="11"/>
        <v>411.5</v>
      </c>
      <c r="C150" t="s">
        <v>1908</v>
      </c>
      <c r="D150" t="s">
        <v>1159</v>
      </c>
      <c r="G150">
        <v>-1.44</v>
      </c>
      <c r="H150">
        <v>-1.44</v>
      </c>
      <c r="I150">
        <v>-1.44</v>
      </c>
      <c r="J150">
        <v>-1.45</v>
      </c>
      <c r="K150">
        <v>-1.44</v>
      </c>
      <c r="L150">
        <v>-1.44</v>
      </c>
      <c r="M150">
        <v>-1.44</v>
      </c>
      <c r="N150">
        <v>-1.44</v>
      </c>
      <c r="O150">
        <v>-1.44</v>
      </c>
      <c r="P150">
        <v>-1.45</v>
      </c>
      <c r="Q150">
        <v>-1.44</v>
      </c>
      <c r="R150">
        <v>-1.44</v>
      </c>
      <c r="S150">
        <v>-1.44</v>
      </c>
      <c r="U150" s="175">
        <f t="shared" si="12"/>
        <v>-1.4415384615384614</v>
      </c>
    </row>
    <row r="151" spans="1:21">
      <c r="A151" s="183" t="str">
        <f t="shared" si="10"/>
        <v>411</v>
      </c>
      <c r="B151" s="183" t="str">
        <f t="shared" si="11"/>
        <v>411.6</v>
      </c>
      <c r="C151" t="s">
        <v>1909</v>
      </c>
      <c r="D151" t="s">
        <v>1161</v>
      </c>
      <c r="G151">
        <v>0</v>
      </c>
      <c r="H151">
        <v>0</v>
      </c>
      <c r="I151">
        <v>0</v>
      </c>
      <c r="J151">
        <v>0</v>
      </c>
      <c r="K151">
        <v>0</v>
      </c>
      <c r="L151">
        <v>0</v>
      </c>
      <c r="M151">
        <v>0</v>
      </c>
      <c r="N151">
        <v>0</v>
      </c>
      <c r="O151">
        <v>0</v>
      </c>
      <c r="P151">
        <v>0</v>
      </c>
      <c r="Q151">
        <v>0</v>
      </c>
      <c r="R151">
        <v>0</v>
      </c>
      <c r="S151">
        <v>0</v>
      </c>
      <c r="U151" s="175">
        <f t="shared" si="12"/>
        <v>0</v>
      </c>
    </row>
    <row r="152" spans="1:21">
      <c r="A152" s="183" t="str">
        <f t="shared" si="10"/>
        <v>411</v>
      </c>
      <c r="B152" s="183" t="str">
        <f t="shared" si="11"/>
        <v>411.7</v>
      </c>
      <c r="C152" t="s">
        <v>1910</v>
      </c>
      <c r="D152" t="s">
        <v>1163</v>
      </c>
      <c r="G152">
        <v>0</v>
      </c>
      <c r="H152">
        <v>0</v>
      </c>
      <c r="I152">
        <v>0</v>
      </c>
      <c r="J152">
        <v>0</v>
      </c>
      <c r="K152">
        <v>0</v>
      </c>
      <c r="L152">
        <v>0</v>
      </c>
      <c r="M152">
        <v>0</v>
      </c>
      <c r="N152">
        <v>0</v>
      </c>
      <c r="O152">
        <v>0</v>
      </c>
      <c r="P152">
        <v>0</v>
      </c>
      <c r="Q152">
        <v>0</v>
      </c>
      <c r="R152">
        <v>0</v>
      </c>
      <c r="S152">
        <v>0</v>
      </c>
      <c r="U152" s="175">
        <f t="shared" si="12"/>
        <v>0</v>
      </c>
    </row>
    <row r="153" spans="1:21">
      <c r="A153" s="183" t="str">
        <f t="shared" si="10"/>
        <v>411</v>
      </c>
      <c r="B153" s="183" t="str">
        <f t="shared" si="11"/>
        <v>411.8</v>
      </c>
      <c r="C153" t="s">
        <v>1911</v>
      </c>
      <c r="D153" t="s">
        <v>1165</v>
      </c>
      <c r="G153">
        <v>0</v>
      </c>
      <c r="H153">
        <v>0</v>
      </c>
      <c r="I153">
        <v>0</v>
      </c>
      <c r="J153">
        <v>0</v>
      </c>
      <c r="K153">
        <v>0</v>
      </c>
      <c r="L153">
        <v>53.4</v>
      </c>
      <c r="M153">
        <v>0</v>
      </c>
      <c r="N153">
        <v>0</v>
      </c>
      <c r="O153">
        <v>0</v>
      </c>
      <c r="P153">
        <v>0</v>
      </c>
      <c r="Q153">
        <v>0</v>
      </c>
      <c r="R153">
        <v>1216800</v>
      </c>
      <c r="S153">
        <v>2256347.85</v>
      </c>
      <c r="U153" s="175">
        <f t="shared" si="12"/>
        <v>267169.32692307694</v>
      </c>
    </row>
    <row r="154" spans="1:21">
      <c r="A154" s="183" t="str">
        <f t="shared" si="10"/>
        <v>411</v>
      </c>
      <c r="B154" s="183" t="str">
        <f t="shared" si="11"/>
        <v>411.9</v>
      </c>
      <c r="C154" t="s">
        <v>1912</v>
      </c>
      <c r="D154" t="s">
        <v>1167</v>
      </c>
      <c r="G154">
        <v>0</v>
      </c>
      <c r="H154">
        <v>0</v>
      </c>
      <c r="I154">
        <v>0</v>
      </c>
      <c r="J154">
        <v>0</v>
      </c>
      <c r="K154">
        <v>0</v>
      </c>
      <c r="L154">
        <v>0</v>
      </c>
      <c r="M154">
        <v>0</v>
      </c>
      <c r="N154">
        <v>0</v>
      </c>
      <c r="O154">
        <v>0</v>
      </c>
      <c r="P154">
        <v>0</v>
      </c>
      <c r="Q154">
        <v>0</v>
      </c>
      <c r="R154">
        <v>0</v>
      </c>
      <c r="S154">
        <v>0</v>
      </c>
      <c r="U154" s="175">
        <f t="shared" si="12"/>
        <v>0</v>
      </c>
    </row>
    <row r="155" spans="1:21">
      <c r="A155" s="183" t="str">
        <f t="shared" si="10"/>
        <v>412</v>
      </c>
      <c r="B155" s="183" t="str">
        <f t="shared" si="11"/>
        <v>412.0</v>
      </c>
      <c r="C155" t="s">
        <v>1913</v>
      </c>
      <c r="D155" t="s">
        <v>1169</v>
      </c>
      <c r="G155">
        <v>0</v>
      </c>
      <c r="H155">
        <v>0</v>
      </c>
      <c r="I155">
        <v>0</v>
      </c>
      <c r="J155">
        <v>0</v>
      </c>
      <c r="K155">
        <v>0</v>
      </c>
      <c r="L155">
        <v>0</v>
      </c>
      <c r="M155">
        <v>0</v>
      </c>
      <c r="N155">
        <v>0</v>
      </c>
      <c r="O155">
        <v>0</v>
      </c>
      <c r="P155">
        <v>0</v>
      </c>
      <c r="Q155">
        <v>0</v>
      </c>
      <c r="R155">
        <v>0</v>
      </c>
      <c r="S155">
        <v>0</v>
      </c>
      <c r="U155" s="175">
        <f t="shared" si="12"/>
        <v>0</v>
      </c>
    </row>
    <row r="156" spans="1:21">
      <c r="A156" s="183" t="str">
        <f t="shared" si="10"/>
        <v>413</v>
      </c>
      <c r="B156" s="183" t="str">
        <f t="shared" si="11"/>
        <v>413.0</v>
      </c>
      <c r="C156" t="s">
        <v>1914</v>
      </c>
      <c r="D156" t="s">
        <v>1171</v>
      </c>
      <c r="G156">
        <v>0</v>
      </c>
      <c r="H156">
        <v>0</v>
      </c>
      <c r="I156">
        <v>0</v>
      </c>
      <c r="J156">
        <v>0</v>
      </c>
      <c r="K156">
        <v>0</v>
      </c>
      <c r="L156">
        <v>0</v>
      </c>
      <c r="M156">
        <v>0</v>
      </c>
      <c r="N156">
        <v>0</v>
      </c>
      <c r="O156">
        <v>0</v>
      </c>
      <c r="P156">
        <v>0</v>
      </c>
      <c r="Q156">
        <v>0</v>
      </c>
      <c r="R156">
        <v>0</v>
      </c>
      <c r="S156">
        <v>0</v>
      </c>
      <c r="U156" s="175">
        <f t="shared" si="12"/>
        <v>0</v>
      </c>
    </row>
    <row r="157" spans="1:21">
      <c r="A157" s="183" t="str">
        <f t="shared" si="10"/>
        <v>414</v>
      </c>
      <c r="B157" s="183" t="str">
        <f t="shared" si="11"/>
        <v>414.0</v>
      </c>
      <c r="C157" t="s">
        <v>1915</v>
      </c>
      <c r="D157" t="s">
        <v>1173</v>
      </c>
      <c r="G157">
        <v>0</v>
      </c>
      <c r="H157">
        <v>0</v>
      </c>
      <c r="I157">
        <v>0</v>
      </c>
      <c r="J157">
        <v>0</v>
      </c>
      <c r="K157">
        <v>0</v>
      </c>
      <c r="L157">
        <v>0</v>
      </c>
      <c r="M157">
        <v>0</v>
      </c>
      <c r="N157">
        <v>0</v>
      </c>
      <c r="O157">
        <v>0</v>
      </c>
      <c r="P157">
        <v>0</v>
      </c>
      <c r="Q157">
        <v>0</v>
      </c>
      <c r="R157">
        <v>0</v>
      </c>
      <c r="S157">
        <v>0</v>
      </c>
      <c r="U157" s="175">
        <f t="shared" si="12"/>
        <v>0</v>
      </c>
    </row>
    <row r="158" spans="1:21">
      <c r="A158" s="183" t="str">
        <f t="shared" si="10"/>
        <v>415</v>
      </c>
      <c r="B158" s="183" t="str">
        <f t="shared" si="11"/>
        <v>415.0</v>
      </c>
      <c r="C158" t="s">
        <v>1916</v>
      </c>
      <c r="D158" t="s">
        <v>1175</v>
      </c>
      <c r="G158">
        <v>1204234.01</v>
      </c>
      <c r="H158">
        <v>494448.66</v>
      </c>
      <c r="I158">
        <v>507028.47999999998</v>
      </c>
      <c r="J158">
        <v>488841.56</v>
      </c>
      <c r="K158">
        <v>489419.42</v>
      </c>
      <c r="L158">
        <v>1352439.6</v>
      </c>
      <c r="M158">
        <v>491966.86</v>
      </c>
      <c r="N158">
        <v>493308.41</v>
      </c>
      <c r="O158">
        <v>579713.74</v>
      </c>
      <c r="P158">
        <v>495289.12</v>
      </c>
      <c r="Q158">
        <v>500074.87</v>
      </c>
      <c r="R158">
        <v>489905.32</v>
      </c>
      <c r="S158">
        <v>535852.80000000005</v>
      </c>
      <c r="U158" s="175">
        <f t="shared" si="12"/>
        <v>624809.45000000007</v>
      </c>
    </row>
    <row r="159" spans="1:21">
      <c r="A159" s="183" t="str">
        <f t="shared" si="10"/>
        <v>416</v>
      </c>
      <c r="B159" s="183" t="str">
        <f t="shared" si="11"/>
        <v>416.0</v>
      </c>
      <c r="C159" t="s">
        <v>1917</v>
      </c>
      <c r="D159" t="s">
        <v>1177</v>
      </c>
      <c r="G159">
        <v>207847.86</v>
      </c>
      <c r="H159">
        <v>175124.92</v>
      </c>
      <c r="I159">
        <v>160778.09</v>
      </c>
      <c r="J159">
        <v>212878.66</v>
      </c>
      <c r="K159">
        <v>206619.48</v>
      </c>
      <c r="L159">
        <v>216661.61</v>
      </c>
      <c r="M159">
        <v>196864.32</v>
      </c>
      <c r="N159">
        <v>217184.32</v>
      </c>
      <c r="O159">
        <v>1554011.1</v>
      </c>
      <c r="P159">
        <v>184215.67999999999</v>
      </c>
      <c r="Q159">
        <v>217452.29</v>
      </c>
      <c r="R159">
        <v>227443.45</v>
      </c>
      <c r="S159">
        <v>-1196506.8500000001</v>
      </c>
      <c r="U159" s="175">
        <f t="shared" si="12"/>
        <v>198505.76384615389</v>
      </c>
    </row>
    <row r="160" spans="1:21">
      <c r="A160" s="183" t="str">
        <f t="shared" si="10"/>
        <v>417</v>
      </c>
      <c r="B160" s="183" t="str">
        <f t="shared" si="11"/>
        <v>417.0</v>
      </c>
      <c r="C160" t="s">
        <v>1918</v>
      </c>
      <c r="D160" t="s">
        <v>1179</v>
      </c>
      <c r="G160">
        <v>0</v>
      </c>
      <c r="H160">
        <v>0</v>
      </c>
      <c r="I160">
        <v>0</v>
      </c>
      <c r="J160">
        <v>0</v>
      </c>
      <c r="K160">
        <v>0</v>
      </c>
      <c r="L160">
        <v>0</v>
      </c>
      <c r="M160">
        <v>0</v>
      </c>
      <c r="N160">
        <v>0</v>
      </c>
      <c r="O160">
        <v>0</v>
      </c>
      <c r="P160">
        <v>0</v>
      </c>
      <c r="Q160">
        <v>0</v>
      </c>
      <c r="R160">
        <v>0</v>
      </c>
      <c r="S160">
        <v>0</v>
      </c>
      <c r="U160" s="175">
        <f t="shared" si="12"/>
        <v>0</v>
      </c>
    </row>
    <row r="161" spans="1:21">
      <c r="A161" s="183" t="str">
        <f t="shared" si="10"/>
        <v>417</v>
      </c>
      <c r="B161" s="183" t="str">
        <f t="shared" si="11"/>
        <v>417.1</v>
      </c>
      <c r="C161" t="s">
        <v>1919</v>
      </c>
      <c r="D161" t="s">
        <v>1181</v>
      </c>
      <c r="G161">
        <v>0</v>
      </c>
      <c r="H161">
        <v>0</v>
      </c>
      <c r="I161">
        <v>0</v>
      </c>
      <c r="J161">
        <v>0</v>
      </c>
      <c r="K161">
        <v>0</v>
      </c>
      <c r="L161">
        <v>0</v>
      </c>
      <c r="M161">
        <v>0</v>
      </c>
      <c r="N161">
        <v>0</v>
      </c>
      <c r="O161">
        <v>0</v>
      </c>
      <c r="P161">
        <v>0</v>
      </c>
      <c r="Q161">
        <v>0</v>
      </c>
      <c r="R161">
        <v>0</v>
      </c>
      <c r="S161">
        <v>0</v>
      </c>
      <c r="U161" s="175">
        <f t="shared" si="12"/>
        <v>0</v>
      </c>
    </row>
    <row r="162" spans="1:21">
      <c r="A162" s="183" t="str">
        <f t="shared" si="10"/>
        <v>418</v>
      </c>
      <c r="B162" s="183" t="str">
        <f t="shared" si="11"/>
        <v>418.0</v>
      </c>
      <c r="C162" t="s">
        <v>1920</v>
      </c>
      <c r="D162" t="s">
        <v>1183</v>
      </c>
      <c r="G162">
        <v>-5090.04</v>
      </c>
      <c r="H162">
        <v>-5090.04</v>
      </c>
      <c r="I162">
        <v>-5090.04</v>
      </c>
      <c r="J162">
        <v>-5090.04</v>
      </c>
      <c r="K162">
        <v>-5090.04</v>
      </c>
      <c r="L162">
        <v>-5090.04</v>
      </c>
      <c r="M162">
        <v>-5090.04</v>
      </c>
      <c r="N162">
        <v>-5090.04</v>
      </c>
      <c r="O162">
        <v>-5090.04</v>
      </c>
      <c r="P162">
        <v>-5090.04</v>
      </c>
      <c r="Q162">
        <v>-5090.04</v>
      </c>
      <c r="R162">
        <v>-5090.04</v>
      </c>
      <c r="S162">
        <v>-5090.04</v>
      </c>
      <c r="U162" s="175">
        <f t="shared" si="12"/>
        <v>-5090.04</v>
      </c>
    </row>
    <row r="163" spans="1:21">
      <c r="A163" s="183" t="str">
        <f t="shared" si="10"/>
        <v>418</v>
      </c>
      <c r="B163" s="183" t="str">
        <f t="shared" si="11"/>
        <v>418.1</v>
      </c>
      <c r="C163" t="s">
        <v>1921</v>
      </c>
      <c r="D163" t="s">
        <v>1185</v>
      </c>
      <c r="G163">
        <v>0</v>
      </c>
      <c r="H163">
        <v>0</v>
      </c>
      <c r="I163">
        <v>0</v>
      </c>
      <c r="J163">
        <v>0</v>
      </c>
      <c r="K163">
        <v>0</v>
      </c>
      <c r="L163">
        <v>0</v>
      </c>
      <c r="M163">
        <v>0</v>
      </c>
      <c r="N163">
        <v>0</v>
      </c>
      <c r="O163">
        <v>0</v>
      </c>
      <c r="P163">
        <v>0</v>
      </c>
      <c r="Q163">
        <v>0</v>
      </c>
      <c r="R163">
        <v>0</v>
      </c>
      <c r="S163">
        <v>0</v>
      </c>
      <c r="U163" s="175">
        <f t="shared" si="12"/>
        <v>0</v>
      </c>
    </row>
    <row r="164" spans="1:21">
      <c r="A164" s="183" t="str">
        <f t="shared" si="10"/>
        <v>419</v>
      </c>
      <c r="B164" s="183" t="str">
        <f t="shared" si="11"/>
        <v>419.0</v>
      </c>
      <c r="C164" t="s">
        <v>1922</v>
      </c>
      <c r="D164" t="s">
        <v>1187</v>
      </c>
      <c r="G164">
        <v>678361.98</v>
      </c>
      <c r="H164">
        <v>3461945.32</v>
      </c>
      <c r="I164">
        <v>3473085.33</v>
      </c>
      <c r="J164">
        <v>3733272.99</v>
      </c>
      <c r="K164">
        <v>3814678.68</v>
      </c>
      <c r="L164">
        <v>3998575.58</v>
      </c>
      <c r="M164">
        <v>4036748.46</v>
      </c>
      <c r="N164">
        <v>4169019.08</v>
      </c>
      <c r="O164">
        <v>4235284.99</v>
      </c>
      <c r="P164">
        <v>4535395.1900000004</v>
      </c>
      <c r="Q164">
        <v>4431568.88</v>
      </c>
      <c r="R164">
        <v>4335032.21</v>
      </c>
      <c r="S164">
        <v>3137285.87</v>
      </c>
      <c r="U164" s="175">
        <f t="shared" si="12"/>
        <v>3695404.1969230771</v>
      </c>
    </row>
    <row r="165" spans="1:21">
      <c r="A165" s="183" t="str">
        <f t="shared" si="10"/>
        <v>419</v>
      </c>
      <c r="B165" s="183" t="str">
        <f t="shared" si="11"/>
        <v>419.1</v>
      </c>
      <c r="C165" t="s">
        <v>1923</v>
      </c>
      <c r="D165" t="s">
        <v>1189</v>
      </c>
      <c r="G165">
        <v>2010452.73</v>
      </c>
      <c r="H165">
        <v>996048.69</v>
      </c>
      <c r="I165">
        <v>1061893.3500000001</v>
      </c>
      <c r="J165">
        <v>1138225.8</v>
      </c>
      <c r="K165">
        <v>1262349.8799999999</v>
      </c>
      <c r="L165">
        <v>1378224.42</v>
      </c>
      <c r="M165">
        <v>1511920.13</v>
      </c>
      <c r="N165">
        <v>1673165.29</v>
      </c>
      <c r="O165">
        <v>1824489.26</v>
      </c>
      <c r="P165">
        <v>1952360.84</v>
      </c>
      <c r="Q165">
        <v>2081313.69</v>
      </c>
      <c r="R165">
        <v>2190714.2000000002</v>
      </c>
      <c r="S165">
        <v>1859640.88</v>
      </c>
      <c r="U165" s="175">
        <f t="shared" si="12"/>
        <v>1610830.7046153843</v>
      </c>
    </row>
    <row r="166" spans="1:21">
      <c r="A166" s="183" t="str">
        <f t="shared" si="10"/>
        <v>420</v>
      </c>
      <c r="B166" s="183" t="str">
        <f t="shared" si="11"/>
        <v>420.0</v>
      </c>
      <c r="C166" t="s">
        <v>1924</v>
      </c>
      <c r="D166" t="s">
        <v>1191</v>
      </c>
      <c r="G166">
        <v>0</v>
      </c>
      <c r="H166">
        <v>0</v>
      </c>
      <c r="I166">
        <v>0</v>
      </c>
      <c r="J166">
        <v>0</v>
      </c>
      <c r="K166">
        <v>0</v>
      </c>
      <c r="L166">
        <v>0</v>
      </c>
      <c r="M166">
        <v>0</v>
      </c>
      <c r="N166">
        <v>0</v>
      </c>
      <c r="O166">
        <v>0</v>
      </c>
      <c r="P166">
        <v>0</v>
      </c>
      <c r="Q166">
        <v>0</v>
      </c>
      <c r="R166">
        <v>0</v>
      </c>
      <c r="S166">
        <v>0</v>
      </c>
      <c r="U166" s="175">
        <f t="shared" si="12"/>
        <v>0</v>
      </c>
    </row>
    <row r="167" spans="1:21">
      <c r="A167" s="183" t="str">
        <f t="shared" si="10"/>
        <v>421</v>
      </c>
      <c r="B167" s="183" t="str">
        <f t="shared" si="11"/>
        <v>421.0</v>
      </c>
      <c r="C167" t="s">
        <v>1925</v>
      </c>
      <c r="D167" t="s">
        <v>1193</v>
      </c>
      <c r="G167">
        <v>1758623.42</v>
      </c>
      <c r="H167">
        <v>1906385</v>
      </c>
      <c r="I167">
        <v>1924059.66</v>
      </c>
      <c r="J167">
        <v>1879450.41</v>
      </c>
      <c r="K167">
        <v>1814086.67</v>
      </c>
      <c r="L167">
        <v>1715293.56</v>
      </c>
      <c r="M167">
        <v>1581388</v>
      </c>
      <c r="N167">
        <v>1402041.48</v>
      </c>
      <c r="O167">
        <v>1277524.06</v>
      </c>
      <c r="P167">
        <v>1005837.79</v>
      </c>
      <c r="Q167">
        <v>833455.49</v>
      </c>
      <c r="R167">
        <v>611044.16</v>
      </c>
      <c r="S167">
        <v>480441</v>
      </c>
      <c r="U167" s="175">
        <f t="shared" si="12"/>
        <v>1399202.3615384614</v>
      </c>
    </row>
    <row r="168" spans="1:21">
      <c r="A168" s="183" t="str">
        <f t="shared" si="10"/>
        <v>421</v>
      </c>
      <c r="B168" s="183" t="str">
        <f t="shared" si="11"/>
        <v>421.1</v>
      </c>
      <c r="C168" t="s">
        <v>1926</v>
      </c>
      <c r="D168" t="s">
        <v>1195</v>
      </c>
      <c r="G168">
        <v>12208.05</v>
      </c>
      <c r="H168">
        <v>23830.38</v>
      </c>
      <c r="I168">
        <v>585.72</v>
      </c>
      <c r="J168">
        <v>12205.03</v>
      </c>
      <c r="K168">
        <v>12205.03</v>
      </c>
      <c r="L168">
        <v>12205.03</v>
      </c>
      <c r="M168">
        <v>12205.03</v>
      </c>
      <c r="N168">
        <v>12205.03</v>
      </c>
      <c r="O168">
        <v>12205.03</v>
      </c>
      <c r="P168">
        <v>12205.03</v>
      </c>
      <c r="Q168">
        <v>12205.03</v>
      </c>
      <c r="R168">
        <v>582.70000000000005</v>
      </c>
      <c r="S168">
        <v>612.9</v>
      </c>
      <c r="U168" s="175">
        <f t="shared" si="12"/>
        <v>10419.999230769232</v>
      </c>
    </row>
    <row r="169" spans="1:21">
      <c r="A169" s="183" t="str">
        <f t="shared" si="10"/>
        <v>421</v>
      </c>
      <c r="B169" s="183" t="str">
        <f t="shared" si="11"/>
        <v>421.2</v>
      </c>
      <c r="C169" t="s">
        <v>1927</v>
      </c>
      <c r="D169" t="s">
        <v>1197</v>
      </c>
      <c r="G169">
        <v>0</v>
      </c>
      <c r="H169">
        <v>0</v>
      </c>
      <c r="I169">
        <v>0</v>
      </c>
      <c r="J169">
        <v>0</v>
      </c>
      <c r="K169">
        <v>0</v>
      </c>
      <c r="L169">
        <v>0</v>
      </c>
      <c r="M169">
        <v>0</v>
      </c>
      <c r="N169">
        <v>0</v>
      </c>
      <c r="O169">
        <v>0</v>
      </c>
      <c r="P169">
        <v>0</v>
      </c>
      <c r="Q169">
        <v>0</v>
      </c>
      <c r="R169">
        <v>0</v>
      </c>
      <c r="S169">
        <v>0</v>
      </c>
      <c r="U169" s="175">
        <f t="shared" si="12"/>
        <v>0</v>
      </c>
    </row>
    <row r="170" spans="1:21">
      <c r="A170" s="183" t="str">
        <f t="shared" si="10"/>
        <v>425</v>
      </c>
      <c r="B170" s="183" t="str">
        <f t="shared" si="11"/>
        <v>425.0</v>
      </c>
      <c r="C170" t="s">
        <v>1928</v>
      </c>
      <c r="D170" t="s">
        <v>1199</v>
      </c>
      <c r="G170">
        <v>4246.63</v>
      </c>
      <c r="H170">
        <v>4246.6099999999997</v>
      </c>
      <c r="I170">
        <v>4246.63</v>
      </c>
      <c r="J170">
        <v>4246.6099999999997</v>
      </c>
      <c r="K170">
        <v>4246.63</v>
      </c>
      <c r="L170">
        <v>4246.6099999999997</v>
      </c>
      <c r="M170">
        <v>4246.63</v>
      </c>
      <c r="N170">
        <v>4246.6099999999997</v>
      </c>
      <c r="O170">
        <v>4246.63</v>
      </c>
      <c r="P170">
        <v>4246.6099999999997</v>
      </c>
      <c r="Q170">
        <v>4246.62</v>
      </c>
      <c r="R170">
        <v>4246.62</v>
      </c>
      <c r="S170">
        <v>4246.63</v>
      </c>
      <c r="U170" s="175">
        <f t="shared" si="12"/>
        <v>4246.6207692307689</v>
      </c>
    </row>
    <row r="171" spans="1:21">
      <c r="A171" s="183" t="str">
        <f t="shared" si="10"/>
        <v>426</v>
      </c>
      <c r="B171" s="183" t="str">
        <f t="shared" si="11"/>
        <v>426.1</v>
      </c>
      <c r="C171" t="s">
        <v>1929</v>
      </c>
      <c r="D171" t="s">
        <v>1201</v>
      </c>
      <c r="G171">
        <v>590068.86</v>
      </c>
      <c r="H171">
        <v>294411.63</v>
      </c>
      <c r="I171">
        <v>310238.13</v>
      </c>
      <c r="J171">
        <v>194078.23</v>
      </c>
      <c r="K171">
        <v>245129.54</v>
      </c>
      <c r="L171">
        <v>465299.87</v>
      </c>
      <c r="M171">
        <v>155638.94</v>
      </c>
      <c r="N171">
        <v>334457.88</v>
      </c>
      <c r="O171">
        <v>1606441.44</v>
      </c>
      <c r="P171">
        <v>293789.5</v>
      </c>
      <c r="Q171">
        <v>651353.82999999996</v>
      </c>
      <c r="R171">
        <v>262612.8</v>
      </c>
      <c r="S171">
        <v>198605.15</v>
      </c>
      <c r="U171" s="175">
        <f t="shared" si="12"/>
        <v>430932.75384615385</v>
      </c>
    </row>
    <row r="172" spans="1:21">
      <c r="A172" s="183" t="str">
        <f t="shared" si="10"/>
        <v>426</v>
      </c>
      <c r="B172" s="183" t="str">
        <f t="shared" si="11"/>
        <v>426.2</v>
      </c>
      <c r="C172" t="s">
        <v>1930</v>
      </c>
      <c r="D172" t="s">
        <v>1203</v>
      </c>
      <c r="G172">
        <v>0</v>
      </c>
      <c r="H172">
        <v>0</v>
      </c>
      <c r="I172">
        <v>0</v>
      </c>
      <c r="J172">
        <v>0</v>
      </c>
      <c r="K172">
        <v>0</v>
      </c>
      <c r="L172">
        <v>0</v>
      </c>
      <c r="M172">
        <v>0</v>
      </c>
      <c r="N172">
        <v>0</v>
      </c>
      <c r="O172">
        <v>0</v>
      </c>
      <c r="P172">
        <v>0</v>
      </c>
      <c r="Q172">
        <v>0</v>
      </c>
      <c r="R172">
        <v>0</v>
      </c>
      <c r="S172">
        <v>0</v>
      </c>
      <c r="U172" s="175">
        <f t="shared" si="12"/>
        <v>0</v>
      </c>
    </row>
    <row r="173" spans="1:21">
      <c r="A173" s="183" t="str">
        <f t="shared" si="10"/>
        <v>426</v>
      </c>
      <c r="B173" s="183" t="str">
        <f t="shared" si="11"/>
        <v>426.3</v>
      </c>
      <c r="C173" t="s">
        <v>1931</v>
      </c>
      <c r="D173" t="s">
        <v>1205</v>
      </c>
      <c r="G173">
        <v>-199950</v>
      </c>
      <c r="H173">
        <v>0</v>
      </c>
      <c r="I173">
        <v>-17999.57</v>
      </c>
      <c r="J173">
        <v>0</v>
      </c>
      <c r="K173">
        <v>0</v>
      </c>
      <c r="L173">
        <v>0</v>
      </c>
      <c r="M173">
        <v>5077.54</v>
      </c>
      <c r="N173">
        <v>5000</v>
      </c>
      <c r="O173">
        <v>2107.5700000000002</v>
      </c>
      <c r="P173">
        <v>1856.64</v>
      </c>
      <c r="Q173">
        <v>59.55</v>
      </c>
      <c r="R173">
        <v>344.06</v>
      </c>
      <c r="S173">
        <v>85683</v>
      </c>
      <c r="U173" s="175">
        <f t="shared" si="12"/>
        <v>-9063.17</v>
      </c>
    </row>
    <row r="174" spans="1:21">
      <c r="A174" s="183" t="str">
        <f t="shared" si="10"/>
        <v>426</v>
      </c>
      <c r="B174" s="183" t="str">
        <f t="shared" si="11"/>
        <v>426.4</v>
      </c>
      <c r="C174" t="s">
        <v>1932</v>
      </c>
      <c r="D174" t="s">
        <v>1207</v>
      </c>
      <c r="G174">
        <v>14695.05</v>
      </c>
      <c r="H174">
        <v>115021</v>
      </c>
      <c r="I174">
        <v>1669.34</v>
      </c>
      <c r="J174">
        <v>1731.79</v>
      </c>
      <c r="K174">
        <v>9395.1</v>
      </c>
      <c r="L174">
        <v>2582.7600000000002</v>
      </c>
      <c r="M174">
        <v>6620.63</v>
      </c>
      <c r="N174">
        <v>773.33</v>
      </c>
      <c r="O174">
        <v>3771.73</v>
      </c>
      <c r="P174">
        <v>557.70000000000005</v>
      </c>
      <c r="Q174">
        <v>1733.08</v>
      </c>
      <c r="R174">
        <v>1727.47</v>
      </c>
      <c r="S174">
        <v>79868.55</v>
      </c>
      <c r="U174" s="175">
        <f t="shared" si="12"/>
        <v>18472.886923076927</v>
      </c>
    </row>
    <row r="175" spans="1:21">
      <c r="A175" s="183" t="str">
        <f t="shared" si="10"/>
        <v>426</v>
      </c>
      <c r="B175" s="183" t="str">
        <f t="shared" si="11"/>
        <v>426.5</v>
      </c>
      <c r="C175" t="s">
        <v>1933</v>
      </c>
      <c r="D175" t="s">
        <v>1209</v>
      </c>
      <c r="G175">
        <v>11425.93</v>
      </c>
      <c r="H175">
        <v>38518.53</v>
      </c>
      <c r="I175">
        <v>2463.88</v>
      </c>
      <c r="J175">
        <v>37735.69</v>
      </c>
      <c r="K175">
        <v>5542.11</v>
      </c>
      <c r="L175">
        <v>11383.8</v>
      </c>
      <c r="M175">
        <v>80404.61</v>
      </c>
      <c r="N175">
        <v>27187.599999999999</v>
      </c>
      <c r="O175">
        <v>-8409.61</v>
      </c>
      <c r="P175">
        <v>8855.1299999999992</v>
      </c>
      <c r="Q175">
        <v>2150.54</v>
      </c>
      <c r="R175">
        <v>12034.99</v>
      </c>
      <c r="S175">
        <v>75119.13</v>
      </c>
      <c r="U175" s="175">
        <f t="shared" si="12"/>
        <v>23416.333076923074</v>
      </c>
    </row>
    <row r="176" spans="1:21">
      <c r="A176" s="183" t="str">
        <f t="shared" si="10"/>
        <v>427</v>
      </c>
      <c r="B176" s="183" t="str">
        <f t="shared" si="11"/>
        <v>427.0</v>
      </c>
      <c r="C176" t="s">
        <v>1934</v>
      </c>
      <c r="D176" t="s">
        <v>1211</v>
      </c>
      <c r="G176">
        <v>11493593.76</v>
      </c>
      <c r="H176">
        <v>13353125</v>
      </c>
      <c r="I176">
        <v>13353125</v>
      </c>
      <c r="J176">
        <v>13353125</v>
      </c>
      <c r="K176">
        <v>13353125</v>
      </c>
      <c r="L176">
        <v>13353125</v>
      </c>
      <c r="M176">
        <v>13353125</v>
      </c>
      <c r="N176">
        <v>13353125</v>
      </c>
      <c r="O176">
        <v>13353125</v>
      </c>
      <c r="P176">
        <v>13353125</v>
      </c>
      <c r="Q176">
        <v>13353125</v>
      </c>
      <c r="R176">
        <v>13353125</v>
      </c>
      <c r="S176">
        <v>13353125</v>
      </c>
      <c r="U176" s="175">
        <f t="shared" si="12"/>
        <v>13210084.135384616</v>
      </c>
    </row>
    <row r="177" spans="1:21">
      <c r="A177" s="183" t="str">
        <f t="shared" si="10"/>
        <v>428</v>
      </c>
      <c r="B177" s="183" t="str">
        <f t="shared" si="11"/>
        <v>428.0</v>
      </c>
      <c r="C177" t="s">
        <v>1935</v>
      </c>
      <c r="D177" t="s">
        <v>1213</v>
      </c>
      <c r="G177">
        <v>202618.05</v>
      </c>
      <c r="H177">
        <v>301727.55</v>
      </c>
      <c r="I177">
        <v>249680.13</v>
      </c>
      <c r="J177">
        <v>249680.13</v>
      </c>
      <c r="K177">
        <v>249680.13</v>
      </c>
      <c r="L177">
        <v>249680.13</v>
      </c>
      <c r="M177">
        <v>249680.13</v>
      </c>
      <c r="N177">
        <v>249680.13</v>
      </c>
      <c r="O177">
        <v>249680.13</v>
      </c>
      <c r="P177">
        <v>249680.13</v>
      </c>
      <c r="Q177">
        <v>249680.13</v>
      </c>
      <c r="R177">
        <v>249680.13</v>
      </c>
      <c r="S177">
        <v>249680.13</v>
      </c>
      <c r="U177" s="175">
        <f t="shared" si="12"/>
        <v>250063.61769230763</v>
      </c>
    </row>
    <row r="178" spans="1:21">
      <c r="A178" s="183" t="str">
        <f t="shared" si="10"/>
        <v>428</v>
      </c>
      <c r="B178" s="183" t="str">
        <f t="shared" si="11"/>
        <v>428.1</v>
      </c>
      <c r="C178" t="s">
        <v>1936</v>
      </c>
      <c r="D178" t="s">
        <v>1215</v>
      </c>
      <c r="G178">
        <v>39394.699999999997</v>
      </c>
      <c r="H178">
        <v>39394.699999999997</v>
      </c>
      <c r="I178">
        <v>39394.699999999997</v>
      </c>
      <c r="J178">
        <v>39394.699999999997</v>
      </c>
      <c r="K178">
        <v>39394.699999999997</v>
      </c>
      <c r="L178">
        <v>39394.699999999997</v>
      </c>
      <c r="M178">
        <v>39394.699999999997</v>
      </c>
      <c r="N178">
        <v>39394.699999999997</v>
      </c>
      <c r="O178">
        <v>39394.699999999997</v>
      </c>
      <c r="P178">
        <v>39394.699999999997</v>
      </c>
      <c r="Q178">
        <v>31846.57</v>
      </c>
      <c r="R178">
        <v>31846.57</v>
      </c>
      <c r="S178">
        <v>31846.57</v>
      </c>
      <c r="U178" s="175">
        <f t="shared" si="12"/>
        <v>37652.823846153849</v>
      </c>
    </row>
    <row r="179" spans="1:21">
      <c r="A179" s="183" t="str">
        <f t="shared" si="10"/>
        <v>429</v>
      </c>
      <c r="B179" s="183" t="str">
        <f t="shared" si="11"/>
        <v>429.0</v>
      </c>
      <c r="C179" t="s">
        <v>1937</v>
      </c>
      <c r="D179" t="s">
        <v>1217</v>
      </c>
      <c r="G179">
        <v>0</v>
      </c>
      <c r="H179">
        <v>0</v>
      </c>
      <c r="I179">
        <v>0</v>
      </c>
      <c r="J179">
        <v>0</v>
      </c>
      <c r="K179">
        <v>0</v>
      </c>
      <c r="L179">
        <v>0</v>
      </c>
      <c r="M179">
        <v>0</v>
      </c>
      <c r="N179">
        <v>0</v>
      </c>
      <c r="O179">
        <v>0</v>
      </c>
      <c r="P179">
        <v>0</v>
      </c>
      <c r="Q179">
        <v>0</v>
      </c>
      <c r="R179">
        <v>0</v>
      </c>
      <c r="S179">
        <v>0</v>
      </c>
      <c r="U179" s="175">
        <f t="shared" si="12"/>
        <v>0</v>
      </c>
    </row>
    <row r="180" spans="1:21">
      <c r="A180" s="183" t="str">
        <f t="shared" si="10"/>
        <v>429</v>
      </c>
      <c r="B180" s="183" t="str">
        <f t="shared" si="11"/>
        <v>429.1</v>
      </c>
      <c r="C180" t="s">
        <v>1938</v>
      </c>
      <c r="D180" t="s">
        <v>1219</v>
      </c>
      <c r="G180">
        <v>0</v>
      </c>
      <c r="H180">
        <v>0</v>
      </c>
      <c r="I180">
        <v>0</v>
      </c>
      <c r="J180">
        <v>0</v>
      </c>
      <c r="K180">
        <v>0</v>
      </c>
      <c r="L180">
        <v>0</v>
      </c>
      <c r="M180">
        <v>0</v>
      </c>
      <c r="N180">
        <v>0</v>
      </c>
      <c r="O180">
        <v>0</v>
      </c>
      <c r="P180">
        <v>0</v>
      </c>
      <c r="Q180">
        <v>0</v>
      </c>
      <c r="R180">
        <v>0</v>
      </c>
      <c r="S180">
        <v>0</v>
      </c>
      <c r="U180" s="175">
        <f t="shared" si="12"/>
        <v>0</v>
      </c>
    </row>
    <row r="181" spans="1:21">
      <c r="A181" s="183" t="str">
        <f t="shared" si="10"/>
        <v>430</v>
      </c>
      <c r="B181" s="183" t="str">
        <f t="shared" si="11"/>
        <v>430.0</v>
      </c>
      <c r="C181" t="s">
        <v>1939</v>
      </c>
      <c r="D181" t="s">
        <v>1221</v>
      </c>
      <c r="G181">
        <v>0</v>
      </c>
      <c r="H181">
        <v>0</v>
      </c>
      <c r="I181">
        <v>0</v>
      </c>
      <c r="J181">
        <v>0</v>
      </c>
      <c r="K181">
        <v>0</v>
      </c>
      <c r="L181">
        <v>0</v>
      </c>
      <c r="M181">
        <v>0</v>
      </c>
      <c r="N181">
        <v>0</v>
      </c>
      <c r="O181">
        <v>0</v>
      </c>
      <c r="P181">
        <v>0</v>
      </c>
      <c r="Q181">
        <v>0</v>
      </c>
      <c r="R181">
        <v>0</v>
      </c>
      <c r="S181">
        <v>0</v>
      </c>
      <c r="U181" s="175">
        <f t="shared" si="12"/>
        <v>0</v>
      </c>
    </row>
    <row r="182" spans="1:21">
      <c r="A182" s="183" t="str">
        <f t="shared" si="10"/>
        <v>431</v>
      </c>
      <c r="B182" s="183" t="str">
        <f t="shared" si="11"/>
        <v>431.0</v>
      </c>
      <c r="C182" t="s">
        <v>1940</v>
      </c>
      <c r="D182" t="s">
        <v>1223</v>
      </c>
      <c r="G182">
        <v>4145837.54</v>
      </c>
      <c r="H182">
        <v>5270445.29</v>
      </c>
      <c r="I182">
        <v>6666665.7199999997</v>
      </c>
      <c r="J182">
        <v>6624389.1500000004</v>
      </c>
      <c r="K182">
        <v>7131758.3499999996</v>
      </c>
      <c r="L182">
        <v>7139282.8499999996</v>
      </c>
      <c r="M182">
        <v>6963831.6799999997</v>
      </c>
      <c r="N182">
        <v>7843634.7300000004</v>
      </c>
      <c r="O182">
        <v>7332372.9800000004</v>
      </c>
      <c r="P182">
        <v>6787913.6500000004</v>
      </c>
      <c r="Q182">
        <v>7505789.8600000003</v>
      </c>
      <c r="R182">
        <v>6847039.29</v>
      </c>
      <c r="S182">
        <v>6246011.1699999999</v>
      </c>
      <c r="U182" s="175">
        <f t="shared" si="12"/>
        <v>6654228.6353846174</v>
      </c>
    </row>
    <row r="183" spans="1:21">
      <c r="A183" s="183" t="str">
        <f t="shared" si="10"/>
        <v>432</v>
      </c>
      <c r="B183" s="183" t="str">
        <f t="shared" si="11"/>
        <v>432.0</v>
      </c>
      <c r="C183" t="s">
        <v>1941</v>
      </c>
      <c r="D183" t="s">
        <v>1225</v>
      </c>
      <c r="G183">
        <v>-655171.9</v>
      </c>
      <c r="H183">
        <v>-324591.24</v>
      </c>
      <c r="I183">
        <v>-346051.99</v>
      </c>
      <c r="J183">
        <v>-370927.38</v>
      </c>
      <c r="K183">
        <v>-411377.17</v>
      </c>
      <c r="L183">
        <v>-449138.58</v>
      </c>
      <c r="M183">
        <v>-492707.55</v>
      </c>
      <c r="N183">
        <v>-545254.56999999995</v>
      </c>
      <c r="O183">
        <v>-594568.30000000005</v>
      </c>
      <c r="P183">
        <v>-636239.31999999995</v>
      </c>
      <c r="Q183">
        <v>-678262.65</v>
      </c>
      <c r="R183">
        <v>-713914.38</v>
      </c>
      <c r="S183">
        <v>-606023.59</v>
      </c>
      <c r="U183" s="175">
        <f t="shared" si="12"/>
        <v>-524940.66307692311</v>
      </c>
    </row>
    <row r="184" spans="1:21">
      <c r="A184" s="183" t="str">
        <f t="shared" si="10"/>
        <v>433</v>
      </c>
      <c r="B184" s="183" t="str">
        <f t="shared" si="11"/>
        <v>433.0</v>
      </c>
      <c r="C184" t="s">
        <v>1942</v>
      </c>
      <c r="D184" t="s">
        <v>1227</v>
      </c>
      <c r="G184">
        <v>-21361656.039999999</v>
      </c>
      <c r="H184">
        <v>-32228058.27</v>
      </c>
      <c r="I184">
        <v>69546603.930000007</v>
      </c>
      <c r="J184">
        <v>-25450216.030000001</v>
      </c>
      <c r="K184">
        <v>-34854262.670000002</v>
      </c>
      <c r="L184">
        <v>35438967.630000003</v>
      </c>
      <c r="M184">
        <v>-52722323.030000001</v>
      </c>
      <c r="N184">
        <v>-57217625.990000002</v>
      </c>
      <c r="O184">
        <v>69525828.25</v>
      </c>
      <c r="P184">
        <v>-50743816.369999997</v>
      </c>
      <c r="Q184">
        <v>-37455559.289999999</v>
      </c>
      <c r="R184">
        <v>143999983.72999999</v>
      </c>
      <c r="S184">
        <v>-21205891.399999999</v>
      </c>
      <c r="U184" s="175">
        <f t="shared" si="12"/>
        <v>-1132925.0423076926</v>
      </c>
    </row>
    <row r="185" spans="1:21">
      <c r="A185" s="183" t="str">
        <f t="shared" si="10"/>
        <v>434</v>
      </c>
      <c r="B185" s="183" t="str">
        <f t="shared" si="11"/>
        <v>434.0</v>
      </c>
      <c r="C185" t="s">
        <v>1943</v>
      </c>
      <c r="D185" t="s">
        <v>1229</v>
      </c>
      <c r="G185">
        <v>0</v>
      </c>
      <c r="H185">
        <v>0</v>
      </c>
      <c r="I185">
        <v>0</v>
      </c>
      <c r="J185">
        <v>0</v>
      </c>
      <c r="K185">
        <v>0</v>
      </c>
      <c r="L185">
        <v>0</v>
      </c>
      <c r="M185">
        <v>0</v>
      </c>
      <c r="N185">
        <v>0</v>
      </c>
      <c r="O185">
        <v>0</v>
      </c>
      <c r="P185">
        <v>0</v>
      </c>
      <c r="Q185">
        <v>0</v>
      </c>
      <c r="R185">
        <v>0</v>
      </c>
      <c r="S185">
        <v>0</v>
      </c>
      <c r="U185" s="175">
        <f t="shared" si="12"/>
        <v>0</v>
      </c>
    </row>
    <row r="186" spans="1:21">
      <c r="A186" s="183" t="str">
        <f t="shared" si="10"/>
        <v>435</v>
      </c>
      <c r="B186" s="183" t="str">
        <f t="shared" si="11"/>
        <v>435.0</v>
      </c>
      <c r="C186" t="s">
        <v>1944</v>
      </c>
      <c r="D186" t="s">
        <v>1231</v>
      </c>
      <c r="G186">
        <v>0</v>
      </c>
      <c r="H186">
        <v>0</v>
      </c>
      <c r="I186">
        <v>0</v>
      </c>
      <c r="J186">
        <v>0</v>
      </c>
      <c r="K186">
        <v>0</v>
      </c>
      <c r="L186">
        <v>0</v>
      </c>
      <c r="M186">
        <v>0</v>
      </c>
      <c r="N186">
        <v>0</v>
      </c>
      <c r="O186">
        <v>0</v>
      </c>
      <c r="P186">
        <v>0</v>
      </c>
      <c r="Q186">
        <v>0</v>
      </c>
      <c r="R186">
        <v>0</v>
      </c>
      <c r="S186">
        <v>0</v>
      </c>
      <c r="U186" s="175">
        <f t="shared" si="12"/>
        <v>0</v>
      </c>
    </row>
    <row r="187" spans="1:21">
      <c r="A187" s="183" t="str">
        <f t="shared" si="10"/>
        <v>436</v>
      </c>
      <c r="B187" s="183" t="str">
        <f t="shared" si="11"/>
        <v>436.0</v>
      </c>
      <c r="C187" t="s">
        <v>1945</v>
      </c>
      <c r="D187" t="s">
        <v>1946</v>
      </c>
      <c r="G187">
        <v>0</v>
      </c>
      <c r="H187">
        <v>0</v>
      </c>
      <c r="I187">
        <v>0</v>
      </c>
      <c r="J187">
        <v>0</v>
      </c>
      <c r="K187">
        <v>0</v>
      </c>
      <c r="L187">
        <v>0</v>
      </c>
      <c r="M187">
        <v>0</v>
      </c>
      <c r="N187">
        <v>0</v>
      </c>
      <c r="O187">
        <v>0</v>
      </c>
      <c r="P187">
        <v>0</v>
      </c>
      <c r="Q187">
        <v>0</v>
      </c>
      <c r="R187">
        <v>0</v>
      </c>
      <c r="S187">
        <v>0</v>
      </c>
      <c r="U187" s="175">
        <f t="shared" si="12"/>
        <v>0</v>
      </c>
    </row>
    <row r="188" spans="1:21">
      <c r="A188" s="183" t="str">
        <f t="shared" si="10"/>
        <v>437</v>
      </c>
      <c r="B188" s="183" t="str">
        <f t="shared" si="11"/>
        <v>437.0</v>
      </c>
      <c r="C188" t="s">
        <v>1947</v>
      </c>
      <c r="D188" t="s">
        <v>1948</v>
      </c>
      <c r="G188">
        <v>0</v>
      </c>
      <c r="H188">
        <v>0</v>
      </c>
      <c r="I188">
        <v>0</v>
      </c>
      <c r="J188">
        <v>0</v>
      </c>
      <c r="K188">
        <v>0</v>
      </c>
      <c r="L188">
        <v>0</v>
      </c>
      <c r="M188">
        <v>0</v>
      </c>
      <c r="N188">
        <v>0</v>
      </c>
      <c r="O188">
        <v>0</v>
      </c>
      <c r="P188">
        <v>0</v>
      </c>
      <c r="Q188">
        <v>0</v>
      </c>
      <c r="R188">
        <v>0</v>
      </c>
      <c r="S188">
        <v>0</v>
      </c>
      <c r="U188" s="175">
        <f t="shared" si="12"/>
        <v>0</v>
      </c>
    </row>
    <row r="189" spans="1:21">
      <c r="A189" s="183" t="str">
        <f t="shared" si="10"/>
        <v>438</v>
      </c>
      <c r="B189" s="183" t="str">
        <f t="shared" si="11"/>
        <v>438.0</v>
      </c>
      <c r="C189" t="s">
        <v>1949</v>
      </c>
      <c r="D189" t="s">
        <v>1233</v>
      </c>
      <c r="G189">
        <v>0</v>
      </c>
      <c r="H189">
        <v>0</v>
      </c>
      <c r="I189">
        <v>-91260244</v>
      </c>
      <c r="J189">
        <v>0</v>
      </c>
      <c r="K189">
        <v>0</v>
      </c>
      <c r="L189">
        <v>-79391914</v>
      </c>
      <c r="M189">
        <v>0</v>
      </c>
      <c r="N189">
        <v>0</v>
      </c>
      <c r="O189">
        <v>-131529532</v>
      </c>
      <c r="P189">
        <v>0</v>
      </c>
      <c r="Q189">
        <v>0</v>
      </c>
      <c r="R189">
        <v>-169965146</v>
      </c>
      <c r="S189">
        <v>0</v>
      </c>
      <c r="U189" s="175">
        <f t="shared" si="12"/>
        <v>-36318987.384615384</v>
      </c>
    </row>
    <row r="190" spans="1:21">
      <c r="A190" s="183" t="str">
        <f t="shared" si="10"/>
        <v>439</v>
      </c>
      <c r="B190" s="183" t="str">
        <f t="shared" si="11"/>
        <v>439.0</v>
      </c>
      <c r="C190" t="s">
        <v>1950</v>
      </c>
      <c r="D190" t="s">
        <v>1951</v>
      </c>
      <c r="G190">
        <v>0</v>
      </c>
      <c r="H190">
        <v>0</v>
      </c>
      <c r="I190">
        <v>0</v>
      </c>
      <c r="J190">
        <v>0</v>
      </c>
      <c r="K190">
        <v>0</v>
      </c>
      <c r="L190">
        <v>0</v>
      </c>
      <c r="M190">
        <v>0</v>
      </c>
      <c r="N190">
        <v>0</v>
      </c>
      <c r="O190">
        <v>0</v>
      </c>
      <c r="P190">
        <v>0</v>
      </c>
      <c r="Q190">
        <v>0</v>
      </c>
      <c r="R190">
        <v>0</v>
      </c>
      <c r="S190">
        <v>0</v>
      </c>
      <c r="U190" s="175">
        <f t="shared" si="12"/>
        <v>0</v>
      </c>
    </row>
    <row r="191" spans="1:21">
      <c r="A191" s="183" t="str">
        <f t="shared" si="10"/>
        <v>440</v>
      </c>
      <c r="B191" s="183" t="str">
        <f t="shared" si="11"/>
        <v>440.0</v>
      </c>
      <c r="C191" t="s">
        <v>1952</v>
      </c>
      <c r="D191" t="s">
        <v>1235</v>
      </c>
      <c r="G191">
        <v>98698357.180000007</v>
      </c>
      <c r="H191">
        <v>119983562.44</v>
      </c>
      <c r="I191">
        <v>100796281.45999999</v>
      </c>
      <c r="J191">
        <v>104486720.66</v>
      </c>
      <c r="K191">
        <v>130825079.03</v>
      </c>
      <c r="L191">
        <v>139761723.50999999</v>
      </c>
      <c r="M191">
        <v>159161872.49000001</v>
      </c>
      <c r="N191">
        <v>186240066.06999999</v>
      </c>
      <c r="O191">
        <v>186698582.72</v>
      </c>
      <c r="P191">
        <v>193652503.72</v>
      </c>
      <c r="Q191">
        <v>153995928.41999999</v>
      </c>
      <c r="R191">
        <v>119361954.69</v>
      </c>
      <c r="S191">
        <v>115903382.06</v>
      </c>
      <c r="U191" s="175">
        <f t="shared" si="12"/>
        <v>139197385.72692308</v>
      </c>
    </row>
    <row r="192" spans="1:21">
      <c r="A192" s="183" t="str">
        <f t="shared" si="10"/>
        <v>442</v>
      </c>
      <c r="B192" s="183" t="str">
        <f t="shared" si="11"/>
        <v>442.0</v>
      </c>
      <c r="C192" t="s">
        <v>1953</v>
      </c>
      <c r="D192" t="s">
        <v>1237</v>
      </c>
      <c r="G192">
        <v>72461409.450000003</v>
      </c>
      <c r="H192">
        <v>72313728.599999994</v>
      </c>
      <c r="I192">
        <v>70707663.75</v>
      </c>
      <c r="J192">
        <v>73351911.060000002</v>
      </c>
      <c r="K192">
        <v>80686276.829999998</v>
      </c>
      <c r="L192">
        <v>84284992.109999999</v>
      </c>
      <c r="M192">
        <v>86079180.170000002</v>
      </c>
      <c r="N192">
        <v>95571399.739999995</v>
      </c>
      <c r="O192">
        <v>96295913.849999994</v>
      </c>
      <c r="P192">
        <v>97755928.579999998</v>
      </c>
      <c r="Q192">
        <v>89654898.879999995</v>
      </c>
      <c r="R192">
        <v>81079434.599999994</v>
      </c>
      <c r="S192">
        <v>77720365.129999995</v>
      </c>
      <c r="U192" s="175">
        <f t="shared" si="12"/>
        <v>82920238.673076928</v>
      </c>
    </row>
    <row r="193" spans="1:21">
      <c r="A193" s="183" t="str">
        <f t="shared" si="10"/>
        <v>444</v>
      </c>
      <c r="B193" s="183" t="str">
        <f t="shared" si="11"/>
        <v>444.0</v>
      </c>
      <c r="C193" t="s">
        <v>1954</v>
      </c>
      <c r="D193" t="s">
        <v>1239</v>
      </c>
      <c r="G193">
        <v>3057664.8</v>
      </c>
      <c r="H193">
        <v>3338233.86</v>
      </c>
      <c r="I193">
        <v>3358317.5</v>
      </c>
      <c r="J193">
        <v>3322801.69</v>
      </c>
      <c r="K193">
        <v>3389262.46</v>
      </c>
      <c r="L193">
        <v>3372625.47</v>
      </c>
      <c r="M193">
        <v>3361749.52</v>
      </c>
      <c r="N193">
        <v>3371776.57</v>
      </c>
      <c r="O193">
        <v>3355001.54</v>
      </c>
      <c r="P193">
        <v>3388144.17</v>
      </c>
      <c r="Q193">
        <v>3371686.98</v>
      </c>
      <c r="R193">
        <v>3398339.99</v>
      </c>
      <c r="S193">
        <v>3396576.35</v>
      </c>
      <c r="U193" s="175">
        <f t="shared" si="12"/>
        <v>3344783.1461538458</v>
      </c>
    </row>
    <row r="194" spans="1:21">
      <c r="A194" s="183" t="str">
        <f t="shared" si="10"/>
        <v>445</v>
      </c>
      <c r="B194" s="183" t="str">
        <f t="shared" si="11"/>
        <v>445.0</v>
      </c>
      <c r="C194" t="s">
        <v>1955</v>
      </c>
      <c r="D194" t="s">
        <v>1241</v>
      </c>
      <c r="G194">
        <v>15275290.560000001</v>
      </c>
      <c r="H194">
        <v>16212666.439999999</v>
      </c>
      <c r="I194">
        <v>15037188.800000001</v>
      </c>
      <c r="J194">
        <v>15315637.65</v>
      </c>
      <c r="K194">
        <v>16569335.369999999</v>
      </c>
      <c r="L194">
        <v>16420564.08</v>
      </c>
      <c r="M194">
        <v>17281965.219999999</v>
      </c>
      <c r="N194">
        <v>18196948.289999999</v>
      </c>
      <c r="O194">
        <v>18848077.949999999</v>
      </c>
      <c r="P194">
        <v>20897683.780000001</v>
      </c>
      <c r="Q194">
        <v>18834621.780000001</v>
      </c>
      <c r="R194">
        <v>17366917.5</v>
      </c>
      <c r="S194">
        <v>16572843.359999999</v>
      </c>
      <c r="U194" s="175">
        <f t="shared" si="12"/>
        <v>17140749.290769227</v>
      </c>
    </row>
    <row r="195" spans="1:21">
      <c r="A195" s="183" t="str">
        <f t="shared" si="10"/>
        <v>446</v>
      </c>
      <c r="B195" s="183" t="str">
        <f t="shared" si="11"/>
        <v>446.0</v>
      </c>
      <c r="C195" t="s">
        <v>1956</v>
      </c>
      <c r="D195" t="s">
        <v>1243</v>
      </c>
      <c r="G195">
        <v>0</v>
      </c>
      <c r="H195">
        <v>0</v>
      </c>
      <c r="I195">
        <v>0</v>
      </c>
      <c r="J195">
        <v>0</v>
      </c>
      <c r="K195">
        <v>0</v>
      </c>
      <c r="L195">
        <v>0</v>
      </c>
      <c r="M195">
        <v>0</v>
      </c>
      <c r="N195">
        <v>0</v>
      </c>
      <c r="O195">
        <v>0</v>
      </c>
      <c r="P195">
        <v>0</v>
      </c>
      <c r="Q195">
        <v>0</v>
      </c>
      <c r="R195">
        <v>0</v>
      </c>
      <c r="S195">
        <v>0</v>
      </c>
      <c r="U195" s="175">
        <f t="shared" si="12"/>
        <v>0</v>
      </c>
    </row>
    <row r="196" spans="1:21">
      <c r="A196" s="183" t="str">
        <f t="shared" si="10"/>
        <v>447</v>
      </c>
      <c r="B196" s="183" t="str">
        <f t="shared" si="11"/>
        <v>447.0</v>
      </c>
      <c r="C196" t="s">
        <v>1957</v>
      </c>
      <c r="D196" t="s">
        <v>1245</v>
      </c>
      <c r="G196">
        <v>1208643.93</v>
      </c>
      <c r="H196">
        <v>535871.04</v>
      </c>
      <c r="I196">
        <v>696274.09</v>
      </c>
      <c r="J196">
        <v>437272.12</v>
      </c>
      <c r="K196">
        <v>932885.48</v>
      </c>
      <c r="L196">
        <v>77694.460000000006</v>
      </c>
      <c r="M196">
        <v>105419.26</v>
      </c>
      <c r="N196">
        <v>1021618.13</v>
      </c>
      <c r="O196">
        <v>1565943.43</v>
      </c>
      <c r="P196">
        <v>580310.21</v>
      </c>
      <c r="Q196">
        <v>605960.11</v>
      </c>
      <c r="R196">
        <v>794148.64</v>
      </c>
      <c r="S196">
        <v>801897.31</v>
      </c>
      <c r="U196" s="175">
        <f t="shared" si="12"/>
        <v>720302.93923076929</v>
      </c>
    </row>
    <row r="197" spans="1:21">
      <c r="A197" s="183" t="str">
        <f t="shared" si="10"/>
        <v>448</v>
      </c>
      <c r="B197" s="183" t="str">
        <f t="shared" si="11"/>
        <v>448.0</v>
      </c>
      <c r="C197" t="s">
        <v>1958</v>
      </c>
      <c r="D197" t="s">
        <v>1247</v>
      </c>
      <c r="G197">
        <v>0</v>
      </c>
      <c r="H197">
        <v>0</v>
      </c>
      <c r="I197">
        <v>0</v>
      </c>
      <c r="J197">
        <v>0</v>
      </c>
      <c r="K197">
        <v>0</v>
      </c>
      <c r="L197">
        <v>0</v>
      </c>
      <c r="M197">
        <v>0</v>
      </c>
      <c r="N197">
        <v>0</v>
      </c>
      <c r="O197">
        <v>0</v>
      </c>
      <c r="P197">
        <v>0</v>
      </c>
      <c r="Q197">
        <v>0</v>
      </c>
      <c r="R197">
        <v>0</v>
      </c>
      <c r="S197">
        <v>0</v>
      </c>
      <c r="U197" s="175">
        <f t="shared" si="12"/>
        <v>0</v>
      </c>
    </row>
    <row r="198" spans="1:21">
      <c r="A198" s="183" t="str">
        <f t="shared" si="10"/>
        <v>449</v>
      </c>
      <c r="B198" s="183" t="str">
        <f t="shared" si="11"/>
        <v>449.1</v>
      </c>
      <c r="C198" t="s">
        <v>1959</v>
      </c>
      <c r="D198" t="s">
        <v>1249</v>
      </c>
      <c r="G198">
        <v>0</v>
      </c>
      <c r="H198">
        <v>0</v>
      </c>
      <c r="I198">
        <v>0</v>
      </c>
      <c r="J198">
        <v>0</v>
      </c>
      <c r="K198">
        <v>0</v>
      </c>
      <c r="L198">
        <v>0</v>
      </c>
      <c r="M198">
        <v>0</v>
      </c>
      <c r="N198">
        <v>0</v>
      </c>
      <c r="O198">
        <v>0</v>
      </c>
      <c r="P198">
        <v>0</v>
      </c>
      <c r="Q198">
        <v>0</v>
      </c>
      <c r="R198">
        <v>0</v>
      </c>
      <c r="S198">
        <v>0</v>
      </c>
      <c r="U198" s="175">
        <f t="shared" si="12"/>
        <v>0</v>
      </c>
    </row>
    <row r="199" spans="1:21">
      <c r="A199" s="183" t="str">
        <f t="shared" ref="A199:A262" si="13">MID(C199,4,3)</f>
        <v>450</v>
      </c>
      <c r="B199" s="183" t="str">
        <f t="shared" ref="B199:B262" si="14">MID(C199,4,3)&amp;"."&amp;MID(C199,7,1)</f>
        <v>450.0</v>
      </c>
      <c r="C199" t="s">
        <v>1960</v>
      </c>
      <c r="D199" t="s">
        <v>1251</v>
      </c>
      <c r="G199">
        <v>0</v>
      </c>
      <c r="H199">
        <v>0</v>
      </c>
      <c r="I199">
        <v>0</v>
      </c>
      <c r="J199">
        <v>0</v>
      </c>
      <c r="K199">
        <v>0</v>
      </c>
      <c r="L199">
        <v>0</v>
      </c>
      <c r="M199">
        <v>0</v>
      </c>
      <c r="N199">
        <v>0</v>
      </c>
      <c r="O199">
        <v>0</v>
      </c>
      <c r="P199">
        <v>0</v>
      </c>
      <c r="Q199">
        <v>0</v>
      </c>
      <c r="R199">
        <v>0</v>
      </c>
      <c r="S199">
        <v>0</v>
      </c>
      <c r="U199" s="175">
        <f t="shared" ref="U199:U262" si="15">AVERAGE(G199:S199)</f>
        <v>0</v>
      </c>
    </row>
    <row r="200" spans="1:21">
      <c r="A200" s="183" t="str">
        <f t="shared" si="13"/>
        <v>451</v>
      </c>
      <c r="B200" s="183" t="str">
        <f t="shared" si="14"/>
        <v>451.0</v>
      </c>
      <c r="C200" t="s">
        <v>1961</v>
      </c>
      <c r="D200" t="s">
        <v>1253</v>
      </c>
      <c r="G200">
        <v>1670164.86</v>
      </c>
      <c r="H200">
        <v>1715825.84</v>
      </c>
      <c r="I200">
        <v>1604099.15</v>
      </c>
      <c r="J200">
        <v>1621857.39</v>
      </c>
      <c r="K200">
        <v>1158858.3999999999</v>
      </c>
      <c r="L200">
        <v>1605854.81</v>
      </c>
      <c r="M200">
        <v>1721124.42</v>
      </c>
      <c r="N200">
        <v>1701640.16</v>
      </c>
      <c r="O200">
        <v>1535859.44</v>
      </c>
      <c r="P200">
        <v>1706570.68</v>
      </c>
      <c r="Q200">
        <v>1940911</v>
      </c>
      <c r="R200">
        <v>1858088.84</v>
      </c>
      <c r="S200">
        <v>1639963.69</v>
      </c>
      <c r="U200" s="175">
        <f t="shared" si="15"/>
        <v>1652370.6676923076</v>
      </c>
    </row>
    <row r="201" spans="1:21">
      <c r="A201" s="183" t="str">
        <f t="shared" si="13"/>
        <v>453</v>
      </c>
      <c r="B201" s="183" t="str">
        <f t="shared" si="14"/>
        <v>453.0</v>
      </c>
      <c r="C201" t="s">
        <v>1962</v>
      </c>
      <c r="D201" t="s">
        <v>1255</v>
      </c>
      <c r="G201">
        <v>0</v>
      </c>
      <c r="H201">
        <v>0</v>
      </c>
      <c r="I201">
        <v>0</v>
      </c>
      <c r="J201">
        <v>0</v>
      </c>
      <c r="K201">
        <v>0</v>
      </c>
      <c r="L201">
        <v>0</v>
      </c>
      <c r="M201">
        <v>0</v>
      </c>
      <c r="N201">
        <v>0</v>
      </c>
      <c r="O201">
        <v>0</v>
      </c>
      <c r="P201">
        <v>0</v>
      </c>
      <c r="Q201">
        <v>0</v>
      </c>
      <c r="R201">
        <v>0</v>
      </c>
      <c r="S201">
        <v>0</v>
      </c>
      <c r="U201" s="175">
        <f t="shared" si="15"/>
        <v>0</v>
      </c>
    </row>
    <row r="202" spans="1:21">
      <c r="A202" s="183" t="str">
        <f t="shared" si="13"/>
        <v>454</v>
      </c>
      <c r="B202" s="183" t="str">
        <f t="shared" si="14"/>
        <v>454.0</v>
      </c>
      <c r="C202" t="s">
        <v>1963</v>
      </c>
      <c r="D202" t="s">
        <v>1257</v>
      </c>
      <c r="G202">
        <v>759232.73</v>
      </c>
      <c r="H202">
        <v>787071.67</v>
      </c>
      <c r="I202">
        <v>1219021.8600000001</v>
      </c>
      <c r="J202">
        <v>820369.29</v>
      </c>
      <c r="K202">
        <v>850226.09</v>
      </c>
      <c r="L202">
        <v>582426.56000000006</v>
      </c>
      <c r="M202">
        <v>924186.41</v>
      </c>
      <c r="N202">
        <v>823112.86</v>
      </c>
      <c r="O202">
        <v>864614.91</v>
      </c>
      <c r="P202">
        <v>778978.17</v>
      </c>
      <c r="Q202">
        <v>915566.74</v>
      </c>
      <c r="R202">
        <v>805926.21</v>
      </c>
      <c r="S202">
        <v>791137.3</v>
      </c>
      <c r="U202" s="175">
        <f t="shared" si="15"/>
        <v>840143.90769230772</v>
      </c>
    </row>
    <row r="203" spans="1:21">
      <c r="A203" s="183" t="str">
        <f t="shared" si="13"/>
        <v>455</v>
      </c>
      <c r="B203" s="183" t="str">
        <f t="shared" si="14"/>
        <v>455.0</v>
      </c>
      <c r="C203" t="s">
        <v>1964</v>
      </c>
      <c r="D203" t="s">
        <v>1259</v>
      </c>
      <c r="G203">
        <v>325159.02</v>
      </c>
      <c r="H203">
        <v>325228.96999999997</v>
      </c>
      <c r="I203">
        <v>348815.31</v>
      </c>
      <c r="J203">
        <v>348929</v>
      </c>
      <c r="K203">
        <v>349030.47</v>
      </c>
      <c r="L203">
        <v>350025.59</v>
      </c>
      <c r="M203">
        <v>350135.98</v>
      </c>
      <c r="N203">
        <v>350135.98</v>
      </c>
      <c r="O203">
        <v>353549.34</v>
      </c>
      <c r="P203">
        <v>349039.05</v>
      </c>
      <c r="Q203">
        <v>349039.05</v>
      </c>
      <c r="R203">
        <v>349125.96</v>
      </c>
      <c r="S203">
        <v>348593.84</v>
      </c>
      <c r="U203" s="175">
        <f t="shared" si="15"/>
        <v>345908.27384615381</v>
      </c>
    </row>
    <row r="204" spans="1:21">
      <c r="A204" s="183" t="str">
        <f t="shared" si="13"/>
        <v>456</v>
      </c>
      <c r="B204" s="183" t="str">
        <f t="shared" si="14"/>
        <v>456.0</v>
      </c>
      <c r="C204" t="s">
        <v>1965</v>
      </c>
      <c r="D204" t="s">
        <v>1261</v>
      </c>
      <c r="G204">
        <v>729736.89</v>
      </c>
      <c r="H204">
        <v>-2053931.33</v>
      </c>
      <c r="I204">
        <v>-3251088.24</v>
      </c>
      <c r="J204">
        <v>8356819.2300000004</v>
      </c>
      <c r="K204">
        <v>1865004.92</v>
      </c>
      <c r="L204">
        <v>8098261.25</v>
      </c>
      <c r="M204">
        <v>12023480.529999999</v>
      </c>
      <c r="N204">
        <v>2126605.62</v>
      </c>
      <c r="O204">
        <v>8509939.7899999991</v>
      </c>
      <c r="P204">
        <v>-17658488.77</v>
      </c>
      <c r="Q204">
        <v>-6937383.0599999996</v>
      </c>
      <c r="R204">
        <v>-5505537.2599999998</v>
      </c>
      <c r="S204">
        <v>-1581218.52</v>
      </c>
      <c r="U204" s="175">
        <f t="shared" si="15"/>
        <v>363246.23461538454</v>
      </c>
    </row>
    <row r="205" spans="1:21">
      <c r="A205" s="183" t="str">
        <f t="shared" si="13"/>
        <v>456</v>
      </c>
      <c r="B205" s="183" t="str">
        <f t="shared" si="14"/>
        <v>456.1</v>
      </c>
      <c r="C205" t="s">
        <v>1966</v>
      </c>
      <c r="D205" t="s">
        <v>1263</v>
      </c>
      <c r="G205">
        <v>1053381.52</v>
      </c>
      <c r="H205">
        <v>965991.61</v>
      </c>
      <c r="I205">
        <v>1049432.58</v>
      </c>
      <c r="J205">
        <v>778303.71</v>
      </c>
      <c r="K205">
        <v>833448.06</v>
      </c>
      <c r="L205">
        <v>768665.76</v>
      </c>
      <c r="M205">
        <v>820152.64</v>
      </c>
      <c r="N205">
        <v>835284.14</v>
      </c>
      <c r="O205">
        <v>738138.45</v>
      </c>
      <c r="P205">
        <v>762891.91</v>
      </c>
      <c r="Q205">
        <v>741424.92</v>
      </c>
      <c r="R205">
        <v>809904.73</v>
      </c>
      <c r="S205">
        <v>232375.18</v>
      </c>
      <c r="U205" s="175">
        <f t="shared" si="15"/>
        <v>799184.2469230768</v>
      </c>
    </row>
    <row r="206" spans="1:21">
      <c r="A206" s="183" t="str">
        <f t="shared" si="13"/>
        <v>457</v>
      </c>
      <c r="B206" s="183" t="str">
        <f t="shared" si="14"/>
        <v>457.1</v>
      </c>
      <c r="C206" t="s">
        <v>1967</v>
      </c>
      <c r="D206" t="s">
        <v>1265</v>
      </c>
      <c r="G206">
        <v>0</v>
      </c>
      <c r="H206">
        <v>0</v>
      </c>
      <c r="I206">
        <v>0</v>
      </c>
      <c r="J206">
        <v>0</v>
      </c>
      <c r="K206">
        <v>0</v>
      </c>
      <c r="L206">
        <v>0</v>
      </c>
      <c r="M206">
        <v>0</v>
      </c>
      <c r="N206">
        <v>0</v>
      </c>
      <c r="O206">
        <v>0</v>
      </c>
      <c r="P206">
        <v>0</v>
      </c>
      <c r="Q206">
        <v>0</v>
      </c>
      <c r="R206">
        <v>0</v>
      </c>
      <c r="S206">
        <v>0</v>
      </c>
      <c r="U206" s="175">
        <f t="shared" si="15"/>
        <v>0</v>
      </c>
    </row>
    <row r="207" spans="1:21">
      <c r="A207" s="183" t="str">
        <f t="shared" si="13"/>
        <v>457</v>
      </c>
      <c r="B207" s="183" t="str">
        <f t="shared" si="14"/>
        <v>457.2</v>
      </c>
      <c r="C207" t="s">
        <v>1968</v>
      </c>
      <c r="D207" t="s">
        <v>1267</v>
      </c>
      <c r="G207">
        <v>0</v>
      </c>
      <c r="H207">
        <v>0</v>
      </c>
      <c r="I207">
        <v>0</v>
      </c>
      <c r="J207">
        <v>0</v>
      </c>
      <c r="K207">
        <v>0</v>
      </c>
      <c r="L207">
        <v>0</v>
      </c>
      <c r="M207">
        <v>0</v>
      </c>
      <c r="N207">
        <v>0</v>
      </c>
      <c r="O207">
        <v>0</v>
      </c>
      <c r="P207">
        <v>0</v>
      </c>
      <c r="Q207">
        <v>0</v>
      </c>
      <c r="R207">
        <v>0</v>
      </c>
      <c r="S207">
        <v>0</v>
      </c>
      <c r="U207" s="175">
        <f t="shared" si="15"/>
        <v>0</v>
      </c>
    </row>
    <row r="208" spans="1:21">
      <c r="A208" s="183" t="str">
        <f t="shared" si="13"/>
        <v>458</v>
      </c>
      <c r="B208" s="183" t="str">
        <f t="shared" si="14"/>
        <v>458.1</v>
      </c>
      <c r="C208" t="s">
        <v>1969</v>
      </c>
      <c r="D208" t="s">
        <v>1269</v>
      </c>
      <c r="G208">
        <v>0</v>
      </c>
      <c r="H208">
        <v>0</v>
      </c>
      <c r="I208">
        <v>0</v>
      </c>
      <c r="J208">
        <v>0</v>
      </c>
      <c r="K208">
        <v>0</v>
      </c>
      <c r="L208">
        <v>0</v>
      </c>
      <c r="M208">
        <v>0</v>
      </c>
      <c r="N208">
        <v>0</v>
      </c>
      <c r="O208">
        <v>0</v>
      </c>
      <c r="P208">
        <v>0</v>
      </c>
      <c r="Q208">
        <v>0</v>
      </c>
      <c r="R208">
        <v>0</v>
      </c>
      <c r="S208">
        <v>0</v>
      </c>
      <c r="U208" s="175">
        <f t="shared" si="15"/>
        <v>0</v>
      </c>
    </row>
    <row r="209" spans="1:21">
      <c r="A209" s="183" t="str">
        <f t="shared" si="13"/>
        <v>480</v>
      </c>
      <c r="B209" s="183" t="str">
        <f t="shared" si="14"/>
        <v>480.0</v>
      </c>
      <c r="C209" t="s">
        <v>1970</v>
      </c>
      <c r="D209" t="s">
        <v>1271</v>
      </c>
      <c r="G209">
        <v>0</v>
      </c>
      <c r="H209">
        <v>0</v>
      </c>
      <c r="I209">
        <v>0</v>
      </c>
      <c r="J209">
        <v>0</v>
      </c>
      <c r="K209">
        <v>0</v>
      </c>
      <c r="L209">
        <v>0</v>
      </c>
      <c r="M209">
        <v>0</v>
      </c>
      <c r="N209">
        <v>0</v>
      </c>
      <c r="O209">
        <v>0</v>
      </c>
      <c r="P209">
        <v>0</v>
      </c>
      <c r="Q209">
        <v>0</v>
      </c>
      <c r="R209">
        <v>0</v>
      </c>
      <c r="S209">
        <v>0</v>
      </c>
      <c r="U209" s="175">
        <f t="shared" si="15"/>
        <v>0</v>
      </c>
    </row>
    <row r="210" spans="1:21">
      <c r="A210" s="183" t="str">
        <f t="shared" si="13"/>
        <v>481</v>
      </c>
      <c r="B210" s="183" t="str">
        <f t="shared" si="14"/>
        <v>481.0</v>
      </c>
      <c r="C210" t="s">
        <v>1971</v>
      </c>
      <c r="D210" t="s">
        <v>1273</v>
      </c>
      <c r="G210">
        <v>0</v>
      </c>
      <c r="H210">
        <v>0</v>
      </c>
      <c r="I210">
        <v>0</v>
      </c>
      <c r="J210">
        <v>0</v>
      </c>
      <c r="K210">
        <v>0</v>
      </c>
      <c r="L210">
        <v>0</v>
      </c>
      <c r="M210">
        <v>0</v>
      </c>
      <c r="N210">
        <v>0</v>
      </c>
      <c r="O210">
        <v>0</v>
      </c>
      <c r="P210">
        <v>0</v>
      </c>
      <c r="Q210">
        <v>0</v>
      </c>
      <c r="R210">
        <v>0</v>
      </c>
      <c r="S210">
        <v>0</v>
      </c>
      <c r="U210" s="175">
        <f t="shared" si="15"/>
        <v>0</v>
      </c>
    </row>
    <row r="211" spans="1:21">
      <c r="A211" s="183" t="str">
        <f t="shared" si="13"/>
        <v>482</v>
      </c>
      <c r="B211" s="183" t="str">
        <f t="shared" si="14"/>
        <v>482.0</v>
      </c>
      <c r="C211" t="s">
        <v>1972</v>
      </c>
      <c r="D211" t="s">
        <v>1275</v>
      </c>
      <c r="G211">
        <v>0</v>
      </c>
      <c r="H211">
        <v>0</v>
      </c>
      <c r="I211">
        <v>0</v>
      </c>
      <c r="J211">
        <v>0</v>
      </c>
      <c r="K211">
        <v>0</v>
      </c>
      <c r="L211">
        <v>0</v>
      </c>
      <c r="M211">
        <v>0</v>
      </c>
      <c r="N211">
        <v>0</v>
      </c>
      <c r="O211">
        <v>0</v>
      </c>
      <c r="P211">
        <v>0</v>
      </c>
      <c r="Q211">
        <v>0</v>
      </c>
      <c r="R211">
        <v>0</v>
      </c>
      <c r="S211">
        <v>0</v>
      </c>
      <c r="U211" s="175">
        <f t="shared" si="15"/>
        <v>0</v>
      </c>
    </row>
    <row r="212" spans="1:21">
      <c r="A212" s="183" t="str">
        <f t="shared" si="13"/>
        <v>483</v>
      </c>
      <c r="B212" s="183" t="str">
        <f t="shared" si="14"/>
        <v>483.0</v>
      </c>
      <c r="C212" t="s">
        <v>1973</v>
      </c>
      <c r="D212" t="s">
        <v>1277</v>
      </c>
      <c r="G212">
        <v>0</v>
      </c>
      <c r="H212">
        <v>0</v>
      </c>
      <c r="I212">
        <v>0</v>
      </c>
      <c r="J212">
        <v>0</v>
      </c>
      <c r="K212">
        <v>0</v>
      </c>
      <c r="L212">
        <v>0</v>
      </c>
      <c r="M212">
        <v>0</v>
      </c>
      <c r="N212">
        <v>0</v>
      </c>
      <c r="O212">
        <v>0</v>
      </c>
      <c r="P212">
        <v>0</v>
      </c>
      <c r="Q212">
        <v>0</v>
      </c>
      <c r="R212">
        <v>0</v>
      </c>
      <c r="S212">
        <v>0</v>
      </c>
      <c r="U212" s="175">
        <f t="shared" si="15"/>
        <v>0</v>
      </c>
    </row>
    <row r="213" spans="1:21">
      <c r="A213" s="183" t="str">
        <f t="shared" si="13"/>
        <v>484</v>
      </c>
      <c r="B213" s="183" t="str">
        <f t="shared" si="14"/>
        <v>484.0</v>
      </c>
      <c r="C213" t="s">
        <v>1974</v>
      </c>
      <c r="D213" t="s">
        <v>1279</v>
      </c>
      <c r="G213">
        <v>0</v>
      </c>
      <c r="H213">
        <v>0</v>
      </c>
      <c r="I213">
        <v>0</v>
      </c>
      <c r="J213">
        <v>0</v>
      </c>
      <c r="K213">
        <v>0</v>
      </c>
      <c r="L213">
        <v>0</v>
      </c>
      <c r="M213">
        <v>0</v>
      </c>
      <c r="N213">
        <v>0</v>
      </c>
      <c r="O213">
        <v>0</v>
      </c>
      <c r="P213">
        <v>0</v>
      </c>
      <c r="Q213">
        <v>0</v>
      </c>
      <c r="R213">
        <v>0</v>
      </c>
      <c r="S213">
        <v>0</v>
      </c>
      <c r="U213" s="175">
        <f t="shared" si="15"/>
        <v>0</v>
      </c>
    </row>
    <row r="214" spans="1:21">
      <c r="A214" s="183" t="str">
        <f t="shared" si="13"/>
        <v>485</v>
      </c>
      <c r="B214" s="183" t="str">
        <f t="shared" si="14"/>
        <v>485.0</v>
      </c>
      <c r="C214" t="s">
        <v>1975</v>
      </c>
      <c r="D214" t="s">
        <v>1281</v>
      </c>
      <c r="G214">
        <v>0</v>
      </c>
      <c r="H214">
        <v>0</v>
      </c>
      <c r="I214">
        <v>0</v>
      </c>
      <c r="J214">
        <v>0</v>
      </c>
      <c r="K214">
        <v>0</v>
      </c>
      <c r="L214">
        <v>0</v>
      </c>
      <c r="M214">
        <v>0</v>
      </c>
      <c r="N214">
        <v>0</v>
      </c>
      <c r="O214">
        <v>0</v>
      </c>
      <c r="P214">
        <v>0</v>
      </c>
      <c r="Q214">
        <v>0</v>
      </c>
      <c r="R214">
        <v>0</v>
      </c>
      <c r="S214">
        <v>0</v>
      </c>
      <c r="U214" s="175">
        <f t="shared" si="15"/>
        <v>0</v>
      </c>
    </row>
    <row r="215" spans="1:21">
      <c r="A215" s="183" t="str">
        <f t="shared" si="13"/>
        <v>487</v>
      </c>
      <c r="B215" s="183" t="str">
        <f t="shared" si="14"/>
        <v>487.0</v>
      </c>
      <c r="C215" t="s">
        <v>1976</v>
      </c>
      <c r="D215" t="s">
        <v>1283</v>
      </c>
      <c r="G215">
        <v>0</v>
      </c>
      <c r="H215">
        <v>0</v>
      </c>
      <c r="I215">
        <v>0</v>
      </c>
      <c r="J215">
        <v>0</v>
      </c>
      <c r="K215">
        <v>0</v>
      </c>
      <c r="L215">
        <v>0</v>
      </c>
      <c r="M215">
        <v>0</v>
      </c>
      <c r="N215">
        <v>0</v>
      </c>
      <c r="O215">
        <v>0</v>
      </c>
      <c r="P215">
        <v>0</v>
      </c>
      <c r="Q215">
        <v>0</v>
      </c>
      <c r="R215">
        <v>0</v>
      </c>
      <c r="S215">
        <v>0</v>
      </c>
      <c r="U215" s="175">
        <f t="shared" si="15"/>
        <v>0</v>
      </c>
    </row>
    <row r="216" spans="1:21">
      <c r="A216" s="183" t="str">
        <f t="shared" si="13"/>
        <v>488</v>
      </c>
      <c r="B216" s="183" t="str">
        <f t="shared" si="14"/>
        <v>488.0</v>
      </c>
      <c r="C216" t="s">
        <v>1977</v>
      </c>
      <c r="D216" t="s">
        <v>1285</v>
      </c>
      <c r="G216">
        <v>0</v>
      </c>
      <c r="H216">
        <v>0</v>
      </c>
      <c r="I216">
        <v>0</v>
      </c>
      <c r="J216">
        <v>0</v>
      </c>
      <c r="K216">
        <v>0</v>
      </c>
      <c r="L216">
        <v>0</v>
      </c>
      <c r="M216">
        <v>0</v>
      </c>
      <c r="N216">
        <v>0</v>
      </c>
      <c r="O216">
        <v>0</v>
      </c>
      <c r="P216">
        <v>0</v>
      </c>
      <c r="Q216">
        <v>0</v>
      </c>
      <c r="R216">
        <v>0</v>
      </c>
      <c r="S216">
        <v>0</v>
      </c>
      <c r="U216" s="175">
        <f t="shared" si="15"/>
        <v>0</v>
      </c>
    </row>
    <row r="217" spans="1:21">
      <c r="A217" s="183" t="str">
        <f t="shared" si="13"/>
        <v>489</v>
      </c>
      <c r="B217" s="183" t="str">
        <f t="shared" si="14"/>
        <v>489.1</v>
      </c>
      <c r="C217" t="s">
        <v>1978</v>
      </c>
      <c r="D217" t="s">
        <v>1287</v>
      </c>
      <c r="G217">
        <v>0</v>
      </c>
      <c r="H217">
        <v>0</v>
      </c>
      <c r="I217">
        <v>0</v>
      </c>
      <c r="J217">
        <v>0</v>
      </c>
      <c r="K217">
        <v>0</v>
      </c>
      <c r="L217">
        <v>0</v>
      </c>
      <c r="M217">
        <v>0</v>
      </c>
      <c r="N217">
        <v>0</v>
      </c>
      <c r="O217">
        <v>0</v>
      </c>
      <c r="P217">
        <v>0</v>
      </c>
      <c r="Q217">
        <v>0</v>
      </c>
      <c r="R217">
        <v>0</v>
      </c>
      <c r="S217">
        <v>0</v>
      </c>
      <c r="U217" s="175">
        <f t="shared" si="15"/>
        <v>0</v>
      </c>
    </row>
    <row r="218" spans="1:21">
      <c r="A218" s="183" t="str">
        <f t="shared" si="13"/>
        <v>489</v>
      </c>
      <c r="B218" s="183" t="str">
        <f t="shared" si="14"/>
        <v>489.2</v>
      </c>
      <c r="C218" t="s">
        <v>1979</v>
      </c>
      <c r="D218" t="s">
        <v>1289</v>
      </c>
      <c r="G218">
        <v>0</v>
      </c>
      <c r="H218">
        <v>0</v>
      </c>
      <c r="I218">
        <v>0</v>
      </c>
      <c r="J218">
        <v>0</v>
      </c>
      <c r="K218">
        <v>0</v>
      </c>
      <c r="L218">
        <v>0</v>
      </c>
      <c r="M218">
        <v>0</v>
      </c>
      <c r="N218">
        <v>0</v>
      </c>
      <c r="O218">
        <v>0</v>
      </c>
      <c r="P218">
        <v>0</v>
      </c>
      <c r="Q218">
        <v>0</v>
      </c>
      <c r="R218">
        <v>0</v>
      </c>
      <c r="S218">
        <v>0</v>
      </c>
      <c r="U218" s="175">
        <f t="shared" si="15"/>
        <v>0</v>
      </c>
    </row>
    <row r="219" spans="1:21">
      <c r="A219" s="183" t="str">
        <f t="shared" si="13"/>
        <v>489</v>
      </c>
      <c r="B219" s="183" t="str">
        <f t="shared" si="14"/>
        <v>489.3</v>
      </c>
      <c r="C219" t="s">
        <v>1980</v>
      </c>
      <c r="D219" t="s">
        <v>1291</v>
      </c>
      <c r="G219">
        <v>0</v>
      </c>
      <c r="H219">
        <v>0</v>
      </c>
      <c r="I219">
        <v>0</v>
      </c>
      <c r="J219">
        <v>0</v>
      </c>
      <c r="K219">
        <v>0</v>
      </c>
      <c r="L219">
        <v>0</v>
      </c>
      <c r="M219">
        <v>0</v>
      </c>
      <c r="N219">
        <v>0</v>
      </c>
      <c r="O219">
        <v>0</v>
      </c>
      <c r="P219">
        <v>0</v>
      </c>
      <c r="Q219">
        <v>0</v>
      </c>
      <c r="R219">
        <v>0</v>
      </c>
      <c r="S219">
        <v>0</v>
      </c>
      <c r="U219" s="175">
        <f t="shared" si="15"/>
        <v>0</v>
      </c>
    </row>
    <row r="220" spans="1:21">
      <c r="A220" s="183" t="str">
        <f t="shared" si="13"/>
        <v>489</v>
      </c>
      <c r="B220" s="183" t="str">
        <f t="shared" si="14"/>
        <v>489.4</v>
      </c>
      <c r="C220" t="s">
        <v>1981</v>
      </c>
      <c r="D220" t="s">
        <v>1293</v>
      </c>
      <c r="G220">
        <v>0</v>
      </c>
      <c r="H220">
        <v>0</v>
      </c>
      <c r="I220">
        <v>0</v>
      </c>
      <c r="J220">
        <v>0</v>
      </c>
      <c r="K220">
        <v>0</v>
      </c>
      <c r="L220">
        <v>0</v>
      </c>
      <c r="M220">
        <v>0</v>
      </c>
      <c r="N220">
        <v>0</v>
      </c>
      <c r="O220">
        <v>0</v>
      </c>
      <c r="P220">
        <v>0</v>
      </c>
      <c r="Q220">
        <v>0</v>
      </c>
      <c r="R220">
        <v>0</v>
      </c>
      <c r="S220">
        <v>0</v>
      </c>
      <c r="U220" s="175">
        <f t="shared" si="15"/>
        <v>0</v>
      </c>
    </row>
    <row r="221" spans="1:21">
      <c r="A221" s="183" t="str">
        <f t="shared" si="13"/>
        <v>490</v>
      </c>
      <c r="B221" s="183" t="str">
        <f t="shared" si="14"/>
        <v>490.0</v>
      </c>
      <c r="C221" t="s">
        <v>1982</v>
      </c>
      <c r="D221" t="s">
        <v>1295</v>
      </c>
      <c r="G221">
        <v>0</v>
      </c>
      <c r="H221">
        <v>0</v>
      </c>
      <c r="I221">
        <v>0</v>
      </c>
      <c r="J221">
        <v>0</v>
      </c>
      <c r="K221">
        <v>0</v>
      </c>
      <c r="L221">
        <v>0</v>
      </c>
      <c r="M221">
        <v>0</v>
      </c>
      <c r="N221">
        <v>0</v>
      </c>
      <c r="O221">
        <v>0</v>
      </c>
      <c r="P221">
        <v>0</v>
      </c>
      <c r="Q221">
        <v>0</v>
      </c>
      <c r="R221">
        <v>0</v>
      </c>
      <c r="S221">
        <v>0</v>
      </c>
      <c r="U221" s="175">
        <f t="shared" si="15"/>
        <v>0</v>
      </c>
    </row>
    <row r="222" spans="1:21">
      <c r="A222" s="183" t="str">
        <f t="shared" si="13"/>
        <v>491</v>
      </c>
      <c r="B222" s="183" t="str">
        <f t="shared" si="14"/>
        <v>491.0</v>
      </c>
      <c r="C222" t="s">
        <v>1983</v>
      </c>
      <c r="D222" t="s">
        <v>1297</v>
      </c>
      <c r="G222">
        <v>0</v>
      </c>
      <c r="H222">
        <v>0</v>
      </c>
      <c r="I222">
        <v>0</v>
      </c>
      <c r="J222">
        <v>0</v>
      </c>
      <c r="K222">
        <v>0</v>
      </c>
      <c r="L222">
        <v>0</v>
      </c>
      <c r="M222">
        <v>0</v>
      </c>
      <c r="N222">
        <v>0</v>
      </c>
      <c r="O222">
        <v>0</v>
      </c>
      <c r="P222">
        <v>0</v>
      </c>
      <c r="Q222">
        <v>0</v>
      </c>
      <c r="R222">
        <v>0</v>
      </c>
      <c r="S222">
        <v>0</v>
      </c>
      <c r="U222" s="175">
        <f t="shared" si="15"/>
        <v>0</v>
      </c>
    </row>
    <row r="223" spans="1:21">
      <c r="A223" s="183" t="str">
        <f t="shared" si="13"/>
        <v>492</v>
      </c>
      <c r="B223" s="183" t="str">
        <f t="shared" si="14"/>
        <v>492.0</v>
      </c>
      <c r="C223" t="s">
        <v>1984</v>
      </c>
      <c r="D223" t="s">
        <v>1299</v>
      </c>
      <c r="G223">
        <v>0</v>
      </c>
      <c r="H223">
        <v>0</v>
      </c>
      <c r="I223">
        <v>0</v>
      </c>
      <c r="J223">
        <v>0</v>
      </c>
      <c r="K223">
        <v>0</v>
      </c>
      <c r="L223">
        <v>0</v>
      </c>
      <c r="M223">
        <v>0</v>
      </c>
      <c r="N223">
        <v>0</v>
      </c>
      <c r="O223">
        <v>0</v>
      </c>
      <c r="P223">
        <v>0</v>
      </c>
      <c r="Q223">
        <v>0</v>
      </c>
      <c r="R223">
        <v>0</v>
      </c>
      <c r="S223">
        <v>0</v>
      </c>
      <c r="U223" s="175">
        <f t="shared" si="15"/>
        <v>0</v>
      </c>
    </row>
    <row r="224" spans="1:21">
      <c r="A224" s="183" t="str">
        <f t="shared" si="13"/>
        <v>493</v>
      </c>
      <c r="B224" s="183" t="str">
        <f t="shared" si="14"/>
        <v>493.0</v>
      </c>
      <c r="C224" t="s">
        <v>1985</v>
      </c>
      <c r="D224" t="s">
        <v>1301</v>
      </c>
      <c r="G224">
        <v>0</v>
      </c>
      <c r="H224">
        <v>0</v>
      </c>
      <c r="I224">
        <v>0</v>
      </c>
      <c r="J224">
        <v>0</v>
      </c>
      <c r="K224">
        <v>0</v>
      </c>
      <c r="L224">
        <v>0</v>
      </c>
      <c r="M224">
        <v>0</v>
      </c>
      <c r="N224">
        <v>0</v>
      </c>
      <c r="O224">
        <v>0</v>
      </c>
      <c r="P224">
        <v>0</v>
      </c>
      <c r="Q224">
        <v>0</v>
      </c>
      <c r="R224">
        <v>0</v>
      </c>
      <c r="S224">
        <v>0</v>
      </c>
      <c r="U224" s="175">
        <f t="shared" si="15"/>
        <v>0</v>
      </c>
    </row>
    <row r="225" spans="1:21">
      <c r="A225" s="183" t="str">
        <f t="shared" si="13"/>
        <v>494</v>
      </c>
      <c r="B225" s="183" t="str">
        <f t="shared" si="14"/>
        <v>494.0</v>
      </c>
      <c r="C225" t="s">
        <v>1986</v>
      </c>
      <c r="D225" t="s">
        <v>1303</v>
      </c>
      <c r="G225">
        <v>0</v>
      </c>
      <c r="H225">
        <v>0</v>
      </c>
      <c r="I225">
        <v>0</v>
      </c>
      <c r="J225">
        <v>0</v>
      </c>
      <c r="K225">
        <v>0</v>
      </c>
      <c r="L225">
        <v>0</v>
      </c>
      <c r="M225">
        <v>0</v>
      </c>
      <c r="N225">
        <v>0</v>
      </c>
      <c r="O225">
        <v>0</v>
      </c>
      <c r="P225">
        <v>0</v>
      </c>
      <c r="Q225">
        <v>0</v>
      </c>
      <c r="R225">
        <v>0</v>
      </c>
      <c r="S225">
        <v>0</v>
      </c>
      <c r="U225" s="175">
        <f t="shared" si="15"/>
        <v>0</v>
      </c>
    </row>
    <row r="226" spans="1:21">
      <c r="A226" s="183" t="str">
        <f t="shared" si="13"/>
        <v>495</v>
      </c>
      <c r="B226" s="183" t="str">
        <f t="shared" si="14"/>
        <v>495.0</v>
      </c>
      <c r="C226" t="s">
        <v>1987</v>
      </c>
      <c r="D226" t="s">
        <v>1305</v>
      </c>
      <c r="G226">
        <v>0</v>
      </c>
      <c r="H226">
        <v>0</v>
      </c>
      <c r="I226">
        <v>0</v>
      </c>
      <c r="J226">
        <v>0</v>
      </c>
      <c r="K226">
        <v>0</v>
      </c>
      <c r="L226">
        <v>0</v>
      </c>
      <c r="M226">
        <v>0</v>
      </c>
      <c r="N226">
        <v>0</v>
      </c>
      <c r="O226">
        <v>0</v>
      </c>
      <c r="P226">
        <v>0</v>
      </c>
      <c r="Q226">
        <v>0</v>
      </c>
      <c r="R226">
        <v>0</v>
      </c>
      <c r="S226">
        <v>0</v>
      </c>
      <c r="U226" s="175">
        <f t="shared" si="15"/>
        <v>0</v>
      </c>
    </row>
    <row r="227" spans="1:21">
      <c r="A227" s="183" t="str">
        <f t="shared" si="13"/>
        <v>496</v>
      </c>
      <c r="B227" s="183" t="str">
        <f t="shared" si="14"/>
        <v>496.0</v>
      </c>
      <c r="C227" t="s">
        <v>1988</v>
      </c>
      <c r="D227" t="s">
        <v>1307</v>
      </c>
      <c r="G227">
        <v>0</v>
      </c>
      <c r="H227">
        <v>0</v>
      </c>
      <c r="I227">
        <v>0</v>
      </c>
      <c r="J227">
        <v>0</v>
      </c>
      <c r="K227">
        <v>0</v>
      </c>
      <c r="L227">
        <v>0</v>
      </c>
      <c r="M227">
        <v>0</v>
      </c>
      <c r="N227">
        <v>0</v>
      </c>
      <c r="O227">
        <v>0</v>
      </c>
      <c r="P227">
        <v>0</v>
      </c>
      <c r="Q227">
        <v>0</v>
      </c>
      <c r="R227">
        <v>0</v>
      </c>
      <c r="S227">
        <v>0</v>
      </c>
      <c r="U227" s="175">
        <f t="shared" si="15"/>
        <v>0</v>
      </c>
    </row>
    <row r="228" spans="1:21">
      <c r="A228" s="183" t="str">
        <f t="shared" si="13"/>
        <v>500</v>
      </c>
      <c r="B228" s="183" t="str">
        <f t="shared" si="14"/>
        <v>500.0</v>
      </c>
      <c r="C228" t="s">
        <v>1989</v>
      </c>
      <c r="D228" t="s">
        <v>1309</v>
      </c>
      <c r="G228">
        <v>713666.94</v>
      </c>
      <c r="H228">
        <v>409826.25</v>
      </c>
      <c r="I228">
        <v>516954.71</v>
      </c>
      <c r="J228">
        <v>448428.21</v>
      </c>
      <c r="K228">
        <v>583479.03</v>
      </c>
      <c r="L228">
        <v>556201.94999999995</v>
      </c>
      <c r="M228">
        <v>516923.52</v>
      </c>
      <c r="N228">
        <v>559921.38</v>
      </c>
      <c r="O228">
        <v>677127.99</v>
      </c>
      <c r="P228">
        <v>581422.9</v>
      </c>
      <c r="Q228">
        <v>557713.94999999995</v>
      </c>
      <c r="R228">
        <v>578298.71</v>
      </c>
      <c r="S228">
        <v>-503811.55</v>
      </c>
      <c r="U228" s="175">
        <f t="shared" si="15"/>
        <v>476627.2300000001</v>
      </c>
    </row>
    <row r="229" spans="1:21">
      <c r="A229" s="183" t="str">
        <f t="shared" si="13"/>
        <v>501</v>
      </c>
      <c r="B229" s="183" t="str">
        <f t="shared" si="14"/>
        <v>501.0</v>
      </c>
      <c r="C229" t="s">
        <v>1990</v>
      </c>
      <c r="D229" t="s">
        <v>1311</v>
      </c>
      <c r="G229">
        <v>9873754.0099999998</v>
      </c>
      <c r="H229">
        <v>7731799.0099999998</v>
      </c>
      <c r="I229">
        <v>8211676.9199999999</v>
      </c>
      <c r="J229">
        <v>8320640.1900000004</v>
      </c>
      <c r="K229">
        <v>3119771.83</v>
      </c>
      <c r="L229">
        <v>191504.94</v>
      </c>
      <c r="M229">
        <v>201205.79</v>
      </c>
      <c r="N229">
        <v>5441827.6100000003</v>
      </c>
      <c r="O229">
        <v>4533259.76</v>
      </c>
      <c r="P229">
        <v>3642119.4</v>
      </c>
      <c r="Q229">
        <v>6889022.6600000001</v>
      </c>
      <c r="R229">
        <v>6178504.8099999996</v>
      </c>
      <c r="S229">
        <v>7504276.2300000004</v>
      </c>
      <c r="U229" s="175">
        <f t="shared" si="15"/>
        <v>5526104.8584615383</v>
      </c>
    </row>
    <row r="230" spans="1:21">
      <c r="A230" s="183" t="str">
        <f t="shared" si="13"/>
        <v>502</v>
      </c>
      <c r="B230" s="183" t="str">
        <f t="shared" si="14"/>
        <v>502.0</v>
      </c>
      <c r="C230" t="s">
        <v>1991</v>
      </c>
      <c r="D230" t="s">
        <v>1313</v>
      </c>
      <c r="G230">
        <v>792190.17</v>
      </c>
      <c r="H230">
        <v>880846.95</v>
      </c>
      <c r="I230">
        <v>594354.42000000004</v>
      </c>
      <c r="J230">
        <v>925399.97</v>
      </c>
      <c r="K230">
        <v>735888.74</v>
      </c>
      <c r="L230">
        <v>384752.65</v>
      </c>
      <c r="M230">
        <v>415771.41</v>
      </c>
      <c r="N230">
        <v>487121.13</v>
      </c>
      <c r="O230">
        <v>475700.11</v>
      </c>
      <c r="P230">
        <v>963068.23</v>
      </c>
      <c r="Q230">
        <v>867444.76</v>
      </c>
      <c r="R230">
        <v>813816.61</v>
      </c>
      <c r="S230">
        <v>717484.46</v>
      </c>
      <c r="U230" s="175">
        <f t="shared" si="15"/>
        <v>696449.20076923084</v>
      </c>
    </row>
    <row r="231" spans="1:21">
      <c r="A231" s="183" t="str">
        <f t="shared" si="13"/>
        <v>503</v>
      </c>
      <c r="B231" s="183" t="str">
        <f t="shared" si="14"/>
        <v>503.0</v>
      </c>
      <c r="C231" t="s">
        <v>1992</v>
      </c>
      <c r="D231" t="s">
        <v>1315</v>
      </c>
      <c r="G231">
        <v>0</v>
      </c>
      <c r="H231">
        <v>0</v>
      </c>
      <c r="I231">
        <v>0</v>
      </c>
      <c r="J231">
        <v>0</v>
      </c>
      <c r="K231">
        <v>0</v>
      </c>
      <c r="L231">
        <v>0</v>
      </c>
      <c r="M231">
        <v>0</v>
      </c>
      <c r="N231">
        <v>0</v>
      </c>
      <c r="O231">
        <v>0</v>
      </c>
      <c r="P231">
        <v>0</v>
      </c>
      <c r="Q231">
        <v>0</v>
      </c>
      <c r="R231">
        <v>0</v>
      </c>
      <c r="S231">
        <v>0</v>
      </c>
      <c r="U231" s="175">
        <f t="shared" si="15"/>
        <v>0</v>
      </c>
    </row>
    <row r="232" spans="1:21">
      <c r="A232" s="183" t="str">
        <f t="shared" si="13"/>
        <v>504</v>
      </c>
      <c r="B232" s="183" t="str">
        <f t="shared" si="14"/>
        <v>504.0</v>
      </c>
      <c r="C232" t="s">
        <v>1993</v>
      </c>
      <c r="D232" t="s">
        <v>1317</v>
      </c>
      <c r="G232">
        <v>0</v>
      </c>
      <c r="H232">
        <v>0</v>
      </c>
      <c r="I232">
        <v>0</v>
      </c>
      <c r="J232">
        <v>0</v>
      </c>
      <c r="K232">
        <v>0</v>
      </c>
      <c r="L232">
        <v>0</v>
      </c>
      <c r="M232">
        <v>0</v>
      </c>
      <c r="N232">
        <v>0</v>
      </c>
      <c r="O232">
        <v>0</v>
      </c>
      <c r="P232">
        <v>0</v>
      </c>
      <c r="Q232">
        <v>0</v>
      </c>
      <c r="R232">
        <v>0</v>
      </c>
      <c r="S232">
        <v>0</v>
      </c>
      <c r="U232" s="175">
        <f t="shared" si="15"/>
        <v>0</v>
      </c>
    </row>
    <row r="233" spans="1:21">
      <c r="A233" s="183" t="str">
        <f t="shared" si="13"/>
        <v>505</v>
      </c>
      <c r="B233" s="183" t="str">
        <f t="shared" si="14"/>
        <v>505.0</v>
      </c>
      <c r="C233" t="s">
        <v>1994</v>
      </c>
      <c r="D233" t="s">
        <v>1319</v>
      </c>
      <c r="G233">
        <v>248505.82</v>
      </c>
      <c r="H233">
        <v>209920.04</v>
      </c>
      <c r="I233">
        <v>177354.41</v>
      </c>
      <c r="J233">
        <v>219412.97</v>
      </c>
      <c r="K233">
        <v>161125.47</v>
      </c>
      <c r="L233">
        <v>162596.1</v>
      </c>
      <c r="M233">
        <v>252670.86</v>
      </c>
      <c r="N233">
        <v>318618.40999999997</v>
      </c>
      <c r="O233">
        <v>196017.98</v>
      </c>
      <c r="P233">
        <v>254671.79</v>
      </c>
      <c r="Q233">
        <v>220331.73</v>
      </c>
      <c r="R233">
        <v>233122.8</v>
      </c>
      <c r="S233">
        <v>246749.09</v>
      </c>
      <c r="U233" s="175">
        <f t="shared" si="15"/>
        <v>223161.34384615379</v>
      </c>
    </row>
    <row r="234" spans="1:21">
      <c r="A234" s="183" t="str">
        <f t="shared" si="13"/>
        <v>506</v>
      </c>
      <c r="B234" s="183" t="str">
        <f t="shared" si="14"/>
        <v>506.0</v>
      </c>
      <c r="C234" t="s">
        <v>1995</v>
      </c>
      <c r="D234" t="s">
        <v>1321</v>
      </c>
      <c r="G234">
        <v>-621153.55000000005</v>
      </c>
      <c r="H234">
        <v>301500.3</v>
      </c>
      <c r="I234">
        <v>494817.18</v>
      </c>
      <c r="J234">
        <v>342219.35</v>
      </c>
      <c r="K234">
        <v>317841.91999999998</v>
      </c>
      <c r="L234">
        <v>431257.54</v>
      </c>
      <c r="M234">
        <v>540217.49</v>
      </c>
      <c r="N234">
        <v>422081.41</v>
      </c>
      <c r="O234">
        <v>371975.01</v>
      </c>
      <c r="P234">
        <v>530306.80000000005</v>
      </c>
      <c r="Q234">
        <v>400182.29</v>
      </c>
      <c r="R234">
        <v>338267.49</v>
      </c>
      <c r="S234">
        <v>441493.14</v>
      </c>
      <c r="U234" s="175">
        <f t="shared" si="15"/>
        <v>331615.87461538462</v>
      </c>
    </row>
    <row r="235" spans="1:21">
      <c r="A235" s="183" t="str">
        <f t="shared" si="13"/>
        <v>507</v>
      </c>
      <c r="B235" s="183" t="str">
        <f t="shared" si="14"/>
        <v>507.0</v>
      </c>
      <c r="C235" t="s">
        <v>1996</v>
      </c>
      <c r="D235" t="s">
        <v>1323</v>
      </c>
      <c r="G235">
        <v>0</v>
      </c>
      <c r="H235">
        <v>0</v>
      </c>
      <c r="I235">
        <v>26948.12</v>
      </c>
      <c r="J235">
        <v>0</v>
      </c>
      <c r="K235">
        <v>0</v>
      </c>
      <c r="L235">
        <v>0</v>
      </c>
      <c r="M235">
        <v>0</v>
      </c>
      <c r="N235">
        <v>0</v>
      </c>
      <c r="O235">
        <v>0</v>
      </c>
      <c r="P235">
        <v>0</v>
      </c>
      <c r="Q235">
        <v>0</v>
      </c>
      <c r="R235">
        <v>0</v>
      </c>
      <c r="S235">
        <v>0</v>
      </c>
      <c r="U235" s="175">
        <f t="shared" si="15"/>
        <v>2072.9323076923074</v>
      </c>
    </row>
    <row r="236" spans="1:21">
      <c r="A236" s="183" t="str">
        <f t="shared" si="13"/>
        <v>509</v>
      </c>
      <c r="B236" s="183" t="str">
        <f t="shared" si="14"/>
        <v>509.0</v>
      </c>
      <c r="C236" t="s">
        <v>1997</v>
      </c>
      <c r="D236" t="s">
        <v>1325</v>
      </c>
      <c r="G236">
        <v>0</v>
      </c>
      <c r="H236">
        <v>-4.4000000000000004</v>
      </c>
      <c r="I236">
        <v>0</v>
      </c>
      <c r="J236">
        <v>0</v>
      </c>
      <c r="K236">
        <v>-5.83</v>
      </c>
      <c r="L236">
        <v>0</v>
      </c>
      <c r="M236">
        <v>0</v>
      </c>
      <c r="N236">
        <v>-1.37</v>
      </c>
      <c r="O236">
        <v>0</v>
      </c>
      <c r="P236">
        <v>0</v>
      </c>
      <c r="Q236">
        <v>-4.8</v>
      </c>
      <c r="R236">
        <v>48100.41</v>
      </c>
      <c r="S236">
        <v>0</v>
      </c>
      <c r="U236" s="175">
        <f t="shared" si="15"/>
        <v>3698.77</v>
      </c>
    </row>
    <row r="237" spans="1:21">
      <c r="A237" s="183" t="str">
        <f t="shared" si="13"/>
        <v>510</v>
      </c>
      <c r="B237" s="183" t="str">
        <f t="shared" si="14"/>
        <v>510.0</v>
      </c>
      <c r="C237" t="s">
        <v>1998</v>
      </c>
      <c r="D237" t="s">
        <v>1327</v>
      </c>
      <c r="G237">
        <v>0</v>
      </c>
      <c r="H237">
        <v>0</v>
      </c>
      <c r="I237">
        <v>0</v>
      </c>
      <c r="J237">
        <v>0</v>
      </c>
      <c r="K237">
        <v>0</v>
      </c>
      <c r="L237">
        <v>0</v>
      </c>
      <c r="M237">
        <v>0</v>
      </c>
      <c r="N237">
        <v>134.38999999999999</v>
      </c>
      <c r="O237">
        <v>2965.32</v>
      </c>
      <c r="P237">
        <v>-3681.25</v>
      </c>
      <c r="Q237">
        <v>0</v>
      </c>
      <c r="R237">
        <v>0</v>
      </c>
      <c r="S237">
        <v>0</v>
      </c>
      <c r="U237" s="175">
        <f t="shared" si="15"/>
        <v>-44.733846153846152</v>
      </c>
    </row>
    <row r="238" spans="1:21">
      <c r="A238" s="183" t="str">
        <f t="shared" si="13"/>
        <v>511</v>
      </c>
      <c r="B238" s="183" t="str">
        <f t="shared" si="14"/>
        <v>511.0</v>
      </c>
      <c r="C238" t="s">
        <v>1999</v>
      </c>
      <c r="D238" t="s">
        <v>1329</v>
      </c>
      <c r="G238">
        <v>841959.73</v>
      </c>
      <c r="H238">
        <v>-44454.25</v>
      </c>
      <c r="I238">
        <v>251034.4</v>
      </c>
      <c r="J238">
        <v>339413.44</v>
      </c>
      <c r="K238">
        <v>153953.35</v>
      </c>
      <c r="L238">
        <v>512386.7</v>
      </c>
      <c r="M238">
        <v>548170.54</v>
      </c>
      <c r="N238">
        <v>463955.15</v>
      </c>
      <c r="O238">
        <v>257389.63</v>
      </c>
      <c r="P238">
        <v>312062.21000000002</v>
      </c>
      <c r="Q238">
        <v>302855.15999999997</v>
      </c>
      <c r="R238">
        <v>341008.13</v>
      </c>
      <c r="S238">
        <v>657160.77</v>
      </c>
      <c r="U238" s="175">
        <f t="shared" si="15"/>
        <v>379761.15076923085</v>
      </c>
    </row>
    <row r="239" spans="1:21">
      <c r="A239" s="183" t="str">
        <f t="shared" si="13"/>
        <v>512</v>
      </c>
      <c r="B239" s="183" t="str">
        <f t="shared" si="14"/>
        <v>512.0</v>
      </c>
      <c r="C239" t="s">
        <v>2000</v>
      </c>
      <c r="D239" t="s">
        <v>1331</v>
      </c>
      <c r="G239">
        <v>694000.2</v>
      </c>
      <c r="H239">
        <v>1121838.3</v>
      </c>
      <c r="I239">
        <v>1325065.07</v>
      </c>
      <c r="J239">
        <v>479732.32</v>
      </c>
      <c r="K239">
        <v>2023321.18</v>
      </c>
      <c r="L239">
        <v>2077856.02</v>
      </c>
      <c r="M239">
        <v>1196931.98</v>
      </c>
      <c r="N239">
        <v>1045013.58</v>
      </c>
      <c r="O239">
        <v>1769555.75</v>
      </c>
      <c r="P239">
        <v>1199942.51</v>
      </c>
      <c r="Q239">
        <v>878214.43</v>
      </c>
      <c r="R239">
        <v>931509.05</v>
      </c>
      <c r="S239">
        <v>1109031.02</v>
      </c>
      <c r="U239" s="175">
        <f t="shared" si="15"/>
        <v>1219385.4930769231</v>
      </c>
    </row>
    <row r="240" spans="1:21">
      <c r="A240" s="183" t="str">
        <f t="shared" si="13"/>
        <v>513</v>
      </c>
      <c r="B240" s="183" t="str">
        <f t="shared" si="14"/>
        <v>513.0</v>
      </c>
      <c r="C240" t="s">
        <v>2001</v>
      </c>
      <c r="D240" t="s">
        <v>1333</v>
      </c>
      <c r="G240">
        <v>397774.65</v>
      </c>
      <c r="H240">
        <v>394606.21</v>
      </c>
      <c r="I240">
        <v>254596.09</v>
      </c>
      <c r="J240">
        <v>39380.49</v>
      </c>
      <c r="K240">
        <v>959233.36</v>
      </c>
      <c r="L240">
        <v>-65123.839999999997</v>
      </c>
      <c r="M240">
        <v>143662.54999999999</v>
      </c>
      <c r="N240">
        <v>628550.78</v>
      </c>
      <c r="O240">
        <v>-100781.15</v>
      </c>
      <c r="P240">
        <v>290581.08</v>
      </c>
      <c r="Q240">
        <v>-267941.96999999997</v>
      </c>
      <c r="R240">
        <v>404369.86</v>
      </c>
      <c r="S240">
        <v>42704.3</v>
      </c>
      <c r="U240" s="175">
        <f t="shared" si="15"/>
        <v>240124.03153846151</v>
      </c>
    </row>
    <row r="241" spans="1:21">
      <c r="A241" s="183" t="str">
        <f t="shared" si="13"/>
        <v>514</v>
      </c>
      <c r="B241" s="183" t="str">
        <f t="shared" si="14"/>
        <v>514.0</v>
      </c>
      <c r="C241" t="s">
        <v>2002</v>
      </c>
      <c r="D241" t="s">
        <v>1335</v>
      </c>
      <c r="G241">
        <v>403623.27</v>
      </c>
      <c r="H241">
        <v>112078.69</v>
      </c>
      <c r="I241">
        <v>279406.71999999997</v>
      </c>
      <c r="J241">
        <v>412700.9</v>
      </c>
      <c r="K241">
        <v>-143877.32</v>
      </c>
      <c r="L241">
        <v>196862.23</v>
      </c>
      <c r="M241">
        <v>167966.78</v>
      </c>
      <c r="N241">
        <v>279838.03000000003</v>
      </c>
      <c r="O241">
        <v>124575.61</v>
      </c>
      <c r="P241">
        <v>320805.12</v>
      </c>
      <c r="Q241">
        <v>378836.54</v>
      </c>
      <c r="R241">
        <v>311085.68</v>
      </c>
      <c r="S241">
        <v>271703.40999999997</v>
      </c>
      <c r="U241" s="175">
        <f t="shared" si="15"/>
        <v>239661.97384615388</v>
      </c>
    </row>
    <row r="242" spans="1:21">
      <c r="A242" s="183" t="str">
        <f t="shared" si="13"/>
        <v>517</v>
      </c>
      <c r="B242" s="183" t="str">
        <f t="shared" si="14"/>
        <v>517.0</v>
      </c>
      <c r="C242" t="s">
        <v>2003</v>
      </c>
      <c r="D242" t="s">
        <v>1337</v>
      </c>
      <c r="G242">
        <v>0</v>
      </c>
      <c r="H242">
        <v>0</v>
      </c>
      <c r="I242">
        <v>0</v>
      </c>
      <c r="J242">
        <v>0</v>
      </c>
      <c r="K242">
        <v>0</v>
      </c>
      <c r="L242">
        <v>0</v>
      </c>
      <c r="M242">
        <v>0</v>
      </c>
      <c r="N242">
        <v>0</v>
      </c>
      <c r="O242">
        <v>0</v>
      </c>
      <c r="P242">
        <v>0</v>
      </c>
      <c r="Q242">
        <v>0</v>
      </c>
      <c r="R242">
        <v>0</v>
      </c>
      <c r="S242">
        <v>0</v>
      </c>
      <c r="U242" s="175">
        <f t="shared" si="15"/>
        <v>0</v>
      </c>
    </row>
    <row r="243" spans="1:21">
      <c r="A243" s="183" t="str">
        <f t="shared" si="13"/>
        <v>518</v>
      </c>
      <c r="B243" s="183" t="str">
        <f t="shared" si="14"/>
        <v>518.0</v>
      </c>
      <c r="C243" t="s">
        <v>2004</v>
      </c>
      <c r="D243" t="s">
        <v>1339</v>
      </c>
      <c r="G243">
        <v>0</v>
      </c>
      <c r="H243">
        <v>0</v>
      </c>
      <c r="I243">
        <v>0</v>
      </c>
      <c r="J243">
        <v>0</v>
      </c>
      <c r="K243">
        <v>0</v>
      </c>
      <c r="L243">
        <v>0</v>
      </c>
      <c r="M243">
        <v>0</v>
      </c>
      <c r="N243">
        <v>0</v>
      </c>
      <c r="O243">
        <v>0</v>
      </c>
      <c r="P243">
        <v>0</v>
      </c>
      <c r="Q243">
        <v>0</v>
      </c>
      <c r="R243">
        <v>0</v>
      </c>
      <c r="S243">
        <v>0</v>
      </c>
      <c r="U243" s="175">
        <f t="shared" si="15"/>
        <v>0</v>
      </c>
    </row>
    <row r="244" spans="1:21">
      <c r="A244" s="183" t="str">
        <f t="shared" si="13"/>
        <v>519</v>
      </c>
      <c r="B244" s="183" t="str">
        <f t="shared" si="14"/>
        <v>519.0</v>
      </c>
      <c r="C244" t="s">
        <v>2005</v>
      </c>
      <c r="D244" t="s">
        <v>1341</v>
      </c>
      <c r="G244">
        <v>0</v>
      </c>
      <c r="H244">
        <v>0</v>
      </c>
      <c r="I244">
        <v>0</v>
      </c>
      <c r="J244">
        <v>0</v>
      </c>
      <c r="K244">
        <v>0</v>
      </c>
      <c r="L244">
        <v>0</v>
      </c>
      <c r="M244">
        <v>0</v>
      </c>
      <c r="N244">
        <v>0</v>
      </c>
      <c r="O244">
        <v>0</v>
      </c>
      <c r="P244">
        <v>0</v>
      </c>
      <c r="Q244">
        <v>0</v>
      </c>
      <c r="R244">
        <v>0</v>
      </c>
      <c r="S244">
        <v>0</v>
      </c>
      <c r="U244" s="175">
        <f t="shared" si="15"/>
        <v>0</v>
      </c>
    </row>
    <row r="245" spans="1:21">
      <c r="A245" s="183" t="str">
        <f t="shared" si="13"/>
        <v>520</v>
      </c>
      <c r="B245" s="183" t="str">
        <f t="shared" si="14"/>
        <v>520.0</v>
      </c>
      <c r="C245" t="s">
        <v>2006</v>
      </c>
      <c r="D245" t="s">
        <v>1343</v>
      </c>
      <c r="G245">
        <v>0</v>
      </c>
      <c r="H245">
        <v>0</v>
      </c>
      <c r="I245">
        <v>0</v>
      </c>
      <c r="J245">
        <v>0</v>
      </c>
      <c r="K245">
        <v>0</v>
      </c>
      <c r="L245">
        <v>0</v>
      </c>
      <c r="M245">
        <v>0</v>
      </c>
      <c r="N245">
        <v>0</v>
      </c>
      <c r="O245">
        <v>0</v>
      </c>
      <c r="P245">
        <v>0</v>
      </c>
      <c r="Q245">
        <v>0</v>
      </c>
      <c r="R245">
        <v>0</v>
      </c>
      <c r="S245">
        <v>0</v>
      </c>
      <c r="U245" s="175">
        <f t="shared" si="15"/>
        <v>0</v>
      </c>
    </row>
    <row r="246" spans="1:21">
      <c r="A246" s="183" t="str">
        <f t="shared" si="13"/>
        <v>521</v>
      </c>
      <c r="B246" s="183" t="str">
        <f t="shared" si="14"/>
        <v>521.0</v>
      </c>
      <c r="C246" t="s">
        <v>2007</v>
      </c>
      <c r="D246" t="s">
        <v>1345</v>
      </c>
      <c r="G246">
        <v>0</v>
      </c>
      <c r="H246">
        <v>0</v>
      </c>
      <c r="I246">
        <v>0</v>
      </c>
      <c r="J246">
        <v>0</v>
      </c>
      <c r="K246">
        <v>0</v>
      </c>
      <c r="L246">
        <v>0</v>
      </c>
      <c r="M246">
        <v>0</v>
      </c>
      <c r="N246">
        <v>0</v>
      </c>
      <c r="O246">
        <v>0</v>
      </c>
      <c r="P246">
        <v>0</v>
      </c>
      <c r="Q246">
        <v>0</v>
      </c>
      <c r="R246">
        <v>0</v>
      </c>
      <c r="S246">
        <v>0</v>
      </c>
      <c r="U246" s="175">
        <f t="shared" si="15"/>
        <v>0</v>
      </c>
    </row>
    <row r="247" spans="1:21">
      <c r="A247" s="183" t="str">
        <f t="shared" si="13"/>
        <v>522</v>
      </c>
      <c r="B247" s="183" t="str">
        <f t="shared" si="14"/>
        <v>522.0</v>
      </c>
      <c r="C247" t="s">
        <v>2008</v>
      </c>
      <c r="D247" t="s">
        <v>1347</v>
      </c>
      <c r="G247">
        <v>0</v>
      </c>
      <c r="H247">
        <v>0</v>
      </c>
      <c r="I247">
        <v>0</v>
      </c>
      <c r="J247">
        <v>0</v>
      </c>
      <c r="K247">
        <v>0</v>
      </c>
      <c r="L247">
        <v>0</v>
      </c>
      <c r="M247">
        <v>0</v>
      </c>
      <c r="N247">
        <v>0</v>
      </c>
      <c r="O247">
        <v>0</v>
      </c>
      <c r="P247">
        <v>0</v>
      </c>
      <c r="Q247">
        <v>0</v>
      </c>
      <c r="R247">
        <v>0</v>
      </c>
      <c r="S247">
        <v>0</v>
      </c>
      <c r="U247" s="175">
        <f t="shared" si="15"/>
        <v>0</v>
      </c>
    </row>
    <row r="248" spans="1:21">
      <c r="A248" s="183" t="str">
        <f t="shared" si="13"/>
        <v>523</v>
      </c>
      <c r="B248" s="183" t="str">
        <f t="shared" si="14"/>
        <v>523.0</v>
      </c>
      <c r="C248" t="s">
        <v>2009</v>
      </c>
      <c r="D248" t="s">
        <v>1349</v>
      </c>
      <c r="G248">
        <v>0</v>
      </c>
      <c r="H248">
        <v>0</v>
      </c>
      <c r="I248">
        <v>0</v>
      </c>
      <c r="J248">
        <v>0</v>
      </c>
      <c r="K248">
        <v>0</v>
      </c>
      <c r="L248">
        <v>0</v>
      </c>
      <c r="M248">
        <v>0</v>
      </c>
      <c r="N248">
        <v>0</v>
      </c>
      <c r="O248">
        <v>0</v>
      </c>
      <c r="P248">
        <v>0</v>
      </c>
      <c r="Q248">
        <v>0</v>
      </c>
      <c r="R248">
        <v>0</v>
      </c>
      <c r="S248">
        <v>0</v>
      </c>
      <c r="U248" s="175">
        <f t="shared" si="15"/>
        <v>0</v>
      </c>
    </row>
    <row r="249" spans="1:21">
      <c r="A249" s="183" t="str">
        <f t="shared" si="13"/>
        <v>524</v>
      </c>
      <c r="B249" s="183" t="str">
        <f t="shared" si="14"/>
        <v>524.0</v>
      </c>
      <c r="C249" t="s">
        <v>2010</v>
      </c>
      <c r="D249" t="s">
        <v>1351</v>
      </c>
      <c r="G249">
        <v>0</v>
      </c>
      <c r="H249">
        <v>0</v>
      </c>
      <c r="I249">
        <v>0</v>
      </c>
      <c r="J249">
        <v>0</v>
      </c>
      <c r="K249">
        <v>0</v>
      </c>
      <c r="L249">
        <v>0</v>
      </c>
      <c r="M249">
        <v>0</v>
      </c>
      <c r="N249">
        <v>0</v>
      </c>
      <c r="O249">
        <v>0</v>
      </c>
      <c r="P249">
        <v>0</v>
      </c>
      <c r="Q249">
        <v>0</v>
      </c>
      <c r="R249">
        <v>0</v>
      </c>
      <c r="S249">
        <v>0</v>
      </c>
      <c r="U249" s="175">
        <f t="shared" si="15"/>
        <v>0</v>
      </c>
    </row>
    <row r="250" spans="1:21">
      <c r="A250" s="183" t="str">
        <f t="shared" si="13"/>
        <v>525</v>
      </c>
      <c r="B250" s="183" t="str">
        <f t="shared" si="14"/>
        <v>525.0</v>
      </c>
      <c r="C250" t="s">
        <v>2011</v>
      </c>
      <c r="D250" t="s">
        <v>1353</v>
      </c>
      <c r="G250">
        <v>0</v>
      </c>
      <c r="H250">
        <v>0</v>
      </c>
      <c r="I250">
        <v>0</v>
      </c>
      <c r="J250">
        <v>0</v>
      </c>
      <c r="K250">
        <v>0</v>
      </c>
      <c r="L250">
        <v>0</v>
      </c>
      <c r="M250">
        <v>0</v>
      </c>
      <c r="N250">
        <v>0</v>
      </c>
      <c r="O250">
        <v>0</v>
      </c>
      <c r="P250">
        <v>0</v>
      </c>
      <c r="Q250">
        <v>0</v>
      </c>
      <c r="R250">
        <v>0</v>
      </c>
      <c r="S250">
        <v>0</v>
      </c>
      <c r="U250" s="175">
        <f t="shared" si="15"/>
        <v>0</v>
      </c>
    </row>
    <row r="251" spans="1:21">
      <c r="A251" s="183" t="str">
        <f t="shared" si="13"/>
        <v>528</v>
      </c>
      <c r="B251" s="183" t="str">
        <f t="shared" si="14"/>
        <v>528.0</v>
      </c>
      <c r="C251" t="s">
        <v>2012</v>
      </c>
      <c r="D251" t="s">
        <v>1355</v>
      </c>
      <c r="G251">
        <v>0</v>
      </c>
      <c r="H251">
        <v>0</v>
      </c>
      <c r="I251">
        <v>0</v>
      </c>
      <c r="J251">
        <v>0</v>
      </c>
      <c r="K251">
        <v>0</v>
      </c>
      <c r="L251">
        <v>0</v>
      </c>
      <c r="M251">
        <v>0</v>
      </c>
      <c r="N251">
        <v>0</v>
      </c>
      <c r="O251">
        <v>0</v>
      </c>
      <c r="P251">
        <v>0</v>
      </c>
      <c r="Q251">
        <v>0</v>
      </c>
      <c r="R251">
        <v>0</v>
      </c>
      <c r="S251">
        <v>0</v>
      </c>
      <c r="U251" s="175">
        <f t="shared" si="15"/>
        <v>0</v>
      </c>
    </row>
    <row r="252" spans="1:21">
      <c r="A252" s="183" t="str">
        <f t="shared" si="13"/>
        <v>529</v>
      </c>
      <c r="B252" s="183" t="str">
        <f t="shared" si="14"/>
        <v>529.0</v>
      </c>
      <c r="C252" t="s">
        <v>2013</v>
      </c>
      <c r="D252" t="s">
        <v>1357</v>
      </c>
      <c r="G252">
        <v>0</v>
      </c>
      <c r="H252">
        <v>0</v>
      </c>
      <c r="I252">
        <v>0</v>
      </c>
      <c r="J252">
        <v>0</v>
      </c>
      <c r="K252">
        <v>0</v>
      </c>
      <c r="L252">
        <v>0</v>
      </c>
      <c r="M252">
        <v>0</v>
      </c>
      <c r="N252">
        <v>0</v>
      </c>
      <c r="O252">
        <v>0</v>
      </c>
      <c r="P252">
        <v>0</v>
      </c>
      <c r="Q252">
        <v>0</v>
      </c>
      <c r="R252">
        <v>0</v>
      </c>
      <c r="S252">
        <v>0</v>
      </c>
      <c r="U252" s="175">
        <f t="shared" si="15"/>
        <v>0</v>
      </c>
    </row>
    <row r="253" spans="1:21">
      <c r="A253" s="183" t="str">
        <f t="shared" si="13"/>
        <v>530</v>
      </c>
      <c r="B253" s="183" t="str">
        <f t="shared" si="14"/>
        <v>530.0</v>
      </c>
      <c r="C253" t="s">
        <v>2014</v>
      </c>
      <c r="D253" t="s">
        <v>1359</v>
      </c>
      <c r="G253">
        <v>0</v>
      </c>
      <c r="H253">
        <v>0</v>
      </c>
      <c r="I253">
        <v>0</v>
      </c>
      <c r="J253">
        <v>0</v>
      </c>
      <c r="K253">
        <v>0</v>
      </c>
      <c r="L253">
        <v>0</v>
      </c>
      <c r="M253">
        <v>0</v>
      </c>
      <c r="N253">
        <v>0</v>
      </c>
      <c r="O253">
        <v>0</v>
      </c>
      <c r="P253">
        <v>0</v>
      </c>
      <c r="Q253">
        <v>0</v>
      </c>
      <c r="R253">
        <v>0</v>
      </c>
      <c r="S253">
        <v>0</v>
      </c>
      <c r="U253" s="175">
        <f t="shared" si="15"/>
        <v>0</v>
      </c>
    </row>
    <row r="254" spans="1:21">
      <c r="A254" s="183" t="str">
        <f t="shared" si="13"/>
        <v>531</v>
      </c>
      <c r="B254" s="183" t="str">
        <f t="shared" si="14"/>
        <v>531.0</v>
      </c>
      <c r="C254" t="s">
        <v>2015</v>
      </c>
      <c r="D254" t="s">
        <v>1361</v>
      </c>
      <c r="G254">
        <v>0</v>
      </c>
      <c r="H254">
        <v>0</v>
      </c>
      <c r="I254">
        <v>0</v>
      </c>
      <c r="J254">
        <v>0</v>
      </c>
      <c r="K254">
        <v>0</v>
      </c>
      <c r="L254">
        <v>0</v>
      </c>
      <c r="M254">
        <v>0</v>
      </c>
      <c r="N254">
        <v>0</v>
      </c>
      <c r="O254">
        <v>0</v>
      </c>
      <c r="P254">
        <v>0</v>
      </c>
      <c r="Q254">
        <v>0</v>
      </c>
      <c r="R254">
        <v>0</v>
      </c>
      <c r="S254">
        <v>0</v>
      </c>
      <c r="U254" s="175">
        <f t="shared" si="15"/>
        <v>0</v>
      </c>
    </row>
    <row r="255" spans="1:21">
      <c r="A255" s="183" t="str">
        <f t="shared" si="13"/>
        <v>532</v>
      </c>
      <c r="B255" s="183" t="str">
        <f t="shared" si="14"/>
        <v>532.0</v>
      </c>
      <c r="C255" t="s">
        <v>2016</v>
      </c>
      <c r="D255" t="s">
        <v>1363</v>
      </c>
      <c r="G255">
        <v>0</v>
      </c>
      <c r="H255">
        <v>0</v>
      </c>
      <c r="I255">
        <v>0</v>
      </c>
      <c r="J255">
        <v>0</v>
      </c>
      <c r="K255">
        <v>0</v>
      </c>
      <c r="L255">
        <v>0</v>
      </c>
      <c r="M255">
        <v>0</v>
      </c>
      <c r="N255">
        <v>0</v>
      </c>
      <c r="O255">
        <v>0</v>
      </c>
      <c r="P255">
        <v>0</v>
      </c>
      <c r="Q255">
        <v>0</v>
      </c>
      <c r="R255">
        <v>0</v>
      </c>
      <c r="S255">
        <v>0</v>
      </c>
      <c r="U255" s="175">
        <f t="shared" si="15"/>
        <v>0</v>
      </c>
    </row>
    <row r="256" spans="1:21">
      <c r="A256" s="183" t="str">
        <f t="shared" si="13"/>
        <v>535</v>
      </c>
      <c r="B256" s="183" t="str">
        <f t="shared" si="14"/>
        <v>535.0</v>
      </c>
      <c r="C256" t="s">
        <v>2017</v>
      </c>
      <c r="D256" t="s">
        <v>1365</v>
      </c>
      <c r="G256">
        <v>0</v>
      </c>
      <c r="H256">
        <v>0</v>
      </c>
      <c r="I256">
        <v>0</v>
      </c>
      <c r="J256">
        <v>0</v>
      </c>
      <c r="K256">
        <v>0</v>
      </c>
      <c r="L256">
        <v>0</v>
      </c>
      <c r="M256">
        <v>0</v>
      </c>
      <c r="N256">
        <v>0</v>
      </c>
      <c r="O256">
        <v>0</v>
      </c>
      <c r="P256">
        <v>0</v>
      </c>
      <c r="Q256">
        <v>0</v>
      </c>
      <c r="R256">
        <v>0</v>
      </c>
      <c r="S256">
        <v>0</v>
      </c>
      <c r="U256" s="175">
        <f t="shared" si="15"/>
        <v>0</v>
      </c>
    </row>
    <row r="257" spans="1:21">
      <c r="A257" s="183" t="str">
        <f t="shared" si="13"/>
        <v>536</v>
      </c>
      <c r="B257" s="183" t="str">
        <f t="shared" si="14"/>
        <v>536.0</v>
      </c>
      <c r="C257" t="s">
        <v>2018</v>
      </c>
      <c r="D257" t="s">
        <v>1367</v>
      </c>
      <c r="G257">
        <v>0</v>
      </c>
      <c r="H257">
        <v>0</v>
      </c>
      <c r="I257">
        <v>0</v>
      </c>
      <c r="J257">
        <v>0</v>
      </c>
      <c r="K257">
        <v>0</v>
      </c>
      <c r="L257">
        <v>0</v>
      </c>
      <c r="M257">
        <v>0</v>
      </c>
      <c r="N257">
        <v>0</v>
      </c>
      <c r="O257">
        <v>0</v>
      </c>
      <c r="P257">
        <v>0</v>
      </c>
      <c r="Q257">
        <v>0</v>
      </c>
      <c r="R257">
        <v>0</v>
      </c>
      <c r="S257">
        <v>0</v>
      </c>
      <c r="U257" s="175">
        <f t="shared" si="15"/>
        <v>0</v>
      </c>
    </row>
    <row r="258" spans="1:21">
      <c r="A258" s="183" t="str">
        <f t="shared" si="13"/>
        <v>537</v>
      </c>
      <c r="B258" s="183" t="str">
        <f t="shared" si="14"/>
        <v>537.0</v>
      </c>
      <c r="C258" t="s">
        <v>2019</v>
      </c>
      <c r="D258" t="s">
        <v>1369</v>
      </c>
      <c r="G258">
        <v>0</v>
      </c>
      <c r="H258">
        <v>0</v>
      </c>
      <c r="I258">
        <v>0</v>
      </c>
      <c r="J258">
        <v>0</v>
      </c>
      <c r="K258">
        <v>0</v>
      </c>
      <c r="L258">
        <v>0</v>
      </c>
      <c r="M258">
        <v>0</v>
      </c>
      <c r="N258">
        <v>0</v>
      </c>
      <c r="O258">
        <v>0</v>
      </c>
      <c r="P258">
        <v>0</v>
      </c>
      <c r="Q258">
        <v>0</v>
      </c>
      <c r="R258">
        <v>0</v>
      </c>
      <c r="S258">
        <v>0</v>
      </c>
      <c r="U258" s="175">
        <f t="shared" si="15"/>
        <v>0</v>
      </c>
    </row>
    <row r="259" spans="1:21">
      <c r="A259" s="183" t="str">
        <f t="shared" si="13"/>
        <v>538</v>
      </c>
      <c r="B259" s="183" t="str">
        <f t="shared" si="14"/>
        <v>538.0</v>
      </c>
      <c r="C259" t="s">
        <v>2020</v>
      </c>
      <c r="D259" t="s">
        <v>1371</v>
      </c>
      <c r="G259">
        <v>0</v>
      </c>
      <c r="H259">
        <v>0</v>
      </c>
      <c r="I259">
        <v>0</v>
      </c>
      <c r="J259">
        <v>0</v>
      </c>
      <c r="K259">
        <v>0</v>
      </c>
      <c r="L259">
        <v>0</v>
      </c>
      <c r="M259">
        <v>0</v>
      </c>
      <c r="N259">
        <v>0</v>
      </c>
      <c r="O259">
        <v>0</v>
      </c>
      <c r="P259">
        <v>0</v>
      </c>
      <c r="Q259">
        <v>0</v>
      </c>
      <c r="R259">
        <v>0</v>
      </c>
      <c r="S259">
        <v>0</v>
      </c>
      <c r="U259" s="175">
        <f t="shared" si="15"/>
        <v>0</v>
      </c>
    </row>
    <row r="260" spans="1:21">
      <c r="A260" s="183" t="str">
        <f t="shared" si="13"/>
        <v>539</v>
      </c>
      <c r="B260" s="183" t="str">
        <f t="shared" si="14"/>
        <v>539.0</v>
      </c>
      <c r="C260" t="s">
        <v>2021</v>
      </c>
      <c r="D260" t="s">
        <v>1373</v>
      </c>
      <c r="G260">
        <v>0</v>
      </c>
      <c r="H260">
        <v>0</v>
      </c>
      <c r="I260">
        <v>0</v>
      </c>
      <c r="J260">
        <v>0</v>
      </c>
      <c r="K260">
        <v>0</v>
      </c>
      <c r="L260">
        <v>0</v>
      </c>
      <c r="M260">
        <v>0</v>
      </c>
      <c r="N260">
        <v>0</v>
      </c>
      <c r="O260">
        <v>0</v>
      </c>
      <c r="P260">
        <v>0</v>
      </c>
      <c r="Q260">
        <v>0</v>
      </c>
      <c r="R260">
        <v>0</v>
      </c>
      <c r="S260">
        <v>0</v>
      </c>
      <c r="U260" s="175">
        <f t="shared" si="15"/>
        <v>0</v>
      </c>
    </row>
    <row r="261" spans="1:21">
      <c r="A261" s="183" t="str">
        <f t="shared" si="13"/>
        <v>540</v>
      </c>
      <c r="B261" s="183" t="str">
        <f t="shared" si="14"/>
        <v>540.0</v>
      </c>
      <c r="C261" t="s">
        <v>2022</v>
      </c>
      <c r="D261" t="s">
        <v>1375</v>
      </c>
      <c r="G261">
        <v>0</v>
      </c>
      <c r="H261">
        <v>0</v>
      </c>
      <c r="I261">
        <v>0</v>
      </c>
      <c r="J261">
        <v>0</v>
      </c>
      <c r="K261">
        <v>0</v>
      </c>
      <c r="L261">
        <v>0</v>
      </c>
      <c r="M261">
        <v>0</v>
      </c>
      <c r="N261">
        <v>0</v>
      </c>
      <c r="O261">
        <v>0</v>
      </c>
      <c r="P261">
        <v>0</v>
      </c>
      <c r="Q261">
        <v>0</v>
      </c>
      <c r="R261">
        <v>0</v>
      </c>
      <c r="S261">
        <v>0</v>
      </c>
      <c r="U261" s="175">
        <f t="shared" si="15"/>
        <v>0</v>
      </c>
    </row>
    <row r="262" spans="1:21">
      <c r="A262" s="183" t="str">
        <f t="shared" si="13"/>
        <v>541</v>
      </c>
      <c r="B262" s="183" t="str">
        <f t="shared" si="14"/>
        <v>541.0</v>
      </c>
      <c r="C262" t="s">
        <v>2023</v>
      </c>
      <c r="D262" t="s">
        <v>1377</v>
      </c>
      <c r="G262">
        <v>0</v>
      </c>
      <c r="H262">
        <v>0</v>
      </c>
      <c r="I262">
        <v>0</v>
      </c>
      <c r="J262">
        <v>0</v>
      </c>
      <c r="K262">
        <v>0</v>
      </c>
      <c r="L262">
        <v>0</v>
      </c>
      <c r="M262">
        <v>0</v>
      </c>
      <c r="N262">
        <v>0</v>
      </c>
      <c r="O262">
        <v>0</v>
      </c>
      <c r="P262">
        <v>0</v>
      </c>
      <c r="Q262">
        <v>0</v>
      </c>
      <c r="R262">
        <v>0</v>
      </c>
      <c r="S262">
        <v>0</v>
      </c>
      <c r="U262" s="175">
        <f t="shared" si="15"/>
        <v>0</v>
      </c>
    </row>
    <row r="263" spans="1:21">
      <c r="A263" s="183" t="str">
        <f t="shared" ref="A263:A326" si="16">MID(C263,4,3)</f>
        <v>542</v>
      </c>
      <c r="B263" s="183" t="str">
        <f t="shared" ref="B263:B326" si="17">MID(C263,4,3)&amp;"."&amp;MID(C263,7,1)</f>
        <v>542.0</v>
      </c>
      <c r="C263" t="s">
        <v>2024</v>
      </c>
      <c r="D263" t="s">
        <v>1379</v>
      </c>
      <c r="G263">
        <v>0</v>
      </c>
      <c r="H263">
        <v>0</v>
      </c>
      <c r="I263">
        <v>0</v>
      </c>
      <c r="J263">
        <v>0</v>
      </c>
      <c r="K263">
        <v>0</v>
      </c>
      <c r="L263">
        <v>0</v>
      </c>
      <c r="M263">
        <v>0</v>
      </c>
      <c r="N263">
        <v>0</v>
      </c>
      <c r="O263">
        <v>0</v>
      </c>
      <c r="P263">
        <v>0</v>
      </c>
      <c r="Q263">
        <v>0</v>
      </c>
      <c r="R263">
        <v>0</v>
      </c>
      <c r="S263">
        <v>0</v>
      </c>
      <c r="U263" s="175">
        <f t="shared" ref="U263:U326" si="18">AVERAGE(G263:S263)</f>
        <v>0</v>
      </c>
    </row>
    <row r="264" spans="1:21">
      <c r="A264" s="183" t="str">
        <f t="shared" si="16"/>
        <v>543</v>
      </c>
      <c r="B264" s="183" t="str">
        <f t="shared" si="17"/>
        <v>543.0</v>
      </c>
      <c r="C264" t="s">
        <v>2025</v>
      </c>
      <c r="D264" t="s">
        <v>1381</v>
      </c>
      <c r="G264">
        <v>0</v>
      </c>
      <c r="H264">
        <v>0</v>
      </c>
      <c r="I264">
        <v>0</v>
      </c>
      <c r="J264">
        <v>0</v>
      </c>
      <c r="K264">
        <v>0</v>
      </c>
      <c r="L264">
        <v>0</v>
      </c>
      <c r="M264">
        <v>0</v>
      </c>
      <c r="N264">
        <v>0</v>
      </c>
      <c r="O264">
        <v>0</v>
      </c>
      <c r="P264">
        <v>0</v>
      </c>
      <c r="Q264">
        <v>0</v>
      </c>
      <c r="R264">
        <v>0</v>
      </c>
      <c r="S264">
        <v>0</v>
      </c>
      <c r="U264" s="175">
        <f t="shared" si="18"/>
        <v>0</v>
      </c>
    </row>
    <row r="265" spans="1:21">
      <c r="A265" s="183" t="str">
        <f t="shared" si="16"/>
        <v>544</v>
      </c>
      <c r="B265" s="183" t="str">
        <f t="shared" si="17"/>
        <v>544.0</v>
      </c>
      <c r="C265" t="s">
        <v>2026</v>
      </c>
      <c r="D265" t="s">
        <v>1383</v>
      </c>
      <c r="G265">
        <v>0</v>
      </c>
      <c r="H265">
        <v>0</v>
      </c>
      <c r="I265">
        <v>0</v>
      </c>
      <c r="J265">
        <v>0</v>
      </c>
      <c r="K265">
        <v>0</v>
      </c>
      <c r="L265">
        <v>0</v>
      </c>
      <c r="M265">
        <v>0</v>
      </c>
      <c r="N265">
        <v>0</v>
      </c>
      <c r="O265">
        <v>0</v>
      </c>
      <c r="P265">
        <v>0</v>
      </c>
      <c r="Q265">
        <v>0</v>
      </c>
      <c r="R265">
        <v>0</v>
      </c>
      <c r="S265">
        <v>0</v>
      </c>
      <c r="U265" s="175">
        <f t="shared" si="18"/>
        <v>0</v>
      </c>
    </row>
    <row r="266" spans="1:21">
      <c r="A266" s="183" t="str">
        <f t="shared" si="16"/>
        <v>545</v>
      </c>
      <c r="B266" s="183" t="str">
        <f t="shared" si="17"/>
        <v>545.0</v>
      </c>
      <c r="C266" t="s">
        <v>2027</v>
      </c>
      <c r="D266" t="s">
        <v>1385</v>
      </c>
      <c r="G266">
        <v>0</v>
      </c>
      <c r="H266">
        <v>0</v>
      </c>
      <c r="I266">
        <v>0</v>
      </c>
      <c r="J266">
        <v>0</v>
      </c>
      <c r="K266">
        <v>0</v>
      </c>
      <c r="L266">
        <v>0</v>
      </c>
      <c r="M266">
        <v>0</v>
      </c>
      <c r="N266">
        <v>0</v>
      </c>
      <c r="O266">
        <v>0</v>
      </c>
      <c r="P266">
        <v>0</v>
      </c>
      <c r="Q266">
        <v>0</v>
      </c>
      <c r="R266">
        <v>0</v>
      </c>
      <c r="S266">
        <v>0</v>
      </c>
      <c r="U266" s="175">
        <f t="shared" si="18"/>
        <v>0</v>
      </c>
    </row>
    <row r="267" spans="1:21">
      <c r="A267" s="183" t="str">
        <f t="shared" si="16"/>
        <v>546</v>
      </c>
      <c r="B267" s="183" t="str">
        <f t="shared" si="17"/>
        <v>546.0</v>
      </c>
      <c r="C267" t="s">
        <v>2028</v>
      </c>
      <c r="D267" t="s">
        <v>1387</v>
      </c>
      <c r="G267">
        <v>0</v>
      </c>
      <c r="H267">
        <v>0</v>
      </c>
      <c r="I267">
        <v>0</v>
      </c>
      <c r="J267">
        <v>0</v>
      </c>
      <c r="K267">
        <v>0</v>
      </c>
      <c r="L267">
        <v>0</v>
      </c>
      <c r="M267">
        <v>0</v>
      </c>
      <c r="N267">
        <v>0</v>
      </c>
      <c r="O267">
        <v>7612.94</v>
      </c>
      <c r="P267">
        <v>0</v>
      </c>
      <c r="Q267">
        <v>0</v>
      </c>
      <c r="R267">
        <v>1966.27</v>
      </c>
      <c r="S267">
        <v>4879.5600000000004</v>
      </c>
      <c r="U267" s="175">
        <f t="shared" si="18"/>
        <v>1112.2130769230769</v>
      </c>
    </row>
    <row r="268" spans="1:21">
      <c r="A268" s="183" t="str">
        <f t="shared" si="16"/>
        <v>547</v>
      </c>
      <c r="B268" s="183" t="str">
        <f t="shared" si="17"/>
        <v>547.0</v>
      </c>
      <c r="C268" t="s">
        <v>2029</v>
      </c>
      <c r="D268" t="s">
        <v>1389</v>
      </c>
      <c r="G268">
        <v>75198953.239999995</v>
      </c>
      <c r="H268">
        <v>50240492.719999999</v>
      </c>
      <c r="I268">
        <v>32673227.670000002</v>
      </c>
      <c r="J268">
        <v>33434167.07</v>
      </c>
      <c r="K268">
        <v>32863162.710000001</v>
      </c>
      <c r="L268">
        <v>40468362.100000001</v>
      </c>
      <c r="M268">
        <v>42715983.770000003</v>
      </c>
      <c r="N268">
        <v>51114230.219999999</v>
      </c>
      <c r="O268">
        <v>51836176.020000003</v>
      </c>
      <c r="P268">
        <v>41356801.840000004</v>
      </c>
      <c r="Q268">
        <v>39104697.780000001</v>
      </c>
      <c r="R268">
        <v>35271844.759999998</v>
      </c>
      <c r="S268">
        <v>34447368.649999999</v>
      </c>
      <c r="U268" s="175">
        <f t="shared" si="18"/>
        <v>43132728.349999994</v>
      </c>
    </row>
    <row r="269" spans="1:21">
      <c r="A269" s="183" t="str">
        <f t="shared" si="16"/>
        <v>548</v>
      </c>
      <c r="B269" s="183" t="str">
        <f t="shared" si="17"/>
        <v>548.0</v>
      </c>
      <c r="C269" t="s">
        <v>2030</v>
      </c>
      <c r="D269" t="s">
        <v>1391</v>
      </c>
      <c r="G269">
        <v>2268076.9</v>
      </c>
      <c r="H269">
        <v>2328209.42</v>
      </c>
      <c r="I269">
        <v>1861814.81</v>
      </c>
      <c r="J269">
        <v>2314187.9500000002</v>
      </c>
      <c r="K269">
        <v>2018698.19</v>
      </c>
      <c r="L269">
        <v>1947403.83</v>
      </c>
      <c r="M269">
        <v>1699006.33</v>
      </c>
      <c r="N269">
        <v>2305226.5699999998</v>
      </c>
      <c r="O269">
        <v>2354604.4500000002</v>
      </c>
      <c r="P269">
        <v>2718807.89</v>
      </c>
      <c r="Q269">
        <v>2928709.92</v>
      </c>
      <c r="R269">
        <v>2842167.34</v>
      </c>
      <c r="S269">
        <v>220348.29</v>
      </c>
      <c r="U269" s="175">
        <f t="shared" si="18"/>
        <v>2139020.1453846158</v>
      </c>
    </row>
    <row r="270" spans="1:21">
      <c r="A270" s="183" t="str">
        <f t="shared" si="16"/>
        <v>548</v>
      </c>
      <c r="B270" s="183" t="str">
        <f t="shared" si="17"/>
        <v>548.1</v>
      </c>
      <c r="C270" t="s">
        <v>2031</v>
      </c>
      <c r="D270" t="s">
        <v>1393</v>
      </c>
      <c r="G270">
        <v>0</v>
      </c>
      <c r="H270">
        <v>0</v>
      </c>
      <c r="I270">
        <v>0</v>
      </c>
      <c r="J270">
        <v>0</v>
      </c>
      <c r="K270">
        <v>0</v>
      </c>
      <c r="L270">
        <v>0</v>
      </c>
      <c r="M270">
        <v>0</v>
      </c>
      <c r="N270">
        <v>0</v>
      </c>
      <c r="O270">
        <v>0</v>
      </c>
      <c r="P270">
        <v>0</v>
      </c>
      <c r="Q270">
        <v>0</v>
      </c>
      <c r="R270">
        <v>0</v>
      </c>
      <c r="S270">
        <v>0</v>
      </c>
      <c r="U270" s="175">
        <f t="shared" si="18"/>
        <v>0</v>
      </c>
    </row>
    <row r="271" spans="1:21">
      <c r="A271" s="183" t="str">
        <f t="shared" si="16"/>
        <v>549</v>
      </c>
      <c r="B271" s="183" t="str">
        <f t="shared" si="17"/>
        <v>549.0</v>
      </c>
      <c r="C271" t="s">
        <v>2032</v>
      </c>
      <c r="D271" t="s">
        <v>1395</v>
      </c>
      <c r="G271">
        <v>972562.7</v>
      </c>
      <c r="H271">
        <v>707055.27</v>
      </c>
      <c r="I271">
        <v>802142.89</v>
      </c>
      <c r="J271">
        <v>623624.11</v>
      </c>
      <c r="K271">
        <v>645299.78</v>
      </c>
      <c r="L271">
        <v>756222.51</v>
      </c>
      <c r="M271">
        <v>645736.93000000005</v>
      </c>
      <c r="N271">
        <v>817975.87</v>
      </c>
      <c r="O271">
        <v>595931.27</v>
      </c>
      <c r="P271">
        <v>654539.44999999995</v>
      </c>
      <c r="Q271">
        <v>805900.78</v>
      </c>
      <c r="R271">
        <v>-399755.02</v>
      </c>
      <c r="S271">
        <v>750854.24</v>
      </c>
      <c r="U271" s="175">
        <f t="shared" si="18"/>
        <v>644468.52153846167</v>
      </c>
    </row>
    <row r="272" spans="1:21">
      <c r="A272" s="183" t="str">
        <f t="shared" si="16"/>
        <v>550</v>
      </c>
      <c r="B272" s="183" t="str">
        <f t="shared" si="17"/>
        <v>550.0</v>
      </c>
      <c r="C272" t="s">
        <v>2033</v>
      </c>
      <c r="D272" t="s">
        <v>1397</v>
      </c>
      <c r="G272">
        <v>0</v>
      </c>
      <c r="H272">
        <v>0</v>
      </c>
      <c r="I272">
        <v>0</v>
      </c>
      <c r="J272">
        <v>0</v>
      </c>
      <c r="K272">
        <v>0</v>
      </c>
      <c r="L272">
        <v>0</v>
      </c>
      <c r="M272">
        <v>0</v>
      </c>
      <c r="N272">
        <v>0</v>
      </c>
      <c r="O272">
        <v>0</v>
      </c>
      <c r="P272">
        <v>0</v>
      </c>
      <c r="Q272">
        <v>0</v>
      </c>
      <c r="R272">
        <v>0</v>
      </c>
      <c r="S272">
        <v>0</v>
      </c>
      <c r="U272" s="175">
        <f t="shared" si="18"/>
        <v>0</v>
      </c>
    </row>
    <row r="273" spans="1:21">
      <c r="A273" s="183" t="str">
        <f t="shared" si="16"/>
        <v>551</v>
      </c>
      <c r="B273" s="183" t="str">
        <f t="shared" si="17"/>
        <v>551.0</v>
      </c>
      <c r="C273" t="s">
        <v>2034</v>
      </c>
      <c r="D273" t="s">
        <v>1399</v>
      </c>
      <c r="G273">
        <v>0</v>
      </c>
      <c r="H273">
        <v>0</v>
      </c>
      <c r="I273">
        <v>0</v>
      </c>
      <c r="J273">
        <v>0</v>
      </c>
      <c r="K273">
        <v>0</v>
      </c>
      <c r="L273">
        <v>0</v>
      </c>
      <c r="M273">
        <v>0</v>
      </c>
      <c r="N273">
        <v>0</v>
      </c>
      <c r="O273">
        <v>0</v>
      </c>
      <c r="P273">
        <v>0</v>
      </c>
      <c r="Q273">
        <v>0</v>
      </c>
      <c r="R273">
        <v>0</v>
      </c>
      <c r="S273">
        <v>0</v>
      </c>
      <c r="U273" s="175">
        <f t="shared" si="18"/>
        <v>0</v>
      </c>
    </row>
    <row r="274" spans="1:21">
      <c r="A274" s="183" t="str">
        <f t="shared" si="16"/>
        <v>552</v>
      </c>
      <c r="B274" s="183" t="str">
        <f t="shared" si="17"/>
        <v>552.0</v>
      </c>
      <c r="C274" t="s">
        <v>2035</v>
      </c>
      <c r="D274" t="s">
        <v>1401</v>
      </c>
      <c r="G274">
        <v>185201.16</v>
      </c>
      <c r="H274">
        <v>276541.3</v>
      </c>
      <c r="I274">
        <v>123488.77</v>
      </c>
      <c r="J274">
        <v>157784.03</v>
      </c>
      <c r="K274">
        <v>114956.21</v>
      </c>
      <c r="L274">
        <v>113927.27</v>
      </c>
      <c r="M274">
        <v>133445.57</v>
      </c>
      <c r="N274">
        <v>118585.44</v>
      </c>
      <c r="O274">
        <v>174610.14</v>
      </c>
      <c r="P274">
        <v>90517.18</v>
      </c>
      <c r="Q274">
        <v>40762.269999999997</v>
      </c>
      <c r="R274">
        <v>121061.81</v>
      </c>
      <c r="S274">
        <v>43612.61</v>
      </c>
      <c r="U274" s="175">
        <f t="shared" si="18"/>
        <v>130345.67384615386</v>
      </c>
    </row>
    <row r="275" spans="1:21">
      <c r="A275" s="183" t="str">
        <f t="shared" si="16"/>
        <v>553</v>
      </c>
      <c r="B275" s="183" t="str">
        <f t="shared" si="17"/>
        <v>553.0</v>
      </c>
      <c r="C275" t="s">
        <v>2036</v>
      </c>
      <c r="D275" t="s">
        <v>1403</v>
      </c>
      <c r="G275">
        <v>1369939.65</v>
      </c>
      <c r="H275">
        <v>1627401.36</v>
      </c>
      <c r="I275">
        <v>248339.4</v>
      </c>
      <c r="J275">
        <v>1624464.31</v>
      </c>
      <c r="K275">
        <v>1657399.13</v>
      </c>
      <c r="L275">
        <v>1322940.78</v>
      </c>
      <c r="M275">
        <v>1912951.11</v>
      </c>
      <c r="N275">
        <v>1102565.75</v>
      </c>
      <c r="O275">
        <v>1227696.57</v>
      </c>
      <c r="P275">
        <v>1914314.63</v>
      </c>
      <c r="Q275">
        <v>1942690.2</v>
      </c>
      <c r="R275">
        <v>2226319.15</v>
      </c>
      <c r="S275">
        <v>2417400.63</v>
      </c>
      <c r="U275" s="175">
        <f t="shared" si="18"/>
        <v>1584186.3592307691</v>
      </c>
    </row>
    <row r="276" spans="1:21">
      <c r="A276" s="183" t="str">
        <f t="shared" si="16"/>
        <v>553</v>
      </c>
      <c r="B276" s="183" t="str">
        <f t="shared" si="17"/>
        <v>553.1</v>
      </c>
      <c r="C276" t="s">
        <v>2037</v>
      </c>
      <c r="D276" t="s">
        <v>1405</v>
      </c>
      <c r="G276">
        <v>0</v>
      </c>
      <c r="H276">
        <v>0</v>
      </c>
      <c r="I276">
        <v>0</v>
      </c>
      <c r="J276">
        <v>0</v>
      </c>
      <c r="K276">
        <v>0</v>
      </c>
      <c r="L276">
        <v>0</v>
      </c>
      <c r="M276">
        <v>0</v>
      </c>
      <c r="N276">
        <v>0</v>
      </c>
      <c r="O276">
        <v>0</v>
      </c>
      <c r="P276">
        <v>0</v>
      </c>
      <c r="Q276">
        <v>0</v>
      </c>
      <c r="R276">
        <v>0</v>
      </c>
      <c r="S276">
        <v>0</v>
      </c>
      <c r="U276" s="175">
        <f t="shared" si="18"/>
        <v>0</v>
      </c>
    </row>
    <row r="277" spans="1:21">
      <c r="A277" s="183" t="str">
        <f t="shared" si="16"/>
        <v>554</v>
      </c>
      <c r="B277" s="183" t="str">
        <f t="shared" si="17"/>
        <v>554.0</v>
      </c>
      <c r="C277" t="s">
        <v>2038</v>
      </c>
      <c r="D277" t="s">
        <v>1407</v>
      </c>
      <c r="G277">
        <v>62276.08</v>
      </c>
      <c r="H277">
        <v>110564.18</v>
      </c>
      <c r="I277">
        <v>147938.25</v>
      </c>
      <c r="J277">
        <v>27267.1</v>
      </c>
      <c r="K277">
        <v>126151.83</v>
      </c>
      <c r="L277">
        <v>44139.7</v>
      </c>
      <c r="M277">
        <v>225927.71</v>
      </c>
      <c r="N277">
        <v>130141.38</v>
      </c>
      <c r="O277">
        <v>134354.20000000001</v>
      </c>
      <c r="P277">
        <v>84103.58</v>
      </c>
      <c r="Q277">
        <v>106396.02</v>
      </c>
      <c r="R277">
        <v>51901.41</v>
      </c>
      <c r="S277">
        <v>127042.52</v>
      </c>
      <c r="U277" s="175">
        <f t="shared" si="18"/>
        <v>106015.68923076923</v>
      </c>
    </row>
    <row r="278" spans="1:21">
      <c r="A278" s="183" t="str">
        <f t="shared" si="16"/>
        <v>555</v>
      </c>
      <c r="B278" s="183" t="str">
        <f t="shared" si="17"/>
        <v>555.0</v>
      </c>
      <c r="C278" t="s">
        <v>2039</v>
      </c>
      <c r="D278" t="s">
        <v>1409</v>
      </c>
      <c r="G278">
        <v>4689938.04</v>
      </c>
      <c r="H278">
        <v>2489910.41</v>
      </c>
      <c r="I278">
        <v>2765893.8</v>
      </c>
      <c r="J278">
        <v>4009525.67</v>
      </c>
      <c r="K278">
        <v>11199479.76</v>
      </c>
      <c r="L278">
        <v>8733450.5099999998</v>
      </c>
      <c r="M278">
        <v>4928107.9000000004</v>
      </c>
      <c r="N278">
        <v>7064061.2000000002</v>
      </c>
      <c r="O278">
        <v>7736922.2300000004</v>
      </c>
      <c r="P278">
        <v>16248431.810000001</v>
      </c>
      <c r="Q278">
        <v>6423163.1799999997</v>
      </c>
      <c r="R278">
        <v>3968945.4</v>
      </c>
      <c r="S278">
        <v>2207516.41</v>
      </c>
      <c r="U278" s="175">
        <f t="shared" si="18"/>
        <v>6343488.1784615377</v>
      </c>
    </row>
    <row r="279" spans="1:21">
      <c r="A279" s="183" t="str">
        <f t="shared" si="16"/>
        <v>556</v>
      </c>
      <c r="B279" s="183" t="str">
        <f t="shared" si="17"/>
        <v>556.0</v>
      </c>
      <c r="C279" t="s">
        <v>2040</v>
      </c>
      <c r="D279" t="s">
        <v>1411</v>
      </c>
      <c r="G279">
        <v>59793.58</v>
      </c>
      <c r="H279">
        <v>55374.01</v>
      </c>
      <c r="I279">
        <v>41213.040000000001</v>
      </c>
      <c r="J279">
        <v>55103.15</v>
      </c>
      <c r="K279">
        <v>47187.9</v>
      </c>
      <c r="L279">
        <v>51754.92</v>
      </c>
      <c r="M279">
        <v>48320.36</v>
      </c>
      <c r="N279">
        <v>57629.49</v>
      </c>
      <c r="O279">
        <v>52555.92</v>
      </c>
      <c r="P279">
        <v>48431.199999999997</v>
      </c>
      <c r="Q279">
        <v>53702.83</v>
      </c>
      <c r="R279">
        <v>60393.27</v>
      </c>
      <c r="S279">
        <v>54250.11</v>
      </c>
      <c r="U279" s="175">
        <f t="shared" si="18"/>
        <v>52746.906153846146</v>
      </c>
    </row>
    <row r="280" spans="1:21">
      <c r="A280" s="183" t="str">
        <f t="shared" si="16"/>
        <v>557</v>
      </c>
      <c r="B280" s="183" t="str">
        <f t="shared" si="17"/>
        <v>557.0</v>
      </c>
      <c r="C280" t="s">
        <v>2041</v>
      </c>
      <c r="D280" t="s">
        <v>1413</v>
      </c>
      <c r="G280">
        <v>0</v>
      </c>
      <c r="H280">
        <v>0</v>
      </c>
      <c r="I280">
        <v>0</v>
      </c>
      <c r="J280">
        <v>0</v>
      </c>
      <c r="K280">
        <v>0</v>
      </c>
      <c r="L280">
        <v>0</v>
      </c>
      <c r="M280">
        <v>0</v>
      </c>
      <c r="N280">
        <v>0</v>
      </c>
      <c r="O280">
        <v>0</v>
      </c>
      <c r="P280">
        <v>0</v>
      </c>
      <c r="Q280">
        <v>0</v>
      </c>
      <c r="R280">
        <v>0</v>
      </c>
      <c r="S280">
        <v>0</v>
      </c>
      <c r="U280" s="175">
        <f t="shared" si="18"/>
        <v>0</v>
      </c>
    </row>
    <row r="281" spans="1:21">
      <c r="A281" s="183" t="str">
        <f t="shared" si="16"/>
        <v>560</v>
      </c>
      <c r="B281" s="183" t="str">
        <f t="shared" si="17"/>
        <v>560.0</v>
      </c>
      <c r="C281" t="s">
        <v>2042</v>
      </c>
      <c r="D281" t="s">
        <v>1415</v>
      </c>
      <c r="G281">
        <v>66873.27</v>
      </c>
      <c r="H281">
        <v>188727.84</v>
      </c>
      <c r="I281">
        <v>162547.98000000001</v>
      </c>
      <c r="J281">
        <v>-41004.28</v>
      </c>
      <c r="K281">
        <v>113728.17</v>
      </c>
      <c r="L281">
        <v>72885.03</v>
      </c>
      <c r="M281">
        <v>96772.479999999996</v>
      </c>
      <c r="N281">
        <v>96693.53</v>
      </c>
      <c r="O281">
        <v>72628.23</v>
      </c>
      <c r="P281">
        <v>89815.44</v>
      </c>
      <c r="Q281">
        <v>83379.12</v>
      </c>
      <c r="R281">
        <v>71641.960000000006</v>
      </c>
      <c r="S281">
        <v>44187.81</v>
      </c>
      <c r="U281" s="175">
        <f t="shared" si="18"/>
        <v>86067.429230769238</v>
      </c>
    </row>
    <row r="282" spans="1:21">
      <c r="A282" s="183" t="str">
        <f t="shared" si="16"/>
        <v>561</v>
      </c>
      <c r="B282" s="183" t="str">
        <f t="shared" si="17"/>
        <v>561.0</v>
      </c>
      <c r="C282" t="s">
        <v>2043</v>
      </c>
      <c r="D282" t="s">
        <v>1417</v>
      </c>
      <c r="G282">
        <v>0</v>
      </c>
      <c r="H282">
        <v>0</v>
      </c>
      <c r="I282">
        <v>0</v>
      </c>
      <c r="J282">
        <v>0</v>
      </c>
      <c r="K282">
        <v>0</v>
      </c>
      <c r="L282">
        <v>0</v>
      </c>
      <c r="M282">
        <v>0</v>
      </c>
      <c r="N282">
        <v>0</v>
      </c>
      <c r="O282">
        <v>0</v>
      </c>
      <c r="P282">
        <v>0</v>
      </c>
      <c r="Q282">
        <v>0</v>
      </c>
      <c r="R282">
        <v>0</v>
      </c>
      <c r="S282">
        <v>0</v>
      </c>
      <c r="U282" s="175">
        <f t="shared" si="18"/>
        <v>0</v>
      </c>
    </row>
    <row r="283" spans="1:21">
      <c r="A283" s="183" t="str">
        <f t="shared" si="16"/>
        <v>561</v>
      </c>
      <c r="B283" s="183" t="str">
        <f t="shared" si="17"/>
        <v>561.1</v>
      </c>
      <c r="C283" t="s">
        <v>2044</v>
      </c>
      <c r="D283" t="s">
        <v>1419</v>
      </c>
      <c r="G283">
        <v>7898.42</v>
      </c>
      <c r="H283">
        <v>7713.49</v>
      </c>
      <c r="I283">
        <v>5439.17</v>
      </c>
      <c r="J283">
        <v>7542.16</v>
      </c>
      <c r="K283">
        <v>6055.93</v>
      </c>
      <c r="L283">
        <v>6664.94</v>
      </c>
      <c r="M283">
        <v>6153.17</v>
      </c>
      <c r="N283">
        <v>7633.18</v>
      </c>
      <c r="O283">
        <v>6628.58</v>
      </c>
      <c r="P283">
        <v>6134.13</v>
      </c>
      <c r="Q283">
        <v>6560.56</v>
      </c>
      <c r="R283">
        <v>7762.3</v>
      </c>
      <c r="S283">
        <v>8355.2800000000007</v>
      </c>
      <c r="U283" s="175">
        <f t="shared" si="18"/>
        <v>6964.7161538461532</v>
      </c>
    </row>
    <row r="284" spans="1:21">
      <c r="A284" s="183" t="str">
        <f t="shared" si="16"/>
        <v>561</v>
      </c>
      <c r="B284" s="183" t="str">
        <f t="shared" si="17"/>
        <v>561.2</v>
      </c>
      <c r="C284" t="s">
        <v>2045</v>
      </c>
      <c r="D284" t="s">
        <v>1421</v>
      </c>
      <c r="G284">
        <v>150173.9</v>
      </c>
      <c r="H284">
        <v>139020.1</v>
      </c>
      <c r="I284">
        <v>101412.54</v>
      </c>
      <c r="J284">
        <v>132880.75</v>
      </c>
      <c r="K284">
        <v>113144.97</v>
      </c>
      <c r="L284">
        <v>134392.91</v>
      </c>
      <c r="M284">
        <v>113319.56</v>
      </c>
      <c r="N284">
        <v>123041.88</v>
      </c>
      <c r="O284">
        <v>120294.62</v>
      </c>
      <c r="P284">
        <v>107196.07</v>
      </c>
      <c r="Q284">
        <v>131673.88</v>
      </c>
      <c r="R284">
        <v>154637.07999999999</v>
      </c>
      <c r="S284">
        <v>136933.29</v>
      </c>
      <c r="U284" s="175">
        <f t="shared" si="18"/>
        <v>127547.81153846157</v>
      </c>
    </row>
    <row r="285" spans="1:21">
      <c r="A285" s="183" t="str">
        <f t="shared" si="16"/>
        <v>561</v>
      </c>
      <c r="B285" s="183" t="str">
        <f t="shared" si="17"/>
        <v>561.3</v>
      </c>
      <c r="C285" t="s">
        <v>2046</v>
      </c>
      <c r="D285" t="s">
        <v>1423</v>
      </c>
      <c r="G285">
        <v>92068.46</v>
      </c>
      <c r="H285">
        <v>84427.5</v>
      </c>
      <c r="I285">
        <v>69533.990000000005</v>
      </c>
      <c r="J285">
        <v>85617.59</v>
      </c>
      <c r="K285">
        <v>74289.98</v>
      </c>
      <c r="L285">
        <v>82447.73</v>
      </c>
      <c r="M285">
        <v>75405.97</v>
      </c>
      <c r="N285">
        <v>88362.48</v>
      </c>
      <c r="O285">
        <v>83445.100000000006</v>
      </c>
      <c r="P285">
        <v>71978.44</v>
      </c>
      <c r="Q285">
        <v>81008.28</v>
      </c>
      <c r="R285">
        <v>91788.78</v>
      </c>
      <c r="S285">
        <v>81303.87</v>
      </c>
      <c r="U285" s="175">
        <f t="shared" si="18"/>
        <v>81667.551538461528</v>
      </c>
    </row>
    <row r="286" spans="1:21">
      <c r="A286" s="183" t="str">
        <f t="shared" si="16"/>
        <v>561</v>
      </c>
      <c r="B286" s="183" t="str">
        <f t="shared" si="17"/>
        <v>561.4</v>
      </c>
      <c r="C286" t="s">
        <v>2047</v>
      </c>
      <c r="D286" t="s">
        <v>1425</v>
      </c>
      <c r="G286">
        <v>0</v>
      </c>
      <c r="H286">
        <v>0</v>
      </c>
      <c r="I286">
        <v>0</v>
      </c>
      <c r="J286">
        <v>0</v>
      </c>
      <c r="K286">
        <v>0</v>
      </c>
      <c r="L286">
        <v>0</v>
      </c>
      <c r="M286">
        <v>0</v>
      </c>
      <c r="N286">
        <v>0</v>
      </c>
      <c r="O286">
        <v>0</v>
      </c>
      <c r="P286">
        <v>0</v>
      </c>
      <c r="Q286">
        <v>0</v>
      </c>
      <c r="R286">
        <v>0</v>
      </c>
      <c r="S286">
        <v>0</v>
      </c>
      <c r="U286" s="175">
        <f t="shared" si="18"/>
        <v>0</v>
      </c>
    </row>
    <row r="287" spans="1:21">
      <c r="A287" s="183" t="str">
        <f t="shared" si="16"/>
        <v>561</v>
      </c>
      <c r="B287" s="183" t="str">
        <f t="shared" si="17"/>
        <v>561.5</v>
      </c>
      <c r="C287" t="s">
        <v>2048</v>
      </c>
      <c r="D287" t="s">
        <v>1427</v>
      </c>
      <c r="G287">
        <v>0</v>
      </c>
      <c r="H287">
        <v>0</v>
      </c>
      <c r="I287">
        <v>0</v>
      </c>
      <c r="J287">
        <v>0</v>
      </c>
      <c r="K287">
        <v>0</v>
      </c>
      <c r="L287">
        <v>0</v>
      </c>
      <c r="M287">
        <v>0</v>
      </c>
      <c r="N287">
        <v>0</v>
      </c>
      <c r="O287">
        <v>0</v>
      </c>
      <c r="P287">
        <v>0</v>
      </c>
      <c r="Q287">
        <v>0</v>
      </c>
      <c r="R287">
        <v>0</v>
      </c>
      <c r="S287">
        <v>0</v>
      </c>
      <c r="U287" s="175">
        <f t="shared" si="18"/>
        <v>0</v>
      </c>
    </row>
    <row r="288" spans="1:21">
      <c r="A288" s="183" t="str">
        <f t="shared" si="16"/>
        <v>561</v>
      </c>
      <c r="B288" s="183" t="str">
        <f t="shared" si="17"/>
        <v>561.6</v>
      </c>
      <c r="C288" t="s">
        <v>2049</v>
      </c>
      <c r="D288" t="s">
        <v>1429</v>
      </c>
      <c r="G288">
        <v>0</v>
      </c>
      <c r="H288">
        <v>0</v>
      </c>
      <c r="I288">
        <v>0</v>
      </c>
      <c r="J288">
        <v>0</v>
      </c>
      <c r="K288">
        <v>0</v>
      </c>
      <c r="L288">
        <v>0</v>
      </c>
      <c r="M288">
        <v>0</v>
      </c>
      <c r="N288">
        <v>0</v>
      </c>
      <c r="O288">
        <v>0</v>
      </c>
      <c r="P288">
        <v>0</v>
      </c>
      <c r="Q288">
        <v>0</v>
      </c>
      <c r="R288">
        <v>0</v>
      </c>
      <c r="S288">
        <v>0</v>
      </c>
      <c r="U288" s="175">
        <f t="shared" si="18"/>
        <v>0</v>
      </c>
    </row>
    <row r="289" spans="1:21">
      <c r="A289" s="183" t="str">
        <f t="shared" si="16"/>
        <v>561</v>
      </c>
      <c r="B289" s="183" t="str">
        <f t="shared" si="17"/>
        <v>561.7</v>
      </c>
      <c r="C289" t="s">
        <v>2050</v>
      </c>
      <c r="D289" t="s">
        <v>1431</v>
      </c>
      <c r="G289">
        <v>0</v>
      </c>
      <c r="H289">
        <v>0</v>
      </c>
      <c r="I289">
        <v>0</v>
      </c>
      <c r="J289">
        <v>0</v>
      </c>
      <c r="K289">
        <v>0</v>
      </c>
      <c r="L289">
        <v>0</v>
      </c>
      <c r="M289">
        <v>0</v>
      </c>
      <c r="N289">
        <v>0</v>
      </c>
      <c r="O289">
        <v>0</v>
      </c>
      <c r="P289">
        <v>0</v>
      </c>
      <c r="Q289">
        <v>0</v>
      </c>
      <c r="R289">
        <v>0</v>
      </c>
      <c r="S289">
        <v>0</v>
      </c>
      <c r="U289" s="175">
        <f t="shared" si="18"/>
        <v>0</v>
      </c>
    </row>
    <row r="290" spans="1:21">
      <c r="A290" s="183" t="str">
        <f t="shared" si="16"/>
        <v>561</v>
      </c>
      <c r="B290" s="183" t="str">
        <f t="shared" si="17"/>
        <v>561.8</v>
      </c>
      <c r="C290" t="s">
        <v>2051</v>
      </c>
      <c r="D290" t="s">
        <v>1433</v>
      </c>
      <c r="G290">
        <v>0</v>
      </c>
      <c r="H290">
        <v>207873.91</v>
      </c>
      <c r="I290">
        <v>0</v>
      </c>
      <c r="J290">
        <v>207873.91</v>
      </c>
      <c r="K290">
        <v>0</v>
      </c>
      <c r="L290">
        <v>0</v>
      </c>
      <c r="M290">
        <v>207873.91</v>
      </c>
      <c r="N290">
        <v>0</v>
      </c>
      <c r="O290">
        <v>0</v>
      </c>
      <c r="P290">
        <v>207873.91</v>
      </c>
      <c r="Q290">
        <v>0</v>
      </c>
      <c r="R290">
        <v>0</v>
      </c>
      <c r="S290">
        <v>0</v>
      </c>
      <c r="U290" s="175">
        <f t="shared" si="18"/>
        <v>63961.203076923077</v>
      </c>
    </row>
    <row r="291" spans="1:21">
      <c r="A291" s="183" t="str">
        <f t="shared" si="16"/>
        <v>562</v>
      </c>
      <c r="B291" s="183" t="str">
        <f t="shared" si="17"/>
        <v>562.0</v>
      </c>
      <c r="C291" t="s">
        <v>2052</v>
      </c>
      <c r="D291" t="s">
        <v>1435</v>
      </c>
      <c r="G291">
        <v>163612.74</v>
      </c>
      <c r="H291">
        <v>126318.19</v>
      </c>
      <c r="I291">
        <v>102937.49</v>
      </c>
      <c r="J291">
        <v>108490.65</v>
      </c>
      <c r="K291">
        <v>78865.42</v>
      </c>
      <c r="L291">
        <v>117433.59</v>
      </c>
      <c r="M291">
        <v>121772.48</v>
      </c>
      <c r="N291">
        <v>160415.14000000001</v>
      </c>
      <c r="O291">
        <v>139388.87</v>
      </c>
      <c r="P291">
        <v>179314.34</v>
      </c>
      <c r="Q291">
        <v>171200.56</v>
      </c>
      <c r="R291">
        <v>127124.21</v>
      </c>
      <c r="S291">
        <v>181130.12</v>
      </c>
      <c r="U291" s="175">
        <f t="shared" si="18"/>
        <v>136769.52307692307</v>
      </c>
    </row>
    <row r="292" spans="1:21">
      <c r="A292" s="183" t="str">
        <f t="shared" si="16"/>
        <v>563</v>
      </c>
      <c r="B292" s="183" t="str">
        <f t="shared" si="17"/>
        <v>563.0</v>
      </c>
      <c r="C292" t="s">
        <v>2053</v>
      </c>
      <c r="D292" t="s">
        <v>1437</v>
      </c>
      <c r="G292">
        <v>9302.4599999999991</v>
      </c>
      <c r="H292">
        <v>8809.58</v>
      </c>
      <c r="I292">
        <v>4553.92</v>
      </c>
      <c r="J292">
        <v>8004.27</v>
      </c>
      <c r="K292">
        <v>14574.54</v>
      </c>
      <c r="L292">
        <v>15977.75</v>
      </c>
      <c r="M292">
        <v>146876.01</v>
      </c>
      <c r="N292">
        <v>9594.26</v>
      </c>
      <c r="O292">
        <v>33633.769999999997</v>
      </c>
      <c r="P292">
        <v>229455.52</v>
      </c>
      <c r="Q292">
        <v>13451.49</v>
      </c>
      <c r="R292">
        <v>12011.03</v>
      </c>
      <c r="S292">
        <v>16595.77</v>
      </c>
      <c r="U292" s="175">
        <f t="shared" si="18"/>
        <v>40218.490000000005</v>
      </c>
    </row>
    <row r="293" spans="1:21">
      <c r="A293" s="183" t="str">
        <f t="shared" si="16"/>
        <v>564</v>
      </c>
      <c r="B293" s="183" t="str">
        <f t="shared" si="17"/>
        <v>564.0</v>
      </c>
      <c r="C293" t="s">
        <v>2054</v>
      </c>
      <c r="D293" t="s">
        <v>1439</v>
      </c>
      <c r="G293">
        <v>0</v>
      </c>
      <c r="H293">
        <v>0</v>
      </c>
      <c r="I293">
        <v>0</v>
      </c>
      <c r="J293">
        <v>0</v>
      </c>
      <c r="K293">
        <v>0</v>
      </c>
      <c r="L293">
        <v>0</v>
      </c>
      <c r="M293">
        <v>0</v>
      </c>
      <c r="N293">
        <v>0</v>
      </c>
      <c r="O293">
        <v>0</v>
      </c>
      <c r="P293">
        <v>0</v>
      </c>
      <c r="Q293">
        <v>0</v>
      </c>
      <c r="R293">
        <v>0</v>
      </c>
      <c r="S293">
        <v>0</v>
      </c>
      <c r="U293" s="175">
        <f t="shared" si="18"/>
        <v>0</v>
      </c>
    </row>
    <row r="294" spans="1:21">
      <c r="A294" s="183" t="str">
        <f t="shared" si="16"/>
        <v>565</v>
      </c>
      <c r="B294" s="183" t="str">
        <f t="shared" si="17"/>
        <v>565.0</v>
      </c>
      <c r="C294" t="s">
        <v>2055</v>
      </c>
      <c r="D294" t="s">
        <v>1441</v>
      </c>
      <c r="G294">
        <v>0</v>
      </c>
      <c r="H294">
        <v>0</v>
      </c>
      <c r="I294">
        <v>0</v>
      </c>
      <c r="J294">
        <v>0</v>
      </c>
      <c r="K294">
        <v>0</v>
      </c>
      <c r="L294">
        <v>0</v>
      </c>
      <c r="M294">
        <v>0</v>
      </c>
      <c r="N294">
        <v>0</v>
      </c>
      <c r="O294">
        <v>0</v>
      </c>
      <c r="P294">
        <v>0</v>
      </c>
      <c r="Q294">
        <v>0</v>
      </c>
      <c r="R294">
        <v>0</v>
      </c>
      <c r="S294">
        <v>0</v>
      </c>
      <c r="U294" s="175">
        <f t="shared" si="18"/>
        <v>0</v>
      </c>
    </row>
    <row r="295" spans="1:21">
      <c r="A295" s="183" t="str">
        <f t="shared" si="16"/>
        <v>566</v>
      </c>
      <c r="B295" s="183" t="str">
        <f t="shared" si="17"/>
        <v>566.0</v>
      </c>
      <c r="C295" t="s">
        <v>2056</v>
      </c>
      <c r="D295" t="s">
        <v>1443</v>
      </c>
      <c r="G295">
        <v>102219.64</v>
      </c>
      <c r="H295">
        <v>103851.27</v>
      </c>
      <c r="I295">
        <v>102942.68</v>
      </c>
      <c r="J295">
        <v>150689.69</v>
      </c>
      <c r="K295">
        <v>303454.34000000003</v>
      </c>
      <c r="L295">
        <v>349036.83</v>
      </c>
      <c r="M295">
        <v>-99971.86</v>
      </c>
      <c r="N295">
        <v>116004.1</v>
      </c>
      <c r="O295">
        <v>123036.87</v>
      </c>
      <c r="P295">
        <v>296630.49</v>
      </c>
      <c r="Q295">
        <v>126291.18</v>
      </c>
      <c r="R295">
        <v>119145.44</v>
      </c>
      <c r="S295">
        <v>282308.78999999998</v>
      </c>
      <c r="U295" s="175">
        <f t="shared" si="18"/>
        <v>159664.57384615386</v>
      </c>
    </row>
    <row r="296" spans="1:21">
      <c r="A296" s="183" t="str">
        <f t="shared" si="16"/>
        <v>567</v>
      </c>
      <c r="B296" s="183" t="str">
        <f t="shared" si="17"/>
        <v>567.0</v>
      </c>
      <c r="C296" t="s">
        <v>2057</v>
      </c>
      <c r="D296" t="s">
        <v>1445</v>
      </c>
      <c r="G296">
        <v>0</v>
      </c>
      <c r="H296">
        <v>0</v>
      </c>
      <c r="I296">
        <v>0</v>
      </c>
      <c r="J296">
        <v>0</v>
      </c>
      <c r="K296">
        <v>0</v>
      </c>
      <c r="L296">
        <v>2308.92</v>
      </c>
      <c r="M296">
        <v>0</v>
      </c>
      <c r="N296">
        <v>19204</v>
      </c>
      <c r="O296">
        <v>0</v>
      </c>
      <c r="P296">
        <v>0</v>
      </c>
      <c r="Q296">
        <v>0</v>
      </c>
      <c r="R296">
        <v>0</v>
      </c>
      <c r="S296">
        <v>0</v>
      </c>
      <c r="U296" s="175">
        <f t="shared" si="18"/>
        <v>1654.84</v>
      </c>
    </row>
    <row r="297" spans="1:21">
      <c r="A297" s="183" t="str">
        <f t="shared" si="16"/>
        <v>568</v>
      </c>
      <c r="B297" s="183" t="str">
        <f t="shared" si="17"/>
        <v>568.0</v>
      </c>
      <c r="C297" t="s">
        <v>2058</v>
      </c>
      <c r="D297" t="s">
        <v>1447</v>
      </c>
      <c r="G297">
        <v>0</v>
      </c>
      <c r="H297">
        <v>0</v>
      </c>
      <c r="I297">
        <v>0</v>
      </c>
      <c r="J297">
        <v>0</v>
      </c>
      <c r="K297">
        <v>0</v>
      </c>
      <c r="L297">
        <v>0</v>
      </c>
      <c r="M297">
        <v>0</v>
      </c>
      <c r="N297">
        <v>0</v>
      </c>
      <c r="O297">
        <v>0</v>
      </c>
      <c r="P297">
        <v>0</v>
      </c>
      <c r="Q297">
        <v>0</v>
      </c>
      <c r="R297">
        <v>0</v>
      </c>
      <c r="S297">
        <v>0</v>
      </c>
      <c r="U297" s="175">
        <f t="shared" si="18"/>
        <v>0</v>
      </c>
    </row>
    <row r="298" spans="1:21">
      <c r="A298" s="183" t="str">
        <f t="shared" si="16"/>
        <v>569</v>
      </c>
      <c r="B298" s="183" t="str">
        <f t="shared" si="17"/>
        <v>569.0</v>
      </c>
      <c r="C298" t="s">
        <v>2059</v>
      </c>
      <c r="D298" t="s">
        <v>1449</v>
      </c>
      <c r="G298">
        <v>-217817.38</v>
      </c>
      <c r="H298">
        <v>427.39</v>
      </c>
      <c r="I298">
        <v>200.47</v>
      </c>
      <c r="J298">
        <v>200.47</v>
      </c>
      <c r="K298">
        <v>221.39</v>
      </c>
      <c r="L298">
        <v>221.39</v>
      </c>
      <c r="M298">
        <v>162.22</v>
      </c>
      <c r="N298">
        <v>280.56</v>
      </c>
      <c r="O298">
        <v>221.39</v>
      </c>
      <c r="P298">
        <v>226778.93</v>
      </c>
      <c r="Q298">
        <v>-226336.15</v>
      </c>
      <c r="R298">
        <v>221.39</v>
      </c>
      <c r="S298">
        <v>161.86000000000001</v>
      </c>
      <c r="U298" s="175">
        <f t="shared" si="18"/>
        <v>-16542.774615384613</v>
      </c>
    </row>
    <row r="299" spans="1:21">
      <c r="A299" s="183" t="str">
        <f t="shared" si="16"/>
        <v>569</v>
      </c>
      <c r="B299" s="183" t="str">
        <f t="shared" si="17"/>
        <v>569.1</v>
      </c>
      <c r="C299" t="s">
        <v>2060</v>
      </c>
      <c r="D299" t="s">
        <v>1451</v>
      </c>
      <c r="G299">
        <v>0</v>
      </c>
      <c r="H299">
        <v>0</v>
      </c>
      <c r="I299">
        <v>0</v>
      </c>
      <c r="J299">
        <v>0</v>
      </c>
      <c r="K299">
        <v>0</v>
      </c>
      <c r="L299">
        <v>0</v>
      </c>
      <c r="M299">
        <v>0</v>
      </c>
      <c r="N299">
        <v>0</v>
      </c>
      <c r="O299">
        <v>0</v>
      </c>
      <c r="P299">
        <v>0</v>
      </c>
      <c r="Q299">
        <v>0</v>
      </c>
      <c r="R299">
        <v>0</v>
      </c>
      <c r="S299">
        <v>0</v>
      </c>
      <c r="U299" s="175">
        <f t="shared" si="18"/>
        <v>0</v>
      </c>
    </row>
    <row r="300" spans="1:21">
      <c r="A300" s="183" t="str">
        <f t="shared" si="16"/>
        <v>569</v>
      </c>
      <c r="B300" s="183" t="str">
        <f t="shared" si="17"/>
        <v>569.2</v>
      </c>
      <c r="C300" t="s">
        <v>2061</v>
      </c>
      <c r="D300" t="s">
        <v>1453</v>
      </c>
      <c r="G300">
        <v>390009.2</v>
      </c>
      <c r="H300">
        <v>73951.05</v>
      </c>
      <c r="I300">
        <v>-87497.17</v>
      </c>
      <c r="J300">
        <v>69439.12</v>
      </c>
      <c r="K300">
        <v>310132.92</v>
      </c>
      <c r="L300">
        <v>132854.88</v>
      </c>
      <c r="M300">
        <v>128639.82</v>
      </c>
      <c r="N300">
        <v>127467.35</v>
      </c>
      <c r="O300">
        <v>167702.37</v>
      </c>
      <c r="P300">
        <v>124780.58</v>
      </c>
      <c r="Q300">
        <v>156366.97</v>
      </c>
      <c r="R300">
        <v>136127.39000000001</v>
      </c>
      <c r="S300">
        <v>213989.14</v>
      </c>
      <c r="U300" s="175">
        <f t="shared" si="18"/>
        <v>149535.66307692308</v>
      </c>
    </row>
    <row r="301" spans="1:21">
      <c r="A301" s="183" t="str">
        <f t="shared" si="16"/>
        <v>569</v>
      </c>
      <c r="B301" s="183" t="str">
        <f t="shared" si="17"/>
        <v>569.3</v>
      </c>
      <c r="C301" t="s">
        <v>2062</v>
      </c>
      <c r="D301" t="s">
        <v>1455</v>
      </c>
      <c r="G301">
        <v>25393.79</v>
      </c>
      <c r="H301">
        <v>61173.05</v>
      </c>
      <c r="I301">
        <v>28088.240000000002</v>
      </c>
      <c r="J301">
        <v>33477.230000000003</v>
      </c>
      <c r="K301">
        <v>13078.64</v>
      </c>
      <c r="L301">
        <v>25288.79</v>
      </c>
      <c r="M301">
        <v>20576.53</v>
      </c>
      <c r="N301">
        <v>19614.89</v>
      </c>
      <c r="O301">
        <v>17270.79</v>
      </c>
      <c r="P301">
        <v>21046.240000000002</v>
      </c>
      <c r="Q301">
        <v>43972.800000000003</v>
      </c>
      <c r="R301">
        <v>19402.57</v>
      </c>
      <c r="S301">
        <v>12754.16</v>
      </c>
      <c r="U301" s="175">
        <f t="shared" si="18"/>
        <v>26241.36307692308</v>
      </c>
    </row>
    <row r="302" spans="1:21">
      <c r="A302" s="183" t="str">
        <f t="shared" si="16"/>
        <v>569</v>
      </c>
      <c r="B302" s="183" t="str">
        <f t="shared" si="17"/>
        <v>569.4</v>
      </c>
      <c r="C302" t="s">
        <v>2063</v>
      </c>
      <c r="D302" t="s">
        <v>1457</v>
      </c>
      <c r="G302">
        <v>0</v>
      </c>
      <c r="H302">
        <v>0</v>
      </c>
      <c r="I302">
        <v>0</v>
      </c>
      <c r="J302">
        <v>0</v>
      </c>
      <c r="K302">
        <v>0</v>
      </c>
      <c r="L302">
        <v>0</v>
      </c>
      <c r="M302">
        <v>0</v>
      </c>
      <c r="N302">
        <v>0</v>
      </c>
      <c r="O302">
        <v>0</v>
      </c>
      <c r="P302">
        <v>0</v>
      </c>
      <c r="Q302">
        <v>0</v>
      </c>
      <c r="R302">
        <v>0</v>
      </c>
      <c r="S302">
        <v>0</v>
      </c>
      <c r="U302" s="175">
        <f t="shared" si="18"/>
        <v>0</v>
      </c>
    </row>
    <row r="303" spans="1:21">
      <c r="A303" s="183" t="str">
        <f t="shared" si="16"/>
        <v>570</v>
      </c>
      <c r="B303" s="183" t="str">
        <f t="shared" si="17"/>
        <v>570.0</v>
      </c>
      <c r="C303" t="s">
        <v>2064</v>
      </c>
      <c r="D303" t="s">
        <v>1459</v>
      </c>
      <c r="G303">
        <v>57459.16</v>
      </c>
      <c r="H303">
        <v>87702.65</v>
      </c>
      <c r="I303">
        <v>86625.64</v>
      </c>
      <c r="J303">
        <v>149050.51999999999</v>
      </c>
      <c r="K303">
        <v>89491.51</v>
      </c>
      <c r="L303">
        <v>122991.46</v>
      </c>
      <c r="M303">
        <v>97776.74</v>
      </c>
      <c r="N303">
        <v>94482.37</v>
      </c>
      <c r="O303">
        <v>96676.18</v>
      </c>
      <c r="P303">
        <v>78905.69</v>
      </c>
      <c r="Q303">
        <v>113285.34</v>
      </c>
      <c r="R303">
        <v>143700</v>
      </c>
      <c r="S303">
        <v>60330.1</v>
      </c>
      <c r="U303" s="175">
        <f t="shared" si="18"/>
        <v>98344.412307692313</v>
      </c>
    </row>
    <row r="304" spans="1:21">
      <c r="A304" s="183" t="str">
        <f t="shared" si="16"/>
        <v>571</v>
      </c>
      <c r="B304" s="183" t="str">
        <f t="shared" si="17"/>
        <v>571.0</v>
      </c>
      <c r="C304" t="s">
        <v>2065</v>
      </c>
      <c r="D304" t="s">
        <v>1461</v>
      </c>
      <c r="G304">
        <v>2371120.54</v>
      </c>
      <c r="H304">
        <v>392978.71</v>
      </c>
      <c r="I304">
        <v>631999.18000000005</v>
      </c>
      <c r="J304">
        <v>737911.06</v>
      </c>
      <c r="K304">
        <v>359384.31</v>
      </c>
      <c r="L304">
        <v>274945.19</v>
      </c>
      <c r="M304">
        <v>299780.55</v>
      </c>
      <c r="N304">
        <v>627111.61</v>
      </c>
      <c r="O304">
        <v>910107.54</v>
      </c>
      <c r="P304">
        <v>542758.1</v>
      </c>
      <c r="Q304">
        <v>567589.30000000005</v>
      </c>
      <c r="R304">
        <v>559745.96</v>
      </c>
      <c r="S304">
        <v>338161.65</v>
      </c>
      <c r="U304" s="175">
        <f t="shared" si="18"/>
        <v>662584.13076923066</v>
      </c>
    </row>
    <row r="305" spans="1:21">
      <c r="A305" s="183" t="str">
        <f t="shared" si="16"/>
        <v>572</v>
      </c>
      <c r="B305" s="183" t="str">
        <f t="shared" si="17"/>
        <v>572.0</v>
      </c>
      <c r="C305" t="s">
        <v>2066</v>
      </c>
      <c r="D305" t="s">
        <v>1463</v>
      </c>
      <c r="G305">
        <v>0</v>
      </c>
      <c r="H305">
        <v>0</v>
      </c>
      <c r="I305">
        <v>0</v>
      </c>
      <c r="J305">
        <v>0</v>
      </c>
      <c r="K305">
        <v>0</v>
      </c>
      <c r="L305">
        <v>0</v>
      </c>
      <c r="M305">
        <v>0</v>
      </c>
      <c r="N305">
        <v>0</v>
      </c>
      <c r="O305">
        <v>0</v>
      </c>
      <c r="P305">
        <v>0</v>
      </c>
      <c r="Q305">
        <v>0</v>
      </c>
      <c r="R305">
        <v>0</v>
      </c>
      <c r="S305">
        <v>0</v>
      </c>
      <c r="U305" s="175">
        <f t="shared" si="18"/>
        <v>0</v>
      </c>
    </row>
    <row r="306" spans="1:21">
      <c r="A306" s="183" t="str">
        <f t="shared" si="16"/>
        <v>573</v>
      </c>
      <c r="B306" s="183" t="str">
        <f t="shared" si="17"/>
        <v>573.0</v>
      </c>
      <c r="C306" t="s">
        <v>2067</v>
      </c>
      <c r="D306" t="s">
        <v>1465</v>
      </c>
      <c r="G306">
        <v>0</v>
      </c>
      <c r="H306">
        <v>0</v>
      </c>
      <c r="I306">
        <v>0</v>
      </c>
      <c r="J306">
        <v>0</v>
      </c>
      <c r="K306">
        <v>0</v>
      </c>
      <c r="L306">
        <v>0</v>
      </c>
      <c r="M306">
        <v>0</v>
      </c>
      <c r="N306">
        <v>0</v>
      </c>
      <c r="O306">
        <v>0</v>
      </c>
      <c r="P306">
        <v>0</v>
      </c>
      <c r="Q306">
        <v>0</v>
      </c>
      <c r="R306">
        <v>0</v>
      </c>
      <c r="S306">
        <v>0</v>
      </c>
      <c r="U306" s="175">
        <f t="shared" si="18"/>
        <v>0</v>
      </c>
    </row>
    <row r="307" spans="1:21">
      <c r="A307" s="183" t="str">
        <f t="shared" si="16"/>
        <v>575</v>
      </c>
      <c r="B307" s="183" t="str">
        <f t="shared" si="17"/>
        <v>575.1</v>
      </c>
      <c r="C307" t="s">
        <v>2068</v>
      </c>
      <c r="D307" t="s">
        <v>1467</v>
      </c>
      <c r="G307">
        <v>0</v>
      </c>
      <c r="H307">
        <v>0</v>
      </c>
      <c r="I307">
        <v>0</v>
      </c>
      <c r="J307">
        <v>0</v>
      </c>
      <c r="K307">
        <v>0</v>
      </c>
      <c r="L307">
        <v>0</v>
      </c>
      <c r="M307">
        <v>0</v>
      </c>
      <c r="N307">
        <v>0</v>
      </c>
      <c r="O307">
        <v>0</v>
      </c>
      <c r="P307">
        <v>0</v>
      </c>
      <c r="Q307">
        <v>0</v>
      </c>
      <c r="R307">
        <v>0</v>
      </c>
      <c r="S307">
        <v>0</v>
      </c>
      <c r="U307" s="175">
        <f t="shared" si="18"/>
        <v>0</v>
      </c>
    </row>
    <row r="308" spans="1:21">
      <c r="A308" s="183" t="str">
        <f t="shared" si="16"/>
        <v>575</v>
      </c>
      <c r="B308" s="183" t="str">
        <f t="shared" si="17"/>
        <v>575.2</v>
      </c>
      <c r="C308" t="s">
        <v>2069</v>
      </c>
      <c r="D308" t="s">
        <v>1469</v>
      </c>
      <c r="G308">
        <v>0</v>
      </c>
      <c r="H308">
        <v>0</v>
      </c>
      <c r="I308">
        <v>0</v>
      </c>
      <c r="J308">
        <v>0</v>
      </c>
      <c r="K308">
        <v>0</v>
      </c>
      <c r="L308">
        <v>0</v>
      </c>
      <c r="M308">
        <v>0</v>
      </c>
      <c r="N308">
        <v>0</v>
      </c>
      <c r="O308">
        <v>0</v>
      </c>
      <c r="P308">
        <v>0</v>
      </c>
      <c r="Q308">
        <v>0</v>
      </c>
      <c r="R308">
        <v>0</v>
      </c>
      <c r="S308">
        <v>0</v>
      </c>
      <c r="U308" s="175">
        <f t="shared" si="18"/>
        <v>0</v>
      </c>
    </row>
    <row r="309" spans="1:21">
      <c r="A309" s="183" t="str">
        <f t="shared" si="16"/>
        <v>575</v>
      </c>
      <c r="B309" s="183" t="str">
        <f t="shared" si="17"/>
        <v>575.3</v>
      </c>
      <c r="C309" t="s">
        <v>2070</v>
      </c>
      <c r="D309" t="s">
        <v>1471</v>
      </c>
      <c r="G309">
        <v>0</v>
      </c>
      <c r="H309">
        <v>0</v>
      </c>
      <c r="I309">
        <v>0</v>
      </c>
      <c r="J309">
        <v>0</v>
      </c>
      <c r="K309">
        <v>0</v>
      </c>
      <c r="L309">
        <v>0</v>
      </c>
      <c r="M309">
        <v>0</v>
      </c>
      <c r="N309">
        <v>0</v>
      </c>
      <c r="O309">
        <v>0</v>
      </c>
      <c r="P309">
        <v>0</v>
      </c>
      <c r="Q309">
        <v>0</v>
      </c>
      <c r="R309">
        <v>0</v>
      </c>
      <c r="S309">
        <v>0</v>
      </c>
      <c r="U309" s="175">
        <f t="shared" si="18"/>
        <v>0</v>
      </c>
    </row>
    <row r="310" spans="1:21">
      <c r="A310" s="183" t="str">
        <f t="shared" si="16"/>
        <v>575</v>
      </c>
      <c r="B310" s="183" t="str">
        <f t="shared" si="17"/>
        <v>575.4</v>
      </c>
      <c r="C310" t="s">
        <v>2071</v>
      </c>
      <c r="D310" t="s">
        <v>1473</v>
      </c>
      <c r="G310">
        <v>0</v>
      </c>
      <c r="H310">
        <v>0</v>
      </c>
      <c r="I310">
        <v>0</v>
      </c>
      <c r="J310">
        <v>0</v>
      </c>
      <c r="K310">
        <v>0</v>
      </c>
      <c r="L310">
        <v>0</v>
      </c>
      <c r="M310">
        <v>0</v>
      </c>
      <c r="N310">
        <v>0</v>
      </c>
      <c r="O310">
        <v>0</v>
      </c>
      <c r="P310">
        <v>0</v>
      </c>
      <c r="Q310">
        <v>0</v>
      </c>
      <c r="R310">
        <v>0</v>
      </c>
      <c r="S310">
        <v>0</v>
      </c>
      <c r="U310" s="175">
        <f t="shared" si="18"/>
        <v>0</v>
      </c>
    </row>
    <row r="311" spans="1:21">
      <c r="A311" s="183" t="str">
        <f t="shared" si="16"/>
        <v>575</v>
      </c>
      <c r="B311" s="183" t="str">
        <f t="shared" si="17"/>
        <v>575.5</v>
      </c>
      <c r="C311" t="s">
        <v>2072</v>
      </c>
      <c r="D311" t="s">
        <v>1475</v>
      </c>
      <c r="G311">
        <v>0</v>
      </c>
      <c r="H311">
        <v>0</v>
      </c>
      <c r="I311">
        <v>0</v>
      </c>
      <c r="J311">
        <v>0</v>
      </c>
      <c r="K311">
        <v>0</v>
      </c>
      <c r="L311">
        <v>0</v>
      </c>
      <c r="M311">
        <v>0</v>
      </c>
      <c r="N311">
        <v>0</v>
      </c>
      <c r="O311">
        <v>0</v>
      </c>
      <c r="P311">
        <v>0</v>
      </c>
      <c r="Q311">
        <v>0</v>
      </c>
      <c r="R311">
        <v>0</v>
      </c>
      <c r="S311">
        <v>0</v>
      </c>
      <c r="U311" s="175">
        <f t="shared" si="18"/>
        <v>0</v>
      </c>
    </row>
    <row r="312" spans="1:21">
      <c r="A312" s="183" t="str">
        <f t="shared" si="16"/>
        <v>575</v>
      </c>
      <c r="B312" s="183" t="str">
        <f t="shared" si="17"/>
        <v>575.6</v>
      </c>
      <c r="C312" t="s">
        <v>2073</v>
      </c>
      <c r="D312" t="s">
        <v>1477</v>
      </c>
      <c r="G312">
        <v>0</v>
      </c>
      <c r="H312">
        <v>0</v>
      </c>
      <c r="I312">
        <v>0</v>
      </c>
      <c r="J312">
        <v>0</v>
      </c>
      <c r="K312">
        <v>0</v>
      </c>
      <c r="L312">
        <v>0</v>
      </c>
      <c r="M312">
        <v>0</v>
      </c>
      <c r="N312">
        <v>0</v>
      </c>
      <c r="O312">
        <v>0</v>
      </c>
      <c r="P312">
        <v>0</v>
      </c>
      <c r="Q312">
        <v>0</v>
      </c>
      <c r="R312">
        <v>0</v>
      </c>
      <c r="S312">
        <v>0</v>
      </c>
      <c r="U312" s="175">
        <f t="shared" si="18"/>
        <v>0</v>
      </c>
    </row>
    <row r="313" spans="1:21">
      <c r="A313" s="183" t="str">
        <f t="shared" si="16"/>
        <v>575</v>
      </c>
      <c r="B313" s="183" t="str">
        <f t="shared" si="17"/>
        <v>575.7</v>
      </c>
      <c r="C313" t="s">
        <v>2074</v>
      </c>
      <c r="D313" t="s">
        <v>1479</v>
      </c>
      <c r="G313">
        <v>0</v>
      </c>
      <c r="H313">
        <v>0</v>
      </c>
      <c r="I313">
        <v>0</v>
      </c>
      <c r="J313">
        <v>0</v>
      </c>
      <c r="K313">
        <v>0</v>
      </c>
      <c r="L313">
        <v>0</v>
      </c>
      <c r="M313">
        <v>0</v>
      </c>
      <c r="N313">
        <v>0</v>
      </c>
      <c r="O313">
        <v>0</v>
      </c>
      <c r="P313">
        <v>0</v>
      </c>
      <c r="Q313">
        <v>0</v>
      </c>
      <c r="R313">
        <v>0</v>
      </c>
      <c r="S313">
        <v>0</v>
      </c>
      <c r="U313" s="175">
        <f t="shared" si="18"/>
        <v>0</v>
      </c>
    </row>
    <row r="314" spans="1:21">
      <c r="A314" s="183" t="str">
        <f t="shared" si="16"/>
        <v>575</v>
      </c>
      <c r="B314" s="183" t="str">
        <f t="shared" si="17"/>
        <v>575.8</v>
      </c>
      <c r="C314" t="s">
        <v>2075</v>
      </c>
      <c r="D314" t="s">
        <v>1481</v>
      </c>
      <c r="G314">
        <v>0</v>
      </c>
      <c r="H314">
        <v>0</v>
      </c>
      <c r="I314">
        <v>0</v>
      </c>
      <c r="J314">
        <v>0</v>
      </c>
      <c r="K314">
        <v>0</v>
      </c>
      <c r="L314">
        <v>0</v>
      </c>
      <c r="M314">
        <v>0</v>
      </c>
      <c r="N314">
        <v>0</v>
      </c>
      <c r="O314">
        <v>0</v>
      </c>
      <c r="P314">
        <v>0</v>
      </c>
      <c r="Q314">
        <v>0</v>
      </c>
      <c r="R314">
        <v>0</v>
      </c>
      <c r="S314">
        <v>0</v>
      </c>
      <c r="U314" s="175">
        <f t="shared" si="18"/>
        <v>0</v>
      </c>
    </row>
    <row r="315" spans="1:21">
      <c r="A315" s="183" t="str">
        <f t="shared" si="16"/>
        <v>576</v>
      </c>
      <c r="B315" s="183" t="str">
        <f t="shared" si="17"/>
        <v>576.1</v>
      </c>
      <c r="C315" t="s">
        <v>2076</v>
      </c>
      <c r="D315" t="s">
        <v>1483</v>
      </c>
      <c r="G315">
        <v>0</v>
      </c>
      <c r="H315">
        <v>0</v>
      </c>
      <c r="I315">
        <v>0</v>
      </c>
      <c r="J315">
        <v>0</v>
      </c>
      <c r="K315">
        <v>0</v>
      </c>
      <c r="L315">
        <v>0</v>
      </c>
      <c r="M315">
        <v>0</v>
      </c>
      <c r="N315">
        <v>0</v>
      </c>
      <c r="O315">
        <v>0</v>
      </c>
      <c r="P315">
        <v>0</v>
      </c>
      <c r="Q315">
        <v>0</v>
      </c>
      <c r="R315">
        <v>0</v>
      </c>
      <c r="S315">
        <v>0</v>
      </c>
      <c r="U315" s="175">
        <f t="shared" si="18"/>
        <v>0</v>
      </c>
    </row>
    <row r="316" spans="1:21">
      <c r="A316" s="183" t="str">
        <f t="shared" si="16"/>
        <v>576</v>
      </c>
      <c r="B316" s="183" t="str">
        <f t="shared" si="17"/>
        <v>576.2</v>
      </c>
      <c r="C316" t="s">
        <v>2077</v>
      </c>
      <c r="D316" t="s">
        <v>1485</v>
      </c>
      <c r="G316">
        <v>0</v>
      </c>
      <c r="H316">
        <v>0</v>
      </c>
      <c r="I316">
        <v>0</v>
      </c>
      <c r="J316">
        <v>0</v>
      </c>
      <c r="K316">
        <v>0</v>
      </c>
      <c r="L316">
        <v>0</v>
      </c>
      <c r="M316">
        <v>0</v>
      </c>
      <c r="N316">
        <v>0</v>
      </c>
      <c r="O316">
        <v>0</v>
      </c>
      <c r="P316">
        <v>0</v>
      </c>
      <c r="Q316">
        <v>0</v>
      </c>
      <c r="R316">
        <v>0</v>
      </c>
      <c r="S316">
        <v>0</v>
      </c>
      <c r="U316" s="175">
        <f t="shared" si="18"/>
        <v>0</v>
      </c>
    </row>
    <row r="317" spans="1:21">
      <c r="A317" s="183" t="str">
        <f t="shared" si="16"/>
        <v>576</v>
      </c>
      <c r="B317" s="183" t="str">
        <f t="shared" si="17"/>
        <v>576.3</v>
      </c>
      <c r="C317" t="s">
        <v>2078</v>
      </c>
      <c r="D317" t="s">
        <v>1487</v>
      </c>
      <c r="G317">
        <v>0</v>
      </c>
      <c r="H317">
        <v>0</v>
      </c>
      <c r="I317">
        <v>0</v>
      </c>
      <c r="J317">
        <v>0</v>
      </c>
      <c r="K317">
        <v>0</v>
      </c>
      <c r="L317">
        <v>0</v>
      </c>
      <c r="M317">
        <v>0</v>
      </c>
      <c r="N317">
        <v>0</v>
      </c>
      <c r="O317">
        <v>0</v>
      </c>
      <c r="P317">
        <v>0</v>
      </c>
      <c r="Q317">
        <v>0</v>
      </c>
      <c r="R317">
        <v>0</v>
      </c>
      <c r="S317">
        <v>0</v>
      </c>
      <c r="U317" s="175">
        <f t="shared" si="18"/>
        <v>0</v>
      </c>
    </row>
    <row r="318" spans="1:21">
      <c r="A318" s="183" t="str">
        <f t="shared" si="16"/>
        <v>576</v>
      </c>
      <c r="B318" s="183" t="str">
        <f t="shared" si="17"/>
        <v>576.4</v>
      </c>
      <c r="C318" t="s">
        <v>2079</v>
      </c>
      <c r="D318" t="s">
        <v>1489</v>
      </c>
      <c r="G318">
        <v>0</v>
      </c>
      <c r="H318">
        <v>0</v>
      </c>
      <c r="I318">
        <v>0</v>
      </c>
      <c r="J318">
        <v>0</v>
      </c>
      <c r="K318">
        <v>0</v>
      </c>
      <c r="L318">
        <v>0</v>
      </c>
      <c r="M318">
        <v>0</v>
      </c>
      <c r="N318">
        <v>0</v>
      </c>
      <c r="O318">
        <v>0</v>
      </c>
      <c r="P318">
        <v>0</v>
      </c>
      <c r="Q318">
        <v>0</v>
      </c>
      <c r="R318">
        <v>0</v>
      </c>
      <c r="S318">
        <v>0</v>
      </c>
      <c r="U318" s="175">
        <f t="shared" si="18"/>
        <v>0</v>
      </c>
    </row>
    <row r="319" spans="1:21">
      <c r="A319" s="183" t="str">
        <f t="shared" si="16"/>
        <v>576</v>
      </c>
      <c r="B319" s="183" t="str">
        <f t="shared" si="17"/>
        <v>576.5</v>
      </c>
      <c r="C319" t="s">
        <v>2080</v>
      </c>
      <c r="D319" t="s">
        <v>1491</v>
      </c>
      <c r="G319">
        <v>0</v>
      </c>
      <c r="H319">
        <v>0</v>
      </c>
      <c r="I319">
        <v>0</v>
      </c>
      <c r="J319">
        <v>0</v>
      </c>
      <c r="K319">
        <v>0</v>
      </c>
      <c r="L319">
        <v>0</v>
      </c>
      <c r="M319">
        <v>0</v>
      </c>
      <c r="N319">
        <v>0</v>
      </c>
      <c r="O319">
        <v>0</v>
      </c>
      <c r="P319">
        <v>0</v>
      </c>
      <c r="Q319">
        <v>0</v>
      </c>
      <c r="R319">
        <v>0</v>
      </c>
      <c r="S319">
        <v>0</v>
      </c>
      <c r="U319" s="175">
        <f t="shared" si="18"/>
        <v>0</v>
      </c>
    </row>
    <row r="320" spans="1:21">
      <c r="A320" s="183" t="str">
        <f t="shared" si="16"/>
        <v>580</v>
      </c>
      <c r="B320" s="183" t="str">
        <f t="shared" si="17"/>
        <v>580.0</v>
      </c>
      <c r="C320" t="s">
        <v>2081</v>
      </c>
      <c r="D320" t="s">
        <v>1493</v>
      </c>
      <c r="G320">
        <v>41555.949999999997</v>
      </c>
      <c r="H320">
        <v>81399.41</v>
      </c>
      <c r="I320">
        <v>675520.51</v>
      </c>
      <c r="J320">
        <v>738047.45</v>
      </c>
      <c r="K320">
        <v>-686258.58</v>
      </c>
      <c r="L320">
        <v>-165039.45000000001</v>
      </c>
      <c r="M320">
        <v>99735.99</v>
      </c>
      <c r="N320">
        <v>34271.480000000003</v>
      </c>
      <c r="O320">
        <v>161409.09</v>
      </c>
      <c r="P320">
        <v>86526.23</v>
      </c>
      <c r="Q320">
        <v>132179.63</v>
      </c>
      <c r="R320">
        <v>233987.89</v>
      </c>
      <c r="S320">
        <v>136833.47</v>
      </c>
      <c r="U320" s="175">
        <f t="shared" si="18"/>
        <v>120782.23615384616</v>
      </c>
    </row>
    <row r="321" spans="1:21">
      <c r="A321" s="183" t="str">
        <f t="shared" si="16"/>
        <v>581</v>
      </c>
      <c r="B321" s="183" t="str">
        <f t="shared" si="17"/>
        <v>581.0</v>
      </c>
      <c r="C321" t="s">
        <v>2082</v>
      </c>
      <c r="D321" t="s">
        <v>1495</v>
      </c>
      <c r="G321">
        <v>111004.74</v>
      </c>
      <c r="H321">
        <v>137968.76999999999</v>
      </c>
      <c r="I321">
        <v>103360.91</v>
      </c>
      <c r="J321">
        <v>33184.07</v>
      </c>
      <c r="K321">
        <v>112969.94</v>
      </c>
      <c r="L321">
        <v>65662.81</v>
      </c>
      <c r="M321">
        <v>120468.83</v>
      </c>
      <c r="N321">
        <v>110950.21</v>
      </c>
      <c r="O321">
        <v>78530.55</v>
      </c>
      <c r="P321">
        <v>59271.75</v>
      </c>
      <c r="Q321">
        <v>77840.84</v>
      </c>
      <c r="R321">
        <v>25395.5</v>
      </c>
      <c r="S321">
        <v>113063.84</v>
      </c>
      <c r="U321" s="175">
        <f t="shared" si="18"/>
        <v>88436.36615384616</v>
      </c>
    </row>
    <row r="322" spans="1:21">
      <c r="A322" s="183" t="str">
        <f t="shared" si="16"/>
        <v>581</v>
      </c>
      <c r="B322" s="183" t="str">
        <f t="shared" si="17"/>
        <v>581.1</v>
      </c>
      <c r="C322" t="s">
        <v>2083</v>
      </c>
      <c r="D322" t="s">
        <v>1497</v>
      </c>
      <c r="G322">
        <v>0</v>
      </c>
      <c r="H322">
        <v>0</v>
      </c>
      <c r="I322">
        <v>0</v>
      </c>
      <c r="J322">
        <v>0</v>
      </c>
      <c r="K322">
        <v>0</v>
      </c>
      <c r="L322">
        <v>0</v>
      </c>
      <c r="M322">
        <v>0</v>
      </c>
      <c r="N322">
        <v>0</v>
      </c>
      <c r="O322">
        <v>0</v>
      </c>
      <c r="P322">
        <v>0</v>
      </c>
      <c r="Q322">
        <v>0</v>
      </c>
      <c r="R322">
        <v>0</v>
      </c>
      <c r="S322">
        <v>0</v>
      </c>
      <c r="U322" s="175">
        <f t="shared" si="18"/>
        <v>0</v>
      </c>
    </row>
    <row r="323" spans="1:21">
      <c r="A323" s="183" t="str">
        <f t="shared" si="16"/>
        <v>582</v>
      </c>
      <c r="B323" s="183" t="str">
        <f t="shared" si="17"/>
        <v>582.0</v>
      </c>
      <c r="C323" t="s">
        <v>2084</v>
      </c>
      <c r="D323" t="s">
        <v>1499</v>
      </c>
      <c r="G323">
        <v>133869.31</v>
      </c>
      <c r="H323">
        <v>100990.39999999999</v>
      </c>
      <c r="I323">
        <v>119031.34</v>
      </c>
      <c r="J323">
        <v>176395.94</v>
      </c>
      <c r="K323">
        <v>155469.69</v>
      </c>
      <c r="L323">
        <v>198617.09</v>
      </c>
      <c r="M323">
        <v>122349.82</v>
      </c>
      <c r="N323">
        <v>168547.75</v>
      </c>
      <c r="O323">
        <v>196483.85</v>
      </c>
      <c r="P323">
        <v>173199.6</v>
      </c>
      <c r="Q323">
        <v>178385.66</v>
      </c>
      <c r="R323">
        <v>152705.13</v>
      </c>
      <c r="S323">
        <v>221096.15</v>
      </c>
      <c r="U323" s="175">
        <f t="shared" si="18"/>
        <v>161318.59461538462</v>
      </c>
    </row>
    <row r="324" spans="1:21">
      <c r="A324" s="183" t="str">
        <f t="shared" si="16"/>
        <v>583</v>
      </c>
      <c r="B324" s="183" t="str">
        <f t="shared" si="17"/>
        <v>583.0</v>
      </c>
      <c r="C324" t="s">
        <v>2085</v>
      </c>
      <c r="D324" t="s">
        <v>1501</v>
      </c>
      <c r="G324">
        <v>1926159.72</v>
      </c>
      <c r="H324">
        <v>536397.36</v>
      </c>
      <c r="I324">
        <v>457572.06</v>
      </c>
      <c r="J324">
        <v>519648.88</v>
      </c>
      <c r="K324">
        <v>518562.17</v>
      </c>
      <c r="L324">
        <v>878634.13</v>
      </c>
      <c r="M324">
        <v>466136.12</v>
      </c>
      <c r="N324">
        <v>712570</v>
      </c>
      <c r="O324">
        <v>615329.94999999995</v>
      </c>
      <c r="P324">
        <v>578346.74</v>
      </c>
      <c r="Q324">
        <v>1116389.08</v>
      </c>
      <c r="R324">
        <v>137027.13</v>
      </c>
      <c r="S324">
        <v>2036467.73</v>
      </c>
      <c r="U324" s="175">
        <f t="shared" si="18"/>
        <v>807633.92846153863</v>
      </c>
    </row>
    <row r="325" spans="1:21">
      <c r="A325" s="183" t="str">
        <f t="shared" si="16"/>
        <v>584</v>
      </c>
      <c r="B325" s="183" t="str">
        <f t="shared" si="17"/>
        <v>584.0</v>
      </c>
      <c r="C325" t="s">
        <v>2086</v>
      </c>
      <c r="D325" t="s">
        <v>1503</v>
      </c>
      <c r="G325">
        <v>67182.42</v>
      </c>
      <c r="H325">
        <v>71281.34</v>
      </c>
      <c r="I325">
        <v>54937.49</v>
      </c>
      <c r="J325">
        <v>62951.33</v>
      </c>
      <c r="K325">
        <v>62877.43</v>
      </c>
      <c r="L325">
        <v>63392.04</v>
      </c>
      <c r="M325">
        <v>64628.72</v>
      </c>
      <c r="N325">
        <v>54258.54</v>
      </c>
      <c r="O325">
        <v>78107.81</v>
      </c>
      <c r="P325">
        <v>60187.34</v>
      </c>
      <c r="Q325">
        <v>63506.94</v>
      </c>
      <c r="R325">
        <v>60689.94</v>
      </c>
      <c r="S325">
        <v>60767.89</v>
      </c>
      <c r="U325" s="175">
        <f t="shared" si="18"/>
        <v>63443.786923076914</v>
      </c>
    </row>
    <row r="326" spans="1:21">
      <c r="A326" s="183" t="str">
        <f t="shared" si="16"/>
        <v>585</v>
      </c>
      <c r="B326" s="183" t="str">
        <f t="shared" si="17"/>
        <v>585.0</v>
      </c>
      <c r="C326" t="s">
        <v>2087</v>
      </c>
      <c r="D326" t="s">
        <v>1505</v>
      </c>
      <c r="G326">
        <v>34199.97</v>
      </c>
      <c r="H326">
        <v>270389.01</v>
      </c>
      <c r="I326">
        <v>174546.73</v>
      </c>
      <c r="J326">
        <v>232975.04</v>
      </c>
      <c r="K326">
        <v>213542.32</v>
      </c>
      <c r="L326">
        <v>178109.49</v>
      </c>
      <c r="M326">
        <v>196194.87</v>
      </c>
      <c r="N326">
        <v>226197.87</v>
      </c>
      <c r="O326">
        <v>234693.25</v>
      </c>
      <c r="P326">
        <v>181531.92</v>
      </c>
      <c r="Q326">
        <v>252044.86</v>
      </c>
      <c r="R326">
        <v>211718.95</v>
      </c>
      <c r="S326">
        <v>122180.41</v>
      </c>
      <c r="U326" s="175">
        <f t="shared" si="18"/>
        <v>194486.51461538466</v>
      </c>
    </row>
    <row r="327" spans="1:21">
      <c r="A327" s="183" t="str">
        <f t="shared" ref="A327:A390" si="19">MID(C327,4,3)</f>
        <v>586</v>
      </c>
      <c r="B327" s="183" t="str">
        <f t="shared" ref="B327:B390" si="20">MID(C327,4,3)&amp;"."&amp;MID(C327,7,1)</f>
        <v>586.0</v>
      </c>
      <c r="C327" t="s">
        <v>2088</v>
      </c>
      <c r="D327" t="s">
        <v>1507</v>
      </c>
      <c r="G327">
        <v>600257.09</v>
      </c>
      <c r="H327">
        <v>-697411.86</v>
      </c>
      <c r="I327">
        <v>1911309.86</v>
      </c>
      <c r="J327">
        <v>580755.79</v>
      </c>
      <c r="K327">
        <v>466132.2</v>
      </c>
      <c r="L327">
        <v>568553.47</v>
      </c>
      <c r="M327">
        <v>587616.55000000005</v>
      </c>
      <c r="N327">
        <v>221556.82</v>
      </c>
      <c r="O327">
        <v>570895.28</v>
      </c>
      <c r="P327">
        <v>284409.59000000003</v>
      </c>
      <c r="Q327">
        <v>452840.71</v>
      </c>
      <c r="R327">
        <v>452219.27</v>
      </c>
      <c r="S327">
        <v>332649.38</v>
      </c>
      <c r="U327" s="175">
        <f t="shared" ref="U327:U390" si="21">AVERAGE(G327:S327)</f>
        <v>487060.31923076918</v>
      </c>
    </row>
    <row r="328" spans="1:21">
      <c r="A328" s="183" t="str">
        <f t="shared" si="19"/>
        <v>587</v>
      </c>
      <c r="B328" s="183" t="str">
        <f t="shared" si="20"/>
        <v>587.0</v>
      </c>
      <c r="C328" t="s">
        <v>2089</v>
      </c>
      <c r="D328" t="s">
        <v>1509</v>
      </c>
      <c r="G328">
        <v>55740.65</v>
      </c>
      <c r="H328">
        <v>62213.82</v>
      </c>
      <c r="I328">
        <v>57530.13</v>
      </c>
      <c r="J328">
        <v>7415.92</v>
      </c>
      <c r="K328">
        <v>29539.48</v>
      </c>
      <c r="L328">
        <v>36944.43</v>
      </c>
      <c r="M328">
        <v>38060.31</v>
      </c>
      <c r="N328">
        <v>37080.15</v>
      </c>
      <c r="O328">
        <v>44246.59</v>
      </c>
      <c r="P328">
        <v>40850.300000000003</v>
      </c>
      <c r="Q328">
        <v>42857.74</v>
      </c>
      <c r="R328">
        <v>49180.23</v>
      </c>
      <c r="S328">
        <v>33477.43</v>
      </c>
      <c r="U328" s="175">
        <f t="shared" si="21"/>
        <v>41164.398461538454</v>
      </c>
    </row>
    <row r="329" spans="1:21">
      <c r="A329" s="183" t="str">
        <f t="shared" si="19"/>
        <v>588</v>
      </c>
      <c r="B329" s="183" t="str">
        <f t="shared" si="20"/>
        <v>588.0</v>
      </c>
      <c r="C329" t="s">
        <v>2090</v>
      </c>
      <c r="D329" t="s">
        <v>1511</v>
      </c>
      <c r="G329">
        <v>-609292.5</v>
      </c>
      <c r="H329">
        <v>498049.06</v>
      </c>
      <c r="I329">
        <v>93892.44</v>
      </c>
      <c r="J329">
        <v>588845.38</v>
      </c>
      <c r="K329">
        <v>-213529.42</v>
      </c>
      <c r="L329">
        <v>338575.62</v>
      </c>
      <c r="M329">
        <v>255209.63</v>
      </c>
      <c r="N329">
        <v>188432.44</v>
      </c>
      <c r="O329">
        <v>1241466</v>
      </c>
      <c r="P329">
        <v>318316.59000000003</v>
      </c>
      <c r="Q329">
        <v>600217</v>
      </c>
      <c r="R329">
        <v>895537.19</v>
      </c>
      <c r="S329">
        <v>458215.27</v>
      </c>
      <c r="U329" s="175">
        <f t="shared" si="21"/>
        <v>357994.97692307684</v>
      </c>
    </row>
    <row r="330" spans="1:21">
      <c r="A330" s="183" t="str">
        <f t="shared" si="19"/>
        <v>589</v>
      </c>
      <c r="B330" s="183" t="str">
        <f t="shared" si="20"/>
        <v>589.0</v>
      </c>
      <c r="C330" t="s">
        <v>2091</v>
      </c>
      <c r="D330" t="s">
        <v>1513</v>
      </c>
      <c r="G330">
        <v>29509.01</v>
      </c>
      <c r="H330">
        <v>29509.01</v>
      </c>
      <c r="I330">
        <v>29509.01</v>
      </c>
      <c r="J330">
        <v>30091.3</v>
      </c>
      <c r="K330">
        <v>30091.3</v>
      </c>
      <c r="L330">
        <v>30380.15</v>
      </c>
      <c r="M330">
        <v>30276.36</v>
      </c>
      <c r="N330">
        <v>30091.3</v>
      </c>
      <c r="O330">
        <v>30091.3</v>
      </c>
      <c r="P330">
        <v>30091.3</v>
      </c>
      <c r="Q330">
        <v>30091.3</v>
      </c>
      <c r="R330">
        <v>30091.3</v>
      </c>
      <c r="S330">
        <v>30091.3</v>
      </c>
      <c r="U330" s="175">
        <f t="shared" si="21"/>
        <v>29993.379999999997</v>
      </c>
    </row>
    <row r="331" spans="1:21">
      <c r="A331" s="183" t="str">
        <f t="shared" si="19"/>
        <v>590</v>
      </c>
      <c r="B331" s="183" t="str">
        <f t="shared" si="20"/>
        <v>590.0</v>
      </c>
      <c r="C331" t="s">
        <v>2092</v>
      </c>
      <c r="D331" t="s">
        <v>1515</v>
      </c>
      <c r="G331">
        <v>0</v>
      </c>
      <c r="H331">
        <v>0</v>
      </c>
      <c r="I331">
        <v>0</v>
      </c>
      <c r="J331">
        <v>0</v>
      </c>
      <c r="K331">
        <v>0</v>
      </c>
      <c r="L331">
        <v>0</v>
      </c>
      <c r="M331">
        <v>0</v>
      </c>
      <c r="N331">
        <v>0</v>
      </c>
      <c r="O331">
        <v>0</v>
      </c>
      <c r="P331">
        <v>0</v>
      </c>
      <c r="Q331">
        <v>0</v>
      </c>
      <c r="R331">
        <v>0</v>
      </c>
      <c r="S331">
        <v>0</v>
      </c>
      <c r="U331" s="175">
        <f t="shared" si="21"/>
        <v>0</v>
      </c>
    </row>
    <row r="332" spans="1:21">
      <c r="A332" s="183" t="str">
        <f t="shared" si="19"/>
        <v>591</v>
      </c>
      <c r="B332" s="183" t="str">
        <f t="shared" si="20"/>
        <v>591.0</v>
      </c>
      <c r="C332" t="s">
        <v>2093</v>
      </c>
      <c r="D332" t="s">
        <v>1517</v>
      </c>
      <c r="G332">
        <v>146339.1</v>
      </c>
      <c r="H332">
        <v>52223.94</v>
      </c>
      <c r="I332">
        <v>42629.18</v>
      </c>
      <c r="J332">
        <v>29938.82</v>
      </c>
      <c r="K332">
        <v>54760.55</v>
      </c>
      <c r="L332">
        <v>28544.84</v>
      </c>
      <c r="M332">
        <v>11627.01</v>
      </c>
      <c r="N332">
        <v>26257.88</v>
      </c>
      <c r="O332">
        <v>38907.81</v>
      </c>
      <c r="P332">
        <v>86492.61</v>
      </c>
      <c r="Q332">
        <v>4429.41</v>
      </c>
      <c r="R332">
        <v>73171.48</v>
      </c>
      <c r="S332">
        <v>17223.900000000001</v>
      </c>
      <c r="U332" s="175">
        <f t="shared" si="21"/>
        <v>47118.963846153849</v>
      </c>
    </row>
    <row r="333" spans="1:21">
      <c r="A333" s="183" t="str">
        <f t="shared" si="19"/>
        <v>592</v>
      </c>
      <c r="B333" s="183" t="str">
        <f t="shared" si="20"/>
        <v>592.0</v>
      </c>
      <c r="C333" t="s">
        <v>2094</v>
      </c>
      <c r="D333" t="s">
        <v>1519</v>
      </c>
      <c r="G333">
        <v>156452.91</v>
      </c>
      <c r="H333">
        <v>224818.17</v>
      </c>
      <c r="I333">
        <v>167971.97</v>
      </c>
      <c r="J333">
        <v>279757.67</v>
      </c>
      <c r="K333">
        <v>206774.97</v>
      </c>
      <c r="L333">
        <v>277917.3</v>
      </c>
      <c r="M333">
        <v>275544.49</v>
      </c>
      <c r="N333">
        <v>199391.86</v>
      </c>
      <c r="O333">
        <v>293529.5</v>
      </c>
      <c r="P333">
        <v>207175.31</v>
      </c>
      <c r="Q333">
        <v>323795.18</v>
      </c>
      <c r="R333">
        <v>190727.47</v>
      </c>
      <c r="S333">
        <v>172824.02</v>
      </c>
      <c r="U333" s="175">
        <f t="shared" si="21"/>
        <v>228975.4476923077</v>
      </c>
    </row>
    <row r="334" spans="1:21">
      <c r="A334" s="183" t="str">
        <f t="shared" si="19"/>
        <v>592</v>
      </c>
      <c r="B334" s="183" t="str">
        <f t="shared" si="20"/>
        <v>592.1</v>
      </c>
      <c r="C334" t="s">
        <v>2095</v>
      </c>
      <c r="D334" t="s">
        <v>1521</v>
      </c>
      <c r="G334">
        <v>0</v>
      </c>
      <c r="H334">
        <v>0</v>
      </c>
      <c r="I334">
        <v>0</v>
      </c>
      <c r="J334">
        <v>0</v>
      </c>
      <c r="K334">
        <v>0</v>
      </c>
      <c r="L334">
        <v>0</v>
      </c>
      <c r="M334">
        <v>0</v>
      </c>
      <c r="N334">
        <v>0</v>
      </c>
      <c r="O334">
        <v>0</v>
      </c>
      <c r="P334">
        <v>0</v>
      </c>
      <c r="Q334">
        <v>0</v>
      </c>
      <c r="R334">
        <v>0</v>
      </c>
      <c r="S334">
        <v>0</v>
      </c>
      <c r="U334" s="175">
        <f t="shared" si="21"/>
        <v>0</v>
      </c>
    </row>
    <row r="335" spans="1:21">
      <c r="A335" s="183" t="str">
        <f t="shared" si="19"/>
        <v>593</v>
      </c>
      <c r="B335" s="183" t="str">
        <f t="shared" si="20"/>
        <v>593.0</v>
      </c>
      <c r="C335" t="s">
        <v>2096</v>
      </c>
      <c r="D335" t="s">
        <v>1523</v>
      </c>
      <c r="G335">
        <v>2762913.56</v>
      </c>
      <c r="H335">
        <v>2570271.38</v>
      </c>
      <c r="I335">
        <v>3089619.52</v>
      </c>
      <c r="J335">
        <v>3414558.79</v>
      </c>
      <c r="K335">
        <v>3059794.12</v>
      </c>
      <c r="L335">
        <v>3489399.94</v>
      </c>
      <c r="M335">
        <v>3680280.55</v>
      </c>
      <c r="N335">
        <v>3683156.3</v>
      </c>
      <c r="O335">
        <v>3625520.29</v>
      </c>
      <c r="P335">
        <v>2875735.93</v>
      </c>
      <c r="Q335">
        <v>3555859.1</v>
      </c>
      <c r="R335">
        <v>3787786.08</v>
      </c>
      <c r="S335">
        <v>3634535.96</v>
      </c>
      <c r="U335" s="175">
        <f t="shared" si="21"/>
        <v>3325340.8861538465</v>
      </c>
    </row>
    <row r="336" spans="1:21">
      <c r="A336" s="183" t="str">
        <f t="shared" si="19"/>
        <v>594</v>
      </c>
      <c r="B336" s="183" t="str">
        <f t="shared" si="20"/>
        <v>594.0</v>
      </c>
      <c r="C336" t="s">
        <v>2097</v>
      </c>
      <c r="D336" t="s">
        <v>1525</v>
      </c>
      <c r="G336">
        <v>292075.17</v>
      </c>
      <c r="H336">
        <v>322790.24</v>
      </c>
      <c r="I336">
        <v>535530.31999999995</v>
      </c>
      <c r="J336">
        <v>99758.44</v>
      </c>
      <c r="K336">
        <v>333390.45</v>
      </c>
      <c r="L336">
        <v>403252.27</v>
      </c>
      <c r="M336">
        <v>462714.94</v>
      </c>
      <c r="N336">
        <v>509195.42</v>
      </c>
      <c r="O336">
        <v>530885.64</v>
      </c>
      <c r="P336">
        <v>500886.57</v>
      </c>
      <c r="Q336">
        <v>500883.47</v>
      </c>
      <c r="R336">
        <v>1401801.31</v>
      </c>
      <c r="S336">
        <v>401398.77</v>
      </c>
      <c r="U336" s="175">
        <f t="shared" si="21"/>
        <v>484197.15461538458</v>
      </c>
    </row>
    <row r="337" spans="1:21">
      <c r="A337" s="183" t="str">
        <f t="shared" si="19"/>
        <v>595</v>
      </c>
      <c r="B337" s="183" t="str">
        <f t="shared" si="20"/>
        <v>595.0</v>
      </c>
      <c r="C337" t="s">
        <v>2098</v>
      </c>
      <c r="D337" t="s">
        <v>1527</v>
      </c>
      <c r="G337">
        <v>18917.240000000002</v>
      </c>
      <c r="H337">
        <v>22712.54</v>
      </c>
      <c r="I337">
        <v>24846.560000000001</v>
      </c>
      <c r="J337">
        <v>29927</v>
      </c>
      <c r="K337">
        <v>48277.96</v>
      </c>
      <c r="L337">
        <v>41154.18</v>
      </c>
      <c r="M337">
        <v>21981.21</v>
      </c>
      <c r="N337">
        <v>44865.47</v>
      </c>
      <c r="O337">
        <v>23323.06</v>
      </c>
      <c r="P337">
        <v>17406.79</v>
      </c>
      <c r="Q337">
        <v>29167.29</v>
      </c>
      <c r="R337">
        <v>22142.03</v>
      </c>
      <c r="S337">
        <v>1687</v>
      </c>
      <c r="U337" s="175">
        <f t="shared" si="21"/>
        <v>26646.794615384613</v>
      </c>
    </row>
    <row r="338" spans="1:21">
      <c r="A338" s="183" t="str">
        <f t="shared" si="19"/>
        <v>596</v>
      </c>
      <c r="B338" s="183" t="str">
        <f t="shared" si="20"/>
        <v>596.0</v>
      </c>
      <c r="C338" t="s">
        <v>2099</v>
      </c>
      <c r="D338" t="s">
        <v>1529</v>
      </c>
      <c r="G338">
        <v>154158.88</v>
      </c>
      <c r="H338">
        <v>158960.92000000001</v>
      </c>
      <c r="I338">
        <v>101994.64</v>
      </c>
      <c r="J338">
        <v>249262.06</v>
      </c>
      <c r="K338">
        <v>34484.86</v>
      </c>
      <c r="L338">
        <v>196965.73</v>
      </c>
      <c r="M338">
        <v>133128.53</v>
      </c>
      <c r="N338">
        <v>99876.43</v>
      </c>
      <c r="O338">
        <v>137783.71</v>
      </c>
      <c r="P338">
        <v>51134.68</v>
      </c>
      <c r="Q338">
        <v>67853.17</v>
      </c>
      <c r="R338">
        <v>80637.240000000005</v>
      </c>
      <c r="S338">
        <v>147100.07999999999</v>
      </c>
      <c r="U338" s="175">
        <f t="shared" si="21"/>
        <v>124103.14846153845</v>
      </c>
    </row>
    <row r="339" spans="1:21">
      <c r="A339" s="183" t="str">
        <f t="shared" si="19"/>
        <v>597</v>
      </c>
      <c r="B339" s="183" t="str">
        <f t="shared" si="20"/>
        <v>597.0</v>
      </c>
      <c r="C339" t="s">
        <v>2100</v>
      </c>
      <c r="D339" t="s">
        <v>1531</v>
      </c>
      <c r="G339">
        <v>57074.03</v>
      </c>
      <c r="H339">
        <v>39012.21</v>
      </c>
      <c r="I339">
        <v>32107.94</v>
      </c>
      <c r="J339">
        <v>44864.84</v>
      </c>
      <c r="K339">
        <v>40954.83</v>
      </c>
      <c r="L339">
        <v>48068.72</v>
      </c>
      <c r="M339">
        <v>26928.03</v>
      </c>
      <c r="N339">
        <v>37377.29</v>
      </c>
      <c r="O339">
        <v>44363.18</v>
      </c>
      <c r="P339">
        <v>28321.72</v>
      </c>
      <c r="Q339">
        <v>36172.370000000003</v>
      </c>
      <c r="R339">
        <v>43210.37</v>
      </c>
      <c r="S339">
        <v>28195.26</v>
      </c>
      <c r="U339" s="175">
        <f t="shared" si="21"/>
        <v>38973.13769230769</v>
      </c>
    </row>
    <row r="340" spans="1:21">
      <c r="A340" s="183" t="str">
        <f t="shared" si="19"/>
        <v>598</v>
      </c>
      <c r="B340" s="183" t="str">
        <f t="shared" si="20"/>
        <v>598.0</v>
      </c>
      <c r="C340" t="s">
        <v>2101</v>
      </c>
      <c r="D340" t="s">
        <v>1533</v>
      </c>
      <c r="G340">
        <v>0</v>
      </c>
      <c r="H340">
        <v>0</v>
      </c>
      <c r="I340">
        <v>0</v>
      </c>
      <c r="J340">
        <v>0</v>
      </c>
      <c r="K340">
        <v>0</v>
      </c>
      <c r="L340">
        <v>0</v>
      </c>
      <c r="M340">
        <v>0</v>
      </c>
      <c r="N340">
        <v>0</v>
      </c>
      <c r="O340">
        <v>0</v>
      </c>
      <c r="P340">
        <v>0</v>
      </c>
      <c r="Q340">
        <v>0</v>
      </c>
      <c r="R340">
        <v>0</v>
      </c>
      <c r="S340">
        <v>0</v>
      </c>
      <c r="U340" s="175">
        <f t="shared" si="21"/>
        <v>0</v>
      </c>
    </row>
    <row r="341" spans="1:21">
      <c r="A341" s="183" t="str">
        <f t="shared" si="19"/>
        <v>800</v>
      </c>
      <c r="B341" s="183" t="str">
        <f t="shared" si="20"/>
        <v>800.0</v>
      </c>
      <c r="C341" t="s">
        <v>2102</v>
      </c>
      <c r="D341" t="s">
        <v>1535</v>
      </c>
      <c r="G341">
        <v>0</v>
      </c>
      <c r="H341">
        <v>0</v>
      </c>
      <c r="I341">
        <v>0</v>
      </c>
      <c r="J341">
        <v>0</v>
      </c>
      <c r="K341">
        <v>0</v>
      </c>
      <c r="L341">
        <v>0</v>
      </c>
      <c r="M341">
        <v>0</v>
      </c>
      <c r="N341">
        <v>0</v>
      </c>
      <c r="O341">
        <v>0</v>
      </c>
      <c r="P341">
        <v>0</v>
      </c>
      <c r="Q341">
        <v>0</v>
      </c>
      <c r="R341">
        <v>0</v>
      </c>
      <c r="S341">
        <v>0</v>
      </c>
      <c r="U341" s="175">
        <f t="shared" si="21"/>
        <v>0</v>
      </c>
    </row>
    <row r="342" spans="1:21">
      <c r="A342" s="183" t="str">
        <f t="shared" si="19"/>
        <v>800</v>
      </c>
      <c r="B342" s="183" t="str">
        <f t="shared" si="20"/>
        <v>800.1</v>
      </c>
      <c r="C342" t="s">
        <v>2103</v>
      </c>
      <c r="D342" t="s">
        <v>1537</v>
      </c>
      <c r="G342">
        <v>0</v>
      </c>
      <c r="H342">
        <v>0</v>
      </c>
      <c r="I342">
        <v>0</v>
      </c>
      <c r="J342">
        <v>0</v>
      </c>
      <c r="K342">
        <v>0</v>
      </c>
      <c r="L342">
        <v>0</v>
      </c>
      <c r="M342">
        <v>0</v>
      </c>
      <c r="N342">
        <v>0</v>
      </c>
      <c r="O342">
        <v>0</v>
      </c>
      <c r="P342">
        <v>0</v>
      </c>
      <c r="Q342">
        <v>0</v>
      </c>
      <c r="R342">
        <v>0</v>
      </c>
      <c r="S342">
        <v>0</v>
      </c>
      <c r="U342" s="175">
        <f t="shared" si="21"/>
        <v>0</v>
      </c>
    </row>
    <row r="343" spans="1:21">
      <c r="A343" s="183" t="str">
        <f t="shared" si="19"/>
        <v>801</v>
      </c>
      <c r="B343" s="183" t="str">
        <f t="shared" si="20"/>
        <v>801.0</v>
      </c>
      <c r="C343" t="s">
        <v>2104</v>
      </c>
      <c r="D343" t="s">
        <v>1539</v>
      </c>
      <c r="G343">
        <v>0</v>
      </c>
      <c r="H343">
        <v>0</v>
      </c>
      <c r="I343">
        <v>0</v>
      </c>
      <c r="J343">
        <v>0</v>
      </c>
      <c r="K343">
        <v>0</v>
      </c>
      <c r="L343">
        <v>0</v>
      </c>
      <c r="M343">
        <v>0</v>
      </c>
      <c r="N343">
        <v>0</v>
      </c>
      <c r="O343">
        <v>0</v>
      </c>
      <c r="P343">
        <v>0</v>
      </c>
      <c r="Q343">
        <v>0</v>
      </c>
      <c r="R343">
        <v>0</v>
      </c>
      <c r="S343">
        <v>0</v>
      </c>
      <c r="U343" s="175">
        <f t="shared" si="21"/>
        <v>0</v>
      </c>
    </row>
    <row r="344" spans="1:21">
      <c r="A344" s="183" t="str">
        <f t="shared" si="19"/>
        <v>802</v>
      </c>
      <c r="B344" s="183" t="str">
        <f t="shared" si="20"/>
        <v>802.0</v>
      </c>
      <c r="C344" t="s">
        <v>2105</v>
      </c>
      <c r="D344" t="s">
        <v>1541</v>
      </c>
      <c r="G344">
        <v>0</v>
      </c>
      <c r="H344">
        <v>0</v>
      </c>
      <c r="I344">
        <v>0</v>
      </c>
      <c r="J344">
        <v>0</v>
      </c>
      <c r="K344">
        <v>0</v>
      </c>
      <c r="L344">
        <v>0</v>
      </c>
      <c r="M344">
        <v>0</v>
      </c>
      <c r="N344">
        <v>0</v>
      </c>
      <c r="O344">
        <v>0</v>
      </c>
      <c r="P344">
        <v>0</v>
      </c>
      <c r="Q344">
        <v>0</v>
      </c>
      <c r="R344">
        <v>0</v>
      </c>
      <c r="S344">
        <v>0</v>
      </c>
      <c r="U344" s="175">
        <f t="shared" si="21"/>
        <v>0</v>
      </c>
    </row>
    <row r="345" spans="1:21">
      <c r="A345" s="183" t="str">
        <f t="shared" si="19"/>
        <v>803</v>
      </c>
      <c r="B345" s="183" t="str">
        <f t="shared" si="20"/>
        <v>803.0</v>
      </c>
      <c r="C345" t="s">
        <v>2106</v>
      </c>
      <c r="D345" t="s">
        <v>1543</v>
      </c>
      <c r="G345">
        <v>0</v>
      </c>
      <c r="H345">
        <v>0</v>
      </c>
      <c r="I345">
        <v>0</v>
      </c>
      <c r="J345">
        <v>0</v>
      </c>
      <c r="K345">
        <v>0</v>
      </c>
      <c r="L345">
        <v>0</v>
      </c>
      <c r="M345">
        <v>0</v>
      </c>
      <c r="N345">
        <v>0</v>
      </c>
      <c r="O345">
        <v>0</v>
      </c>
      <c r="P345">
        <v>0</v>
      </c>
      <c r="Q345">
        <v>0</v>
      </c>
      <c r="R345">
        <v>0</v>
      </c>
      <c r="S345">
        <v>0</v>
      </c>
      <c r="U345" s="175">
        <f t="shared" si="21"/>
        <v>0</v>
      </c>
    </row>
    <row r="346" spans="1:21">
      <c r="A346" s="183" t="str">
        <f t="shared" si="19"/>
        <v>804</v>
      </c>
      <c r="B346" s="183" t="str">
        <f t="shared" si="20"/>
        <v>804.0</v>
      </c>
      <c r="C346" t="s">
        <v>2107</v>
      </c>
      <c r="D346" t="s">
        <v>1545</v>
      </c>
      <c r="G346">
        <v>0</v>
      </c>
      <c r="H346">
        <v>0</v>
      </c>
      <c r="I346">
        <v>0</v>
      </c>
      <c r="J346">
        <v>0</v>
      </c>
      <c r="K346">
        <v>0</v>
      </c>
      <c r="L346">
        <v>0</v>
      </c>
      <c r="M346">
        <v>0</v>
      </c>
      <c r="N346">
        <v>0</v>
      </c>
      <c r="O346">
        <v>0</v>
      </c>
      <c r="P346">
        <v>0</v>
      </c>
      <c r="Q346">
        <v>0</v>
      </c>
      <c r="R346">
        <v>0</v>
      </c>
      <c r="S346">
        <v>0</v>
      </c>
      <c r="U346" s="175">
        <f t="shared" si="21"/>
        <v>0</v>
      </c>
    </row>
    <row r="347" spans="1:21">
      <c r="A347" s="183" t="str">
        <f t="shared" si="19"/>
        <v>804</v>
      </c>
      <c r="B347" s="183" t="str">
        <f t="shared" si="20"/>
        <v>804.1</v>
      </c>
      <c r="C347" t="s">
        <v>2108</v>
      </c>
      <c r="D347" t="s">
        <v>1547</v>
      </c>
      <c r="G347">
        <v>0</v>
      </c>
      <c r="H347">
        <v>0</v>
      </c>
      <c r="I347">
        <v>0</v>
      </c>
      <c r="J347">
        <v>0</v>
      </c>
      <c r="K347">
        <v>0</v>
      </c>
      <c r="L347">
        <v>0</v>
      </c>
      <c r="M347">
        <v>0</v>
      </c>
      <c r="N347">
        <v>0</v>
      </c>
      <c r="O347">
        <v>0</v>
      </c>
      <c r="P347">
        <v>0</v>
      </c>
      <c r="Q347">
        <v>0</v>
      </c>
      <c r="R347">
        <v>0</v>
      </c>
      <c r="S347">
        <v>0</v>
      </c>
      <c r="U347" s="175">
        <f t="shared" si="21"/>
        <v>0</v>
      </c>
    </row>
    <row r="348" spans="1:21">
      <c r="A348" s="183" t="str">
        <f t="shared" si="19"/>
        <v>805</v>
      </c>
      <c r="B348" s="183" t="str">
        <f t="shared" si="20"/>
        <v>805.0</v>
      </c>
      <c r="C348" t="s">
        <v>2109</v>
      </c>
      <c r="D348" t="s">
        <v>1549</v>
      </c>
      <c r="G348">
        <v>0</v>
      </c>
      <c r="H348">
        <v>0</v>
      </c>
      <c r="I348">
        <v>0</v>
      </c>
      <c r="J348">
        <v>0</v>
      </c>
      <c r="K348">
        <v>0</v>
      </c>
      <c r="L348">
        <v>0</v>
      </c>
      <c r="M348">
        <v>0</v>
      </c>
      <c r="N348">
        <v>0</v>
      </c>
      <c r="O348">
        <v>0</v>
      </c>
      <c r="P348">
        <v>0</v>
      </c>
      <c r="Q348">
        <v>0</v>
      </c>
      <c r="R348">
        <v>0</v>
      </c>
      <c r="S348">
        <v>0</v>
      </c>
      <c r="U348" s="175">
        <f t="shared" si="21"/>
        <v>0</v>
      </c>
    </row>
    <row r="349" spans="1:21">
      <c r="A349" s="183" t="str">
        <f t="shared" si="19"/>
        <v>805</v>
      </c>
      <c r="B349" s="183" t="str">
        <f t="shared" si="20"/>
        <v>805.1</v>
      </c>
      <c r="C349" t="s">
        <v>2110</v>
      </c>
      <c r="D349" t="s">
        <v>1551</v>
      </c>
      <c r="G349">
        <v>0</v>
      </c>
      <c r="H349">
        <v>0</v>
      </c>
      <c r="I349">
        <v>0</v>
      </c>
      <c r="J349">
        <v>0</v>
      </c>
      <c r="K349">
        <v>0</v>
      </c>
      <c r="L349">
        <v>0</v>
      </c>
      <c r="M349">
        <v>0</v>
      </c>
      <c r="N349">
        <v>0</v>
      </c>
      <c r="O349">
        <v>0</v>
      </c>
      <c r="P349">
        <v>0</v>
      </c>
      <c r="Q349">
        <v>0</v>
      </c>
      <c r="R349">
        <v>0</v>
      </c>
      <c r="S349">
        <v>0</v>
      </c>
      <c r="U349" s="175">
        <f t="shared" si="21"/>
        <v>0</v>
      </c>
    </row>
    <row r="350" spans="1:21">
      <c r="A350" s="183" t="str">
        <f t="shared" si="19"/>
        <v>806</v>
      </c>
      <c r="B350" s="183" t="str">
        <f t="shared" si="20"/>
        <v>806.0</v>
      </c>
      <c r="C350" t="s">
        <v>2111</v>
      </c>
      <c r="D350" t="s">
        <v>1553</v>
      </c>
      <c r="G350">
        <v>0</v>
      </c>
      <c r="H350">
        <v>0</v>
      </c>
      <c r="I350">
        <v>0</v>
      </c>
      <c r="J350">
        <v>0</v>
      </c>
      <c r="K350">
        <v>0</v>
      </c>
      <c r="L350">
        <v>0</v>
      </c>
      <c r="M350">
        <v>0</v>
      </c>
      <c r="N350">
        <v>0</v>
      </c>
      <c r="O350">
        <v>0</v>
      </c>
      <c r="P350">
        <v>0</v>
      </c>
      <c r="Q350">
        <v>0</v>
      </c>
      <c r="R350">
        <v>0</v>
      </c>
      <c r="S350">
        <v>0</v>
      </c>
      <c r="U350" s="175">
        <f t="shared" si="21"/>
        <v>0</v>
      </c>
    </row>
    <row r="351" spans="1:21">
      <c r="A351" s="183" t="str">
        <f t="shared" si="19"/>
        <v>807</v>
      </c>
      <c r="B351" s="183" t="str">
        <f t="shared" si="20"/>
        <v>807.1</v>
      </c>
      <c r="C351" t="s">
        <v>2112</v>
      </c>
      <c r="D351" t="s">
        <v>1555</v>
      </c>
      <c r="G351">
        <v>0</v>
      </c>
      <c r="H351">
        <v>0</v>
      </c>
      <c r="I351">
        <v>0</v>
      </c>
      <c r="J351">
        <v>0</v>
      </c>
      <c r="K351">
        <v>0</v>
      </c>
      <c r="L351">
        <v>0</v>
      </c>
      <c r="M351">
        <v>0</v>
      </c>
      <c r="N351">
        <v>0</v>
      </c>
      <c r="O351">
        <v>0</v>
      </c>
      <c r="P351">
        <v>0</v>
      </c>
      <c r="Q351">
        <v>0</v>
      </c>
      <c r="R351">
        <v>0</v>
      </c>
      <c r="S351">
        <v>0</v>
      </c>
      <c r="U351" s="175">
        <f t="shared" si="21"/>
        <v>0</v>
      </c>
    </row>
    <row r="352" spans="1:21">
      <c r="A352" s="183" t="str">
        <f t="shared" si="19"/>
        <v>807</v>
      </c>
      <c r="B352" s="183" t="str">
        <f t="shared" si="20"/>
        <v>807.2</v>
      </c>
      <c r="C352" t="s">
        <v>2113</v>
      </c>
      <c r="D352" t="s">
        <v>1557</v>
      </c>
      <c r="G352">
        <v>0</v>
      </c>
      <c r="H352">
        <v>0</v>
      </c>
      <c r="I352">
        <v>0</v>
      </c>
      <c r="J352">
        <v>0</v>
      </c>
      <c r="K352">
        <v>0</v>
      </c>
      <c r="L352">
        <v>0</v>
      </c>
      <c r="M352">
        <v>0</v>
      </c>
      <c r="N352">
        <v>0</v>
      </c>
      <c r="O352">
        <v>0</v>
      </c>
      <c r="P352">
        <v>0</v>
      </c>
      <c r="Q352">
        <v>0</v>
      </c>
      <c r="R352">
        <v>0</v>
      </c>
      <c r="S352">
        <v>0</v>
      </c>
      <c r="U352" s="175">
        <f t="shared" si="21"/>
        <v>0</v>
      </c>
    </row>
    <row r="353" spans="1:21">
      <c r="A353" s="183" t="str">
        <f t="shared" si="19"/>
        <v>807</v>
      </c>
      <c r="B353" s="183" t="str">
        <f t="shared" si="20"/>
        <v>807.3</v>
      </c>
      <c r="C353" t="s">
        <v>2114</v>
      </c>
      <c r="D353" t="s">
        <v>1559</v>
      </c>
      <c r="G353">
        <v>0</v>
      </c>
      <c r="H353">
        <v>0</v>
      </c>
      <c r="I353">
        <v>0</v>
      </c>
      <c r="J353">
        <v>0</v>
      </c>
      <c r="K353">
        <v>0</v>
      </c>
      <c r="L353">
        <v>0</v>
      </c>
      <c r="M353">
        <v>0</v>
      </c>
      <c r="N353">
        <v>0</v>
      </c>
      <c r="O353">
        <v>0</v>
      </c>
      <c r="P353">
        <v>0</v>
      </c>
      <c r="Q353">
        <v>0</v>
      </c>
      <c r="R353">
        <v>0</v>
      </c>
      <c r="S353">
        <v>0</v>
      </c>
      <c r="U353" s="175">
        <f t="shared" si="21"/>
        <v>0</v>
      </c>
    </row>
    <row r="354" spans="1:21">
      <c r="A354" s="183" t="str">
        <f t="shared" si="19"/>
        <v>807</v>
      </c>
      <c r="B354" s="183" t="str">
        <f t="shared" si="20"/>
        <v>807.4</v>
      </c>
      <c r="C354" t="s">
        <v>2115</v>
      </c>
      <c r="D354" t="s">
        <v>1561</v>
      </c>
      <c r="G354">
        <v>0</v>
      </c>
      <c r="H354">
        <v>0</v>
      </c>
      <c r="I354">
        <v>0</v>
      </c>
      <c r="J354">
        <v>0</v>
      </c>
      <c r="K354">
        <v>0</v>
      </c>
      <c r="L354">
        <v>0</v>
      </c>
      <c r="M354">
        <v>0</v>
      </c>
      <c r="N354">
        <v>0</v>
      </c>
      <c r="O354">
        <v>0</v>
      </c>
      <c r="P354">
        <v>0</v>
      </c>
      <c r="Q354">
        <v>0</v>
      </c>
      <c r="R354">
        <v>0</v>
      </c>
      <c r="S354">
        <v>0</v>
      </c>
      <c r="U354" s="175">
        <f t="shared" si="21"/>
        <v>0</v>
      </c>
    </row>
    <row r="355" spans="1:21">
      <c r="A355" s="183" t="str">
        <f t="shared" si="19"/>
        <v>807</v>
      </c>
      <c r="B355" s="183" t="str">
        <f t="shared" si="20"/>
        <v>807.5</v>
      </c>
      <c r="C355" t="s">
        <v>2116</v>
      </c>
      <c r="D355" t="s">
        <v>1563</v>
      </c>
      <c r="G355">
        <v>0</v>
      </c>
      <c r="H355">
        <v>0</v>
      </c>
      <c r="I355">
        <v>0</v>
      </c>
      <c r="J355">
        <v>0</v>
      </c>
      <c r="K355">
        <v>0</v>
      </c>
      <c r="L355">
        <v>0</v>
      </c>
      <c r="M355">
        <v>0</v>
      </c>
      <c r="N355">
        <v>0</v>
      </c>
      <c r="O355">
        <v>0</v>
      </c>
      <c r="P355">
        <v>0</v>
      </c>
      <c r="Q355">
        <v>0</v>
      </c>
      <c r="R355">
        <v>0</v>
      </c>
      <c r="S355">
        <v>0</v>
      </c>
      <c r="U355" s="175">
        <f t="shared" si="21"/>
        <v>0</v>
      </c>
    </row>
    <row r="356" spans="1:21">
      <c r="A356" s="183" t="str">
        <f t="shared" si="19"/>
        <v>808</v>
      </c>
      <c r="B356" s="183" t="str">
        <f t="shared" si="20"/>
        <v>808.1</v>
      </c>
      <c r="C356" t="s">
        <v>2117</v>
      </c>
      <c r="D356" t="s">
        <v>1565</v>
      </c>
      <c r="G356">
        <v>0</v>
      </c>
      <c r="H356">
        <v>0</v>
      </c>
      <c r="I356">
        <v>0</v>
      </c>
      <c r="J356">
        <v>0</v>
      </c>
      <c r="K356">
        <v>0</v>
      </c>
      <c r="L356">
        <v>0</v>
      </c>
      <c r="M356">
        <v>0</v>
      </c>
      <c r="N356">
        <v>0</v>
      </c>
      <c r="O356">
        <v>0</v>
      </c>
      <c r="P356">
        <v>0</v>
      </c>
      <c r="Q356">
        <v>0</v>
      </c>
      <c r="R356">
        <v>0</v>
      </c>
      <c r="S356">
        <v>0</v>
      </c>
      <c r="U356" s="175">
        <f t="shared" si="21"/>
        <v>0</v>
      </c>
    </row>
    <row r="357" spans="1:21">
      <c r="A357" s="183" t="str">
        <f t="shared" si="19"/>
        <v>808</v>
      </c>
      <c r="B357" s="183" t="str">
        <f t="shared" si="20"/>
        <v>808.2</v>
      </c>
      <c r="C357" t="s">
        <v>2118</v>
      </c>
      <c r="D357" t="s">
        <v>1567</v>
      </c>
      <c r="G357">
        <v>0</v>
      </c>
      <c r="H357">
        <v>0</v>
      </c>
      <c r="I357">
        <v>0</v>
      </c>
      <c r="J357">
        <v>0</v>
      </c>
      <c r="K357">
        <v>0</v>
      </c>
      <c r="L357">
        <v>0</v>
      </c>
      <c r="M357">
        <v>0</v>
      </c>
      <c r="N357">
        <v>0</v>
      </c>
      <c r="O357">
        <v>0</v>
      </c>
      <c r="P357">
        <v>0</v>
      </c>
      <c r="Q357">
        <v>0</v>
      </c>
      <c r="R357">
        <v>0</v>
      </c>
      <c r="S357">
        <v>0</v>
      </c>
      <c r="U357" s="175">
        <f t="shared" si="21"/>
        <v>0</v>
      </c>
    </row>
    <row r="358" spans="1:21">
      <c r="A358" s="183" t="str">
        <f t="shared" si="19"/>
        <v>809</v>
      </c>
      <c r="B358" s="183" t="str">
        <f t="shared" si="20"/>
        <v>809.1</v>
      </c>
      <c r="C358" t="s">
        <v>2119</v>
      </c>
      <c r="D358" t="s">
        <v>1569</v>
      </c>
      <c r="G358">
        <v>0</v>
      </c>
      <c r="H358">
        <v>0</v>
      </c>
      <c r="I358">
        <v>0</v>
      </c>
      <c r="J358">
        <v>0</v>
      </c>
      <c r="K358">
        <v>0</v>
      </c>
      <c r="L358">
        <v>0</v>
      </c>
      <c r="M358">
        <v>0</v>
      </c>
      <c r="N358">
        <v>0</v>
      </c>
      <c r="O358">
        <v>0</v>
      </c>
      <c r="P358">
        <v>0</v>
      </c>
      <c r="Q358">
        <v>0</v>
      </c>
      <c r="R358">
        <v>0</v>
      </c>
      <c r="S358">
        <v>0</v>
      </c>
      <c r="U358" s="175">
        <f t="shared" si="21"/>
        <v>0</v>
      </c>
    </row>
    <row r="359" spans="1:21">
      <c r="A359" s="183" t="str">
        <f t="shared" si="19"/>
        <v>809</v>
      </c>
      <c r="B359" s="183" t="str">
        <f t="shared" si="20"/>
        <v>809.2</v>
      </c>
      <c r="C359" t="s">
        <v>2120</v>
      </c>
      <c r="D359" t="s">
        <v>1571</v>
      </c>
      <c r="G359">
        <v>0</v>
      </c>
      <c r="H359">
        <v>0</v>
      </c>
      <c r="I359">
        <v>0</v>
      </c>
      <c r="J359">
        <v>0</v>
      </c>
      <c r="K359">
        <v>0</v>
      </c>
      <c r="L359">
        <v>0</v>
      </c>
      <c r="M359">
        <v>0</v>
      </c>
      <c r="N359">
        <v>0</v>
      </c>
      <c r="O359">
        <v>0</v>
      </c>
      <c r="P359">
        <v>0</v>
      </c>
      <c r="Q359">
        <v>0</v>
      </c>
      <c r="R359">
        <v>0</v>
      </c>
      <c r="S359">
        <v>0</v>
      </c>
      <c r="U359" s="175">
        <f t="shared" si="21"/>
        <v>0</v>
      </c>
    </row>
    <row r="360" spans="1:21">
      <c r="A360" s="183" t="str">
        <f t="shared" si="19"/>
        <v>810</v>
      </c>
      <c r="B360" s="183" t="str">
        <f t="shared" si="20"/>
        <v>810.0</v>
      </c>
      <c r="C360" t="s">
        <v>2121</v>
      </c>
      <c r="D360" t="s">
        <v>1573</v>
      </c>
      <c r="G360">
        <v>0</v>
      </c>
      <c r="H360">
        <v>0</v>
      </c>
      <c r="I360">
        <v>0</v>
      </c>
      <c r="J360">
        <v>0</v>
      </c>
      <c r="K360">
        <v>0</v>
      </c>
      <c r="L360">
        <v>0</v>
      </c>
      <c r="M360">
        <v>0</v>
      </c>
      <c r="N360">
        <v>0</v>
      </c>
      <c r="O360">
        <v>0</v>
      </c>
      <c r="P360">
        <v>0</v>
      </c>
      <c r="Q360">
        <v>0</v>
      </c>
      <c r="R360">
        <v>0</v>
      </c>
      <c r="S360">
        <v>0</v>
      </c>
      <c r="U360" s="175">
        <f t="shared" si="21"/>
        <v>0</v>
      </c>
    </row>
    <row r="361" spans="1:21">
      <c r="A361" s="183" t="str">
        <f t="shared" si="19"/>
        <v>811</v>
      </c>
      <c r="B361" s="183" t="str">
        <f t="shared" si="20"/>
        <v>811.0</v>
      </c>
      <c r="C361" t="s">
        <v>2122</v>
      </c>
      <c r="D361" t="s">
        <v>1575</v>
      </c>
      <c r="G361">
        <v>0</v>
      </c>
      <c r="H361">
        <v>0</v>
      </c>
      <c r="I361">
        <v>0</v>
      </c>
      <c r="J361">
        <v>0</v>
      </c>
      <c r="K361">
        <v>0</v>
      </c>
      <c r="L361">
        <v>0</v>
      </c>
      <c r="M361">
        <v>0</v>
      </c>
      <c r="N361">
        <v>0</v>
      </c>
      <c r="O361">
        <v>0</v>
      </c>
      <c r="P361">
        <v>0</v>
      </c>
      <c r="Q361">
        <v>0</v>
      </c>
      <c r="R361">
        <v>0</v>
      </c>
      <c r="S361">
        <v>0</v>
      </c>
      <c r="U361" s="175">
        <f t="shared" si="21"/>
        <v>0</v>
      </c>
    </row>
    <row r="362" spans="1:21">
      <c r="A362" s="183" t="str">
        <f t="shared" si="19"/>
        <v>812</v>
      </c>
      <c r="B362" s="183" t="str">
        <f t="shared" si="20"/>
        <v>812.0</v>
      </c>
      <c r="C362" t="s">
        <v>2123</v>
      </c>
      <c r="D362" t="s">
        <v>1577</v>
      </c>
      <c r="G362">
        <v>0</v>
      </c>
      <c r="H362">
        <v>0</v>
      </c>
      <c r="I362">
        <v>0</v>
      </c>
      <c r="J362">
        <v>0</v>
      </c>
      <c r="K362">
        <v>0</v>
      </c>
      <c r="L362">
        <v>0</v>
      </c>
      <c r="M362">
        <v>0</v>
      </c>
      <c r="N362">
        <v>0</v>
      </c>
      <c r="O362">
        <v>0</v>
      </c>
      <c r="P362">
        <v>0</v>
      </c>
      <c r="Q362">
        <v>0</v>
      </c>
      <c r="R362">
        <v>0</v>
      </c>
      <c r="S362">
        <v>0</v>
      </c>
      <c r="U362" s="175">
        <f t="shared" si="21"/>
        <v>0</v>
      </c>
    </row>
    <row r="363" spans="1:21">
      <c r="A363" s="183" t="str">
        <f t="shared" si="19"/>
        <v>813</v>
      </c>
      <c r="B363" s="183" t="str">
        <f t="shared" si="20"/>
        <v>813.0</v>
      </c>
      <c r="C363" t="s">
        <v>2124</v>
      </c>
      <c r="D363" t="s">
        <v>1579</v>
      </c>
      <c r="G363">
        <v>0</v>
      </c>
      <c r="H363">
        <v>0</v>
      </c>
      <c r="I363">
        <v>0</v>
      </c>
      <c r="J363">
        <v>0</v>
      </c>
      <c r="K363">
        <v>0</v>
      </c>
      <c r="L363">
        <v>0</v>
      </c>
      <c r="M363">
        <v>0</v>
      </c>
      <c r="N363">
        <v>0</v>
      </c>
      <c r="O363">
        <v>0</v>
      </c>
      <c r="P363">
        <v>0</v>
      </c>
      <c r="Q363">
        <v>0</v>
      </c>
      <c r="R363">
        <v>0</v>
      </c>
      <c r="S363">
        <v>0</v>
      </c>
      <c r="U363" s="175">
        <f t="shared" si="21"/>
        <v>0</v>
      </c>
    </row>
    <row r="364" spans="1:21">
      <c r="A364" s="183" t="str">
        <f t="shared" si="19"/>
        <v>826</v>
      </c>
      <c r="B364" s="183" t="str">
        <f t="shared" si="20"/>
        <v>826.0</v>
      </c>
      <c r="C364" t="s">
        <v>2125</v>
      </c>
      <c r="D364" t="s">
        <v>1581</v>
      </c>
      <c r="G364">
        <v>0</v>
      </c>
      <c r="H364">
        <v>0</v>
      </c>
      <c r="I364">
        <v>0</v>
      </c>
      <c r="J364">
        <v>0</v>
      </c>
      <c r="K364">
        <v>0</v>
      </c>
      <c r="L364">
        <v>0</v>
      </c>
      <c r="M364">
        <v>0</v>
      </c>
      <c r="N364">
        <v>0</v>
      </c>
      <c r="O364">
        <v>0</v>
      </c>
      <c r="P364">
        <v>0</v>
      </c>
      <c r="Q364">
        <v>0</v>
      </c>
      <c r="R364">
        <v>0</v>
      </c>
      <c r="S364">
        <v>0</v>
      </c>
      <c r="U364" s="175">
        <f t="shared" si="21"/>
        <v>0</v>
      </c>
    </row>
    <row r="365" spans="1:21">
      <c r="A365" s="183" t="str">
        <f t="shared" si="19"/>
        <v>850</v>
      </c>
      <c r="B365" s="183" t="str">
        <f t="shared" si="20"/>
        <v>850.0</v>
      </c>
      <c r="C365" t="s">
        <v>2126</v>
      </c>
      <c r="D365" t="s">
        <v>1583</v>
      </c>
      <c r="G365">
        <v>0</v>
      </c>
      <c r="H365">
        <v>0</v>
      </c>
      <c r="I365">
        <v>0</v>
      </c>
      <c r="J365">
        <v>0</v>
      </c>
      <c r="K365">
        <v>0</v>
      </c>
      <c r="L365">
        <v>0</v>
      </c>
      <c r="M365">
        <v>0</v>
      </c>
      <c r="N365">
        <v>0</v>
      </c>
      <c r="O365">
        <v>0</v>
      </c>
      <c r="P365">
        <v>0</v>
      </c>
      <c r="Q365">
        <v>0</v>
      </c>
      <c r="R365">
        <v>0</v>
      </c>
      <c r="S365">
        <v>0</v>
      </c>
      <c r="U365" s="175">
        <f t="shared" si="21"/>
        <v>0</v>
      </c>
    </row>
    <row r="366" spans="1:21">
      <c r="A366" s="183" t="str">
        <f t="shared" si="19"/>
        <v>851</v>
      </c>
      <c r="B366" s="183" t="str">
        <f t="shared" si="20"/>
        <v>851.0</v>
      </c>
      <c r="C366" t="s">
        <v>2127</v>
      </c>
      <c r="D366" t="s">
        <v>1585</v>
      </c>
      <c r="G366">
        <v>0</v>
      </c>
      <c r="H366">
        <v>0</v>
      </c>
      <c r="I366">
        <v>0</v>
      </c>
      <c r="J366">
        <v>0</v>
      </c>
      <c r="K366">
        <v>0</v>
      </c>
      <c r="L366">
        <v>0</v>
      </c>
      <c r="M366">
        <v>0</v>
      </c>
      <c r="N366">
        <v>0</v>
      </c>
      <c r="O366">
        <v>0</v>
      </c>
      <c r="P366">
        <v>0</v>
      </c>
      <c r="Q366">
        <v>0</v>
      </c>
      <c r="R366">
        <v>0</v>
      </c>
      <c r="S366">
        <v>0</v>
      </c>
      <c r="U366" s="175">
        <f t="shared" si="21"/>
        <v>0</v>
      </c>
    </row>
    <row r="367" spans="1:21">
      <c r="A367" s="183" t="str">
        <f t="shared" si="19"/>
        <v>852</v>
      </c>
      <c r="B367" s="183" t="str">
        <f t="shared" si="20"/>
        <v>852.0</v>
      </c>
      <c r="C367" t="s">
        <v>2128</v>
      </c>
      <c r="D367" t="s">
        <v>1587</v>
      </c>
      <c r="G367">
        <v>0</v>
      </c>
      <c r="H367">
        <v>0</v>
      </c>
      <c r="I367">
        <v>0</v>
      </c>
      <c r="J367">
        <v>0</v>
      </c>
      <c r="K367">
        <v>0</v>
      </c>
      <c r="L367">
        <v>0</v>
      </c>
      <c r="M367">
        <v>0</v>
      </c>
      <c r="N367">
        <v>0</v>
      </c>
      <c r="O367">
        <v>0</v>
      </c>
      <c r="P367">
        <v>0</v>
      </c>
      <c r="Q367">
        <v>0</v>
      </c>
      <c r="R367">
        <v>0</v>
      </c>
      <c r="S367">
        <v>0</v>
      </c>
      <c r="U367" s="175">
        <f t="shared" si="21"/>
        <v>0</v>
      </c>
    </row>
    <row r="368" spans="1:21">
      <c r="A368" s="183" t="str">
        <f t="shared" si="19"/>
        <v>853</v>
      </c>
      <c r="B368" s="183" t="str">
        <f t="shared" si="20"/>
        <v>853.0</v>
      </c>
      <c r="C368" t="s">
        <v>2129</v>
      </c>
      <c r="D368" t="s">
        <v>1589</v>
      </c>
      <c r="G368">
        <v>0</v>
      </c>
      <c r="H368">
        <v>0</v>
      </c>
      <c r="I368">
        <v>0</v>
      </c>
      <c r="J368">
        <v>0</v>
      </c>
      <c r="K368">
        <v>0</v>
      </c>
      <c r="L368">
        <v>0</v>
      </c>
      <c r="M368">
        <v>0</v>
      </c>
      <c r="N368">
        <v>0</v>
      </c>
      <c r="O368">
        <v>0</v>
      </c>
      <c r="P368">
        <v>0</v>
      </c>
      <c r="Q368">
        <v>0</v>
      </c>
      <c r="R368">
        <v>0</v>
      </c>
      <c r="S368">
        <v>0</v>
      </c>
      <c r="U368" s="175">
        <f t="shared" si="21"/>
        <v>0</v>
      </c>
    </row>
    <row r="369" spans="1:21">
      <c r="A369" s="183" t="str">
        <f t="shared" si="19"/>
        <v>854</v>
      </c>
      <c r="B369" s="183" t="str">
        <f t="shared" si="20"/>
        <v>854.0</v>
      </c>
      <c r="C369" t="s">
        <v>2130</v>
      </c>
      <c r="D369" t="s">
        <v>1591</v>
      </c>
      <c r="G369">
        <v>0</v>
      </c>
      <c r="H369">
        <v>0</v>
      </c>
      <c r="I369">
        <v>0</v>
      </c>
      <c r="J369">
        <v>0</v>
      </c>
      <c r="K369">
        <v>0</v>
      </c>
      <c r="L369">
        <v>0</v>
      </c>
      <c r="M369">
        <v>0</v>
      </c>
      <c r="N369">
        <v>0</v>
      </c>
      <c r="O369">
        <v>0</v>
      </c>
      <c r="P369">
        <v>0</v>
      </c>
      <c r="Q369">
        <v>0</v>
      </c>
      <c r="R369">
        <v>0</v>
      </c>
      <c r="S369">
        <v>0</v>
      </c>
      <c r="U369" s="175">
        <f t="shared" si="21"/>
        <v>0</v>
      </c>
    </row>
    <row r="370" spans="1:21">
      <c r="A370" s="183" t="str">
        <f t="shared" si="19"/>
        <v>855</v>
      </c>
      <c r="B370" s="183" t="str">
        <f t="shared" si="20"/>
        <v>855.0</v>
      </c>
      <c r="C370" t="s">
        <v>2131</v>
      </c>
      <c r="D370" t="s">
        <v>1593</v>
      </c>
      <c r="G370">
        <v>0</v>
      </c>
      <c r="H370">
        <v>0</v>
      </c>
      <c r="I370">
        <v>0</v>
      </c>
      <c r="J370">
        <v>0</v>
      </c>
      <c r="K370">
        <v>0</v>
      </c>
      <c r="L370">
        <v>0</v>
      </c>
      <c r="M370">
        <v>0</v>
      </c>
      <c r="N370">
        <v>0</v>
      </c>
      <c r="O370">
        <v>0</v>
      </c>
      <c r="P370">
        <v>0</v>
      </c>
      <c r="Q370">
        <v>0</v>
      </c>
      <c r="R370">
        <v>0</v>
      </c>
      <c r="S370">
        <v>0</v>
      </c>
      <c r="U370" s="175">
        <f t="shared" si="21"/>
        <v>0</v>
      </c>
    </row>
    <row r="371" spans="1:21">
      <c r="A371" s="183" t="str">
        <f t="shared" si="19"/>
        <v>856</v>
      </c>
      <c r="B371" s="183" t="str">
        <f t="shared" si="20"/>
        <v>856.0</v>
      </c>
      <c r="C371" t="s">
        <v>2132</v>
      </c>
      <c r="D371" t="s">
        <v>1595</v>
      </c>
      <c r="G371">
        <v>0</v>
      </c>
      <c r="H371">
        <v>0</v>
      </c>
      <c r="I371">
        <v>0</v>
      </c>
      <c r="J371">
        <v>0</v>
      </c>
      <c r="K371">
        <v>0</v>
      </c>
      <c r="L371">
        <v>0</v>
      </c>
      <c r="M371">
        <v>0</v>
      </c>
      <c r="N371">
        <v>0</v>
      </c>
      <c r="O371">
        <v>0</v>
      </c>
      <c r="P371">
        <v>0</v>
      </c>
      <c r="Q371">
        <v>0</v>
      </c>
      <c r="R371">
        <v>0</v>
      </c>
      <c r="S371">
        <v>0</v>
      </c>
      <c r="U371" s="175">
        <f t="shared" si="21"/>
        <v>0</v>
      </c>
    </row>
    <row r="372" spans="1:21">
      <c r="A372" s="183" t="str">
        <f t="shared" si="19"/>
        <v>857</v>
      </c>
      <c r="B372" s="183" t="str">
        <f t="shared" si="20"/>
        <v>857.0</v>
      </c>
      <c r="C372" t="s">
        <v>2133</v>
      </c>
      <c r="D372" t="s">
        <v>1597</v>
      </c>
      <c r="G372">
        <v>0</v>
      </c>
      <c r="H372">
        <v>0</v>
      </c>
      <c r="I372">
        <v>0</v>
      </c>
      <c r="J372">
        <v>0</v>
      </c>
      <c r="K372">
        <v>0</v>
      </c>
      <c r="L372">
        <v>0</v>
      </c>
      <c r="M372">
        <v>0</v>
      </c>
      <c r="N372">
        <v>0</v>
      </c>
      <c r="O372">
        <v>0</v>
      </c>
      <c r="P372">
        <v>0</v>
      </c>
      <c r="Q372">
        <v>0</v>
      </c>
      <c r="R372">
        <v>0</v>
      </c>
      <c r="S372">
        <v>0</v>
      </c>
      <c r="U372" s="175">
        <f t="shared" si="21"/>
        <v>0</v>
      </c>
    </row>
    <row r="373" spans="1:21">
      <c r="A373" s="183" t="str">
        <f t="shared" si="19"/>
        <v>858</v>
      </c>
      <c r="B373" s="183" t="str">
        <f t="shared" si="20"/>
        <v>858.0</v>
      </c>
      <c r="C373" t="s">
        <v>2134</v>
      </c>
      <c r="D373" t="s">
        <v>1599</v>
      </c>
      <c r="G373">
        <v>0</v>
      </c>
      <c r="H373">
        <v>0</v>
      </c>
      <c r="I373">
        <v>0</v>
      </c>
      <c r="J373">
        <v>0</v>
      </c>
      <c r="K373">
        <v>0</v>
      </c>
      <c r="L373">
        <v>0</v>
      </c>
      <c r="M373">
        <v>0</v>
      </c>
      <c r="N373">
        <v>0</v>
      </c>
      <c r="O373">
        <v>0</v>
      </c>
      <c r="P373">
        <v>0</v>
      </c>
      <c r="Q373">
        <v>0</v>
      </c>
      <c r="R373">
        <v>0</v>
      </c>
      <c r="S373">
        <v>0</v>
      </c>
      <c r="U373" s="175">
        <f t="shared" si="21"/>
        <v>0</v>
      </c>
    </row>
    <row r="374" spans="1:21">
      <c r="A374" s="183" t="str">
        <f t="shared" si="19"/>
        <v>859</v>
      </c>
      <c r="B374" s="183" t="str">
        <f t="shared" si="20"/>
        <v>859.0</v>
      </c>
      <c r="C374" t="s">
        <v>2135</v>
      </c>
      <c r="D374" t="s">
        <v>1601</v>
      </c>
      <c r="G374">
        <v>0</v>
      </c>
      <c r="H374">
        <v>0</v>
      </c>
      <c r="I374">
        <v>0</v>
      </c>
      <c r="J374">
        <v>0</v>
      </c>
      <c r="K374">
        <v>0</v>
      </c>
      <c r="L374">
        <v>0</v>
      </c>
      <c r="M374">
        <v>0</v>
      </c>
      <c r="N374">
        <v>0</v>
      </c>
      <c r="O374">
        <v>0</v>
      </c>
      <c r="P374">
        <v>0</v>
      </c>
      <c r="Q374">
        <v>0</v>
      </c>
      <c r="R374">
        <v>0</v>
      </c>
      <c r="S374">
        <v>0</v>
      </c>
      <c r="U374" s="175">
        <f t="shared" si="21"/>
        <v>0</v>
      </c>
    </row>
    <row r="375" spans="1:21">
      <c r="A375" s="183" t="str">
        <f t="shared" si="19"/>
        <v>860</v>
      </c>
      <c r="B375" s="183" t="str">
        <f t="shared" si="20"/>
        <v>860.0</v>
      </c>
      <c r="C375" t="s">
        <v>2136</v>
      </c>
      <c r="D375" t="s">
        <v>1603</v>
      </c>
      <c r="G375">
        <v>0</v>
      </c>
      <c r="H375">
        <v>0</v>
      </c>
      <c r="I375">
        <v>0</v>
      </c>
      <c r="J375">
        <v>0</v>
      </c>
      <c r="K375">
        <v>0</v>
      </c>
      <c r="L375">
        <v>0</v>
      </c>
      <c r="M375">
        <v>0</v>
      </c>
      <c r="N375">
        <v>0</v>
      </c>
      <c r="O375">
        <v>0</v>
      </c>
      <c r="P375">
        <v>0</v>
      </c>
      <c r="Q375">
        <v>0</v>
      </c>
      <c r="R375">
        <v>0</v>
      </c>
      <c r="S375">
        <v>0</v>
      </c>
      <c r="U375" s="175">
        <f t="shared" si="21"/>
        <v>0</v>
      </c>
    </row>
    <row r="376" spans="1:21">
      <c r="A376" s="183" t="str">
        <f t="shared" si="19"/>
        <v>861</v>
      </c>
      <c r="B376" s="183" t="str">
        <f t="shared" si="20"/>
        <v>861.0</v>
      </c>
      <c r="C376" t="s">
        <v>2137</v>
      </c>
      <c r="D376" t="s">
        <v>1605</v>
      </c>
      <c r="G376">
        <v>0</v>
      </c>
      <c r="H376">
        <v>0</v>
      </c>
      <c r="I376">
        <v>0</v>
      </c>
      <c r="J376">
        <v>0</v>
      </c>
      <c r="K376">
        <v>0</v>
      </c>
      <c r="L376">
        <v>0</v>
      </c>
      <c r="M376">
        <v>0</v>
      </c>
      <c r="N376">
        <v>0</v>
      </c>
      <c r="O376">
        <v>0</v>
      </c>
      <c r="P376">
        <v>0</v>
      </c>
      <c r="Q376">
        <v>0</v>
      </c>
      <c r="R376">
        <v>0</v>
      </c>
      <c r="S376">
        <v>0</v>
      </c>
      <c r="U376" s="175">
        <f t="shared" si="21"/>
        <v>0</v>
      </c>
    </row>
    <row r="377" spans="1:21">
      <c r="A377" s="183" t="str">
        <f t="shared" si="19"/>
        <v>862</v>
      </c>
      <c r="B377" s="183" t="str">
        <f t="shared" si="20"/>
        <v>862.0</v>
      </c>
      <c r="C377" t="s">
        <v>2138</v>
      </c>
      <c r="D377" t="s">
        <v>1607</v>
      </c>
      <c r="G377">
        <v>0</v>
      </c>
      <c r="H377">
        <v>0</v>
      </c>
      <c r="I377">
        <v>0</v>
      </c>
      <c r="J377">
        <v>0</v>
      </c>
      <c r="K377">
        <v>0</v>
      </c>
      <c r="L377">
        <v>0</v>
      </c>
      <c r="M377">
        <v>0</v>
      </c>
      <c r="N377">
        <v>0</v>
      </c>
      <c r="O377">
        <v>0</v>
      </c>
      <c r="P377">
        <v>0</v>
      </c>
      <c r="Q377">
        <v>0</v>
      </c>
      <c r="R377">
        <v>0</v>
      </c>
      <c r="S377">
        <v>0</v>
      </c>
      <c r="U377" s="175">
        <f t="shared" si="21"/>
        <v>0</v>
      </c>
    </row>
    <row r="378" spans="1:21">
      <c r="A378" s="183" t="str">
        <f t="shared" si="19"/>
        <v>863</v>
      </c>
      <c r="B378" s="183" t="str">
        <f t="shared" si="20"/>
        <v>863.0</v>
      </c>
      <c r="C378" t="s">
        <v>2139</v>
      </c>
      <c r="D378" t="s">
        <v>1609</v>
      </c>
      <c r="G378">
        <v>0</v>
      </c>
      <c r="H378">
        <v>0</v>
      </c>
      <c r="I378">
        <v>0</v>
      </c>
      <c r="J378">
        <v>0</v>
      </c>
      <c r="K378">
        <v>0</v>
      </c>
      <c r="L378">
        <v>0</v>
      </c>
      <c r="M378">
        <v>0</v>
      </c>
      <c r="N378">
        <v>0</v>
      </c>
      <c r="O378">
        <v>0</v>
      </c>
      <c r="P378">
        <v>0</v>
      </c>
      <c r="Q378">
        <v>0</v>
      </c>
      <c r="R378">
        <v>0</v>
      </c>
      <c r="S378">
        <v>0</v>
      </c>
      <c r="U378" s="175">
        <f t="shared" si="21"/>
        <v>0</v>
      </c>
    </row>
    <row r="379" spans="1:21">
      <c r="A379" s="183" t="str">
        <f t="shared" si="19"/>
        <v>864</v>
      </c>
      <c r="B379" s="183" t="str">
        <f t="shared" si="20"/>
        <v>864.0</v>
      </c>
      <c r="C379" t="s">
        <v>2140</v>
      </c>
      <c r="D379" t="s">
        <v>1611</v>
      </c>
      <c r="G379">
        <v>0</v>
      </c>
      <c r="H379">
        <v>0</v>
      </c>
      <c r="I379">
        <v>0</v>
      </c>
      <c r="J379">
        <v>0</v>
      </c>
      <c r="K379">
        <v>0</v>
      </c>
      <c r="L379">
        <v>0</v>
      </c>
      <c r="M379">
        <v>0</v>
      </c>
      <c r="N379">
        <v>0</v>
      </c>
      <c r="O379">
        <v>0</v>
      </c>
      <c r="P379">
        <v>0</v>
      </c>
      <c r="Q379">
        <v>0</v>
      </c>
      <c r="R379">
        <v>0</v>
      </c>
      <c r="S379">
        <v>0</v>
      </c>
      <c r="U379" s="175">
        <f t="shared" si="21"/>
        <v>0</v>
      </c>
    </row>
    <row r="380" spans="1:21">
      <c r="A380" s="183" t="str">
        <f t="shared" si="19"/>
        <v>865</v>
      </c>
      <c r="B380" s="183" t="str">
        <f t="shared" si="20"/>
        <v>865.0</v>
      </c>
      <c r="C380" t="s">
        <v>2141</v>
      </c>
      <c r="D380" t="s">
        <v>1613</v>
      </c>
      <c r="G380">
        <v>0</v>
      </c>
      <c r="H380">
        <v>0</v>
      </c>
      <c r="I380">
        <v>0</v>
      </c>
      <c r="J380">
        <v>0</v>
      </c>
      <c r="K380">
        <v>0</v>
      </c>
      <c r="L380">
        <v>0</v>
      </c>
      <c r="M380">
        <v>0</v>
      </c>
      <c r="N380">
        <v>0</v>
      </c>
      <c r="O380">
        <v>0</v>
      </c>
      <c r="P380">
        <v>0</v>
      </c>
      <c r="Q380">
        <v>0</v>
      </c>
      <c r="R380">
        <v>0</v>
      </c>
      <c r="S380">
        <v>0</v>
      </c>
      <c r="U380" s="175">
        <f t="shared" si="21"/>
        <v>0</v>
      </c>
    </row>
    <row r="381" spans="1:21">
      <c r="A381" s="183" t="str">
        <f t="shared" si="19"/>
        <v>866</v>
      </c>
      <c r="B381" s="183" t="str">
        <f t="shared" si="20"/>
        <v>866.0</v>
      </c>
      <c r="C381" t="s">
        <v>2142</v>
      </c>
      <c r="D381" t="s">
        <v>1615</v>
      </c>
      <c r="G381">
        <v>0</v>
      </c>
      <c r="H381">
        <v>0</v>
      </c>
      <c r="I381">
        <v>0</v>
      </c>
      <c r="J381">
        <v>0</v>
      </c>
      <c r="K381">
        <v>0</v>
      </c>
      <c r="L381">
        <v>0</v>
      </c>
      <c r="M381">
        <v>0</v>
      </c>
      <c r="N381">
        <v>0</v>
      </c>
      <c r="O381">
        <v>0</v>
      </c>
      <c r="P381">
        <v>0</v>
      </c>
      <c r="Q381">
        <v>0</v>
      </c>
      <c r="R381">
        <v>0</v>
      </c>
      <c r="S381">
        <v>0</v>
      </c>
      <c r="U381" s="175">
        <f t="shared" si="21"/>
        <v>0</v>
      </c>
    </row>
    <row r="382" spans="1:21">
      <c r="A382" s="183" t="str">
        <f t="shared" si="19"/>
        <v>867</v>
      </c>
      <c r="B382" s="183" t="str">
        <f t="shared" si="20"/>
        <v>867.0</v>
      </c>
      <c r="C382" t="s">
        <v>2143</v>
      </c>
      <c r="D382" t="s">
        <v>1617</v>
      </c>
      <c r="G382">
        <v>0</v>
      </c>
      <c r="H382">
        <v>0</v>
      </c>
      <c r="I382">
        <v>0</v>
      </c>
      <c r="J382">
        <v>0</v>
      </c>
      <c r="K382">
        <v>0</v>
      </c>
      <c r="L382">
        <v>0</v>
      </c>
      <c r="M382">
        <v>0</v>
      </c>
      <c r="N382">
        <v>0</v>
      </c>
      <c r="O382">
        <v>0</v>
      </c>
      <c r="P382">
        <v>0</v>
      </c>
      <c r="Q382">
        <v>0</v>
      </c>
      <c r="R382">
        <v>0</v>
      </c>
      <c r="S382">
        <v>0</v>
      </c>
      <c r="U382" s="175">
        <f t="shared" si="21"/>
        <v>0</v>
      </c>
    </row>
    <row r="383" spans="1:21">
      <c r="A383" s="183" t="str">
        <f t="shared" si="19"/>
        <v>870</v>
      </c>
      <c r="B383" s="183" t="str">
        <f t="shared" si="20"/>
        <v>870.0</v>
      </c>
      <c r="C383" t="s">
        <v>2144</v>
      </c>
      <c r="D383" t="s">
        <v>1619</v>
      </c>
      <c r="G383">
        <v>0</v>
      </c>
      <c r="H383">
        <v>0</v>
      </c>
      <c r="I383">
        <v>0</v>
      </c>
      <c r="J383">
        <v>0</v>
      </c>
      <c r="K383">
        <v>0</v>
      </c>
      <c r="L383">
        <v>0</v>
      </c>
      <c r="M383">
        <v>0</v>
      </c>
      <c r="N383">
        <v>0</v>
      </c>
      <c r="O383">
        <v>0</v>
      </c>
      <c r="P383">
        <v>0</v>
      </c>
      <c r="Q383">
        <v>0</v>
      </c>
      <c r="R383">
        <v>0</v>
      </c>
      <c r="S383">
        <v>0</v>
      </c>
      <c r="U383" s="175">
        <f t="shared" si="21"/>
        <v>0</v>
      </c>
    </row>
    <row r="384" spans="1:21">
      <c r="A384" s="183" t="str">
        <f t="shared" si="19"/>
        <v>871</v>
      </c>
      <c r="B384" s="183" t="str">
        <f t="shared" si="20"/>
        <v>871.0</v>
      </c>
      <c r="C384" t="s">
        <v>2145</v>
      </c>
      <c r="D384" t="s">
        <v>1621</v>
      </c>
      <c r="G384">
        <v>0</v>
      </c>
      <c r="H384">
        <v>0</v>
      </c>
      <c r="I384">
        <v>0</v>
      </c>
      <c r="J384">
        <v>0</v>
      </c>
      <c r="K384">
        <v>0</v>
      </c>
      <c r="L384">
        <v>0</v>
      </c>
      <c r="M384">
        <v>0</v>
      </c>
      <c r="N384">
        <v>0</v>
      </c>
      <c r="O384">
        <v>0</v>
      </c>
      <c r="P384">
        <v>0</v>
      </c>
      <c r="Q384">
        <v>0</v>
      </c>
      <c r="R384">
        <v>0</v>
      </c>
      <c r="S384">
        <v>0</v>
      </c>
      <c r="U384" s="175">
        <f t="shared" si="21"/>
        <v>0</v>
      </c>
    </row>
    <row r="385" spans="1:21">
      <c r="A385" s="183" t="str">
        <f t="shared" si="19"/>
        <v>872</v>
      </c>
      <c r="B385" s="183" t="str">
        <f t="shared" si="20"/>
        <v>872.0</v>
      </c>
      <c r="C385" t="s">
        <v>2146</v>
      </c>
      <c r="D385" t="s">
        <v>1623</v>
      </c>
      <c r="G385">
        <v>0</v>
      </c>
      <c r="H385">
        <v>0</v>
      </c>
      <c r="I385">
        <v>0</v>
      </c>
      <c r="J385">
        <v>0</v>
      </c>
      <c r="K385">
        <v>0</v>
      </c>
      <c r="L385">
        <v>0</v>
      </c>
      <c r="M385">
        <v>0</v>
      </c>
      <c r="N385">
        <v>0</v>
      </c>
      <c r="O385">
        <v>0</v>
      </c>
      <c r="P385">
        <v>0</v>
      </c>
      <c r="Q385">
        <v>0</v>
      </c>
      <c r="R385">
        <v>0</v>
      </c>
      <c r="S385">
        <v>0</v>
      </c>
      <c r="U385" s="175">
        <f t="shared" si="21"/>
        <v>0</v>
      </c>
    </row>
    <row r="386" spans="1:21">
      <c r="A386" s="183" t="str">
        <f t="shared" si="19"/>
        <v>873</v>
      </c>
      <c r="B386" s="183" t="str">
        <f t="shared" si="20"/>
        <v>873.0</v>
      </c>
      <c r="C386" t="s">
        <v>2147</v>
      </c>
      <c r="D386" t="s">
        <v>1625</v>
      </c>
      <c r="G386">
        <v>0</v>
      </c>
      <c r="H386">
        <v>0</v>
      </c>
      <c r="I386">
        <v>0</v>
      </c>
      <c r="J386">
        <v>0</v>
      </c>
      <c r="K386">
        <v>0</v>
      </c>
      <c r="L386">
        <v>0</v>
      </c>
      <c r="M386">
        <v>0</v>
      </c>
      <c r="N386">
        <v>0</v>
      </c>
      <c r="O386">
        <v>0</v>
      </c>
      <c r="P386">
        <v>0</v>
      </c>
      <c r="Q386">
        <v>0</v>
      </c>
      <c r="R386">
        <v>0</v>
      </c>
      <c r="S386">
        <v>0</v>
      </c>
      <c r="U386" s="175">
        <f t="shared" si="21"/>
        <v>0</v>
      </c>
    </row>
    <row r="387" spans="1:21">
      <c r="A387" s="183" t="str">
        <f t="shared" si="19"/>
        <v>874</v>
      </c>
      <c r="B387" s="183" t="str">
        <f t="shared" si="20"/>
        <v>874.0</v>
      </c>
      <c r="C387" t="s">
        <v>2148</v>
      </c>
      <c r="D387" t="s">
        <v>1627</v>
      </c>
      <c r="G387">
        <v>0</v>
      </c>
      <c r="H387">
        <v>0</v>
      </c>
      <c r="I387">
        <v>0</v>
      </c>
      <c r="J387">
        <v>0</v>
      </c>
      <c r="K387">
        <v>0</v>
      </c>
      <c r="L387">
        <v>0</v>
      </c>
      <c r="M387">
        <v>0</v>
      </c>
      <c r="N387">
        <v>0</v>
      </c>
      <c r="O387">
        <v>0</v>
      </c>
      <c r="P387">
        <v>0</v>
      </c>
      <c r="Q387">
        <v>0</v>
      </c>
      <c r="R387">
        <v>0</v>
      </c>
      <c r="S387">
        <v>0</v>
      </c>
      <c r="U387" s="175">
        <f t="shared" si="21"/>
        <v>0</v>
      </c>
    </row>
    <row r="388" spans="1:21">
      <c r="A388" s="183" t="str">
        <f t="shared" si="19"/>
        <v>875</v>
      </c>
      <c r="B388" s="183" t="str">
        <f t="shared" si="20"/>
        <v>875.0</v>
      </c>
      <c r="C388" t="s">
        <v>2149</v>
      </c>
      <c r="D388" t="s">
        <v>1629</v>
      </c>
      <c r="G388">
        <v>0</v>
      </c>
      <c r="H388">
        <v>0</v>
      </c>
      <c r="I388">
        <v>0</v>
      </c>
      <c r="J388">
        <v>0</v>
      </c>
      <c r="K388">
        <v>0</v>
      </c>
      <c r="L388">
        <v>0</v>
      </c>
      <c r="M388">
        <v>0</v>
      </c>
      <c r="N388">
        <v>0</v>
      </c>
      <c r="O388">
        <v>0</v>
      </c>
      <c r="P388">
        <v>0</v>
      </c>
      <c r="Q388">
        <v>0</v>
      </c>
      <c r="R388">
        <v>0</v>
      </c>
      <c r="S388">
        <v>0</v>
      </c>
      <c r="U388" s="175">
        <f t="shared" si="21"/>
        <v>0</v>
      </c>
    </row>
    <row r="389" spans="1:21">
      <c r="A389" s="183" t="str">
        <f t="shared" si="19"/>
        <v>876</v>
      </c>
      <c r="B389" s="183" t="str">
        <f t="shared" si="20"/>
        <v>876.0</v>
      </c>
      <c r="C389" t="s">
        <v>2150</v>
      </c>
      <c r="D389" t="s">
        <v>1631</v>
      </c>
      <c r="G389">
        <v>0</v>
      </c>
      <c r="H389">
        <v>0</v>
      </c>
      <c r="I389">
        <v>0</v>
      </c>
      <c r="J389">
        <v>0</v>
      </c>
      <c r="K389">
        <v>0</v>
      </c>
      <c r="L389">
        <v>0</v>
      </c>
      <c r="M389">
        <v>0</v>
      </c>
      <c r="N389">
        <v>0</v>
      </c>
      <c r="O389">
        <v>0</v>
      </c>
      <c r="P389">
        <v>0</v>
      </c>
      <c r="Q389">
        <v>0</v>
      </c>
      <c r="R389">
        <v>0</v>
      </c>
      <c r="S389">
        <v>0</v>
      </c>
      <c r="U389" s="175">
        <f t="shared" si="21"/>
        <v>0</v>
      </c>
    </row>
    <row r="390" spans="1:21">
      <c r="A390" s="183" t="str">
        <f t="shared" si="19"/>
        <v>877</v>
      </c>
      <c r="B390" s="183" t="str">
        <f t="shared" si="20"/>
        <v>877.0</v>
      </c>
      <c r="C390" t="s">
        <v>2151</v>
      </c>
      <c r="D390" t="s">
        <v>1633</v>
      </c>
      <c r="G390">
        <v>0</v>
      </c>
      <c r="H390">
        <v>0</v>
      </c>
      <c r="I390">
        <v>0</v>
      </c>
      <c r="J390">
        <v>0</v>
      </c>
      <c r="K390">
        <v>0</v>
      </c>
      <c r="L390">
        <v>0</v>
      </c>
      <c r="M390">
        <v>0</v>
      </c>
      <c r="N390">
        <v>0</v>
      </c>
      <c r="O390">
        <v>0</v>
      </c>
      <c r="P390">
        <v>0</v>
      </c>
      <c r="Q390">
        <v>0</v>
      </c>
      <c r="R390">
        <v>0</v>
      </c>
      <c r="S390">
        <v>0</v>
      </c>
      <c r="U390" s="175">
        <f t="shared" si="21"/>
        <v>0</v>
      </c>
    </row>
    <row r="391" spans="1:21">
      <c r="A391" s="183" t="str">
        <f t="shared" ref="A391:A436" si="22">MID(C391,4,3)</f>
        <v>878</v>
      </c>
      <c r="B391" s="183" t="str">
        <f t="shared" ref="B391:B436" si="23">MID(C391,4,3)&amp;"."&amp;MID(C391,7,1)</f>
        <v>878.0</v>
      </c>
      <c r="C391" t="s">
        <v>2152</v>
      </c>
      <c r="D391" t="s">
        <v>1635</v>
      </c>
      <c r="G391">
        <v>0</v>
      </c>
      <c r="H391">
        <v>0</v>
      </c>
      <c r="I391">
        <v>0</v>
      </c>
      <c r="J391">
        <v>0</v>
      </c>
      <c r="K391">
        <v>0</v>
      </c>
      <c r="L391">
        <v>0</v>
      </c>
      <c r="M391">
        <v>0</v>
      </c>
      <c r="N391">
        <v>0</v>
      </c>
      <c r="O391">
        <v>0</v>
      </c>
      <c r="P391">
        <v>0</v>
      </c>
      <c r="Q391">
        <v>0</v>
      </c>
      <c r="R391">
        <v>0</v>
      </c>
      <c r="S391">
        <v>0</v>
      </c>
      <c r="U391" s="175">
        <f t="shared" ref="U391:U433" si="24">AVERAGE(G391:S391)</f>
        <v>0</v>
      </c>
    </row>
    <row r="392" spans="1:21">
      <c r="A392" s="183" t="str">
        <f t="shared" si="22"/>
        <v>879</v>
      </c>
      <c r="B392" s="183" t="str">
        <f t="shared" si="23"/>
        <v>879.0</v>
      </c>
      <c r="C392" t="s">
        <v>2153</v>
      </c>
      <c r="D392" t="s">
        <v>1637</v>
      </c>
      <c r="G392">
        <v>0</v>
      </c>
      <c r="H392">
        <v>0</v>
      </c>
      <c r="I392">
        <v>0</v>
      </c>
      <c r="J392">
        <v>0</v>
      </c>
      <c r="K392">
        <v>0</v>
      </c>
      <c r="L392">
        <v>0</v>
      </c>
      <c r="M392">
        <v>0</v>
      </c>
      <c r="N392">
        <v>0</v>
      </c>
      <c r="O392">
        <v>0</v>
      </c>
      <c r="P392">
        <v>0</v>
      </c>
      <c r="Q392">
        <v>0</v>
      </c>
      <c r="R392">
        <v>0</v>
      </c>
      <c r="S392">
        <v>0</v>
      </c>
      <c r="U392" s="175">
        <f t="shared" si="24"/>
        <v>0</v>
      </c>
    </row>
    <row r="393" spans="1:21">
      <c r="A393" s="183" t="str">
        <f t="shared" si="22"/>
        <v>880</v>
      </c>
      <c r="B393" s="183" t="str">
        <f t="shared" si="23"/>
        <v>880.0</v>
      </c>
      <c r="C393" t="s">
        <v>2154</v>
      </c>
      <c r="D393" t="s">
        <v>1639</v>
      </c>
      <c r="G393">
        <v>0</v>
      </c>
      <c r="H393">
        <v>0</v>
      </c>
      <c r="I393">
        <v>0</v>
      </c>
      <c r="J393">
        <v>0</v>
      </c>
      <c r="K393">
        <v>0</v>
      </c>
      <c r="L393">
        <v>0</v>
      </c>
      <c r="M393">
        <v>0</v>
      </c>
      <c r="N393">
        <v>0</v>
      </c>
      <c r="O393">
        <v>0</v>
      </c>
      <c r="P393">
        <v>0</v>
      </c>
      <c r="Q393">
        <v>0</v>
      </c>
      <c r="R393">
        <v>0</v>
      </c>
      <c r="S393">
        <v>0</v>
      </c>
      <c r="U393" s="175">
        <f t="shared" si="24"/>
        <v>0</v>
      </c>
    </row>
    <row r="394" spans="1:21">
      <c r="A394" s="183" t="str">
        <f t="shared" si="22"/>
        <v>881</v>
      </c>
      <c r="B394" s="183" t="str">
        <f t="shared" si="23"/>
        <v>881.0</v>
      </c>
      <c r="C394" t="s">
        <v>2155</v>
      </c>
      <c r="D394" t="s">
        <v>1641</v>
      </c>
      <c r="G394">
        <v>0</v>
      </c>
      <c r="H394">
        <v>0</v>
      </c>
      <c r="I394">
        <v>0</v>
      </c>
      <c r="J394">
        <v>0</v>
      </c>
      <c r="K394">
        <v>0</v>
      </c>
      <c r="L394">
        <v>0</v>
      </c>
      <c r="M394">
        <v>0</v>
      </c>
      <c r="N394">
        <v>0</v>
      </c>
      <c r="O394">
        <v>0</v>
      </c>
      <c r="P394">
        <v>0</v>
      </c>
      <c r="Q394">
        <v>0</v>
      </c>
      <c r="R394">
        <v>0</v>
      </c>
      <c r="S394">
        <v>0</v>
      </c>
      <c r="U394" s="175">
        <f t="shared" si="24"/>
        <v>0</v>
      </c>
    </row>
    <row r="395" spans="1:21">
      <c r="A395" s="183" t="str">
        <f t="shared" si="22"/>
        <v>885</v>
      </c>
      <c r="B395" s="183" t="str">
        <f t="shared" si="23"/>
        <v>885.0</v>
      </c>
      <c r="C395" t="s">
        <v>2156</v>
      </c>
      <c r="D395" t="s">
        <v>1643</v>
      </c>
      <c r="G395">
        <v>0</v>
      </c>
      <c r="H395">
        <v>0</v>
      </c>
      <c r="I395">
        <v>0</v>
      </c>
      <c r="J395">
        <v>0</v>
      </c>
      <c r="K395">
        <v>0</v>
      </c>
      <c r="L395">
        <v>0</v>
      </c>
      <c r="M395">
        <v>0</v>
      </c>
      <c r="N395">
        <v>0</v>
      </c>
      <c r="O395">
        <v>0</v>
      </c>
      <c r="P395">
        <v>0</v>
      </c>
      <c r="Q395">
        <v>0</v>
      </c>
      <c r="R395">
        <v>0</v>
      </c>
      <c r="S395">
        <v>0</v>
      </c>
      <c r="U395" s="175">
        <f t="shared" si="24"/>
        <v>0</v>
      </c>
    </row>
    <row r="396" spans="1:21">
      <c r="A396" s="183" t="str">
        <f t="shared" si="22"/>
        <v>886</v>
      </c>
      <c r="B396" s="183" t="str">
        <f t="shared" si="23"/>
        <v>886.0</v>
      </c>
      <c r="C396" t="s">
        <v>2157</v>
      </c>
      <c r="D396" t="s">
        <v>1645</v>
      </c>
      <c r="G396">
        <v>0</v>
      </c>
      <c r="H396">
        <v>0</v>
      </c>
      <c r="I396">
        <v>0</v>
      </c>
      <c r="J396">
        <v>0</v>
      </c>
      <c r="K396">
        <v>0</v>
      </c>
      <c r="L396">
        <v>0</v>
      </c>
      <c r="M396">
        <v>0</v>
      </c>
      <c r="N396">
        <v>0</v>
      </c>
      <c r="O396">
        <v>0</v>
      </c>
      <c r="P396">
        <v>0</v>
      </c>
      <c r="Q396">
        <v>0</v>
      </c>
      <c r="R396">
        <v>0</v>
      </c>
      <c r="S396">
        <v>0</v>
      </c>
      <c r="U396" s="175">
        <f t="shared" si="24"/>
        <v>0</v>
      </c>
    </row>
    <row r="397" spans="1:21">
      <c r="A397" s="183" t="str">
        <f t="shared" si="22"/>
        <v>887</v>
      </c>
      <c r="B397" s="183" t="str">
        <f t="shared" si="23"/>
        <v>887.0</v>
      </c>
      <c r="C397" t="s">
        <v>2158</v>
      </c>
      <c r="D397" t="s">
        <v>1647</v>
      </c>
      <c r="G397">
        <v>0</v>
      </c>
      <c r="H397">
        <v>0</v>
      </c>
      <c r="I397">
        <v>0</v>
      </c>
      <c r="J397">
        <v>0</v>
      </c>
      <c r="K397">
        <v>0</v>
      </c>
      <c r="L397">
        <v>0</v>
      </c>
      <c r="M397">
        <v>0</v>
      </c>
      <c r="N397">
        <v>0</v>
      </c>
      <c r="O397">
        <v>0</v>
      </c>
      <c r="P397">
        <v>0</v>
      </c>
      <c r="Q397">
        <v>0</v>
      </c>
      <c r="R397">
        <v>0</v>
      </c>
      <c r="S397">
        <v>0</v>
      </c>
      <c r="U397" s="175">
        <f t="shared" si="24"/>
        <v>0</v>
      </c>
    </row>
    <row r="398" spans="1:21">
      <c r="A398" s="183" t="str">
        <f t="shared" si="22"/>
        <v>888</v>
      </c>
      <c r="B398" s="183" t="str">
        <f t="shared" si="23"/>
        <v>888.0</v>
      </c>
      <c r="C398" t="s">
        <v>2159</v>
      </c>
      <c r="D398" t="s">
        <v>1649</v>
      </c>
      <c r="G398">
        <v>0</v>
      </c>
      <c r="H398">
        <v>0</v>
      </c>
      <c r="I398">
        <v>0</v>
      </c>
      <c r="J398">
        <v>0</v>
      </c>
      <c r="K398">
        <v>0</v>
      </c>
      <c r="L398">
        <v>0</v>
      </c>
      <c r="M398">
        <v>0</v>
      </c>
      <c r="N398">
        <v>0</v>
      </c>
      <c r="O398">
        <v>0</v>
      </c>
      <c r="P398">
        <v>0</v>
      </c>
      <c r="Q398">
        <v>0</v>
      </c>
      <c r="R398">
        <v>0</v>
      </c>
      <c r="S398">
        <v>0</v>
      </c>
      <c r="U398" s="175">
        <f t="shared" si="24"/>
        <v>0</v>
      </c>
    </row>
    <row r="399" spans="1:21">
      <c r="A399" s="183" t="str">
        <f t="shared" si="22"/>
        <v>889</v>
      </c>
      <c r="B399" s="183" t="str">
        <f t="shared" si="23"/>
        <v>889.0</v>
      </c>
      <c r="C399" t="s">
        <v>2160</v>
      </c>
      <c r="D399" t="s">
        <v>1651</v>
      </c>
      <c r="G399">
        <v>0</v>
      </c>
      <c r="H399">
        <v>0</v>
      </c>
      <c r="I399">
        <v>0</v>
      </c>
      <c r="J399">
        <v>0</v>
      </c>
      <c r="K399">
        <v>0</v>
      </c>
      <c r="L399">
        <v>0</v>
      </c>
      <c r="M399">
        <v>0</v>
      </c>
      <c r="N399">
        <v>0</v>
      </c>
      <c r="O399">
        <v>0</v>
      </c>
      <c r="P399">
        <v>0</v>
      </c>
      <c r="Q399">
        <v>0</v>
      </c>
      <c r="R399">
        <v>0</v>
      </c>
      <c r="S399">
        <v>0</v>
      </c>
      <c r="U399" s="175">
        <f t="shared" si="24"/>
        <v>0</v>
      </c>
    </row>
    <row r="400" spans="1:21">
      <c r="A400" s="183" t="str">
        <f t="shared" si="22"/>
        <v>890</v>
      </c>
      <c r="B400" s="183" t="str">
        <f t="shared" si="23"/>
        <v>890.0</v>
      </c>
      <c r="C400" t="s">
        <v>2161</v>
      </c>
      <c r="D400" t="s">
        <v>1653</v>
      </c>
      <c r="G400">
        <v>0</v>
      </c>
      <c r="H400">
        <v>0</v>
      </c>
      <c r="I400">
        <v>0</v>
      </c>
      <c r="J400">
        <v>0</v>
      </c>
      <c r="K400">
        <v>0</v>
      </c>
      <c r="L400">
        <v>0</v>
      </c>
      <c r="M400">
        <v>0</v>
      </c>
      <c r="N400">
        <v>0</v>
      </c>
      <c r="O400">
        <v>0</v>
      </c>
      <c r="P400">
        <v>0</v>
      </c>
      <c r="Q400">
        <v>0</v>
      </c>
      <c r="R400">
        <v>0</v>
      </c>
      <c r="S400">
        <v>0</v>
      </c>
      <c r="U400" s="175">
        <f t="shared" si="24"/>
        <v>0</v>
      </c>
    </row>
    <row r="401" spans="1:21">
      <c r="A401" s="183" t="str">
        <f t="shared" si="22"/>
        <v>891</v>
      </c>
      <c r="B401" s="183" t="str">
        <f t="shared" si="23"/>
        <v>891.0</v>
      </c>
      <c r="C401" t="s">
        <v>2162</v>
      </c>
      <c r="D401" t="s">
        <v>1655</v>
      </c>
      <c r="G401">
        <v>0</v>
      </c>
      <c r="H401">
        <v>0</v>
      </c>
      <c r="I401">
        <v>0</v>
      </c>
      <c r="J401">
        <v>0</v>
      </c>
      <c r="K401">
        <v>0</v>
      </c>
      <c r="L401">
        <v>0</v>
      </c>
      <c r="M401">
        <v>0</v>
      </c>
      <c r="N401">
        <v>0</v>
      </c>
      <c r="O401">
        <v>0</v>
      </c>
      <c r="P401">
        <v>0</v>
      </c>
      <c r="Q401">
        <v>0</v>
      </c>
      <c r="R401">
        <v>0</v>
      </c>
      <c r="S401">
        <v>0</v>
      </c>
      <c r="U401" s="175">
        <f t="shared" si="24"/>
        <v>0</v>
      </c>
    </row>
    <row r="402" spans="1:21">
      <c r="A402" s="183" t="str">
        <f t="shared" si="22"/>
        <v>892</v>
      </c>
      <c r="B402" s="183" t="str">
        <f t="shared" si="23"/>
        <v>892.0</v>
      </c>
      <c r="C402" t="s">
        <v>2163</v>
      </c>
      <c r="D402" t="s">
        <v>1657</v>
      </c>
      <c r="G402">
        <v>0</v>
      </c>
      <c r="H402">
        <v>0</v>
      </c>
      <c r="I402">
        <v>0</v>
      </c>
      <c r="J402">
        <v>0</v>
      </c>
      <c r="K402">
        <v>0</v>
      </c>
      <c r="L402">
        <v>0</v>
      </c>
      <c r="M402">
        <v>0</v>
      </c>
      <c r="N402">
        <v>0</v>
      </c>
      <c r="O402">
        <v>0</v>
      </c>
      <c r="P402">
        <v>0</v>
      </c>
      <c r="Q402">
        <v>0</v>
      </c>
      <c r="R402">
        <v>0</v>
      </c>
      <c r="S402">
        <v>0</v>
      </c>
      <c r="U402" s="175">
        <f t="shared" si="24"/>
        <v>0</v>
      </c>
    </row>
    <row r="403" spans="1:21">
      <c r="A403" s="183" t="str">
        <f t="shared" si="22"/>
        <v>893</v>
      </c>
      <c r="B403" s="183" t="str">
        <f t="shared" si="23"/>
        <v>893.0</v>
      </c>
      <c r="C403" t="s">
        <v>2164</v>
      </c>
      <c r="D403" t="s">
        <v>1659</v>
      </c>
      <c r="G403">
        <v>0</v>
      </c>
      <c r="H403">
        <v>0</v>
      </c>
      <c r="I403">
        <v>0</v>
      </c>
      <c r="J403">
        <v>0</v>
      </c>
      <c r="K403">
        <v>0</v>
      </c>
      <c r="L403">
        <v>0</v>
      </c>
      <c r="M403">
        <v>0</v>
      </c>
      <c r="N403">
        <v>0</v>
      </c>
      <c r="O403">
        <v>0</v>
      </c>
      <c r="P403">
        <v>0</v>
      </c>
      <c r="Q403">
        <v>0</v>
      </c>
      <c r="R403">
        <v>0</v>
      </c>
      <c r="S403">
        <v>0</v>
      </c>
      <c r="U403" s="175">
        <f t="shared" si="24"/>
        <v>0</v>
      </c>
    </row>
    <row r="404" spans="1:21">
      <c r="A404" s="183" t="str">
        <f t="shared" si="22"/>
        <v>894</v>
      </c>
      <c r="B404" s="183" t="str">
        <f t="shared" si="23"/>
        <v>894.0</v>
      </c>
      <c r="C404" t="s">
        <v>2165</v>
      </c>
      <c r="D404" t="s">
        <v>1661</v>
      </c>
      <c r="G404">
        <v>0</v>
      </c>
      <c r="H404">
        <v>0</v>
      </c>
      <c r="I404">
        <v>0</v>
      </c>
      <c r="J404">
        <v>0</v>
      </c>
      <c r="K404">
        <v>0</v>
      </c>
      <c r="L404">
        <v>0</v>
      </c>
      <c r="M404">
        <v>0</v>
      </c>
      <c r="N404">
        <v>0</v>
      </c>
      <c r="O404">
        <v>0</v>
      </c>
      <c r="P404">
        <v>0</v>
      </c>
      <c r="Q404">
        <v>0</v>
      </c>
      <c r="R404">
        <v>0</v>
      </c>
      <c r="S404">
        <v>0</v>
      </c>
      <c r="U404" s="175">
        <f t="shared" si="24"/>
        <v>0</v>
      </c>
    </row>
    <row r="405" spans="1:21">
      <c r="A405" s="183" t="str">
        <f t="shared" si="22"/>
        <v>901</v>
      </c>
      <c r="B405" s="183" t="str">
        <f t="shared" si="23"/>
        <v>901.0</v>
      </c>
      <c r="C405" t="s">
        <v>2166</v>
      </c>
      <c r="D405" t="s">
        <v>1663</v>
      </c>
      <c r="G405">
        <v>63072.79</v>
      </c>
      <c r="H405">
        <v>47064.65</v>
      </c>
      <c r="I405">
        <v>55463.43</v>
      </c>
      <c r="J405">
        <v>35814.31</v>
      </c>
      <c r="K405">
        <v>38063.379999999997</v>
      </c>
      <c r="L405">
        <v>38667.03</v>
      </c>
      <c r="M405">
        <v>48379.47</v>
      </c>
      <c r="N405">
        <v>29842.080000000002</v>
      </c>
      <c r="O405">
        <v>40226.769999999997</v>
      </c>
      <c r="P405">
        <v>18717.240000000002</v>
      </c>
      <c r="Q405">
        <v>29057.93</v>
      </c>
      <c r="R405">
        <v>24254.18</v>
      </c>
      <c r="S405">
        <v>26639.34</v>
      </c>
      <c r="U405" s="175">
        <f t="shared" si="24"/>
        <v>38097.123076923075</v>
      </c>
    </row>
    <row r="406" spans="1:21">
      <c r="A406" s="183" t="str">
        <f t="shared" si="22"/>
        <v>902</v>
      </c>
      <c r="B406" s="183" t="str">
        <f t="shared" si="23"/>
        <v>902.0</v>
      </c>
      <c r="C406" t="s">
        <v>2167</v>
      </c>
      <c r="D406" t="s">
        <v>1665</v>
      </c>
      <c r="G406">
        <v>85378.27</v>
      </c>
      <c r="H406">
        <v>278913.06</v>
      </c>
      <c r="I406">
        <v>103566.11</v>
      </c>
      <c r="J406">
        <v>369245.36</v>
      </c>
      <c r="K406">
        <v>167290.29999999999</v>
      </c>
      <c r="L406">
        <v>446805.79</v>
      </c>
      <c r="M406">
        <v>215596.35</v>
      </c>
      <c r="N406">
        <v>427659.74</v>
      </c>
      <c r="O406">
        <v>189512.04</v>
      </c>
      <c r="P406">
        <v>184628.44</v>
      </c>
      <c r="Q406">
        <v>520969.75</v>
      </c>
      <c r="R406">
        <v>196421.67</v>
      </c>
      <c r="S406">
        <v>182722.98</v>
      </c>
      <c r="U406" s="175">
        <f t="shared" si="24"/>
        <v>259131.52769230769</v>
      </c>
    </row>
    <row r="407" spans="1:21">
      <c r="A407" s="183" t="str">
        <f t="shared" si="22"/>
        <v>903</v>
      </c>
      <c r="B407" s="183" t="str">
        <f t="shared" si="23"/>
        <v>903.0</v>
      </c>
      <c r="C407" t="s">
        <v>2168</v>
      </c>
      <c r="D407" t="s">
        <v>1667</v>
      </c>
      <c r="G407">
        <v>2977831.66</v>
      </c>
      <c r="H407">
        <v>2172472.63</v>
      </c>
      <c r="I407">
        <v>2978416.95</v>
      </c>
      <c r="J407">
        <v>2501704.0099999998</v>
      </c>
      <c r="K407">
        <v>2589261.27</v>
      </c>
      <c r="L407">
        <v>2607036.85</v>
      </c>
      <c r="M407">
        <v>2493264.0499999998</v>
      </c>
      <c r="N407">
        <v>2718586.28</v>
      </c>
      <c r="O407">
        <v>2529531.64</v>
      </c>
      <c r="P407">
        <v>1576532.47</v>
      </c>
      <c r="Q407">
        <v>3750272.62</v>
      </c>
      <c r="R407">
        <v>2465137.6800000002</v>
      </c>
      <c r="S407">
        <v>2538311.62</v>
      </c>
      <c r="U407" s="175">
        <f t="shared" si="24"/>
        <v>2607566.133076923</v>
      </c>
    </row>
    <row r="408" spans="1:21">
      <c r="A408" s="183" t="str">
        <f t="shared" si="22"/>
        <v>904</v>
      </c>
      <c r="B408" s="183" t="str">
        <f t="shared" si="23"/>
        <v>904.0</v>
      </c>
      <c r="C408" t="s">
        <v>2169</v>
      </c>
      <c r="D408" t="s">
        <v>1669</v>
      </c>
      <c r="G408">
        <v>678720</v>
      </c>
      <c r="H408">
        <v>850510</v>
      </c>
      <c r="I408">
        <v>539739</v>
      </c>
      <c r="J408">
        <v>394069.73</v>
      </c>
      <c r="K408">
        <v>420774.16</v>
      </c>
      <c r="L408">
        <v>562876</v>
      </c>
      <c r="M408">
        <v>538236</v>
      </c>
      <c r="N408">
        <v>571657</v>
      </c>
      <c r="O408">
        <v>953036.11</v>
      </c>
      <c r="P408">
        <v>689304</v>
      </c>
      <c r="Q408">
        <v>816301</v>
      </c>
      <c r="R408">
        <v>1061952</v>
      </c>
      <c r="S408">
        <v>1565228</v>
      </c>
      <c r="U408" s="175">
        <f t="shared" si="24"/>
        <v>741723.30769230775</v>
      </c>
    </row>
    <row r="409" spans="1:21">
      <c r="A409" s="183" t="str">
        <f t="shared" si="22"/>
        <v>905</v>
      </c>
      <c r="B409" s="183" t="str">
        <f t="shared" si="23"/>
        <v>905.0</v>
      </c>
      <c r="C409" t="s">
        <v>2170</v>
      </c>
      <c r="D409" t="s">
        <v>1671</v>
      </c>
      <c r="G409">
        <v>0</v>
      </c>
      <c r="H409">
        <v>0</v>
      </c>
      <c r="I409">
        <v>0</v>
      </c>
      <c r="J409">
        <v>0</v>
      </c>
      <c r="K409">
        <v>0</v>
      </c>
      <c r="L409">
        <v>0</v>
      </c>
      <c r="M409">
        <v>0</v>
      </c>
      <c r="N409">
        <v>0</v>
      </c>
      <c r="O409">
        <v>0</v>
      </c>
      <c r="P409">
        <v>0</v>
      </c>
      <c r="Q409">
        <v>0</v>
      </c>
      <c r="R409">
        <v>0</v>
      </c>
      <c r="S409">
        <v>0</v>
      </c>
      <c r="U409" s="175">
        <f t="shared" si="24"/>
        <v>0</v>
      </c>
    </row>
    <row r="410" spans="1:21">
      <c r="A410" s="183" t="str">
        <f t="shared" si="22"/>
        <v>907</v>
      </c>
      <c r="B410" s="183" t="str">
        <f t="shared" si="23"/>
        <v>907.0</v>
      </c>
      <c r="C410" t="s">
        <v>2171</v>
      </c>
      <c r="D410" t="s">
        <v>1673</v>
      </c>
      <c r="G410">
        <v>0</v>
      </c>
      <c r="H410">
        <v>0</v>
      </c>
      <c r="I410">
        <v>0</v>
      </c>
      <c r="J410">
        <v>0</v>
      </c>
      <c r="K410">
        <v>0</v>
      </c>
      <c r="L410">
        <v>0</v>
      </c>
      <c r="M410">
        <v>0</v>
      </c>
      <c r="N410">
        <v>0</v>
      </c>
      <c r="O410">
        <v>0</v>
      </c>
      <c r="P410">
        <v>0</v>
      </c>
      <c r="Q410">
        <v>0</v>
      </c>
      <c r="R410">
        <v>0</v>
      </c>
      <c r="S410">
        <v>0</v>
      </c>
      <c r="U410" s="175">
        <f t="shared" si="24"/>
        <v>0</v>
      </c>
    </row>
    <row r="411" spans="1:21">
      <c r="A411" s="183" t="str">
        <f t="shared" si="22"/>
        <v>908</v>
      </c>
      <c r="B411" s="183" t="str">
        <f t="shared" si="23"/>
        <v>908.0</v>
      </c>
      <c r="C411" t="s">
        <v>2172</v>
      </c>
      <c r="D411" t="s">
        <v>1675</v>
      </c>
      <c r="G411">
        <v>3988844.62</v>
      </c>
      <c r="H411">
        <v>3586281.67</v>
      </c>
      <c r="I411">
        <v>3577730.13</v>
      </c>
      <c r="J411">
        <v>3803506.7</v>
      </c>
      <c r="K411">
        <v>3657960.36</v>
      </c>
      <c r="L411">
        <v>3575402.98</v>
      </c>
      <c r="M411">
        <v>3791111.75</v>
      </c>
      <c r="N411">
        <v>3922491.78</v>
      </c>
      <c r="O411">
        <v>4191049.6</v>
      </c>
      <c r="P411">
        <v>3568834.27</v>
      </c>
      <c r="Q411">
        <v>3726718.99</v>
      </c>
      <c r="R411">
        <v>3370710.01</v>
      </c>
      <c r="S411">
        <v>3936734.09</v>
      </c>
      <c r="U411" s="175">
        <f t="shared" si="24"/>
        <v>3745952.0730769234</v>
      </c>
    </row>
    <row r="412" spans="1:21">
      <c r="A412" s="183" t="str">
        <f t="shared" si="22"/>
        <v>909</v>
      </c>
      <c r="B412" s="183" t="str">
        <f t="shared" si="23"/>
        <v>909.0</v>
      </c>
      <c r="C412" t="s">
        <v>2173</v>
      </c>
      <c r="D412" t="s">
        <v>1677</v>
      </c>
      <c r="G412">
        <v>517828.81</v>
      </c>
      <c r="H412">
        <v>2857.23</v>
      </c>
      <c r="I412">
        <v>8553.49</v>
      </c>
      <c r="J412">
        <v>208692.31</v>
      </c>
      <c r="K412">
        <v>86372.67</v>
      </c>
      <c r="L412">
        <v>216823.82</v>
      </c>
      <c r="M412">
        <v>163789.62</v>
      </c>
      <c r="N412">
        <v>54135.41</v>
      </c>
      <c r="O412">
        <v>204560.32</v>
      </c>
      <c r="P412">
        <v>274094.15000000002</v>
      </c>
      <c r="Q412">
        <v>246341.93</v>
      </c>
      <c r="R412">
        <v>345268.9</v>
      </c>
      <c r="S412">
        <v>202970.43</v>
      </c>
      <c r="U412" s="175">
        <f t="shared" si="24"/>
        <v>194791.46846153849</v>
      </c>
    </row>
    <row r="413" spans="1:21">
      <c r="A413" s="183" t="str">
        <f t="shared" si="22"/>
        <v>910</v>
      </c>
      <c r="B413" s="183" t="str">
        <f t="shared" si="23"/>
        <v>910.0</v>
      </c>
      <c r="C413" t="s">
        <v>2174</v>
      </c>
      <c r="D413" t="s">
        <v>1679</v>
      </c>
      <c r="G413">
        <v>0</v>
      </c>
      <c r="H413">
        <v>0</v>
      </c>
      <c r="I413">
        <v>0</v>
      </c>
      <c r="J413">
        <v>0</v>
      </c>
      <c r="K413">
        <v>0</v>
      </c>
      <c r="L413">
        <v>0</v>
      </c>
      <c r="M413">
        <v>0</v>
      </c>
      <c r="N413">
        <v>0</v>
      </c>
      <c r="O413">
        <v>0</v>
      </c>
      <c r="P413">
        <v>0</v>
      </c>
      <c r="Q413">
        <v>0</v>
      </c>
      <c r="R413">
        <v>0</v>
      </c>
      <c r="S413">
        <v>0</v>
      </c>
      <c r="U413" s="175">
        <f t="shared" si="24"/>
        <v>0</v>
      </c>
    </row>
    <row r="414" spans="1:21">
      <c r="A414" s="183" t="str">
        <f t="shared" si="22"/>
        <v>911</v>
      </c>
      <c r="B414" s="183" t="str">
        <f t="shared" si="23"/>
        <v>911.0</v>
      </c>
      <c r="C414" t="s">
        <v>2175</v>
      </c>
      <c r="D414" t="s">
        <v>1681</v>
      </c>
      <c r="G414">
        <v>0</v>
      </c>
      <c r="H414">
        <v>0</v>
      </c>
      <c r="I414">
        <v>0</v>
      </c>
      <c r="J414">
        <v>0</v>
      </c>
      <c r="K414">
        <v>0</v>
      </c>
      <c r="L414">
        <v>0</v>
      </c>
      <c r="M414">
        <v>0</v>
      </c>
      <c r="N414">
        <v>0</v>
      </c>
      <c r="O414">
        <v>0</v>
      </c>
      <c r="P414">
        <v>0</v>
      </c>
      <c r="Q414">
        <v>0</v>
      </c>
      <c r="R414">
        <v>0</v>
      </c>
      <c r="S414">
        <v>0</v>
      </c>
      <c r="U414" s="175">
        <f t="shared" si="24"/>
        <v>0</v>
      </c>
    </row>
    <row r="415" spans="1:21">
      <c r="A415" s="183" t="str">
        <f t="shared" si="22"/>
        <v>912</v>
      </c>
      <c r="B415" s="183" t="str">
        <f t="shared" si="23"/>
        <v>912.0</v>
      </c>
      <c r="C415" t="s">
        <v>2176</v>
      </c>
      <c r="D415" t="s">
        <v>1683</v>
      </c>
      <c r="G415">
        <v>-54159.4</v>
      </c>
      <c r="H415">
        <v>-3665.6</v>
      </c>
      <c r="I415">
        <v>600</v>
      </c>
      <c r="J415">
        <v>20030</v>
      </c>
      <c r="K415">
        <v>32695</v>
      </c>
      <c r="L415">
        <v>-2445</v>
      </c>
      <c r="M415">
        <v>95231</v>
      </c>
      <c r="N415">
        <v>32500</v>
      </c>
      <c r="O415">
        <v>237.17</v>
      </c>
      <c r="P415">
        <v>58809.46</v>
      </c>
      <c r="Q415">
        <v>10145</v>
      </c>
      <c r="R415">
        <v>85405</v>
      </c>
      <c r="S415">
        <v>26535</v>
      </c>
      <c r="U415" s="175">
        <f t="shared" si="24"/>
        <v>23224.433076923076</v>
      </c>
    </row>
    <row r="416" spans="1:21">
      <c r="A416" s="183" t="str">
        <f t="shared" si="22"/>
        <v>913</v>
      </c>
      <c r="B416" s="183" t="str">
        <f t="shared" si="23"/>
        <v>913.0</v>
      </c>
      <c r="C416" t="s">
        <v>2177</v>
      </c>
      <c r="D416" t="s">
        <v>1685</v>
      </c>
      <c r="G416">
        <v>0</v>
      </c>
      <c r="H416">
        <v>0</v>
      </c>
      <c r="I416">
        <v>0</v>
      </c>
      <c r="J416">
        <v>0</v>
      </c>
      <c r="K416">
        <v>0</v>
      </c>
      <c r="L416">
        <v>0</v>
      </c>
      <c r="M416">
        <v>0</v>
      </c>
      <c r="N416">
        <v>0</v>
      </c>
      <c r="O416">
        <v>156818.5</v>
      </c>
      <c r="P416">
        <v>19474.48</v>
      </c>
      <c r="Q416">
        <v>20305.82</v>
      </c>
      <c r="R416">
        <v>33118.22</v>
      </c>
      <c r="S416">
        <v>121118.73</v>
      </c>
      <c r="U416" s="175">
        <f t="shared" si="24"/>
        <v>26987.365384615383</v>
      </c>
    </row>
    <row r="417" spans="1:21">
      <c r="A417" s="183" t="str">
        <f t="shared" si="22"/>
        <v>916</v>
      </c>
      <c r="B417" s="183" t="str">
        <f t="shared" si="23"/>
        <v>916.0</v>
      </c>
      <c r="C417" t="s">
        <v>2178</v>
      </c>
      <c r="D417" t="s">
        <v>1687</v>
      </c>
      <c r="G417">
        <v>0</v>
      </c>
      <c r="H417">
        <v>0</v>
      </c>
      <c r="I417">
        <v>0</v>
      </c>
      <c r="J417">
        <v>0</v>
      </c>
      <c r="K417">
        <v>0</v>
      </c>
      <c r="L417">
        <v>0</v>
      </c>
      <c r="M417">
        <v>0</v>
      </c>
      <c r="N417">
        <v>0</v>
      </c>
      <c r="O417">
        <v>0</v>
      </c>
      <c r="P417">
        <v>0</v>
      </c>
      <c r="Q417">
        <v>0</v>
      </c>
      <c r="R417">
        <v>0</v>
      </c>
      <c r="S417">
        <v>0</v>
      </c>
      <c r="U417" s="175">
        <f t="shared" si="24"/>
        <v>0</v>
      </c>
    </row>
    <row r="418" spans="1:21">
      <c r="A418" s="183" t="str">
        <f t="shared" si="22"/>
        <v>920</v>
      </c>
      <c r="B418" s="183" t="str">
        <f t="shared" si="23"/>
        <v>920.0</v>
      </c>
      <c r="C418" t="s">
        <v>2179</v>
      </c>
      <c r="D418" t="s">
        <v>1689</v>
      </c>
      <c r="G418">
        <v>7973371.0599999996</v>
      </c>
      <c r="H418">
        <v>6727080.9500000002</v>
      </c>
      <c r="I418">
        <v>5965168.3899999997</v>
      </c>
      <c r="J418">
        <v>6645175.7400000002</v>
      </c>
      <c r="K418">
        <v>5965354.04</v>
      </c>
      <c r="L418">
        <v>6475745.2400000002</v>
      </c>
      <c r="M418">
        <v>5764111.1399999997</v>
      </c>
      <c r="N418">
        <v>6298220.8300000001</v>
      </c>
      <c r="O418">
        <v>5926689.7300000004</v>
      </c>
      <c r="P418">
        <v>7000910.6699999999</v>
      </c>
      <c r="Q418">
        <v>6470589.4100000001</v>
      </c>
      <c r="R418">
        <v>6331126.7699999996</v>
      </c>
      <c r="S418">
        <v>4787881.21</v>
      </c>
      <c r="U418" s="175">
        <f t="shared" si="24"/>
        <v>6333186.5523076914</v>
      </c>
    </row>
    <row r="419" spans="1:21">
      <c r="A419" s="183" t="str">
        <f t="shared" si="22"/>
        <v>921</v>
      </c>
      <c r="B419" s="183" t="str">
        <f t="shared" si="23"/>
        <v>921.0</v>
      </c>
      <c r="C419" t="s">
        <v>2180</v>
      </c>
      <c r="D419" t="s">
        <v>1691</v>
      </c>
      <c r="G419">
        <v>954683.71</v>
      </c>
      <c r="H419">
        <v>373137.91</v>
      </c>
      <c r="I419">
        <v>411799.55</v>
      </c>
      <c r="J419">
        <v>528152.92000000004</v>
      </c>
      <c r="K419">
        <v>389270.36</v>
      </c>
      <c r="L419">
        <v>461623.56</v>
      </c>
      <c r="M419">
        <v>557420.66</v>
      </c>
      <c r="N419">
        <v>490776.74</v>
      </c>
      <c r="O419">
        <v>481189.37</v>
      </c>
      <c r="P419">
        <v>628272.73</v>
      </c>
      <c r="Q419">
        <v>552330.27</v>
      </c>
      <c r="R419">
        <v>602513.89</v>
      </c>
      <c r="S419">
        <v>602093.14</v>
      </c>
      <c r="U419" s="175">
        <f t="shared" si="24"/>
        <v>541020.36999999988</v>
      </c>
    </row>
    <row r="420" spans="1:21">
      <c r="A420" s="183" t="str">
        <f t="shared" si="22"/>
        <v>922</v>
      </c>
      <c r="B420" s="183" t="str">
        <f t="shared" si="23"/>
        <v>922.0</v>
      </c>
      <c r="C420" t="s">
        <v>2181</v>
      </c>
      <c r="D420" t="s">
        <v>1693</v>
      </c>
      <c r="G420">
        <v>-5330006.1100000003</v>
      </c>
      <c r="H420">
        <v>-4891678.93</v>
      </c>
      <c r="I420">
        <v>-4649841.51</v>
      </c>
      <c r="J420">
        <v>-4721604.38</v>
      </c>
      <c r="K420">
        <v>-4784419.9000000004</v>
      </c>
      <c r="L420">
        <v>-4765775.3899999997</v>
      </c>
      <c r="M420">
        <v>-5103712.24</v>
      </c>
      <c r="N420">
        <v>-4833426.4400000004</v>
      </c>
      <c r="O420">
        <v>-4801101.59</v>
      </c>
      <c r="P420">
        <v>-5075662.93</v>
      </c>
      <c r="Q420">
        <v>-4733935.9400000004</v>
      </c>
      <c r="R420">
        <v>-4727036.05</v>
      </c>
      <c r="S420">
        <v>-4759914.6399999997</v>
      </c>
      <c r="U420" s="175">
        <f t="shared" si="24"/>
        <v>-4859855.0807692297</v>
      </c>
    </row>
    <row r="421" spans="1:21">
      <c r="A421" s="183" t="str">
        <f t="shared" si="22"/>
        <v>923</v>
      </c>
      <c r="B421" s="183" t="str">
        <f t="shared" si="23"/>
        <v>923.0</v>
      </c>
      <c r="C421" t="s">
        <v>2182</v>
      </c>
      <c r="D421" t="s">
        <v>1695</v>
      </c>
      <c r="G421">
        <v>3671833.61</v>
      </c>
      <c r="H421">
        <v>2627534.7599999998</v>
      </c>
      <c r="I421">
        <v>2165086.86</v>
      </c>
      <c r="J421">
        <v>2942025.38</v>
      </c>
      <c r="K421">
        <v>2727709.48</v>
      </c>
      <c r="L421">
        <v>1614165.82</v>
      </c>
      <c r="M421">
        <v>3552925.93</v>
      </c>
      <c r="N421">
        <v>2182190.4300000002</v>
      </c>
      <c r="O421">
        <v>3100474.87</v>
      </c>
      <c r="P421">
        <v>3618200.57</v>
      </c>
      <c r="Q421">
        <v>2367352.65</v>
      </c>
      <c r="R421">
        <v>2637394.33</v>
      </c>
      <c r="S421">
        <v>2875031.87</v>
      </c>
      <c r="U421" s="175">
        <f t="shared" si="24"/>
        <v>2775532.8123076921</v>
      </c>
    </row>
    <row r="422" spans="1:21">
      <c r="A422" s="183" t="str">
        <f t="shared" si="22"/>
        <v>924</v>
      </c>
      <c r="B422" s="183" t="str">
        <f t="shared" si="23"/>
        <v>924.0</v>
      </c>
      <c r="C422" t="s">
        <v>2183</v>
      </c>
      <c r="D422" t="s">
        <v>1697</v>
      </c>
      <c r="G422">
        <v>1119395.95</v>
      </c>
      <c r="H422">
        <v>985258.12</v>
      </c>
      <c r="I422">
        <v>1052470.74</v>
      </c>
      <c r="J422">
        <v>1154567.07</v>
      </c>
      <c r="K422">
        <v>11568661.49</v>
      </c>
      <c r="L422">
        <v>12551615.390000001</v>
      </c>
      <c r="M422">
        <v>13088006.1</v>
      </c>
      <c r="N422">
        <v>15398147</v>
      </c>
      <c r="O422">
        <v>15225181.33</v>
      </c>
      <c r="P422">
        <v>15949242.140000001</v>
      </c>
      <c r="Q422">
        <v>13136194.16</v>
      </c>
      <c r="R422">
        <v>10554984.92</v>
      </c>
      <c r="S422">
        <v>10152316.01</v>
      </c>
      <c r="U422" s="175">
        <f t="shared" si="24"/>
        <v>9379695.4169230778</v>
      </c>
    </row>
    <row r="423" spans="1:21">
      <c r="A423" s="183" t="str">
        <f t="shared" si="22"/>
        <v>925</v>
      </c>
      <c r="B423" s="183" t="str">
        <f t="shared" si="23"/>
        <v>925.0</v>
      </c>
      <c r="C423" t="s">
        <v>2184</v>
      </c>
      <c r="D423" t="s">
        <v>1699</v>
      </c>
      <c r="G423">
        <v>1624485.53</v>
      </c>
      <c r="H423">
        <v>1540852.54</v>
      </c>
      <c r="I423">
        <v>1699307.24</v>
      </c>
      <c r="J423">
        <v>1145197.1299999999</v>
      </c>
      <c r="K423">
        <v>1703712.99</v>
      </c>
      <c r="L423">
        <v>1690564.03</v>
      </c>
      <c r="M423">
        <v>1635034.99</v>
      </c>
      <c r="N423">
        <v>1725831.49</v>
      </c>
      <c r="O423">
        <v>1802267.15</v>
      </c>
      <c r="P423">
        <v>1539686.35</v>
      </c>
      <c r="Q423">
        <v>1676434.12</v>
      </c>
      <c r="R423">
        <v>1760403.61</v>
      </c>
      <c r="S423">
        <v>2225195.9700000002</v>
      </c>
      <c r="U423" s="175">
        <f t="shared" si="24"/>
        <v>1674536.3953846155</v>
      </c>
    </row>
    <row r="424" spans="1:21">
      <c r="A424" s="183" t="str">
        <f t="shared" si="22"/>
        <v>926</v>
      </c>
      <c r="B424" s="183" t="str">
        <f t="shared" si="23"/>
        <v>926.0</v>
      </c>
      <c r="C424" t="s">
        <v>2185</v>
      </c>
      <c r="D424" t="s">
        <v>1701</v>
      </c>
      <c r="G424">
        <v>7059995.4299999997</v>
      </c>
      <c r="H424">
        <v>1974045.92</v>
      </c>
      <c r="I424">
        <v>2294443.87</v>
      </c>
      <c r="J424">
        <v>4970753.6100000003</v>
      </c>
      <c r="K424">
        <v>1922791.03</v>
      </c>
      <c r="L424">
        <v>1850282.88</v>
      </c>
      <c r="M424">
        <v>7506843.9199999999</v>
      </c>
      <c r="N424">
        <v>2150210.19</v>
      </c>
      <c r="O424">
        <v>2044356.23</v>
      </c>
      <c r="P424">
        <v>4478146.04</v>
      </c>
      <c r="Q424">
        <v>2234879.33</v>
      </c>
      <c r="R424">
        <v>2570742.4300000002</v>
      </c>
      <c r="S424">
        <v>2064381.41</v>
      </c>
      <c r="U424" s="175">
        <f t="shared" si="24"/>
        <v>3317067.0992307686</v>
      </c>
    </row>
    <row r="425" spans="1:21">
      <c r="A425" s="183" t="str">
        <f t="shared" si="22"/>
        <v>927</v>
      </c>
      <c r="B425" s="183" t="str">
        <f t="shared" si="23"/>
        <v>927.0</v>
      </c>
      <c r="C425" t="s">
        <v>2186</v>
      </c>
      <c r="D425" t="s">
        <v>1703</v>
      </c>
      <c r="G425">
        <v>0</v>
      </c>
      <c r="H425">
        <v>0</v>
      </c>
      <c r="I425">
        <v>0</v>
      </c>
      <c r="J425">
        <v>0</v>
      </c>
      <c r="K425">
        <v>0</v>
      </c>
      <c r="L425">
        <v>0</v>
      </c>
      <c r="M425">
        <v>0</v>
      </c>
      <c r="N425">
        <v>0</v>
      </c>
      <c r="O425">
        <v>0</v>
      </c>
      <c r="P425">
        <v>0</v>
      </c>
      <c r="Q425">
        <v>0</v>
      </c>
      <c r="R425">
        <v>0</v>
      </c>
      <c r="S425">
        <v>0</v>
      </c>
      <c r="U425" s="175">
        <f t="shared" si="24"/>
        <v>0</v>
      </c>
    </row>
    <row r="426" spans="1:21">
      <c r="A426" s="183" t="str">
        <f t="shared" si="22"/>
        <v>928</v>
      </c>
      <c r="B426" s="183" t="str">
        <f t="shared" si="23"/>
        <v>928.0</v>
      </c>
      <c r="C426" t="s">
        <v>2187</v>
      </c>
      <c r="D426" t="s">
        <v>1705</v>
      </c>
      <c r="G426">
        <v>308609.89</v>
      </c>
      <c r="H426">
        <v>18558.5</v>
      </c>
      <c r="I426">
        <v>105678.25</v>
      </c>
      <c r="J426">
        <v>126979.65</v>
      </c>
      <c r="K426">
        <v>99275.05</v>
      </c>
      <c r="L426">
        <v>207085.89</v>
      </c>
      <c r="M426">
        <v>96206.58</v>
      </c>
      <c r="N426">
        <v>170513.62</v>
      </c>
      <c r="O426">
        <v>99638.02</v>
      </c>
      <c r="P426">
        <v>124152.42</v>
      </c>
      <c r="Q426">
        <v>89698.16</v>
      </c>
      <c r="R426">
        <v>165731.76999999999</v>
      </c>
      <c r="S426">
        <v>213447.83</v>
      </c>
      <c r="U426" s="175">
        <f t="shared" si="24"/>
        <v>140428.89461538463</v>
      </c>
    </row>
    <row r="427" spans="1:21">
      <c r="A427" s="183" t="str">
        <f t="shared" si="22"/>
        <v>929</v>
      </c>
      <c r="B427" s="183" t="str">
        <f t="shared" si="23"/>
        <v>929.0</v>
      </c>
      <c r="C427" t="s">
        <v>2188</v>
      </c>
      <c r="D427" t="s">
        <v>1707</v>
      </c>
      <c r="G427">
        <v>0</v>
      </c>
      <c r="H427">
        <v>0</v>
      </c>
      <c r="I427">
        <v>0</v>
      </c>
      <c r="J427">
        <v>0</v>
      </c>
      <c r="K427">
        <v>0</v>
      </c>
      <c r="L427">
        <v>0</v>
      </c>
      <c r="M427">
        <v>0</v>
      </c>
      <c r="N427">
        <v>0</v>
      </c>
      <c r="O427">
        <v>0</v>
      </c>
      <c r="P427">
        <v>0</v>
      </c>
      <c r="Q427">
        <v>0</v>
      </c>
      <c r="R427">
        <v>0</v>
      </c>
      <c r="S427">
        <v>0</v>
      </c>
    </row>
    <row r="428" spans="1:21">
      <c r="A428" s="183" t="str">
        <f t="shared" si="22"/>
        <v>930</v>
      </c>
      <c r="B428" s="183" t="str">
        <f t="shared" si="23"/>
        <v>930.1</v>
      </c>
      <c r="C428" t="s">
        <v>2189</v>
      </c>
      <c r="D428" t="s">
        <v>1709</v>
      </c>
      <c r="G428">
        <v>11223.14</v>
      </c>
      <c r="H428">
        <v>9418.9</v>
      </c>
      <c r="I428">
        <v>10189.42</v>
      </c>
      <c r="J428">
        <v>17034.18</v>
      </c>
      <c r="K428">
        <v>32505.87</v>
      </c>
      <c r="L428">
        <v>17778.310000000001</v>
      </c>
      <c r="M428">
        <v>11487.47</v>
      </c>
      <c r="N428">
        <v>10485.14</v>
      </c>
      <c r="O428">
        <v>7197.95</v>
      </c>
      <c r="P428">
        <v>8210.9699999999993</v>
      </c>
      <c r="Q428">
        <v>3020.13</v>
      </c>
      <c r="R428">
        <v>767809.58</v>
      </c>
      <c r="S428">
        <v>913.02</v>
      </c>
    </row>
    <row r="429" spans="1:21">
      <c r="A429" s="183" t="str">
        <f t="shared" si="22"/>
        <v>930</v>
      </c>
      <c r="B429" s="183" t="str">
        <f t="shared" si="23"/>
        <v>930.2</v>
      </c>
      <c r="C429" t="s">
        <v>2190</v>
      </c>
      <c r="D429" t="s">
        <v>1711</v>
      </c>
      <c r="G429">
        <v>1843220.16</v>
      </c>
      <c r="H429">
        <v>1362044.86</v>
      </c>
      <c r="I429">
        <v>1541153.75</v>
      </c>
      <c r="J429">
        <v>3077698.12</v>
      </c>
      <c r="K429">
        <v>1322712.03</v>
      </c>
      <c r="L429">
        <v>1579908.52</v>
      </c>
      <c r="M429">
        <v>2673449.9900000002</v>
      </c>
      <c r="N429">
        <v>1261763.72</v>
      </c>
      <c r="O429">
        <v>860142.67</v>
      </c>
      <c r="P429">
        <v>1868415.63</v>
      </c>
      <c r="Q429">
        <v>789055.72</v>
      </c>
      <c r="R429">
        <v>112256.88</v>
      </c>
      <c r="S429">
        <v>1987424.57</v>
      </c>
      <c r="U429" s="175">
        <f t="shared" si="24"/>
        <v>1559942.0476923075</v>
      </c>
    </row>
    <row r="430" spans="1:21">
      <c r="A430" s="183" t="str">
        <f t="shared" si="22"/>
        <v>931</v>
      </c>
      <c r="B430" s="183" t="str">
        <f t="shared" si="23"/>
        <v>931.0</v>
      </c>
      <c r="C430" t="s">
        <v>2191</v>
      </c>
      <c r="D430" t="s">
        <v>1713</v>
      </c>
      <c r="G430">
        <v>131905.88</v>
      </c>
      <c r="H430">
        <v>140055.31</v>
      </c>
      <c r="I430">
        <v>140055.31</v>
      </c>
      <c r="J430">
        <v>134506.18</v>
      </c>
      <c r="K430">
        <v>140055.31</v>
      </c>
      <c r="L430">
        <v>140055.31</v>
      </c>
      <c r="M430">
        <v>133726.16</v>
      </c>
      <c r="N430">
        <v>144855.32999999999</v>
      </c>
      <c r="O430">
        <v>140055.32</v>
      </c>
      <c r="P430">
        <v>137451.13</v>
      </c>
      <c r="Q430">
        <v>145023.32999999999</v>
      </c>
      <c r="R430">
        <v>156255.82999999999</v>
      </c>
      <c r="S430">
        <v>136294.17000000001</v>
      </c>
      <c r="U430" s="175">
        <f t="shared" si="24"/>
        <v>140022.65923076926</v>
      </c>
    </row>
    <row r="431" spans="1:21">
      <c r="A431" s="183" t="str">
        <f t="shared" si="22"/>
        <v>932</v>
      </c>
      <c r="B431" s="183" t="str">
        <f t="shared" si="23"/>
        <v>932.0</v>
      </c>
      <c r="C431" t="s">
        <v>2192</v>
      </c>
      <c r="D431" t="s">
        <v>1715</v>
      </c>
      <c r="G431">
        <v>0</v>
      </c>
      <c r="H431">
        <v>0</v>
      </c>
      <c r="I431">
        <v>0</v>
      </c>
      <c r="J431">
        <v>0</v>
      </c>
      <c r="K431">
        <v>0</v>
      </c>
      <c r="L431">
        <v>0</v>
      </c>
      <c r="M431">
        <v>0</v>
      </c>
      <c r="N431">
        <v>0</v>
      </c>
      <c r="O431">
        <v>0</v>
      </c>
      <c r="P431">
        <v>0</v>
      </c>
      <c r="Q431">
        <v>0</v>
      </c>
      <c r="R431">
        <v>0</v>
      </c>
      <c r="S431">
        <v>0</v>
      </c>
      <c r="U431" s="188">
        <f t="shared" si="24"/>
        <v>0</v>
      </c>
    </row>
    <row r="432" spans="1:21">
      <c r="A432" s="183" t="str">
        <f t="shared" si="22"/>
        <v>935</v>
      </c>
      <c r="B432" s="183" t="str">
        <f t="shared" si="23"/>
        <v>935.0</v>
      </c>
      <c r="C432" t="s">
        <v>2193</v>
      </c>
      <c r="D432" t="s">
        <v>1717</v>
      </c>
      <c r="G432">
        <v>220708.66</v>
      </c>
      <c r="H432">
        <v>150437.82</v>
      </c>
      <c r="I432">
        <v>151353.73000000001</v>
      </c>
      <c r="J432">
        <v>175122.22</v>
      </c>
      <c r="K432">
        <v>135426.13</v>
      </c>
      <c r="L432">
        <v>67386.23</v>
      </c>
      <c r="M432">
        <v>108098.73</v>
      </c>
      <c r="N432">
        <v>83774.05</v>
      </c>
      <c r="O432">
        <v>101541.21</v>
      </c>
      <c r="P432">
        <v>69415.350000000006</v>
      </c>
      <c r="Q432">
        <v>82028.98</v>
      </c>
      <c r="R432">
        <v>-20462.68</v>
      </c>
      <c r="S432">
        <v>44326.13</v>
      </c>
      <c r="U432" s="175">
        <f t="shared" si="24"/>
        <v>105319.73538461537</v>
      </c>
    </row>
    <row r="433" spans="1:21">
      <c r="A433" s="183" t="str">
        <f t="shared" si="22"/>
        <v>999</v>
      </c>
      <c r="B433" s="183" t="str">
        <f t="shared" si="23"/>
        <v>999.9</v>
      </c>
      <c r="C433" t="s">
        <v>2194</v>
      </c>
      <c r="D433" t="s">
        <v>2195</v>
      </c>
      <c r="G433">
        <v>260836.03</v>
      </c>
      <c r="H433">
        <v>60656778.149999999</v>
      </c>
      <c r="I433">
        <v>176856.38</v>
      </c>
      <c r="J433">
        <v>168150.97</v>
      </c>
      <c r="K433">
        <v>160791.17000000001</v>
      </c>
      <c r="L433">
        <v>177817.15</v>
      </c>
      <c r="M433">
        <v>149243.37</v>
      </c>
      <c r="N433">
        <v>158742.67000000001</v>
      </c>
      <c r="O433">
        <v>184614.09</v>
      </c>
      <c r="P433">
        <v>206837.05</v>
      </c>
      <c r="Q433">
        <v>166517.88</v>
      </c>
      <c r="R433">
        <v>144084.44</v>
      </c>
      <c r="S433">
        <v>129497.86</v>
      </c>
      <c r="U433" s="175">
        <f t="shared" si="24"/>
        <v>4826212.8623076919</v>
      </c>
    </row>
    <row r="434" spans="1:21">
      <c r="A434" s="183" t="str">
        <f t="shared" si="22"/>
        <v>999</v>
      </c>
      <c r="B434" s="183" t="str">
        <f t="shared" si="23"/>
        <v>999.9</v>
      </c>
      <c r="C434" t="s">
        <v>2196</v>
      </c>
      <c r="D434" t="s">
        <v>2197</v>
      </c>
      <c r="G434">
        <v>-260836.03</v>
      </c>
      <c r="H434">
        <v>-60656778.149999999</v>
      </c>
      <c r="I434">
        <v>-176856.38</v>
      </c>
      <c r="J434">
        <v>-168150.97</v>
      </c>
      <c r="K434">
        <v>-160791.17000000001</v>
      </c>
      <c r="L434">
        <v>-177817.15</v>
      </c>
      <c r="M434">
        <v>-149243.37</v>
      </c>
      <c r="N434">
        <v>-158742.67000000001</v>
      </c>
      <c r="O434">
        <v>-184614.09</v>
      </c>
      <c r="P434">
        <v>-206837.05</v>
      </c>
      <c r="Q434">
        <v>-166517.88</v>
      </c>
      <c r="R434">
        <v>-144084.44</v>
      </c>
      <c r="S434">
        <v>-129497.86</v>
      </c>
    </row>
    <row r="435" spans="1:21">
      <c r="A435" s="183" t="str">
        <f t="shared" si="22"/>
        <v>999</v>
      </c>
      <c r="B435" s="183" t="str">
        <f t="shared" si="23"/>
        <v>999.9</v>
      </c>
      <c r="C435" t="s">
        <v>2198</v>
      </c>
      <c r="D435" t="s">
        <v>2199</v>
      </c>
      <c r="G435">
        <v>-11151279.869999999</v>
      </c>
      <c r="H435">
        <v>-3267183722.8200002</v>
      </c>
      <c r="I435">
        <v>-17774775.699999999</v>
      </c>
      <c r="J435">
        <v>-21480616.359999999</v>
      </c>
      <c r="K435">
        <v>-30853839.940000001</v>
      </c>
      <c r="L435">
        <v>-39511786.079999998</v>
      </c>
      <c r="M435">
        <v>-47940112.43</v>
      </c>
      <c r="N435">
        <v>-52132984.93</v>
      </c>
      <c r="O435">
        <v>-56947771.979999997</v>
      </c>
      <c r="P435">
        <v>-46137011.030000001</v>
      </c>
      <c r="Q435">
        <v>-32285716.120000001</v>
      </c>
      <c r="R435">
        <v>-21691278.780000001</v>
      </c>
      <c r="S435">
        <v>-14526717.300000001</v>
      </c>
      <c r="U435" s="175">
        <f t="shared" ref="U435" si="25">U429</f>
        <v>1559942.0476923075</v>
      </c>
    </row>
    <row r="436" spans="1:21">
      <c r="A436" s="183" t="str">
        <f t="shared" si="22"/>
        <v>999</v>
      </c>
      <c r="B436" s="183" t="str">
        <f t="shared" si="23"/>
        <v>999.9</v>
      </c>
      <c r="C436" t="s">
        <v>2200</v>
      </c>
      <c r="D436" t="s">
        <v>2201</v>
      </c>
      <c r="G436">
        <v>11151279.869999999</v>
      </c>
      <c r="H436">
        <v>3267183722.8200002</v>
      </c>
      <c r="I436">
        <v>17774775.699999999</v>
      </c>
      <c r="J436">
        <v>21480616.359999999</v>
      </c>
      <c r="K436">
        <v>30853839.940000001</v>
      </c>
      <c r="L436">
        <v>39511786.079999998</v>
      </c>
      <c r="M436">
        <v>47940112.43</v>
      </c>
      <c r="N436">
        <v>52132984.93</v>
      </c>
      <c r="O436">
        <v>56947771.979999997</v>
      </c>
      <c r="P436">
        <v>46137011.030000001</v>
      </c>
      <c r="Q436">
        <v>32285716.120000001</v>
      </c>
      <c r="R436">
        <v>21691278.780000001</v>
      </c>
      <c r="S436">
        <v>14526717.300000001</v>
      </c>
      <c r="U436" s="175">
        <f t="shared" ref="U436" si="26">SUM(U432:U433,U430)</f>
        <v>5071555.2569230767</v>
      </c>
    </row>
    <row r="437" spans="1:21">
      <c r="A437" s="181"/>
      <c r="B437" s="181"/>
      <c r="U437" s="191">
        <f t="shared" ref="U437" si="27">U435-U436</f>
        <v>-3511613.2092307694</v>
      </c>
    </row>
    <row r="438" spans="1:21" hidden="1">
      <c r="A438" s="181"/>
      <c r="B438" s="181"/>
    </row>
    <row r="439" spans="1:21" hidden="1">
      <c r="A439" s="181"/>
      <c r="B439" s="181"/>
    </row>
    <row r="440" spans="1:21" hidden="1">
      <c r="A440" s="181"/>
      <c r="B440" s="181"/>
    </row>
    <row r="441" spans="1:21" hidden="1">
      <c r="A441" s="181"/>
      <c r="B441" s="181"/>
    </row>
    <row r="442" spans="1:21" hidden="1">
      <c r="A442" s="181"/>
      <c r="B442" s="181"/>
    </row>
    <row r="443" spans="1:21" hidden="1">
      <c r="A443" s="181"/>
      <c r="B443" s="181"/>
    </row>
    <row r="444" spans="1:21" hidden="1">
      <c r="A444" s="181"/>
      <c r="B444" s="181"/>
    </row>
    <row r="445" spans="1:21" hidden="1">
      <c r="A445" s="181"/>
      <c r="B445" s="181"/>
    </row>
    <row r="446" spans="1:21" hidden="1">
      <c r="A446" s="181"/>
      <c r="B446" s="181"/>
    </row>
    <row r="447" spans="1:21" hidden="1">
      <c r="A447" s="181"/>
      <c r="B447" s="181"/>
    </row>
    <row r="448" spans="1:21" hidden="1">
      <c r="A448" s="181"/>
      <c r="B448" s="181"/>
    </row>
    <row r="449" spans="1:2" hidden="1">
      <c r="A449" s="181"/>
      <c r="B449" s="181"/>
    </row>
    <row r="450" spans="1:2" hidden="1">
      <c r="A450" s="181"/>
      <c r="B450" s="181"/>
    </row>
    <row r="451" spans="1:2" hidden="1">
      <c r="A451" s="181"/>
      <c r="B451" s="181"/>
    </row>
    <row r="452" spans="1:2" hidden="1">
      <c r="A452" s="181"/>
      <c r="B452" s="181"/>
    </row>
    <row r="453" spans="1:2" hidden="1">
      <c r="A453" s="181"/>
      <c r="B453" s="181"/>
    </row>
    <row r="454" spans="1:2" hidden="1">
      <c r="A454" s="181"/>
      <c r="B454" s="181"/>
    </row>
    <row r="455" spans="1:2" hidden="1">
      <c r="A455" s="181"/>
      <c r="B455" s="181"/>
    </row>
    <row r="456" spans="1:2" hidden="1">
      <c r="A456" s="181"/>
      <c r="B456" s="181"/>
    </row>
    <row r="457" spans="1:2" hidden="1">
      <c r="A457" s="181"/>
      <c r="B457" s="181"/>
    </row>
    <row r="458" spans="1:2" hidden="1">
      <c r="A458" s="181"/>
      <c r="B458" s="181"/>
    </row>
    <row r="459" spans="1:2" hidden="1">
      <c r="A459" s="181"/>
      <c r="B459" s="181"/>
    </row>
    <row r="460" spans="1:2" hidden="1">
      <c r="A460" s="181"/>
      <c r="B460" s="181"/>
    </row>
    <row r="461" spans="1:2" hidden="1">
      <c r="A461" s="181"/>
      <c r="B461" s="181"/>
    </row>
    <row r="462" spans="1:2" hidden="1">
      <c r="A462" s="181"/>
      <c r="B462" s="181"/>
    </row>
    <row r="463" spans="1:2" hidden="1">
      <c r="A463" s="181"/>
      <c r="B463" s="181"/>
    </row>
    <row r="464" spans="1:2" hidden="1">
      <c r="A464" s="181"/>
      <c r="B464" s="181"/>
    </row>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spans="1:21" hidden="1"/>
    <row r="498" spans="1:21" hidden="1"/>
    <row r="499" spans="1:21" hidden="1"/>
    <row r="501" spans="1:21">
      <c r="A501" s="336">
        <v>1823610</v>
      </c>
      <c r="B501" s="183" t="s">
        <v>1718</v>
      </c>
      <c r="C501" s="336">
        <v>1823610</v>
      </c>
      <c r="D501" s="192" t="s">
        <v>1719</v>
      </c>
      <c r="E501" s="464"/>
      <c r="F501" s="464"/>
      <c r="G501" s="192">
        <v>119087132.54000001</v>
      </c>
      <c r="H501" s="192">
        <v>108747046.63</v>
      </c>
      <c r="I501" s="192">
        <v>108724236.83</v>
      </c>
      <c r="J501" s="192">
        <v>108730218.40000001</v>
      </c>
      <c r="K501" s="192">
        <v>108778335.11</v>
      </c>
      <c r="L501" s="192">
        <v>108865790.61</v>
      </c>
      <c r="M501" s="192">
        <v>109191624.98</v>
      </c>
      <c r="N501" s="192">
        <v>109378274.84</v>
      </c>
      <c r="O501" s="192">
        <v>109620562.14</v>
      </c>
      <c r="P501" s="192">
        <v>109905353.69</v>
      </c>
      <c r="Q501" s="192">
        <v>110231414.58</v>
      </c>
      <c r="R501" s="192">
        <v>110838903.76000001</v>
      </c>
      <c r="S501" s="192">
        <v>111138803.81</v>
      </c>
      <c r="U501" s="175">
        <f t="shared" ref="U501:U508" si="28">AVERAGE(G501:S501)</f>
        <v>110249053.68615383</v>
      </c>
    </row>
    <row r="502" spans="1:21">
      <c r="A502" t="s">
        <v>2202</v>
      </c>
      <c r="B502" s="224" t="s">
        <v>2202</v>
      </c>
      <c r="C502" s="531"/>
      <c r="D502" s="531" t="s">
        <v>1720</v>
      </c>
      <c r="G502">
        <v>-68415327.290000007</v>
      </c>
      <c r="H502">
        <v>-68262060.310000002</v>
      </c>
      <c r="I502">
        <v>-68108793.379999995</v>
      </c>
      <c r="J502">
        <v>-68259837.640000001</v>
      </c>
      <c r="K502">
        <v>-68006315.640000001</v>
      </c>
      <c r="L502">
        <v>-67815993.420000002</v>
      </c>
      <c r="M502">
        <v>-67635832.480000004</v>
      </c>
      <c r="N502">
        <v>-67447432.950000003</v>
      </c>
      <c r="O502">
        <v>-67259829.510000005</v>
      </c>
      <c r="P502">
        <v>-67071562.43</v>
      </c>
      <c r="Q502">
        <v>-66883295.43</v>
      </c>
      <c r="R502">
        <v>-66806379.170000002</v>
      </c>
      <c r="S502">
        <v>-66709310.520000003</v>
      </c>
      <c r="U502" s="175">
        <f t="shared" si="28"/>
        <v>-67590920.782307684</v>
      </c>
    </row>
    <row r="503" spans="1:21">
      <c r="A503" t="s">
        <v>2203</v>
      </c>
      <c r="B503" s="181" t="s">
        <v>2203</v>
      </c>
      <c r="C503" s="128" t="s">
        <v>2203</v>
      </c>
      <c r="D503" t="s">
        <v>1721</v>
      </c>
      <c r="E503" s="464"/>
      <c r="F503" s="464"/>
      <c r="G503" s="192">
        <v>512586444.26999998</v>
      </c>
      <c r="H503" s="192">
        <v>509482638.62</v>
      </c>
      <c r="I503" s="192">
        <v>506675051.57999998</v>
      </c>
      <c r="J503" s="192">
        <v>507491422.12</v>
      </c>
      <c r="K503" s="192">
        <v>504195572.00999999</v>
      </c>
      <c r="L503" s="192">
        <v>501201375.19999999</v>
      </c>
      <c r="M503" s="192">
        <v>495288959.98000002</v>
      </c>
      <c r="N503" s="192">
        <v>492310199.36000001</v>
      </c>
      <c r="O503" s="192">
        <v>489347403.12</v>
      </c>
      <c r="P503" s="192">
        <v>478324602.25999999</v>
      </c>
      <c r="Q503" s="192">
        <v>475349119.58999997</v>
      </c>
      <c r="R503" s="192">
        <v>472961006.68000001</v>
      </c>
      <c r="S503" s="192">
        <v>476702076.82999998</v>
      </c>
      <c r="U503" s="175">
        <f t="shared" si="28"/>
        <v>493993528.58615392</v>
      </c>
    </row>
    <row r="504" spans="1:21">
      <c r="A504" t="s">
        <v>2204</v>
      </c>
      <c r="B504" s="530" t="s">
        <v>2204</v>
      </c>
      <c r="C504" s="531"/>
      <c r="D504" s="531" t="s">
        <v>1722</v>
      </c>
      <c r="G504">
        <v>-242513617.96000001</v>
      </c>
      <c r="H504">
        <v>-248029509.16999999</v>
      </c>
      <c r="I504">
        <v>-246064179.84999999</v>
      </c>
      <c r="J504">
        <v>-246555638.31999999</v>
      </c>
      <c r="K504">
        <v>-244247691.41</v>
      </c>
      <c r="L504">
        <v>-242088393.61000001</v>
      </c>
      <c r="M504">
        <v>-237564952.25999999</v>
      </c>
      <c r="N504">
        <v>-235341689.43000001</v>
      </c>
      <c r="O504">
        <v>-233088214.36000001</v>
      </c>
      <c r="P504">
        <v>-224786306.74000001</v>
      </c>
      <c r="Q504">
        <v>-222461314.81999999</v>
      </c>
      <c r="R504">
        <v>-220281594.58000001</v>
      </c>
      <c r="S504">
        <v>-222922291.34999999</v>
      </c>
      <c r="U504" s="175">
        <f t="shared" si="28"/>
        <v>-235841953.3738462</v>
      </c>
    </row>
    <row r="505" spans="1:21">
      <c r="A505" t="s">
        <v>2205</v>
      </c>
      <c r="B505" s="530" t="s">
        <v>2205</v>
      </c>
      <c r="C505" s="531"/>
      <c r="D505" s="531" t="s">
        <v>1723</v>
      </c>
      <c r="G505">
        <v>-82570366.879999995</v>
      </c>
      <c r="H505">
        <v>-84444022.909999996</v>
      </c>
      <c r="I505">
        <v>-83777841.920000002</v>
      </c>
      <c r="J505">
        <v>-83945728.159999996</v>
      </c>
      <c r="K505">
        <v>-83163230.25</v>
      </c>
      <c r="L505">
        <v>-82431197.959999993</v>
      </c>
      <c r="M505">
        <v>-80896550.659999996</v>
      </c>
      <c r="N505">
        <v>-80142802.540000007</v>
      </c>
      <c r="O505">
        <v>-79378797.510000005</v>
      </c>
      <c r="P505">
        <v>-76561379.799999997</v>
      </c>
      <c r="Q505">
        <v>-75773095.159999996</v>
      </c>
      <c r="R505">
        <v>-75034129.569999993</v>
      </c>
      <c r="S505">
        <v>-75931671.549999997</v>
      </c>
      <c r="U505" s="175">
        <f t="shared" si="28"/>
        <v>-80311601.143846139</v>
      </c>
    </row>
    <row r="506" spans="1:21">
      <c r="A506" t="s">
        <v>1724</v>
      </c>
      <c r="B506" s="189" t="s">
        <v>1724</v>
      </c>
      <c r="D506" s="190" t="s">
        <v>1725</v>
      </c>
      <c r="E506" s="465"/>
      <c r="F506" s="465"/>
      <c r="G506" s="174">
        <v>0</v>
      </c>
      <c r="H506" s="174">
        <v>0</v>
      </c>
      <c r="I506" s="174">
        <v>0</v>
      </c>
      <c r="J506" s="174">
        <v>0</v>
      </c>
      <c r="K506" s="174">
        <v>0</v>
      </c>
      <c r="L506" s="174">
        <v>0</v>
      </c>
      <c r="M506" s="174">
        <v>0</v>
      </c>
      <c r="N506" s="174">
        <v>0</v>
      </c>
      <c r="O506" s="174">
        <v>0</v>
      </c>
      <c r="P506" s="174">
        <v>0</v>
      </c>
      <c r="Q506" s="174">
        <v>0</v>
      </c>
      <c r="R506" s="174">
        <v>0</v>
      </c>
      <c r="S506" s="174">
        <v>0</v>
      </c>
      <c r="U506" s="175">
        <f t="shared" si="28"/>
        <v>0</v>
      </c>
    </row>
    <row r="507" spans="1:21">
      <c r="A507" t="s">
        <v>1726</v>
      </c>
      <c r="B507" s="190" t="s">
        <v>1726</v>
      </c>
      <c r="D507" s="190" t="s">
        <v>1727</v>
      </c>
      <c r="E507" s="465"/>
      <c r="F507" s="465"/>
      <c r="G507" s="174">
        <v>0</v>
      </c>
      <c r="H507" s="174">
        <v>0</v>
      </c>
      <c r="I507" s="174">
        <v>0</v>
      </c>
      <c r="J507" s="174">
        <v>0</v>
      </c>
      <c r="K507" s="174">
        <v>0</v>
      </c>
      <c r="L507" s="174">
        <v>0</v>
      </c>
      <c r="M507" s="174">
        <v>0</v>
      </c>
      <c r="N507" s="174">
        <v>0</v>
      </c>
      <c r="O507" s="174">
        <v>0</v>
      </c>
      <c r="P507" s="174">
        <v>0</v>
      </c>
      <c r="Q507" s="174">
        <v>0</v>
      </c>
      <c r="R507" s="174">
        <v>0</v>
      </c>
      <c r="S507" s="174">
        <v>0</v>
      </c>
      <c r="U507" s="175">
        <f t="shared" si="28"/>
        <v>0</v>
      </c>
    </row>
    <row r="508" spans="1:21">
      <c r="A508" t="s">
        <v>1728</v>
      </c>
      <c r="B508" s="190" t="s">
        <v>1728</v>
      </c>
      <c r="D508" s="190" t="s">
        <v>1729</v>
      </c>
      <c r="E508" s="465"/>
      <c r="F508" s="465"/>
      <c r="G508">
        <v>128719.8000000021</v>
      </c>
      <c r="H508">
        <v>-4288.1399999979039</v>
      </c>
      <c r="I508">
        <v>-146562.02999999793</v>
      </c>
      <c r="J508">
        <v>949232.15000000212</v>
      </c>
      <c r="K508">
        <v>1555910.8500000022</v>
      </c>
      <c r="L508">
        <v>1443415.9200000023</v>
      </c>
      <c r="M508">
        <v>1646343.8800000022</v>
      </c>
      <c r="N508">
        <v>1523209.6300000022</v>
      </c>
      <c r="O508">
        <v>1673472.8700000022</v>
      </c>
      <c r="P508">
        <v>1660438.8000000021</v>
      </c>
      <c r="Q508">
        <v>1632427.0900000022</v>
      </c>
      <c r="R508">
        <v>-411981.18999999791</v>
      </c>
      <c r="S508">
        <v>-14616289.719999999</v>
      </c>
      <c r="U508" s="175">
        <f t="shared" si="28"/>
        <v>-228150.00692307478</v>
      </c>
    </row>
    <row r="510" spans="1:21">
      <c r="T510" s="175"/>
      <c r="U510"/>
    </row>
    <row r="511" spans="1:21">
      <c r="T511" s="175"/>
      <c r="U511"/>
    </row>
    <row r="512" spans="1:21">
      <c r="T512" s="175"/>
      <c r="U512"/>
    </row>
    <row r="513" spans="20:21">
      <c r="T513" s="175"/>
      <c r="U513"/>
    </row>
    <row r="514" spans="20:21">
      <c r="T514" s="175"/>
      <c r="U514"/>
    </row>
    <row r="515" spans="20:21">
      <c r="T515" s="175"/>
      <c r="U515"/>
    </row>
    <row r="516" spans="20:21">
      <c r="T516" s="175"/>
      <c r="U516"/>
    </row>
    <row r="517" spans="20:21">
      <c r="T517" s="175"/>
      <c r="U517"/>
    </row>
    <row r="518" spans="20:21">
      <c r="T518" s="175"/>
      <c r="U518"/>
    </row>
    <row r="519" spans="20:21">
      <c r="T519" s="175"/>
      <c r="U519"/>
    </row>
    <row r="520" spans="20:21">
      <c r="T520" s="175"/>
      <c r="U520"/>
    </row>
    <row r="521" spans="20:21">
      <c r="T521" s="175"/>
      <c r="U521"/>
    </row>
    <row r="522" spans="20:21">
      <c r="T522" s="175"/>
      <c r="U522"/>
    </row>
    <row r="523" spans="20:21">
      <c r="T523" s="175"/>
      <c r="U523"/>
    </row>
  </sheetData>
  <phoneticPr fontId="119" type="noConversion"/>
  <pageMargins left="0.7" right="0.7" top="0.75" bottom="0.75" header="0.3" footer="0.3"/>
  <customProperties>
    <customPr name="EpmWorksheetKeyString_GU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B4E20-C769-4746-B82A-A0375516ACC2}">
  <sheetPr>
    <tabColor rgb="FF008080"/>
  </sheetPr>
  <dimension ref="A1:V523"/>
  <sheetViews>
    <sheetView zoomScale="90" zoomScaleNormal="90" workbookViewId="0">
      <pane ySplit="4" topLeftCell="A5" activePane="bottomLeft" state="frozen"/>
      <selection activeCell="K169" sqref="K169"/>
      <selection pane="bottomLeft" activeCell="D5" sqref="D5"/>
    </sheetView>
  </sheetViews>
  <sheetFormatPr defaultRowHeight="14.4"/>
  <cols>
    <col min="1" max="2" width="10.33203125" customWidth="1"/>
    <col min="3" max="3" width="11.44140625" bestFit="1" customWidth="1"/>
    <col min="4" max="4" width="54" customWidth="1"/>
    <col min="5" max="6" width="1" style="462" customWidth="1"/>
    <col min="7" max="19" width="15.44140625" bestFit="1" customWidth="1"/>
    <col min="20" max="20" width="1.88671875" bestFit="1" customWidth="1"/>
    <col min="21" max="21" width="18" style="175" bestFit="1" customWidth="1"/>
    <col min="22" max="22" width="16.109375" bestFit="1" customWidth="1"/>
  </cols>
  <sheetData>
    <row r="1" spans="1:21">
      <c r="C1" s="249" t="s">
        <v>2206</v>
      </c>
      <c r="D1" s="248"/>
      <c r="E1" s="461"/>
      <c r="F1" s="461"/>
      <c r="G1" s="451">
        <f>SUM(G6:G80)</f>
        <v>10395566873.820002</v>
      </c>
      <c r="H1" s="451">
        <f t="shared" ref="H1:S1" si="0">SUM(H6:H80)</f>
        <v>10461957680.749998</v>
      </c>
      <c r="I1" s="451">
        <f t="shared" si="0"/>
        <v>10534562244.790001</v>
      </c>
      <c r="J1" s="451">
        <f t="shared" si="0"/>
        <v>10617753173.860003</v>
      </c>
      <c r="K1" s="451">
        <f t="shared" si="0"/>
        <v>10695325641.73</v>
      </c>
      <c r="L1" s="451">
        <f t="shared" si="0"/>
        <v>10829710129.819998</v>
      </c>
      <c r="M1" s="451">
        <f t="shared" si="0"/>
        <v>10979783213.4</v>
      </c>
      <c r="N1" s="451">
        <f t="shared" si="0"/>
        <v>11223105065.339998</v>
      </c>
      <c r="O1" s="451">
        <f t="shared" si="0"/>
        <v>11412796101.25</v>
      </c>
      <c r="P1" s="451">
        <f t="shared" si="0"/>
        <v>11529268286.179998</v>
      </c>
      <c r="Q1" s="451">
        <f t="shared" si="0"/>
        <v>11523219458.730001</v>
      </c>
      <c r="R1" s="451">
        <f t="shared" si="0"/>
        <v>11609276663.269997</v>
      </c>
      <c r="S1" s="451">
        <f t="shared" si="0"/>
        <v>11855260230.330004</v>
      </c>
      <c r="T1" s="452"/>
      <c r="U1" s="453">
        <f t="shared" ref="U1" si="1">SUM(U6:U80)</f>
        <v>11051352674.097692</v>
      </c>
    </row>
    <row r="2" spans="1:21">
      <c r="A2" s="176" t="s">
        <v>885</v>
      </c>
      <c r="B2" s="176" t="s">
        <v>885</v>
      </c>
      <c r="G2" s="451">
        <f>SUM(G81:G123)</f>
        <v>10395566873.819996</v>
      </c>
      <c r="H2" s="451">
        <f t="shared" ref="H2:S2" si="2">SUM(H81:H123)</f>
        <v>10461957680.749998</v>
      </c>
      <c r="I2" s="451">
        <f t="shared" si="2"/>
        <v>10534562244.789997</v>
      </c>
      <c r="J2" s="451">
        <f t="shared" si="2"/>
        <v>10617753173.860003</v>
      </c>
      <c r="K2" s="451">
        <f t="shared" si="2"/>
        <v>10695325641.730001</v>
      </c>
      <c r="L2" s="451">
        <f t="shared" si="2"/>
        <v>10829710129.82</v>
      </c>
      <c r="M2" s="451">
        <f t="shared" si="2"/>
        <v>10979783213.399998</v>
      </c>
      <c r="N2" s="451">
        <f t="shared" si="2"/>
        <v>11223105065.34</v>
      </c>
      <c r="O2" s="451">
        <f t="shared" si="2"/>
        <v>11412796101.249998</v>
      </c>
      <c r="P2" s="451">
        <f t="shared" si="2"/>
        <v>11529268286.179996</v>
      </c>
      <c r="Q2" s="451">
        <f t="shared" si="2"/>
        <v>11523219458.730003</v>
      </c>
      <c r="R2" s="451">
        <f t="shared" si="2"/>
        <v>11609276663.27</v>
      </c>
      <c r="S2" s="451">
        <f t="shared" si="2"/>
        <v>11855260230.329994</v>
      </c>
      <c r="T2" s="452"/>
      <c r="U2" s="453">
        <f t="shared" ref="U2" si="3">SUM(U81:U123)</f>
        <v>11051352674.097691</v>
      </c>
    </row>
    <row r="3" spans="1:21" ht="15">
      <c r="A3" s="177"/>
      <c r="B3" s="177"/>
      <c r="G3" s="240" t="s">
        <v>1746</v>
      </c>
      <c r="H3" s="240" t="s">
        <v>1746</v>
      </c>
      <c r="I3" s="240" t="s">
        <v>1746</v>
      </c>
      <c r="J3" s="240" t="s">
        <v>1746</v>
      </c>
      <c r="K3" s="240" t="s">
        <v>1746</v>
      </c>
      <c r="L3" s="240" t="s">
        <v>1746</v>
      </c>
      <c r="M3" s="240" t="s">
        <v>1746</v>
      </c>
      <c r="N3" s="240" t="s">
        <v>1746</v>
      </c>
      <c r="O3" s="240" t="s">
        <v>1746</v>
      </c>
      <c r="P3" s="240" t="s">
        <v>1746</v>
      </c>
      <c r="Q3" s="240" t="s">
        <v>1746</v>
      </c>
      <c r="R3" s="240" t="s">
        <v>1746</v>
      </c>
      <c r="S3" s="240" t="s">
        <v>1746</v>
      </c>
      <c r="T3" s="240"/>
      <c r="U3" s="447" t="s">
        <v>1746</v>
      </c>
    </row>
    <row r="4" spans="1:21" ht="15">
      <c r="A4" s="179" t="s">
        <v>355</v>
      </c>
      <c r="B4" s="179" t="s">
        <v>355</v>
      </c>
      <c r="C4" s="180" t="s">
        <v>889</v>
      </c>
      <c r="D4" s="124" t="s">
        <v>890</v>
      </c>
      <c r="E4" s="463"/>
      <c r="F4" s="463"/>
      <c r="G4" s="448" t="s">
        <v>2207</v>
      </c>
      <c r="H4" s="448" t="s">
        <v>2208</v>
      </c>
      <c r="I4" s="448" t="s">
        <v>2209</v>
      </c>
      <c r="J4" s="448" t="s">
        <v>2210</v>
      </c>
      <c r="K4" s="448" t="s">
        <v>2211</v>
      </c>
      <c r="L4" s="448" t="s">
        <v>2212</v>
      </c>
      <c r="M4" s="448" t="s">
        <v>2213</v>
      </c>
      <c r="N4" s="448" t="s">
        <v>2214</v>
      </c>
      <c r="O4" s="448" t="s">
        <v>2215</v>
      </c>
      <c r="P4" s="448" t="s">
        <v>2216</v>
      </c>
      <c r="Q4" s="448" t="s">
        <v>2217</v>
      </c>
      <c r="R4" s="448" t="s">
        <v>2218</v>
      </c>
      <c r="S4" s="448" t="s">
        <v>2219</v>
      </c>
      <c r="T4" s="449"/>
      <c r="U4" s="450" t="s">
        <v>2220</v>
      </c>
    </row>
    <row r="5" spans="1:21">
      <c r="A5" s="181"/>
      <c r="B5" s="181"/>
      <c r="G5" s="182">
        <v>7</v>
      </c>
      <c r="H5" s="182">
        <v>8</v>
      </c>
      <c r="I5" s="182">
        <v>9</v>
      </c>
      <c r="J5" s="182">
        <v>10</v>
      </c>
      <c r="K5" s="182">
        <v>11</v>
      </c>
      <c r="L5" s="182">
        <v>12</v>
      </c>
      <c r="M5" s="182">
        <v>13</v>
      </c>
      <c r="N5" s="182">
        <v>14</v>
      </c>
      <c r="O5" s="182">
        <v>15</v>
      </c>
      <c r="P5" s="182">
        <v>16</v>
      </c>
      <c r="Q5" s="182">
        <v>17</v>
      </c>
      <c r="R5" s="182">
        <v>18</v>
      </c>
      <c r="S5" s="182">
        <v>19</v>
      </c>
    </row>
    <row r="6" spans="1:21">
      <c r="A6" s="183" t="str">
        <f>MID(C6,4,3)</f>
        <v>101</v>
      </c>
      <c r="B6" s="183" t="str">
        <f>MID(C6,4,3)&amp;"."&amp;MID(C6,7,1)</f>
        <v>101.0</v>
      </c>
      <c r="C6" t="s">
        <v>1761</v>
      </c>
      <c r="D6" t="s">
        <v>388</v>
      </c>
      <c r="G6">
        <v>9441135031.2900009</v>
      </c>
      <c r="H6">
        <v>9441323772.4200001</v>
      </c>
      <c r="I6">
        <v>9449200095.9300003</v>
      </c>
      <c r="J6">
        <v>9643818063.3899994</v>
      </c>
      <c r="K6">
        <v>9648825963.9599991</v>
      </c>
      <c r="L6">
        <v>9671031772.7700005</v>
      </c>
      <c r="M6">
        <v>9725235554.2099991</v>
      </c>
      <c r="N6">
        <v>9826318020.9099998</v>
      </c>
      <c r="O6">
        <v>9832467950.5499992</v>
      </c>
      <c r="P6">
        <v>9896040488.6599998</v>
      </c>
      <c r="Q6">
        <v>9922670897.3299999</v>
      </c>
      <c r="R6">
        <v>9951979501.0599995</v>
      </c>
      <c r="S6">
        <v>10039841645.940001</v>
      </c>
      <c r="U6" s="175">
        <f>AVERAGE(G6:S6)</f>
        <v>9729991442.9553852</v>
      </c>
    </row>
    <row r="7" spans="1:21">
      <c r="A7" s="183" t="str">
        <f t="shared" ref="A7:A70" si="4">MID(C7,4,3)</f>
        <v>101</v>
      </c>
      <c r="B7" s="183" t="str">
        <f t="shared" ref="B7:B70" si="5">MID(C7,4,3)&amp;"."&amp;MID(C7,7,1)</f>
        <v>101.1</v>
      </c>
      <c r="C7" t="s">
        <v>1762</v>
      </c>
      <c r="D7" t="s">
        <v>907</v>
      </c>
      <c r="G7">
        <v>27433495.02</v>
      </c>
      <c r="H7">
        <v>27400981.510000002</v>
      </c>
      <c r="I7">
        <v>27366774.77</v>
      </c>
      <c r="J7">
        <v>26932859.149999999</v>
      </c>
      <c r="K7">
        <v>26898611.43</v>
      </c>
      <c r="L7">
        <v>26864343.100000001</v>
      </c>
      <c r="M7">
        <v>26422271.079999998</v>
      </c>
      <c r="N7">
        <v>26387961.300000001</v>
      </c>
      <c r="O7">
        <v>26353627.579999998</v>
      </c>
      <c r="P7">
        <v>25907563.600000001</v>
      </c>
      <c r="Q7">
        <v>25873181.75</v>
      </c>
      <c r="R7">
        <v>25838775.690000001</v>
      </c>
      <c r="S7">
        <v>25388678.699999999</v>
      </c>
      <c r="U7" s="175">
        <f t="shared" ref="U7:U70" si="6">AVERAGE(G7:S7)</f>
        <v>26543778.821538456</v>
      </c>
    </row>
    <row r="8" spans="1:21">
      <c r="A8" s="183" t="str">
        <f t="shared" si="4"/>
        <v>102</v>
      </c>
      <c r="B8" s="183" t="str">
        <f t="shared" si="5"/>
        <v>102.0</v>
      </c>
      <c r="C8" t="s">
        <v>1763</v>
      </c>
      <c r="D8" t="s">
        <v>909</v>
      </c>
      <c r="G8">
        <v>14933.73</v>
      </c>
      <c r="H8">
        <v>33357.17</v>
      </c>
      <c r="I8">
        <v>1144068.75</v>
      </c>
      <c r="J8">
        <v>1145909.54</v>
      </c>
      <c r="K8">
        <v>1147365.1399999999</v>
      </c>
      <c r="L8">
        <v>1156927.6399999999</v>
      </c>
      <c r="M8">
        <v>1164553.8899999999</v>
      </c>
      <c r="N8">
        <v>1190190.8500000001</v>
      </c>
      <c r="O8">
        <v>1322174.24</v>
      </c>
      <c r="P8">
        <v>1316649.47</v>
      </c>
      <c r="Q8">
        <v>1316832.43</v>
      </c>
      <c r="R8">
        <v>216993.81</v>
      </c>
      <c r="S8">
        <v>218909.87</v>
      </c>
      <c r="U8" s="175">
        <f t="shared" si="6"/>
        <v>876066.65615384607</v>
      </c>
    </row>
    <row r="9" spans="1:21">
      <c r="A9" s="183" t="str">
        <f t="shared" si="4"/>
        <v>103</v>
      </c>
      <c r="B9" s="183" t="str">
        <f t="shared" si="5"/>
        <v>103.0</v>
      </c>
      <c r="C9" t="s">
        <v>1764</v>
      </c>
      <c r="D9" t="s">
        <v>911</v>
      </c>
      <c r="G9">
        <v>0</v>
      </c>
      <c r="H9">
        <v>0</v>
      </c>
      <c r="I9">
        <v>0</v>
      </c>
      <c r="J9">
        <v>0</v>
      </c>
      <c r="K9">
        <v>0</v>
      </c>
      <c r="L9">
        <v>0</v>
      </c>
      <c r="M9">
        <v>0</v>
      </c>
      <c r="N9">
        <v>0</v>
      </c>
      <c r="O9">
        <v>0</v>
      </c>
      <c r="P9">
        <v>0</v>
      </c>
      <c r="Q9">
        <v>0</v>
      </c>
      <c r="R9">
        <v>0</v>
      </c>
      <c r="S9">
        <v>0</v>
      </c>
      <c r="U9" s="175">
        <f t="shared" si="6"/>
        <v>0</v>
      </c>
    </row>
    <row r="10" spans="1:21">
      <c r="A10" s="183" t="str">
        <f t="shared" si="4"/>
        <v>103</v>
      </c>
      <c r="B10" s="183" t="str">
        <f t="shared" si="5"/>
        <v>103.1</v>
      </c>
      <c r="C10" t="s">
        <v>1765</v>
      </c>
      <c r="D10" t="s">
        <v>913</v>
      </c>
      <c r="G10">
        <v>0</v>
      </c>
      <c r="H10">
        <v>0</v>
      </c>
      <c r="I10">
        <v>0</v>
      </c>
      <c r="J10">
        <v>0</v>
      </c>
      <c r="K10">
        <v>0</v>
      </c>
      <c r="L10">
        <v>0</v>
      </c>
      <c r="M10">
        <v>0</v>
      </c>
      <c r="N10">
        <v>0</v>
      </c>
      <c r="O10">
        <v>0</v>
      </c>
      <c r="P10">
        <v>0</v>
      </c>
      <c r="Q10">
        <v>0</v>
      </c>
      <c r="R10">
        <v>0</v>
      </c>
      <c r="S10">
        <v>0</v>
      </c>
      <c r="U10" s="175">
        <f t="shared" si="6"/>
        <v>0</v>
      </c>
    </row>
    <row r="11" spans="1:21">
      <c r="A11" s="183" t="str">
        <f t="shared" si="4"/>
        <v>104</v>
      </c>
      <c r="B11" s="183" t="str">
        <f t="shared" si="5"/>
        <v>104.0</v>
      </c>
      <c r="C11" t="s">
        <v>1766</v>
      </c>
      <c r="D11" t="s">
        <v>915</v>
      </c>
      <c r="G11">
        <v>0</v>
      </c>
      <c r="H11">
        <v>0</v>
      </c>
      <c r="I11">
        <v>0</v>
      </c>
      <c r="J11">
        <v>0</v>
      </c>
      <c r="K11">
        <v>0</v>
      </c>
      <c r="L11">
        <v>0</v>
      </c>
      <c r="M11">
        <v>0</v>
      </c>
      <c r="N11">
        <v>0</v>
      </c>
      <c r="O11">
        <v>0</v>
      </c>
      <c r="P11">
        <v>0</v>
      </c>
      <c r="Q11">
        <v>0</v>
      </c>
      <c r="R11">
        <v>0</v>
      </c>
      <c r="S11">
        <v>0</v>
      </c>
      <c r="U11" s="175">
        <f t="shared" si="6"/>
        <v>0</v>
      </c>
    </row>
    <row r="12" spans="1:21">
      <c r="A12" s="183" t="str">
        <f t="shared" si="4"/>
        <v>105</v>
      </c>
      <c r="B12" s="183" t="str">
        <f t="shared" si="5"/>
        <v>105.0</v>
      </c>
      <c r="C12" t="s">
        <v>1767</v>
      </c>
      <c r="D12" t="s">
        <v>917</v>
      </c>
      <c r="G12">
        <v>54564529.460000001</v>
      </c>
      <c r="H12">
        <v>54562029.460000001</v>
      </c>
      <c r="I12">
        <v>54562029.460000001</v>
      </c>
      <c r="J12">
        <v>54562029.460000001</v>
      </c>
      <c r="K12">
        <v>63660794.229999997</v>
      </c>
      <c r="L12">
        <v>54569015.409999996</v>
      </c>
      <c r="M12">
        <v>54569597.909999996</v>
      </c>
      <c r="N12">
        <v>54569597.909999996</v>
      </c>
      <c r="O12">
        <v>54570472.909999996</v>
      </c>
      <c r="P12">
        <v>54570472.909999996</v>
      </c>
      <c r="Q12">
        <v>54570472.909999996</v>
      </c>
      <c r="R12">
        <v>54570472.909999996</v>
      </c>
      <c r="S12">
        <v>54570735.409999996</v>
      </c>
      <c r="U12" s="175">
        <f t="shared" si="6"/>
        <v>55267096.180769213</v>
      </c>
    </row>
    <row r="13" spans="1:21">
      <c r="A13" s="183" t="str">
        <f t="shared" si="4"/>
        <v>105</v>
      </c>
      <c r="B13" s="183" t="str">
        <f t="shared" si="5"/>
        <v>105.1</v>
      </c>
      <c r="C13" t="s">
        <v>1768</v>
      </c>
      <c r="D13" t="s">
        <v>919</v>
      </c>
      <c r="G13">
        <v>0</v>
      </c>
      <c r="H13">
        <v>0</v>
      </c>
      <c r="I13">
        <v>0</v>
      </c>
      <c r="J13">
        <v>0</v>
      </c>
      <c r="K13">
        <v>0</v>
      </c>
      <c r="L13">
        <v>0</v>
      </c>
      <c r="M13">
        <v>0</v>
      </c>
      <c r="N13">
        <v>0</v>
      </c>
      <c r="O13">
        <v>0</v>
      </c>
      <c r="P13">
        <v>0</v>
      </c>
      <c r="Q13">
        <v>0</v>
      </c>
      <c r="R13">
        <v>0</v>
      </c>
      <c r="S13">
        <v>0</v>
      </c>
      <c r="U13" s="175">
        <f t="shared" si="6"/>
        <v>0</v>
      </c>
    </row>
    <row r="14" spans="1:21">
      <c r="A14" s="183" t="str">
        <f t="shared" si="4"/>
        <v>106</v>
      </c>
      <c r="B14" s="183" t="str">
        <f t="shared" si="5"/>
        <v>106.0</v>
      </c>
      <c r="C14" t="s">
        <v>1769</v>
      </c>
      <c r="D14" t="s">
        <v>921</v>
      </c>
      <c r="G14">
        <v>893385836.72000003</v>
      </c>
      <c r="H14">
        <v>955770118.69000006</v>
      </c>
      <c r="I14">
        <v>971791906.17999995</v>
      </c>
      <c r="J14">
        <v>798707327.88999999</v>
      </c>
      <c r="K14">
        <v>993681079.49000001</v>
      </c>
      <c r="L14">
        <v>1006642223.9</v>
      </c>
      <c r="M14">
        <v>1012527076.67</v>
      </c>
      <c r="N14">
        <v>927018924.17999995</v>
      </c>
      <c r="O14">
        <v>953998310.42999995</v>
      </c>
      <c r="P14">
        <v>917261400.41999996</v>
      </c>
      <c r="Q14">
        <v>916433218.07000005</v>
      </c>
      <c r="R14">
        <v>939731511.74000001</v>
      </c>
      <c r="S14">
        <v>1535981028.8</v>
      </c>
      <c r="U14" s="175">
        <f t="shared" si="6"/>
        <v>986379227.93692291</v>
      </c>
    </row>
    <row r="15" spans="1:21">
      <c r="A15" s="183" t="str">
        <f t="shared" si="4"/>
        <v>107</v>
      </c>
      <c r="B15" s="183" t="str">
        <f t="shared" si="5"/>
        <v>107.0</v>
      </c>
      <c r="C15" t="s">
        <v>1770</v>
      </c>
      <c r="D15" t="s">
        <v>166</v>
      </c>
      <c r="G15">
        <v>1162722932.2</v>
      </c>
      <c r="H15">
        <v>1153841679.8499999</v>
      </c>
      <c r="I15">
        <v>1194575257.74</v>
      </c>
      <c r="J15">
        <v>1230126523.79</v>
      </c>
      <c r="K15">
        <v>1078738784.6600001</v>
      </c>
      <c r="L15">
        <v>1116298769.71</v>
      </c>
      <c r="M15">
        <v>1135548207.3099999</v>
      </c>
      <c r="N15">
        <v>1189964253.4100001</v>
      </c>
      <c r="O15">
        <v>1246053545.26</v>
      </c>
      <c r="P15">
        <v>1317037551.0699999</v>
      </c>
      <c r="Q15">
        <v>1378041537.6099999</v>
      </c>
      <c r="R15">
        <v>1418264293.5999999</v>
      </c>
      <c r="S15">
        <v>894768621.66999996</v>
      </c>
      <c r="U15" s="175">
        <f t="shared" si="6"/>
        <v>1193537073.6830771</v>
      </c>
    </row>
    <row r="16" spans="1:21">
      <c r="A16" s="183" t="str">
        <f t="shared" si="4"/>
        <v>108</v>
      </c>
      <c r="B16" s="183" t="str">
        <f t="shared" si="5"/>
        <v>108.0</v>
      </c>
      <c r="C16" t="s">
        <v>1771</v>
      </c>
      <c r="D16" t="s">
        <v>561</v>
      </c>
      <c r="G16">
        <v>-3102336793.23</v>
      </c>
      <c r="H16">
        <v>-3121256440.9200001</v>
      </c>
      <c r="I16">
        <v>-3140321993.8800001</v>
      </c>
      <c r="J16">
        <v>-3152982186.6500001</v>
      </c>
      <c r="K16">
        <v>-3178451611.7800002</v>
      </c>
      <c r="L16">
        <v>-3201160655.3800001</v>
      </c>
      <c r="M16">
        <v>-3221118012.0999999</v>
      </c>
      <c r="N16">
        <v>-3224460178.7199998</v>
      </c>
      <c r="O16">
        <v>-3241270922.7800002</v>
      </c>
      <c r="P16">
        <v>-3264070872.6700001</v>
      </c>
      <c r="Q16">
        <v>-3286260228.4899998</v>
      </c>
      <c r="R16">
        <v>-3307523007.5700002</v>
      </c>
      <c r="S16">
        <v>-3317745810.5999999</v>
      </c>
      <c r="U16" s="175">
        <f t="shared" si="6"/>
        <v>-3212227593.4438457</v>
      </c>
    </row>
    <row r="17" spans="1:21">
      <c r="A17" s="183" t="str">
        <f t="shared" si="4"/>
        <v>111</v>
      </c>
      <c r="B17" s="183" t="str">
        <f t="shared" si="5"/>
        <v>111.0</v>
      </c>
      <c r="C17" t="s">
        <v>1772</v>
      </c>
      <c r="D17" t="s">
        <v>925</v>
      </c>
      <c r="G17">
        <v>-100016962.59</v>
      </c>
      <c r="H17">
        <v>-102303252.25</v>
      </c>
      <c r="I17">
        <v>-104592383.37</v>
      </c>
      <c r="J17">
        <v>-106889828.65000001</v>
      </c>
      <c r="K17">
        <v>-109194914.31</v>
      </c>
      <c r="L17">
        <v>-111520743.02</v>
      </c>
      <c r="M17">
        <v>-113856393.45</v>
      </c>
      <c r="N17">
        <v>-116317657.16</v>
      </c>
      <c r="O17">
        <v>-118802626.09</v>
      </c>
      <c r="P17">
        <v>-121289230.98999999</v>
      </c>
      <c r="Q17">
        <v>-123779554.17</v>
      </c>
      <c r="R17">
        <v>-126281404.79000001</v>
      </c>
      <c r="S17">
        <v>-128784270.09999999</v>
      </c>
      <c r="U17" s="175">
        <f t="shared" si="6"/>
        <v>-114125324.68769231</v>
      </c>
    </row>
    <row r="18" spans="1:21">
      <c r="A18" s="183" t="str">
        <f t="shared" si="4"/>
        <v>114</v>
      </c>
      <c r="B18" s="183" t="str">
        <f t="shared" si="5"/>
        <v>114.0</v>
      </c>
      <c r="C18" t="s">
        <v>1773</v>
      </c>
      <c r="D18" t="s">
        <v>927</v>
      </c>
      <c r="G18">
        <v>7484822.7599999998</v>
      </c>
      <c r="H18">
        <v>7484822.7599999998</v>
      </c>
      <c r="I18">
        <v>7484822.7599999998</v>
      </c>
      <c r="J18">
        <v>7484822.7599999998</v>
      </c>
      <c r="K18">
        <v>7484822.7599999998</v>
      </c>
      <c r="L18">
        <v>7484822.7599999998</v>
      </c>
      <c r="M18">
        <v>7484822.7599999998</v>
      </c>
      <c r="N18">
        <v>7484822.7599999998</v>
      </c>
      <c r="O18">
        <v>7484822.7599999998</v>
      </c>
      <c r="P18">
        <v>7484822.7599999998</v>
      </c>
      <c r="Q18">
        <v>7484822.7599999998</v>
      </c>
      <c r="R18">
        <v>7484822.7599999998</v>
      </c>
      <c r="S18">
        <v>7484822.7599999998</v>
      </c>
      <c r="U18" s="175">
        <f t="shared" si="6"/>
        <v>7484822.7600000007</v>
      </c>
    </row>
    <row r="19" spans="1:21">
      <c r="A19" s="183" t="str">
        <f t="shared" si="4"/>
        <v>115</v>
      </c>
      <c r="B19" s="183" t="str">
        <f t="shared" si="5"/>
        <v>115.0</v>
      </c>
      <c r="C19" t="s">
        <v>1774</v>
      </c>
      <c r="D19" t="s">
        <v>929</v>
      </c>
      <c r="G19">
        <v>-6173240.0099999998</v>
      </c>
      <c r="H19">
        <v>-6192965.7199999997</v>
      </c>
      <c r="I19">
        <v>-6212691.46</v>
      </c>
      <c r="J19">
        <v>-6232417.1699999999</v>
      </c>
      <c r="K19">
        <v>-6252142.9100000001</v>
      </c>
      <c r="L19">
        <v>-6271868.6200000001</v>
      </c>
      <c r="M19">
        <v>-6291594.3600000003</v>
      </c>
      <c r="N19">
        <v>-6311320.0700000003</v>
      </c>
      <c r="O19">
        <v>-6331045.8099999996</v>
      </c>
      <c r="P19">
        <v>-6350771.5199999996</v>
      </c>
      <c r="Q19">
        <v>-6370497.25</v>
      </c>
      <c r="R19">
        <v>-6390222.9699999997</v>
      </c>
      <c r="S19">
        <v>-6409948.71</v>
      </c>
      <c r="U19" s="175">
        <f t="shared" si="6"/>
        <v>-6291594.3523076922</v>
      </c>
    </row>
    <row r="20" spans="1:21">
      <c r="A20" s="183" t="str">
        <f t="shared" si="4"/>
        <v>116</v>
      </c>
      <c r="B20" s="183" t="str">
        <f t="shared" si="5"/>
        <v>116.0</v>
      </c>
      <c r="C20" t="s">
        <v>1775</v>
      </c>
      <c r="D20" t="s">
        <v>931</v>
      </c>
      <c r="G20">
        <v>0</v>
      </c>
      <c r="H20">
        <v>0</v>
      </c>
      <c r="I20">
        <v>0</v>
      </c>
      <c r="J20">
        <v>0</v>
      </c>
      <c r="K20">
        <v>0</v>
      </c>
      <c r="L20">
        <v>0</v>
      </c>
      <c r="M20">
        <v>0</v>
      </c>
      <c r="N20">
        <v>0</v>
      </c>
      <c r="O20">
        <v>0</v>
      </c>
      <c r="P20">
        <v>0</v>
      </c>
      <c r="Q20">
        <v>0</v>
      </c>
      <c r="R20">
        <v>0</v>
      </c>
      <c r="S20">
        <v>0</v>
      </c>
      <c r="U20" s="175">
        <f t="shared" si="6"/>
        <v>0</v>
      </c>
    </row>
    <row r="21" spans="1:21">
      <c r="A21" s="183" t="str">
        <f t="shared" si="4"/>
        <v>117</v>
      </c>
      <c r="B21" s="183" t="str">
        <f t="shared" si="5"/>
        <v>117.1</v>
      </c>
      <c r="C21" t="s">
        <v>1776</v>
      </c>
      <c r="D21" t="s">
        <v>933</v>
      </c>
      <c r="G21">
        <v>0</v>
      </c>
      <c r="H21">
        <v>0</v>
      </c>
      <c r="I21">
        <v>0</v>
      </c>
      <c r="J21">
        <v>0</v>
      </c>
      <c r="K21">
        <v>0</v>
      </c>
      <c r="L21">
        <v>0</v>
      </c>
      <c r="M21">
        <v>0</v>
      </c>
      <c r="N21">
        <v>0</v>
      </c>
      <c r="O21">
        <v>0</v>
      </c>
      <c r="P21">
        <v>0</v>
      </c>
      <c r="Q21">
        <v>0</v>
      </c>
      <c r="R21">
        <v>0</v>
      </c>
      <c r="S21">
        <v>0</v>
      </c>
      <c r="U21" s="175">
        <f t="shared" si="6"/>
        <v>0</v>
      </c>
    </row>
    <row r="22" spans="1:21">
      <c r="A22" s="183" t="str">
        <f t="shared" si="4"/>
        <v>117</v>
      </c>
      <c r="B22" s="183" t="str">
        <f t="shared" si="5"/>
        <v>117.2</v>
      </c>
      <c r="C22" t="s">
        <v>1777</v>
      </c>
      <c r="D22" t="s">
        <v>935</v>
      </c>
      <c r="G22">
        <v>0</v>
      </c>
      <c r="H22">
        <v>0</v>
      </c>
      <c r="I22">
        <v>0</v>
      </c>
      <c r="J22">
        <v>0</v>
      </c>
      <c r="K22">
        <v>0</v>
      </c>
      <c r="L22">
        <v>0</v>
      </c>
      <c r="M22">
        <v>0</v>
      </c>
      <c r="N22">
        <v>0</v>
      </c>
      <c r="O22">
        <v>0</v>
      </c>
      <c r="P22">
        <v>0</v>
      </c>
      <c r="Q22">
        <v>0</v>
      </c>
      <c r="R22">
        <v>0</v>
      </c>
      <c r="S22">
        <v>0</v>
      </c>
      <c r="U22" s="175">
        <f t="shared" si="6"/>
        <v>0</v>
      </c>
    </row>
    <row r="23" spans="1:21">
      <c r="A23" s="183" t="str">
        <f t="shared" si="4"/>
        <v>117</v>
      </c>
      <c r="B23" s="183" t="str">
        <f t="shared" si="5"/>
        <v>117.3</v>
      </c>
      <c r="C23" t="s">
        <v>1778</v>
      </c>
      <c r="D23" t="s">
        <v>937</v>
      </c>
      <c r="G23">
        <v>0</v>
      </c>
      <c r="H23">
        <v>0</v>
      </c>
      <c r="I23">
        <v>0</v>
      </c>
      <c r="J23">
        <v>0</v>
      </c>
      <c r="K23">
        <v>0</v>
      </c>
      <c r="L23">
        <v>0</v>
      </c>
      <c r="M23">
        <v>0</v>
      </c>
      <c r="N23">
        <v>0</v>
      </c>
      <c r="O23">
        <v>0</v>
      </c>
      <c r="P23">
        <v>0</v>
      </c>
      <c r="Q23">
        <v>0</v>
      </c>
      <c r="R23">
        <v>0</v>
      </c>
      <c r="S23">
        <v>0</v>
      </c>
      <c r="U23" s="175">
        <f t="shared" si="6"/>
        <v>0</v>
      </c>
    </row>
    <row r="24" spans="1:21">
      <c r="A24" s="183" t="str">
        <f t="shared" si="4"/>
        <v>117</v>
      </c>
      <c r="B24" s="183" t="str">
        <f t="shared" si="5"/>
        <v>117.4</v>
      </c>
      <c r="C24" t="s">
        <v>1779</v>
      </c>
      <c r="D24" t="s">
        <v>939</v>
      </c>
      <c r="G24">
        <v>0</v>
      </c>
      <c r="H24">
        <v>0</v>
      </c>
      <c r="I24">
        <v>0</v>
      </c>
      <c r="J24">
        <v>0</v>
      </c>
      <c r="K24">
        <v>0</v>
      </c>
      <c r="L24">
        <v>0</v>
      </c>
      <c r="M24">
        <v>0</v>
      </c>
      <c r="N24">
        <v>0</v>
      </c>
      <c r="O24">
        <v>0</v>
      </c>
      <c r="P24">
        <v>0</v>
      </c>
      <c r="Q24">
        <v>0</v>
      </c>
      <c r="R24">
        <v>0</v>
      </c>
      <c r="S24">
        <v>0</v>
      </c>
      <c r="U24" s="175">
        <f t="shared" si="6"/>
        <v>0</v>
      </c>
    </row>
    <row r="25" spans="1:21">
      <c r="A25" s="183" t="str">
        <f t="shared" si="4"/>
        <v>118</v>
      </c>
      <c r="B25" s="183" t="str">
        <f t="shared" si="5"/>
        <v>118.0</v>
      </c>
      <c r="C25" t="s">
        <v>1780</v>
      </c>
      <c r="D25" t="s">
        <v>941</v>
      </c>
      <c r="G25">
        <v>0</v>
      </c>
      <c r="H25">
        <v>0</v>
      </c>
      <c r="I25">
        <v>0</v>
      </c>
      <c r="J25">
        <v>0</v>
      </c>
      <c r="K25">
        <v>0</v>
      </c>
      <c r="L25">
        <v>0</v>
      </c>
      <c r="M25">
        <v>0</v>
      </c>
      <c r="N25">
        <v>0</v>
      </c>
      <c r="O25">
        <v>0</v>
      </c>
      <c r="P25">
        <v>0</v>
      </c>
      <c r="Q25">
        <v>0</v>
      </c>
      <c r="R25">
        <v>0</v>
      </c>
      <c r="S25">
        <v>0</v>
      </c>
      <c r="U25" s="175">
        <f t="shared" si="6"/>
        <v>0</v>
      </c>
    </row>
    <row r="26" spans="1:21">
      <c r="A26" s="183" t="str">
        <f t="shared" si="4"/>
        <v>119</v>
      </c>
      <c r="B26" s="183" t="str">
        <f t="shared" si="5"/>
        <v>119.0</v>
      </c>
      <c r="C26" t="s">
        <v>1781</v>
      </c>
      <c r="D26" t="s">
        <v>943</v>
      </c>
      <c r="G26">
        <v>0</v>
      </c>
      <c r="H26">
        <v>0</v>
      </c>
      <c r="I26">
        <v>0</v>
      </c>
      <c r="J26">
        <v>0</v>
      </c>
      <c r="K26">
        <v>0</v>
      </c>
      <c r="L26">
        <v>0</v>
      </c>
      <c r="M26">
        <v>0</v>
      </c>
      <c r="N26">
        <v>0</v>
      </c>
      <c r="O26">
        <v>0</v>
      </c>
      <c r="P26">
        <v>0</v>
      </c>
      <c r="Q26">
        <v>0</v>
      </c>
      <c r="R26">
        <v>0</v>
      </c>
      <c r="S26">
        <v>0</v>
      </c>
      <c r="U26" s="175">
        <f t="shared" si="6"/>
        <v>0</v>
      </c>
    </row>
    <row r="27" spans="1:21">
      <c r="A27" s="183" t="str">
        <f t="shared" si="4"/>
        <v>121</v>
      </c>
      <c r="B27" s="183" t="str">
        <f t="shared" si="5"/>
        <v>121.0</v>
      </c>
      <c r="C27" t="s">
        <v>1782</v>
      </c>
      <c r="D27" t="s">
        <v>945</v>
      </c>
      <c r="G27">
        <v>14053702.869999999</v>
      </c>
      <c r="H27">
        <v>14159494.5</v>
      </c>
      <c r="I27">
        <v>14181832.25</v>
      </c>
      <c r="J27">
        <v>14306443.52</v>
      </c>
      <c r="K27">
        <v>14278261.07</v>
      </c>
      <c r="L27">
        <v>14407837.880000001</v>
      </c>
      <c r="M27">
        <v>14420579.35</v>
      </c>
      <c r="N27">
        <v>14582355.279999999</v>
      </c>
      <c r="O27">
        <v>14658213.9</v>
      </c>
      <c r="P27">
        <v>14721739.48</v>
      </c>
      <c r="Q27">
        <v>14811663.42</v>
      </c>
      <c r="R27">
        <v>15084901.869999999</v>
      </c>
      <c r="S27">
        <v>20099786.539999999</v>
      </c>
      <c r="U27" s="175">
        <f t="shared" si="6"/>
        <v>14905139.379230767</v>
      </c>
    </row>
    <row r="28" spans="1:21">
      <c r="A28" s="183" t="str">
        <f t="shared" si="4"/>
        <v>122</v>
      </c>
      <c r="B28" s="183" t="str">
        <f t="shared" si="5"/>
        <v>122.0</v>
      </c>
      <c r="C28" t="s">
        <v>1783</v>
      </c>
      <c r="D28" t="s">
        <v>947</v>
      </c>
      <c r="G28">
        <v>-7167421.5800000001</v>
      </c>
      <c r="H28">
        <v>-7252374.71</v>
      </c>
      <c r="I28">
        <v>-7339986.5899999999</v>
      </c>
      <c r="J28">
        <v>-7411003.1100000003</v>
      </c>
      <c r="K28">
        <v>-7384096.0499999998</v>
      </c>
      <c r="L28">
        <v>-7411166.3499999996</v>
      </c>
      <c r="M28">
        <v>-7460942.2400000002</v>
      </c>
      <c r="N28">
        <v>-7470046.9800000004</v>
      </c>
      <c r="O28">
        <v>-7472847.1299999999</v>
      </c>
      <c r="P28">
        <v>-7548486.1799999997</v>
      </c>
      <c r="Q28">
        <v>-7626752.7000000002</v>
      </c>
      <c r="R28">
        <v>-7635337.4100000001</v>
      </c>
      <c r="S28">
        <v>-7709451.3399999999</v>
      </c>
      <c r="U28" s="175">
        <f t="shared" si="6"/>
        <v>-7453070.1823076922</v>
      </c>
    </row>
    <row r="29" spans="1:21">
      <c r="A29" s="183" t="str">
        <f t="shared" si="4"/>
        <v>123</v>
      </c>
      <c r="B29" s="183" t="str">
        <f t="shared" si="5"/>
        <v>123.0</v>
      </c>
      <c r="C29" t="s">
        <v>1784</v>
      </c>
      <c r="D29" t="s">
        <v>949</v>
      </c>
      <c r="G29">
        <v>0</v>
      </c>
      <c r="H29">
        <v>0</v>
      </c>
      <c r="I29">
        <v>0</v>
      </c>
      <c r="J29">
        <v>0</v>
      </c>
      <c r="K29">
        <v>0</v>
      </c>
      <c r="L29">
        <v>0</v>
      </c>
      <c r="M29">
        <v>0</v>
      </c>
      <c r="N29">
        <v>0</v>
      </c>
      <c r="O29">
        <v>0</v>
      </c>
      <c r="P29">
        <v>0</v>
      </c>
      <c r="Q29">
        <v>0</v>
      </c>
      <c r="R29">
        <v>0</v>
      </c>
      <c r="S29">
        <v>0</v>
      </c>
      <c r="U29" s="175">
        <f t="shared" si="6"/>
        <v>0</v>
      </c>
    </row>
    <row r="30" spans="1:21">
      <c r="A30" s="183" t="str">
        <f t="shared" si="4"/>
        <v>123</v>
      </c>
      <c r="B30" s="183" t="str">
        <f t="shared" si="5"/>
        <v>123.1</v>
      </c>
      <c r="C30" t="s">
        <v>1785</v>
      </c>
      <c r="D30" t="s">
        <v>951</v>
      </c>
      <c r="G30">
        <v>0</v>
      </c>
      <c r="H30">
        <v>0</v>
      </c>
      <c r="I30">
        <v>0</v>
      </c>
      <c r="J30">
        <v>0</v>
      </c>
      <c r="K30">
        <v>0</v>
      </c>
      <c r="L30">
        <v>0</v>
      </c>
      <c r="M30">
        <v>0</v>
      </c>
      <c r="N30">
        <v>0</v>
      </c>
      <c r="O30">
        <v>0</v>
      </c>
      <c r="P30">
        <v>0</v>
      </c>
      <c r="Q30">
        <v>0</v>
      </c>
      <c r="R30">
        <v>0</v>
      </c>
      <c r="S30">
        <v>0</v>
      </c>
      <c r="U30" s="175">
        <f t="shared" si="6"/>
        <v>0</v>
      </c>
    </row>
    <row r="31" spans="1:21">
      <c r="A31" s="183" t="str">
        <f t="shared" si="4"/>
        <v>124</v>
      </c>
      <c r="B31" s="183" t="str">
        <f t="shared" si="5"/>
        <v>124.0</v>
      </c>
      <c r="C31" t="s">
        <v>1786</v>
      </c>
      <c r="D31" t="s">
        <v>953</v>
      </c>
      <c r="G31">
        <v>0</v>
      </c>
      <c r="H31">
        <v>0</v>
      </c>
      <c r="I31">
        <v>0</v>
      </c>
      <c r="J31">
        <v>0</v>
      </c>
      <c r="K31">
        <v>0</v>
      </c>
      <c r="L31">
        <v>0</v>
      </c>
      <c r="M31">
        <v>0</v>
      </c>
      <c r="N31">
        <v>0</v>
      </c>
      <c r="O31">
        <v>0</v>
      </c>
      <c r="P31">
        <v>0</v>
      </c>
      <c r="Q31">
        <v>0</v>
      </c>
      <c r="R31">
        <v>0</v>
      </c>
      <c r="S31">
        <v>0</v>
      </c>
      <c r="U31" s="175">
        <f t="shared" si="6"/>
        <v>0</v>
      </c>
    </row>
    <row r="32" spans="1:21">
      <c r="A32" s="183" t="str">
        <f t="shared" si="4"/>
        <v>125</v>
      </c>
      <c r="B32" s="183" t="str">
        <f t="shared" si="5"/>
        <v>125.0</v>
      </c>
      <c r="C32" t="s">
        <v>1787</v>
      </c>
      <c r="D32" t="s">
        <v>955</v>
      </c>
      <c r="G32">
        <v>0</v>
      </c>
      <c r="H32">
        <v>0</v>
      </c>
      <c r="I32">
        <v>0</v>
      </c>
      <c r="J32">
        <v>0</v>
      </c>
      <c r="K32">
        <v>0</v>
      </c>
      <c r="L32">
        <v>0</v>
      </c>
      <c r="M32">
        <v>0</v>
      </c>
      <c r="N32">
        <v>0</v>
      </c>
      <c r="O32">
        <v>0</v>
      </c>
      <c r="P32">
        <v>0</v>
      </c>
      <c r="Q32">
        <v>0</v>
      </c>
      <c r="R32">
        <v>0</v>
      </c>
      <c r="S32">
        <v>0</v>
      </c>
      <c r="U32" s="175">
        <f t="shared" si="6"/>
        <v>0</v>
      </c>
    </row>
    <row r="33" spans="1:21">
      <c r="A33" s="183" t="str">
        <f t="shared" si="4"/>
        <v>126</v>
      </c>
      <c r="B33" s="183" t="str">
        <f t="shared" si="5"/>
        <v>126.0</v>
      </c>
      <c r="C33" t="s">
        <v>1788</v>
      </c>
      <c r="D33" t="s">
        <v>957</v>
      </c>
      <c r="G33">
        <v>0</v>
      </c>
      <c r="H33">
        <v>0</v>
      </c>
      <c r="I33">
        <v>0</v>
      </c>
      <c r="J33">
        <v>0</v>
      </c>
      <c r="K33">
        <v>0</v>
      </c>
      <c r="L33">
        <v>0</v>
      </c>
      <c r="M33">
        <v>0</v>
      </c>
      <c r="N33">
        <v>0</v>
      </c>
      <c r="O33">
        <v>0</v>
      </c>
      <c r="P33">
        <v>0</v>
      </c>
      <c r="Q33">
        <v>0</v>
      </c>
      <c r="R33">
        <v>0</v>
      </c>
      <c r="S33">
        <v>0</v>
      </c>
      <c r="U33" s="175">
        <f t="shared" si="6"/>
        <v>0</v>
      </c>
    </row>
    <row r="34" spans="1:21">
      <c r="A34" s="183" t="str">
        <f t="shared" si="4"/>
        <v>127</v>
      </c>
      <c r="B34" s="183" t="str">
        <f t="shared" si="5"/>
        <v>127.0</v>
      </c>
      <c r="C34" t="s">
        <v>1789</v>
      </c>
      <c r="D34" t="s">
        <v>959</v>
      </c>
      <c r="G34">
        <v>0</v>
      </c>
      <c r="H34">
        <v>0</v>
      </c>
      <c r="I34">
        <v>0</v>
      </c>
      <c r="J34">
        <v>0</v>
      </c>
      <c r="K34">
        <v>0</v>
      </c>
      <c r="L34">
        <v>0</v>
      </c>
      <c r="M34">
        <v>0</v>
      </c>
      <c r="N34">
        <v>0</v>
      </c>
      <c r="O34">
        <v>0</v>
      </c>
      <c r="P34">
        <v>0</v>
      </c>
      <c r="Q34">
        <v>0</v>
      </c>
      <c r="R34">
        <v>0</v>
      </c>
      <c r="S34">
        <v>0</v>
      </c>
      <c r="U34" s="175">
        <f t="shared" si="6"/>
        <v>0</v>
      </c>
    </row>
    <row r="35" spans="1:21">
      <c r="A35" s="183" t="str">
        <f t="shared" si="4"/>
        <v>128</v>
      </c>
      <c r="B35" s="183" t="str">
        <f t="shared" si="5"/>
        <v>128.0</v>
      </c>
      <c r="C35" t="s">
        <v>1790</v>
      </c>
      <c r="D35" t="s">
        <v>961</v>
      </c>
      <c r="G35">
        <v>0</v>
      </c>
      <c r="H35">
        <v>0</v>
      </c>
      <c r="I35">
        <v>0</v>
      </c>
      <c r="J35">
        <v>0</v>
      </c>
      <c r="K35">
        <v>0</v>
      </c>
      <c r="L35">
        <v>0</v>
      </c>
      <c r="M35">
        <v>0</v>
      </c>
      <c r="N35">
        <v>0</v>
      </c>
      <c r="O35">
        <v>0</v>
      </c>
      <c r="P35">
        <v>0</v>
      </c>
      <c r="Q35">
        <v>0</v>
      </c>
      <c r="R35">
        <v>0</v>
      </c>
      <c r="S35">
        <v>0</v>
      </c>
      <c r="U35" s="175">
        <f t="shared" si="6"/>
        <v>0</v>
      </c>
    </row>
    <row r="36" spans="1:21">
      <c r="A36" s="183" t="str">
        <f t="shared" si="4"/>
        <v>131</v>
      </c>
      <c r="B36" s="183" t="str">
        <f t="shared" si="5"/>
        <v>131.0</v>
      </c>
      <c r="C36" t="s">
        <v>1791</v>
      </c>
      <c r="D36" t="s">
        <v>270</v>
      </c>
      <c r="G36">
        <v>14661046.68</v>
      </c>
      <c r="H36">
        <v>12270254.119999999</v>
      </c>
      <c r="I36">
        <v>16219229.390000001</v>
      </c>
      <c r="J36">
        <v>16023334.800000001</v>
      </c>
      <c r="K36">
        <v>11459835.93</v>
      </c>
      <c r="L36">
        <v>23861598.039999999</v>
      </c>
      <c r="M36">
        <v>7558984.4400000004</v>
      </c>
      <c r="N36">
        <v>56130939.439999998</v>
      </c>
      <c r="O36">
        <v>105239919.38</v>
      </c>
      <c r="P36">
        <v>81208264.450000003</v>
      </c>
      <c r="Q36">
        <v>15334503.289999999</v>
      </c>
      <c r="R36">
        <v>15222128.66</v>
      </c>
      <c r="S36">
        <v>9902835</v>
      </c>
      <c r="U36" s="175">
        <f t="shared" si="6"/>
        <v>29622528.740000002</v>
      </c>
    </row>
    <row r="37" spans="1:21">
      <c r="A37" s="183" t="str">
        <f t="shared" si="4"/>
        <v>132</v>
      </c>
      <c r="B37" s="183" t="str">
        <f t="shared" si="5"/>
        <v>132.0</v>
      </c>
      <c r="C37" t="s">
        <v>1792</v>
      </c>
      <c r="D37" t="s">
        <v>964</v>
      </c>
      <c r="G37">
        <v>0</v>
      </c>
      <c r="H37">
        <v>0</v>
      </c>
      <c r="I37">
        <v>0</v>
      </c>
      <c r="J37">
        <v>0</v>
      </c>
      <c r="K37">
        <v>0</v>
      </c>
      <c r="L37">
        <v>0</v>
      </c>
      <c r="M37">
        <v>0</v>
      </c>
      <c r="N37">
        <v>0</v>
      </c>
      <c r="O37">
        <v>0</v>
      </c>
      <c r="P37">
        <v>0</v>
      </c>
      <c r="Q37">
        <v>0</v>
      </c>
      <c r="R37">
        <v>0</v>
      </c>
      <c r="S37">
        <v>0</v>
      </c>
      <c r="U37" s="175">
        <f t="shared" si="6"/>
        <v>0</v>
      </c>
    </row>
    <row r="38" spans="1:21">
      <c r="A38" s="183" t="str">
        <f t="shared" si="4"/>
        <v>133</v>
      </c>
      <c r="B38" s="183" t="str">
        <f t="shared" si="5"/>
        <v>133.0</v>
      </c>
      <c r="C38" t="s">
        <v>1793</v>
      </c>
      <c r="D38" t="s">
        <v>966</v>
      </c>
      <c r="G38">
        <v>0</v>
      </c>
      <c r="H38">
        <v>0</v>
      </c>
      <c r="I38">
        <v>0</v>
      </c>
      <c r="J38">
        <v>0</v>
      </c>
      <c r="K38">
        <v>0</v>
      </c>
      <c r="L38">
        <v>0</v>
      </c>
      <c r="M38">
        <v>0</v>
      </c>
      <c r="N38">
        <v>0</v>
      </c>
      <c r="O38">
        <v>0</v>
      </c>
      <c r="P38">
        <v>0</v>
      </c>
      <c r="Q38">
        <v>0</v>
      </c>
      <c r="R38">
        <v>0</v>
      </c>
      <c r="S38">
        <v>0</v>
      </c>
      <c r="U38" s="175">
        <f t="shared" si="6"/>
        <v>0</v>
      </c>
    </row>
    <row r="39" spans="1:21">
      <c r="A39" s="183" t="str">
        <f t="shared" si="4"/>
        <v>134</v>
      </c>
      <c r="B39" s="183" t="str">
        <f t="shared" si="5"/>
        <v>134.0</v>
      </c>
      <c r="C39" t="s">
        <v>1794</v>
      </c>
      <c r="D39" t="s">
        <v>271</v>
      </c>
      <c r="G39">
        <v>0</v>
      </c>
      <c r="H39">
        <v>0</v>
      </c>
      <c r="I39">
        <v>0</v>
      </c>
      <c r="J39">
        <v>0</v>
      </c>
      <c r="K39">
        <v>0</v>
      </c>
      <c r="L39">
        <v>0</v>
      </c>
      <c r="M39">
        <v>0</v>
      </c>
      <c r="N39">
        <v>0</v>
      </c>
      <c r="O39">
        <v>0</v>
      </c>
      <c r="P39">
        <v>0</v>
      </c>
      <c r="Q39">
        <v>0</v>
      </c>
      <c r="R39">
        <v>0</v>
      </c>
      <c r="S39">
        <v>0</v>
      </c>
      <c r="U39" s="175">
        <f t="shared" si="6"/>
        <v>0</v>
      </c>
    </row>
    <row r="40" spans="1:21">
      <c r="A40" s="183" t="str">
        <f t="shared" si="4"/>
        <v>135</v>
      </c>
      <c r="B40" s="183" t="str">
        <f t="shared" si="5"/>
        <v>135.0</v>
      </c>
      <c r="C40" t="s">
        <v>1795</v>
      </c>
      <c r="D40" t="s">
        <v>568</v>
      </c>
      <c r="G40">
        <v>52065.39</v>
      </c>
      <c r="H40">
        <v>52065.39</v>
      </c>
      <c r="I40">
        <v>52065.39</v>
      </c>
      <c r="J40">
        <v>52065.39</v>
      </c>
      <c r="K40">
        <v>52065.39</v>
      </c>
      <c r="L40">
        <v>52065.39</v>
      </c>
      <c r="M40">
        <v>52065.39</v>
      </c>
      <c r="N40">
        <v>52065.39</v>
      </c>
      <c r="O40">
        <v>52065.39</v>
      </c>
      <c r="P40">
        <v>52065.39</v>
      </c>
      <c r="Q40">
        <v>51065.39</v>
      </c>
      <c r="R40">
        <v>51065.39</v>
      </c>
      <c r="S40">
        <v>51065.39</v>
      </c>
      <c r="U40" s="175">
        <f t="shared" si="6"/>
        <v>51834.620769230773</v>
      </c>
    </row>
    <row r="41" spans="1:21">
      <c r="A41" s="183" t="str">
        <f t="shared" si="4"/>
        <v>136</v>
      </c>
      <c r="B41" s="183" t="str">
        <f t="shared" si="5"/>
        <v>136.0</v>
      </c>
      <c r="C41" t="s">
        <v>1796</v>
      </c>
      <c r="D41" t="s">
        <v>569</v>
      </c>
      <c r="G41">
        <v>0</v>
      </c>
      <c r="H41">
        <v>0</v>
      </c>
      <c r="I41">
        <v>0</v>
      </c>
      <c r="J41">
        <v>0</v>
      </c>
      <c r="K41">
        <v>0</v>
      </c>
      <c r="L41">
        <v>0</v>
      </c>
      <c r="M41">
        <v>0</v>
      </c>
      <c r="N41">
        <v>0</v>
      </c>
      <c r="O41">
        <v>0</v>
      </c>
      <c r="P41">
        <v>0</v>
      </c>
      <c r="Q41">
        <v>0</v>
      </c>
      <c r="R41">
        <v>0</v>
      </c>
      <c r="S41">
        <v>0</v>
      </c>
      <c r="U41" s="175">
        <f t="shared" si="6"/>
        <v>0</v>
      </c>
    </row>
    <row r="42" spans="1:21">
      <c r="A42" s="183" t="str">
        <f t="shared" si="4"/>
        <v>141</v>
      </c>
      <c r="B42" s="183" t="str">
        <f t="shared" si="5"/>
        <v>141.0</v>
      </c>
      <c r="C42" t="s">
        <v>1797</v>
      </c>
      <c r="D42" t="s">
        <v>274</v>
      </c>
      <c r="G42">
        <v>0</v>
      </c>
      <c r="H42">
        <v>0</v>
      </c>
      <c r="I42">
        <v>0</v>
      </c>
      <c r="J42">
        <v>0</v>
      </c>
      <c r="K42">
        <v>0</v>
      </c>
      <c r="L42">
        <v>0</v>
      </c>
      <c r="M42">
        <v>0</v>
      </c>
      <c r="N42">
        <v>0</v>
      </c>
      <c r="O42">
        <v>0</v>
      </c>
      <c r="P42">
        <v>0</v>
      </c>
      <c r="Q42">
        <v>0</v>
      </c>
      <c r="R42">
        <v>0</v>
      </c>
      <c r="S42">
        <v>0</v>
      </c>
      <c r="U42" s="175">
        <f t="shared" si="6"/>
        <v>0</v>
      </c>
    </row>
    <row r="43" spans="1:21">
      <c r="A43" s="183" t="str">
        <f t="shared" si="4"/>
        <v>142</v>
      </c>
      <c r="B43" s="183" t="str">
        <f t="shared" si="5"/>
        <v>142.0</v>
      </c>
      <c r="C43" t="s">
        <v>1798</v>
      </c>
      <c r="D43" t="s">
        <v>570</v>
      </c>
      <c r="G43">
        <v>138526312.13999999</v>
      </c>
      <c r="H43">
        <v>144569854.24000001</v>
      </c>
      <c r="I43">
        <v>148100376.97999999</v>
      </c>
      <c r="J43">
        <v>128100090.40000001</v>
      </c>
      <c r="K43">
        <v>144854672.75</v>
      </c>
      <c r="L43">
        <v>161993840.28</v>
      </c>
      <c r="M43">
        <v>184262725.91999999</v>
      </c>
      <c r="N43">
        <v>210915053.71000001</v>
      </c>
      <c r="O43">
        <v>191176009.78</v>
      </c>
      <c r="P43">
        <v>218163252.94999999</v>
      </c>
      <c r="Q43">
        <v>185514310.53</v>
      </c>
      <c r="R43">
        <v>169543159.28999999</v>
      </c>
      <c r="S43">
        <v>163872375.47999999</v>
      </c>
      <c r="U43" s="175">
        <f t="shared" si="6"/>
        <v>168430156.49615383</v>
      </c>
    </row>
    <row r="44" spans="1:21">
      <c r="A44" s="183" t="str">
        <f t="shared" si="4"/>
        <v>143</v>
      </c>
      <c r="B44" s="183" t="str">
        <f t="shared" si="5"/>
        <v>143.0</v>
      </c>
      <c r="C44" t="s">
        <v>1799</v>
      </c>
      <c r="D44" t="s">
        <v>276</v>
      </c>
      <c r="G44">
        <v>3500846.52</v>
      </c>
      <c r="H44">
        <v>10687502.859999999</v>
      </c>
      <c r="I44">
        <v>5771193.1799999997</v>
      </c>
      <c r="J44">
        <v>4523355.5199999996</v>
      </c>
      <c r="K44">
        <v>6430425.2599999998</v>
      </c>
      <c r="L44">
        <v>10925661.84</v>
      </c>
      <c r="M44">
        <v>11866646.279999999</v>
      </c>
      <c r="N44">
        <v>9046022.1300000008</v>
      </c>
      <c r="O44">
        <v>9484290.9299999997</v>
      </c>
      <c r="P44">
        <v>10148190.140000001</v>
      </c>
      <c r="Q44">
        <v>5535854.6299999999</v>
      </c>
      <c r="R44">
        <v>5173767.4800000004</v>
      </c>
      <c r="S44">
        <v>16710606.970000001</v>
      </c>
      <c r="U44" s="175">
        <f t="shared" si="6"/>
        <v>8446489.5184615385</v>
      </c>
    </row>
    <row r="45" spans="1:21">
      <c r="A45" s="183" t="str">
        <f t="shared" si="4"/>
        <v>144</v>
      </c>
      <c r="B45" s="183" t="str">
        <f t="shared" si="5"/>
        <v>144.0</v>
      </c>
      <c r="C45" t="s">
        <v>1800</v>
      </c>
      <c r="D45" t="s">
        <v>974</v>
      </c>
      <c r="G45">
        <v>-4897519.87</v>
      </c>
      <c r="H45">
        <v>-5049258.88</v>
      </c>
      <c r="I45">
        <v>-5023487.6500000004</v>
      </c>
      <c r="J45">
        <v>-5018208.83</v>
      </c>
      <c r="K45">
        <v>-5059253.1900000004</v>
      </c>
      <c r="L45">
        <v>-5057389.49</v>
      </c>
      <c r="M45">
        <v>-3556579.06</v>
      </c>
      <c r="N45">
        <v>-3641214.76</v>
      </c>
      <c r="O45">
        <v>-3641248.21</v>
      </c>
      <c r="P45">
        <v>-3387890.1</v>
      </c>
      <c r="Q45">
        <v>-3339837.55</v>
      </c>
      <c r="R45">
        <v>-3107989.29</v>
      </c>
      <c r="S45">
        <v>-2628410.31</v>
      </c>
      <c r="U45" s="175">
        <f t="shared" si="6"/>
        <v>-4108329.7838461543</v>
      </c>
    </row>
    <row r="46" spans="1:21">
      <c r="A46" s="183" t="str">
        <f t="shared" si="4"/>
        <v>145</v>
      </c>
      <c r="B46" s="183" t="str">
        <f t="shared" si="5"/>
        <v>145.0</v>
      </c>
      <c r="C46" t="s">
        <v>1801</v>
      </c>
      <c r="D46" t="s">
        <v>976</v>
      </c>
      <c r="G46">
        <v>0</v>
      </c>
      <c r="H46">
        <v>0</v>
      </c>
      <c r="I46">
        <v>0</v>
      </c>
      <c r="J46">
        <v>0</v>
      </c>
      <c r="K46">
        <v>0</v>
      </c>
      <c r="L46">
        <v>0</v>
      </c>
      <c r="M46">
        <v>0</v>
      </c>
      <c r="N46">
        <v>36571246.979999997</v>
      </c>
      <c r="O46">
        <v>24775692.280000001</v>
      </c>
      <c r="P46">
        <v>0</v>
      </c>
      <c r="Q46">
        <v>0</v>
      </c>
      <c r="R46">
        <v>0</v>
      </c>
      <c r="S46">
        <v>0</v>
      </c>
      <c r="U46" s="175">
        <f t="shared" si="6"/>
        <v>4718995.3276923075</v>
      </c>
    </row>
    <row r="47" spans="1:21">
      <c r="A47" s="183" t="str">
        <f t="shared" si="4"/>
        <v>146</v>
      </c>
      <c r="B47" s="183" t="str">
        <f t="shared" si="5"/>
        <v>146.0</v>
      </c>
      <c r="C47" t="s">
        <v>1802</v>
      </c>
      <c r="D47" t="s">
        <v>978</v>
      </c>
      <c r="G47">
        <v>19089992.890000001</v>
      </c>
      <c r="H47">
        <v>16796728.66</v>
      </c>
      <c r="I47">
        <v>12571860.01</v>
      </c>
      <c r="J47">
        <v>16509864.73</v>
      </c>
      <c r="K47">
        <v>13688356.029999999</v>
      </c>
      <c r="L47">
        <v>14959263.51</v>
      </c>
      <c r="M47">
        <v>17816928.07</v>
      </c>
      <c r="N47">
        <v>17141742.16</v>
      </c>
      <c r="O47">
        <v>13335431.789999999</v>
      </c>
      <c r="P47">
        <v>17492753.75</v>
      </c>
      <c r="Q47">
        <v>14789638.33</v>
      </c>
      <c r="R47">
        <v>16511552.18</v>
      </c>
      <c r="S47">
        <v>25135738.690000001</v>
      </c>
      <c r="U47" s="175">
        <f t="shared" si="6"/>
        <v>16603065.446153848</v>
      </c>
    </row>
    <row r="48" spans="1:21">
      <c r="A48" s="183" t="str">
        <f t="shared" si="4"/>
        <v>151</v>
      </c>
      <c r="B48" s="183" t="str">
        <f t="shared" si="5"/>
        <v>151.0</v>
      </c>
      <c r="C48" t="s">
        <v>1803</v>
      </c>
      <c r="D48" t="s">
        <v>279</v>
      </c>
      <c r="G48">
        <v>19526271.190000001</v>
      </c>
      <c r="H48">
        <v>19455353.23</v>
      </c>
      <c r="I48">
        <v>16246277.369999999</v>
      </c>
      <c r="J48">
        <v>15914062.039999999</v>
      </c>
      <c r="K48">
        <v>17248762.969999999</v>
      </c>
      <c r="L48">
        <v>15852883.76</v>
      </c>
      <c r="M48">
        <v>15353686.49</v>
      </c>
      <c r="N48">
        <v>15061509.34</v>
      </c>
      <c r="O48">
        <v>14039503.890000001</v>
      </c>
      <c r="P48">
        <v>17795926.280000001</v>
      </c>
      <c r="Q48">
        <v>22297678.870000001</v>
      </c>
      <c r="R48">
        <v>23767317.739999998</v>
      </c>
      <c r="S48">
        <v>23065340.530000001</v>
      </c>
      <c r="U48" s="175">
        <f t="shared" si="6"/>
        <v>18124967.207692306</v>
      </c>
    </row>
    <row r="49" spans="1:21">
      <c r="A49" s="183" t="str">
        <f t="shared" si="4"/>
        <v>152</v>
      </c>
      <c r="B49" s="183" t="str">
        <f t="shared" si="5"/>
        <v>152.0</v>
      </c>
      <c r="C49" t="s">
        <v>1804</v>
      </c>
      <c r="D49" t="s">
        <v>573</v>
      </c>
      <c r="G49">
        <v>0</v>
      </c>
      <c r="H49">
        <v>0</v>
      </c>
      <c r="I49">
        <v>0</v>
      </c>
      <c r="J49">
        <v>0</v>
      </c>
      <c r="K49">
        <v>0</v>
      </c>
      <c r="L49">
        <v>0</v>
      </c>
      <c r="M49">
        <v>0</v>
      </c>
      <c r="N49">
        <v>0</v>
      </c>
      <c r="O49">
        <v>0</v>
      </c>
      <c r="P49">
        <v>0</v>
      </c>
      <c r="Q49">
        <v>0</v>
      </c>
      <c r="R49">
        <v>0</v>
      </c>
      <c r="S49">
        <v>0</v>
      </c>
      <c r="U49" s="175">
        <f t="shared" si="6"/>
        <v>0</v>
      </c>
    </row>
    <row r="50" spans="1:21">
      <c r="A50" s="183" t="str">
        <f t="shared" si="4"/>
        <v>153</v>
      </c>
      <c r="B50" s="183" t="str">
        <f t="shared" si="5"/>
        <v>153.0</v>
      </c>
      <c r="C50" t="s">
        <v>1805</v>
      </c>
      <c r="D50" t="s">
        <v>982</v>
      </c>
      <c r="G50">
        <v>0</v>
      </c>
      <c r="H50">
        <v>0</v>
      </c>
      <c r="I50">
        <v>0</v>
      </c>
      <c r="J50">
        <v>0</v>
      </c>
      <c r="K50">
        <v>0</v>
      </c>
      <c r="L50">
        <v>0</v>
      </c>
      <c r="M50">
        <v>0</v>
      </c>
      <c r="N50">
        <v>0</v>
      </c>
      <c r="O50">
        <v>0</v>
      </c>
      <c r="P50">
        <v>0</v>
      </c>
      <c r="Q50">
        <v>0</v>
      </c>
      <c r="R50">
        <v>0</v>
      </c>
      <c r="S50">
        <v>0</v>
      </c>
      <c r="U50" s="175">
        <f t="shared" si="6"/>
        <v>0</v>
      </c>
    </row>
    <row r="51" spans="1:21">
      <c r="A51" s="183" t="str">
        <f t="shared" si="4"/>
        <v>154</v>
      </c>
      <c r="B51" s="183" t="str">
        <f t="shared" si="5"/>
        <v>154.0</v>
      </c>
      <c r="C51" t="s">
        <v>1806</v>
      </c>
      <c r="D51" t="s">
        <v>984</v>
      </c>
      <c r="G51">
        <v>118147447.40000001</v>
      </c>
      <c r="H51">
        <v>127112061.22</v>
      </c>
      <c r="I51">
        <v>127092901.16</v>
      </c>
      <c r="J51">
        <v>129827946.45</v>
      </c>
      <c r="K51">
        <v>132292596.56</v>
      </c>
      <c r="L51">
        <v>138154587.83000001</v>
      </c>
      <c r="M51">
        <v>139364135.65000001</v>
      </c>
      <c r="N51">
        <v>140076055.06999999</v>
      </c>
      <c r="O51">
        <v>139400001.90000001</v>
      </c>
      <c r="P51">
        <v>139669441.25999999</v>
      </c>
      <c r="Q51">
        <v>144964897.59999999</v>
      </c>
      <c r="R51">
        <v>151522434.71000001</v>
      </c>
      <c r="S51">
        <v>154369560.02000001</v>
      </c>
      <c r="U51" s="175">
        <f t="shared" si="6"/>
        <v>137076466.67923075</v>
      </c>
    </row>
    <row r="52" spans="1:21">
      <c r="A52" s="183" t="str">
        <f t="shared" si="4"/>
        <v>155</v>
      </c>
      <c r="B52" s="183" t="str">
        <f t="shared" si="5"/>
        <v>155.0</v>
      </c>
      <c r="C52" t="s">
        <v>1807</v>
      </c>
      <c r="D52" t="s">
        <v>986</v>
      </c>
      <c r="G52">
        <v>0</v>
      </c>
      <c r="H52">
        <v>0</v>
      </c>
      <c r="I52">
        <v>0</v>
      </c>
      <c r="J52">
        <v>0</v>
      </c>
      <c r="K52">
        <v>0</v>
      </c>
      <c r="L52">
        <v>0</v>
      </c>
      <c r="M52">
        <v>0</v>
      </c>
      <c r="N52">
        <v>0</v>
      </c>
      <c r="O52">
        <v>0</v>
      </c>
      <c r="P52">
        <v>0</v>
      </c>
      <c r="Q52">
        <v>0</v>
      </c>
      <c r="R52">
        <v>0</v>
      </c>
      <c r="S52">
        <v>0</v>
      </c>
      <c r="U52" s="175">
        <f t="shared" si="6"/>
        <v>0</v>
      </c>
    </row>
    <row r="53" spans="1:21">
      <c r="A53" s="183" t="str">
        <f t="shared" si="4"/>
        <v>156</v>
      </c>
      <c r="B53" s="183" t="str">
        <f t="shared" si="5"/>
        <v>156.0</v>
      </c>
      <c r="C53" t="s">
        <v>1808</v>
      </c>
      <c r="D53" t="s">
        <v>988</v>
      </c>
      <c r="G53">
        <v>0</v>
      </c>
      <c r="H53">
        <v>0</v>
      </c>
      <c r="I53">
        <v>0</v>
      </c>
      <c r="J53">
        <v>0</v>
      </c>
      <c r="K53">
        <v>0</v>
      </c>
      <c r="L53">
        <v>0</v>
      </c>
      <c r="M53">
        <v>0</v>
      </c>
      <c r="N53">
        <v>0</v>
      </c>
      <c r="O53">
        <v>0</v>
      </c>
      <c r="P53">
        <v>0</v>
      </c>
      <c r="Q53">
        <v>0</v>
      </c>
      <c r="R53">
        <v>0</v>
      </c>
      <c r="S53">
        <v>0</v>
      </c>
      <c r="U53" s="175">
        <f t="shared" si="6"/>
        <v>0</v>
      </c>
    </row>
    <row r="54" spans="1:21">
      <c r="A54" s="183" t="str">
        <f t="shared" si="4"/>
        <v>158</v>
      </c>
      <c r="B54" s="183" t="str">
        <f t="shared" si="5"/>
        <v>158.1</v>
      </c>
      <c r="C54" t="s">
        <v>1809</v>
      </c>
      <c r="D54" t="s">
        <v>990</v>
      </c>
      <c r="G54">
        <v>0</v>
      </c>
      <c r="H54">
        <v>0</v>
      </c>
      <c r="I54">
        <v>0</v>
      </c>
      <c r="J54">
        <v>0</v>
      </c>
      <c r="K54">
        <v>0</v>
      </c>
      <c r="L54">
        <v>0</v>
      </c>
      <c r="M54">
        <v>0</v>
      </c>
      <c r="N54">
        <v>0</v>
      </c>
      <c r="O54">
        <v>0</v>
      </c>
      <c r="P54">
        <v>0</v>
      </c>
      <c r="Q54">
        <v>0</v>
      </c>
      <c r="R54">
        <v>0</v>
      </c>
      <c r="S54">
        <v>0</v>
      </c>
      <c r="U54" s="175">
        <f t="shared" si="6"/>
        <v>0</v>
      </c>
    </row>
    <row r="55" spans="1:21">
      <c r="A55" s="183" t="str">
        <f t="shared" si="4"/>
        <v>158</v>
      </c>
      <c r="B55" s="183" t="str">
        <f t="shared" si="5"/>
        <v>158.2</v>
      </c>
      <c r="C55" t="s">
        <v>1810</v>
      </c>
      <c r="D55" t="s">
        <v>992</v>
      </c>
      <c r="G55">
        <v>0</v>
      </c>
      <c r="H55">
        <v>0</v>
      </c>
      <c r="I55">
        <v>0</v>
      </c>
      <c r="J55">
        <v>0</v>
      </c>
      <c r="K55">
        <v>0</v>
      </c>
      <c r="L55">
        <v>0</v>
      </c>
      <c r="M55">
        <v>0</v>
      </c>
      <c r="N55">
        <v>0</v>
      </c>
      <c r="O55">
        <v>0</v>
      </c>
      <c r="P55">
        <v>0</v>
      </c>
      <c r="Q55">
        <v>0</v>
      </c>
      <c r="R55">
        <v>0</v>
      </c>
      <c r="S55">
        <v>0</v>
      </c>
      <c r="U55" s="175">
        <f t="shared" si="6"/>
        <v>0</v>
      </c>
    </row>
    <row r="56" spans="1:21">
      <c r="A56" s="183" t="str">
        <f t="shared" si="4"/>
        <v>163</v>
      </c>
      <c r="B56" s="183" t="str">
        <f t="shared" si="5"/>
        <v>163.0</v>
      </c>
      <c r="C56" t="s">
        <v>1811</v>
      </c>
      <c r="D56" t="s">
        <v>994</v>
      </c>
      <c r="G56">
        <v>0</v>
      </c>
      <c r="H56">
        <v>0</v>
      </c>
      <c r="I56">
        <v>0</v>
      </c>
      <c r="J56">
        <v>0</v>
      </c>
      <c r="K56">
        <v>0</v>
      </c>
      <c r="L56">
        <v>0</v>
      </c>
      <c r="M56">
        <v>0</v>
      </c>
      <c r="N56">
        <v>0</v>
      </c>
      <c r="O56">
        <v>0</v>
      </c>
      <c r="P56">
        <v>0</v>
      </c>
      <c r="Q56">
        <v>0</v>
      </c>
      <c r="R56">
        <v>0</v>
      </c>
      <c r="S56">
        <v>0</v>
      </c>
      <c r="U56" s="175">
        <f t="shared" si="6"/>
        <v>0</v>
      </c>
    </row>
    <row r="57" spans="1:21">
      <c r="A57" s="183" t="str">
        <f t="shared" si="4"/>
        <v>164</v>
      </c>
      <c r="B57" s="183" t="str">
        <f t="shared" si="5"/>
        <v>164.1</v>
      </c>
      <c r="C57" t="s">
        <v>1812</v>
      </c>
      <c r="D57" t="s">
        <v>996</v>
      </c>
      <c r="G57">
        <v>0</v>
      </c>
      <c r="H57">
        <v>0</v>
      </c>
      <c r="I57">
        <v>0</v>
      </c>
      <c r="J57">
        <v>0</v>
      </c>
      <c r="K57">
        <v>0</v>
      </c>
      <c r="L57">
        <v>0</v>
      </c>
      <c r="M57">
        <v>0</v>
      </c>
      <c r="N57">
        <v>0</v>
      </c>
      <c r="O57">
        <v>0</v>
      </c>
      <c r="P57">
        <v>0</v>
      </c>
      <c r="Q57">
        <v>0</v>
      </c>
      <c r="R57">
        <v>0</v>
      </c>
      <c r="S57">
        <v>0</v>
      </c>
      <c r="U57" s="175">
        <f t="shared" si="6"/>
        <v>0</v>
      </c>
    </row>
    <row r="58" spans="1:21">
      <c r="A58" s="183" t="str">
        <f t="shared" si="4"/>
        <v>164</v>
      </c>
      <c r="B58" s="183" t="str">
        <f t="shared" si="5"/>
        <v>164.2</v>
      </c>
      <c r="C58" t="s">
        <v>1813</v>
      </c>
      <c r="D58" t="s">
        <v>998</v>
      </c>
      <c r="G58">
        <v>0</v>
      </c>
      <c r="H58">
        <v>0</v>
      </c>
      <c r="I58">
        <v>0</v>
      </c>
      <c r="J58">
        <v>0</v>
      </c>
      <c r="K58">
        <v>0</v>
      </c>
      <c r="L58">
        <v>0</v>
      </c>
      <c r="M58">
        <v>0</v>
      </c>
      <c r="N58">
        <v>0</v>
      </c>
      <c r="O58">
        <v>0</v>
      </c>
      <c r="P58">
        <v>0</v>
      </c>
      <c r="Q58">
        <v>0</v>
      </c>
      <c r="R58">
        <v>0</v>
      </c>
      <c r="S58">
        <v>0</v>
      </c>
      <c r="U58" s="175">
        <f t="shared" si="6"/>
        <v>0</v>
      </c>
    </row>
    <row r="59" spans="1:21">
      <c r="A59" s="183" t="str">
        <f t="shared" si="4"/>
        <v>164</v>
      </c>
      <c r="B59" s="183" t="str">
        <f t="shared" si="5"/>
        <v>164.3</v>
      </c>
      <c r="C59" t="s">
        <v>1814</v>
      </c>
      <c r="D59" t="s">
        <v>1000</v>
      </c>
      <c r="G59">
        <v>0</v>
      </c>
      <c r="H59">
        <v>0</v>
      </c>
      <c r="I59">
        <v>0</v>
      </c>
      <c r="J59">
        <v>0</v>
      </c>
      <c r="K59">
        <v>0</v>
      </c>
      <c r="L59">
        <v>0</v>
      </c>
      <c r="M59">
        <v>0</v>
      </c>
      <c r="N59">
        <v>0</v>
      </c>
      <c r="O59">
        <v>0</v>
      </c>
      <c r="P59">
        <v>0</v>
      </c>
      <c r="Q59">
        <v>0</v>
      </c>
      <c r="R59">
        <v>0</v>
      </c>
      <c r="S59">
        <v>0</v>
      </c>
      <c r="U59" s="175">
        <f t="shared" si="6"/>
        <v>0</v>
      </c>
    </row>
    <row r="60" spans="1:21">
      <c r="A60" s="183" t="str">
        <f t="shared" si="4"/>
        <v>165</v>
      </c>
      <c r="B60" s="183" t="str">
        <f t="shared" si="5"/>
        <v>165.0</v>
      </c>
      <c r="C60" t="s">
        <v>1815</v>
      </c>
      <c r="D60" t="s">
        <v>283</v>
      </c>
      <c r="G60">
        <v>18339831.57</v>
      </c>
      <c r="H60">
        <v>16999681.440000001</v>
      </c>
      <c r="I60">
        <v>15459526.140000001</v>
      </c>
      <c r="J60">
        <v>15670555.18</v>
      </c>
      <c r="K60">
        <v>11691308.029999999</v>
      </c>
      <c r="L60">
        <v>11270451.66</v>
      </c>
      <c r="M60">
        <v>19658398.609999999</v>
      </c>
      <c r="N60">
        <v>28916164.719999999</v>
      </c>
      <c r="O60">
        <v>27208456.210000001</v>
      </c>
      <c r="P60">
        <v>27644160.210000001</v>
      </c>
      <c r="Q60">
        <v>22114111.710000001</v>
      </c>
      <c r="R60">
        <v>22927307.300000001</v>
      </c>
      <c r="S60">
        <v>26186389.98</v>
      </c>
      <c r="U60" s="175">
        <f t="shared" si="6"/>
        <v>20314334.058461539</v>
      </c>
    </row>
    <row r="61" spans="1:21">
      <c r="A61" s="183" t="str">
        <f t="shared" si="4"/>
        <v>171</v>
      </c>
      <c r="B61" s="183" t="str">
        <f t="shared" si="5"/>
        <v>171.0</v>
      </c>
      <c r="C61" t="s">
        <v>1816</v>
      </c>
      <c r="D61" t="s">
        <v>1003</v>
      </c>
      <c r="G61">
        <v>0</v>
      </c>
      <c r="H61">
        <v>0</v>
      </c>
      <c r="I61">
        <v>0</v>
      </c>
      <c r="J61">
        <v>0</v>
      </c>
      <c r="K61">
        <v>0</v>
      </c>
      <c r="L61">
        <v>0</v>
      </c>
      <c r="M61">
        <v>0</v>
      </c>
      <c r="N61">
        <v>0</v>
      </c>
      <c r="O61">
        <v>0</v>
      </c>
      <c r="P61">
        <v>0</v>
      </c>
      <c r="Q61">
        <v>0</v>
      </c>
      <c r="R61">
        <v>0</v>
      </c>
      <c r="S61">
        <v>0</v>
      </c>
      <c r="U61" s="175">
        <f t="shared" si="6"/>
        <v>0</v>
      </c>
    </row>
    <row r="62" spans="1:21">
      <c r="A62" s="183" t="str">
        <f t="shared" si="4"/>
        <v>172</v>
      </c>
      <c r="B62" s="183" t="str">
        <f t="shared" si="5"/>
        <v>172.0</v>
      </c>
      <c r="C62" t="s">
        <v>1817</v>
      </c>
      <c r="D62" t="s">
        <v>1005</v>
      </c>
      <c r="G62">
        <v>0</v>
      </c>
      <c r="H62">
        <v>0</v>
      </c>
      <c r="I62">
        <v>0</v>
      </c>
      <c r="J62">
        <v>0</v>
      </c>
      <c r="K62">
        <v>0</v>
      </c>
      <c r="L62">
        <v>0</v>
      </c>
      <c r="M62">
        <v>0</v>
      </c>
      <c r="N62">
        <v>0</v>
      </c>
      <c r="O62">
        <v>0</v>
      </c>
      <c r="P62">
        <v>0</v>
      </c>
      <c r="Q62">
        <v>0</v>
      </c>
      <c r="R62">
        <v>0</v>
      </c>
      <c r="S62">
        <v>0</v>
      </c>
      <c r="U62" s="175">
        <f t="shared" si="6"/>
        <v>0</v>
      </c>
    </row>
    <row r="63" spans="1:21">
      <c r="A63" s="183" t="str">
        <f t="shared" si="4"/>
        <v>173</v>
      </c>
      <c r="B63" s="183" t="str">
        <f t="shared" si="5"/>
        <v>173.0</v>
      </c>
      <c r="C63" t="s">
        <v>1818</v>
      </c>
      <c r="D63" t="s">
        <v>1007</v>
      </c>
      <c r="G63">
        <v>56590957</v>
      </c>
      <c r="H63">
        <v>61266280</v>
      </c>
      <c r="I63">
        <v>55925422</v>
      </c>
      <c r="J63">
        <v>61972028</v>
      </c>
      <c r="K63">
        <v>66148593</v>
      </c>
      <c r="L63">
        <v>78326385</v>
      </c>
      <c r="M63">
        <v>81490054</v>
      </c>
      <c r="N63">
        <v>84671332</v>
      </c>
      <c r="O63">
        <v>86858484</v>
      </c>
      <c r="P63">
        <v>69897197</v>
      </c>
      <c r="Q63">
        <v>69145223</v>
      </c>
      <c r="R63">
        <v>65904017</v>
      </c>
      <c r="S63">
        <v>65330194</v>
      </c>
      <c r="U63" s="175">
        <f t="shared" si="6"/>
        <v>69502012.769230768</v>
      </c>
    </row>
    <row r="64" spans="1:21">
      <c r="A64" s="183" t="str">
        <f t="shared" si="4"/>
        <v>174</v>
      </c>
      <c r="B64" s="183" t="str">
        <f t="shared" si="5"/>
        <v>174.0</v>
      </c>
      <c r="C64" t="s">
        <v>1819</v>
      </c>
      <c r="D64" t="s">
        <v>1009</v>
      </c>
      <c r="G64">
        <v>0</v>
      </c>
      <c r="H64">
        <v>0</v>
      </c>
      <c r="I64">
        <v>0</v>
      </c>
      <c r="J64">
        <v>0</v>
      </c>
      <c r="K64">
        <v>0</v>
      </c>
      <c r="L64">
        <v>0</v>
      </c>
      <c r="M64">
        <v>0</v>
      </c>
      <c r="N64">
        <v>0</v>
      </c>
      <c r="O64">
        <v>0</v>
      </c>
      <c r="P64">
        <v>0</v>
      </c>
      <c r="Q64">
        <v>0</v>
      </c>
      <c r="R64">
        <v>0</v>
      </c>
      <c r="S64">
        <v>0</v>
      </c>
      <c r="U64" s="175">
        <f t="shared" si="6"/>
        <v>0</v>
      </c>
    </row>
    <row r="65" spans="1:22">
      <c r="A65" s="183" t="str">
        <f t="shared" si="4"/>
        <v>176</v>
      </c>
      <c r="B65" s="183" t="str">
        <f t="shared" si="5"/>
        <v>176.0</v>
      </c>
      <c r="C65" t="s">
        <v>1820</v>
      </c>
      <c r="D65" t="s">
        <v>1011</v>
      </c>
      <c r="G65">
        <v>190881.42</v>
      </c>
      <c r="H65">
        <v>984812.97</v>
      </c>
      <c r="I65">
        <v>499283.48</v>
      </c>
      <c r="J65">
        <v>1757443.39</v>
      </c>
      <c r="K65">
        <v>2838841.61</v>
      </c>
      <c r="L65">
        <v>3670275.08</v>
      </c>
      <c r="M65">
        <v>1896607.02</v>
      </c>
      <c r="N65">
        <v>3632263.16</v>
      </c>
      <c r="O65">
        <v>4213179.84</v>
      </c>
      <c r="P65">
        <v>4375826.38</v>
      </c>
      <c r="Q65">
        <v>773134.22</v>
      </c>
      <c r="R65">
        <v>2454551.58</v>
      </c>
      <c r="S65">
        <v>4525000</v>
      </c>
      <c r="U65" s="175">
        <f t="shared" si="6"/>
        <v>2447084.6269230768</v>
      </c>
    </row>
    <row r="66" spans="1:22">
      <c r="A66" s="183" t="str">
        <f t="shared" si="4"/>
        <v>181</v>
      </c>
      <c r="B66" s="183" t="str">
        <f t="shared" si="5"/>
        <v>181.0</v>
      </c>
      <c r="C66" t="s">
        <v>1821</v>
      </c>
      <c r="D66" t="s">
        <v>420</v>
      </c>
      <c r="G66">
        <v>23185753.77</v>
      </c>
      <c r="H66">
        <v>23070457.940000001</v>
      </c>
      <c r="I66">
        <v>22956226.609999999</v>
      </c>
      <c r="J66">
        <v>22841995.280000001</v>
      </c>
      <c r="K66">
        <v>22731689.07</v>
      </c>
      <c r="L66">
        <v>22616967.100000001</v>
      </c>
      <c r="M66">
        <v>22502684.5</v>
      </c>
      <c r="N66">
        <v>25703084.350000001</v>
      </c>
      <c r="O66">
        <v>26128735.68</v>
      </c>
      <c r="P66">
        <v>25965546.219999999</v>
      </c>
      <c r="Q66">
        <v>25937619.719999999</v>
      </c>
      <c r="R66">
        <v>25794984.59</v>
      </c>
      <c r="S66">
        <v>25769001.050000001</v>
      </c>
      <c r="U66" s="175">
        <f t="shared" si="6"/>
        <v>24246518.913846154</v>
      </c>
    </row>
    <row r="67" spans="1:22">
      <c r="A67" s="183" t="str">
        <f t="shared" si="4"/>
        <v>182</v>
      </c>
      <c r="B67" s="183" t="str">
        <f t="shared" si="5"/>
        <v>182.1</v>
      </c>
      <c r="C67" t="s">
        <v>1822</v>
      </c>
      <c r="D67" t="s">
        <v>1014</v>
      </c>
      <c r="G67">
        <v>0</v>
      </c>
      <c r="H67">
        <v>0</v>
      </c>
      <c r="I67">
        <v>0</v>
      </c>
      <c r="J67">
        <v>0</v>
      </c>
      <c r="K67">
        <v>0</v>
      </c>
      <c r="L67">
        <v>0</v>
      </c>
      <c r="M67">
        <v>0</v>
      </c>
      <c r="N67">
        <v>0</v>
      </c>
      <c r="O67">
        <v>0</v>
      </c>
      <c r="P67">
        <v>0</v>
      </c>
      <c r="Q67">
        <v>0</v>
      </c>
      <c r="R67">
        <v>0</v>
      </c>
      <c r="S67">
        <v>0</v>
      </c>
      <c r="U67" s="175">
        <f t="shared" si="6"/>
        <v>0</v>
      </c>
    </row>
    <row r="68" spans="1:22">
      <c r="A68" s="183" t="str">
        <f t="shared" si="4"/>
        <v>182</v>
      </c>
      <c r="B68" s="183" t="str">
        <f t="shared" si="5"/>
        <v>182.2</v>
      </c>
      <c r="C68" t="s">
        <v>1823</v>
      </c>
      <c r="D68" t="s">
        <v>1016</v>
      </c>
      <c r="G68">
        <v>517679492.89999998</v>
      </c>
      <c r="H68">
        <v>515661003.91000003</v>
      </c>
      <c r="I68">
        <v>513642514.92000002</v>
      </c>
      <c r="J68">
        <v>511624025.93000001</v>
      </c>
      <c r="K68">
        <v>511744792.94999999</v>
      </c>
      <c r="L68">
        <v>509726303.95999998</v>
      </c>
      <c r="M68">
        <v>507707814.97000003</v>
      </c>
      <c r="N68">
        <v>505689325.98000002</v>
      </c>
      <c r="O68">
        <v>503743796.80000001</v>
      </c>
      <c r="P68">
        <v>501798267.62</v>
      </c>
      <c r="Q68">
        <v>500576546.95999998</v>
      </c>
      <c r="R68">
        <v>498938649.25999999</v>
      </c>
      <c r="S68">
        <v>497407676.98000002</v>
      </c>
      <c r="U68" s="175">
        <f t="shared" si="6"/>
        <v>507380016.39538455</v>
      </c>
      <c r="V68" s="141">
        <f>SUM(U68:U69)</f>
        <v>1135888924.7799997</v>
      </c>
    </row>
    <row r="69" spans="1:22">
      <c r="A69" s="183" t="str">
        <f t="shared" si="4"/>
        <v>182</v>
      </c>
      <c r="B69" s="183" t="str">
        <f t="shared" si="5"/>
        <v>182.3</v>
      </c>
      <c r="C69" t="s">
        <v>1824</v>
      </c>
      <c r="D69" t="s">
        <v>585</v>
      </c>
      <c r="G69">
        <v>411186483.63999999</v>
      </c>
      <c r="H69">
        <v>426854100.92000002</v>
      </c>
      <c r="I69">
        <v>453423966.63999999</v>
      </c>
      <c r="J69">
        <v>474446277.51999998</v>
      </c>
      <c r="K69">
        <v>484398683.32999998</v>
      </c>
      <c r="L69">
        <v>527419061.47000003</v>
      </c>
      <c r="M69">
        <v>583626951.62</v>
      </c>
      <c r="N69">
        <v>634253889.15999997</v>
      </c>
      <c r="O69">
        <v>732538504.50999999</v>
      </c>
      <c r="P69">
        <v>787769029.83000004</v>
      </c>
      <c r="Q69">
        <v>821773454.59000003</v>
      </c>
      <c r="R69">
        <v>844167966.15999997</v>
      </c>
      <c r="S69">
        <v>988757439.61000001</v>
      </c>
      <c r="U69" s="175">
        <f t="shared" si="6"/>
        <v>628508908.3846153</v>
      </c>
    </row>
    <row r="70" spans="1:22">
      <c r="A70" s="183" t="str">
        <f t="shared" si="4"/>
        <v>183</v>
      </c>
      <c r="B70" s="183" t="str">
        <f t="shared" si="5"/>
        <v>183.0</v>
      </c>
      <c r="C70" t="s">
        <v>1825</v>
      </c>
      <c r="D70" t="s">
        <v>1019</v>
      </c>
      <c r="G70">
        <v>1727763.34</v>
      </c>
      <c r="H70">
        <v>1788399.72</v>
      </c>
      <c r="I70">
        <v>1820084.06</v>
      </c>
      <c r="J70">
        <v>1894063.2</v>
      </c>
      <c r="K70">
        <v>2050090.07</v>
      </c>
      <c r="L70">
        <v>2152039.62</v>
      </c>
      <c r="M70">
        <v>732786.16</v>
      </c>
      <c r="N70">
        <v>1015740.24</v>
      </c>
      <c r="O70">
        <v>884354.62</v>
      </c>
      <c r="P70">
        <v>1034806.98</v>
      </c>
      <c r="Q70">
        <v>1349288.51</v>
      </c>
      <c r="R70">
        <v>1781579.13</v>
      </c>
      <c r="S70">
        <v>2061602.77</v>
      </c>
      <c r="U70" s="175">
        <f t="shared" si="6"/>
        <v>1560969.1092307693</v>
      </c>
    </row>
    <row r="71" spans="1:22">
      <c r="A71" s="183" t="str">
        <f t="shared" ref="A71:A134" si="7">MID(C71,4,3)</f>
        <v>183</v>
      </c>
      <c r="B71" s="183" t="str">
        <f t="shared" ref="B71:B134" si="8">MID(C71,4,3)&amp;"."&amp;MID(C71,7,1)</f>
        <v>183.1</v>
      </c>
      <c r="C71" t="s">
        <v>1826</v>
      </c>
      <c r="D71" t="s">
        <v>1021</v>
      </c>
      <c r="G71">
        <v>0</v>
      </c>
      <c r="H71">
        <v>0</v>
      </c>
      <c r="I71">
        <v>0</v>
      </c>
      <c r="J71">
        <v>0</v>
      </c>
      <c r="K71">
        <v>0</v>
      </c>
      <c r="L71">
        <v>0</v>
      </c>
      <c r="M71">
        <v>0</v>
      </c>
      <c r="N71">
        <v>0</v>
      </c>
      <c r="O71">
        <v>0</v>
      </c>
      <c r="P71">
        <v>0</v>
      </c>
      <c r="Q71">
        <v>0</v>
      </c>
      <c r="R71">
        <v>0</v>
      </c>
      <c r="S71">
        <v>0</v>
      </c>
      <c r="U71" s="175">
        <f t="shared" ref="U71:U134" si="9">AVERAGE(G71:S71)</f>
        <v>0</v>
      </c>
    </row>
    <row r="72" spans="1:22">
      <c r="A72" s="183" t="str">
        <f t="shared" si="7"/>
        <v>183</v>
      </c>
      <c r="B72" s="183" t="str">
        <f t="shared" si="8"/>
        <v>183.2</v>
      </c>
      <c r="C72" t="s">
        <v>1827</v>
      </c>
      <c r="D72" t="s">
        <v>1023</v>
      </c>
      <c r="G72">
        <v>0</v>
      </c>
      <c r="H72">
        <v>0</v>
      </c>
      <c r="I72">
        <v>0</v>
      </c>
      <c r="J72">
        <v>0</v>
      </c>
      <c r="K72">
        <v>0</v>
      </c>
      <c r="L72">
        <v>0</v>
      </c>
      <c r="M72">
        <v>0</v>
      </c>
      <c r="N72">
        <v>0</v>
      </c>
      <c r="O72">
        <v>0</v>
      </c>
      <c r="P72">
        <v>0</v>
      </c>
      <c r="Q72">
        <v>0</v>
      </c>
      <c r="R72">
        <v>0</v>
      </c>
      <c r="S72">
        <v>0</v>
      </c>
      <c r="U72" s="175">
        <f t="shared" si="9"/>
        <v>0</v>
      </c>
    </row>
    <row r="73" spans="1:22">
      <c r="A73" s="183" t="str">
        <f t="shared" si="7"/>
        <v>184</v>
      </c>
      <c r="B73" s="183" t="str">
        <f t="shared" si="8"/>
        <v>184.0</v>
      </c>
      <c r="C73" t="s">
        <v>1828</v>
      </c>
      <c r="D73" t="s">
        <v>291</v>
      </c>
      <c r="G73">
        <v>57884.83</v>
      </c>
      <c r="H73">
        <v>58905.62</v>
      </c>
      <c r="I73">
        <v>59482.239999999998</v>
      </c>
      <c r="J73">
        <v>59048.49</v>
      </c>
      <c r="K73">
        <v>58614.74</v>
      </c>
      <c r="L73">
        <v>58180.99</v>
      </c>
      <c r="M73">
        <v>57747.24</v>
      </c>
      <c r="N73">
        <v>57340.6</v>
      </c>
      <c r="O73">
        <v>63897.5</v>
      </c>
      <c r="P73">
        <v>63518.03</v>
      </c>
      <c r="Q73">
        <v>66527.7</v>
      </c>
      <c r="R73">
        <v>66148.23</v>
      </c>
      <c r="S73">
        <v>67773.86</v>
      </c>
      <c r="U73" s="175">
        <f t="shared" si="9"/>
        <v>61159.236153846148</v>
      </c>
    </row>
    <row r="74" spans="1:22">
      <c r="A74" s="183" t="str">
        <f t="shared" si="7"/>
        <v>184</v>
      </c>
      <c r="B74" s="183" t="str">
        <f t="shared" si="8"/>
        <v>184.1</v>
      </c>
      <c r="C74" t="s">
        <v>1829</v>
      </c>
      <c r="D74" t="s">
        <v>1026</v>
      </c>
      <c r="G74">
        <v>0</v>
      </c>
      <c r="H74">
        <v>0</v>
      </c>
      <c r="I74">
        <v>0</v>
      </c>
      <c r="J74">
        <v>0</v>
      </c>
      <c r="K74">
        <v>0</v>
      </c>
      <c r="L74">
        <v>0</v>
      </c>
      <c r="M74">
        <v>0</v>
      </c>
      <c r="N74">
        <v>0</v>
      </c>
      <c r="O74">
        <v>0</v>
      </c>
      <c r="P74">
        <v>0</v>
      </c>
      <c r="Q74">
        <v>0</v>
      </c>
      <c r="R74">
        <v>0</v>
      </c>
      <c r="S74">
        <v>0</v>
      </c>
      <c r="U74" s="175">
        <f t="shared" si="9"/>
        <v>0</v>
      </c>
    </row>
    <row r="75" spans="1:22">
      <c r="A75" s="183" t="str">
        <f t="shared" si="7"/>
        <v>186</v>
      </c>
      <c r="B75" s="183" t="str">
        <f t="shared" si="8"/>
        <v>186.0</v>
      </c>
      <c r="C75" t="s">
        <v>1830</v>
      </c>
      <c r="D75" t="s">
        <v>1028</v>
      </c>
      <c r="G75">
        <v>10627268.779999999</v>
      </c>
      <c r="H75">
        <v>9906396.1400000006</v>
      </c>
      <c r="I75">
        <v>12174220.08</v>
      </c>
      <c r="J75">
        <v>13394733.390000001</v>
      </c>
      <c r="K75">
        <v>12415502.15</v>
      </c>
      <c r="L75">
        <v>14118705.4</v>
      </c>
      <c r="M75">
        <v>15129422.439999999</v>
      </c>
      <c r="N75">
        <v>16697289.189999999</v>
      </c>
      <c r="O75">
        <v>16427866.74</v>
      </c>
      <c r="P75">
        <v>21475958.809999999</v>
      </c>
      <c r="Q75">
        <v>23085204.780000001</v>
      </c>
      <c r="R75">
        <v>24329680.760000002</v>
      </c>
      <c r="S75">
        <v>12387669.57</v>
      </c>
      <c r="U75" s="175">
        <f t="shared" si="9"/>
        <v>15551532.171538459</v>
      </c>
    </row>
    <row r="76" spans="1:22">
      <c r="A76" s="183" t="str">
        <f t="shared" si="7"/>
        <v>187</v>
      </c>
      <c r="B76" s="183" t="str">
        <f t="shared" si="8"/>
        <v>187.0</v>
      </c>
      <c r="C76" t="s">
        <v>1831</v>
      </c>
      <c r="D76" t="s">
        <v>1030</v>
      </c>
      <c r="G76">
        <v>0</v>
      </c>
      <c r="H76">
        <v>0</v>
      </c>
      <c r="I76">
        <v>0</v>
      </c>
      <c r="J76">
        <v>0</v>
      </c>
      <c r="K76">
        <v>0</v>
      </c>
      <c r="L76">
        <v>0</v>
      </c>
      <c r="M76">
        <v>0</v>
      </c>
      <c r="N76">
        <v>0</v>
      </c>
      <c r="O76">
        <v>0</v>
      </c>
      <c r="P76">
        <v>0</v>
      </c>
      <c r="Q76">
        <v>0</v>
      </c>
      <c r="R76">
        <v>0</v>
      </c>
      <c r="S76">
        <v>0</v>
      </c>
      <c r="U76" s="175">
        <f t="shared" si="9"/>
        <v>0</v>
      </c>
    </row>
    <row r="77" spans="1:22">
      <c r="A77" s="183" t="str">
        <f t="shared" si="7"/>
        <v>188</v>
      </c>
      <c r="B77" s="183" t="str">
        <f t="shared" si="8"/>
        <v>188.0</v>
      </c>
      <c r="C77" t="s">
        <v>1832</v>
      </c>
      <c r="D77" t="s">
        <v>1032</v>
      </c>
      <c r="G77">
        <v>0</v>
      </c>
      <c r="H77">
        <v>0</v>
      </c>
      <c r="I77">
        <v>0</v>
      </c>
      <c r="J77">
        <v>0</v>
      </c>
      <c r="K77">
        <v>0</v>
      </c>
      <c r="L77">
        <v>0</v>
      </c>
      <c r="M77">
        <v>0</v>
      </c>
      <c r="N77">
        <v>0</v>
      </c>
      <c r="O77">
        <v>0</v>
      </c>
      <c r="P77">
        <v>0</v>
      </c>
      <c r="Q77">
        <v>0</v>
      </c>
      <c r="R77">
        <v>0</v>
      </c>
      <c r="S77">
        <v>0</v>
      </c>
      <c r="U77" s="175">
        <f t="shared" si="9"/>
        <v>0</v>
      </c>
    </row>
    <row r="78" spans="1:22">
      <c r="A78" s="183" t="str">
        <f t="shared" si="7"/>
        <v>189</v>
      </c>
      <c r="B78" s="183" t="str">
        <f t="shared" si="8"/>
        <v>189.0</v>
      </c>
      <c r="C78" t="s">
        <v>1833</v>
      </c>
      <c r="D78" t="s">
        <v>430</v>
      </c>
      <c r="G78">
        <v>4094889.51</v>
      </c>
      <c r="H78">
        <v>4032748.08</v>
      </c>
      <c r="I78">
        <v>3941548.93</v>
      </c>
      <c r="J78">
        <v>3864878.64</v>
      </c>
      <c r="K78">
        <v>3788208.35</v>
      </c>
      <c r="L78">
        <v>3731159.32</v>
      </c>
      <c r="M78">
        <v>3674110.29</v>
      </c>
      <c r="N78">
        <v>3617061.26</v>
      </c>
      <c r="O78">
        <v>3560012.23</v>
      </c>
      <c r="P78">
        <v>3502963.2</v>
      </c>
      <c r="Q78">
        <v>3445914.17</v>
      </c>
      <c r="R78">
        <v>3406519.47</v>
      </c>
      <c r="S78">
        <v>3367124.77</v>
      </c>
      <c r="U78" s="175">
        <f t="shared" si="9"/>
        <v>3694395.2476923084</v>
      </c>
    </row>
    <row r="79" spans="1:22">
      <c r="A79" s="183" t="str">
        <f t="shared" si="7"/>
        <v>190</v>
      </c>
      <c r="B79" s="183" t="str">
        <f t="shared" si="8"/>
        <v>190.0</v>
      </c>
      <c r="C79" t="s">
        <v>1834</v>
      </c>
      <c r="D79" t="s">
        <v>1035</v>
      </c>
      <c r="G79">
        <v>658178338.08000004</v>
      </c>
      <c r="H79">
        <v>657869110.40999997</v>
      </c>
      <c r="I79">
        <v>671789821.32000005</v>
      </c>
      <c r="J79">
        <v>700727070.41999996</v>
      </c>
      <c r="K79">
        <v>723058939.03999996</v>
      </c>
      <c r="L79">
        <v>723786809.25999999</v>
      </c>
      <c r="M79">
        <v>741942322.34000003</v>
      </c>
      <c r="N79">
        <v>744541231.54999995</v>
      </c>
      <c r="O79">
        <v>754275470.16999996</v>
      </c>
      <c r="P79">
        <v>769517680.76999998</v>
      </c>
      <c r="Q79">
        <v>772638728.61000001</v>
      </c>
      <c r="R79">
        <v>775480522.92999995</v>
      </c>
      <c r="S79">
        <v>721216497.02999997</v>
      </c>
      <c r="U79" s="175">
        <f t="shared" si="9"/>
        <v>724232503.22538459</v>
      </c>
    </row>
    <row r="80" spans="1:22">
      <c r="A80" s="183" t="str">
        <f t="shared" si="7"/>
        <v>191</v>
      </c>
      <c r="B80" s="183" t="str">
        <f t="shared" si="8"/>
        <v>191.0</v>
      </c>
      <c r="C80" t="s">
        <v>1835</v>
      </c>
      <c r="D80" t="s">
        <v>1037</v>
      </c>
      <c r="G80">
        <v>0</v>
      </c>
      <c r="H80">
        <v>0</v>
      </c>
      <c r="I80">
        <v>0</v>
      </c>
      <c r="J80">
        <v>0</v>
      </c>
      <c r="K80">
        <v>0</v>
      </c>
      <c r="L80">
        <v>0</v>
      </c>
      <c r="M80">
        <v>0</v>
      </c>
      <c r="N80">
        <v>0</v>
      </c>
      <c r="O80">
        <v>0</v>
      </c>
      <c r="P80">
        <v>0</v>
      </c>
      <c r="Q80">
        <v>0</v>
      </c>
      <c r="R80">
        <v>0</v>
      </c>
      <c r="S80">
        <v>0</v>
      </c>
      <c r="U80" s="175">
        <f t="shared" si="9"/>
        <v>0</v>
      </c>
    </row>
    <row r="81" spans="1:21">
      <c r="A81" s="183" t="str">
        <f t="shared" si="7"/>
        <v>201</v>
      </c>
      <c r="B81" s="183" t="str">
        <f t="shared" si="8"/>
        <v>201.0</v>
      </c>
      <c r="C81" t="s">
        <v>1836</v>
      </c>
      <c r="D81" t="s">
        <v>1039</v>
      </c>
      <c r="G81">
        <v>119696788.17</v>
      </c>
      <c r="H81">
        <v>119696788.17</v>
      </c>
      <c r="I81">
        <v>119696788.17</v>
      </c>
      <c r="J81">
        <v>119696788.17</v>
      </c>
      <c r="K81">
        <v>119696788.17</v>
      </c>
      <c r="L81">
        <v>119696788.17</v>
      </c>
      <c r="M81">
        <v>119696788.17</v>
      </c>
      <c r="N81">
        <v>119696788.17</v>
      </c>
      <c r="O81">
        <v>119696788.17</v>
      </c>
      <c r="P81">
        <v>119696788.17</v>
      </c>
      <c r="Q81">
        <v>119696788.17</v>
      </c>
      <c r="R81">
        <v>119696788.17</v>
      </c>
      <c r="S81">
        <v>119696788.17</v>
      </c>
      <c r="U81" s="175">
        <f t="shared" si="9"/>
        <v>119696788.17000002</v>
      </c>
    </row>
    <row r="82" spans="1:21">
      <c r="A82" s="183" t="str">
        <f t="shared" si="7"/>
        <v>207</v>
      </c>
      <c r="B82" s="183" t="str">
        <f t="shared" si="8"/>
        <v>207.0</v>
      </c>
      <c r="C82" t="s">
        <v>1837</v>
      </c>
      <c r="D82" t="s">
        <v>1041</v>
      </c>
      <c r="G82">
        <v>0</v>
      </c>
      <c r="H82">
        <v>0</v>
      </c>
      <c r="I82">
        <v>0</v>
      </c>
      <c r="J82">
        <v>0</v>
      </c>
      <c r="K82">
        <v>0</v>
      </c>
      <c r="L82">
        <v>0</v>
      </c>
      <c r="M82">
        <v>0</v>
      </c>
      <c r="N82">
        <v>0</v>
      </c>
      <c r="O82">
        <v>0</v>
      </c>
      <c r="P82">
        <v>0</v>
      </c>
      <c r="Q82">
        <v>0</v>
      </c>
      <c r="R82">
        <v>0</v>
      </c>
      <c r="S82">
        <v>0</v>
      </c>
      <c r="U82" s="175">
        <f t="shared" si="9"/>
        <v>0</v>
      </c>
    </row>
    <row r="83" spans="1:21">
      <c r="A83" s="183" t="str">
        <f t="shared" si="7"/>
        <v>208</v>
      </c>
      <c r="B83" s="183" t="str">
        <f t="shared" si="8"/>
        <v>208.0</v>
      </c>
      <c r="C83" t="s">
        <v>1838</v>
      </c>
      <c r="D83" t="s">
        <v>1043</v>
      </c>
      <c r="G83">
        <v>0</v>
      </c>
      <c r="H83">
        <v>0</v>
      </c>
      <c r="I83">
        <v>0</v>
      </c>
      <c r="J83">
        <v>0</v>
      </c>
      <c r="K83">
        <v>0</v>
      </c>
      <c r="L83">
        <v>0</v>
      </c>
      <c r="M83">
        <v>0</v>
      </c>
      <c r="N83">
        <v>0</v>
      </c>
      <c r="O83">
        <v>0</v>
      </c>
      <c r="P83">
        <v>0</v>
      </c>
      <c r="Q83">
        <v>0</v>
      </c>
      <c r="R83">
        <v>0</v>
      </c>
      <c r="S83">
        <v>0</v>
      </c>
      <c r="U83" s="175">
        <f t="shared" si="9"/>
        <v>0</v>
      </c>
    </row>
    <row r="84" spans="1:21">
      <c r="A84" s="183" t="str">
        <f t="shared" si="7"/>
        <v>211</v>
      </c>
      <c r="B84" s="183" t="str">
        <f t="shared" si="8"/>
        <v>211.0</v>
      </c>
      <c r="C84" t="s">
        <v>1839</v>
      </c>
      <c r="D84" t="s">
        <v>1045</v>
      </c>
      <c r="G84">
        <v>3685840249.4899998</v>
      </c>
      <c r="H84">
        <v>3785840249.4899998</v>
      </c>
      <c r="I84">
        <v>3785840249.4899998</v>
      </c>
      <c r="J84">
        <v>3785840249.4899998</v>
      </c>
      <c r="K84">
        <v>3785840249.4899998</v>
      </c>
      <c r="L84">
        <v>3860840249.4899998</v>
      </c>
      <c r="M84">
        <v>3860840249.4899998</v>
      </c>
      <c r="N84">
        <v>3860840249.4899998</v>
      </c>
      <c r="O84">
        <v>4010840249.4899998</v>
      </c>
      <c r="P84">
        <v>4010840249.4899998</v>
      </c>
      <c r="Q84">
        <v>4010840249.4899998</v>
      </c>
      <c r="R84">
        <v>4010840249.4899998</v>
      </c>
      <c r="S84">
        <v>4085840249.4899998</v>
      </c>
      <c r="U84" s="175">
        <f t="shared" si="9"/>
        <v>3887763326.4130754</v>
      </c>
    </row>
    <row r="85" spans="1:21">
      <c r="A85" s="183" t="str">
        <f t="shared" si="7"/>
        <v>214</v>
      </c>
      <c r="B85" s="183" t="str">
        <f t="shared" si="8"/>
        <v>214.0</v>
      </c>
      <c r="C85" t="s">
        <v>1840</v>
      </c>
      <c r="D85" t="s">
        <v>440</v>
      </c>
      <c r="G85">
        <v>-700920.51</v>
      </c>
      <c r="H85">
        <v>-700920.51</v>
      </c>
      <c r="I85">
        <v>-700920.51</v>
      </c>
      <c r="J85">
        <v>-700920.51</v>
      </c>
      <c r="K85">
        <v>-700920.51</v>
      </c>
      <c r="L85">
        <v>-700920.51</v>
      </c>
      <c r="M85">
        <v>-700920.51</v>
      </c>
      <c r="N85">
        <v>-700920.51</v>
      </c>
      <c r="O85">
        <v>-700920.51</v>
      </c>
      <c r="P85">
        <v>-700920.51</v>
      </c>
      <c r="Q85">
        <v>-700920.51</v>
      </c>
      <c r="R85">
        <v>-700920.51</v>
      </c>
      <c r="S85">
        <v>-700920.51</v>
      </c>
      <c r="U85" s="175">
        <f t="shared" si="9"/>
        <v>-700920.50999999989</v>
      </c>
    </row>
    <row r="86" spans="1:21">
      <c r="A86" s="183" t="str">
        <f t="shared" si="7"/>
        <v>215</v>
      </c>
      <c r="B86" s="183" t="str">
        <f t="shared" si="8"/>
        <v>215.0</v>
      </c>
      <c r="C86" t="s">
        <v>1841</v>
      </c>
      <c r="D86" t="s">
        <v>1048</v>
      </c>
      <c r="G86">
        <v>0</v>
      </c>
      <c r="H86">
        <v>0</v>
      </c>
      <c r="I86">
        <v>0</v>
      </c>
      <c r="J86">
        <v>0</v>
      </c>
      <c r="K86">
        <v>0</v>
      </c>
      <c r="L86">
        <v>0</v>
      </c>
      <c r="M86">
        <v>0</v>
      </c>
      <c r="N86">
        <v>0</v>
      </c>
      <c r="O86">
        <v>0</v>
      </c>
      <c r="P86">
        <v>0</v>
      </c>
      <c r="Q86">
        <v>0</v>
      </c>
      <c r="R86">
        <v>0</v>
      </c>
      <c r="S86">
        <v>0</v>
      </c>
      <c r="U86" s="175">
        <f t="shared" si="9"/>
        <v>0</v>
      </c>
    </row>
    <row r="87" spans="1:21">
      <c r="A87" s="183" t="str">
        <f t="shared" si="7"/>
        <v>215</v>
      </c>
      <c r="B87" s="183" t="str">
        <f t="shared" si="8"/>
        <v>215.1</v>
      </c>
      <c r="C87" t="s">
        <v>1842</v>
      </c>
      <c r="D87" t="s">
        <v>1050</v>
      </c>
      <c r="G87">
        <v>0</v>
      </c>
      <c r="H87">
        <v>0</v>
      </c>
      <c r="I87">
        <v>0</v>
      </c>
      <c r="J87">
        <v>0</v>
      </c>
      <c r="K87">
        <v>0</v>
      </c>
      <c r="L87">
        <v>0</v>
      </c>
      <c r="M87">
        <v>0</v>
      </c>
      <c r="N87">
        <v>0</v>
      </c>
      <c r="O87">
        <v>0</v>
      </c>
      <c r="P87">
        <v>0</v>
      </c>
      <c r="Q87">
        <v>0</v>
      </c>
      <c r="R87">
        <v>0</v>
      </c>
      <c r="S87">
        <v>0</v>
      </c>
      <c r="U87" s="175">
        <f t="shared" si="9"/>
        <v>0</v>
      </c>
    </row>
    <row r="88" spans="1:21">
      <c r="A88" s="183" t="str">
        <f t="shared" si="7"/>
        <v>216</v>
      </c>
      <c r="B88" s="183" t="str">
        <f t="shared" si="8"/>
        <v>216.0</v>
      </c>
      <c r="C88" t="s">
        <v>1843</v>
      </c>
      <c r="D88" t="s">
        <v>1052</v>
      </c>
      <c r="G88">
        <v>201569270.58000001</v>
      </c>
      <c r="H88">
        <v>238713889.21000001</v>
      </c>
      <c r="I88">
        <v>197616696.65000001</v>
      </c>
      <c r="J88">
        <v>222280633.90000001</v>
      </c>
      <c r="K88">
        <v>165775130.03999999</v>
      </c>
      <c r="L88">
        <v>211865421.69</v>
      </c>
      <c r="M88">
        <v>259928341.78</v>
      </c>
      <c r="N88">
        <v>316357902.41000003</v>
      </c>
      <c r="O88">
        <v>238080821.97</v>
      </c>
      <c r="P88">
        <v>286450254.64999998</v>
      </c>
      <c r="Q88">
        <v>172361179.33000001</v>
      </c>
      <c r="R88">
        <v>203914873.37</v>
      </c>
      <c r="S88">
        <v>225276529.41</v>
      </c>
      <c r="U88" s="175">
        <f t="shared" si="9"/>
        <v>226168534.22999999</v>
      </c>
    </row>
    <row r="89" spans="1:21">
      <c r="A89" s="183" t="str">
        <f t="shared" si="7"/>
        <v>216</v>
      </c>
      <c r="B89" s="183" t="str">
        <f t="shared" si="8"/>
        <v>216.1</v>
      </c>
      <c r="C89" t="s">
        <v>1844</v>
      </c>
      <c r="D89" t="s">
        <v>1054</v>
      </c>
      <c r="G89">
        <v>0</v>
      </c>
      <c r="H89">
        <v>0</v>
      </c>
      <c r="I89">
        <v>0</v>
      </c>
      <c r="J89">
        <v>0</v>
      </c>
      <c r="K89">
        <v>0</v>
      </c>
      <c r="L89">
        <v>0</v>
      </c>
      <c r="M89">
        <v>0</v>
      </c>
      <c r="N89">
        <v>0</v>
      </c>
      <c r="O89">
        <v>0</v>
      </c>
      <c r="P89">
        <v>0</v>
      </c>
      <c r="Q89">
        <v>0</v>
      </c>
      <c r="R89">
        <v>0</v>
      </c>
      <c r="S89">
        <v>0</v>
      </c>
      <c r="U89" s="175">
        <f t="shared" si="9"/>
        <v>0</v>
      </c>
    </row>
    <row r="90" spans="1:21">
      <c r="A90" s="183" t="str">
        <f t="shared" si="7"/>
        <v>219</v>
      </c>
      <c r="B90" s="183" t="str">
        <f t="shared" si="8"/>
        <v>219.0</v>
      </c>
      <c r="C90" t="s">
        <v>1845</v>
      </c>
      <c r="D90" t="s">
        <v>1056</v>
      </c>
      <c r="G90">
        <v>-787756.55</v>
      </c>
      <c r="H90">
        <v>-781657.98</v>
      </c>
      <c r="I90">
        <v>-775559.38</v>
      </c>
      <c r="J90">
        <v>-769460.79</v>
      </c>
      <c r="K90">
        <v>-763362.22</v>
      </c>
      <c r="L90">
        <v>-757263.62</v>
      </c>
      <c r="M90">
        <v>-751165.05</v>
      </c>
      <c r="N90">
        <v>-745066.45</v>
      </c>
      <c r="O90">
        <v>-738967.87</v>
      </c>
      <c r="P90">
        <v>-732869.3</v>
      </c>
      <c r="Q90">
        <v>-726770.71</v>
      </c>
      <c r="R90">
        <v>-720672.11</v>
      </c>
      <c r="S90">
        <v>-714573.54</v>
      </c>
      <c r="U90" s="175">
        <f t="shared" si="9"/>
        <v>-751165.04384615389</v>
      </c>
    </row>
    <row r="91" spans="1:21">
      <c r="A91" s="183" t="str">
        <f t="shared" si="7"/>
        <v>221</v>
      </c>
      <c r="B91" s="183" t="str">
        <f t="shared" si="8"/>
        <v>221.0</v>
      </c>
      <c r="C91" t="s">
        <v>1846</v>
      </c>
      <c r="D91" t="s">
        <v>1058</v>
      </c>
      <c r="G91">
        <v>2905000000</v>
      </c>
      <c r="H91">
        <v>2905000000</v>
      </c>
      <c r="I91">
        <v>2905000000</v>
      </c>
      <c r="J91">
        <v>2905000000</v>
      </c>
      <c r="K91">
        <v>2905000000</v>
      </c>
      <c r="L91">
        <v>2905000000</v>
      </c>
      <c r="M91">
        <v>2905000000</v>
      </c>
      <c r="N91">
        <v>3430000000</v>
      </c>
      <c r="O91">
        <v>3430000000</v>
      </c>
      <c r="P91">
        <v>3205000000</v>
      </c>
      <c r="Q91">
        <v>3205000000</v>
      </c>
      <c r="R91">
        <v>3205000000</v>
      </c>
      <c r="S91">
        <v>3205000000</v>
      </c>
      <c r="U91" s="175">
        <f t="shared" si="9"/>
        <v>3078076923.0769229</v>
      </c>
    </row>
    <row r="92" spans="1:21">
      <c r="A92" s="183" t="str">
        <f t="shared" si="7"/>
        <v>223</v>
      </c>
      <c r="B92" s="183" t="str">
        <f t="shared" si="8"/>
        <v>223.0</v>
      </c>
      <c r="C92" t="s">
        <v>1847</v>
      </c>
      <c r="D92" t="s">
        <v>1060</v>
      </c>
      <c r="G92">
        <v>0</v>
      </c>
      <c r="H92">
        <v>0</v>
      </c>
      <c r="I92">
        <v>0</v>
      </c>
      <c r="J92">
        <v>0</v>
      </c>
      <c r="K92">
        <v>0</v>
      </c>
      <c r="L92">
        <v>0</v>
      </c>
      <c r="M92">
        <v>0</v>
      </c>
      <c r="N92">
        <v>0</v>
      </c>
      <c r="O92">
        <v>0</v>
      </c>
      <c r="P92">
        <v>0</v>
      </c>
      <c r="Q92">
        <v>0</v>
      </c>
      <c r="R92">
        <v>0</v>
      </c>
      <c r="S92">
        <v>0</v>
      </c>
      <c r="U92" s="175">
        <f t="shared" si="9"/>
        <v>0</v>
      </c>
    </row>
    <row r="93" spans="1:21">
      <c r="A93" s="183" t="str">
        <f t="shared" si="7"/>
        <v>224</v>
      </c>
      <c r="B93" s="183" t="str">
        <f t="shared" si="8"/>
        <v>224.0</v>
      </c>
      <c r="C93" t="s">
        <v>1848</v>
      </c>
      <c r="D93" t="s">
        <v>1062</v>
      </c>
      <c r="G93">
        <v>0</v>
      </c>
      <c r="H93">
        <v>0</v>
      </c>
      <c r="I93">
        <v>0</v>
      </c>
      <c r="J93">
        <v>0</v>
      </c>
      <c r="K93">
        <v>0</v>
      </c>
      <c r="L93">
        <v>0</v>
      </c>
      <c r="M93">
        <v>0</v>
      </c>
      <c r="N93">
        <v>0</v>
      </c>
      <c r="O93">
        <v>0</v>
      </c>
      <c r="P93">
        <v>0</v>
      </c>
      <c r="Q93">
        <v>0</v>
      </c>
      <c r="R93">
        <v>0</v>
      </c>
      <c r="S93">
        <v>0</v>
      </c>
      <c r="U93" s="175">
        <f t="shared" si="9"/>
        <v>0</v>
      </c>
    </row>
    <row r="94" spans="1:21">
      <c r="A94" s="183" t="str">
        <f t="shared" si="7"/>
        <v>225</v>
      </c>
      <c r="B94" s="183" t="str">
        <f t="shared" si="8"/>
        <v>225.0</v>
      </c>
      <c r="C94" t="s">
        <v>1849</v>
      </c>
      <c r="D94" t="s">
        <v>1064</v>
      </c>
      <c r="G94">
        <v>0</v>
      </c>
      <c r="H94">
        <v>0</v>
      </c>
      <c r="I94">
        <v>0</v>
      </c>
      <c r="J94">
        <v>0</v>
      </c>
      <c r="K94">
        <v>0</v>
      </c>
      <c r="L94">
        <v>0</v>
      </c>
      <c r="M94">
        <v>0</v>
      </c>
      <c r="N94">
        <v>0</v>
      </c>
      <c r="O94">
        <v>0</v>
      </c>
      <c r="P94">
        <v>0</v>
      </c>
      <c r="Q94">
        <v>0</v>
      </c>
      <c r="R94">
        <v>0</v>
      </c>
      <c r="S94">
        <v>0</v>
      </c>
      <c r="U94" s="175">
        <f t="shared" si="9"/>
        <v>0</v>
      </c>
    </row>
    <row r="95" spans="1:21">
      <c r="A95" s="183" t="str">
        <f t="shared" si="7"/>
        <v>226</v>
      </c>
      <c r="B95" s="183" t="str">
        <f t="shared" si="8"/>
        <v>226.0</v>
      </c>
      <c r="C95" t="s">
        <v>1850</v>
      </c>
      <c r="D95" t="s">
        <v>1066</v>
      </c>
      <c r="G95">
        <v>-9744228.5600000005</v>
      </c>
      <c r="H95">
        <v>-9703412.2599999998</v>
      </c>
      <c r="I95">
        <v>-9662595.9600000009</v>
      </c>
      <c r="J95">
        <v>-9621779.6600000001</v>
      </c>
      <c r="K95">
        <v>-9580963.3599999994</v>
      </c>
      <c r="L95">
        <v>-9540147.0600000005</v>
      </c>
      <c r="M95">
        <v>-9499330.7599999998</v>
      </c>
      <c r="N95">
        <v>-9879140.6500000004</v>
      </c>
      <c r="O95">
        <v>-9833249.8200000003</v>
      </c>
      <c r="P95">
        <v>-9787358.9900000002</v>
      </c>
      <c r="Q95">
        <v>-9743755.6600000001</v>
      </c>
      <c r="R95">
        <v>-9700152.3300000001</v>
      </c>
      <c r="S95">
        <v>-9656549</v>
      </c>
      <c r="U95" s="175">
        <f t="shared" si="9"/>
        <v>-9688666.4669230767</v>
      </c>
    </row>
    <row r="96" spans="1:21">
      <c r="A96" s="183" t="str">
        <f t="shared" si="7"/>
        <v>227</v>
      </c>
      <c r="B96" s="183" t="str">
        <f t="shared" si="8"/>
        <v>227.0</v>
      </c>
      <c r="C96" t="s">
        <v>1851</v>
      </c>
      <c r="D96" t="s">
        <v>296</v>
      </c>
      <c r="G96">
        <v>26519710.399999999</v>
      </c>
      <c r="H96">
        <v>26490588.16</v>
      </c>
      <c r="I96">
        <v>26461412.41</v>
      </c>
      <c r="J96">
        <v>25999755.27</v>
      </c>
      <c r="K96">
        <v>25970472.129999999</v>
      </c>
      <c r="L96">
        <v>25940654.640000001</v>
      </c>
      <c r="M96">
        <v>25474189.289999999</v>
      </c>
      <c r="N96">
        <v>25443401.73</v>
      </c>
      <c r="O96">
        <v>25412556.120000001</v>
      </c>
      <c r="P96">
        <v>24940929.609999999</v>
      </c>
      <c r="Q96">
        <v>24909967.460000001</v>
      </c>
      <c r="R96">
        <v>24878946.850000001</v>
      </c>
      <c r="S96">
        <v>24402978.280000001</v>
      </c>
      <c r="U96" s="175">
        <f t="shared" si="9"/>
        <v>25603504.796153847</v>
      </c>
    </row>
    <row r="97" spans="1:21">
      <c r="A97" s="183" t="str">
        <f t="shared" si="7"/>
        <v>228</v>
      </c>
      <c r="B97" s="183" t="str">
        <f t="shared" si="8"/>
        <v>228.1</v>
      </c>
      <c r="C97" t="s">
        <v>1852</v>
      </c>
      <c r="D97" t="s">
        <v>1069</v>
      </c>
      <c r="G97">
        <v>45575529.399999999</v>
      </c>
      <c r="H97">
        <v>45575529.399999999</v>
      </c>
      <c r="I97">
        <v>45575529.399999999</v>
      </c>
      <c r="J97">
        <v>45575529.399999999</v>
      </c>
      <c r="K97">
        <v>45575529.399999999</v>
      </c>
      <c r="L97">
        <v>45575529.399999999</v>
      </c>
      <c r="M97">
        <v>45575529.399999999</v>
      </c>
      <c r="N97">
        <v>45575529.399999999</v>
      </c>
      <c r="O97">
        <v>45504829.399999999</v>
      </c>
      <c r="P97">
        <v>-21305170.600000001</v>
      </c>
      <c r="Q97">
        <v>-82895170.599999994</v>
      </c>
      <c r="R97">
        <v>-82426194.280000001</v>
      </c>
      <c r="S97">
        <v>0</v>
      </c>
      <c r="U97" s="175">
        <f t="shared" si="9"/>
        <v>17190963.778461527</v>
      </c>
    </row>
    <row r="98" spans="1:21">
      <c r="A98" s="183" t="str">
        <f t="shared" si="7"/>
        <v>228</v>
      </c>
      <c r="B98" s="183" t="str">
        <f t="shared" si="8"/>
        <v>228.2</v>
      </c>
      <c r="C98" t="s">
        <v>1853</v>
      </c>
      <c r="D98" t="s">
        <v>1071</v>
      </c>
      <c r="G98">
        <v>8860838</v>
      </c>
      <c r="H98">
        <v>8901125.4100000001</v>
      </c>
      <c r="I98">
        <v>8663401.4900000002</v>
      </c>
      <c r="J98">
        <v>9256428</v>
      </c>
      <c r="K98">
        <v>9318610.3300000001</v>
      </c>
      <c r="L98">
        <v>9428479.5399999991</v>
      </c>
      <c r="M98">
        <v>9102266</v>
      </c>
      <c r="N98">
        <v>8972552.8800000008</v>
      </c>
      <c r="O98">
        <v>8672877.4000000004</v>
      </c>
      <c r="P98">
        <v>9112486</v>
      </c>
      <c r="Q98">
        <v>9127980.4700000007</v>
      </c>
      <c r="R98">
        <v>9079806.0999999996</v>
      </c>
      <c r="S98">
        <v>8188946</v>
      </c>
      <c r="U98" s="175">
        <f t="shared" si="9"/>
        <v>8975830.5861538462</v>
      </c>
    </row>
    <row r="99" spans="1:21">
      <c r="A99" s="183" t="str">
        <f t="shared" si="7"/>
        <v>228</v>
      </c>
      <c r="B99" s="183" t="str">
        <f t="shared" si="8"/>
        <v>228.3</v>
      </c>
      <c r="C99" t="s">
        <v>1854</v>
      </c>
      <c r="D99" t="s">
        <v>1073</v>
      </c>
      <c r="G99">
        <v>108940559.73999999</v>
      </c>
      <c r="H99">
        <v>106227869.61</v>
      </c>
      <c r="I99">
        <v>106172970.34999999</v>
      </c>
      <c r="J99">
        <v>102083098.39</v>
      </c>
      <c r="K99">
        <v>99218784.760000005</v>
      </c>
      <c r="L99">
        <v>99031853.629999995</v>
      </c>
      <c r="M99">
        <v>93008085.140000001</v>
      </c>
      <c r="N99">
        <v>88805256.390000001</v>
      </c>
      <c r="O99">
        <v>88430998.030000001</v>
      </c>
      <c r="P99">
        <v>78602932.469999999</v>
      </c>
      <c r="Q99">
        <v>78157158.400000006</v>
      </c>
      <c r="R99">
        <v>77365223.769999996</v>
      </c>
      <c r="S99">
        <v>123309018.3</v>
      </c>
      <c r="U99" s="175">
        <f t="shared" si="9"/>
        <v>96104139.152307689</v>
      </c>
    </row>
    <row r="100" spans="1:21">
      <c r="A100" s="183" t="str">
        <f t="shared" si="7"/>
        <v>228</v>
      </c>
      <c r="B100" s="183" t="str">
        <f t="shared" si="8"/>
        <v>228.4</v>
      </c>
      <c r="C100" t="s">
        <v>1855</v>
      </c>
      <c r="D100" t="s">
        <v>460</v>
      </c>
      <c r="G100">
        <v>979974.25</v>
      </c>
      <c r="H100">
        <v>979974.25</v>
      </c>
      <c r="I100">
        <v>979974.25</v>
      </c>
      <c r="J100">
        <v>970127.52</v>
      </c>
      <c r="K100">
        <v>970127.52</v>
      </c>
      <c r="L100">
        <v>970127.52</v>
      </c>
      <c r="M100">
        <v>1056113.52</v>
      </c>
      <c r="N100">
        <v>1056113.52</v>
      </c>
      <c r="O100">
        <v>556113.52</v>
      </c>
      <c r="P100">
        <v>40602.720000000001</v>
      </c>
      <c r="Q100">
        <v>40602.720000000001</v>
      </c>
      <c r="R100">
        <v>40602.720000000001</v>
      </c>
      <c r="S100">
        <v>33653.22</v>
      </c>
      <c r="U100" s="175">
        <f t="shared" si="9"/>
        <v>667239.01923076937</v>
      </c>
    </row>
    <row r="101" spans="1:21">
      <c r="A101" s="183" t="str">
        <f t="shared" si="7"/>
        <v>229</v>
      </c>
      <c r="B101" s="183" t="str">
        <f t="shared" si="8"/>
        <v>229.0</v>
      </c>
      <c r="C101" t="s">
        <v>1856</v>
      </c>
      <c r="D101" t="s">
        <v>462</v>
      </c>
      <c r="G101">
        <v>0</v>
      </c>
      <c r="H101">
        <v>0</v>
      </c>
      <c r="I101">
        <v>0</v>
      </c>
      <c r="J101">
        <v>0</v>
      </c>
      <c r="K101">
        <v>0</v>
      </c>
      <c r="L101">
        <v>0</v>
      </c>
      <c r="M101">
        <v>0</v>
      </c>
      <c r="N101">
        <v>0</v>
      </c>
      <c r="O101">
        <v>0</v>
      </c>
      <c r="P101">
        <v>0</v>
      </c>
      <c r="Q101">
        <v>0</v>
      </c>
      <c r="R101">
        <v>0</v>
      </c>
      <c r="S101">
        <v>0</v>
      </c>
      <c r="U101" s="175">
        <f t="shared" si="9"/>
        <v>0</v>
      </c>
    </row>
    <row r="102" spans="1:21">
      <c r="A102" s="183" t="str">
        <f t="shared" si="7"/>
        <v>230</v>
      </c>
      <c r="B102" s="183" t="str">
        <f t="shared" si="8"/>
        <v>230.0</v>
      </c>
      <c r="C102" t="s">
        <v>1857</v>
      </c>
      <c r="D102" t="s">
        <v>1077</v>
      </c>
      <c r="G102">
        <v>31342394.300000001</v>
      </c>
      <c r="H102">
        <v>31434797.399999999</v>
      </c>
      <c r="I102">
        <v>31527498.949999999</v>
      </c>
      <c r="J102">
        <v>31420500.030000001</v>
      </c>
      <c r="K102">
        <v>31513068.390000001</v>
      </c>
      <c r="L102">
        <v>31605935.670000002</v>
      </c>
      <c r="M102">
        <v>34671152.350000001</v>
      </c>
      <c r="N102">
        <v>34776508.920000002</v>
      </c>
      <c r="O102">
        <v>34882215.170000002</v>
      </c>
      <c r="P102">
        <v>34988272.399999999</v>
      </c>
      <c r="Q102">
        <v>35094681.770000003</v>
      </c>
      <c r="R102">
        <v>35201444.579999998</v>
      </c>
      <c r="S102">
        <v>35307076.869999997</v>
      </c>
      <c r="U102" s="175">
        <f t="shared" si="9"/>
        <v>33366580.523076918</v>
      </c>
    </row>
    <row r="103" spans="1:21">
      <c r="A103" s="183" t="str">
        <f t="shared" si="7"/>
        <v>231</v>
      </c>
      <c r="B103" s="183" t="str">
        <f t="shared" si="8"/>
        <v>231.0</v>
      </c>
      <c r="C103" t="s">
        <v>1858</v>
      </c>
      <c r="D103" t="s">
        <v>1079</v>
      </c>
      <c r="G103">
        <v>555477916</v>
      </c>
      <c r="H103">
        <v>524601200</v>
      </c>
      <c r="I103">
        <v>611799897.51999998</v>
      </c>
      <c r="J103">
        <v>646670507.91999996</v>
      </c>
      <c r="K103">
        <v>668516022.22000003</v>
      </c>
      <c r="L103">
        <v>712282155.91999996</v>
      </c>
      <c r="M103">
        <v>771655096.82000005</v>
      </c>
      <c r="N103">
        <v>400000000</v>
      </c>
      <c r="O103">
        <v>400000000</v>
      </c>
      <c r="P103">
        <v>693616319.51999998</v>
      </c>
      <c r="Q103">
        <v>665887125.01999998</v>
      </c>
      <c r="R103">
        <v>948162642.91999996</v>
      </c>
      <c r="S103">
        <v>853002849.89999998</v>
      </c>
      <c r="U103" s="175">
        <f t="shared" si="9"/>
        <v>650128594.9046154</v>
      </c>
    </row>
    <row r="104" spans="1:21">
      <c r="A104" s="183" t="str">
        <f t="shared" si="7"/>
        <v>232</v>
      </c>
      <c r="B104" s="183" t="str">
        <f t="shared" si="8"/>
        <v>232.0</v>
      </c>
      <c r="C104" t="s">
        <v>1859</v>
      </c>
      <c r="D104" t="s">
        <v>301</v>
      </c>
      <c r="G104">
        <v>283787537.26999998</v>
      </c>
      <c r="H104">
        <v>223219590.30000001</v>
      </c>
      <c r="I104">
        <v>212268737.22999999</v>
      </c>
      <c r="J104">
        <v>197741751.99000001</v>
      </c>
      <c r="K104">
        <v>205177775.25</v>
      </c>
      <c r="L104">
        <v>247536932.84999999</v>
      </c>
      <c r="M104">
        <v>258004694.93000001</v>
      </c>
      <c r="N104">
        <v>267495462.28999999</v>
      </c>
      <c r="O104">
        <v>323704494.94999999</v>
      </c>
      <c r="P104">
        <v>349894534.94999999</v>
      </c>
      <c r="Q104">
        <v>377238699.27999997</v>
      </c>
      <c r="R104">
        <v>376623149.82999998</v>
      </c>
      <c r="S104">
        <v>364873681.25999999</v>
      </c>
      <c r="U104" s="175">
        <f t="shared" si="9"/>
        <v>283659003.25999999</v>
      </c>
    </row>
    <row r="105" spans="1:21">
      <c r="A105" s="183" t="str">
        <f t="shared" si="7"/>
        <v>233</v>
      </c>
      <c r="B105" s="183" t="str">
        <f t="shared" si="8"/>
        <v>233.0</v>
      </c>
      <c r="C105" t="s">
        <v>1860</v>
      </c>
      <c r="D105" t="s">
        <v>1082</v>
      </c>
      <c r="G105">
        <v>0</v>
      </c>
      <c r="H105">
        <v>0</v>
      </c>
      <c r="I105">
        <v>0</v>
      </c>
      <c r="J105">
        <v>0</v>
      </c>
      <c r="K105">
        <v>0</v>
      </c>
      <c r="L105">
        <v>0</v>
      </c>
      <c r="M105">
        <v>0</v>
      </c>
      <c r="N105">
        <v>0</v>
      </c>
      <c r="O105">
        <v>0</v>
      </c>
      <c r="P105">
        <v>0</v>
      </c>
      <c r="Q105">
        <v>0</v>
      </c>
      <c r="R105">
        <v>0</v>
      </c>
      <c r="S105">
        <v>195000000</v>
      </c>
      <c r="U105" s="175">
        <f t="shared" si="9"/>
        <v>15000000</v>
      </c>
    </row>
    <row r="106" spans="1:21">
      <c r="A106" s="183" t="str">
        <f t="shared" si="7"/>
        <v>234</v>
      </c>
      <c r="B106" s="183" t="str">
        <f t="shared" si="8"/>
        <v>234.0</v>
      </c>
      <c r="C106" t="s">
        <v>1861</v>
      </c>
      <c r="D106" t="s">
        <v>1084</v>
      </c>
      <c r="G106">
        <v>31393286.199999999</v>
      </c>
      <c r="H106">
        <v>24327553.280000001</v>
      </c>
      <c r="I106">
        <v>25016257.18</v>
      </c>
      <c r="J106">
        <v>27409103.239999998</v>
      </c>
      <c r="K106">
        <v>19058245.02</v>
      </c>
      <c r="L106">
        <v>25005604.940000001</v>
      </c>
      <c r="M106">
        <v>32188038.16</v>
      </c>
      <c r="N106">
        <v>25929308.890000001</v>
      </c>
      <c r="O106">
        <v>41988205.140000001</v>
      </c>
      <c r="P106">
        <v>31153804.489999998</v>
      </c>
      <c r="Q106">
        <v>19785138.600000001</v>
      </c>
      <c r="R106">
        <v>18840362.390000001</v>
      </c>
      <c r="S106">
        <v>20807524.899999999</v>
      </c>
      <c r="U106" s="175">
        <f t="shared" si="9"/>
        <v>26377110.186923072</v>
      </c>
    </row>
    <row r="107" spans="1:21">
      <c r="A107" s="183" t="str">
        <f t="shared" si="7"/>
        <v>235</v>
      </c>
      <c r="B107" s="183" t="str">
        <f t="shared" si="8"/>
        <v>235.0</v>
      </c>
      <c r="C107" t="s">
        <v>1862</v>
      </c>
      <c r="D107" t="s">
        <v>471</v>
      </c>
      <c r="G107">
        <v>105221421.5</v>
      </c>
      <c r="H107">
        <v>105734623.2</v>
      </c>
      <c r="I107">
        <v>105941786.79000001</v>
      </c>
      <c r="J107">
        <v>106232469.54000001</v>
      </c>
      <c r="K107">
        <v>106826420.19</v>
      </c>
      <c r="L107">
        <v>107174672.17</v>
      </c>
      <c r="M107">
        <v>108080820.8</v>
      </c>
      <c r="N107">
        <v>108757151.77</v>
      </c>
      <c r="O107">
        <v>109767125.94</v>
      </c>
      <c r="P107">
        <v>111332965.06</v>
      </c>
      <c r="Q107">
        <v>112556508.88</v>
      </c>
      <c r="R107">
        <v>113583814.31999999</v>
      </c>
      <c r="S107">
        <v>114803917.33</v>
      </c>
      <c r="U107" s="175">
        <f t="shared" si="9"/>
        <v>108924130.57615381</v>
      </c>
    </row>
    <row r="108" spans="1:21" s="187" customFormat="1">
      <c r="A108" s="185" t="str">
        <f t="shared" si="7"/>
        <v>236</v>
      </c>
      <c r="B108" s="185" t="str">
        <f t="shared" si="8"/>
        <v>236.0</v>
      </c>
      <c r="C108" s="187" t="s">
        <v>1863</v>
      </c>
      <c r="D108" s="187" t="s">
        <v>592</v>
      </c>
      <c r="E108" s="462"/>
      <c r="F108" s="462"/>
      <c r="G108" s="187">
        <v>26200867.420000002</v>
      </c>
      <c r="H108" s="187">
        <v>30792856.550000001</v>
      </c>
      <c r="I108" s="187">
        <v>33449609.559999999</v>
      </c>
      <c r="J108" s="187">
        <v>26753833.800000001</v>
      </c>
      <c r="K108" s="187">
        <v>10696421.32</v>
      </c>
      <c r="L108" s="187">
        <v>14625247.689999999</v>
      </c>
      <c r="M108" s="187">
        <v>27185425.309999999</v>
      </c>
      <c r="N108" s="187">
        <v>31952198.539999999</v>
      </c>
      <c r="O108" s="187">
        <v>40151608.450000003</v>
      </c>
      <c r="P108" s="187">
        <v>73185822.390000001</v>
      </c>
      <c r="Q108" s="187">
        <v>75463571.640000001</v>
      </c>
      <c r="R108" s="187">
        <v>8408577.1300000008</v>
      </c>
      <c r="S108" s="187">
        <v>9718285.8000000007</v>
      </c>
      <c r="U108" s="188">
        <f t="shared" si="9"/>
        <v>31429563.507692304</v>
      </c>
    </row>
    <row r="109" spans="1:21">
      <c r="A109" s="183" t="str">
        <f t="shared" si="7"/>
        <v>237</v>
      </c>
      <c r="B109" s="183" t="str">
        <f t="shared" si="8"/>
        <v>237.0</v>
      </c>
      <c r="C109" t="s">
        <v>1864</v>
      </c>
      <c r="D109" t="s">
        <v>306</v>
      </c>
      <c r="G109">
        <v>15058130.42</v>
      </c>
      <c r="H109">
        <v>25296397.379999999</v>
      </c>
      <c r="I109">
        <v>35526539.030000001</v>
      </c>
      <c r="J109">
        <v>34601334.619999997</v>
      </c>
      <c r="K109">
        <v>44826187.890000001</v>
      </c>
      <c r="L109">
        <v>29978750.920000002</v>
      </c>
      <c r="M109">
        <v>16439967.970000001</v>
      </c>
      <c r="N109">
        <v>27952559.140000001</v>
      </c>
      <c r="O109">
        <v>40111647.899999999</v>
      </c>
      <c r="P109">
        <v>40830747.659999996</v>
      </c>
      <c r="Q109">
        <v>52529202.509999998</v>
      </c>
      <c r="R109">
        <v>38975011.369999997</v>
      </c>
      <c r="S109">
        <v>25147687</v>
      </c>
      <c r="U109" s="175">
        <f t="shared" si="9"/>
        <v>32867243.369999997</v>
      </c>
    </row>
    <row r="110" spans="1:21">
      <c r="A110" s="183" t="str">
        <f t="shared" si="7"/>
        <v>238</v>
      </c>
      <c r="B110" s="183" t="str">
        <f t="shared" si="8"/>
        <v>238.0</v>
      </c>
      <c r="C110" t="s">
        <v>1865</v>
      </c>
      <c r="D110" t="s">
        <v>139</v>
      </c>
      <c r="G110">
        <v>0</v>
      </c>
      <c r="H110">
        <v>0</v>
      </c>
      <c r="I110">
        <v>0</v>
      </c>
      <c r="J110">
        <v>0</v>
      </c>
      <c r="K110">
        <v>88264348</v>
      </c>
      <c r="L110">
        <v>0</v>
      </c>
      <c r="M110">
        <v>0</v>
      </c>
      <c r="N110">
        <v>0</v>
      </c>
      <c r="O110">
        <v>0</v>
      </c>
      <c r="P110">
        <v>0</v>
      </c>
      <c r="Q110">
        <v>152433969</v>
      </c>
      <c r="R110">
        <v>0</v>
      </c>
      <c r="S110">
        <v>0</v>
      </c>
      <c r="U110" s="175">
        <f t="shared" si="9"/>
        <v>18515255.153846152</v>
      </c>
    </row>
    <row r="111" spans="1:21">
      <c r="A111" s="183" t="str">
        <f t="shared" si="7"/>
        <v>241</v>
      </c>
      <c r="B111" s="183" t="str">
        <f t="shared" si="8"/>
        <v>241.0</v>
      </c>
      <c r="C111" t="s">
        <v>1866</v>
      </c>
      <c r="D111" t="s">
        <v>308</v>
      </c>
      <c r="G111">
        <v>7757673.1900000004</v>
      </c>
      <c r="H111">
        <v>6948808.9000000004</v>
      </c>
      <c r="I111">
        <v>6578506.3799999999</v>
      </c>
      <c r="J111">
        <v>6802467.79</v>
      </c>
      <c r="K111">
        <v>7451299.9500000002</v>
      </c>
      <c r="L111">
        <v>8337326.7400000002</v>
      </c>
      <c r="M111">
        <v>11368082.59</v>
      </c>
      <c r="N111">
        <v>9961627.9499999993</v>
      </c>
      <c r="O111">
        <v>10279348.189999999</v>
      </c>
      <c r="P111">
        <v>10037076.82</v>
      </c>
      <c r="Q111">
        <v>8652769.3900000006</v>
      </c>
      <c r="R111">
        <v>6673600.9699999997</v>
      </c>
      <c r="S111">
        <v>8273463.1600000001</v>
      </c>
      <c r="U111" s="175">
        <f t="shared" si="9"/>
        <v>8394004.0015384611</v>
      </c>
    </row>
    <row r="112" spans="1:21">
      <c r="A112" s="183" t="str">
        <f t="shared" si="7"/>
        <v>242</v>
      </c>
      <c r="B112" s="183" t="str">
        <f t="shared" si="8"/>
        <v>242.0</v>
      </c>
      <c r="C112" t="s">
        <v>1867</v>
      </c>
      <c r="D112" t="s">
        <v>1091</v>
      </c>
      <c r="G112">
        <v>41638544.25</v>
      </c>
      <c r="H112">
        <v>41563181.140000001</v>
      </c>
      <c r="I112">
        <v>41649761.950000003</v>
      </c>
      <c r="J112">
        <v>40268393.670000002</v>
      </c>
      <c r="K112">
        <v>40307293.43</v>
      </c>
      <c r="L112">
        <v>40362295.880000003</v>
      </c>
      <c r="M112">
        <v>43460006.340000004</v>
      </c>
      <c r="N112">
        <v>43504330.509999998</v>
      </c>
      <c r="O112">
        <v>43572328.390000001</v>
      </c>
      <c r="P112">
        <v>43969695.409999996</v>
      </c>
      <c r="Q112">
        <v>42215103.439999998</v>
      </c>
      <c r="R112">
        <v>42284465.590000004</v>
      </c>
      <c r="S112">
        <v>46244545.740000002</v>
      </c>
      <c r="U112" s="175">
        <f t="shared" si="9"/>
        <v>42387688.133846149</v>
      </c>
    </row>
    <row r="113" spans="1:21">
      <c r="A113" s="183" t="str">
        <f t="shared" si="7"/>
        <v>243</v>
      </c>
      <c r="B113" s="183" t="str">
        <f t="shared" si="8"/>
        <v>243.0</v>
      </c>
      <c r="C113" t="s">
        <v>1868</v>
      </c>
      <c r="D113" t="s">
        <v>310</v>
      </c>
      <c r="G113">
        <v>2020641.45</v>
      </c>
      <c r="H113">
        <v>2020641.45</v>
      </c>
      <c r="I113">
        <v>2020641.45</v>
      </c>
      <c r="J113">
        <v>2048724.47</v>
      </c>
      <c r="K113">
        <v>2048724.47</v>
      </c>
      <c r="L113">
        <v>2048724.47</v>
      </c>
      <c r="M113">
        <v>2071151.31</v>
      </c>
      <c r="N113">
        <v>2071151.31</v>
      </c>
      <c r="O113">
        <v>2071151.31</v>
      </c>
      <c r="P113">
        <v>2093838.59</v>
      </c>
      <c r="Q113">
        <v>2093838.59</v>
      </c>
      <c r="R113">
        <v>2093838.59</v>
      </c>
      <c r="S113">
        <v>2116732.13</v>
      </c>
      <c r="U113" s="175">
        <f t="shared" si="9"/>
        <v>2063061.5069230769</v>
      </c>
    </row>
    <row r="114" spans="1:21">
      <c r="A114" s="183" t="str">
        <f t="shared" si="7"/>
        <v>245</v>
      </c>
      <c r="B114" s="183" t="str">
        <f t="shared" si="8"/>
        <v>245.0</v>
      </c>
      <c r="C114" t="s">
        <v>1869</v>
      </c>
      <c r="D114" t="s">
        <v>1094</v>
      </c>
      <c r="G114">
        <v>0</v>
      </c>
      <c r="H114">
        <v>0</v>
      </c>
      <c r="I114">
        <v>0</v>
      </c>
      <c r="J114">
        <v>0</v>
      </c>
      <c r="K114">
        <v>0</v>
      </c>
      <c r="L114">
        <v>0</v>
      </c>
      <c r="M114">
        <v>0</v>
      </c>
      <c r="N114">
        <v>0</v>
      </c>
      <c r="O114">
        <v>0</v>
      </c>
      <c r="P114">
        <v>0</v>
      </c>
      <c r="Q114">
        <v>0</v>
      </c>
      <c r="R114">
        <v>0</v>
      </c>
      <c r="S114">
        <v>1490119.05</v>
      </c>
      <c r="U114" s="175">
        <f t="shared" si="9"/>
        <v>114624.54230769232</v>
      </c>
    </row>
    <row r="115" spans="1:21">
      <c r="A115" s="183" t="str">
        <f t="shared" si="7"/>
        <v>252</v>
      </c>
      <c r="B115" s="183" t="str">
        <f t="shared" si="8"/>
        <v>252.0</v>
      </c>
      <c r="C115" t="s">
        <v>1870</v>
      </c>
      <c r="D115" t="s">
        <v>1096</v>
      </c>
      <c r="G115">
        <v>0</v>
      </c>
      <c r="H115">
        <v>0</v>
      </c>
      <c r="I115">
        <v>0</v>
      </c>
      <c r="J115">
        <v>0</v>
      </c>
      <c r="K115">
        <v>0</v>
      </c>
      <c r="L115">
        <v>0</v>
      </c>
      <c r="M115">
        <v>0</v>
      </c>
      <c r="N115">
        <v>0</v>
      </c>
      <c r="O115">
        <v>0</v>
      </c>
      <c r="P115">
        <v>0</v>
      </c>
      <c r="Q115">
        <v>0</v>
      </c>
      <c r="R115">
        <v>0</v>
      </c>
      <c r="S115">
        <v>0</v>
      </c>
      <c r="U115" s="175">
        <f t="shared" si="9"/>
        <v>0</v>
      </c>
    </row>
    <row r="116" spans="1:21">
      <c r="A116" s="183" t="str">
        <f t="shared" si="7"/>
        <v>253</v>
      </c>
      <c r="B116" s="183" t="str">
        <f t="shared" si="8"/>
        <v>253.0</v>
      </c>
      <c r="C116" t="s">
        <v>1871</v>
      </c>
      <c r="D116" t="s">
        <v>313</v>
      </c>
      <c r="G116">
        <v>26090597.149999999</v>
      </c>
      <c r="H116">
        <v>31056918.5</v>
      </c>
      <c r="I116">
        <v>32850487.699999999</v>
      </c>
      <c r="J116">
        <v>30517737.75</v>
      </c>
      <c r="K116">
        <v>31875635.289999999</v>
      </c>
      <c r="L116">
        <v>32463224.059999999</v>
      </c>
      <c r="M116">
        <v>29753827</v>
      </c>
      <c r="N116">
        <v>27718333.530000001</v>
      </c>
      <c r="O116">
        <v>28140756.079999998</v>
      </c>
      <c r="P116">
        <v>27331333.850000001</v>
      </c>
      <c r="Q116">
        <v>28011444.370000001</v>
      </c>
      <c r="R116">
        <v>27403977.940000001</v>
      </c>
      <c r="S116">
        <v>14644478.880000001</v>
      </c>
      <c r="U116" s="175">
        <f t="shared" si="9"/>
        <v>28296827.084615387</v>
      </c>
    </row>
    <row r="117" spans="1:21">
      <c r="A117" s="183" t="str">
        <f t="shared" si="7"/>
        <v>254</v>
      </c>
      <c r="B117" s="183" t="str">
        <f t="shared" si="8"/>
        <v>254.0</v>
      </c>
      <c r="C117" t="s">
        <v>1872</v>
      </c>
      <c r="D117" t="s">
        <v>1099</v>
      </c>
      <c r="G117">
        <v>566503764.88999999</v>
      </c>
      <c r="H117">
        <v>564937803.75999999</v>
      </c>
      <c r="I117">
        <v>564620051.41999996</v>
      </c>
      <c r="J117">
        <v>573834157.53999996</v>
      </c>
      <c r="K117">
        <v>577109688.47000003</v>
      </c>
      <c r="L117">
        <v>576722953.30999994</v>
      </c>
      <c r="M117">
        <v>572310538.24000001</v>
      </c>
      <c r="N117">
        <v>571895724.82000005</v>
      </c>
      <c r="O117">
        <v>572742083.55999994</v>
      </c>
      <c r="P117">
        <v>569945964.83000004</v>
      </c>
      <c r="Q117">
        <v>568978460.61000001</v>
      </c>
      <c r="R117">
        <v>564391899.09000003</v>
      </c>
      <c r="S117">
        <v>549808332.34000003</v>
      </c>
      <c r="U117" s="175">
        <f t="shared" si="9"/>
        <v>568753955.60615385</v>
      </c>
    </row>
    <row r="118" spans="1:21">
      <c r="A118" s="183" t="str">
        <f t="shared" si="7"/>
        <v>255</v>
      </c>
      <c r="B118" s="183" t="str">
        <f t="shared" si="8"/>
        <v>255.0</v>
      </c>
      <c r="C118" t="s">
        <v>1873</v>
      </c>
      <c r="D118" t="s">
        <v>1101</v>
      </c>
      <c r="G118">
        <v>248706738.50999999</v>
      </c>
      <c r="H118">
        <v>247927771.03999999</v>
      </c>
      <c r="I118">
        <v>257547668.90000001</v>
      </c>
      <c r="J118">
        <v>279511997.77999997</v>
      </c>
      <c r="K118">
        <v>296112792.33999997</v>
      </c>
      <c r="L118">
        <v>295360185.23000002</v>
      </c>
      <c r="M118">
        <v>297913392.74000001</v>
      </c>
      <c r="N118">
        <v>297267004.92000002</v>
      </c>
      <c r="O118">
        <v>296448541.69999999</v>
      </c>
      <c r="P118">
        <v>304235158.07999998</v>
      </c>
      <c r="Q118">
        <v>303588770.27999997</v>
      </c>
      <c r="R118">
        <v>302942382.35000002</v>
      </c>
      <c r="S118">
        <v>243216489.00999999</v>
      </c>
      <c r="U118" s="175">
        <f t="shared" si="9"/>
        <v>282367607.14461529</v>
      </c>
    </row>
    <row r="119" spans="1:21">
      <c r="A119" s="183" t="str">
        <f t="shared" si="7"/>
        <v>256</v>
      </c>
      <c r="B119" s="183" t="str">
        <f t="shared" si="8"/>
        <v>256.0</v>
      </c>
      <c r="C119" t="s">
        <v>1874</v>
      </c>
      <c r="D119" t="s">
        <v>1103</v>
      </c>
      <c r="G119">
        <v>-7876.12</v>
      </c>
      <c r="H119">
        <v>-7876.12</v>
      </c>
      <c r="I119">
        <v>-7876.12</v>
      </c>
      <c r="J119">
        <v>-7876.12</v>
      </c>
      <c r="K119">
        <v>-7876.12</v>
      </c>
      <c r="L119">
        <v>-7876.12</v>
      </c>
      <c r="M119">
        <v>-7876.12</v>
      </c>
      <c r="N119">
        <v>-7876.12</v>
      </c>
      <c r="O119">
        <v>-7876.12</v>
      </c>
      <c r="P119">
        <v>-7876.12</v>
      </c>
      <c r="Q119">
        <v>-7876.12</v>
      </c>
      <c r="R119">
        <v>-7876.12</v>
      </c>
      <c r="S119">
        <v>-7876.12</v>
      </c>
      <c r="U119" s="175">
        <f t="shared" si="9"/>
        <v>-7876.119999999999</v>
      </c>
    </row>
    <row r="120" spans="1:21">
      <c r="A120" s="183" t="str">
        <f t="shared" si="7"/>
        <v>257</v>
      </c>
      <c r="B120" s="183" t="str">
        <f t="shared" si="8"/>
        <v>257.0</v>
      </c>
      <c r="C120" t="s">
        <v>1875</v>
      </c>
      <c r="D120" t="s">
        <v>1105</v>
      </c>
      <c r="G120">
        <v>0</v>
      </c>
      <c r="H120">
        <v>0</v>
      </c>
      <c r="I120">
        <v>0</v>
      </c>
      <c r="J120">
        <v>0</v>
      </c>
      <c r="K120">
        <v>0</v>
      </c>
      <c r="L120">
        <v>0</v>
      </c>
      <c r="M120">
        <v>0</v>
      </c>
      <c r="N120">
        <v>0</v>
      </c>
      <c r="O120">
        <v>0</v>
      </c>
      <c r="P120">
        <v>0</v>
      </c>
      <c r="Q120">
        <v>0</v>
      </c>
      <c r="R120">
        <v>0</v>
      </c>
      <c r="S120">
        <v>0</v>
      </c>
      <c r="U120" s="175">
        <f t="shared" si="9"/>
        <v>0</v>
      </c>
    </row>
    <row r="121" spans="1:21">
      <c r="A121" s="183" t="str">
        <f t="shared" si="7"/>
        <v>281</v>
      </c>
      <c r="B121" s="183" t="str">
        <f t="shared" si="8"/>
        <v>281.0</v>
      </c>
      <c r="C121" t="s">
        <v>1876</v>
      </c>
      <c r="D121" t="s">
        <v>1107</v>
      </c>
      <c r="G121">
        <v>43604756.149999999</v>
      </c>
      <c r="H121">
        <v>43574834.950000003</v>
      </c>
      <c r="I121">
        <v>43358476.68</v>
      </c>
      <c r="J121">
        <v>43235690.689999998</v>
      </c>
      <c r="K121">
        <v>43112668.869999997</v>
      </c>
      <c r="L121">
        <v>42989647.039999999</v>
      </c>
      <c r="M121">
        <v>42874805.899999999</v>
      </c>
      <c r="N121">
        <v>42753147.530000001</v>
      </c>
      <c r="O121">
        <v>42633555.310000002</v>
      </c>
      <c r="P121">
        <v>42512351.219999999</v>
      </c>
      <c r="Q121">
        <v>42390972.920000002</v>
      </c>
      <c r="R121">
        <v>42269594.609999999</v>
      </c>
      <c r="S121">
        <v>52270668.340000004</v>
      </c>
      <c r="U121" s="175">
        <f t="shared" si="9"/>
        <v>43660090.016153842</v>
      </c>
    </row>
    <row r="122" spans="1:21">
      <c r="A122" s="183" t="str">
        <f t="shared" si="7"/>
        <v>282</v>
      </c>
      <c r="B122" s="183" t="str">
        <f t="shared" si="8"/>
        <v>282.0</v>
      </c>
      <c r="C122" t="s">
        <v>1877</v>
      </c>
      <c r="D122" t="s">
        <v>1109</v>
      </c>
      <c r="G122">
        <v>1304486702.1500001</v>
      </c>
      <c r="H122">
        <v>1313128818.3299999</v>
      </c>
      <c r="I122">
        <v>1319134624.8299999</v>
      </c>
      <c r="J122">
        <v>1324651248.8699999</v>
      </c>
      <c r="K122">
        <v>1332226043.53</v>
      </c>
      <c r="L122">
        <v>1340140174.6500001</v>
      </c>
      <c r="M122">
        <v>1352265904.6800001</v>
      </c>
      <c r="N122">
        <v>1363271118.8099999</v>
      </c>
      <c r="O122">
        <v>1364325664.3699999</v>
      </c>
      <c r="P122">
        <v>1375128524.8099999</v>
      </c>
      <c r="Q122">
        <v>1382293638.6300001</v>
      </c>
      <c r="R122">
        <v>1389944479.47</v>
      </c>
      <c r="S122">
        <v>1383921096.21</v>
      </c>
      <c r="U122" s="175">
        <f t="shared" si="9"/>
        <v>1349609079.9492307</v>
      </c>
    </row>
    <row r="123" spans="1:21">
      <c r="A123" s="183" t="str">
        <f t="shared" si="7"/>
        <v>283</v>
      </c>
      <c r="B123" s="183" t="str">
        <f t="shared" si="8"/>
        <v>283.0</v>
      </c>
      <c r="C123" t="s">
        <v>1878</v>
      </c>
      <c r="D123" t="s">
        <v>1111</v>
      </c>
      <c r="G123">
        <v>14533764.68</v>
      </c>
      <c r="H123">
        <v>19159737.739999998</v>
      </c>
      <c r="I123">
        <v>26411628.98</v>
      </c>
      <c r="J123">
        <v>40450681.100000001</v>
      </c>
      <c r="K123">
        <v>43890437.469999999</v>
      </c>
      <c r="L123">
        <v>55733401.509999998</v>
      </c>
      <c r="M123">
        <v>70818037.909999996</v>
      </c>
      <c r="N123">
        <v>82384646.150000006</v>
      </c>
      <c r="O123">
        <v>106063155.01000001</v>
      </c>
      <c r="P123">
        <v>116861828.51000001</v>
      </c>
      <c r="Q123">
        <v>127946131.36</v>
      </c>
      <c r="R123">
        <v>134216747</v>
      </c>
      <c r="S123">
        <v>153945038.71000001</v>
      </c>
      <c r="U123" s="175">
        <f t="shared" si="9"/>
        <v>76339633.548461542</v>
      </c>
    </row>
    <row r="124" spans="1:21">
      <c r="A124" s="183" t="str">
        <f t="shared" si="7"/>
        <v>400</v>
      </c>
      <c r="B124" s="183" t="str">
        <f t="shared" si="8"/>
        <v>400.0</v>
      </c>
      <c r="C124" t="s">
        <v>1879</v>
      </c>
      <c r="D124" t="s">
        <v>1880</v>
      </c>
      <c r="G124" s="187">
        <v>0</v>
      </c>
      <c r="H124">
        <v>0</v>
      </c>
      <c r="I124">
        <v>0</v>
      </c>
      <c r="J124">
        <v>0</v>
      </c>
      <c r="K124">
        <v>0</v>
      </c>
      <c r="L124">
        <v>0</v>
      </c>
      <c r="M124">
        <v>0</v>
      </c>
      <c r="N124">
        <v>0</v>
      </c>
      <c r="O124">
        <v>0</v>
      </c>
      <c r="P124">
        <v>0</v>
      </c>
      <c r="Q124">
        <v>0</v>
      </c>
      <c r="R124">
        <v>0</v>
      </c>
      <c r="S124">
        <v>0</v>
      </c>
      <c r="U124" s="175">
        <f t="shared" si="9"/>
        <v>0</v>
      </c>
    </row>
    <row r="125" spans="1:21">
      <c r="A125" s="183" t="str">
        <f t="shared" si="7"/>
        <v>401</v>
      </c>
      <c r="B125" s="183" t="str">
        <f t="shared" si="8"/>
        <v>401.0</v>
      </c>
      <c r="C125" t="s">
        <v>1881</v>
      </c>
      <c r="D125" t="s">
        <v>1882</v>
      </c>
      <c r="G125">
        <v>0</v>
      </c>
      <c r="H125">
        <v>0</v>
      </c>
      <c r="I125">
        <v>0</v>
      </c>
      <c r="J125">
        <v>0</v>
      </c>
      <c r="K125">
        <v>0</v>
      </c>
      <c r="L125">
        <v>0</v>
      </c>
      <c r="M125">
        <v>0</v>
      </c>
      <c r="N125">
        <v>0</v>
      </c>
      <c r="O125">
        <v>0</v>
      </c>
      <c r="P125">
        <v>0</v>
      </c>
      <c r="Q125">
        <v>0</v>
      </c>
      <c r="R125">
        <v>0</v>
      </c>
      <c r="S125">
        <v>0</v>
      </c>
      <c r="U125" s="175">
        <f t="shared" si="9"/>
        <v>0</v>
      </c>
    </row>
    <row r="126" spans="1:21">
      <c r="A126" s="183" t="str">
        <f t="shared" si="7"/>
        <v>402</v>
      </c>
      <c r="B126" s="183" t="str">
        <f t="shared" si="8"/>
        <v>402.0</v>
      </c>
      <c r="C126" t="s">
        <v>1883</v>
      </c>
      <c r="D126" t="s">
        <v>1884</v>
      </c>
      <c r="G126">
        <v>0</v>
      </c>
      <c r="H126">
        <v>0</v>
      </c>
      <c r="I126">
        <v>0</v>
      </c>
      <c r="J126">
        <v>0</v>
      </c>
      <c r="K126">
        <v>0</v>
      </c>
      <c r="L126">
        <v>0</v>
      </c>
      <c r="M126">
        <v>0</v>
      </c>
      <c r="N126">
        <v>0</v>
      </c>
      <c r="O126">
        <v>0</v>
      </c>
      <c r="P126">
        <v>0</v>
      </c>
      <c r="Q126">
        <v>0</v>
      </c>
      <c r="R126">
        <v>0</v>
      </c>
      <c r="S126">
        <v>0</v>
      </c>
      <c r="U126" s="175">
        <f t="shared" si="9"/>
        <v>0</v>
      </c>
    </row>
    <row r="127" spans="1:21">
      <c r="A127" s="183" t="str">
        <f t="shared" si="7"/>
        <v>403</v>
      </c>
      <c r="B127" s="183" t="str">
        <f t="shared" si="8"/>
        <v>403.0</v>
      </c>
      <c r="C127" t="s">
        <v>1885</v>
      </c>
      <c r="D127" t="s">
        <v>1113</v>
      </c>
      <c r="G127">
        <v>29558577.609999999</v>
      </c>
      <c r="H127">
        <v>29060525.210000001</v>
      </c>
      <c r="I127">
        <v>29501249.449999999</v>
      </c>
      <c r="J127">
        <v>29101458.59</v>
      </c>
      <c r="K127">
        <v>29463206.18</v>
      </c>
      <c r="L127">
        <v>29696227.539999999</v>
      </c>
      <c r="M127">
        <v>29959133.41</v>
      </c>
      <c r="N127">
        <v>30377931.079999998</v>
      </c>
      <c r="O127">
        <v>30374034.829999998</v>
      </c>
      <c r="P127">
        <v>30576698.09</v>
      </c>
      <c r="Q127">
        <v>30016665.640000001</v>
      </c>
      <c r="R127">
        <v>30113200.48</v>
      </c>
      <c r="S127">
        <v>30296392.239999998</v>
      </c>
      <c r="U127" s="175">
        <f t="shared" si="9"/>
        <v>29853484.642307691</v>
      </c>
    </row>
    <row r="128" spans="1:21">
      <c r="A128" s="183" t="str">
        <f t="shared" si="7"/>
        <v>403</v>
      </c>
      <c r="B128" s="183" t="str">
        <f t="shared" si="8"/>
        <v>403.1</v>
      </c>
      <c r="C128" t="s">
        <v>1886</v>
      </c>
      <c r="D128" t="s">
        <v>1115</v>
      </c>
      <c r="G128">
        <v>0</v>
      </c>
      <c r="H128">
        <v>0</v>
      </c>
      <c r="I128">
        <v>0</v>
      </c>
      <c r="J128">
        <v>0</v>
      </c>
      <c r="K128">
        <v>0</v>
      </c>
      <c r="L128">
        <v>0</v>
      </c>
      <c r="M128">
        <v>0</v>
      </c>
      <c r="N128">
        <v>0</v>
      </c>
      <c r="O128">
        <v>0</v>
      </c>
      <c r="P128">
        <v>0</v>
      </c>
      <c r="Q128">
        <v>0</v>
      </c>
      <c r="R128">
        <v>0</v>
      </c>
      <c r="S128">
        <v>0</v>
      </c>
      <c r="U128" s="175">
        <f t="shared" si="9"/>
        <v>0</v>
      </c>
    </row>
    <row r="129" spans="1:21">
      <c r="A129" s="183" t="str">
        <f t="shared" si="7"/>
        <v>404</v>
      </c>
      <c r="B129" s="183" t="str">
        <f t="shared" si="8"/>
        <v>404.0</v>
      </c>
      <c r="C129" t="s">
        <v>1887</v>
      </c>
      <c r="D129" t="s">
        <v>1117</v>
      </c>
      <c r="G129">
        <v>1475031.19</v>
      </c>
      <c r="H129">
        <v>2313837.65</v>
      </c>
      <c r="I129">
        <v>2316679.11</v>
      </c>
      <c r="J129">
        <v>2324993.2400000002</v>
      </c>
      <c r="K129">
        <v>2332633.65</v>
      </c>
      <c r="L129">
        <v>2353376.7000000002</v>
      </c>
      <c r="M129">
        <v>2363198.41</v>
      </c>
      <c r="N129">
        <v>2488811.7000000002</v>
      </c>
      <c r="O129">
        <v>2512516.92</v>
      </c>
      <c r="P129">
        <v>2514152.87</v>
      </c>
      <c r="Q129">
        <v>2517871.17</v>
      </c>
      <c r="R129">
        <v>2529398.61</v>
      </c>
      <c r="S129">
        <v>2530413.2999999998</v>
      </c>
      <c r="U129" s="175">
        <f t="shared" si="9"/>
        <v>2351762.6553846155</v>
      </c>
    </row>
    <row r="130" spans="1:21">
      <c r="A130" s="183" t="str">
        <f t="shared" si="7"/>
        <v>404</v>
      </c>
      <c r="B130" s="183" t="str">
        <f t="shared" si="8"/>
        <v>404.1</v>
      </c>
      <c r="C130" t="s">
        <v>1888</v>
      </c>
      <c r="D130" t="s">
        <v>1119</v>
      </c>
      <c r="G130">
        <v>0</v>
      </c>
      <c r="H130">
        <v>0</v>
      </c>
      <c r="I130">
        <v>0</v>
      </c>
      <c r="J130">
        <v>0</v>
      </c>
      <c r="K130">
        <v>0</v>
      </c>
      <c r="L130">
        <v>0</v>
      </c>
      <c r="M130">
        <v>0</v>
      </c>
      <c r="N130">
        <v>0</v>
      </c>
      <c r="O130">
        <v>0</v>
      </c>
      <c r="P130">
        <v>0</v>
      </c>
      <c r="Q130">
        <v>0</v>
      </c>
      <c r="R130">
        <v>0</v>
      </c>
      <c r="S130">
        <v>0</v>
      </c>
      <c r="U130" s="175">
        <f t="shared" si="9"/>
        <v>0</v>
      </c>
    </row>
    <row r="131" spans="1:21">
      <c r="A131" s="183" t="str">
        <f t="shared" si="7"/>
        <v>404</v>
      </c>
      <c r="B131" s="183" t="str">
        <f t="shared" si="8"/>
        <v>404.2</v>
      </c>
      <c r="C131" t="s">
        <v>1889</v>
      </c>
      <c r="D131" t="s">
        <v>1121</v>
      </c>
      <c r="G131">
        <v>0</v>
      </c>
      <c r="H131">
        <v>0</v>
      </c>
      <c r="I131">
        <v>0</v>
      </c>
      <c r="J131">
        <v>0</v>
      </c>
      <c r="K131">
        <v>0</v>
      </c>
      <c r="L131">
        <v>0</v>
      </c>
      <c r="M131">
        <v>0</v>
      </c>
      <c r="N131">
        <v>0</v>
      </c>
      <c r="O131">
        <v>0</v>
      </c>
      <c r="P131">
        <v>0</v>
      </c>
      <c r="Q131">
        <v>0</v>
      </c>
      <c r="R131">
        <v>0</v>
      </c>
      <c r="S131">
        <v>0</v>
      </c>
      <c r="U131" s="175">
        <f t="shared" si="9"/>
        <v>0</v>
      </c>
    </row>
    <row r="132" spans="1:21">
      <c r="A132" s="183" t="str">
        <f t="shared" si="7"/>
        <v>404</v>
      </c>
      <c r="B132" s="183" t="str">
        <f t="shared" si="8"/>
        <v>404.3</v>
      </c>
      <c r="C132" t="s">
        <v>1890</v>
      </c>
      <c r="D132" t="s">
        <v>1123</v>
      </c>
      <c r="G132">
        <v>0</v>
      </c>
      <c r="H132">
        <v>0</v>
      </c>
      <c r="I132">
        <v>0</v>
      </c>
      <c r="J132">
        <v>0</v>
      </c>
      <c r="K132">
        <v>0</v>
      </c>
      <c r="L132">
        <v>0</v>
      </c>
      <c r="M132">
        <v>0</v>
      </c>
      <c r="N132">
        <v>0</v>
      </c>
      <c r="O132">
        <v>0</v>
      </c>
      <c r="P132">
        <v>0</v>
      </c>
      <c r="Q132">
        <v>0</v>
      </c>
      <c r="R132">
        <v>0</v>
      </c>
      <c r="S132">
        <v>0</v>
      </c>
      <c r="U132" s="175">
        <f t="shared" si="9"/>
        <v>0</v>
      </c>
    </row>
    <row r="133" spans="1:21">
      <c r="A133" s="183" t="str">
        <f t="shared" si="7"/>
        <v>405</v>
      </c>
      <c r="B133" s="183" t="str">
        <f t="shared" si="8"/>
        <v>405.0</v>
      </c>
      <c r="C133" t="s">
        <v>1891</v>
      </c>
      <c r="D133" t="s">
        <v>1125</v>
      </c>
      <c r="G133">
        <v>0</v>
      </c>
      <c r="H133">
        <v>0</v>
      </c>
      <c r="I133">
        <v>0</v>
      </c>
      <c r="J133">
        <v>0</v>
      </c>
      <c r="K133">
        <v>0</v>
      </c>
      <c r="L133">
        <v>0</v>
      </c>
      <c r="M133">
        <v>0</v>
      </c>
      <c r="N133">
        <v>0</v>
      </c>
      <c r="O133">
        <v>0</v>
      </c>
      <c r="P133">
        <v>0</v>
      </c>
      <c r="Q133">
        <v>0</v>
      </c>
      <c r="R133">
        <v>0</v>
      </c>
      <c r="S133">
        <v>0</v>
      </c>
      <c r="U133" s="175">
        <f t="shared" si="9"/>
        <v>0</v>
      </c>
    </row>
    <row r="134" spans="1:21">
      <c r="A134" s="183" t="str">
        <f t="shared" si="7"/>
        <v>406</v>
      </c>
      <c r="B134" s="183" t="str">
        <f t="shared" si="8"/>
        <v>406.0</v>
      </c>
      <c r="C134" t="s">
        <v>1892</v>
      </c>
      <c r="D134" t="s">
        <v>1127</v>
      </c>
      <c r="G134">
        <v>15479.11</v>
      </c>
      <c r="H134">
        <v>15479.1</v>
      </c>
      <c r="I134">
        <v>15479.11</v>
      </c>
      <c r="J134">
        <v>15479.1</v>
      </c>
      <c r="K134">
        <v>15479.11</v>
      </c>
      <c r="L134">
        <v>15479.1</v>
      </c>
      <c r="M134">
        <v>15479.11</v>
      </c>
      <c r="N134">
        <v>15479.1</v>
      </c>
      <c r="O134">
        <v>15479.11</v>
      </c>
      <c r="P134">
        <v>15479.1</v>
      </c>
      <c r="Q134">
        <v>15479.11</v>
      </c>
      <c r="R134">
        <v>15479.1</v>
      </c>
      <c r="S134">
        <v>15479.11</v>
      </c>
      <c r="U134" s="175">
        <f t="shared" si="9"/>
        <v>15479.105384615388</v>
      </c>
    </row>
    <row r="135" spans="1:21">
      <c r="A135" s="183" t="str">
        <f t="shared" ref="A135:A198" si="10">MID(C135,4,3)</f>
        <v>407</v>
      </c>
      <c r="B135" s="183" t="str">
        <f t="shared" ref="B135:B198" si="11">MID(C135,4,3)&amp;"."&amp;MID(C135,7,1)</f>
        <v>407.0</v>
      </c>
      <c r="C135" t="s">
        <v>1893</v>
      </c>
      <c r="D135" t="s">
        <v>1129</v>
      </c>
      <c r="G135">
        <v>0</v>
      </c>
      <c r="H135">
        <v>2459769.83</v>
      </c>
      <c r="I135">
        <v>2459769.83</v>
      </c>
      <c r="J135">
        <v>2459769.83</v>
      </c>
      <c r="K135">
        <v>2459769.83</v>
      </c>
      <c r="L135">
        <v>2459769.83</v>
      </c>
      <c r="M135">
        <v>2459769.83</v>
      </c>
      <c r="N135">
        <v>2459769.83</v>
      </c>
      <c r="O135">
        <v>2425776.1800000002</v>
      </c>
      <c r="P135">
        <v>2425776.1800000002</v>
      </c>
      <c r="Q135">
        <v>2425776.1800000002</v>
      </c>
      <c r="R135">
        <v>2425776.1800000002</v>
      </c>
      <c r="S135">
        <v>2425774.0800000001</v>
      </c>
      <c r="U135" s="175">
        <f t="shared" ref="U135:U198" si="12">AVERAGE(G135:S135)</f>
        <v>2257482.1238461537</v>
      </c>
    </row>
    <row r="136" spans="1:21">
      <c r="A136" s="183" t="str">
        <f t="shared" si="10"/>
        <v>407</v>
      </c>
      <c r="B136" s="183" t="str">
        <f t="shared" si="11"/>
        <v>407.1</v>
      </c>
      <c r="C136" t="s">
        <v>1894</v>
      </c>
      <c r="D136" t="s">
        <v>1131</v>
      </c>
      <c r="G136">
        <v>0</v>
      </c>
      <c r="H136">
        <v>0</v>
      </c>
      <c r="I136">
        <v>0</v>
      </c>
      <c r="J136">
        <v>0</v>
      </c>
      <c r="K136">
        <v>0</v>
      </c>
      <c r="L136">
        <v>0</v>
      </c>
      <c r="M136">
        <v>0</v>
      </c>
      <c r="N136">
        <v>0</v>
      </c>
      <c r="O136">
        <v>0</v>
      </c>
      <c r="P136">
        <v>0</v>
      </c>
      <c r="Q136">
        <v>0</v>
      </c>
      <c r="R136">
        <v>0</v>
      </c>
      <c r="S136">
        <v>0</v>
      </c>
      <c r="U136" s="175">
        <f t="shared" si="12"/>
        <v>0</v>
      </c>
    </row>
    <row r="137" spans="1:21">
      <c r="A137" s="183" t="str">
        <f t="shared" si="10"/>
        <v>407</v>
      </c>
      <c r="B137" s="183" t="str">
        <f t="shared" si="11"/>
        <v>407.2</v>
      </c>
      <c r="C137" t="s">
        <v>1895</v>
      </c>
      <c r="D137" t="s">
        <v>1133</v>
      </c>
      <c r="G137">
        <v>0</v>
      </c>
      <c r="H137">
        <v>0</v>
      </c>
      <c r="I137">
        <v>0</v>
      </c>
      <c r="J137">
        <v>0</v>
      </c>
      <c r="K137">
        <v>0</v>
      </c>
      <c r="L137">
        <v>0</v>
      </c>
      <c r="M137">
        <v>0</v>
      </c>
      <c r="N137">
        <v>0</v>
      </c>
      <c r="O137">
        <v>0</v>
      </c>
      <c r="P137">
        <v>0</v>
      </c>
      <c r="Q137">
        <v>0</v>
      </c>
      <c r="R137">
        <v>0</v>
      </c>
      <c r="S137">
        <v>0</v>
      </c>
      <c r="U137" s="175">
        <f t="shared" si="12"/>
        <v>0</v>
      </c>
    </row>
    <row r="138" spans="1:21">
      <c r="A138" s="183" t="str">
        <f t="shared" si="10"/>
        <v>407</v>
      </c>
      <c r="B138" s="183" t="str">
        <f t="shared" si="11"/>
        <v>407.3</v>
      </c>
      <c r="C138" t="s">
        <v>1896</v>
      </c>
      <c r="D138" t="s">
        <v>1135</v>
      </c>
      <c r="G138">
        <v>15485646.75</v>
      </c>
      <c r="H138">
        <v>1465517.37</v>
      </c>
      <c r="I138">
        <v>1245030.21</v>
      </c>
      <c r="J138">
        <v>1142007.21</v>
      </c>
      <c r="K138">
        <v>12582802.210000001</v>
      </c>
      <c r="L138">
        <v>13310432.210000001</v>
      </c>
      <c r="M138">
        <v>12717754.609999999</v>
      </c>
      <c r="N138">
        <v>16709173.109999999</v>
      </c>
      <c r="O138">
        <v>14837152.65</v>
      </c>
      <c r="P138">
        <v>14555310.67</v>
      </c>
      <c r="Q138">
        <v>14733635.67</v>
      </c>
      <c r="R138">
        <v>11344151.67</v>
      </c>
      <c r="S138">
        <v>19255652.309999999</v>
      </c>
      <c r="U138" s="175">
        <f t="shared" si="12"/>
        <v>11491097.434615385</v>
      </c>
    </row>
    <row r="139" spans="1:21">
      <c r="A139" s="183" t="str">
        <f t="shared" si="10"/>
        <v>407</v>
      </c>
      <c r="B139" s="183" t="str">
        <f t="shared" si="11"/>
        <v>407.4</v>
      </c>
      <c r="C139" t="s">
        <v>1897</v>
      </c>
      <c r="D139" t="s">
        <v>1137</v>
      </c>
      <c r="G139">
        <v>-25922098</v>
      </c>
      <c r="H139">
        <v>-15697343</v>
      </c>
      <c r="I139">
        <v>-26400571</v>
      </c>
      <c r="J139">
        <v>-24401551</v>
      </c>
      <c r="K139">
        <v>-21536144</v>
      </c>
      <c r="L139">
        <v>-53806670</v>
      </c>
      <c r="M139">
        <v>-64078009</v>
      </c>
      <c r="N139">
        <v>-59938895</v>
      </c>
      <c r="O139">
        <v>-109483888</v>
      </c>
      <c r="P139">
        <v>-61027103</v>
      </c>
      <c r="Q139">
        <v>-43066816</v>
      </c>
      <c r="R139">
        <v>-33144618</v>
      </c>
      <c r="S139">
        <v>-39524182</v>
      </c>
      <c r="U139" s="175">
        <f t="shared" si="12"/>
        <v>-44463683.692307696</v>
      </c>
    </row>
    <row r="140" spans="1:21">
      <c r="A140" s="183" t="str">
        <f t="shared" si="10"/>
        <v>408</v>
      </c>
      <c r="B140" s="183" t="str">
        <f t="shared" si="11"/>
        <v>408.1</v>
      </c>
      <c r="C140" t="s">
        <v>1898</v>
      </c>
      <c r="D140" t="s">
        <v>1139</v>
      </c>
      <c r="G140">
        <v>14801746.800000001</v>
      </c>
      <c r="H140">
        <v>15030201.91</v>
      </c>
      <c r="I140">
        <v>14686439.17</v>
      </c>
      <c r="J140">
        <v>14720123.859999999</v>
      </c>
      <c r="K140">
        <v>15376613.84</v>
      </c>
      <c r="L140">
        <v>16575320.689999999</v>
      </c>
      <c r="M140">
        <v>18753253.66</v>
      </c>
      <c r="N140">
        <v>18459455.82</v>
      </c>
      <c r="O140">
        <v>18273292.239999998</v>
      </c>
      <c r="P140">
        <v>18669105.899999999</v>
      </c>
      <c r="Q140">
        <v>16287292.73</v>
      </c>
      <c r="R140">
        <v>14013276.15</v>
      </c>
      <c r="S140">
        <v>18698537.859999999</v>
      </c>
      <c r="U140" s="175">
        <f t="shared" si="12"/>
        <v>16488050.817692308</v>
      </c>
    </row>
    <row r="141" spans="1:21">
      <c r="A141" s="183" t="str">
        <f t="shared" si="10"/>
        <v>408</v>
      </c>
      <c r="B141" s="183" t="str">
        <f t="shared" si="11"/>
        <v>408.2</v>
      </c>
      <c r="C141" t="s">
        <v>1899</v>
      </c>
      <c r="D141" t="s">
        <v>1141</v>
      </c>
      <c r="G141">
        <v>9000</v>
      </c>
      <c r="H141">
        <v>9000</v>
      </c>
      <c r="I141">
        <v>9000</v>
      </c>
      <c r="J141">
        <v>9000</v>
      </c>
      <c r="K141">
        <v>9000</v>
      </c>
      <c r="L141">
        <v>9000</v>
      </c>
      <c r="M141">
        <v>9000</v>
      </c>
      <c r="N141">
        <v>9000</v>
      </c>
      <c r="O141">
        <v>9000</v>
      </c>
      <c r="P141">
        <v>9000</v>
      </c>
      <c r="Q141">
        <v>9000</v>
      </c>
      <c r="R141">
        <v>9000</v>
      </c>
      <c r="S141">
        <v>9000</v>
      </c>
      <c r="U141" s="175">
        <f t="shared" si="12"/>
        <v>9000</v>
      </c>
    </row>
    <row r="142" spans="1:21">
      <c r="A142" s="183" t="str">
        <f t="shared" si="10"/>
        <v>409</v>
      </c>
      <c r="B142" s="183" t="str">
        <f t="shared" si="11"/>
        <v>409.1</v>
      </c>
      <c r="C142" t="s">
        <v>1900</v>
      </c>
      <c r="D142" t="s">
        <v>1143</v>
      </c>
      <c r="G142">
        <v>21997173.539999999</v>
      </c>
      <c r="H142">
        <v>-1110702.06</v>
      </c>
      <c r="I142">
        <v>-3490957.63</v>
      </c>
      <c r="J142">
        <v>-11618461.74</v>
      </c>
      <c r="K142">
        <v>-165300.9</v>
      </c>
      <c r="L142">
        <v>-3393400.56</v>
      </c>
      <c r="M142">
        <v>13930619.6</v>
      </c>
      <c r="N142">
        <v>-825491.94</v>
      </c>
      <c r="O142">
        <v>1770813.71</v>
      </c>
      <c r="P142">
        <v>-1285873.49</v>
      </c>
      <c r="Q142">
        <v>-823839.39</v>
      </c>
      <c r="R142">
        <v>-380809.68</v>
      </c>
      <c r="S142">
        <v>-17323226.649999999</v>
      </c>
      <c r="U142" s="175">
        <f t="shared" si="12"/>
        <v>-209189.01461538457</v>
      </c>
    </row>
    <row r="143" spans="1:21">
      <c r="A143" s="183" t="str">
        <f t="shared" si="10"/>
        <v>409</v>
      </c>
      <c r="B143" s="183" t="str">
        <f t="shared" si="11"/>
        <v>409.2</v>
      </c>
      <c r="C143" t="s">
        <v>1901</v>
      </c>
      <c r="D143" t="s">
        <v>1145</v>
      </c>
      <c r="G143">
        <v>-876736.84</v>
      </c>
      <c r="H143">
        <v>120335.49</v>
      </c>
      <c r="I143">
        <v>110813.98</v>
      </c>
      <c r="J143">
        <v>37332.68</v>
      </c>
      <c r="K143">
        <v>115415.58</v>
      </c>
      <c r="L143">
        <v>100327.49</v>
      </c>
      <c r="M143">
        <v>53438.85</v>
      </c>
      <c r="N143">
        <v>101525.68</v>
      </c>
      <c r="O143">
        <v>89393.34</v>
      </c>
      <c r="P143">
        <v>112289.27</v>
      </c>
      <c r="Q143">
        <v>-1178187.3700000001</v>
      </c>
      <c r="R143">
        <v>119957.78</v>
      </c>
      <c r="S143">
        <v>2938727.19</v>
      </c>
      <c r="U143" s="175">
        <f t="shared" si="12"/>
        <v>141894.85538461537</v>
      </c>
    </row>
    <row r="144" spans="1:21">
      <c r="A144" s="183" t="str">
        <f t="shared" si="10"/>
        <v>409</v>
      </c>
      <c r="B144" s="183" t="str">
        <f t="shared" si="11"/>
        <v>409.3</v>
      </c>
      <c r="C144" t="s">
        <v>1902</v>
      </c>
      <c r="D144" t="s">
        <v>1147</v>
      </c>
      <c r="G144">
        <v>0</v>
      </c>
      <c r="H144">
        <v>0</v>
      </c>
      <c r="I144">
        <v>0</v>
      </c>
      <c r="J144">
        <v>0</v>
      </c>
      <c r="K144">
        <v>0</v>
      </c>
      <c r="L144">
        <v>0</v>
      </c>
      <c r="M144">
        <v>0</v>
      </c>
      <c r="N144">
        <v>0</v>
      </c>
      <c r="O144">
        <v>0</v>
      </c>
      <c r="P144">
        <v>0</v>
      </c>
      <c r="Q144">
        <v>0</v>
      </c>
      <c r="R144">
        <v>0</v>
      </c>
      <c r="S144">
        <v>0</v>
      </c>
      <c r="U144" s="175">
        <f t="shared" si="12"/>
        <v>0</v>
      </c>
    </row>
    <row r="145" spans="1:21">
      <c r="A145" s="183" t="str">
        <f t="shared" si="10"/>
        <v>410</v>
      </c>
      <c r="B145" s="183" t="str">
        <f t="shared" si="11"/>
        <v>410.1</v>
      </c>
      <c r="C145" t="s">
        <v>1903</v>
      </c>
      <c r="D145" t="s">
        <v>1149</v>
      </c>
      <c r="G145">
        <v>209666190.16999999</v>
      </c>
      <c r="H145">
        <v>11882212.800000001</v>
      </c>
      <c r="I145">
        <v>14291256.08</v>
      </c>
      <c r="J145">
        <v>23199866.469999999</v>
      </c>
      <c r="K145">
        <v>10295403.1</v>
      </c>
      <c r="L145">
        <v>19484852.219999999</v>
      </c>
      <c r="M145">
        <v>21199932.879999999</v>
      </c>
      <c r="N145">
        <v>21299665.32</v>
      </c>
      <c r="O145">
        <v>32892438.539999999</v>
      </c>
      <c r="P145">
        <v>74981598.969999999</v>
      </c>
      <c r="Q145">
        <v>34634562.740000002</v>
      </c>
      <c r="R145">
        <v>13395905.83</v>
      </c>
      <c r="S145">
        <v>118212102.69</v>
      </c>
      <c r="U145" s="175">
        <f t="shared" si="12"/>
        <v>46571999.062307701</v>
      </c>
    </row>
    <row r="146" spans="1:21">
      <c r="A146" s="183" t="str">
        <f t="shared" si="10"/>
        <v>410</v>
      </c>
      <c r="B146" s="183" t="str">
        <f t="shared" si="11"/>
        <v>410.2</v>
      </c>
      <c r="C146" t="s">
        <v>1904</v>
      </c>
      <c r="D146" t="s">
        <v>1151</v>
      </c>
      <c r="G146">
        <v>379.72</v>
      </c>
      <c r="H146">
        <v>7438.59</v>
      </c>
      <c r="I146">
        <v>201.39</v>
      </c>
      <c r="J146">
        <v>265.99</v>
      </c>
      <c r="K146">
        <v>11676.72</v>
      </c>
      <c r="L146">
        <v>463</v>
      </c>
      <c r="M146">
        <v>8785.2800000000007</v>
      </c>
      <c r="N146">
        <v>260.92</v>
      </c>
      <c r="O146">
        <v>8769.89</v>
      </c>
      <c r="P146">
        <v>7254.24</v>
      </c>
      <c r="Q146">
        <v>552.51</v>
      </c>
      <c r="R146">
        <v>2175.96</v>
      </c>
      <c r="S146">
        <v>124.73</v>
      </c>
      <c r="U146" s="175">
        <f t="shared" si="12"/>
        <v>3719.1492307692311</v>
      </c>
    </row>
    <row r="147" spans="1:21">
      <c r="A147" s="183" t="str">
        <f t="shared" si="10"/>
        <v>411</v>
      </c>
      <c r="B147" s="183" t="str">
        <f t="shared" si="11"/>
        <v>411.1</v>
      </c>
      <c r="C147" t="s">
        <v>1905</v>
      </c>
      <c r="D147" t="s">
        <v>1153</v>
      </c>
      <c r="G147">
        <v>-173042228.05000001</v>
      </c>
      <c r="H147">
        <v>-1992238.38</v>
      </c>
      <c r="I147">
        <v>-15751675.33</v>
      </c>
      <c r="J147">
        <v>-26945626.600000001</v>
      </c>
      <c r="K147">
        <v>-20399825.210000001</v>
      </c>
      <c r="L147">
        <v>-4020410.98</v>
      </c>
      <c r="M147">
        <v>-23662202.399999999</v>
      </c>
      <c r="N147">
        <v>-9435076.0700000003</v>
      </c>
      <c r="O147">
        <v>-21483685.039999999</v>
      </c>
      <c r="P147">
        <v>-71988492.980000004</v>
      </c>
      <c r="Q147">
        <v>-23319466.93</v>
      </c>
      <c r="R147">
        <v>-6254304.0599999996</v>
      </c>
      <c r="S147">
        <v>-49318908.75</v>
      </c>
      <c r="U147" s="175">
        <f t="shared" si="12"/>
        <v>-34431856.98307693</v>
      </c>
    </row>
    <row r="148" spans="1:21">
      <c r="A148" s="183" t="str">
        <f t="shared" si="10"/>
        <v>411</v>
      </c>
      <c r="B148" s="183" t="str">
        <f t="shared" si="11"/>
        <v>411.2</v>
      </c>
      <c r="C148" t="s">
        <v>1906</v>
      </c>
      <c r="D148" t="s">
        <v>1155</v>
      </c>
      <c r="G148">
        <v>-8712.2000000000007</v>
      </c>
      <c r="H148">
        <v>-324.20999999999998</v>
      </c>
      <c r="I148">
        <v>-4620.49</v>
      </c>
      <c r="J148">
        <v>-6102.83</v>
      </c>
      <c r="K148">
        <v>-508.93</v>
      </c>
      <c r="L148">
        <v>-10622.86</v>
      </c>
      <c r="M148">
        <v>-382.91</v>
      </c>
      <c r="N148">
        <v>-5986.47</v>
      </c>
      <c r="O148">
        <v>-382.24</v>
      </c>
      <c r="P148">
        <v>-316.17</v>
      </c>
      <c r="Q148">
        <v>-12676.56</v>
      </c>
      <c r="R148">
        <v>-94.84</v>
      </c>
      <c r="S148">
        <v>-2861.9</v>
      </c>
      <c r="U148" s="175">
        <f t="shared" si="12"/>
        <v>-4122.5084615384612</v>
      </c>
    </row>
    <row r="149" spans="1:21">
      <c r="A149" s="183" t="str">
        <f t="shared" si="10"/>
        <v>411</v>
      </c>
      <c r="B149" s="183" t="str">
        <f t="shared" si="11"/>
        <v>411.4</v>
      </c>
      <c r="C149" t="s">
        <v>1907</v>
      </c>
      <c r="D149" t="s">
        <v>1157</v>
      </c>
      <c r="G149">
        <v>-55200763.439999998</v>
      </c>
      <c r="H149">
        <v>-778966.03</v>
      </c>
      <c r="I149">
        <v>9619899.3000000007</v>
      </c>
      <c r="J149">
        <v>21964330.329999998</v>
      </c>
      <c r="K149">
        <v>16600796</v>
      </c>
      <c r="L149">
        <v>-752605.67</v>
      </c>
      <c r="M149">
        <v>2553208.9500000002</v>
      </c>
      <c r="N149">
        <v>-646386.38</v>
      </c>
      <c r="O149">
        <v>-818461.78</v>
      </c>
      <c r="P149">
        <v>7786617.8300000001</v>
      </c>
      <c r="Q149">
        <v>-646386.36</v>
      </c>
      <c r="R149">
        <v>-646386.49</v>
      </c>
      <c r="S149">
        <v>-59725891.899999999</v>
      </c>
      <c r="U149" s="175">
        <f t="shared" si="12"/>
        <v>-4668538.1261538463</v>
      </c>
    </row>
    <row r="150" spans="1:21">
      <c r="A150" s="183" t="str">
        <f t="shared" si="10"/>
        <v>411</v>
      </c>
      <c r="B150" s="183" t="str">
        <f t="shared" si="11"/>
        <v>411.5</v>
      </c>
      <c r="C150" t="s">
        <v>1908</v>
      </c>
      <c r="D150" t="s">
        <v>1159</v>
      </c>
      <c r="G150">
        <v>-1.44</v>
      </c>
      <c r="H150">
        <v>-1.44</v>
      </c>
      <c r="I150">
        <v>-1.44</v>
      </c>
      <c r="J150">
        <v>-1.45</v>
      </c>
      <c r="K150">
        <v>-1.44</v>
      </c>
      <c r="L150">
        <v>-1.44</v>
      </c>
      <c r="M150">
        <v>-1.44</v>
      </c>
      <c r="N150">
        <v>-1.44</v>
      </c>
      <c r="O150">
        <v>-1.44</v>
      </c>
      <c r="P150">
        <v>-1.45</v>
      </c>
      <c r="Q150">
        <v>-1.44</v>
      </c>
      <c r="R150">
        <v>-1.44</v>
      </c>
      <c r="S150">
        <v>-1.44</v>
      </c>
      <c r="U150" s="175">
        <f t="shared" si="12"/>
        <v>-1.4415384615384614</v>
      </c>
    </row>
    <row r="151" spans="1:21">
      <c r="A151" s="183" t="str">
        <f t="shared" si="10"/>
        <v>411</v>
      </c>
      <c r="B151" s="183" t="str">
        <f t="shared" si="11"/>
        <v>411.6</v>
      </c>
      <c r="C151" t="s">
        <v>1909</v>
      </c>
      <c r="D151" t="s">
        <v>1161</v>
      </c>
      <c r="G151">
        <v>0</v>
      </c>
      <c r="H151">
        <v>0</v>
      </c>
      <c r="I151">
        <v>0</v>
      </c>
      <c r="J151">
        <v>0</v>
      </c>
      <c r="K151">
        <v>0</v>
      </c>
      <c r="L151">
        <v>0</v>
      </c>
      <c r="M151">
        <v>0</v>
      </c>
      <c r="N151">
        <v>0</v>
      </c>
      <c r="O151">
        <v>0</v>
      </c>
      <c r="P151">
        <v>0</v>
      </c>
      <c r="Q151">
        <v>0</v>
      </c>
      <c r="R151">
        <v>0</v>
      </c>
      <c r="S151">
        <v>0</v>
      </c>
      <c r="U151" s="175">
        <f t="shared" si="12"/>
        <v>0</v>
      </c>
    </row>
    <row r="152" spans="1:21">
      <c r="A152" s="183" t="str">
        <f t="shared" si="10"/>
        <v>411</v>
      </c>
      <c r="B152" s="183" t="str">
        <f t="shared" si="11"/>
        <v>411.7</v>
      </c>
      <c r="C152" t="s">
        <v>1910</v>
      </c>
      <c r="D152" t="s">
        <v>1163</v>
      </c>
      <c r="G152">
        <v>0</v>
      </c>
      <c r="H152">
        <v>0</v>
      </c>
      <c r="I152">
        <v>0</v>
      </c>
      <c r="J152">
        <v>0</v>
      </c>
      <c r="K152">
        <v>0</v>
      </c>
      <c r="L152">
        <v>0</v>
      </c>
      <c r="M152">
        <v>0</v>
      </c>
      <c r="N152">
        <v>0</v>
      </c>
      <c r="O152">
        <v>0</v>
      </c>
      <c r="P152">
        <v>0</v>
      </c>
      <c r="Q152">
        <v>0</v>
      </c>
      <c r="R152">
        <v>0</v>
      </c>
      <c r="S152">
        <v>0</v>
      </c>
      <c r="U152" s="175">
        <f t="shared" si="12"/>
        <v>0</v>
      </c>
    </row>
    <row r="153" spans="1:21">
      <c r="A153" s="183" t="str">
        <f t="shared" si="10"/>
        <v>411</v>
      </c>
      <c r="B153" s="183" t="str">
        <f t="shared" si="11"/>
        <v>411.8</v>
      </c>
      <c r="C153" t="s">
        <v>1911</v>
      </c>
      <c r="D153" t="s">
        <v>1165</v>
      </c>
      <c r="G153">
        <v>0</v>
      </c>
      <c r="H153">
        <v>0</v>
      </c>
      <c r="I153">
        <v>0</v>
      </c>
      <c r="J153">
        <v>0</v>
      </c>
      <c r="K153">
        <v>0</v>
      </c>
      <c r="L153">
        <v>0</v>
      </c>
      <c r="M153">
        <v>58.7</v>
      </c>
      <c r="N153">
        <v>0</v>
      </c>
      <c r="O153">
        <v>0</v>
      </c>
      <c r="P153">
        <v>0</v>
      </c>
      <c r="Q153">
        <v>0</v>
      </c>
      <c r="R153">
        <v>0</v>
      </c>
      <c r="S153">
        <v>0</v>
      </c>
      <c r="U153" s="175">
        <f t="shared" si="12"/>
        <v>4.5153846153846153</v>
      </c>
    </row>
    <row r="154" spans="1:21">
      <c r="A154" s="183" t="str">
        <f t="shared" si="10"/>
        <v>411</v>
      </c>
      <c r="B154" s="183" t="str">
        <f t="shared" si="11"/>
        <v>411.9</v>
      </c>
      <c r="C154" t="s">
        <v>1912</v>
      </c>
      <c r="D154" t="s">
        <v>1167</v>
      </c>
      <c r="G154">
        <v>0</v>
      </c>
      <c r="H154">
        <v>0</v>
      </c>
      <c r="I154">
        <v>0</v>
      </c>
      <c r="J154">
        <v>0</v>
      </c>
      <c r="K154">
        <v>0</v>
      </c>
      <c r="L154">
        <v>0</v>
      </c>
      <c r="M154">
        <v>0</v>
      </c>
      <c r="N154">
        <v>0</v>
      </c>
      <c r="O154">
        <v>0</v>
      </c>
      <c r="P154">
        <v>0</v>
      </c>
      <c r="Q154">
        <v>0</v>
      </c>
      <c r="R154">
        <v>0</v>
      </c>
      <c r="S154">
        <v>0</v>
      </c>
      <c r="U154" s="175">
        <f t="shared" si="12"/>
        <v>0</v>
      </c>
    </row>
    <row r="155" spans="1:21">
      <c r="A155" s="183" t="str">
        <f t="shared" si="10"/>
        <v>412</v>
      </c>
      <c r="B155" s="183" t="str">
        <f t="shared" si="11"/>
        <v>412.0</v>
      </c>
      <c r="C155" t="s">
        <v>1913</v>
      </c>
      <c r="D155" t="s">
        <v>1169</v>
      </c>
      <c r="G155">
        <v>0</v>
      </c>
      <c r="H155">
        <v>0</v>
      </c>
      <c r="I155">
        <v>0</v>
      </c>
      <c r="J155">
        <v>0</v>
      </c>
      <c r="K155">
        <v>0</v>
      </c>
      <c r="L155">
        <v>0</v>
      </c>
      <c r="M155">
        <v>0</v>
      </c>
      <c r="N155">
        <v>0</v>
      </c>
      <c r="O155">
        <v>0</v>
      </c>
      <c r="P155">
        <v>0</v>
      </c>
      <c r="Q155">
        <v>0</v>
      </c>
      <c r="R155">
        <v>0</v>
      </c>
      <c r="S155">
        <v>0</v>
      </c>
      <c r="U155" s="175">
        <f t="shared" si="12"/>
        <v>0</v>
      </c>
    </row>
    <row r="156" spans="1:21">
      <c r="A156" s="183" t="str">
        <f t="shared" si="10"/>
        <v>413</v>
      </c>
      <c r="B156" s="183" t="str">
        <f t="shared" si="11"/>
        <v>413.0</v>
      </c>
      <c r="C156" t="s">
        <v>1914</v>
      </c>
      <c r="D156" t="s">
        <v>1171</v>
      </c>
      <c r="G156">
        <v>0</v>
      </c>
      <c r="H156">
        <v>0</v>
      </c>
      <c r="I156">
        <v>0</v>
      </c>
      <c r="J156">
        <v>0</v>
      </c>
      <c r="K156">
        <v>0</v>
      </c>
      <c r="L156">
        <v>0</v>
      </c>
      <c r="M156">
        <v>0</v>
      </c>
      <c r="N156">
        <v>0</v>
      </c>
      <c r="O156">
        <v>0</v>
      </c>
      <c r="P156">
        <v>0</v>
      </c>
      <c r="Q156">
        <v>0</v>
      </c>
      <c r="R156">
        <v>0</v>
      </c>
      <c r="S156">
        <v>0</v>
      </c>
      <c r="U156" s="175">
        <f t="shared" si="12"/>
        <v>0</v>
      </c>
    </row>
    <row r="157" spans="1:21">
      <c r="A157" s="183" t="str">
        <f t="shared" si="10"/>
        <v>414</v>
      </c>
      <c r="B157" s="183" t="str">
        <f t="shared" si="11"/>
        <v>414.0</v>
      </c>
      <c r="C157" t="s">
        <v>1915</v>
      </c>
      <c r="D157" t="s">
        <v>1173</v>
      </c>
      <c r="G157">
        <v>0</v>
      </c>
      <c r="H157">
        <v>0</v>
      </c>
      <c r="I157">
        <v>0</v>
      </c>
      <c r="J157">
        <v>0</v>
      </c>
      <c r="K157">
        <v>0</v>
      </c>
      <c r="L157">
        <v>0</v>
      </c>
      <c r="M157">
        <v>0</v>
      </c>
      <c r="N157">
        <v>0</v>
      </c>
      <c r="O157">
        <v>0</v>
      </c>
      <c r="P157">
        <v>0</v>
      </c>
      <c r="Q157">
        <v>0</v>
      </c>
      <c r="R157">
        <v>0</v>
      </c>
      <c r="S157">
        <v>0</v>
      </c>
      <c r="U157" s="175">
        <f t="shared" si="12"/>
        <v>0</v>
      </c>
    </row>
    <row r="158" spans="1:21">
      <c r="A158" s="183" t="str">
        <f t="shared" si="10"/>
        <v>415</v>
      </c>
      <c r="B158" s="183" t="str">
        <f t="shared" si="11"/>
        <v>415.0</v>
      </c>
      <c r="C158" t="s">
        <v>1916</v>
      </c>
      <c r="D158" t="s">
        <v>1175</v>
      </c>
      <c r="G158">
        <v>463867.32</v>
      </c>
      <c r="H158">
        <v>459103.32</v>
      </c>
      <c r="I158">
        <v>566239.21</v>
      </c>
      <c r="J158">
        <v>458619.59</v>
      </c>
      <c r="K158">
        <v>463724.16</v>
      </c>
      <c r="L158">
        <v>538958.74</v>
      </c>
      <c r="M158">
        <v>465357.93</v>
      </c>
      <c r="N158">
        <v>471952.24</v>
      </c>
      <c r="O158">
        <v>553018.42000000004</v>
      </c>
      <c r="P158">
        <v>478066.19</v>
      </c>
      <c r="Q158">
        <v>487639.8</v>
      </c>
      <c r="R158">
        <v>485252.2</v>
      </c>
      <c r="S158">
        <v>1204234.01</v>
      </c>
      <c r="U158" s="175">
        <f t="shared" si="12"/>
        <v>545848.70230769226</v>
      </c>
    </row>
    <row r="159" spans="1:21">
      <c r="A159" s="183" t="str">
        <f t="shared" si="10"/>
        <v>416</v>
      </c>
      <c r="B159" s="183" t="str">
        <f t="shared" si="11"/>
        <v>416.0</v>
      </c>
      <c r="C159" t="s">
        <v>1917</v>
      </c>
      <c r="D159" t="s">
        <v>1177</v>
      </c>
      <c r="G159">
        <v>220230.78</v>
      </c>
      <c r="H159">
        <v>137481.19</v>
      </c>
      <c r="I159">
        <v>141744.66</v>
      </c>
      <c r="J159">
        <v>164637.41</v>
      </c>
      <c r="K159">
        <v>160611.16</v>
      </c>
      <c r="L159">
        <v>166489.35</v>
      </c>
      <c r="M159">
        <v>171051.98</v>
      </c>
      <c r="N159">
        <v>175967.1</v>
      </c>
      <c r="O159">
        <v>190152.17</v>
      </c>
      <c r="P159">
        <v>243094.83</v>
      </c>
      <c r="Q159">
        <v>206519.75</v>
      </c>
      <c r="R159">
        <v>200894.16</v>
      </c>
      <c r="S159">
        <v>207847.86</v>
      </c>
      <c r="U159" s="175">
        <f t="shared" si="12"/>
        <v>183594.03076923077</v>
      </c>
    </row>
    <row r="160" spans="1:21">
      <c r="A160" s="183" t="str">
        <f t="shared" si="10"/>
        <v>417</v>
      </c>
      <c r="B160" s="183" t="str">
        <f t="shared" si="11"/>
        <v>417.0</v>
      </c>
      <c r="C160" t="s">
        <v>1918</v>
      </c>
      <c r="D160" t="s">
        <v>1179</v>
      </c>
      <c r="G160">
        <v>0</v>
      </c>
      <c r="H160">
        <v>0</v>
      </c>
      <c r="I160">
        <v>0</v>
      </c>
      <c r="J160">
        <v>0</v>
      </c>
      <c r="K160">
        <v>0</v>
      </c>
      <c r="L160">
        <v>0</v>
      </c>
      <c r="M160">
        <v>0</v>
      </c>
      <c r="N160">
        <v>0</v>
      </c>
      <c r="O160">
        <v>0</v>
      </c>
      <c r="P160">
        <v>0</v>
      </c>
      <c r="Q160">
        <v>0</v>
      </c>
      <c r="R160">
        <v>0</v>
      </c>
      <c r="S160">
        <v>0</v>
      </c>
      <c r="U160" s="175">
        <f t="shared" si="12"/>
        <v>0</v>
      </c>
    </row>
    <row r="161" spans="1:21">
      <c r="A161" s="183" t="str">
        <f t="shared" si="10"/>
        <v>417</v>
      </c>
      <c r="B161" s="183" t="str">
        <f t="shared" si="11"/>
        <v>417.1</v>
      </c>
      <c r="C161" t="s">
        <v>1919</v>
      </c>
      <c r="D161" t="s">
        <v>1181</v>
      </c>
      <c r="G161">
        <v>0</v>
      </c>
      <c r="H161">
        <v>0</v>
      </c>
      <c r="I161">
        <v>0</v>
      </c>
      <c r="J161">
        <v>0</v>
      </c>
      <c r="K161">
        <v>0</v>
      </c>
      <c r="L161">
        <v>0</v>
      </c>
      <c r="M161">
        <v>0</v>
      </c>
      <c r="N161">
        <v>0</v>
      </c>
      <c r="O161">
        <v>0</v>
      </c>
      <c r="P161">
        <v>0</v>
      </c>
      <c r="Q161">
        <v>0</v>
      </c>
      <c r="R161">
        <v>0</v>
      </c>
      <c r="S161">
        <v>0</v>
      </c>
      <c r="U161" s="175">
        <f t="shared" si="12"/>
        <v>0</v>
      </c>
    </row>
    <row r="162" spans="1:21">
      <c r="A162" s="183" t="str">
        <f t="shared" si="10"/>
        <v>418</v>
      </c>
      <c r="B162" s="183" t="str">
        <f t="shared" si="11"/>
        <v>418.0</v>
      </c>
      <c r="C162" t="s">
        <v>1920</v>
      </c>
      <c r="D162" t="s">
        <v>1183</v>
      </c>
      <c r="G162">
        <v>-5090.04</v>
      </c>
      <c r="H162">
        <v>-5090.04</v>
      </c>
      <c r="I162">
        <v>-5090.04</v>
      </c>
      <c r="J162">
        <v>-5090.04</v>
      </c>
      <c r="K162">
        <v>-5090.04</v>
      </c>
      <c r="L162">
        <v>-5090.04</v>
      </c>
      <c r="M162">
        <v>-5090.04</v>
      </c>
      <c r="N162">
        <v>-5090.04</v>
      </c>
      <c r="O162">
        <v>-5090.04</v>
      </c>
      <c r="P162">
        <v>-5090.04</v>
      </c>
      <c r="Q162">
        <v>-5090.04</v>
      </c>
      <c r="R162">
        <v>-5090.04</v>
      </c>
      <c r="S162">
        <v>-5090.04</v>
      </c>
      <c r="U162" s="175">
        <f t="shared" si="12"/>
        <v>-5090.04</v>
      </c>
    </row>
    <row r="163" spans="1:21">
      <c r="A163" s="183" t="str">
        <f t="shared" si="10"/>
        <v>418</v>
      </c>
      <c r="B163" s="183" t="str">
        <f t="shared" si="11"/>
        <v>418.1</v>
      </c>
      <c r="C163" t="s">
        <v>1921</v>
      </c>
      <c r="D163" t="s">
        <v>1185</v>
      </c>
      <c r="G163">
        <v>0</v>
      </c>
      <c r="H163">
        <v>0</v>
      </c>
      <c r="I163">
        <v>0</v>
      </c>
      <c r="J163">
        <v>0</v>
      </c>
      <c r="K163">
        <v>0</v>
      </c>
      <c r="L163">
        <v>0</v>
      </c>
      <c r="M163">
        <v>0</v>
      </c>
      <c r="N163">
        <v>0</v>
      </c>
      <c r="O163">
        <v>0</v>
      </c>
      <c r="P163">
        <v>0</v>
      </c>
      <c r="Q163">
        <v>0</v>
      </c>
      <c r="R163">
        <v>0</v>
      </c>
      <c r="S163">
        <v>0</v>
      </c>
      <c r="U163" s="175">
        <f t="shared" si="12"/>
        <v>0</v>
      </c>
    </row>
    <row r="164" spans="1:21">
      <c r="A164" s="183" t="str">
        <f t="shared" si="10"/>
        <v>419</v>
      </c>
      <c r="B164" s="183" t="str">
        <f t="shared" si="11"/>
        <v>419.0</v>
      </c>
      <c r="C164" t="s">
        <v>1922</v>
      </c>
      <c r="D164" t="s">
        <v>1187</v>
      </c>
      <c r="G164">
        <v>2584.9</v>
      </c>
      <c r="H164">
        <v>9252.19</v>
      </c>
      <c r="I164">
        <v>1244.46</v>
      </c>
      <c r="J164">
        <v>1030.26</v>
      </c>
      <c r="K164">
        <v>1573.08</v>
      </c>
      <c r="L164">
        <v>1671.8</v>
      </c>
      <c r="M164">
        <v>962.29</v>
      </c>
      <c r="N164">
        <v>19351.62</v>
      </c>
      <c r="O164">
        <v>3684177.87</v>
      </c>
      <c r="P164">
        <v>533525.43999999994</v>
      </c>
      <c r="Q164">
        <v>523648.18</v>
      </c>
      <c r="R164">
        <v>1049203.3500000001</v>
      </c>
      <c r="S164">
        <v>678361.98</v>
      </c>
      <c r="U164" s="175">
        <f t="shared" si="12"/>
        <v>500506.72461538459</v>
      </c>
    </row>
    <row r="165" spans="1:21">
      <c r="A165" s="183" t="str">
        <f t="shared" si="10"/>
        <v>419</v>
      </c>
      <c r="B165" s="183" t="str">
        <f t="shared" si="11"/>
        <v>419.1</v>
      </c>
      <c r="C165" t="s">
        <v>1923</v>
      </c>
      <c r="D165" t="s">
        <v>1189</v>
      </c>
      <c r="G165">
        <v>3473182.2</v>
      </c>
      <c r="H165">
        <v>2577142.61</v>
      </c>
      <c r="I165">
        <v>2608837.8199999998</v>
      </c>
      <c r="J165">
        <v>2726587.81</v>
      </c>
      <c r="K165">
        <v>2487548.13</v>
      </c>
      <c r="L165">
        <v>2244834.33</v>
      </c>
      <c r="M165">
        <v>2605531.31</v>
      </c>
      <c r="N165">
        <v>2480038.4500000002</v>
      </c>
      <c r="O165">
        <v>2563831.29</v>
      </c>
      <c r="P165">
        <v>2701494.31</v>
      </c>
      <c r="Q165">
        <v>3120813.72</v>
      </c>
      <c r="R165">
        <v>3446539.28</v>
      </c>
      <c r="S165">
        <v>2010452.73</v>
      </c>
      <c r="U165" s="175">
        <f t="shared" si="12"/>
        <v>2695910.3069230765</v>
      </c>
    </row>
    <row r="166" spans="1:21">
      <c r="A166" s="183" t="str">
        <f t="shared" si="10"/>
        <v>420</v>
      </c>
      <c r="B166" s="183" t="str">
        <f t="shared" si="11"/>
        <v>420.0</v>
      </c>
      <c r="C166" t="s">
        <v>1924</v>
      </c>
      <c r="D166" t="s">
        <v>1191</v>
      </c>
      <c r="G166">
        <v>0</v>
      </c>
      <c r="H166">
        <v>0</v>
      </c>
      <c r="I166">
        <v>0</v>
      </c>
      <c r="J166">
        <v>0</v>
      </c>
      <c r="K166">
        <v>0</v>
      </c>
      <c r="L166">
        <v>0</v>
      </c>
      <c r="M166">
        <v>0</v>
      </c>
      <c r="N166">
        <v>0</v>
      </c>
      <c r="O166">
        <v>0</v>
      </c>
      <c r="P166">
        <v>0</v>
      </c>
      <c r="Q166">
        <v>0</v>
      </c>
      <c r="R166">
        <v>0</v>
      </c>
      <c r="S166">
        <v>0</v>
      </c>
      <c r="U166" s="175">
        <f t="shared" si="12"/>
        <v>0</v>
      </c>
    </row>
    <row r="167" spans="1:21">
      <c r="A167" s="183" t="str">
        <f t="shared" si="10"/>
        <v>421</v>
      </c>
      <c r="B167" s="183" t="str">
        <f t="shared" si="11"/>
        <v>421.0</v>
      </c>
      <c r="C167" t="s">
        <v>1925</v>
      </c>
      <c r="D167" t="s">
        <v>1193</v>
      </c>
      <c r="G167">
        <v>1646.06</v>
      </c>
      <c r="H167">
        <v>22593.95</v>
      </c>
      <c r="I167">
        <v>14561.39</v>
      </c>
      <c r="J167">
        <v>37290</v>
      </c>
      <c r="K167">
        <v>105605.33</v>
      </c>
      <c r="L167">
        <v>110910.3</v>
      </c>
      <c r="M167">
        <v>268350.44</v>
      </c>
      <c r="N167">
        <v>459828.8</v>
      </c>
      <c r="O167">
        <v>694388.92</v>
      </c>
      <c r="P167">
        <v>1031068.59</v>
      </c>
      <c r="Q167">
        <v>1214152.27</v>
      </c>
      <c r="R167">
        <v>1481979.28</v>
      </c>
      <c r="S167">
        <v>1758623.42</v>
      </c>
      <c r="U167" s="175">
        <f t="shared" si="12"/>
        <v>553922.98076923075</v>
      </c>
    </row>
    <row r="168" spans="1:21">
      <c r="A168" s="183" t="str">
        <f t="shared" si="10"/>
        <v>421</v>
      </c>
      <c r="B168" s="183" t="str">
        <f t="shared" si="11"/>
        <v>421.1</v>
      </c>
      <c r="C168" t="s">
        <v>1926</v>
      </c>
      <c r="D168" t="s">
        <v>1195</v>
      </c>
      <c r="G168">
        <v>13921.14</v>
      </c>
      <c r="H168">
        <v>13921.14</v>
      </c>
      <c r="I168">
        <v>13921.14</v>
      </c>
      <c r="J168">
        <v>13921.14</v>
      </c>
      <c r="K168">
        <v>13921.14</v>
      </c>
      <c r="L168">
        <v>13921.14</v>
      </c>
      <c r="M168">
        <v>13921.14</v>
      </c>
      <c r="N168">
        <v>12208.05</v>
      </c>
      <c r="O168">
        <v>12208.05</v>
      </c>
      <c r="P168">
        <v>12208.05</v>
      </c>
      <c r="Q168">
        <v>12208.05</v>
      </c>
      <c r="R168">
        <v>12208.05</v>
      </c>
      <c r="S168">
        <v>12208.05</v>
      </c>
      <c r="U168" s="175">
        <f t="shared" si="12"/>
        <v>13130.483076923074</v>
      </c>
    </row>
    <row r="169" spans="1:21">
      <c r="A169" s="183" t="str">
        <f t="shared" si="10"/>
        <v>421</v>
      </c>
      <c r="B169" s="183" t="str">
        <f t="shared" si="11"/>
        <v>421.2</v>
      </c>
      <c r="C169" t="s">
        <v>1927</v>
      </c>
      <c r="D169" t="s">
        <v>1197</v>
      </c>
      <c r="G169">
        <v>0</v>
      </c>
      <c r="H169">
        <v>0</v>
      </c>
      <c r="I169">
        <v>0</v>
      </c>
      <c r="J169">
        <v>0</v>
      </c>
      <c r="K169">
        <v>0</v>
      </c>
      <c r="L169">
        <v>0</v>
      </c>
      <c r="M169">
        <v>0</v>
      </c>
      <c r="N169">
        <v>0</v>
      </c>
      <c r="O169">
        <v>0</v>
      </c>
      <c r="P169">
        <v>0</v>
      </c>
      <c r="Q169">
        <v>0</v>
      </c>
      <c r="R169">
        <v>0</v>
      </c>
      <c r="S169">
        <v>0</v>
      </c>
      <c r="U169" s="175">
        <f t="shared" si="12"/>
        <v>0</v>
      </c>
    </row>
    <row r="170" spans="1:21">
      <c r="A170" s="183" t="str">
        <f t="shared" si="10"/>
        <v>425</v>
      </c>
      <c r="B170" s="183" t="str">
        <f t="shared" si="11"/>
        <v>425.0</v>
      </c>
      <c r="C170" t="s">
        <v>1928</v>
      </c>
      <c r="D170" t="s">
        <v>1199</v>
      </c>
      <c r="G170">
        <v>4246.63</v>
      </c>
      <c r="H170">
        <v>4246.6099999999997</v>
      </c>
      <c r="I170">
        <v>4246.63</v>
      </c>
      <c r="J170">
        <v>4246.6099999999997</v>
      </c>
      <c r="K170">
        <v>4246.63</v>
      </c>
      <c r="L170">
        <v>4246.6099999999997</v>
      </c>
      <c r="M170">
        <v>4246.63</v>
      </c>
      <c r="N170">
        <v>4246.6099999999997</v>
      </c>
      <c r="O170">
        <v>4246.63</v>
      </c>
      <c r="P170">
        <v>4246.6099999999997</v>
      </c>
      <c r="Q170">
        <v>4246.62</v>
      </c>
      <c r="R170">
        <v>4246.62</v>
      </c>
      <c r="S170">
        <v>4246.63</v>
      </c>
      <c r="U170" s="175">
        <f t="shared" si="12"/>
        <v>4246.6207692307689</v>
      </c>
    </row>
    <row r="171" spans="1:21">
      <c r="A171" s="183" t="str">
        <f t="shared" si="10"/>
        <v>426</v>
      </c>
      <c r="B171" s="183" t="str">
        <f t="shared" si="11"/>
        <v>426.1</v>
      </c>
      <c r="C171" t="s">
        <v>1929</v>
      </c>
      <c r="D171" t="s">
        <v>1201</v>
      </c>
      <c r="G171">
        <v>950558.34</v>
      </c>
      <c r="H171">
        <v>11800</v>
      </c>
      <c r="I171">
        <v>48230.19</v>
      </c>
      <c r="J171">
        <v>249368.85</v>
      </c>
      <c r="K171">
        <v>3002.86</v>
      </c>
      <c r="L171">
        <v>76200</v>
      </c>
      <c r="M171">
        <v>229486.32</v>
      </c>
      <c r="N171">
        <v>58273.33</v>
      </c>
      <c r="O171">
        <v>191619.06</v>
      </c>
      <c r="P171">
        <v>98557.04</v>
      </c>
      <c r="Q171">
        <v>186595.39</v>
      </c>
      <c r="R171">
        <v>561942.68000000005</v>
      </c>
      <c r="S171">
        <v>590068.86</v>
      </c>
      <c r="U171" s="175">
        <f t="shared" si="12"/>
        <v>250438.68615384618</v>
      </c>
    </row>
    <row r="172" spans="1:21">
      <c r="A172" s="183" t="str">
        <f t="shared" si="10"/>
        <v>426</v>
      </c>
      <c r="B172" s="183" t="str">
        <f t="shared" si="11"/>
        <v>426.2</v>
      </c>
      <c r="C172" t="s">
        <v>1930</v>
      </c>
      <c r="D172" t="s">
        <v>1203</v>
      </c>
      <c r="G172">
        <v>0</v>
      </c>
      <c r="H172">
        <v>0</v>
      </c>
      <c r="I172">
        <v>0</v>
      </c>
      <c r="J172">
        <v>0</v>
      </c>
      <c r="K172">
        <v>0</v>
      </c>
      <c r="L172">
        <v>0</v>
      </c>
      <c r="M172">
        <v>0</v>
      </c>
      <c r="N172">
        <v>0</v>
      </c>
      <c r="O172">
        <v>0</v>
      </c>
      <c r="P172">
        <v>0</v>
      </c>
      <c r="Q172">
        <v>0</v>
      </c>
      <c r="R172">
        <v>0</v>
      </c>
      <c r="S172">
        <v>0</v>
      </c>
      <c r="U172" s="175">
        <f t="shared" si="12"/>
        <v>0</v>
      </c>
    </row>
    <row r="173" spans="1:21">
      <c r="A173" s="183" t="str">
        <f t="shared" si="10"/>
        <v>426</v>
      </c>
      <c r="B173" s="183" t="str">
        <f t="shared" si="11"/>
        <v>426.3</v>
      </c>
      <c r="C173" t="s">
        <v>1931</v>
      </c>
      <c r="D173" t="s">
        <v>1205</v>
      </c>
      <c r="G173">
        <v>910000</v>
      </c>
      <c r="H173">
        <v>-50036.27</v>
      </c>
      <c r="I173">
        <v>50044.73</v>
      </c>
      <c r="J173">
        <v>0</v>
      </c>
      <c r="K173">
        <v>0</v>
      </c>
      <c r="L173">
        <v>129.02000000000001</v>
      </c>
      <c r="M173">
        <v>0</v>
      </c>
      <c r="N173">
        <v>0</v>
      </c>
      <c r="O173">
        <v>5706.65</v>
      </c>
      <c r="P173">
        <v>0</v>
      </c>
      <c r="Q173">
        <v>0</v>
      </c>
      <c r="R173">
        <v>0</v>
      </c>
      <c r="S173">
        <v>-199950</v>
      </c>
      <c r="U173" s="175">
        <f t="shared" si="12"/>
        <v>55068.779230769229</v>
      </c>
    </row>
    <row r="174" spans="1:21">
      <c r="A174" s="183" t="str">
        <f t="shared" si="10"/>
        <v>426</v>
      </c>
      <c r="B174" s="183" t="str">
        <f t="shared" si="11"/>
        <v>426.4</v>
      </c>
      <c r="C174" t="s">
        <v>1932</v>
      </c>
      <c r="D174" t="s">
        <v>1207</v>
      </c>
      <c r="G174">
        <v>9024.08</v>
      </c>
      <c r="H174">
        <v>7252</v>
      </c>
      <c r="I174">
        <v>107472.34</v>
      </c>
      <c r="J174">
        <v>56802</v>
      </c>
      <c r="K174">
        <v>942.72</v>
      </c>
      <c r="L174">
        <v>9919.36</v>
      </c>
      <c r="M174">
        <v>744.2</v>
      </c>
      <c r="N174">
        <v>3703.9</v>
      </c>
      <c r="O174">
        <v>2166.33</v>
      </c>
      <c r="P174">
        <v>1304.4000000000001</v>
      </c>
      <c r="Q174">
        <v>7874.76</v>
      </c>
      <c r="R174">
        <v>5779.43</v>
      </c>
      <c r="S174">
        <v>14695.05</v>
      </c>
      <c r="U174" s="175">
        <f t="shared" si="12"/>
        <v>17513.89</v>
      </c>
    </row>
    <row r="175" spans="1:21">
      <c r="A175" s="183" t="str">
        <f t="shared" si="10"/>
        <v>426</v>
      </c>
      <c r="B175" s="183" t="str">
        <f t="shared" si="11"/>
        <v>426.5</v>
      </c>
      <c r="C175" t="s">
        <v>1933</v>
      </c>
      <c r="D175" t="s">
        <v>1209</v>
      </c>
      <c r="G175">
        <v>-175273.39</v>
      </c>
      <c r="H175">
        <v>-72.849999999999994</v>
      </c>
      <c r="I175">
        <v>4877.8</v>
      </c>
      <c r="J175">
        <v>63334.39</v>
      </c>
      <c r="K175">
        <v>-19782.25</v>
      </c>
      <c r="L175">
        <v>39187.449999999997</v>
      </c>
      <c r="M175">
        <v>-14347.33</v>
      </c>
      <c r="N175">
        <v>23464.639999999999</v>
      </c>
      <c r="O175">
        <v>-10446</v>
      </c>
      <c r="P175">
        <v>79.66</v>
      </c>
      <c r="Q175">
        <v>4061.66</v>
      </c>
      <c r="R175">
        <v>8429.5499999999993</v>
      </c>
      <c r="S175">
        <v>11425.93</v>
      </c>
      <c r="U175" s="175">
        <f t="shared" si="12"/>
        <v>-5004.6723076923099</v>
      </c>
    </row>
    <row r="176" spans="1:21">
      <c r="A176" s="183" t="str">
        <f t="shared" si="10"/>
        <v>427</v>
      </c>
      <c r="B176" s="183" t="str">
        <f t="shared" si="11"/>
        <v>427.0</v>
      </c>
      <c r="C176" t="s">
        <v>1934</v>
      </c>
      <c r="D176" t="s">
        <v>1211</v>
      </c>
      <c r="G176">
        <v>10039687.51</v>
      </c>
      <c r="H176">
        <v>10039687.51</v>
      </c>
      <c r="I176">
        <v>10039687.51</v>
      </c>
      <c r="J176">
        <v>10039687.51</v>
      </c>
      <c r="K176">
        <v>10039687.51</v>
      </c>
      <c r="L176">
        <v>10039687.51</v>
      </c>
      <c r="M176">
        <v>10039687.51</v>
      </c>
      <c r="N176">
        <v>11204531.26</v>
      </c>
      <c r="O176">
        <v>11981093.76</v>
      </c>
      <c r="P176">
        <v>11737343.76</v>
      </c>
      <c r="Q176">
        <v>11493593.76</v>
      </c>
      <c r="R176">
        <v>11493593.76</v>
      </c>
      <c r="S176">
        <v>11493593.76</v>
      </c>
      <c r="U176" s="175">
        <f t="shared" si="12"/>
        <v>10744735.58692308</v>
      </c>
    </row>
    <row r="177" spans="1:21">
      <c r="A177" s="183" t="str">
        <f t="shared" si="10"/>
        <v>428</v>
      </c>
      <c r="B177" s="183" t="str">
        <f t="shared" si="11"/>
        <v>428.0</v>
      </c>
      <c r="C177" t="s">
        <v>1935</v>
      </c>
      <c r="D177" t="s">
        <v>1213</v>
      </c>
      <c r="G177">
        <v>158467.76</v>
      </c>
      <c r="H177">
        <v>158467.76</v>
      </c>
      <c r="I177">
        <v>158467.76</v>
      </c>
      <c r="J177">
        <v>158467.76</v>
      </c>
      <c r="K177">
        <v>158467.76</v>
      </c>
      <c r="L177">
        <v>158467.76</v>
      </c>
      <c r="M177">
        <v>158467.76</v>
      </c>
      <c r="N177">
        <v>206331.12</v>
      </c>
      <c r="O177">
        <v>228211.37</v>
      </c>
      <c r="P177">
        <v>217645.66</v>
      </c>
      <c r="Q177">
        <v>209151.92</v>
      </c>
      <c r="R177">
        <v>202618.05</v>
      </c>
      <c r="S177">
        <v>202618.05</v>
      </c>
      <c r="U177" s="175">
        <f t="shared" si="12"/>
        <v>182757.72999999998</v>
      </c>
    </row>
    <row r="178" spans="1:21">
      <c r="A178" s="183" t="str">
        <f t="shared" si="10"/>
        <v>428</v>
      </c>
      <c r="B178" s="183" t="str">
        <f t="shared" si="11"/>
        <v>428.1</v>
      </c>
      <c r="C178" t="s">
        <v>1936</v>
      </c>
      <c r="D178" t="s">
        <v>1215</v>
      </c>
      <c r="G178">
        <v>91199.15</v>
      </c>
      <c r="H178">
        <v>62141.43</v>
      </c>
      <c r="I178">
        <v>91199.15</v>
      </c>
      <c r="J178">
        <v>76670.289999999994</v>
      </c>
      <c r="K178">
        <v>76670.289999999994</v>
      </c>
      <c r="L178">
        <v>57049.03</v>
      </c>
      <c r="M178">
        <v>57049.03</v>
      </c>
      <c r="N178">
        <v>57049.03</v>
      </c>
      <c r="O178">
        <v>57049.03</v>
      </c>
      <c r="P178">
        <v>57049.03</v>
      </c>
      <c r="Q178">
        <v>57049.03</v>
      </c>
      <c r="R178">
        <v>39394.699999999997</v>
      </c>
      <c r="S178">
        <v>39394.699999999997</v>
      </c>
      <c r="U178" s="175">
        <f t="shared" si="12"/>
        <v>62997.222307692311</v>
      </c>
    </row>
    <row r="179" spans="1:21">
      <c r="A179" s="183" t="str">
        <f t="shared" si="10"/>
        <v>429</v>
      </c>
      <c r="B179" s="183" t="str">
        <f t="shared" si="11"/>
        <v>429.0</v>
      </c>
      <c r="C179" t="s">
        <v>1937</v>
      </c>
      <c r="D179" t="s">
        <v>1217</v>
      </c>
      <c r="G179">
        <v>0</v>
      </c>
      <c r="H179">
        <v>0</v>
      </c>
      <c r="I179">
        <v>0</v>
      </c>
      <c r="J179">
        <v>0</v>
      </c>
      <c r="K179">
        <v>0</v>
      </c>
      <c r="L179">
        <v>0</v>
      </c>
      <c r="M179">
        <v>0</v>
      </c>
      <c r="N179">
        <v>0</v>
      </c>
      <c r="O179">
        <v>0</v>
      </c>
      <c r="P179">
        <v>0</v>
      </c>
      <c r="Q179">
        <v>0</v>
      </c>
      <c r="R179">
        <v>0</v>
      </c>
      <c r="S179">
        <v>0</v>
      </c>
      <c r="U179" s="175">
        <f t="shared" si="12"/>
        <v>0</v>
      </c>
    </row>
    <row r="180" spans="1:21">
      <c r="A180" s="183" t="str">
        <f t="shared" si="10"/>
        <v>429</v>
      </c>
      <c r="B180" s="183" t="str">
        <f t="shared" si="11"/>
        <v>429.1</v>
      </c>
      <c r="C180" t="s">
        <v>1938</v>
      </c>
      <c r="D180" t="s">
        <v>1219</v>
      </c>
      <c r="G180">
        <v>0</v>
      </c>
      <c r="H180">
        <v>0</v>
      </c>
      <c r="I180">
        <v>0</v>
      </c>
      <c r="J180">
        <v>0</v>
      </c>
      <c r="K180">
        <v>0</v>
      </c>
      <c r="L180">
        <v>0</v>
      </c>
      <c r="M180">
        <v>0</v>
      </c>
      <c r="N180">
        <v>0</v>
      </c>
      <c r="O180">
        <v>0</v>
      </c>
      <c r="P180">
        <v>0</v>
      </c>
      <c r="Q180">
        <v>0</v>
      </c>
      <c r="R180">
        <v>0</v>
      </c>
      <c r="S180">
        <v>0</v>
      </c>
      <c r="U180" s="175">
        <f t="shared" si="12"/>
        <v>0</v>
      </c>
    </row>
    <row r="181" spans="1:21">
      <c r="A181" s="183" t="str">
        <f t="shared" si="10"/>
        <v>430</v>
      </c>
      <c r="B181" s="183" t="str">
        <f t="shared" si="11"/>
        <v>430.0</v>
      </c>
      <c r="C181" t="s">
        <v>1939</v>
      </c>
      <c r="D181" t="s">
        <v>1221</v>
      </c>
      <c r="G181">
        <v>0</v>
      </c>
      <c r="H181">
        <v>0</v>
      </c>
      <c r="I181">
        <v>0</v>
      </c>
      <c r="J181">
        <v>0</v>
      </c>
      <c r="K181">
        <v>0</v>
      </c>
      <c r="L181">
        <v>0</v>
      </c>
      <c r="M181">
        <v>0</v>
      </c>
      <c r="N181">
        <v>0</v>
      </c>
      <c r="O181">
        <v>0</v>
      </c>
      <c r="P181">
        <v>0</v>
      </c>
      <c r="Q181">
        <v>0</v>
      </c>
      <c r="R181">
        <v>0</v>
      </c>
      <c r="S181">
        <v>0</v>
      </c>
      <c r="U181" s="175">
        <f t="shared" si="12"/>
        <v>0</v>
      </c>
    </row>
    <row r="182" spans="1:21">
      <c r="A182" s="183" t="str">
        <f t="shared" si="10"/>
        <v>431</v>
      </c>
      <c r="B182" s="183" t="str">
        <f t="shared" si="11"/>
        <v>431.0</v>
      </c>
      <c r="C182" t="s">
        <v>1940</v>
      </c>
      <c r="D182" t="s">
        <v>1223</v>
      </c>
      <c r="G182">
        <v>638148.46</v>
      </c>
      <c r="H182">
        <v>618487.26</v>
      </c>
      <c r="I182">
        <v>537168.53</v>
      </c>
      <c r="J182">
        <v>746174.87</v>
      </c>
      <c r="K182">
        <v>1083868.6100000001</v>
      </c>
      <c r="L182">
        <v>1145466.8799999999</v>
      </c>
      <c r="M182">
        <v>1295773.06</v>
      </c>
      <c r="N182">
        <v>1712299.61</v>
      </c>
      <c r="O182">
        <v>1308996.5900000001</v>
      </c>
      <c r="P182">
        <v>1797703.48</v>
      </c>
      <c r="Q182">
        <v>2598788.0299999998</v>
      </c>
      <c r="R182">
        <v>3276464.45</v>
      </c>
      <c r="S182">
        <v>4145837.54</v>
      </c>
      <c r="U182" s="175">
        <f t="shared" si="12"/>
        <v>1608090.566923077</v>
      </c>
    </row>
    <row r="183" spans="1:21">
      <c r="A183" s="183" t="str">
        <f t="shared" si="10"/>
        <v>432</v>
      </c>
      <c r="B183" s="183" t="str">
        <f t="shared" si="11"/>
        <v>432.0</v>
      </c>
      <c r="C183" t="s">
        <v>1941</v>
      </c>
      <c r="D183" t="s">
        <v>1225</v>
      </c>
      <c r="G183">
        <v>-1666935.84</v>
      </c>
      <c r="H183">
        <v>-874656.79</v>
      </c>
      <c r="I183">
        <v>-885413.93</v>
      </c>
      <c r="J183">
        <v>-925377.12</v>
      </c>
      <c r="K183">
        <v>-844249.09</v>
      </c>
      <c r="L183">
        <v>-761874.74</v>
      </c>
      <c r="M183">
        <v>-797511.21</v>
      </c>
      <c r="N183">
        <v>-827588.41</v>
      </c>
      <c r="O183">
        <v>-855550.12</v>
      </c>
      <c r="P183">
        <v>-901488.2</v>
      </c>
      <c r="Q183">
        <v>-956465.51</v>
      </c>
      <c r="R183">
        <v>-1125239.44</v>
      </c>
      <c r="S183">
        <v>-655171.9</v>
      </c>
      <c r="U183" s="175">
        <f t="shared" si="12"/>
        <v>-929040.17692307686</v>
      </c>
    </row>
    <row r="184" spans="1:21">
      <c r="A184" s="183" t="str">
        <f t="shared" si="10"/>
        <v>433</v>
      </c>
      <c r="B184" s="183" t="str">
        <f t="shared" si="11"/>
        <v>433.0</v>
      </c>
      <c r="C184" t="s">
        <v>1942</v>
      </c>
      <c r="D184" t="s">
        <v>1227</v>
      </c>
      <c r="G184">
        <v>-14883744.960000001</v>
      </c>
      <c r="H184">
        <v>-37144618.630000003</v>
      </c>
      <c r="I184">
        <v>41097192.560000002</v>
      </c>
      <c r="J184">
        <v>-24663937.25</v>
      </c>
      <c r="K184">
        <v>56505503.859999999</v>
      </c>
      <c r="L184">
        <v>-46090291.649999999</v>
      </c>
      <c r="M184">
        <v>-48062920.090000004</v>
      </c>
      <c r="N184">
        <v>-56429560.630000003</v>
      </c>
      <c r="O184">
        <v>78277080.439999998</v>
      </c>
      <c r="P184">
        <v>-48369432.68</v>
      </c>
      <c r="Q184">
        <v>114089075.31999999</v>
      </c>
      <c r="R184">
        <v>-31553694.039999999</v>
      </c>
      <c r="S184">
        <v>-21361656.039999999</v>
      </c>
      <c r="U184" s="175">
        <f t="shared" si="12"/>
        <v>-2968538.7530769235</v>
      </c>
    </row>
    <row r="185" spans="1:21">
      <c r="A185" s="183" t="str">
        <f t="shared" si="10"/>
        <v>434</v>
      </c>
      <c r="B185" s="183" t="str">
        <f t="shared" si="11"/>
        <v>434.0</v>
      </c>
      <c r="C185" t="s">
        <v>1943</v>
      </c>
      <c r="D185" t="s">
        <v>1229</v>
      </c>
      <c r="G185">
        <v>0</v>
      </c>
      <c r="H185">
        <v>0</v>
      </c>
      <c r="I185">
        <v>0</v>
      </c>
      <c r="J185">
        <v>0</v>
      </c>
      <c r="K185">
        <v>0</v>
      </c>
      <c r="L185">
        <v>0</v>
      </c>
      <c r="M185">
        <v>0</v>
      </c>
      <c r="N185">
        <v>0</v>
      </c>
      <c r="O185">
        <v>0</v>
      </c>
      <c r="P185">
        <v>0</v>
      </c>
      <c r="Q185">
        <v>0</v>
      </c>
      <c r="R185">
        <v>0</v>
      </c>
      <c r="S185">
        <v>0</v>
      </c>
      <c r="U185" s="175">
        <f t="shared" si="12"/>
        <v>0</v>
      </c>
    </row>
    <row r="186" spans="1:21">
      <c r="A186" s="183" t="str">
        <f t="shared" si="10"/>
        <v>435</v>
      </c>
      <c r="B186" s="183" t="str">
        <f t="shared" si="11"/>
        <v>435.0</v>
      </c>
      <c r="C186" t="s">
        <v>1944</v>
      </c>
      <c r="D186" t="s">
        <v>1231</v>
      </c>
      <c r="G186">
        <v>0</v>
      </c>
      <c r="H186">
        <v>0</v>
      </c>
      <c r="I186">
        <v>0</v>
      </c>
      <c r="J186">
        <v>0</v>
      </c>
      <c r="K186">
        <v>0</v>
      </c>
      <c r="L186">
        <v>0</v>
      </c>
      <c r="M186">
        <v>0</v>
      </c>
      <c r="N186">
        <v>0</v>
      </c>
      <c r="O186">
        <v>0</v>
      </c>
      <c r="P186">
        <v>0</v>
      </c>
      <c r="Q186">
        <v>0</v>
      </c>
      <c r="R186">
        <v>0</v>
      </c>
      <c r="S186">
        <v>0</v>
      </c>
      <c r="U186" s="175">
        <f t="shared" si="12"/>
        <v>0</v>
      </c>
    </row>
    <row r="187" spans="1:21">
      <c r="A187" s="183" t="str">
        <f t="shared" si="10"/>
        <v>436</v>
      </c>
      <c r="B187" s="183" t="str">
        <f t="shared" si="11"/>
        <v>436.0</v>
      </c>
      <c r="C187" t="s">
        <v>1945</v>
      </c>
      <c r="D187" t="s">
        <v>1946</v>
      </c>
      <c r="G187">
        <v>0</v>
      </c>
      <c r="H187">
        <v>0</v>
      </c>
      <c r="I187">
        <v>0</v>
      </c>
      <c r="J187">
        <v>0</v>
      </c>
      <c r="K187">
        <v>0</v>
      </c>
      <c r="L187">
        <v>0</v>
      </c>
      <c r="M187">
        <v>0</v>
      </c>
      <c r="N187">
        <v>0</v>
      </c>
      <c r="O187">
        <v>0</v>
      </c>
      <c r="P187">
        <v>0</v>
      </c>
      <c r="Q187">
        <v>0</v>
      </c>
      <c r="R187">
        <v>0</v>
      </c>
      <c r="S187">
        <v>0</v>
      </c>
      <c r="U187" s="175">
        <f t="shared" si="12"/>
        <v>0</v>
      </c>
    </row>
    <row r="188" spans="1:21">
      <c r="A188" s="183" t="str">
        <f t="shared" si="10"/>
        <v>437</v>
      </c>
      <c r="B188" s="183" t="str">
        <f t="shared" si="11"/>
        <v>437.0</v>
      </c>
      <c r="C188" t="s">
        <v>1947</v>
      </c>
      <c r="D188" t="s">
        <v>1948</v>
      </c>
      <c r="G188">
        <v>0</v>
      </c>
      <c r="H188">
        <v>0</v>
      </c>
      <c r="I188">
        <v>0</v>
      </c>
      <c r="J188">
        <v>0</v>
      </c>
      <c r="K188">
        <v>0</v>
      </c>
      <c r="L188">
        <v>0</v>
      </c>
      <c r="M188">
        <v>0</v>
      </c>
      <c r="N188">
        <v>0</v>
      </c>
      <c r="O188">
        <v>0</v>
      </c>
      <c r="P188">
        <v>0</v>
      </c>
      <c r="Q188">
        <v>0</v>
      </c>
      <c r="R188">
        <v>0</v>
      </c>
      <c r="S188">
        <v>0</v>
      </c>
      <c r="U188" s="175">
        <f t="shared" si="12"/>
        <v>0</v>
      </c>
    </row>
    <row r="189" spans="1:21">
      <c r="A189" s="183" t="str">
        <f t="shared" si="10"/>
        <v>438</v>
      </c>
      <c r="B189" s="183" t="str">
        <f t="shared" si="11"/>
        <v>438.0</v>
      </c>
      <c r="C189" t="s">
        <v>1949</v>
      </c>
      <c r="D189" t="s">
        <v>1233</v>
      </c>
      <c r="G189">
        <v>0</v>
      </c>
      <c r="H189">
        <v>0</v>
      </c>
      <c r="I189">
        <v>-67552985</v>
      </c>
      <c r="J189">
        <v>0</v>
      </c>
      <c r="K189">
        <v>-88264348</v>
      </c>
      <c r="L189">
        <v>0</v>
      </c>
      <c r="M189">
        <v>0</v>
      </c>
      <c r="N189">
        <v>0</v>
      </c>
      <c r="O189">
        <v>-125912056</v>
      </c>
      <c r="P189">
        <v>0</v>
      </c>
      <c r="Q189">
        <v>-152433969</v>
      </c>
      <c r="R189">
        <v>0</v>
      </c>
      <c r="S189">
        <v>0</v>
      </c>
      <c r="U189" s="175">
        <f t="shared" si="12"/>
        <v>-33397181.384615384</v>
      </c>
    </row>
    <row r="190" spans="1:21">
      <c r="A190" s="183" t="str">
        <f t="shared" si="10"/>
        <v>439</v>
      </c>
      <c r="B190" s="183" t="str">
        <f t="shared" si="11"/>
        <v>439.0</v>
      </c>
      <c r="C190" t="s">
        <v>1950</v>
      </c>
      <c r="D190" t="s">
        <v>1951</v>
      </c>
      <c r="G190">
        <v>0</v>
      </c>
      <c r="H190">
        <v>0</v>
      </c>
      <c r="I190">
        <v>0</v>
      </c>
      <c r="J190">
        <v>0</v>
      </c>
      <c r="K190">
        <v>0</v>
      </c>
      <c r="L190">
        <v>0</v>
      </c>
      <c r="M190">
        <v>0</v>
      </c>
      <c r="N190">
        <v>0</v>
      </c>
      <c r="O190">
        <v>0</v>
      </c>
      <c r="P190">
        <v>0</v>
      </c>
      <c r="Q190">
        <v>0</v>
      </c>
      <c r="R190">
        <v>0</v>
      </c>
      <c r="S190">
        <v>0</v>
      </c>
      <c r="U190" s="175">
        <f t="shared" si="12"/>
        <v>0</v>
      </c>
    </row>
    <row r="191" spans="1:21">
      <c r="A191" s="183" t="str">
        <f t="shared" si="10"/>
        <v>440</v>
      </c>
      <c r="B191" s="183" t="str">
        <f t="shared" si="11"/>
        <v>440.0</v>
      </c>
      <c r="C191" t="s">
        <v>1952</v>
      </c>
      <c r="D191" t="s">
        <v>1235</v>
      </c>
      <c r="G191">
        <v>81633806.290000007</v>
      </c>
      <c r="H191">
        <v>91842345.959999993</v>
      </c>
      <c r="I191">
        <v>92500591.379999995</v>
      </c>
      <c r="J191">
        <v>85786792.030000001</v>
      </c>
      <c r="K191">
        <v>97710786.420000002</v>
      </c>
      <c r="L191">
        <v>114669420.47</v>
      </c>
      <c r="M191">
        <v>135521822.31999999</v>
      </c>
      <c r="N191">
        <v>148331401.88</v>
      </c>
      <c r="O191">
        <v>146784420.5</v>
      </c>
      <c r="P191">
        <v>149404963.46000001</v>
      </c>
      <c r="Q191">
        <v>116422140.06</v>
      </c>
      <c r="R191">
        <v>103061846.59999999</v>
      </c>
      <c r="S191">
        <v>98698357.180000007</v>
      </c>
      <c r="U191" s="175">
        <f t="shared" si="12"/>
        <v>112489899.58076921</v>
      </c>
    </row>
    <row r="192" spans="1:21">
      <c r="A192" s="183" t="str">
        <f t="shared" si="10"/>
        <v>442</v>
      </c>
      <c r="B192" s="183" t="str">
        <f t="shared" si="11"/>
        <v>442.0</v>
      </c>
      <c r="C192" t="s">
        <v>1953</v>
      </c>
      <c r="D192" t="s">
        <v>1237</v>
      </c>
      <c r="G192">
        <v>66510152.670000002</v>
      </c>
      <c r="H192">
        <v>58969736.82</v>
      </c>
      <c r="I192">
        <v>54919266.549999997</v>
      </c>
      <c r="J192">
        <v>59844947.859999999</v>
      </c>
      <c r="K192">
        <v>67849146.390000001</v>
      </c>
      <c r="L192">
        <v>72087630.25</v>
      </c>
      <c r="M192">
        <v>77152042.280000001</v>
      </c>
      <c r="N192">
        <v>78129980.920000002</v>
      </c>
      <c r="O192">
        <v>80827379.489999995</v>
      </c>
      <c r="P192">
        <v>80028134.019999996</v>
      </c>
      <c r="Q192">
        <v>73863605.469999999</v>
      </c>
      <c r="R192">
        <v>66660194.039999999</v>
      </c>
      <c r="S192">
        <v>72461409.450000003</v>
      </c>
      <c r="U192" s="175">
        <f t="shared" si="12"/>
        <v>69946432.785384625</v>
      </c>
    </row>
    <row r="193" spans="1:21">
      <c r="A193" s="183" t="str">
        <f t="shared" si="10"/>
        <v>444</v>
      </c>
      <c r="B193" s="183" t="str">
        <f t="shared" si="11"/>
        <v>444.0</v>
      </c>
      <c r="C193" t="s">
        <v>1954</v>
      </c>
      <c r="D193" t="s">
        <v>1239</v>
      </c>
      <c r="G193">
        <v>2523362.64</v>
      </c>
      <c r="H193">
        <v>2983070.69</v>
      </c>
      <c r="I193">
        <v>2983091.54</v>
      </c>
      <c r="J193">
        <v>2980005.48</v>
      </c>
      <c r="K193">
        <v>3011961.42</v>
      </c>
      <c r="L193">
        <v>3013760.32</v>
      </c>
      <c r="M193">
        <v>3013254.97</v>
      </c>
      <c r="N193">
        <v>3010697.26</v>
      </c>
      <c r="O193">
        <v>3010441.11</v>
      </c>
      <c r="P193">
        <v>3026486.69</v>
      </c>
      <c r="Q193">
        <v>3009942.89</v>
      </c>
      <c r="R193">
        <v>3066192.28</v>
      </c>
      <c r="S193">
        <v>3057664.8</v>
      </c>
      <c r="U193" s="175">
        <f t="shared" si="12"/>
        <v>2976148.6223076922</v>
      </c>
    </row>
    <row r="194" spans="1:21">
      <c r="A194" s="183" t="str">
        <f t="shared" si="10"/>
        <v>445</v>
      </c>
      <c r="B194" s="183" t="str">
        <f t="shared" si="11"/>
        <v>445.0</v>
      </c>
      <c r="C194" t="s">
        <v>1955</v>
      </c>
      <c r="D194" t="s">
        <v>1241</v>
      </c>
      <c r="G194">
        <v>13843265.42</v>
      </c>
      <c r="H194">
        <v>12989612.609999999</v>
      </c>
      <c r="I194">
        <v>12532093.970000001</v>
      </c>
      <c r="J194">
        <v>12286804.32</v>
      </c>
      <c r="K194">
        <v>14595015.130000001</v>
      </c>
      <c r="L194">
        <v>15326667.310000001</v>
      </c>
      <c r="M194">
        <v>15810145.5</v>
      </c>
      <c r="N194">
        <v>15142962.66</v>
      </c>
      <c r="O194">
        <v>16111674.67</v>
      </c>
      <c r="P194">
        <v>17886035.539999999</v>
      </c>
      <c r="Q194">
        <v>15998953.08</v>
      </c>
      <c r="R194">
        <v>15103696.560000001</v>
      </c>
      <c r="S194">
        <v>15275290.560000001</v>
      </c>
      <c r="U194" s="175">
        <f t="shared" si="12"/>
        <v>14838632.102307694</v>
      </c>
    </row>
    <row r="195" spans="1:21">
      <c r="A195" s="183" t="str">
        <f t="shared" si="10"/>
        <v>446</v>
      </c>
      <c r="B195" s="183" t="str">
        <f t="shared" si="11"/>
        <v>446.0</v>
      </c>
      <c r="C195" t="s">
        <v>1956</v>
      </c>
      <c r="D195" t="s">
        <v>1243</v>
      </c>
      <c r="G195">
        <v>0</v>
      </c>
      <c r="H195">
        <v>0</v>
      </c>
      <c r="I195">
        <v>0</v>
      </c>
      <c r="J195">
        <v>0</v>
      </c>
      <c r="K195">
        <v>0</v>
      </c>
      <c r="L195">
        <v>0</v>
      </c>
      <c r="M195">
        <v>0</v>
      </c>
      <c r="N195">
        <v>0</v>
      </c>
      <c r="O195">
        <v>0</v>
      </c>
      <c r="P195">
        <v>0</v>
      </c>
      <c r="Q195">
        <v>0</v>
      </c>
      <c r="R195">
        <v>0</v>
      </c>
      <c r="S195">
        <v>0</v>
      </c>
      <c r="U195" s="175">
        <f t="shared" si="12"/>
        <v>0</v>
      </c>
    </row>
    <row r="196" spans="1:21">
      <c r="A196" s="183" t="str">
        <f t="shared" si="10"/>
        <v>447</v>
      </c>
      <c r="B196" s="183" t="str">
        <f t="shared" si="11"/>
        <v>447.0</v>
      </c>
      <c r="C196" t="s">
        <v>1957</v>
      </c>
      <c r="D196" t="s">
        <v>1245</v>
      </c>
      <c r="G196">
        <v>104729.85</v>
      </c>
      <c r="H196">
        <v>2567205.7999999998</v>
      </c>
      <c r="I196">
        <v>886106.57</v>
      </c>
      <c r="J196">
        <v>914241.81</v>
      </c>
      <c r="K196">
        <v>1468147.09</v>
      </c>
      <c r="L196">
        <v>6294722.9400000004</v>
      </c>
      <c r="M196">
        <v>7213050.9299999997</v>
      </c>
      <c r="N196">
        <v>5210308.71</v>
      </c>
      <c r="O196">
        <v>5177343.46</v>
      </c>
      <c r="P196">
        <v>2827777.8</v>
      </c>
      <c r="Q196">
        <v>1226620.75</v>
      </c>
      <c r="R196">
        <v>1812552.48</v>
      </c>
      <c r="S196">
        <v>1208643.93</v>
      </c>
      <c r="U196" s="175">
        <f t="shared" si="12"/>
        <v>2839342.4707692307</v>
      </c>
    </row>
    <row r="197" spans="1:21">
      <c r="A197" s="183" t="str">
        <f t="shared" si="10"/>
        <v>448</v>
      </c>
      <c r="B197" s="183" t="str">
        <f t="shared" si="11"/>
        <v>448.0</v>
      </c>
      <c r="C197" t="s">
        <v>1958</v>
      </c>
      <c r="D197" t="s">
        <v>1247</v>
      </c>
      <c r="G197">
        <v>0</v>
      </c>
      <c r="H197">
        <v>0</v>
      </c>
      <c r="I197">
        <v>0</v>
      </c>
      <c r="J197">
        <v>0</v>
      </c>
      <c r="K197">
        <v>0</v>
      </c>
      <c r="L197">
        <v>0</v>
      </c>
      <c r="M197">
        <v>0</v>
      </c>
      <c r="N197">
        <v>0</v>
      </c>
      <c r="O197">
        <v>0</v>
      </c>
      <c r="P197">
        <v>0</v>
      </c>
      <c r="Q197">
        <v>0</v>
      </c>
      <c r="R197">
        <v>0</v>
      </c>
      <c r="S197">
        <v>0</v>
      </c>
      <c r="U197" s="175">
        <f t="shared" si="12"/>
        <v>0</v>
      </c>
    </row>
    <row r="198" spans="1:21">
      <c r="A198" s="183" t="str">
        <f t="shared" si="10"/>
        <v>449</v>
      </c>
      <c r="B198" s="183" t="str">
        <f t="shared" si="11"/>
        <v>449.1</v>
      </c>
      <c r="C198" t="s">
        <v>1959</v>
      </c>
      <c r="D198" t="s">
        <v>1249</v>
      </c>
      <c r="G198">
        <v>0</v>
      </c>
      <c r="H198">
        <v>0</v>
      </c>
      <c r="I198">
        <v>-85648</v>
      </c>
      <c r="J198">
        <v>0</v>
      </c>
      <c r="K198">
        <v>0</v>
      </c>
      <c r="L198">
        <v>0</v>
      </c>
      <c r="M198">
        <v>0</v>
      </c>
      <c r="N198">
        <v>0</v>
      </c>
      <c r="O198">
        <v>0</v>
      </c>
      <c r="P198">
        <v>0</v>
      </c>
      <c r="Q198">
        <v>0</v>
      </c>
      <c r="R198">
        <v>0</v>
      </c>
      <c r="S198">
        <v>0</v>
      </c>
      <c r="U198" s="175">
        <f t="shared" si="12"/>
        <v>-6588.3076923076924</v>
      </c>
    </row>
    <row r="199" spans="1:21">
      <c r="A199" s="183" t="str">
        <f t="shared" ref="A199:A262" si="13">MID(C199,4,3)</f>
        <v>450</v>
      </c>
      <c r="B199" s="183" t="str">
        <f t="shared" ref="B199:B262" si="14">MID(C199,4,3)&amp;"."&amp;MID(C199,7,1)</f>
        <v>450.0</v>
      </c>
      <c r="C199" t="s">
        <v>1960</v>
      </c>
      <c r="D199" t="s">
        <v>1251</v>
      </c>
      <c r="G199">
        <v>0</v>
      </c>
      <c r="H199">
        <v>0</v>
      </c>
      <c r="I199">
        <v>0</v>
      </c>
      <c r="J199">
        <v>0</v>
      </c>
      <c r="K199">
        <v>0</v>
      </c>
      <c r="L199">
        <v>0</v>
      </c>
      <c r="M199">
        <v>0</v>
      </c>
      <c r="N199">
        <v>0</v>
      </c>
      <c r="O199">
        <v>0</v>
      </c>
      <c r="P199">
        <v>0</v>
      </c>
      <c r="Q199">
        <v>0</v>
      </c>
      <c r="R199">
        <v>0</v>
      </c>
      <c r="S199">
        <v>0</v>
      </c>
      <c r="U199" s="175">
        <f t="shared" ref="U199:U262" si="15">AVERAGE(G199:S199)</f>
        <v>0</v>
      </c>
    </row>
    <row r="200" spans="1:21">
      <c r="A200" s="183" t="str">
        <f t="shared" si="13"/>
        <v>451</v>
      </c>
      <c r="B200" s="183" t="str">
        <f t="shared" si="14"/>
        <v>451.0</v>
      </c>
      <c r="C200" t="s">
        <v>1961</v>
      </c>
      <c r="D200" t="s">
        <v>1253</v>
      </c>
      <c r="G200">
        <v>1971407.83</v>
      </c>
      <c r="H200">
        <v>1507701.51</v>
      </c>
      <c r="I200">
        <v>1509634.62</v>
      </c>
      <c r="J200">
        <v>1468005.04</v>
      </c>
      <c r="K200">
        <v>1434206.57</v>
      </c>
      <c r="L200">
        <v>1538043.96</v>
      </c>
      <c r="M200">
        <v>1659664.54</v>
      </c>
      <c r="N200">
        <v>1692133.4</v>
      </c>
      <c r="O200">
        <v>1877865.06</v>
      </c>
      <c r="P200">
        <v>1748465.16</v>
      </c>
      <c r="Q200">
        <v>1704135.26</v>
      </c>
      <c r="R200">
        <v>1636639.14</v>
      </c>
      <c r="S200">
        <v>1670164.86</v>
      </c>
      <c r="U200" s="175">
        <f t="shared" si="15"/>
        <v>1647543.6115384619</v>
      </c>
    </row>
    <row r="201" spans="1:21">
      <c r="A201" s="183" t="str">
        <f t="shared" si="13"/>
        <v>453</v>
      </c>
      <c r="B201" s="183" t="str">
        <f t="shared" si="14"/>
        <v>453.0</v>
      </c>
      <c r="C201" t="s">
        <v>1962</v>
      </c>
      <c r="D201" t="s">
        <v>1255</v>
      </c>
      <c r="G201">
        <v>0</v>
      </c>
      <c r="H201">
        <v>0</v>
      </c>
      <c r="I201">
        <v>0</v>
      </c>
      <c r="J201">
        <v>0</v>
      </c>
      <c r="K201">
        <v>0</v>
      </c>
      <c r="L201">
        <v>0</v>
      </c>
      <c r="M201">
        <v>0</v>
      </c>
      <c r="N201">
        <v>0</v>
      </c>
      <c r="O201">
        <v>0</v>
      </c>
      <c r="P201">
        <v>0</v>
      </c>
      <c r="Q201">
        <v>0</v>
      </c>
      <c r="R201">
        <v>0</v>
      </c>
      <c r="S201">
        <v>0</v>
      </c>
      <c r="U201" s="175">
        <f t="shared" si="15"/>
        <v>0</v>
      </c>
    </row>
    <row r="202" spans="1:21">
      <c r="A202" s="183" t="str">
        <f t="shared" si="13"/>
        <v>454</v>
      </c>
      <c r="B202" s="183" t="str">
        <f t="shared" si="14"/>
        <v>454.0</v>
      </c>
      <c r="C202" t="s">
        <v>1963</v>
      </c>
      <c r="D202" t="s">
        <v>1257</v>
      </c>
      <c r="G202">
        <v>743085.2</v>
      </c>
      <c r="H202">
        <v>1042896</v>
      </c>
      <c r="I202">
        <v>770982.72</v>
      </c>
      <c r="J202">
        <v>795133.98</v>
      </c>
      <c r="K202">
        <v>772425.27</v>
      </c>
      <c r="L202">
        <v>797212.03</v>
      </c>
      <c r="M202">
        <v>775826.42</v>
      </c>
      <c r="N202">
        <v>861092.72</v>
      </c>
      <c r="O202">
        <v>840106.54</v>
      </c>
      <c r="P202">
        <v>900714.21</v>
      </c>
      <c r="Q202">
        <v>844974.63</v>
      </c>
      <c r="R202">
        <v>817238.29</v>
      </c>
      <c r="S202">
        <v>759232.73</v>
      </c>
      <c r="U202" s="175">
        <f t="shared" si="15"/>
        <v>824686.21076923097</v>
      </c>
    </row>
    <row r="203" spans="1:21">
      <c r="A203" s="183" t="str">
        <f t="shared" si="13"/>
        <v>455</v>
      </c>
      <c r="B203" s="183" t="str">
        <f t="shared" si="14"/>
        <v>455.0</v>
      </c>
      <c r="C203" t="s">
        <v>1964</v>
      </c>
      <c r="D203" t="s">
        <v>1259</v>
      </c>
      <c r="G203">
        <v>315620.27</v>
      </c>
      <c r="H203">
        <v>315390.84999999998</v>
      </c>
      <c r="I203">
        <v>319879.51</v>
      </c>
      <c r="J203">
        <v>319863.34000000003</v>
      </c>
      <c r="K203">
        <v>319832.13</v>
      </c>
      <c r="L203">
        <v>319809.02</v>
      </c>
      <c r="M203">
        <v>327178.84000000003</v>
      </c>
      <c r="N203">
        <v>327258.26</v>
      </c>
      <c r="O203">
        <v>331244.26</v>
      </c>
      <c r="P203">
        <v>330446.18</v>
      </c>
      <c r="Q203">
        <v>330390.74</v>
      </c>
      <c r="R203">
        <v>327802.65999999997</v>
      </c>
      <c r="S203">
        <v>325159.02</v>
      </c>
      <c r="U203" s="175">
        <f t="shared" si="15"/>
        <v>323836.5446153846</v>
      </c>
    </row>
    <row r="204" spans="1:21">
      <c r="A204" s="183" t="str">
        <f t="shared" si="13"/>
        <v>456</v>
      </c>
      <c r="B204" s="183" t="str">
        <f t="shared" si="14"/>
        <v>456.0</v>
      </c>
      <c r="C204" t="s">
        <v>1965</v>
      </c>
      <c r="D204" t="s">
        <v>1261</v>
      </c>
      <c r="G204">
        <v>8456289.7400000002</v>
      </c>
      <c r="H204">
        <v>5081199.58</v>
      </c>
      <c r="I204">
        <v>-5022776.4000000004</v>
      </c>
      <c r="J204">
        <v>6315119.1799999997</v>
      </c>
      <c r="K204">
        <v>4277903.37</v>
      </c>
      <c r="L204">
        <v>12391458.85</v>
      </c>
      <c r="M204">
        <v>3407155.02</v>
      </c>
      <c r="N204">
        <v>3281442.44</v>
      </c>
      <c r="O204">
        <v>2598865.9900000002</v>
      </c>
      <c r="P204">
        <v>-8175673.3300000001</v>
      </c>
      <c r="Q204">
        <v>166516.54999999999</v>
      </c>
      <c r="R204">
        <v>-2643270.7599999998</v>
      </c>
      <c r="S204">
        <v>729736.89</v>
      </c>
      <c r="U204" s="175">
        <f t="shared" si="15"/>
        <v>2374151.3169230772</v>
      </c>
    </row>
    <row r="205" spans="1:21">
      <c r="A205" s="183" t="str">
        <f t="shared" si="13"/>
        <v>456</v>
      </c>
      <c r="B205" s="183" t="str">
        <f t="shared" si="14"/>
        <v>456.1</v>
      </c>
      <c r="C205" t="s">
        <v>1966</v>
      </c>
      <c r="D205" t="s">
        <v>1263</v>
      </c>
      <c r="G205">
        <v>457952.9</v>
      </c>
      <c r="H205">
        <v>1093430.25</v>
      </c>
      <c r="I205">
        <v>895953.48</v>
      </c>
      <c r="J205">
        <v>775703.72</v>
      </c>
      <c r="K205">
        <v>870266.82</v>
      </c>
      <c r="L205">
        <v>1033387.61</v>
      </c>
      <c r="M205">
        <v>1369448.93</v>
      </c>
      <c r="N205">
        <v>1012784.13</v>
      </c>
      <c r="O205">
        <v>1567927.83</v>
      </c>
      <c r="P205">
        <v>968380.19</v>
      </c>
      <c r="Q205">
        <v>911888.62</v>
      </c>
      <c r="R205">
        <v>852943.65</v>
      </c>
      <c r="S205">
        <v>1053381.52</v>
      </c>
      <c r="U205" s="175">
        <f t="shared" si="15"/>
        <v>989496.12692307669</v>
      </c>
    </row>
    <row r="206" spans="1:21">
      <c r="A206" s="183" t="str">
        <f t="shared" si="13"/>
        <v>457</v>
      </c>
      <c r="B206" s="183" t="str">
        <f t="shared" si="14"/>
        <v>457.1</v>
      </c>
      <c r="C206" t="s">
        <v>1967</v>
      </c>
      <c r="D206" t="s">
        <v>1265</v>
      </c>
      <c r="G206">
        <v>0</v>
      </c>
      <c r="H206">
        <v>0</v>
      </c>
      <c r="I206">
        <v>0</v>
      </c>
      <c r="J206">
        <v>0</v>
      </c>
      <c r="K206">
        <v>0</v>
      </c>
      <c r="L206">
        <v>0</v>
      </c>
      <c r="M206">
        <v>0</v>
      </c>
      <c r="N206">
        <v>0</v>
      </c>
      <c r="O206">
        <v>0</v>
      </c>
      <c r="P206">
        <v>0</v>
      </c>
      <c r="Q206">
        <v>0</v>
      </c>
      <c r="R206">
        <v>0</v>
      </c>
      <c r="S206">
        <v>0</v>
      </c>
      <c r="U206" s="175">
        <f t="shared" si="15"/>
        <v>0</v>
      </c>
    </row>
    <row r="207" spans="1:21">
      <c r="A207" s="183" t="str">
        <f t="shared" si="13"/>
        <v>457</v>
      </c>
      <c r="B207" s="183" t="str">
        <f t="shared" si="14"/>
        <v>457.2</v>
      </c>
      <c r="C207" t="s">
        <v>1968</v>
      </c>
      <c r="D207" t="s">
        <v>1267</v>
      </c>
      <c r="G207">
        <v>0</v>
      </c>
      <c r="H207">
        <v>0</v>
      </c>
      <c r="I207">
        <v>0</v>
      </c>
      <c r="J207">
        <v>0</v>
      </c>
      <c r="K207">
        <v>0</v>
      </c>
      <c r="L207">
        <v>0</v>
      </c>
      <c r="M207">
        <v>0</v>
      </c>
      <c r="N207">
        <v>0</v>
      </c>
      <c r="O207">
        <v>0</v>
      </c>
      <c r="P207">
        <v>0</v>
      </c>
      <c r="Q207">
        <v>0</v>
      </c>
      <c r="R207">
        <v>0</v>
      </c>
      <c r="S207">
        <v>0</v>
      </c>
      <c r="U207" s="175">
        <f t="shared" si="15"/>
        <v>0</v>
      </c>
    </row>
    <row r="208" spans="1:21">
      <c r="A208" s="183" t="str">
        <f t="shared" si="13"/>
        <v>458</v>
      </c>
      <c r="B208" s="183" t="str">
        <f t="shared" si="14"/>
        <v>458.1</v>
      </c>
      <c r="C208" t="s">
        <v>1969</v>
      </c>
      <c r="D208" t="s">
        <v>1269</v>
      </c>
      <c r="G208">
        <v>0</v>
      </c>
      <c r="H208">
        <v>0</v>
      </c>
      <c r="I208">
        <v>0</v>
      </c>
      <c r="J208">
        <v>0</v>
      </c>
      <c r="K208">
        <v>0</v>
      </c>
      <c r="L208">
        <v>0</v>
      </c>
      <c r="M208">
        <v>0</v>
      </c>
      <c r="N208">
        <v>0</v>
      </c>
      <c r="O208">
        <v>0</v>
      </c>
      <c r="P208">
        <v>0</v>
      </c>
      <c r="Q208">
        <v>0</v>
      </c>
      <c r="R208">
        <v>0</v>
      </c>
      <c r="S208">
        <v>0</v>
      </c>
      <c r="U208" s="175">
        <f t="shared" si="15"/>
        <v>0</v>
      </c>
    </row>
    <row r="209" spans="1:21">
      <c r="A209" s="183" t="str">
        <f t="shared" si="13"/>
        <v>480</v>
      </c>
      <c r="B209" s="183" t="str">
        <f t="shared" si="14"/>
        <v>480.0</v>
      </c>
      <c r="C209" t="s">
        <v>1970</v>
      </c>
      <c r="D209" t="s">
        <v>1271</v>
      </c>
      <c r="G209">
        <v>0</v>
      </c>
      <c r="H209">
        <v>0</v>
      </c>
      <c r="I209">
        <v>0</v>
      </c>
      <c r="J209">
        <v>0</v>
      </c>
      <c r="K209">
        <v>0</v>
      </c>
      <c r="L209">
        <v>0</v>
      </c>
      <c r="M209">
        <v>0</v>
      </c>
      <c r="N209">
        <v>0</v>
      </c>
      <c r="O209">
        <v>0</v>
      </c>
      <c r="P209">
        <v>0</v>
      </c>
      <c r="Q209">
        <v>0</v>
      </c>
      <c r="R209">
        <v>0</v>
      </c>
      <c r="S209">
        <v>0</v>
      </c>
      <c r="U209" s="175">
        <f t="shared" si="15"/>
        <v>0</v>
      </c>
    </row>
    <row r="210" spans="1:21">
      <c r="A210" s="183" t="str">
        <f t="shared" si="13"/>
        <v>481</v>
      </c>
      <c r="B210" s="183" t="str">
        <f t="shared" si="14"/>
        <v>481.0</v>
      </c>
      <c r="C210" t="s">
        <v>1971</v>
      </c>
      <c r="D210" t="s">
        <v>1273</v>
      </c>
      <c r="G210">
        <v>0</v>
      </c>
      <c r="H210">
        <v>0</v>
      </c>
      <c r="I210">
        <v>0</v>
      </c>
      <c r="J210">
        <v>0</v>
      </c>
      <c r="K210">
        <v>0</v>
      </c>
      <c r="L210">
        <v>0</v>
      </c>
      <c r="M210">
        <v>0</v>
      </c>
      <c r="N210">
        <v>0</v>
      </c>
      <c r="O210">
        <v>0</v>
      </c>
      <c r="P210">
        <v>0</v>
      </c>
      <c r="Q210">
        <v>0</v>
      </c>
      <c r="R210">
        <v>0</v>
      </c>
      <c r="S210">
        <v>0</v>
      </c>
      <c r="U210" s="175">
        <f t="shared" si="15"/>
        <v>0</v>
      </c>
    </row>
    <row r="211" spans="1:21">
      <c r="A211" s="183" t="str">
        <f t="shared" si="13"/>
        <v>482</v>
      </c>
      <c r="B211" s="183" t="str">
        <f t="shared" si="14"/>
        <v>482.0</v>
      </c>
      <c r="C211" t="s">
        <v>1972</v>
      </c>
      <c r="D211" t="s">
        <v>1275</v>
      </c>
      <c r="G211">
        <v>0</v>
      </c>
      <c r="H211">
        <v>0</v>
      </c>
      <c r="I211">
        <v>0</v>
      </c>
      <c r="J211">
        <v>0</v>
      </c>
      <c r="K211">
        <v>0</v>
      </c>
      <c r="L211">
        <v>0</v>
      </c>
      <c r="M211">
        <v>0</v>
      </c>
      <c r="N211">
        <v>0</v>
      </c>
      <c r="O211">
        <v>0</v>
      </c>
      <c r="P211">
        <v>0</v>
      </c>
      <c r="Q211">
        <v>0</v>
      </c>
      <c r="R211">
        <v>0</v>
      </c>
      <c r="S211">
        <v>0</v>
      </c>
      <c r="U211" s="175">
        <f t="shared" si="15"/>
        <v>0</v>
      </c>
    </row>
    <row r="212" spans="1:21">
      <c r="A212" s="183" t="str">
        <f t="shared" si="13"/>
        <v>483</v>
      </c>
      <c r="B212" s="183" t="str">
        <f t="shared" si="14"/>
        <v>483.0</v>
      </c>
      <c r="C212" t="s">
        <v>1973</v>
      </c>
      <c r="D212" t="s">
        <v>1277</v>
      </c>
      <c r="G212">
        <v>0</v>
      </c>
      <c r="H212">
        <v>0</v>
      </c>
      <c r="I212">
        <v>0</v>
      </c>
      <c r="J212">
        <v>0</v>
      </c>
      <c r="K212">
        <v>0</v>
      </c>
      <c r="L212">
        <v>0</v>
      </c>
      <c r="M212">
        <v>0</v>
      </c>
      <c r="N212">
        <v>0</v>
      </c>
      <c r="O212">
        <v>0</v>
      </c>
      <c r="P212">
        <v>0</v>
      </c>
      <c r="Q212">
        <v>0</v>
      </c>
      <c r="R212">
        <v>0</v>
      </c>
      <c r="S212">
        <v>0</v>
      </c>
      <c r="U212" s="175">
        <f t="shared" si="15"/>
        <v>0</v>
      </c>
    </row>
    <row r="213" spans="1:21">
      <c r="A213" s="183" t="str">
        <f t="shared" si="13"/>
        <v>484</v>
      </c>
      <c r="B213" s="183" t="str">
        <f t="shared" si="14"/>
        <v>484.0</v>
      </c>
      <c r="C213" t="s">
        <v>1974</v>
      </c>
      <c r="D213" t="s">
        <v>1279</v>
      </c>
      <c r="G213">
        <v>0</v>
      </c>
      <c r="H213">
        <v>0</v>
      </c>
      <c r="I213">
        <v>0</v>
      </c>
      <c r="J213">
        <v>0</v>
      </c>
      <c r="K213">
        <v>0</v>
      </c>
      <c r="L213">
        <v>0</v>
      </c>
      <c r="M213">
        <v>0</v>
      </c>
      <c r="N213">
        <v>0</v>
      </c>
      <c r="O213">
        <v>0</v>
      </c>
      <c r="P213">
        <v>0</v>
      </c>
      <c r="Q213">
        <v>0</v>
      </c>
      <c r="R213">
        <v>0</v>
      </c>
      <c r="S213">
        <v>0</v>
      </c>
      <c r="U213" s="175">
        <f t="shared" si="15"/>
        <v>0</v>
      </c>
    </row>
    <row r="214" spans="1:21">
      <c r="A214" s="183" t="str">
        <f t="shared" si="13"/>
        <v>485</v>
      </c>
      <c r="B214" s="183" t="str">
        <f t="shared" si="14"/>
        <v>485.0</v>
      </c>
      <c r="C214" t="s">
        <v>1975</v>
      </c>
      <c r="D214" t="s">
        <v>1281</v>
      </c>
      <c r="G214">
        <v>0</v>
      </c>
      <c r="H214">
        <v>0</v>
      </c>
      <c r="I214">
        <v>0</v>
      </c>
      <c r="J214">
        <v>0</v>
      </c>
      <c r="K214">
        <v>0</v>
      </c>
      <c r="L214">
        <v>0</v>
      </c>
      <c r="M214">
        <v>0</v>
      </c>
      <c r="N214">
        <v>0</v>
      </c>
      <c r="O214">
        <v>0</v>
      </c>
      <c r="P214">
        <v>0</v>
      </c>
      <c r="Q214">
        <v>0</v>
      </c>
      <c r="R214">
        <v>0</v>
      </c>
      <c r="S214">
        <v>0</v>
      </c>
      <c r="U214" s="175">
        <f t="shared" si="15"/>
        <v>0</v>
      </c>
    </row>
    <row r="215" spans="1:21">
      <c r="A215" s="183" t="str">
        <f t="shared" si="13"/>
        <v>487</v>
      </c>
      <c r="B215" s="183" t="str">
        <f t="shared" si="14"/>
        <v>487.0</v>
      </c>
      <c r="C215" t="s">
        <v>1976</v>
      </c>
      <c r="D215" t="s">
        <v>1283</v>
      </c>
      <c r="G215">
        <v>0</v>
      </c>
      <c r="H215">
        <v>0</v>
      </c>
      <c r="I215">
        <v>0</v>
      </c>
      <c r="J215">
        <v>0</v>
      </c>
      <c r="K215">
        <v>0</v>
      </c>
      <c r="L215">
        <v>0</v>
      </c>
      <c r="M215">
        <v>0</v>
      </c>
      <c r="N215">
        <v>0</v>
      </c>
      <c r="O215">
        <v>0</v>
      </c>
      <c r="P215">
        <v>0</v>
      </c>
      <c r="Q215">
        <v>0</v>
      </c>
      <c r="R215">
        <v>0</v>
      </c>
      <c r="S215">
        <v>0</v>
      </c>
      <c r="U215" s="175">
        <f t="shared" si="15"/>
        <v>0</v>
      </c>
    </row>
    <row r="216" spans="1:21">
      <c r="A216" s="183" t="str">
        <f t="shared" si="13"/>
        <v>488</v>
      </c>
      <c r="B216" s="183" t="str">
        <f t="shared" si="14"/>
        <v>488.0</v>
      </c>
      <c r="C216" t="s">
        <v>1977</v>
      </c>
      <c r="D216" t="s">
        <v>1285</v>
      </c>
      <c r="G216">
        <v>0</v>
      </c>
      <c r="H216">
        <v>0</v>
      </c>
      <c r="I216">
        <v>0</v>
      </c>
      <c r="J216">
        <v>0</v>
      </c>
      <c r="K216">
        <v>0</v>
      </c>
      <c r="L216">
        <v>0</v>
      </c>
      <c r="M216">
        <v>0</v>
      </c>
      <c r="N216">
        <v>0</v>
      </c>
      <c r="O216">
        <v>0</v>
      </c>
      <c r="P216">
        <v>0</v>
      </c>
      <c r="Q216">
        <v>0</v>
      </c>
      <c r="R216">
        <v>0</v>
      </c>
      <c r="S216">
        <v>0</v>
      </c>
      <c r="U216" s="175">
        <f t="shared" si="15"/>
        <v>0</v>
      </c>
    </row>
    <row r="217" spans="1:21">
      <c r="A217" s="183" t="str">
        <f t="shared" si="13"/>
        <v>489</v>
      </c>
      <c r="B217" s="183" t="str">
        <f t="shared" si="14"/>
        <v>489.1</v>
      </c>
      <c r="C217" t="s">
        <v>1978</v>
      </c>
      <c r="D217" t="s">
        <v>1287</v>
      </c>
      <c r="G217">
        <v>0</v>
      </c>
      <c r="H217">
        <v>0</v>
      </c>
      <c r="I217">
        <v>0</v>
      </c>
      <c r="J217">
        <v>0</v>
      </c>
      <c r="K217">
        <v>0</v>
      </c>
      <c r="L217">
        <v>0</v>
      </c>
      <c r="M217">
        <v>0</v>
      </c>
      <c r="N217">
        <v>0</v>
      </c>
      <c r="O217">
        <v>0</v>
      </c>
      <c r="P217">
        <v>0</v>
      </c>
      <c r="Q217">
        <v>0</v>
      </c>
      <c r="R217">
        <v>0</v>
      </c>
      <c r="S217">
        <v>0</v>
      </c>
      <c r="U217" s="175">
        <f t="shared" si="15"/>
        <v>0</v>
      </c>
    </row>
    <row r="218" spans="1:21">
      <c r="A218" s="183" t="str">
        <f t="shared" si="13"/>
        <v>489</v>
      </c>
      <c r="B218" s="183" t="str">
        <f t="shared" si="14"/>
        <v>489.2</v>
      </c>
      <c r="C218" t="s">
        <v>1979</v>
      </c>
      <c r="D218" t="s">
        <v>1289</v>
      </c>
      <c r="G218">
        <v>0</v>
      </c>
      <c r="H218">
        <v>0</v>
      </c>
      <c r="I218">
        <v>0</v>
      </c>
      <c r="J218">
        <v>0</v>
      </c>
      <c r="K218">
        <v>0</v>
      </c>
      <c r="L218">
        <v>0</v>
      </c>
      <c r="M218">
        <v>0</v>
      </c>
      <c r="N218">
        <v>0</v>
      </c>
      <c r="O218">
        <v>0</v>
      </c>
      <c r="P218">
        <v>0</v>
      </c>
      <c r="Q218">
        <v>0</v>
      </c>
      <c r="R218">
        <v>0</v>
      </c>
      <c r="S218">
        <v>0</v>
      </c>
      <c r="U218" s="175">
        <f t="shared" si="15"/>
        <v>0</v>
      </c>
    </row>
    <row r="219" spans="1:21">
      <c r="A219" s="183" t="str">
        <f t="shared" si="13"/>
        <v>489</v>
      </c>
      <c r="B219" s="183" t="str">
        <f t="shared" si="14"/>
        <v>489.3</v>
      </c>
      <c r="C219" t="s">
        <v>1980</v>
      </c>
      <c r="D219" t="s">
        <v>1291</v>
      </c>
      <c r="G219">
        <v>0</v>
      </c>
      <c r="H219">
        <v>0</v>
      </c>
      <c r="I219">
        <v>0</v>
      </c>
      <c r="J219">
        <v>0</v>
      </c>
      <c r="K219">
        <v>0</v>
      </c>
      <c r="L219">
        <v>0</v>
      </c>
      <c r="M219">
        <v>0</v>
      </c>
      <c r="N219">
        <v>0</v>
      </c>
      <c r="O219">
        <v>0</v>
      </c>
      <c r="P219">
        <v>0</v>
      </c>
      <c r="Q219">
        <v>0</v>
      </c>
      <c r="R219">
        <v>0</v>
      </c>
      <c r="S219">
        <v>0</v>
      </c>
      <c r="U219" s="175">
        <f t="shared" si="15"/>
        <v>0</v>
      </c>
    </row>
    <row r="220" spans="1:21">
      <c r="A220" s="183" t="str">
        <f t="shared" si="13"/>
        <v>489</v>
      </c>
      <c r="B220" s="183" t="str">
        <f t="shared" si="14"/>
        <v>489.4</v>
      </c>
      <c r="C220" t="s">
        <v>1981</v>
      </c>
      <c r="D220" t="s">
        <v>1293</v>
      </c>
      <c r="G220">
        <v>0</v>
      </c>
      <c r="H220">
        <v>0</v>
      </c>
      <c r="I220">
        <v>0</v>
      </c>
      <c r="J220">
        <v>0</v>
      </c>
      <c r="K220">
        <v>0</v>
      </c>
      <c r="L220">
        <v>0</v>
      </c>
      <c r="M220">
        <v>0</v>
      </c>
      <c r="N220">
        <v>0</v>
      </c>
      <c r="O220">
        <v>0</v>
      </c>
      <c r="P220">
        <v>0</v>
      </c>
      <c r="Q220">
        <v>0</v>
      </c>
      <c r="R220">
        <v>0</v>
      </c>
      <c r="S220">
        <v>0</v>
      </c>
      <c r="U220" s="175">
        <f t="shared" si="15"/>
        <v>0</v>
      </c>
    </row>
    <row r="221" spans="1:21">
      <c r="A221" s="183" t="str">
        <f t="shared" si="13"/>
        <v>490</v>
      </c>
      <c r="B221" s="183" t="str">
        <f t="shared" si="14"/>
        <v>490.0</v>
      </c>
      <c r="C221" t="s">
        <v>1982</v>
      </c>
      <c r="D221" t="s">
        <v>1295</v>
      </c>
      <c r="G221">
        <v>0</v>
      </c>
      <c r="H221">
        <v>0</v>
      </c>
      <c r="I221">
        <v>0</v>
      </c>
      <c r="J221">
        <v>0</v>
      </c>
      <c r="K221">
        <v>0</v>
      </c>
      <c r="L221">
        <v>0</v>
      </c>
      <c r="M221">
        <v>0</v>
      </c>
      <c r="N221">
        <v>0</v>
      </c>
      <c r="O221">
        <v>0</v>
      </c>
      <c r="P221">
        <v>0</v>
      </c>
      <c r="Q221">
        <v>0</v>
      </c>
      <c r="R221">
        <v>0</v>
      </c>
      <c r="S221">
        <v>0</v>
      </c>
      <c r="U221" s="175">
        <f t="shared" si="15"/>
        <v>0</v>
      </c>
    </row>
    <row r="222" spans="1:21">
      <c r="A222" s="183" t="str">
        <f t="shared" si="13"/>
        <v>491</v>
      </c>
      <c r="B222" s="183" t="str">
        <f t="shared" si="14"/>
        <v>491.0</v>
      </c>
      <c r="C222" t="s">
        <v>1983</v>
      </c>
      <c r="D222" t="s">
        <v>1297</v>
      </c>
      <c r="G222">
        <v>0</v>
      </c>
      <c r="H222">
        <v>0</v>
      </c>
      <c r="I222">
        <v>0</v>
      </c>
      <c r="J222">
        <v>0</v>
      </c>
      <c r="K222">
        <v>0</v>
      </c>
      <c r="L222">
        <v>0</v>
      </c>
      <c r="M222">
        <v>0</v>
      </c>
      <c r="N222">
        <v>0</v>
      </c>
      <c r="O222">
        <v>0</v>
      </c>
      <c r="P222">
        <v>0</v>
      </c>
      <c r="Q222">
        <v>0</v>
      </c>
      <c r="R222">
        <v>0</v>
      </c>
      <c r="S222">
        <v>0</v>
      </c>
      <c r="U222" s="175">
        <f t="shared" si="15"/>
        <v>0</v>
      </c>
    </row>
    <row r="223" spans="1:21">
      <c r="A223" s="183" t="str">
        <f t="shared" si="13"/>
        <v>492</v>
      </c>
      <c r="B223" s="183" t="str">
        <f t="shared" si="14"/>
        <v>492.0</v>
      </c>
      <c r="C223" t="s">
        <v>1984</v>
      </c>
      <c r="D223" t="s">
        <v>1299</v>
      </c>
      <c r="G223">
        <v>0</v>
      </c>
      <c r="H223">
        <v>0</v>
      </c>
      <c r="I223">
        <v>0</v>
      </c>
      <c r="J223">
        <v>0</v>
      </c>
      <c r="K223">
        <v>0</v>
      </c>
      <c r="L223">
        <v>0</v>
      </c>
      <c r="M223">
        <v>0</v>
      </c>
      <c r="N223">
        <v>0</v>
      </c>
      <c r="O223">
        <v>0</v>
      </c>
      <c r="P223">
        <v>0</v>
      </c>
      <c r="Q223">
        <v>0</v>
      </c>
      <c r="R223">
        <v>0</v>
      </c>
      <c r="S223">
        <v>0</v>
      </c>
      <c r="U223" s="175">
        <f t="shared" si="15"/>
        <v>0</v>
      </c>
    </row>
    <row r="224" spans="1:21">
      <c r="A224" s="183" t="str">
        <f t="shared" si="13"/>
        <v>493</v>
      </c>
      <c r="B224" s="183" t="str">
        <f t="shared" si="14"/>
        <v>493.0</v>
      </c>
      <c r="C224" t="s">
        <v>1985</v>
      </c>
      <c r="D224" t="s">
        <v>1301</v>
      </c>
      <c r="G224">
        <v>0</v>
      </c>
      <c r="H224">
        <v>0</v>
      </c>
      <c r="I224">
        <v>0</v>
      </c>
      <c r="J224">
        <v>0</v>
      </c>
      <c r="K224">
        <v>0</v>
      </c>
      <c r="L224">
        <v>0</v>
      </c>
      <c r="M224">
        <v>0</v>
      </c>
      <c r="N224">
        <v>0</v>
      </c>
      <c r="O224">
        <v>0</v>
      </c>
      <c r="P224">
        <v>0</v>
      </c>
      <c r="Q224">
        <v>0</v>
      </c>
      <c r="R224">
        <v>0</v>
      </c>
      <c r="S224">
        <v>0</v>
      </c>
      <c r="U224" s="175">
        <f t="shared" si="15"/>
        <v>0</v>
      </c>
    </row>
    <row r="225" spans="1:21">
      <c r="A225" s="183" t="str">
        <f t="shared" si="13"/>
        <v>494</v>
      </c>
      <c r="B225" s="183" t="str">
        <f t="shared" si="14"/>
        <v>494.0</v>
      </c>
      <c r="C225" t="s">
        <v>1986</v>
      </c>
      <c r="D225" t="s">
        <v>1303</v>
      </c>
      <c r="G225">
        <v>0</v>
      </c>
      <c r="H225">
        <v>0</v>
      </c>
      <c r="I225">
        <v>0</v>
      </c>
      <c r="J225">
        <v>0</v>
      </c>
      <c r="K225">
        <v>0</v>
      </c>
      <c r="L225">
        <v>0</v>
      </c>
      <c r="M225">
        <v>0</v>
      </c>
      <c r="N225">
        <v>0</v>
      </c>
      <c r="O225">
        <v>0</v>
      </c>
      <c r="P225">
        <v>0</v>
      </c>
      <c r="Q225">
        <v>0</v>
      </c>
      <c r="R225">
        <v>0</v>
      </c>
      <c r="S225">
        <v>0</v>
      </c>
      <c r="U225" s="175">
        <f t="shared" si="15"/>
        <v>0</v>
      </c>
    </row>
    <row r="226" spans="1:21">
      <c r="A226" s="183" t="str">
        <f t="shared" si="13"/>
        <v>495</v>
      </c>
      <c r="B226" s="183" t="str">
        <f t="shared" si="14"/>
        <v>495.0</v>
      </c>
      <c r="C226" t="s">
        <v>1987</v>
      </c>
      <c r="D226" t="s">
        <v>1305</v>
      </c>
      <c r="G226">
        <v>0</v>
      </c>
      <c r="H226">
        <v>0</v>
      </c>
      <c r="I226">
        <v>0</v>
      </c>
      <c r="J226">
        <v>0</v>
      </c>
      <c r="K226">
        <v>0</v>
      </c>
      <c r="L226">
        <v>0</v>
      </c>
      <c r="M226">
        <v>0</v>
      </c>
      <c r="N226">
        <v>0</v>
      </c>
      <c r="O226">
        <v>0</v>
      </c>
      <c r="P226">
        <v>0</v>
      </c>
      <c r="Q226">
        <v>0</v>
      </c>
      <c r="R226">
        <v>0</v>
      </c>
      <c r="S226">
        <v>0</v>
      </c>
      <c r="U226" s="175">
        <f t="shared" si="15"/>
        <v>0</v>
      </c>
    </row>
    <row r="227" spans="1:21">
      <c r="A227" s="183" t="str">
        <f t="shared" si="13"/>
        <v>496</v>
      </c>
      <c r="B227" s="183" t="str">
        <f t="shared" si="14"/>
        <v>496.0</v>
      </c>
      <c r="C227" t="s">
        <v>1988</v>
      </c>
      <c r="D227" t="s">
        <v>1307</v>
      </c>
      <c r="G227">
        <v>0</v>
      </c>
      <c r="H227">
        <v>0</v>
      </c>
      <c r="I227">
        <v>0</v>
      </c>
      <c r="J227">
        <v>0</v>
      </c>
      <c r="K227">
        <v>0</v>
      </c>
      <c r="L227">
        <v>0</v>
      </c>
      <c r="M227">
        <v>0</v>
      </c>
      <c r="N227">
        <v>0</v>
      </c>
      <c r="O227">
        <v>0</v>
      </c>
      <c r="P227">
        <v>0</v>
      </c>
      <c r="Q227">
        <v>0</v>
      </c>
      <c r="R227">
        <v>0</v>
      </c>
      <c r="S227">
        <v>0</v>
      </c>
      <c r="U227" s="175">
        <f t="shared" si="15"/>
        <v>0</v>
      </c>
    </row>
    <row r="228" spans="1:21">
      <c r="A228" s="183" t="str">
        <f t="shared" si="13"/>
        <v>500</v>
      </c>
      <c r="B228" s="183" t="str">
        <f t="shared" si="14"/>
        <v>500.0</v>
      </c>
      <c r="C228" t="s">
        <v>1989</v>
      </c>
      <c r="D228" t="s">
        <v>1309</v>
      </c>
      <c r="G228">
        <v>450809.59999999998</v>
      </c>
      <c r="H228">
        <v>403012.66</v>
      </c>
      <c r="I228">
        <v>451952.39</v>
      </c>
      <c r="J228">
        <v>474419.1</v>
      </c>
      <c r="K228">
        <v>431264.67</v>
      </c>
      <c r="L228">
        <v>510580.83</v>
      </c>
      <c r="M228">
        <v>427684.33</v>
      </c>
      <c r="N228">
        <v>340226.65</v>
      </c>
      <c r="O228">
        <v>568666.99</v>
      </c>
      <c r="P228">
        <v>452375.46</v>
      </c>
      <c r="Q228">
        <v>435270.83</v>
      </c>
      <c r="R228">
        <v>476139.5</v>
      </c>
      <c r="S228">
        <v>713666.94</v>
      </c>
      <c r="U228" s="175">
        <f t="shared" si="15"/>
        <v>472005.38076923072</v>
      </c>
    </row>
    <row r="229" spans="1:21">
      <c r="A229" s="183" t="str">
        <f t="shared" si="13"/>
        <v>501</v>
      </c>
      <c r="B229" s="183" t="str">
        <f t="shared" si="14"/>
        <v>501.0</v>
      </c>
      <c r="C229" t="s">
        <v>1990</v>
      </c>
      <c r="D229" t="s">
        <v>1311</v>
      </c>
      <c r="G229">
        <v>12649122.65</v>
      </c>
      <c r="H229">
        <v>12141697.630000001</v>
      </c>
      <c r="I229">
        <v>13470771.42</v>
      </c>
      <c r="J229">
        <v>7516778.4800000004</v>
      </c>
      <c r="K229">
        <v>3560164.36</v>
      </c>
      <c r="L229">
        <v>11653095.109999999</v>
      </c>
      <c r="M229">
        <v>7045602.1600000001</v>
      </c>
      <c r="N229">
        <v>12865565.560000001</v>
      </c>
      <c r="O229">
        <v>10726175.58</v>
      </c>
      <c r="P229">
        <v>13914702.57</v>
      </c>
      <c r="Q229">
        <v>7732378.8899999997</v>
      </c>
      <c r="R229">
        <v>9971367.9399999995</v>
      </c>
      <c r="S229">
        <v>9873754.0099999998</v>
      </c>
      <c r="U229" s="175">
        <f t="shared" si="15"/>
        <v>10240090.489230771</v>
      </c>
    </row>
    <row r="230" spans="1:21">
      <c r="A230" s="183" t="str">
        <f t="shared" si="13"/>
        <v>502</v>
      </c>
      <c r="B230" s="183" t="str">
        <f t="shared" si="14"/>
        <v>502.0</v>
      </c>
      <c r="C230" t="s">
        <v>1991</v>
      </c>
      <c r="D230" t="s">
        <v>1313</v>
      </c>
      <c r="G230">
        <v>619817.66</v>
      </c>
      <c r="H230">
        <v>572519.87</v>
      </c>
      <c r="I230">
        <v>883205.5</v>
      </c>
      <c r="J230">
        <v>1200411.8899999999</v>
      </c>
      <c r="K230">
        <v>658066.01</v>
      </c>
      <c r="L230">
        <v>722121.08</v>
      </c>
      <c r="M230">
        <v>817806.16</v>
      </c>
      <c r="N230">
        <v>1130488.1000000001</v>
      </c>
      <c r="O230">
        <v>1031124.52</v>
      </c>
      <c r="P230">
        <v>837546.28</v>
      </c>
      <c r="Q230">
        <v>673863.61</v>
      </c>
      <c r="R230">
        <v>694826.1</v>
      </c>
      <c r="S230">
        <v>792190.17</v>
      </c>
      <c r="U230" s="175">
        <f t="shared" si="15"/>
        <v>817998.99615384592</v>
      </c>
    </row>
    <row r="231" spans="1:21">
      <c r="A231" s="183" t="str">
        <f t="shared" si="13"/>
        <v>503</v>
      </c>
      <c r="B231" s="183" t="str">
        <f t="shared" si="14"/>
        <v>503.0</v>
      </c>
      <c r="C231" t="s">
        <v>1992</v>
      </c>
      <c r="D231" t="s">
        <v>1315</v>
      </c>
      <c r="G231">
        <v>0</v>
      </c>
      <c r="H231">
        <v>0</v>
      </c>
      <c r="I231">
        <v>0</v>
      </c>
      <c r="J231">
        <v>0</v>
      </c>
      <c r="K231">
        <v>0</v>
      </c>
      <c r="L231">
        <v>0</v>
      </c>
      <c r="M231">
        <v>0</v>
      </c>
      <c r="N231">
        <v>0</v>
      </c>
      <c r="O231">
        <v>0</v>
      </c>
      <c r="P231">
        <v>0</v>
      </c>
      <c r="Q231">
        <v>0</v>
      </c>
      <c r="R231">
        <v>0</v>
      </c>
      <c r="S231">
        <v>0</v>
      </c>
      <c r="U231" s="175">
        <f t="shared" si="15"/>
        <v>0</v>
      </c>
    </row>
    <row r="232" spans="1:21">
      <c r="A232" s="183" t="str">
        <f t="shared" si="13"/>
        <v>504</v>
      </c>
      <c r="B232" s="183" t="str">
        <f t="shared" si="14"/>
        <v>504.0</v>
      </c>
      <c r="C232" t="s">
        <v>1993</v>
      </c>
      <c r="D232" t="s">
        <v>1317</v>
      </c>
      <c r="G232">
        <v>0</v>
      </c>
      <c r="H232">
        <v>0</v>
      </c>
      <c r="I232">
        <v>0</v>
      </c>
      <c r="J232">
        <v>0</v>
      </c>
      <c r="K232">
        <v>0</v>
      </c>
      <c r="L232">
        <v>0</v>
      </c>
      <c r="M232">
        <v>0</v>
      </c>
      <c r="N232">
        <v>0</v>
      </c>
      <c r="O232">
        <v>0</v>
      </c>
      <c r="P232">
        <v>0</v>
      </c>
      <c r="Q232">
        <v>0</v>
      </c>
      <c r="R232">
        <v>0</v>
      </c>
      <c r="S232">
        <v>0</v>
      </c>
      <c r="U232" s="175">
        <f t="shared" si="15"/>
        <v>0</v>
      </c>
    </row>
    <row r="233" spans="1:21">
      <c r="A233" s="183" t="str">
        <f t="shared" si="13"/>
        <v>505</v>
      </c>
      <c r="B233" s="183" t="str">
        <f t="shared" si="14"/>
        <v>505.0</v>
      </c>
      <c r="C233" t="s">
        <v>1994</v>
      </c>
      <c r="D233" t="s">
        <v>1319</v>
      </c>
      <c r="G233">
        <v>265183.59999999998</v>
      </c>
      <c r="H233">
        <v>225770.04</v>
      </c>
      <c r="I233">
        <v>173400.48</v>
      </c>
      <c r="J233">
        <v>248323.48</v>
      </c>
      <c r="K233">
        <v>239334.32</v>
      </c>
      <c r="L233">
        <v>202452.12</v>
      </c>
      <c r="M233">
        <v>214535.32</v>
      </c>
      <c r="N233">
        <v>228021.33</v>
      </c>
      <c r="O233">
        <v>214388.11</v>
      </c>
      <c r="P233">
        <v>234353.81</v>
      </c>
      <c r="Q233">
        <v>214044.71</v>
      </c>
      <c r="R233">
        <v>264446.7</v>
      </c>
      <c r="S233">
        <v>248505.82</v>
      </c>
      <c r="U233" s="175">
        <f t="shared" si="15"/>
        <v>228673.83384615387</v>
      </c>
    </row>
    <row r="234" spans="1:21">
      <c r="A234" s="183" t="str">
        <f t="shared" si="13"/>
        <v>506</v>
      </c>
      <c r="B234" s="183" t="str">
        <f t="shared" si="14"/>
        <v>506.0</v>
      </c>
      <c r="C234" t="s">
        <v>1995</v>
      </c>
      <c r="D234" t="s">
        <v>1321</v>
      </c>
      <c r="G234">
        <v>3640485.68</v>
      </c>
      <c r="H234">
        <v>270057.15999999997</v>
      </c>
      <c r="I234">
        <v>460960.09</v>
      </c>
      <c r="J234">
        <v>361332.3</v>
      </c>
      <c r="K234">
        <v>464073.56</v>
      </c>
      <c r="L234">
        <v>348022.87</v>
      </c>
      <c r="M234">
        <v>307410.78000000003</v>
      </c>
      <c r="N234">
        <v>163577.4</v>
      </c>
      <c r="O234">
        <v>421949.62</v>
      </c>
      <c r="P234">
        <v>1407551.24</v>
      </c>
      <c r="Q234">
        <v>-663680.99</v>
      </c>
      <c r="R234">
        <v>472827.71</v>
      </c>
      <c r="S234">
        <v>-621153.55000000005</v>
      </c>
      <c r="U234" s="175">
        <f t="shared" si="15"/>
        <v>541031.83615384623</v>
      </c>
    </row>
    <row r="235" spans="1:21">
      <c r="A235" s="183" t="str">
        <f t="shared" si="13"/>
        <v>507</v>
      </c>
      <c r="B235" s="183" t="str">
        <f t="shared" si="14"/>
        <v>507.0</v>
      </c>
      <c r="C235" t="s">
        <v>1996</v>
      </c>
      <c r="D235" t="s">
        <v>1323</v>
      </c>
      <c r="G235">
        <v>0</v>
      </c>
      <c r="H235">
        <v>0</v>
      </c>
      <c r="I235">
        <v>0</v>
      </c>
      <c r="J235">
        <v>0</v>
      </c>
      <c r="K235">
        <v>0</v>
      </c>
      <c r="L235">
        <v>0</v>
      </c>
      <c r="M235">
        <v>0</v>
      </c>
      <c r="N235">
        <v>0</v>
      </c>
      <c r="O235">
        <v>0</v>
      </c>
      <c r="P235">
        <v>0</v>
      </c>
      <c r="Q235">
        <v>0</v>
      </c>
      <c r="R235">
        <v>3848.15</v>
      </c>
      <c r="S235">
        <v>0</v>
      </c>
      <c r="U235" s="175">
        <f t="shared" si="15"/>
        <v>296.01153846153846</v>
      </c>
    </row>
    <row r="236" spans="1:21">
      <c r="A236" s="183" t="str">
        <f t="shared" si="13"/>
        <v>509</v>
      </c>
      <c r="B236" s="183" t="str">
        <f t="shared" si="14"/>
        <v>509.0</v>
      </c>
      <c r="C236" t="s">
        <v>1997</v>
      </c>
      <c r="D236" t="s">
        <v>1325</v>
      </c>
      <c r="G236">
        <v>0</v>
      </c>
      <c r="H236">
        <v>-2.72</v>
      </c>
      <c r="I236">
        <v>0</v>
      </c>
      <c r="J236">
        <v>0</v>
      </c>
      <c r="K236">
        <v>-12.35</v>
      </c>
      <c r="L236">
        <v>0</v>
      </c>
      <c r="M236">
        <v>0</v>
      </c>
      <c r="N236">
        <v>-8.8000000000000007</v>
      </c>
      <c r="O236">
        <v>0</v>
      </c>
      <c r="P236">
        <v>0</v>
      </c>
      <c r="Q236">
        <v>-7.44</v>
      </c>
      <c r="R236">
        <v>0</v>
      </c>
      <c r="S236">
        <v>0</v>
      </c>
      <c r="U236" s="175">
        <f t="shared" si="15"/>
        <v>-2.4084615384615384</v>
      </c>
    </row>
    <row r="237" spans="1:21">
      <c r="A237" s="183" t="str">
        <f t="shared" si="13"/>
        <v>510</v>
      </c>
      <c r="B237" s="183" t="str">
        <f t="shared" si="14"/>
        <v>510.0</v>
      </c>
      <c r="C237" t="s">
        <v>1998</v>
      </c>
      <c r="D237" t="s">
        <v>1327</v>
      </c>
      <c r="G237">
        <v>5375.69</v>
      </c>
      <c r="H237">
        <v>0</v>
      </c>
      <c r="I237">
        <v>7348.84</v>
      </c>
      <c r="J237">
        <v>110.86</v>
      </c>
      <c r="K237">
        <v>0</v>
      </c>
      <c r="L237">
        <v>0</v>
      </c>
      <c r="M237">
        <v>0</v>
      </c>
      <c r="N237">
        <v>0</v>
      </c>
      <c r="O237">
        <v>0</v>
      </c>
      <c r="P237">
        <v>0</v>
      </c>
      <c r="Q237">
        <v>0</v>
      </c>
      <c r="R237">
        <v>0</v>
      </c>
      <c r="S237">
        <v>0</v>
      </c>
      <c r="U237" s="175">
        <f t="shared" si="15"/>
        <v>987.33769230769224</v>
      </c>
    </row>
    <row r="238" spans="1:21">
      <c r="A238" s="183" t="str">
        <f t="shared" si="13"/>
        <v>511</v>
      </c>
      <c r="B238" s="183" t="str">
        <f t="shared" si="14"/>
        <v>511.0</v>
      </c>
      <c r="C238" t="s">
        <v>1999</v>
      </c>
      <c r="D238" t="s">
        <v>1329</v>
      </c>
      <c r="G238">
        <v>240605.99</v>
      </c>
      <c r="H238">
        <v>139943.5</v>
      </c>
      <c r="I238">
        <v>398347</v>
      </c>
      <c r="J238">
        <v>271824.52</v>
      </c>
      <c r="K238">
        <v>497099.55</v>
      </c>
      <c r="L238">
        <v>420499.99</v>
      </c>
      <c r="M238">
        <v>134697.84</v>
      </c>
      <c r="N238">
        <v>246646.95</v>
      </c>
      <c r="O238">
        <v>256302.98</v>
      </c>
      <c r="P238">
        <v>236115.92</v>
      </c>
      <c r="Q238">
        <v>-244791.59</v>
      </c>
      <c r="R238">
        <v>443811.67</v>
      </c>
      <c r="S238">
        <v>841959.73</v>
      </c>
      <c r="U238" s="175">
        <f t="shared" si="15"/>
        <v>298697.23461538466</v>
      </c>
    </row>
    <row r="239" spans="1:21">
      <c r="A239" s="183" t="str">
        <f t="shared" si="13"/>
        <v>512</v>
      </c>
      <c r="B239" s="183" t="str">
        <f t="shared" si="14"/>
        <v>512.0</v>
      </c>
      <c r="C239" t="s">
        <v>2000</v>
      </c>
      <c r="D239" t="s">
        <v>1331</v>
      </c>
      <c r="G239">
        <v>3597816.55</v>
      </c>
      <c r="H239">
        <v>688537.08</v>
      </c>
      <c r="I239">
        <v>1130245.21</v>
      </c>
      <c r="J239">
        <v>1114959.8700000001</v>
      </c>
      <c r="K239">
        <v>1261807.18</v>
      </c>
      <c r="L239">
        <v>1255158.1200000001</v>
      </c>
      <c r="M239">
        <v>223164.86</v>
      </c>
      <c r="N239">
        <v>929119.25</v>
      </c>
      <c r="O239">
        <v>1450587.8</v>
      </c>
      <c r="P239">
        <v>535215</v>
      </c>
      <c r="Q239">
        <v>1138451.7</v>
      </c>
      <c r="R239">
        <v>1113787</v>
      </c>
      <c r="S239">
        <v>694000.2</v>
      </c>
      <c r="U239" s="175">
        <f t="shared" si="15"/>
        <v>1164065.3707692306</v>
      </c>
    </row>
    <row r="240" spans="1:21">
      <c r="A240" s="183" t="str">
        <f t="shared" si="13"/>
        <v>513</v>
      </c>
      <c r="B240" s="183" t="str">
        <f t="shared" si="14"/>
        <v>513.0</v>
      </c>
      <c r="C240" t="s">
        <v>2001</v>
      </c>
      <c r="D240" t="s">
        <v>1333</v>
      </c>
      <c r="G240">
        <v>86454.87</v>
      </c>
      <c r="H240">
        <v>459064</v>
      </c>
      <c r="I240">
        <v>304155.23</v>
      </c>
      <c r="J240">
        <v>308906.63</v>
      </c>
      <c r="K240">
        <v>515931.11</v>
      </c>
      <c r="L240">
        <v>-24633.84</v>
      </c>
      <c r="M240">
        <v>-120673.74</v>
      </c>
      <c r="N240">
        <v>129465.76</v>
      </c>
      <c r="O240">
        <v>117930.21</v>
      </c>
      <c r="P240">
        <v>503234.95</v>
      </c>
      <c r="Q240">
        <v>1371988.8</v>
      </c>
      <c r="R240">
        <v>-639221.06999999995</v>
      </c>
      <c r="S240">
        <v>397774.65</v>
      </c>
      <c r="U240" s="175">
        <f t="shared" si="15"/>
        <v>262336.73538461537</v>
      </c>
    </row>
    <row r="241" spans="1:21">
      <c r="A241" s="183" t="str">
        <f t="shared" si="13"/>
        <v>514</v>
      </c>
      <c r="B241" s="183" t="str">
        <f t="shared" si="14"/>
        <v>514.0</v>
      </c>
      <c r="C241" t="s">
        <v>2002</v>
      </c>
      <c r="D241" t="s">
        <v>1335</v>
      </c>
      <c r="G241">
        <v>-55140</v>
      </c>
      <c r="H241">
        <v>119169.37</v>
      </c>
      <c r="I241">
        <v>127520.52</v>
      </c>
      <c r="J241">
        <v>408319.98</v>
      </c>
      <c r="K241">
        <v>276763.92</v>
      </c>
      <c r="L241">
        <v>-226208.05</v>
      </c>
      <c r="M241">
        <v>152227.34</v>
      </c>
      <c r="N241">
        <v>108893.17</v>
      </c>
      <c r="O241">
        <v>132001.88</v>
      </c>
      <c r="P241">
        <v>154730.56</v>
      </c>
      <c r="Q241">
        <v>136787.01999999999</v>
      </c>
      <c r="R241">
        <v>126487.34</v>
      </c>
      <c r="S241">
        <v>403623.27</v>
      </c>
      <c r="U241" s="175">
        <f t="shared" si="15"/>
        <v>143475.10153846155</v>
      </c>
    </row>
    <row r="242" spans="1:21">
      <c r="A242" s="183" t="str">
        <f t="shared" si="13"/>
        <v>517</v>
      </c>
      <c r="B242" s="183" t="str">
        <f t="shared" si="14"/>
        <v>517.0</v>
      </c>
      <c r="C242" t="s">
        <v>2003</v>
      </c>
      <c r="D242" t="s">
        <v>1337</v>
      </c>
      <c r="G242">
        <v>0</v>
      </c>
      <c r="H242">
        <v>0</v>
      </c>
      <c r="I242">
        <v>0</v>
      </c>
      <c r="J242">
        <v>0</v>
      </c>
      <c r="K242">
        <v>0</v>
      </c>
      <c r="L242">
        <v>0</v>
      </c>
      <c r="M242">
        <v>0</v>
      </c>
      <c r="N242">
        <v>0</v>
      </c>
      <c r="O242">
        <v>0</v>
      </c>
      <c r="P242">
        <v>0</v>
      </c>
      <c r="Q242">
        <v>0</v>
      </c>
      <c r="R242">
        <v>0</v>
      </c>
      <c r="S242">
        <v>0</v>
      </c>
      <c r="U242" s="175">
        <f t="shared" si="15"/>
        <v>0</v>
      </c>
    </row>
    <row r="243" spans="1:21">
      <c r="A243" s="183" t="str">
        <f t="shared" si="13"/>
        <v>518</v>
      </c>
      <c r="B243" s="183" t="str">
        <f t="shared" si="14"/>
        <v>518.0</v>
      </c>
      <c r="C243" t="s">
        <v>2004</v>
      </c>
      <c r="D243" t="s">
        <v>1339</v>
      </c>
      <c r="G243">
        <v>0</v>
      </c>
      <c r="H243">
        <v>0</v>
      </c>
      <c r="I243">
        <v>0</v>
      </c>
      <c r="J243">
        <v>0</v>
      </c>
      <c r="K243">
        <v>0</v>
      </c>
      <c r="L243">
        <v>0</v>
      </c>
      <c r="M243">
        <v>0</v>
      </c>
      <c r="N243">
        <v>0</v>
      </c>
      <c r="O243">
        <v>0</v>
      </c>
      <c r="P243">
        <v>0</v>
      </c>
      <c r="Q243">
        <v>0</v>
      </c>
      <c r="R243">
        <v>0</v>
      </c>
      <c r="S243">
        <v>0</v>
      </c>
      <c r="U243" s="175">
        <f t="shared" si="15"/>
        <v>0</v>
      </c>
    </row>
    <row r="244" spans="1:21">
      <c r="A244" s="183" t="str">
        <f t="shared" si="13"/>
        <v>519</v>
      </c>
      <c r="B244" s="183" t="str">
        <f t="shared" si="14"/>
        <v>519.0</v>
      </c>
      <c r="C244" t="s">
        <v>2005</v>
      </c>
      <c r="D244" t="s">
        <v>1341</v>
      </c>
      <c r="G244">
        <v>0</v>
      </c>
      <c r="H244">
        <v>0</v>
      </c>
      <c r="I244">
        <v>0</v>
      </c>
      <c r="J244">
        <v>0</v>
      </c>
      <c r="K244">
        <v>0</v>
      </c>
      <c r="L244">
        <v>0</v>
      </c>
      <c r="M244">
        <v>0</v>
      </c>
      <c r="N244">
        <v>0</v>
      </c>
      <c r="O244">
        <v>0</v>
      </c>
      <c r="P244">
        <v>0</v>
      </c>
      <c r="Q244">
        <v>0</v>
      </c>
      <c r="R244">
        <v>0</v>
      </c>
      <c r="S244">
        <v>0</v>
      </c>
      <c r="U244" s="175">
        <f t="shared" si="15"/>
        <v>0</v>
      </c>
    </row>
    <row r="245" spans="1:21">
      <c r="A245" s="183" t="str">
        <f t="shared" si="13"/>
        <v>520</v>
      </c>
      <c r="B245" s="183" t="str">
        <f t="shared" si="14"/>
        <v>520.0</v>
      </c>
      <c r="C245" t="s">
        <v>2006</v>
      </c>
      <c r="D245" t="s">
        <v>1343</v>
      </c>
      <c r="G245">
        <v>0</v>
      </c>
      <c r="H245">
        <v>0</v>
      </c>
      <c r="I245">
        <v>0</v>
      </c>
      <c r="J245">
        <v>0</v>
      </c>
      <c r="K245">
        <v>0</v>
      </c>
      <c r="L245">
        <v>0</v>
      </c>
      <c r="M245">
        <v>0</v>
      </c>
      <c r="N245">
        <v>0</v>
      </c>
      <c r="O245">
        <v>0</v>
      </c>
      <c r="P245">
        <v>0</v>
      </c>
      <c r="Q245">
        <v>0</v>
      </c>
      <c r="R245">
        <v>0</v>
      </c>
      <c r="S245">
        <v>0</v>
      </c>
      <c r="U245" s="175">
        <f t="shared" si="15"/>
        <v>0</v>
      </c>
    </row>
    <row r="246" spans="1:21">
      <c r="A246" s="183" t="str">
        <f t="shared" si="13"/>
        <v>521</v>
      </c>
      <c r="B246" s="183" t="str">
        <f t="shared" si="14"/>
        <v>521.0</v>
      </c>
      <c r="C246" t="s">
        <v>2007</v>
      </c>
      <c r="D246" t="s">
        <v>1345</v>
      </c>
      <c r="G246">
        <v>0</v>
      </c>
      <c r="H246">
        <v>0</v>
      </c>
      <c r="I246">
        <v>0</v>
      </c>
      <c r="J246">
        <v>0</v>
      </c>
      <c r="K246">
        <v>0</v>
      </c>
      <c r="L246">
        <v>0</v>
      </c>
      <c r="M246">
        <v>0</v>
      </c>
      <c r="N246">
        <v>0</v>
      </c>
      <c r="O246">
        <v>0</v>
      </c>
      <c r="P246">
        <v>0</v>
      </c>
      <c r="Q246">
        <v>0</v>
      </c>
      <c r="R246">
        <v>0</v>
      </c>
      <c r="S246">
        <v>0</v>
      </c>
      <c r="U246" s="175">
        <f t="shared" si="15"/>
        <v>0</v>
      </c>
    </row>
    <row r="247" spans="1:21">
      <c r="A247" s="183" t="str">
        <f t="shared" si="13"/>
        <v>522</v>
      </c>
      <c r="B247" s="183" t="str">
        <f t="shared" si="14"/>
        <v>522.0</v>
      </c>
      <c r="C247" t="s">
        <v>2008</v>
      </c>
      <c r="D247" t="s">
        <v>1347</v>
      </c>
      <c r="G247">
        <v>0</v>
      </c>
      <c r="H247">
        <v>0</v>
      </c>
      <c r="I247">
        <v>0</v>
      </c>
      <c r="J247">
        <v>0</v>
      </c>
      <c r="K247">
        <v>0</v>
      </c>
      <c r="L247">
        <v>0</v>
      </c>
      <c r="M247">
        <v>0</v>
      </c>
      <c r="N247">
        <v>0</v>
      </c>
      <c r="O247">
        <v>0</v>
      </c>
      <c r="P247">
        <v>0</v>
      </c>
      <c r="Q247">
        <v>0</v>
      </c>
      <c r="R247">
        <v>0</v>
      </c>
      <c r="S247">
        <v>0</v>
      </c>
      <c r="U247" s="175">
        <f t="shared" si="15"/>
        <v>0</v>
      </c>
    </row>
    <row r="248" spans="1:21">
      <c r="A248" s="183" t="str">
        <f t="shared" si="13"/>
        <v>523</v>
      </c>
      <c r="B248" s="183" t="str">
        <f t="shared" si="14"/>
        <v>523.0</v>
      </c>
      <c r="C248" t="s">
        <v>2009</v>
      </c>
      <c r="D248" t="s">
        <v>1349</v>
      </c>
      <c r="G248">
        <v>0</v>
      </c>
      <c r="H248">
        <v>0</v>
      </c>
      <c r="I248">
        <v>0</v>
      </c>
      <c r="J248">
        <v>0</v>
      </c>
      <c r="K248">
        <v>0</v>
      </c>
      <c r="L248">
        <v>0</v>
      </c>
      <c r="M248">
        <v>0</v>
      </c>
      <c r="N248">
        <v>0</v>
      </c>
      <c r="O248">
        <v>0</v>
      </c>
      <c r="P248">
        <v>0</v>
      </c>
      <c r="Q248">
        <v>0</v>
      </c>
      <c r="R248">
        <v>0</v>
      </c>
      <c r="S248">
        <v>0</v>
      </c>
      <c r="U248" s="175">
        <f t="shared" si="15"/>
        <v>0</v>
      </c>
    </row>
    <row r="249" spans="1:21">
      <c r="A249" s="183" t="str">
        <f t="shared" si="13"/>
        <v>524</v>
      </c>
      <c r="B249" s="183" t="str">
        <f t="shared" si="14"/>
        <v>524.0</v>
      </c>
      <c r="C249" t="s">
        <v>2010</v>
      </c>
      <c r="D249" t="s">
        <v>1351</v>
      </c>
      <c r="G249">
        <v>0</v>
      </c>
      <c r="H249">
        <v>0</v>
      </c>
      <c r="I249">
        <v>0</v>
      </c>
      <c r="J249">
        <v>0</v>
      </c>
      <c r="K249">
        <v>0</v>
      </c>
      <c r="L249">
        <v>0</v>
      </c>
      <c r="M249">
        <v>0</v>
      </c>
      <c r="N249">
        <v>0</v>
      </c>
      <c r="O249">
        <v>0</v>
      </c>
      <c r="P249">
        <v>0</v>
      </c>
      <c r="Q249">
        <v>0</v>
      </c>
      <c r="R249">
        <v>0</v>
      </c>
      <c r="S249">
        <v>0</v>
      </c>
      <c r="U249" s="175">
        <f t="shared" si="15"/>
        <v>0</v>
      </c>
    </row>
    <row r="250" spans="1:21">
      <c r="A250" s="183" t="str">
        <f t="shared" si="13"/>
        <v>525</v>
      </c>
      <c r="B250" s="183" t="str">
        <f t="shared" si="14"/>
        <v>525.0</v>
      </c>
      <c r="C250" t="s">
        <v>2011</v>
      </c>
      <c r="D250" t="s">
        <v>1353</v>
      </c>
      <c r="G250">
        <v>0</v>
      </c>
      <c r="H250">
        <v>0</v>
      </c>
      <c r="I250">
        <v>0</v>
      </c>
      <c r="J250">
        <v>0</v>
      </c>
      <c r="K250">
        <v>0</v>
      </c>
      <c r="L250">
        <v>0</v>
      </c>
      <c r="M250">
        <v>0</v>
      </c>
      <c r="N250">
        <v>0</v>
      </c>
      <c r="O250">
        <v>0</v>
      </c>
      <c r="P250">
        <v>0</v>
      </c>
      <c r="Q250">
        <v>0</v>
      </c>
      <c r="R250">
        <v>0</v>
      </c>
      <c r="S250">
        <v>0</v>
      </c>
      <c r="U250" s="175">
        <f t="shared" si="15"/>
        <v>0</v>
      </c>
    </row>
    <row r="251" spans="1:21">
      <c r="A251" s="183" t="str">
        <f t="shared" si="13"/>
        <v>528</v>
      </c>
      <c r="B251" s="183" t="str">
        <f t="shared" si="14"/>
        <v>528.0</v>
      </c>
      <c r="C251" t="s">
        <v>2012</v>
      </c>
      <c r="D251" t="s">
        <v>1355</v>
      </c>
      <c r="G251">
        <v>0</v>
      </c>
      <c r="H251">
        <v>0</v>
      </c>
      <c r="I251">
        <v>0</v>
      </c>
      <c r="J251">
        <v>0</v>
      </c>
      <c r="K251">
        <v>0</v>
      </c>
      <c r="L251">
        <v>0</v>
      </c>
      <c r="M251">
        <v>0</v>
      </c>
      <c r="N251">
        <v>0</v>
      </c>
      <c r="O251">
        <v>0</v>
      </c>
      <c r="P251">
        <v>0</v>
      </c>
      <c r="Q251">
        <v>0</v>
      </c>
      <c r="R251">
        <v>0</v>
      </c>
      <c r="S251">
        <v>0</v>
      </c>
      <c r="U251" s="175">
        <f t="shared" si="15"/>
        <v>0</v>
      </c>
    </row>
    <row r="252" spans="1:21">
      <c r="A252" s="183" t="str">
        <f t="shared" si="13"/>
        <v>529</v>
      </c>
      <c r="B252" s="183" t="str">
        <f t="shared" si="14"/>
        <v>529.0</v>
      </c>
      <c r="C252" t="s">
        <v>2013</v>
      </c>
      <c r="D252" t="s">
        <v>1357</v>
      </c>
      <c r="G252">
        <v>0</v>
      </c>
      <c r="H252">
        <v>0</v>
      </c>
      <c r="I252">
        <v>0</v>
      </c>
      <c r="J252">
        <v>0</v>
      </c>
      <c r="K252">
        <v>0</v>
      </c>
      <c r="L252">
        <v>0</v>
      </c>
      <c r="M252">
        <v>0</v>
      </c>
      <c r="N252">
        <v>0</v>
      </c>
      <c r="O252">
        <v>0</v>
      </c>
      <c r="P252">
        <v>0</v>
      </c>
      <c r="Q252">
        <v>0</v>
      </c>
      <c r="R252">
        <v>0</v>
      </c>
      <c r="S252">
        <v>0</v>
      </c>
      <c r="U252" s="175">
        <f t="shared" si="15"/>
        <v>0</v>
      </c>
    </row>
    <row r="253" spans="1:21">
      <c r="A253" s="183" t="str">
        <f t="shared" si="13"/>
        <v>530</v>
      </c>
      <c r="B253" s="183" t="str">
        <f t="shared" si="14"/>
        <v>530.0</v>
      </c>
      <c r="C253" t="s">
        <v>2014</v>
      </c>
      <c r="D253" t="s">
        <v>1359</v>
      </c>
      <c r="G253">
        <v>0</v>
      </c>
      <c r="H253">
        <v>0</v>
      </c>
      <c r="I253">
        <v>0</v>
      </c>
      <c r="J253">
        <v>0</v>
      </c>
      <c r="K253">
        <v>0</v>
      </c>
      <c r="L253">
        <v>0</v>
      </c>
      <c r="M253">
        <v>0</v>
      </c>
      <c r="N253">
        <v>0</v>
      </c>
      <c r="O253">
        <v>0</v>
      </c>
      <c r="P253">
        <v>0</v>
      </c>
      <c r="Q253">
        <v>0</v>
      </c>
      <c r="R253">
        <v>0</v>
      </c>
      <c r="S253">
        <v>0</v>
      </c>
      <c r="U253" s="175">
        <f t="shared" si="15"/>
        <v>0</v>
      </c>
    </row>
    <row r="254" spans="1:21">
      <c r="A254" s="183" t="str">
        <f t="shared" si="13"/>
        <v>531</v>
      </c>
      <c r="B254" s="183" t="str">
        <f t="shared" si="14"/>
        <v>531.0</v>
      </c>
      <c r="C254" t="s">
        <v>2015</v>
      </c>
      <c r="D254" t="s">
        <v>1361</v>
      </c>
      <c r="G254">
        <v>0</v>
      </c>
      <c r="H254">
        <v>0</v>
      </c>
      <c r="I254">
        <v>0</v>
      </c>
      <c r="J254">
        <v>0</v>
      </c>
      <c r="K254">
        <v>0</v>
      </c>
      <c r="L254">
        <v>0</v>
      </c>
      <c r="M254">
        <v>0</v>
      </c>
      <c r="N254">
        <v>0</v>
      </c>
      <c r="O254">
        <v>0</v>
      </c>
      <c r="P254">
        <v>0</v>
      </c>
      <c r="Q254">
        <v>0</v>
      </c>
      <c r="R254">
        <v>0</v>
      </c>
      <c r="S254">
        <v>0</v>
      </c>
      <c r="U254" s="175">
        <f t="shared" si="15"/>
        <v>0</v>
      </c>
    </row>
    <row r="255" spans="1:21">
      <c r="A255" s="183" t="str">
        <f t="shared" si="13"/>
        <v>532</v>
      </c>
      <c r="B255" s="183" t="str">
        <f t="shared" si="14"/>
        <v>532.0</v>
      </c>
      <c r="C255" t="s">
        <v>2016</v>
      </c>
      <c r="D255" t="s">
        <v>1363</v>
      </c>
      <c r="G255">
        <v>0</v>
      </c>
      <c r="H255">
        <v>0</v>
      </c>
      <c r="I255">
        <v>0</v>
      </c>
      <c r="J255">
        <v>0</v>
      </c>
      <c r="K255">
        <v>0</v>
      </c>
      <c r="L255">
        <v>0</v>
      </c>
      <c r="M255">
        <v>0</v>
      </c>
      <c r="N255">
        <v>0</v>
      </c>
      <c r="O255">
        <v>0</v>
      </c>
      <c r="P255">
        <v>0</v>
      </c>
      <c r="Q255">
        <v>0</v>
      </c>
      <c r="R255">
        <v>0</v>
      </c>
      <c r="S255">
        <v>0</v>
      </c>
      <c r="U255" s="175">
        <f t="shared" si="15"/>
        <v>0</v>
      </c>
    </row>
    <row r="256" spans="1:21">
      <c r="A256" s="183" t="str">
        <f t="shared" si="13"/>
        <v>535</v>
      </c>
      <c r="B256" s="183" t="str">
        <f t="shared" si="14"/>
        <v>535.0</v>
      </c>
      <c r="C256" t="s">
        <v>2017</v>
      </c>
      <c r="D256" t="s">
        <v>1365</v>
      </c>
      <c r="G256">
        <v>0</v>
      </c>
      <c r="H256">
        <v>0</v>
      </c>
      <c r="I256">
        <v>0</v>
      </c>
      <c r="J256">
        <v>0</v>
      </c>
      <c r="K256">
        <v>0</v>
      </c>
      <c r="L256">
        <v>0</v>
      </c>
      <c r="M256">
        <v>0</v>
      </c>
      <c r="N256">
        <v>0</v>
      </c>
      <c r="O256">
        <v>0</v>
      </c>
      <c r="P256">
        <v>0</v>
      </c>
      <c r="Q256">
        <v>0</v>
      </c>
      <c r="R256">
        <v>0</v>
      </c>
      <c r="S256">
        <v>0</v>
      </c>
      <c r="U256" s="175">
        <f t="shared" si="15"/>
        <v>0</v>
      </c>
    </row>
    <row r="257" spans="1:21">
      <c r="A257" s="183" t="str">
        <f t="shared" si="13"/>
        <v>536</v>
      </c>
      <c r="B257" s="183" t="str">
        <f t="shared" si="14"/>
        <v>536.0</v>
      </c>
      <c r="C257" t="s">
        <v>2018</v>
      </c>
      <c r="D257" t="s">
        <v>1367</v>
      </c>
      <c r="G257">
        <v>0</v>
      </c>
      <c r="H257">
        <v>0</v>
      </c>
      <c r="I257">
        <v>0</v>
      </c>
      <c r="J257">
        <v>0</v>
      </c>
      <c r="K257">
        <v>0</v>
      </c>
      <c r="L257">
        <v>0</v>
      </c>
      <c r="M257">
        <v>0</v>
      </c>
      <c r="N257">
        <v>0</v>
      </c>
      <c r="O257">
        <v>0</v>
      </c>
      <c r="P257">
        <v>0</v>
      </c>
      <c r="Q257">
        <v>0</v>
      </c>
      <c r="R257">
        <v>0</v>
      </c>
      <c r="S257">
        <v>0</v>
      </c>
      <c r="U257" s="175">
        <f t="shared" si="15"/>
        <v>0</v>
      </c>
    </row>
    <row r="258" spans="1:21">
      <c r="A258" s="183" t="str">
        <f t="shared" si="13"/>
        <v>537</v>
      </c>
      <c r="B258" s="183" t="str">
        <f t="shared" si="14"/>
        <v>537.0</v>
      </c>
      <c r="C258" t="s">
        <v>2019</v>
      </c>
      <c r="D258" t="s">
        <v>1369</v>
      </c>
      <c r="G258">
        <v>0</v>
      </c>
      <c r="H258">
        <v>0</v>
      </c>
      <c r="I258">
        <v>0</v>
      </c>
      <c r="J258">
        <v>0</v>
      </c>
      <c r="K258">
        <v>0</v>
      </c>
      <c r="L258">
        <v>0</v>
      </c>
      <c r="M258">
        <v>0</v>
      </c>
      <c r="N258">
        <v>0</v>
      </c>
      <c r="O258">
        <v>0</v>
      </c>
      <c r="P258">
        <v>0</v>
      </c>
      <c r="Q258">
        <v>0</v>
      </c>
      <c r="R258">
        <v>0</v>
      </c>
      <c r="S258">
        <v>0</v>
      </c>
      <c r="U258" s="175">
        <f t="shared" si="15"/>
        <v>0</v>
      </c>
    </row>
    <row r="259" spans="1:21">
      <c r="A259" s="183" t="str">
        <f t="shared" si="13"/>
        <v>538</v>
      </c>
      <c r="B259" s="183" t="str">
        <f t="shared" si="14"/>
        <v>538.0</v>
      </c>
      <c r="C259" t="s">
        <v>2020</v>
      </c>
      <c r="D259" t="s">
        <v>1371</v>
      </c>
      <c r="G259">
        <v>0</v>
      </c>
      <c r="H259">
        <v>0</v>
      </c>
      <c r="I259">
        <v>0</v>
      </c>
      <c r="J259">
        <v>0</v>
      </c>
      <c r="K259">
        <v>0</v>
      </c>
      <c r="L259">
        <v>0</v>
      </c>
      <c r="M259">
        <v>0</v>
      </c>
      <c r="N259">
        <v>0</v>
      </c>
      <c r="O259">
        <v>0</v>
      </c>
      <c r="P259">
        <v>0</v>
      </c>
      <c r="Q259">
        <v>0</v>
      </c>
      <c r="R259">
        <v>0</v>
      </c>
      <c r="S259">
        <v>0</v>
      </c>
      <c r="U259" s="175">
        <f t="shared" si="15"/>
        <v>0</v>
      </c>
    </row>
    <row r="260" spans="1:21">
      <c r="A260" s="183" t="str">
        <f t="shared" si="13"/>
        <v>539</v>
      </c>
      <c r="B260" s="183" t="str">
        <f t="shared" si="14"/>
        <v>539.0</v>
      </c>
      <c r="C260" t="s">
        <v>2021</v>
      </c>
      <c r="D260" t="s">
        <v>1373</v>
      </c>
      <c r="G260">
        <v>0</v>
      </c>
      <c r="H260">
        <v>0</v>
      </c>
      <c r="I260">
        <v>0</v>
      </c>
      <c r="J260">
        <v>0</v>
      </c>
      <c r="K260">
        <v>0</v>
      </c>
      <c r="L260">
        <v>0</v>
      </c>
      <c r="M260">
        <v>0</v>
      </c>
      <c r="N260">
        <v>0</v>
      </c>
      <c r="O260">
        <v>0</v>
      </c>
      <c r="P260">
        <v>0</v>
      </c>
      <c r="Q260">
        <v>0</v>
      </c>
      <c r="R260">
        <v>0</v>
      </c>
      <c r="S260">
        <v>0</v>
      </c>
      <c r="U260" s="175">
        <f t="shared" si="15"/>
        <v>0</v>
      </c>
    </row>
    <row r="261" spans="1:21">
      <c r="A261" s="183" t="str">
        <f t="shared" si="13"/>
        <v>540</v>
      </c>
      <c r="B261" s="183" t="str">
        <f t="shared" si="14"/>
        <v>540.0</v>
      </c>
      <c r="C261" t="s">
        <v>2022</v>
      </c>
      <c r="D261" t="s">
        <v>1375</v>
      </c>
      <c r="G261">
        <v>0</v>
      </c>
      <c r="H261">
        <v>0</v>
      </c>
      <c r="I261">
        <v>0</v>
      </c>
      <c r="J261">
        <v>0</v>
      </c>
      <c r="K261">
        <v>0</v>
      </c>
      <c r="L261">
        <v>0</v>
      </c>
      <c r="M261">
        <v>0</v>
      </c>
      <c r="N261">
        <v>0</v>
      </c>
      <c r="O261">
        <v>0</v>
      </c>
      <c r="P261">
        <v>0</v>
      </c>
      <c r="Q261">
        <v>0</v>
      </c>
      <c r="R261">
        <v>0</v>
      </c>
      <c r="S261">
        <v>0</v>
      </c>
      <c r="U261" s="175">
        <f t="shared" si="15"/>
        <v>0</v>
      </c>
    </row>
    <row r="262" spans="1:21">
      <c r="A262" s="183" t="str">
        <f t="shared" si="13"/>
        <v>541</v>
      </c>
      <c r="B262" s="183" t="str">
        <f t="shared" si="14"/>
        <v>541.0</v>
      </c>
      <c r="C262" t="s">
        <v>2023</v>
      </c>
      <c r="D262" t="s">
        <v>1377</v>
      </c>
      <c r="G262">
        <v>0</v>
      </c>
      <c r="H262">
        <v>0</v>
      </c>
      <c r="I262">
        <v>0</v>
      </c>
      <c r="J262">
        <v>0</v>
      </c>
      <c r="K262">
        <v>0</v>
      </c>
      <c r="L262">
        <v>0</v>
      </c>
      <c r="M262">
        <v>0</v>
      </c>
      <c r="N262">
        <v>0</v>
      </c>
      <c r="O262">
        <v>0</v>
      </c>
      <c r="P262">
        <v>0</v>
      </c>
      <c r="Q262">
        <v>0</v>
      </c>
      <c r="R262">
        <v>0</v>
      </c>
      <c r="S262">
        <v>0</v>
      </c>
      <c r="U262" s="175">
        <f t="shared" si="15"/>
        <v>0</v>
      </c>
    </row>
    <row r="263" spans="1:21">
      <c r="A263" s="183" t="str">
        <f t="shared" ref="A263:A326" si="16">MID(C263,4,3)</f>
        <v>542</v>
      </c>
      <c r="B263" s="183" t="str">
        <f t="shared" ref="B263:B326" si="17">MID(C263,4,3)&amp;"."&amp;MID(C263,7,1)</f>
        <v>542.0</v>
      </c>
      <c r="C263" t="s">
        <v>2024</v>
      </c>
      <c r="D263" t="s">
        <v>1379</v>
      </c>
      <c r="G263">
        <v>0</v>
      </c>
      <c r="H263">
        <v>0</v>
      </c>
      <c r="I263">
        <v>0</v>
      </c>
      <c r="J263">
        <v>0</v>
      </c>
      <c r="K263">
        <v>0</v>
      </c>
      <c r="L263">
        <v>0</v>
      </c>
      <c r="M263">
        <v>0</v>
      </c>
      <c r="N263">
        <v>0</v>
      </c>
      <c r="O263">
        <v>0</v>
      </c>
      <c r="P263">
        <v>0</v>
      </c>
      <c r="Q263">
        <v>0</v>
      </c>
      <c r="R263">
        <v>0</v>
      </c>
      <c r="S263">
        <v>0</v>
      </c>
      <c r="U263" s="175">
        <f t="shared" ref="U263:U326" si="18">AVERAGE(G263:S263)</f>
        <v>0</v>
      </c>
    </row>
    <row r="264" spans="1:21">
      <c r="A264" s="183" t="str">
        <f t="shared" si="16"/>
        <v>543</v>
      </c>
      <c r="B264" s="183" t="str">
        <f t="shared" si="17"/>
        <v>543.0</v>
      </c>
      <c r="C264" t="s">
        <v>2025</v>
      </c>
      <c r="D264" t="s">
        <v>1381</v>
      </c>
      <c r="G264">
        <v>0</v>
      </c>
      <c r="H264">
        <v>0</v>
      </c>
      <c r="I264">
        <v>0</v>
      </c>
      <c r="J264">
        <v>0</v>
      </c>
      <c r="K264">
        <v>0</v>
      </c>
      <c r="L264">
        <v>0</v>
      </c>
      <c r="M264">
        <v>0</v>
      </c>
      <c r="N264">
        <v>0</v>
      </c>
      <c r="O264">
        <v>0</v>
      </c>
      <c r="P264">
        <v>0</v>
      </c>
      <c r="Q264">
        <v>0</v>
      </c>
      <c r="R264">
        <v>0</v>
      </c>
      <c r="S264">
        <v>0</v>
      </c>
      <c r="U264" s="175">
        <f t="shared" si="18"/>
        <v>0</v>
      </c>
    </row>
    <row r="265" spans="1:21">
      <c r="A265" s="183" t="str">
        <f t="shared" si="16"/>
        <v>544</v>
      </c>
      <c r="B265" s="183" t="str">
        <f t="shared" si="17"/>
        <v>544.0</v>
      </c>
      <c r="C265" t="s">
        <v>2026</v>
      </c>
      <c r="D265" t="s">
        <v>1383</v>
      </c>
      <c r="G265">
        <v>0</v>
      </c>
      <c r="H265">
        <v>0</v>
      </c>
      <c r="I265">
        <v>0</v>
      </c>
      <c r="J265">
        <v>0</v>
      </c>
      <c r="K265">
        <v>0</v>
      </c>
      <c r="L265">
        <v>0</v>
      </c>
      <c r="M265">
        <v>0</v>
      </c>
      <c r="N265">
        <v>0</v>
      </c>
      <c r="O265">
        <v>0</v>
      </c>
      <c r="P265">
        <v>0</v>
      </c>
      <c r="Q265">
        <v>0</v>
      </c>
      <c r="R265">
        <v>0</v>
      </c>
      <c r="S265">
        <v>0</v>
      </c>
      <c r="U265" s="175">
        <f t="shared" si="18"/>
        <v>0</v>
      </c>
    </row>
    <row r="266" spans="1:21">
      <c r="A266" s="183" t="str">
        <f t="shared" si="16"/>
        <v>545</v>
      </c>
      <c r="B266" s="183" t="str">
        <f t="shared" si="17"/>
        <v>545.0</v>
      </c>
      <c r="C266" t="s">
        <v>2027</v>
      </c>
      <c r="D266" t="s">
        <v>1385</v>
      </c>
      <c r="G266">
        <v>0</v>
      </c>
      <c r="H266">
        <v>0</v>
      </c>
      <c r="I266">
        <v>0</v>
      </c>
      <c r="J266">
        <v>0</v>
      </c>
      <c r="K266">
        <v>0</v>
      </c>
      <c r="L266">
        <v>0</v>
      </c>
      <c r="M266">
        <v>0</v>
      </c>
      <c r="N266">
        <v>0</v>
      </c>
      <c r="O266">
        <v>0</v>
      </c>
      <c r="P266">
        <v>0</v>
      </c>
      <c r="Q266">
        <v>0</v>
      </c>
      <c r="R266">
        <v>0</v>
      </c>
      <c r="S266">
        <v>0</v>
      </c>
      <c r="U266" s="175">
        <f t="shared" si="18"/>
        <v>0</v>
      </c>
    </row>
    <row r="267" spans="1:21">
      <c r="A267" s="183" t="str">
        <f t="shared" si="16"/>
        <v>546</v>
      </c>
      <c r="B267" s="183" t="str">
        <f t="shared" si="17"/>
        <v>546.0</v>
      </c>
      <c r="C267" t="s">
        <v>2028</v>
      </c>
      <c r="D267" t="s">
        <v>1387</v>
      </c>
      <c r="G267">
        <v>0</v>
      </c>
      <c r="H267">
        <v>0</v>
      </c>
      <c r="I267">
        <v>0</v>
      </c>
      <c r="J267">
        <v>0</v>
      </c>
      <c r="K267">
        <v>306.73</v>
      </c>
      <c r="L267">
        <v>0</v>
      </c>
      <c r="M267">
        <v>0</v>
      </c>
      <c r="N267">
        <v>0</v>
      </c>
      <c r="O267">
        <v>0</v>
      </c>
      <c r="P267">
        <v>0</v>
      </c>
      <c r="Q267">
        <v>0</v>
      </c>
      <c r="R267">
        <v>0</v>
      </c>
      <c r="S267">
        <v>0</v>
      </c>
      <c r="U267" s="175">
        <f t="shared" si="18"/>
        <v>23.594615384615388</v>
      </c>
    </row>
    <row r="268" spans="1:21">
      <c r="A268" s="183" t="str">
        <f t="shared" si="16"/>
        <v>547</v>
      </c>
      <c r="B268" s="183" t="str">
        <f t="shared" si="17"/>
        <v>547.0</v>
      </c>
      <c r="C268" t="s">
        <v>2029</v>
      </c>
      <c r="D268" t="s">
        <v>1389</v>
      </c>
      <c r="G268">
        <v>55297584.229999997</v>
      </c>
      <c r="H268">
        <v>49437912.93</v>
      </c>
      <c r="I268">
        <v>54533715.920000002</v>
      </c>
      <c r="J268">
        <v>56340680.329999998</v>
      </c>
      <c r="K268">
        <v>67193182.430000007</v>
      </c>
      <c r="L268">
        <v>91762018.170000002</v>
      </c>
      <c r="M268">
        <v>113596134.48999999</v>
      </c>
      <c r="N268">
        <v>106535517.70999999</v>
      </c>
      <c r="O268">
        <v>148760022.81999999</v>
      </c>
      <c r="P268">
        <v>104623703.34</v>
      </c>
      <c r="Q268">
        <v>75374605.280000001</v>
      </c>
      <c r="R268">
        <v>58829772.07</v>
      </c>
      <c r="S268">
        <v>75198953.239999995</v>
      </c>
      <c r="U268" s="175">
        <f t="shared" si="18"/>
        <v>81344907.920000002</v>
      </c>
    </row>
    <row r="269" spans="1:21">
      <c r="A269" s="183" t="str">
        <f t="shared" si="16"/>
        <v>548</v>
      </c>
      <c r="B269" s="183" t="str">
        <f t="shared" si="17"/>
        <v>548.0</v>
      </c>
      <c r="C269" t="s">
        <v>2030</v>
      </c>
      <c r="D269" t="s">
        <v>1391</v>
      </c>
      <c r="G269">
        <v>4115645.58</v>
      </c>
      <c r="H269">
        <v>1679818.33</v>
      </c>
      <c r="I269">
        <v>1541848.79</v>
      </c>
      <c r="J269">
        <v>2035782.37</v>
      </c>
      <c r="K269">
        <v>1736883.73</v>
      </c>
      <c r="L269">
        <v>1719129.35</v>
      </c>
      <c r="M269">
        <v>1786968.61</v>
      </c>
      <c r="N269">
        <v>1940425.78</v>
      </c>
      <c r="O269">
        <v>2142192.2599999998</v>
      </c>
      <c r="P269">
        <v>1887150.38</v>
      </c>
      <c r="Q269">
        <v>1887846.41</v>
      </c>
      <c r="R269">
        <v>2153394.69</v>
      </c>
      <c r="S269">
        <v>2268076.9</v>
      </c>
      <c r="U269" s="175">
        <f t="shared" si="18"/>
        <v>2068858.7061538459</v>
      </c>
    </row>
    <row r="270" spans="1:21">
      <c r="A270" s="183" t="str">
        <f t="shared" si="16"/>
        <v>548</v>
      </c>
      <c r="B270" s="183" t="str">
        <f t="shared" si="17"/>
        <v>548.1</v>
      </c>
      <c r="C270" t="s">
        <v>2031</v>
      </c>
      <c r="D270" t="s">
        <v>1393</v>
      </c>
      <c r="G270">
        <v>0</v>
      </c>
      <c r="H270">
        <v>0</v>
      </c>
      <c r="I270">
        <v>0</v>
      </c>
      <c r="J270">
        <v>0</v>
      </c>
      <c r="K270">
        <v>0</v>
      </c>
      <c r="L270">
        <v>0</v>
      </c>
      <c r="M270">
        <v>0</v>
      </c>
      <c r="N270">
        <v>0</v>
      </c>
      <c r="O270">
        <v>0</v>
      </c>
      <c r="P270">
        <v>0</v>
      </c>
      <c r="Q270">
        <v>0</v>
      </c>
      <c r="R270">
        <v>0</v>
      </c>
      <c r="S270">
        <v>0</v>
      </c>
      <c r="U270" s="175">
        <f t="shared" si="18"/>
        <v>0</v>
      </c>
    </row>
    <row r="271" spans="1:21">
      <c r="A271" s="183" t="str">
        <f t="shared" si="16"/>
        <v>549</v>
      </c>
      <c r="B271" s="183" t="str">
        <f t="shared" si="17"/>
        <v>549.0</v>
      </c>
      <c r="C271" t="s">
        <v>2032</v>
      </c>
      <c r="D271" t="s">
        <v>1395</v>
      </c>
      <c r="G271">
        <v>1797353.1</v>
      </c>
      <c r="H271">
        <v>548843.62</v>
      </c>
      <c r="I271">
        <v>442187.53</v>
      </c>
      <c r="J271">
        <v>685985.69</v>
      </c>
      <c r="K271">
        <v>620665.31999999995</v>
      </c>
      <c r="L271">
        <v>547388.31000000006</v>
      </c>
      <c r="M271">
        <v>757857.14</v>
      </c>
      <c r="N271">
        <v>855282.16</v>
      </c>
      <c r="O271">
        <v>512016.71</v>
      </c>
      <c r="P271">
        <v>644779.67000000004</v>
      </c>
      <c r="Q271">
        <v>562890.68999999994</v>
      </c>
      <c r="R271">
        <v>473177.56</v>
      </c>
      <c r="S271">
        <v>972562.7</v>
      </c>
      <c r="U271" s="175">
        <f t="shared" si="18"/>
        <v>724691.55384615378</v>
      </c>
    </row>
    <row r="272" spans="1:21">
      <c r="A272" s="183" t="str">
        <f t="shared" si="16"/>
        <v>550</v>
      </c>
      <c r="B272" s="183" t="str">
        <f t="shared" si="17"/>
        <v>550.0</v>
      </c>
      <c r="C272" t="s">
        <v>2033</v>
      </c>
      <c r="D272" t="s">
        <v>1397</v>
      </c>
      <c r="G272">
        <v>0</v>
      </c>
      <c r="H272">
        <v>0</v>
      </c>
      <c r="I272">
        <v>0</v>
      </c>
      <c r="J272">
        <v>0</v>
      </c>
      <c r="K272">
        <v>0</v>
      </c>
      <c r="L272">
        <v>0</v>
      </c>
      <c r="M272">
        <v>0</v>
      </c>
      <c r="N272">
        <v>0</v>
      </c>
      <c r="O272">
        <v>0</v>
      </c>
      <c r="P272">
        <v>0</v>
      </c>
      <c r="Q272">
        <v>0</v>
      </c>
      <c r="R272">
        <v>0</v>
      </c>
      <c r="S272">
        <v>0</v>
      </c>
      <c r="U272" s="175">
        <f t="shared" si="18"/>
        <v>0</v>
      </c>
    </row>
    <row r="273" spans="1:21">
      <c r="A273" s="183" t="str">
        <f t="shared" si="16"/>
        <v>551</v>
      </c>
      <c r="B273" s="183" t="str">
        <f t="shared" si="17"/>
        <v>551.0</v>
      </c>
      <c r="C273" t="s">
        <v>2034</v>
      </c>
      <c r="D273" t="s">
        <v>1399</v>
      </c>
      <c r="G273">
        <v>0</v>
      </c>
      <c r="H273">
        <v>0</v>
      </c>
      <c r="I273">
        <v>0</v>
      </c>
      <c r="J273">
        <v>0</v>
      </c>
      <c r="K273">
        <v>0</v>
      </c>
      <c r="L273">
        <v>0</v>
      </c>
      <c r="M273">
        <v>0</v>
      </c>
      <c r="N273">
        <v>0</v>
      </c>
      <c r="O273">
        <v>0</v>
      </c>
      <c r="P273">
        <v>0</v>
      </c>
      <c r="Q273">
        <v>0</v>
      </c>
      <c r="R273">
        <v>0</v>
      </c>
      <c r="S273">
        <v>0</v>
      </c>
      <c r="U273" s="175">
        <f t="shared" si="18"/>
        <v>0</v>
      </c>
    </row>
    <row r="274" spans="1:21">
      <c r="A274" s="183" t="str">
        <f t="shared" si="16"/>
        <v>552</v>
      </c>
      <c r="B274" s="183" t="str">
        <f t="shared" si="17"/>
        <v>552.0</v>
      </c>
      <c r="C274" t="s">
        <v>2035</v>
      </c>
      <c r="D274" t="s">
        <v>1401</v>
      </c>
      <c r="G274">
        <v>114243.58</v>
      </c>
      <c r="H274">
        <v>121788.81</v>
      </c>
      <c r="I274">
        <v>99370.85</v>
      </c>
      <c r="J274">
        <v>146909.32999999999</v>
      </c>
      <c r="K274">
        <v>133118.81</v>
      </c>
      <c r="L274">
        <v>133722.89000000001</v>
      </c>
      <c r="M274">
        <v>88366.43</v>
      </c>
      <c r="N274">
        <v>203025.95</v>
      </c>
      <c r="O274">
        <v>86305.83</v>
      </c>
      <c r="P274">
        <v>78353.31</v>
      </c>
      <c r="Q274">
        <v>186176.12</v>
      </c>
      <c r="R274">
        <v>114636.14</v>
      </c>
      <c r="S274">
        <v>185201.16</v>
      </c>
      <c r="U274" s="175">
        <f t="shared" si="18"/>
        <v>130093.78538461539</v>
      </c>
    </row>
    <row r="275" spans="1:21">
      <c r="A275" s="183" t="str">
        <f t="shared" si="16"/>
        <v>553</v>
      </c>
      <c r="B275" s="183" t="str">
        <f t="shared" si="17"/>
        <v>553.0</v>
      </c>
      <c r="C275" t="s">
        <v>2036</v>
      </c>
      <c r="D275" t="s">
        <v>1403</v>
      </c>
      <c r="G275">
        <v>1815055.87</v>
      </c>
      <c r="H275">
        <v>999451.38</v>
      </c>
      <c r="I275">
        <v>1120750.95</v>
      </c>
      <c r="J275">
        <v>1106119.56</v>
      </c>
      <c r="K275">
        <v>1775032.68</v>
      </c>
      <c r="L275">
        <v>1350600.06</v>
      </c>
      <c r="M275">
        <v>754698</v>
      </c>
      <c r="N275">
        <v>942588.68</v>
      </c>
      <c r="O275">
        <v>2274868.2200000002</v>
      </c>
      <c r="P275">
        <v>2614539.5299999998</v>
      </c>
      <c r="Q275">
        <v>2949198.32</v>
      </c>
      <c r="R275">
        <v>4605285.8899999997</v>
      </c>
      <c r="S275">
        <v>1369939.65</v>
      </c>
      <c r="U275" s="175">
        <f t="shared" si="18"/>
        <v>1821394.5223076923</v>
      </c>
    </row>
    <row r="276" spans="1:21">
      <c r="A276" s="183" t="str">
        <f t="shared" si="16"/>
        <v>553</v>
      </c>
      <c r="B276" s="183" t="str">
        <f t="shared" si="17"/>
        <v>553.1</v>
      </c>
      <c r="C276" t="s">
        <v>2037</v>
      </c>
      <c r="D276" t="s">
        <v>1405</v>
      </c>
      <c r="G276">
        <v>0</v>
      </c>
      <c r="H276">
        <v>0</v>
      </c>
      <c r="I276">
        <v>0</v>
      </c>
      <c r="J276">
        <v>0</v>
      </c>
      <c r="K276">
        <v>0</v>
      </c>
      <c r="L276">
        <v>0</v>
      </c>
      <c r="M276">
        <v>0</v>
      </c>
      <c r="N276">
        <v>0</v>
      </c>
      <c r="O276">
        <v>0</v>
      </c>
      <c r="P276">
        <v>0</v>
      </c>
      <c r="Q276">
        <v>0</v>
      </c>
      <c r="R276">
        <v>0</v>
      </c>
      <c r="S276">
        <v>0</v>
      </c>
      <c r="U276" s="175">
        <f t="shared" si="18"/>
        <v>0</v>
      </c>
    </row>
    <row r="277" spans="1:21">
      <c r="A277" s="183" t="str">
        <f t="shared" si="16"/>
        <v>554</v>
      </c>
      <c r="B277" s="183" t="str">
        <f t="shared" si="17"/>
        <v>554.0</v>
      </c>
      <c r="C277" t="s">
        <v>2038</v>
      </c>
      <c r="D277" t="s">
        <v>1407</v>
      </c>
      <c r="G277">
        <v>179565.08</v>
      </c>
      <c r="H277">
        <v>125121.38</v>
      </c>
      <c r="I277">
        <v>86375.65</v>
      </c>
      <c r="J277">
        <v>100226.88</v>
      </c>
      <c r="K277">
        <v>103358.36</v>
      </c>
      <c r="L277">
        <v>69382.63</v>
      </c>
      <c r="M277">
        <v>51864.37</v>
      </c>
      <c r="N277">
        <v>177190.37</v>
      </c>
      <c r="O277">
        <v>49258.79</v>
      </c>
      <c r="P277">
        <v>33122.6</v>
      </c>
      <c r="Q277">
        <v>42555.5</v>
      </c>
      <c r="R277">
        <v>60564.21</v>
      </c>
      <c r="S277">
        <v>62276.08</v>
      </c>
      <c r="U277" s="175">
        <f t="shared" si="18"/>
        <v>87758.607692307705</v>
      </c>
    </row>
    <row r="278" spans="1:21">
      <c r="A278" s="183" t="str">
        <f t="shared" si="16"/>
        <v>555</v>
      </c>
      <c r="B278" s="183" t="str">
        <f t="shared" si="17"/>
        <v>555.0</v>
      </c>
      <c r="C278" t="s">
        <v>2039</v>
      </c>
      <c r="D278" t="s">
        <v>1409</v>
      </c>
      <c r="G278">
        <v>2392328.54</v>
      </c>
      <c r="H278">
        <v>2216249.73</v>
      </c>
      <c r="I278">
        <v>1458743.74</v>
      </c>
      <c r="J278">
        <v>3622224.86</v>
      </c>
      <c r="K278">
        <v>958585.38</v>
      </c>
      <c r="L278">
        <v>15244650.310000001</v>
      </c>
      <c r="M278">
        <v>17684397.670000002</v>
      </c>
      <c r="N278">
        <v>19284917.920000002</v>
      </c>
      <c r="O278">
        <v>29520836.469999999</v>
      </c>
      <c r="P278">
        <v>20189832.66</v>
      </c>
      <c r="Q278">
        <v>20747445.620000001</v>
      </c>
      <c r="R278">
        <v>15281575.789999999</v>
      </c>
      <c r="S278">
        <v>4689938.04</v>
      </c>
      <c r="U278" s="175">
        <f t="shared" si="18"/>
        <v>11791671.286923077</v>
      </c>
    </row>
    <row r="279" spans="1:21">
      <c r="A279" s="183" t="str">
        <f t="shared" si="16"/>
        <v>556</v>
      </c>
      <c r="B279" s="183" t="str">
        <f t="shared" si="17"/>
        <v>556.0</v>
      </c>
      <c r="C279" t="s">
        <v>2040</v>
      </c>
      <c r="D279" t="s">
        <v>1411</v>
      </c>
      <c r="G279">
        <v>63668.31</v>
      </c>
      <c r="H279">
        <v>52692.31</v>
      </c>
      <c r="I279">
        <v>47128.9</v>
      </c>
      <c r="J279">
        <v>57586.29</v>
      </c>
      <c r="K279">
        <v>56043.67</v>
      </c>
      <c r="L279">
        <v>45432.52</v>
      </c>
      <c r="M279">
        <v>51824.44</v>
      </c>
      <c r="N279">
        <v>53728.83</v>
      </c>
      <c r="O279">
        <v>52487.8</v>
      </c>
      <c r="P279">
        <v>57987.98</v>
      </c>
      <c r="Q279">
        <v>47915.76</v>
      </c>
      <c r="R279">
        <v>48670.35</v>
      </c>
      <c r="S279">
        <v>59793.58</v>
      </c>
      <c r="U279" s="175">
        <f t="shared" si="18"/>
        <v>53458.518461538464</v>
      </c>
    </row>
    <row r="280" spans="1:21">
      <c r="A280" s="183" t="str">
        <f t="shared" si="16"/>
        <v>557</v>
      </c>
      <c r="B280" s="183" t="str">
        <f t="shared" si="17"/>
        <v>557.0</v>
      </c>
      <c r="C280" t="s">
        <v>2041</v>
      </c>
      <c r="D280" t="s">
        <v>1413</v>
      </c>
      <c r="G280">
        <v>0</v>
      </c>
      <c r="H280">
        <v>0</v>
      </c>
      <c r="I280">
        <v>0</v>
      </c>
      <c r="J280">
        <v>0</v>
      </c>
      <c r="K280">
        <v>0</v>
      </c>
      <c r="L280">
        <v>0</v>
      </c>
      <c r="M280">
        <v>0</v>
      </c>
      <c r="N280">
        <v>0</v>
      </c>
      <c r="O280">
        <v>0</v>
      </c>
      <c r="P280">
        <v>0</v>
      </c>
      <c r="Q280">
        <v>2999.72</v>
      </c>
      <c r="R280">
        <v>0</v>
      </c>
      <c r="S280">
        <v>0</v>
      </c>
      <c r="U280" s="175">
        <f t="shared" si="18"/>
        <v>230.74769230769229</v>
      </c>
    </row>
    <row r="281" spans="1:21">
      <c r="A281" s="183" t="str">
        <f t="shared" si="16"/>
        <v>560</v>
      </c>
      <c r="B281" s="183" t="str">
        <f t="shared" si="17"/>
        <v>560.0</v>
      </c>
      <c r="C281" t="s">
        <v>2042</v>
      </c>
      <c r="D281" t="s">
        <v>1415</v>
      </c>
      <c r="G281">
        <v>103218.99</v>
      </c>
      <c r="H281">
        <v>121558.42</v>
      </c>
      <c r="I281">
        <v>76233.91</v>
      </c>
      <c r="J281">
        <v>172618.91</v>
      </c>
      <c r="K281">
        <v>260301.86</v>
      </c>
      <c r="L281">
        <v>92708.33</v>
      </c>
      <c r="M281">
        <v>68728.67</v>
      </c>
      <c r="N281">
        <v>100957.67</v>
      </c>
      <c r="O281">
        <v>102834.54</v>
      </c>
      <c r="P281">
        <v>73253.429999999993</v>
      </c>
      <c r="Q281">
        <v>142219.37</v>
      </c>
      <c r="R281">
        <v>138080.20000000001</v>
      </c>
      <c r="S281">
        <v>66873.27</v>
      </c>
      <c r="U281" s="175">
        <f t="shared" si="18"/>
        <v>116891.35153846155</v>
      </c>
    </row>
    <row r="282" spans="1:21">
      <c r="A282" s="183" t="str">
        <f t="shared" si="16"/>
        <v>561</v>
      </c>
      <c r="B282" s="183" t="str">
        <f t="shared" si="17"/>
        <v>561.0</v>
      </c>
      <c r="C282" t="s">
        <v>2043</v>
      </c>
      <c r="D282" t="s">
        <v>1417</v>
      </c>
      <c r="G282">
        <v>0</v>
      </c>
      <c r="H282">
        <v>0</v>
      </c>
      <c r="I282">
        <v>0</v>
      </c>
      <c r="J282">
        <v>0</v>
      </c>
      <c r="K282">
        <v>0</v>
      </c>
      <c r="L282">
        <v>0</v>
      </c>
      <c r="M282">
        <v>0</v>
      </c>
      <c r="N282">
        <v>0</v>
      </c>
      <c r="O282">
        <v>0</v>
      </c>
      <c r="P282">
        <v>0</v>
      </c>
      <c r="Q282">
        <v>0</v>
      </c>
      <c r="R282">
        <v>0</v>
      </c>
      <c r="S282">
        <v>0</v>
      </c>
      <c r="U282" s="175">
        <f t="shared" si="18"/>
        <v>0</v>
      </c>
    </row>
    <row r="283" spans="1:21">
      <c r="A283" s="183" t="str">
        <f t="shared" si="16"/>
        <v>561</v>
      </c>
      <c r="B283" s="183" t="str">
        <f t="shared" si="17"/>
        <v>561.1</v>
      </c>
      <c r="C283" t="s">
        <v>2044</v>
      </c>
      <c r="D283" t="s">
        <v>1419</v>
      </c>
      <c r="G283">
        <v>47214.66</v>
      </c>
      <c r="H283">
        <v>43959.77</v>
      </c>
      <c r="I283">
        <v>5865.36</v>
      </c>
      <c r="J283">
        <v>7494.34</v>
      </c>
      <c r="K283">
        <v>7372.77</v>
      </c>
      <c r="L283">
        <v>5780.39</v>
      </c>
      <c r="M283">
        <v>6702.32</v>
      </c>
      <c r="N283">
        <v>6607.16</v>
      </c>
      <c r="O283">
        <v>6927.75</v>
      </c>
      <c r="P283">
        <v>7731.11</v>
      </c>
      <c r="Q283">
        <v>5713.03</v>
      </c>
      <c r="R283">
        <v>6759.23</v>
      </c>
      <c r="S283">
        <v>7898.42</v>
      </c>
      <c r="U283" s="175">
        <f t="shared" si="18"/>
        <v>12771.254615384616</v>
      </c>
    </row>
    <row r="284" spans="1:21">
      <c r="A284" s="183" t="str">
        <f t="shared" si="16"/>
        <v>561</v>
      </c>
      <c r="B284" s="183" t="str">
        <f t="shared" si="17"/>
        <v>561.2</v>
      </c>
      <c r="C284" t="s">
        <v>2045</v>
      </c>
      <c r="D284" t="s">
        <v>1421</v>
      </c>
      <c r="G284">
        <v>145965.48000000001</v>
      </c>
      <c r="H284">
        <v>130934.71</v>
      </c>
      <c r="I284">
        <v>115197.87</v>
      </c>
      <c r="J284">
        <v>150770.25</v>
      </c>
      <c r="K284">
        <v>141626.04999999999</v>
      </c>
      <c r="L284">
        <v>123024.18</v>
      </c>
      <c r="M284">
        <v>142267.71</v>
      </c>
      <c r="N284">
        <v>141299.71</v>
      </c>
      <c r="O284">
        <v>135202.62</v>
      </c>
      <c r="P284">
        <v>137346.72</v>
      </c>
      <c r="Q284">
        <v>108149.85</v>
      </c>
      <c r="R284">
        <v>129891.18</v>
      </c>
      <c r="S284">
        <v>150173.9</v>
      </c>
      <c r="U284" s="175">
        <f t="shared" si="18"/>
        <v>134757.71</v>
      </c>
    </row>
    <row r="285" spans="1:21">
      <c r="A285" s="183" t="str">
        <f t="shared" si="16"/>
        <v>561</v>
      </c>
      <c r="B285" s="183" t="str">
        <f t="shared" si="17"/>
        <v>561.3</v>
      </c>
      <c r="C285" t="s">
        <v>2046</v>
      </c>
      <c r="D285" t="s">
        <v>1423</v>
      </c>
      <c r="G285">
        <v>108587.87</v>
      </c>
      <c r="H285">
        <v>93466.46</v>
      </c>
      <c r="I285">
        <v>77101.289999999994</v>
      </c>
      <c r="J285">
        <v>95853.85</v>
      </c>
      <c r="K285">
        <v>91518.88</v>
      </c>
      <c r="L285">
        <v>76791.55</v>
      </c>
      <c r="M285">
        <v>85185.76</v>
      </c>
      <c r="N285">
        <v>84096.26</v>
      </c>
      <c r="O285">
        <v>86400.95</v>
      </c>
      <c r="P285">
        <v>87871.6</v>
      </c>
      <c r="Q285">
        <v>69704.990000000005</v>
      </c>
      <c r="R285">
        <v>83806.89</v>
      </c>
      <c r="S285">
        <v>92068.46</v>
      </c>
      <c r="U285" s="175">
        <f t="shared" si="18"/>
        <v>87111.908461538464</v>
      </c>
    </row>
    <row r="286" spans="1:21">
      <c r="A286" s="183" t="str">
        <f t="shared" si="16"/>
        <v>561</v>
      </c>
      <c r="B286" s="183" t="str">
        <f t="shared" si="17"/>
        <v>561.4</v>
      </c>
      <c r="C286" t="s">
        <v>2047</v>
      </c>
      <c r="D286" t="s">
        <v>1425</v>
      </c>
      <c r="G286">
        <v>0</v>
      </c>
      <c r="H286">
        <v>0</v>
      </c>
      <c r="I286">
        <v>0</v>
      </c>
      <c r="J286">
        <v>0</v>
      </c>
      <c r="K286">
        <v>0</v>
      </c>
      <c r="L286">
        <v>0</v>
      </c>
      <c r="M286">
        <v>0</v>
      </c>
      <c r="N286">
        <v>0</v>
      </c>
      <c r="O286">
        <v>0</v>
      </c>
      <c r="P286">
        <v>0</v>
      </c>
      <c r="Q286">
        <v>0</v>
      </c>
      <c r="R286">
        <v>0</v>
      </c>
      <c r="S286">
        <v>0</v>
      </c>
      <c r="U286" s="175">
        <f t="shared" si="18"/>
        <v>0</v>
      </c>
    </row>
    <row r="287" spans="1:21">
      <c r="A287" s="183" t="str">
        <f t="shared" si="16"/>
        <v>561</v>
      </c>
      <c r="B287" s="183" t="str">
        <f t="shared" si="17"/>
        <v>561.5</v>
      </c>
      <c r="C287" t="s">
        <v>2048</v>
      </c>
      <c r="D287" t="s">
        <v>1427</v>
      </c>
      <c r="G287">
        <v>0</v>
      </c>
      <c r="H287">
        <v>0</v>
      </c>
      <c r="I287">
        <v>0</v>
      </c>
      <c r="J287">
        <v>0</v>
      </c>
      <c r="K287">
        <v>0</v>
      </c>
      <c r="L287">
        <v>0</v>
      </c>
      <c r="M287">
        <v>0</v>
      </c>
      <c r="N287">
        <v>0</v>
      </c>
      <c r="O287">
        <v>0</v>
      </c>
      <c r="P287">
        <v>0</v>
      </c>
      <c r="Q287">
        <v>0</v>
      </c>
      <c r="R287">
        <v>0</v>
      </c>
      <c r="S287">
        <v>0</v>
      </c>
      <c r="U287" s="175">
        <f t="shared" si="18"/>
        <v>0</v>
      </c>
    </row>
    <row r="288" spans="1:21">
      <c r="A288" s="183" t="str">
        <f t="shared" si="16"/>
        <v>561</v>
      </c>
      <c r="B288" s="183" t="str">
        <f t="shared" si="17"/>
        <v>561.6</v>
      </c>
      <c r="C288" t="s">
        <v>2049</v>
      </c>
      <c r="D288" t="s">
        <v>1429</v>
      </c>
      <c r="G288">
        <v>0</v>
      </c>
      <c r="H288">
        <v>0</v>
      </c>
      <c r="I288">
        <v>0</v>
      </c>
      <c r="J288">
        <v>0</v>
      </c>
      <c r="K288">
        <v>0</v>
      </c>
      <c r="L288">
        <v>0</v>
      </c>
      <c r="M288">
        <v>0</v>
      </c>
      <c r="N288">
        <v>0</v>
      </c>
      <c r="O288">
        <v>0</v>
      </c>
      <c r="P288">
        <v>0</v>
      </c>
      <c r="Q288">
        <v>0</v>
      </c>
      <c r="R288">
        <v>0</v>
      </c>
      <c r="S288">
        <v>0</v>
      </c>
      <c r="U288" s="175">
        <f t="shared" si="18"/>
        <v>0</v>
      </c>
    </row>
    <row r="289" spans="1:21">
      <c r="A289" s="183" t="str">
        <f t="shared" si="16"/>
        <v>561</v>
      </c>
      <c r="B289" s="183" t="str">
        <f t="shared" si="17"/>
        <v>561.7</v>
      </c>
      <c r="C289" t="s">
        <v>2050</v>
      </c>
      <c r="D289" t="s">
        <v>1431</v>
      </c>
      <c r="G289">
        <v>0</v>
      </c>
      <c r="H289">
        <v>0</v>
      </c>
      <c r="I289">
        <v>0</v>
      </c>
      <c r="J289">
        <v>0</v>
      </c>
      <c r="K289">
        <v>0</v>
      </c>
      <c r="L289">
        <v>0</v>
      </c>
      <c r="M289">
        <v>0</v>
      </c>
      <c r="N289">
        <v>0</v>
      </c>
      <c r="O289">
        <v>0</v>
      </c>
      <c r="P289">
        <v>0</v>
      </c>
      <c r="Q289">
        <v>0</v>
      </c>
      <c r="R289">
        <v>0</v>
      </c>
      <c r="S289">
        <v>0</v>
      </c>
      <c r="U289" s="175">
        <f t="shared" si="18"/>
        <v>0</v>
      </c>
    </row>
    <row r="290" spans="1:21">
      <c r="A290" s="183" t="str">
        <f t="shared" si="16"/>
        <v>561</v>
      </c>
      <c r="B290" s="183" t="str">
        <f t="shared" si="17"/>
        <v>561.8</v>
      </c>
      <c r="C290" t="s">
        <v>2051</v>
      </c>
      <c r="D290" t="s">
        <v>1433</v>
      </c>
      <c r="G290">
        <v>0</v>
      </c>
      <c r="H290">
        <v>195493.78</v>
      </c>
      <c r="I290">
        <v>195493.78</v>
      </c>
      <c r="J290">
        <v>0</v>
      </c>
      <c r="K290">
        <v>0</v>
      </c>
      <c r="L290">
        <v>0</v>
      </c>
      <c r="M290">
        <v>195493.78</v>
      </c>
      <c r="N290">
        <v>0</v>
      </c>
      <c r="O290">
        <v>0</v>
      </c>
      <c r="P290">
        <v>0</v>
      </c>
      <c r="Q290">
        <v>195493.78</v>
      </c>
      <c r="R290">
        <v>0</v>
      </c>
      <c r="S290">
        <v>0</v>
      </c>
      <c r="U290" s="175">
        <f t="shared" si="18"/>
        <v>60151.93230769231</v>
      </c>
    </row>
    <row r="291" spans="1:21">
      <c r="A291" s="183" t="str">
        <f t="shared" si="16"/>
        <v>562</v>
      </c>
      <c r="B291" s="183" t="str">
        <f t="shared" si="17"/>
        <v>562.0</v>
      </c>
      <c r="C291" t="s">
        <v>2052</v>
      </c>
      <c r="D291" t="s">
        <v>1435</v>
      </c>
      <c r="G291">
        <v>185256.71</v>
      </c>
      <c r="H291">
        <v>102502.14</v>
      </c>
      <c r="I291">
        <v>111388.96</v>
      </c>
      <c r="J291">
        <v>88713.94</v>
      </c>
      <c r="K291">
        <v>146526.74</v>
      </c>
      <c r="L291">
        <v>111533.48</v>
      </c>
      <c r="M291">
        <v>101098.32</v>
      </c>
      <c r="N291">
        <v>109008.03</v>
      </c>
      <c r="O291">
        <v>123454.65</v>
      </c>
      <c r="P291">
        <v>100165.63</v>
      </c>
      <c r="Q291">
        <v>126849.99</v>
      </c>
      <c r="R291">
        <v>88404.15</v>
      </c>
      <c r="S291">
        <v>163612.74</v>
      </c>
      <c r="U291" s="175">
        <f t="shared" si="18"/>
        <v>119885.80615384615</v>
      </c>
    </row>
    <row r="292" spans="1:21">
      <c r="A292" s="183" t="str">
        <f t="shared" si="16"/>
        <v>563</v>
      </c>
      <c r="B292" s="183" t="str">
        <f t="shared" si="17"/>
        <v>563.0</v>
      </c>
      <c r="C292" t="s">
        <v>2053</v>
      </c>
      <c r="D292" t="s">
        <v>1437</v>
      </c>
      <c r="G292">
        <v>18692.34</v>
      </c>
      <c r="H292">
        <v>13967.45</v>
      </c>
      <c r="I292">
        <v>8957.42</v>
      </c>
      <c r="J292">
        <v>14116.19</v>
      </c>
      <c r="K292">
        <v>34513.449999999997</v>
      </c>
      <c r="L292">
        <v>30123.01</v>
      </c>
      <c r="M292">
        <v>-11021.06</v>
      </c>
      <c r="N292">
        <v>140908.1</v>
      </c>
      <c r="O292">
        <v>51031.87</v>
      </c>
      <c r="P292">
        <v>9898.2999999999993</v>
      </c>
      <c r="Q292">
        <v>16432.45</v>
      </c>
      <c r="R292">
        <v>6295.51</v>
      </c>
      <c r="S292">
        <v>9302.4599999999991</v>
      </c>
      <c r="U292" s="175">
        <f t="shared" si="18"/>
        <v>26401.34538461539</v>
      </c>
    </row>
    <row r="293" spans="1:21">
      <c r="A293" s="183" t="str">
        <f t="shared" si="16"/>
        <v>564</v>
      </c>
      <c r="B293" s="183" t="str">
        <f t="shared" si="17"/>
        <v>564.0</v>
      </c>
      <c r="C293" t="s">
        <v>2054</v>
      </c>
      <c r="D293" t="s">
        <v>1439</v>
      </c>
      <c r="G293">
        <v>0</v>
      </c>
      <c r="H293">
        <v>0</v>
      </c>
      <c r="I293">
        <v>0</v>
      </c>
      <c r="J293">
        <v>0</v>
      </c>
      <c r="K293">
        <v>0</v>
      </c>
      <c r="L293">
        <v>0</v>
      </c>
      <c r="M293">
        <v>0</v>
      </c>
      <c r="N293">
        <v>0</v>
      </c>
      <c r="O293">
        <v>0</v>
      </c>
      <c r="P293">
        <v>0</v>
      </c>
      <c r="Q293">
        <v>0</v>
      </c>
      <c r="R293">
        <v>0</v>
      </c>
      <c r="S293">
        <v>0</v>
      </c>
      <c r="U293" s="175">
        <f t="shared" si="18"/>
        <v>0</v>
      </c>
    </row>
    <row r="294" spans="1:21">
      <c r="A294" s="183" t="str">
        <f t="shared" si="16"/>
        <v>565</v>
      </c>
      <c r="B294" s="183" t="str">
        <f t="shared" si="17"/>
        <v>565.0</v>
      </c>
      <c r="C294" t="s">
        <v>2055</v>
      </c>
      <c r="D294" t="s">
        <v>1441</v>
      </c>
      <c r="G294">
        <v>0</v>
      </c>
      <c r="H294">
        <v>0</v>
      </c>
      <c r="I294">
        <v>0</v>
      </c>
      <c r="J294">
        <v>0</v>
      </c>
      <c r="K294">
        <v>0</v>
      </c>
      <c r="L294">
        <v>0</v>
      </c>
      <c r="M294">
        <v>0</v>
      </c>
      <c r="N294">
        <v>0</v>
      </c>
      <c r="O294">
        <v>0</v>
      </c>
      <c r="P294">
        <v>0</v>
      </c>
      <c r="Q294">
        <v>0</v>
      </c>
      <c r="R294">
        <v>0</v>
      </c>
      <c r="S294">
        <v>0</v>
      </c>
      <c r="U294" s="175">
        <f t="shared" si="18"/>
        <v>0</v>
      </c>
    </row>
    <row r="295" spans="1:21">
      <c r="A295" s="183" t="str">
        <f t="shared" si="16"/>
        <v>566</v>
      </c>
      <c r="B295" s="183" t="str">
        <f t="shared" si="17"/>
        <v>566.0</v>
      </c>
      <c r="C295" t="s">
        <v>2056</v>
      </c>
      <c r="D295" t="s">
        <v>1443</v>
      </c>
      <c r="G295">
        <v>163534.38</v>
      </c>
      <c r="H295">
        <v>122234.65</v>
      </c>
      <c r="I295">
        <v>129784.39</v>
      </c>
      <c r="J295">
        <v>167040.15</v>
      </c>
      <c r="K295">
        <v>144952.51</v>
      </c>
      <c r="L295">
        <v>155424.07</v>
      </c>
      <c r="M295">
        <v>189091.34</v>
      </c>
      <c r="N295">
        <v>146271.92000000001</v>
      </c>
      <c r="O295">
        <v>174344.77</v>
      </c>
      <c r="P295">
        <v>121605.42</v>
      </c>
      <c r="Q295">
        <v>121442.28</v>
      </c>
      <c r="R295">
        <v>129982.48</v>
      </c>
      <c r="S295">
        <v>102219.64</v>
      </c>
      <c r="U295" s="175">
        <f t="shared" si="18"/>
        <v>143686.76923076922</v>
      </c>
    </row>
    <row r="296" spans="1:21">
      <c r="A296" s="183" t="str">
        <f t="shared" si="16"/>
        <v>567</v>
      </c>
      <c r="B296" s="183" t="str">
        <f t="shared" si="17"/>
        <v>567.0</v>
      </c>
      <c r="C296" t="s">
        <v>2057</v>
      </c>
      <c r="D296" t="s">
        <v>1445</v>
      </c>
      <c r="G296">
        <v>0</v>
      </c>
      <c r="H296">
        <v>19000</v>
      </c>
      <c r="I296">
        <v>102</v>
      </c>
      <c r="J296">
        <v>0</v>
      </c>
      <c r="K296">
        <v>0</v>
      </c>
      <c r="L296">
        <v>2139.88</v>
      </c>
      <c r="M296">
        <v>2287.59</v>
      </c>
      <c r="N296">
        <v>0</v>
      </c>
      <c r="O296">
        <v>0</v>
      </c>
      <c r="P296">
        <v>0</v>
      </c>
      <c r="Q296">
        <v>0</v>
      </c>
      <c r="R296">
        <v>0</v>
      </c>
      <c r="S296">
        <v>0</v>
      </c>
      <c r="U296" s="175">
        <f t="shared" si="18"/>
        <v>1809.9592307692308</v>
      </c>
    </row>
    <row r="297" spans="1:21">
      <c r="A297" s="183" t="str">
        <f t="shared" si="16"/>
        <v>568</v>
      </c>
      <c r="B297" s="183" t="str">
        <f t="shared" si="17"/>
        <v>568.0</v>
      </c>
      <c r="C297" t="s">
        <v>2058</v>
      </c>
      <c r="D297" t="s">
        <v>1447</v>
      </c>
      <c r="G297">
        <v>0</v>
      </c>
      <c r="H297">
        <v>0</v>
      </c>
      <c r="I297">
        <v>0</v>
      </c>
      <c r="J297">
        <v>0</v>
      </c>
      <c r="K297">
        <v>0</v>
      </c>
      <c r="L297">
        <v>0</v>
      </c>
      <c r="M297">
        <v>0</v>
      </c>
      <c r="N297">
        <v>0</v>
      </c>
      <c r="O297">
        <v>0</v>
      </c>
      <c r="P297">
        <v>0</v>
      </c>
      <c r="Q297">
        <v>0</v>
      </c>
      <c r="R297">
        <v>0</v>
      </c>
      <c r="S297">
        <v>0</v>
      </c>
      <c r="U297" s="175">
        <f t="shared" si="18"/>
        <v>0</v>
      </c>
    </row>
    <row r="298" spans="1:21">
      <c r="A298" s="183" t="str">
        <f t="shared" si="16"/>
        <v>569</v>
      </c>
      <c r="B298" s="183" t="str">
        <f t="shared" si="17"/>
        <v>569.0</v>
      </c>
      <c r="C298" t="s">
        <v>2059</v>
      </c>
      <c r="D298" t="s">
        <v>1449</v>
      </c>
      <c r="G298">
        <v>225.58</v>
      </c>
      <c r="H298">
        <v>172.99</v>
      </c>
      <c r="I298">
        <v>172.99</v>
      </c>
      <c r="J298">
        <v>172.99</v>
      </c>
      <c r="K298">
        <v>172.99</v>
      </c>
      <c r="L298">
        <v>172.99</v>
      </c>
      <c r="M298">
        <v>172.99</v>
      </c>
      <c r="N298">
        <v>701.83</v>
      </c>
      <c r="O298">
        <v>116.11</v>
      </c>
      <c r="P298">
        <v>1246.68</v>
      </c>
      <c r="Q298">
        <v>143.77000000000001</v>
      </c>
      <c r="R298">
        <v>218220.14</v>
      </c>
      <c r="S298">
        <v>-217817.38</v>
      </c>
      <c r="U298" s="175">
        <f t="shared" si="18"/>
        <v>298.05153846153945</v>
      </c>
    </row>
    <row r="299" spans="1:21">
      <c r="A299" s="183" t="str">
        <f t="shared" si="16"/>
        <v>569</v>
      </c>
      <c r="B299" s="183" t="str">
        <f t="shared" si="17"/>
        <v>569.1</v>
      </c>
      <c r="C299" t="s">
        <v>2060</v>
      </c>
      <c r="D299" t="s">
        <v>1451</v>
      </c>
      <c r="G299">
        <v>0</v>
      </c>
      <c r="H299">
        <v>0</v>
      </c>
      <c r="I299">
        <v>0</v>
      </c>
      <c r="J299">
        <v>0</v>
      </c>
      <c r="K299">
        <v>0</v>
      </c>
      <c r="L299">
        <v>0</v>
      </c>
      <c r="M299">
        <v>0</v>
      </c>
      <c r="N299">
        <v>0</v>
      </c>
      <c r="O299">
        <v>0</v>
      </c>
      <c r="P299">
        <v>0</v>
      </c>
      <c r="Q299">
        <v>0</v>
      </c>
      <c r="R299">
        <v>0</v>
      </c>
      <c r="S299">
        <v>0</v>
      </c>
      <c r="U299" s="175">
        <f t="shared" si="18"/>
        <v>0</v>
      </c>
    </row>
    <row r="300" spans="1:21">
      <c r="A300" s="183" t="str">
        <f t="shared" si="16"/>
        <v>569</v>
      </c>
      <c r="B300" s="183" t="str">
        <f t="shared" si="17"/>
        <v>569.2</v>
      </c>
      <c r="C300" t="s">
        <v>2061</v>
      </c>
      <c r="D300" t="s">
        <v>1453</v>
      </c>
      <c r="G300">
        <v>1702273.94</v>
      </c>
      <c r="H300">
        <v>75301.73</v>
      </c>
      <c r="I300">
        <v>184402.28</v>
      </c>
      <c r="J300">
        <v>119746.74</v>
      </c>
      <c r="K300">
        <v>133166.26999999999</v>
      </c>
      <c r="L300">
        <v>138573.29999999999</v>
      </c>
      <c r="M300">
        <v>128150.28</v>
      </c>
      <c r="N300">
        <v>118613.79</v>
      </c>
      <c r="O300">
        <v>127770.39</v>
      </c>
      <c r="P300">
        <v>156705.82999999999</v>
      </c>
      <c r="Q300">
        <v>142897.01999999999</v>
      </c>
      <c r="R300">
        <v>103300.96</v>
      </c>
      <c r="S300">
        <v>390009.2</v>
      </c>
      <c r="U300" s="175">
        <f t="shared" si="18"/>
        <v>270839.36384615384</v>
      </c>
    </row>
    <row r="301" spans="1:21">
      <c r="A301" s="183" t="str">
        <f t="shared" si="16"/>
        <v>569</v>
      </c>
      <c r="B301" s="183" t="str">
        <f t="shared" si="17"/>
        <v>569.3</v>
      </c>
      <c r="C301" t="s">
        <v>2062</v>
      </c>
      <c r="D301" t="s">
        <v>1455</v>
      </c>
      <c r="G301">
        <v>14963.31</v>
      </c>
      <c r="H301">
        <v>31003.06</v>
      </c>
      <c r="I301">
        <v>50033.73</v>
      </c>
      <c r="J301">
        <v>45167.59</v>
      </c>
      <c r="K301">
        <v>33050.550000000003</v>
      </c>
      <c r="L301">
        <v>24029.54</v>
      </c>
      <c r="M301">
        <v>21322.46</v>
      </c>
      <c r="N301">
        <v>50948.53</v>
      </c>
      <c r="O301">
        <v>49329.69</v>
      </c>
      <c r="P301">
        <v>38027.03</v>
      </c>
      <c r="Q301">
        <v>24796.79</v>
      </c>
      <c r="R301">
        <v>24054.37</v>
      </c>
      <c r="S301">
        <v>25393.79</v>
      </c>
      <c r="U301" s="175">
        <f t="shared" si="18"/>
        <v>33240.033846153841</v>
      </c>
    </row>
    <row r="302" spans="1:21">
      <c r="A302" s="183" t="str">
        <f t="shared" si="16"/>
        <v>569</v>
      </c>
      <c r="B302" s="183" t="str">
        <f t="shared" si="17"/>
        <v>569.4</v>
      </c>
      <c r="C302" t="s">
        <v>2063</v>
      </c>
      <c r="D302" t="s">
        <v>1457</v>
      </c>
      <c r="G302">
        <v>0</v>
      </c>
      <c r="H302">
        <v>0</v>
      </c>
      <c r="I302">
        <v>0</v>
      </c>
      <c r="J302">
        <v>0</v>
      </c>
      <c r="K302">
        <v>0</v>
      </c>
      <c r="L302">
        <v>0</v>
      </c>
      <c r="M302">
        <v>0</v>
      </c>
      <c r="N302">
        <v>0</v>
      </c>
      <c r="O302">
        <v>0</v>
      </c>
      <c r="P302">
        <v>0</v>
      </c>
      <c r="Q302">
        <v>0</v>
      </c>
      <c r="R302">
        <v>0</v>
      </c>
      <c r="S302">
        <v>0</v>
      </c>
      <c r="U302" s="175">
        <f t="shared" si="18"/>
        <v>0</v>
      </c>
    </row>
    <row r="303" spans="1:21">
      <c r="A303" s="183" t="str">
        <f t="shared" si="16"/>
        <v>570</v>
      </c>
      <c r="B303" s="183" t="str">
        <f t="shared" si="17"/>
        <v>570.0</v>
      </c>
      <c r="C303" t="s">
        <v>2064</v>
      </c>
      <c r="D303" t="s">
        <v>1459</v>
      </c>
      <c r="G303">
        <v>145712.78</v>
      </c>
      <c r="H303">
        <v>129190.56</v>
      </c>
      <c r="I303">
        <v>163355.23000000001</v>
      </c>
      <c r="J303">
        <v>167082.44</v>
      </c>
      <c r="K303">
        <v>150566.35</v>
      </c>
      <c r="L303">
        <v>140273.84</v>
      </c>
      <c r="M303">
        <v>130854.25</v>
      </c>
      <c r="N303">
        <v>98950.45</v>
      </c>
      <c r="O303">
        <v>108549.18</v>
      </c>
      <c r="P303">
        <v>95539.1</v>
      </c>
      <c r="Q303">
        <v>101742.71</v>
      </c>
      <c r="R303">
        <v>84302.48</v>
      </c>
      <c r="S303">
        <v>57459.16</v>
      </c>
      <c r="U303" s="175">
        <f t="shared" si="18"/>
        <v>121044.5023076923</v>
      </c>
    </row>
    <row r="304" spans="1:21">
      <c r="A304" s="183" t="str">
        <f t="shared" si="16"/>
        <v>571</v>
      </c>
      <c r="B304" s="183" t="str">
        <f t="shared" si="17"/>
        <v>571.0</v>
      </c>
      <c r="C304" t="s">
        <v>2065</v>
      </c>
      <c r="D304" t="s">
        <v>1461</v>
      </c>
      <c r="G304">
        <v>195349.35</v>
      </c>
      <c r="H304">
        <v>326061.69</v>
      </c>
      <c r="I304">
        <v>311313.46000000002</v>
      </c>
      <c r="J304">
        <v>127272.24</v>
      </c>
      <c r="K304">
        <v>346552.72</v>
      </c>
      <c r="L304">
        <v>536782.64</v>
      </c>
      <c r="M304">
        <v>304156.90999999997</v>
      </c>
      <c r="N304">
        <v>319310.82</v>
      </c>
      <c r="O304">
        <v>413013.88</v>
      </c>
      <c r="P304">
        <v>527280.31999999995</v>
      </c>
      <c r="Q304">
        <v>325144.84000000003</v>
      </c>
      <c r="R304">
        <v>149888.16</v>
      </c>
      <c r="S304">
        <v>2371120.54</v>
      </c>
      <c r="U304" s="175">
        <f t="shared" si="18"/>
        <v>481019.04384615389</v>
      </c>
    </row>
    <row r="305" spans="1:21">
      <c r="A305" s="183" t="str">
        <f t="shared" si="16"/>
        <v>572</v>
      </c>
      <c r="B305" s="183" t="str">
        <f t="shared" si="17"/>
        <v>572.0</v>
      </c>
      <c r="C305" t="s">
        <v>2066</v>
      </c>
      <c r="D305" t="s">
        <v>1463</v>
      </c>
      <c r="G305">
        <v>0</v>
      </c>
      <c r="H305">
        <v>0</v>
      </c>
      <c r="I305">
        <v>0</v>
      </c>
      <c r="J305">
        <v>0</v>
      </c>
      <c r="K305">
        <v>0</v>
      </c>
      <c r="L305">
        <v>0</v>
      </c>
      <c r="M305">
        <v>0</v>
      </c>
      <c r="N305">
        <v>0</v>
      </c>
      <c r="O305">
        <v>0</v>
      </c>
      <c r="P305">
        <v>0</v>
      </c>
      <c r="Q305">
        <v>0</v>
      </c>
      <c r="R305">
        <v>0</v>
      </c>
      <c r="S305">
        <v>0</v>
      </c>
      <c r="U305" s="175">
        <f t="shared" si="18"/>
        <v>0</v>
      </c>
    </row>
    <row r="306" spans="1:21">
      <c r="A306" s="183" t="str">
        <f t="shared" si="16"/>
        <v>573</v>
      </c>
      <c r="B306" s="183" t="str">
        <f t="shared" si="17"/>
        <v>573.0</v>
      </c>
      <c r="C306" t="s">
        <v>2067</v>
      </c>
      <c r="D306" t="s">
        <v>1465</v>
      </c>
      <c r="G306">
        <v>0</v>
      </c>
      <c r="H306">
        <v>0</v>
      </c>
      <c r="I306">
        <v>0</v>
      </c>
      <c r="J306">
        <v>0</v>
      </c>
      <c r="K306">
        <v>0</v>
      </c>
      <c r="L306">
        <v>0</v>
      </c>
      <c r="M306">
        <v>0</v>
      </c>
      <c r="N306">
        <v>0</v>
      </c>
      <c r="O306">
        <v>0</v>
      </c>
      <c r="P306">
        <v>0</v>
      </c>
      <c r="Q306">
        <v>0</v>
      </c>
      <c r="R306">
        <v>0</v>
      </c>
      <c r="S306">
        <v>0</v>
      </c>
      <c r="U306" s="175">
        <f t="shared" si="18"/>
        <v>0</v>
      </c>
    </row>
    <row r="307" spans="1:21">
      <c r="A307" s="183" t="str">
        <f t="shared" si="16"/>
        <v>575</v>
      </c>
      <c r="B307" s="183" t="str">
        <f t="shared" si="17"/>
        <v>575.1</v>
      </c>
      <c r="C307" t="s">
        <v>2068</v>
      </c>
      <c r="D307" t="s">
        <v>1467</v>
      </c>
      <c r="G307">
        <v>0</v>
      </c>
      <c r="H307">
        <v>0</v>
      </c>
      <c r="I307">
        <v>0</v>
      </c>
      <c r="J307">
        <v>0</v>
      </c>
      <c r="K307">
        <v>0</v>
      </c>
      <c r="L307">
        <v>0</v>
      </c>
      <c r="M307">
        <v>0</v>
      </c>
      <c r="N307">
        <v>0</v>
      </c>
      <c r="O307">
        <v>0</v>
      </c>
      <c r="P307">
        <v>0</v>
      </c>
      <c r="Q307">
        <v>0</v>
      </c>
      <c r="R307">
        <v>0</v>
      </c>
      <c r="S307">
        <v>0</v>
      </c>
      <c r="U307" s="175">
        <f t="shared" si="18"/>
        <v>0</v>
      </c>
    </row>
    <row r="308" spans="1:21">
      <c r="A308" s="183" t="str">
        <f t="shared" si="16"/>
        <v>575</v>
      </c>
      <c r="B308" s="183" t="str">
        <f t="shared" si="17"/>
        <v>575.2</v>
      </c>
      <c r="C308" t="s">
        <v>2069</v>
      </c>
      <c r="D308" t="s">
        <v>1469</v>
      </c>
      <c r="G308">
        <v>0</v>
      </c>
      <c r="H308">
        <v>0</v>
      </c>
      <c r="I308">
        <v>0</v>
      </c>
      <c r="J308">
        <v>0</v>
      </c>
      <c r="K308">
        <v>0</v>
      </c>
      <c r="L308">
        <v>0</v>
      </c>
      <c r="M308">
        <v>0</v>
      </c>
      <c r="N308">
        <v>0</v>
      </c>
      <c r="O308">
        <v>0</v>
      </c>
      <c r="P308">
        <v>0</v>
      </c>
      <c r="Q308">
        <v>0</v>
      </c>
      <c r="R308">
        <v>0</v>
      </c>
      <c r="S308">
        <v>0</v>
      </c>
      <c r="U308" s="175">
        <f t="shared" si="18"/>
        <v>0</v>
      </c>
    </row>
    <row r="309" spans="1:21">
      <c r="A309" s="183" t="str">
        <f t="shared" si="16"/>
        <v>575</v>
      </c>
      <c r="B309" s="183" t="str">
        <f t="shared" si="17"/>
        <v>575.3</v>
      </c>
      <c r="C309" t="s">
        <v>2070</v>
      </c>
      <c r="D309" t="s">
        <v>1471</v>
      </c>
      <c r="G309">
        <v>0</v>
      </c>
      <c r="H309">
        <v>0</v>
      </c>
      <c r="I309">
        <v>0</v>
      </c>
      <c r="J309">
        <v>0</v>
      </c>
      <c r="K309">
        <v>0</v>
      </c>
      <c r="L309">
        <v>0</v>
      </c>
      <c r="M309">
        <v>0</v>
      </c>
      <c r="N309">
        <v>0</v>
      </c>
      <c r="O309">
        <v>0</v>
      </c>
      <c r="P309">
        <v>0</v>
      </c>
      <c r="Q309">
        <v>0</v>
      </c>
      <c r="R309">
        <v>0</v>
      </c>
      <c r="S309">
        <v>0</v>
      </c>
      <c r="U309" s="175">
        <f t="shared" si="18"/>
        <v>0</v>
      </c>
    </row>
    <row r="310" spans="1:21">
      <c r="A310" s="183" t="str">
        <f t="shared" si="16"/>
        <v>575</v>
      </c>
      <c r="B310" s="183" t="str">
        <f t="shared" si="17"/>
        <v>575.4</v>
      </c>
      <c r="C310" t="s">
        <v>2071</v>
      </c>
      <c r="D310" t="s">
        <v>1473</v>
      </c>
      <c r="G310">
        <v>0</v>
      </c>
      <c r="H310">
        <v>0</v>
      </c>
      <c r="I310">
        <v>0</v>
      </c>
      <c r="J310">
        <v>0</v>
      </c>
      <c r="K310">
        <v>0</v>
      </c>
      <c r="L310">
        <v>0</v>
      </c>
      <c r="M310">
        <v>0</v>
      </c>
      <c r="N310">
        <v>0</v>
      </c>
      <c r="O310">
        <v>0</v>
      </c>
      <c r="P310">
        <v>0</v>
      </c>
      <c r="Q310">
        <v>0</v>
      </c>
      <c r="R310">
        <v>0</v>
      </c>
      <c r="S310">
        <v>0</v>
      </c>
      <c r="U310" s="175">
        <f t="shared" si="18"/>
        <v>0</v>
      </c>
    </row>
    <row r="311" spans="1:21">
      <c r="A311" s="183" t="str">
        <f t="shared" si="16"/>
        <v>575</v>
      </c>
      <c r="B311" s="183" t="str">
        <f t="shared" si="17"/>
        <v>575.5</v>
      </c>
      <c r="C311" t="s">
        <v>2072</v>
      </c>
      <c r="D311" t="s">
        <v>1475</v>
      </c>
      <c r="G311">
        <v>0</v>
      </c>
      <c r="H311">
        <v>0</v>
      </c>
      <c r="I311">
        <v>0</v>
      </c>
      <c r="J311">
        <v>0</v>
      </c>
      <c r="K311">
        <v>0</v>
      </c>
      <c r="L311">
        <v>0</v>
      </c>
      <c r="M311">
        <v>0</v>
      </c>
      <c r="N311">
        <v>0</v>
      </c>
      <c r="O311">
        <v>0</v>
      </c>
      <c r="P311">
        <v>0</v>
      </c>
      <c r="Q311">
        <v>0</v>
      </c>
      <c r="R311">
        <v>0</v>
      </c>
      <c r="S311">
        <v>0</v>
      </c>
      <c r="U311" s="175">
        <f t="shared" si="18"/>
        <v>0</v>
      </c>
    </row>
    <row r="312" spans="1:21">
      <c r="A312" s="183" t="str">
        <f t="shared" si="16"/>
        <v>575</v>
      </c>
      <c r="B312" s="183" t="str">
        <f t="shared" si="17"/>
        <v>575.6</v>
      </c>
      <c r="C312" t="s">
        <v>2073</v>
      </c>
      <c r="D312" t="s">
        <v>1477</v>
      </c>
      <c r="G312">
        <v>0</v>
      </c>
      <c r="H312">
        <v>0</v>
      </c>
      <c r="I312">
        <v>0</v>
      </c>
      <c r="J312">
        <v>0</v>
      </c>
      <c r="K312">
        <v>0</v>
      </c>
      <c r="L312">
        <v>0</v>
      </c>
      <c r="M312">
        <v>0</v>
      </c>
      <c r="N312">
        <v>0</v>
      </c>
      <c r="O312">
        <v>0</v>
      </c>
      <c r="P312">
        <v>0</v>
      </c>
      <c r="Q312">
        <v>0</v>
      </c>
      <c r="R312">
        <v>0</v>
      </c>
      <c r="S312">
        <v>0</v>
      </c>
      <c r="U312" s="175">
        <f t="shared" si="18"/>
        <v>0</v>
      </c>
    </row>
    <row r="313" spans="1:21">
      <c r="A313" s="183" t="str">
        <f t="shared" si="16"/>
        <v>575</v>
      </c>
      <c r="B313" s="183" t="str">
        <f t="shared" si="17"/>
        <v>575.7</v>
      </c>
      <c r="C313" t="s">
        <v>2074</v>
      </c>
      <c r="D313" t="s">
        <v>1479</v>
      </c>
      <c r="G313">
        <v>0</v>
      </c>
      <c r="H313">
        <v>0</v>
      </c>
      <c r="I313">
        <v>0</v>
      </c>
      <c r="J313">
        <v>0</v>
      </c>
      <c r="K313">
        <v>0</v>
      </c>
      <c r="L313">
        <v>0</v>
      </c>
      <c r="M313">
        <v>0</v>
      </c>
      <c r="N313">
        <v>0</v>
      </c>
      <c r="O313">
        <v>0</v>
      </c>
      <c r="P313">
        <v>0</v>
      </c>
      <c r="Q313">
        <v>0</v>
      </c>
      <c r="R313">
        <v>0</v>
      </c>
      <c r="S313">
        <v>0</v>
      </c>
      <c r="U313" s="175">
        <f t="shared" si="18"/>
        <v>0</v>
      </c>
    </row>
    <row r="314" spans="1:21">
      <c r="A314" s="183" t="str">
        <f t="shared" si="16"/>
        <v>575</v>
      </c>
      <c r="B314" s="183" t="str">
        <f t="shared" si="17"/>
        <v>575.8</v>
      </c>
      <c r="C314" t="s">
        <v>2075</v>
      </c>
      <c r="D314" t="s">
        <v>1481</v>
      </c>
      <c r="G314">
        <v>0</v>
      </c>
      <c r="H314">
        <v>0</v>
      </c>
      <c r="I314">
        <v>0</v>
      </c>
      <c r="J314">
        <v>0</v>
      </c>
      <c r="K314">
        <v>0</v>
      </c>
      <c r="L314">
        <v>0</v>
      </c>
      <c r="M314">
        <v>0</v>
      </c>
      <c r="N314">
        <v>0</v>
      </c>
      <c r="O314">
        <v>0</v>
      </c>
      <c r="P314">
        <v>0</v>
      </c>
      <c r="Q314">
        <v>0</v>
      </c>
      <c r="R314">
        <v>0</v>
      </c>
      <c r="S314">
        <v>0</v>
      </c>
      <c r="U314" s="175">
        <f t="shared" si="18"/>
        <v>0</v>
      </c>
    </row>
    <row r="315" spans="1:21">
      <c r="A315" s="183" t="str">
        <f t="shared" si="16"/>
        <v>576</v>
      </c>
      <c r="B315" s="183" t="str">
        <f t="shared" si="17"/>
        <v>576.1</v>
      </c>
      <c r="C315" t="s">
        <v>2076</v>
      </c>
      <c r="D315" t="s">
        <v>1483</v>
      </c>
      <c r="G315">
        <v>0</v>
      </c>
      <c r="H315">
        <v>0</v>
      </c>
      <c r="I315">
        <v>0</v>
      </c>
      <c r="J315">
        <v>0</v>
      </c>
      <c r="K315">
        <v>0</v>
      </c>
      <c r="L315">
        <v>0</v>
      </c>
      <c r="M315">
        <v>0</v>
      </c>
      <c r="N315">
        <v>0</v>
      </c>
      <c r="O315">
        <v>0</v>
      </c>
      <c r="P315">
        <v>0</v>
      </c>
      <c r="Q315">
        <v>0</v>
      </c>
      <c r="R315">
        <v>0</v>
      </c>
      <c r="S315">
        <v>0</v>
      </c>
      <c r="U315" s="175">
        <f t="shared" si="18"/>
        <v>0</v>
      </c>
    </row>
    <row r="316" spans="1:21">
      <c r="A316" s="183" t="str">
        <f t="shared" si="16"/>
        <v>576</v>
      </c>
      <c r="B316" s="183" t="str">
        <f t="shared" si="17"/>
        <v>576.2</v>
      </c>
      <c r="C316" t="s">
        <v>2077</v>
      </c>
      <c r="D316" t="s">
        <v>1485</v>
      </c>
      <c r="G316">
        <v>0</v>
      </c>
      <c r="H316">
        <v>0</v>
      </c>
      <c r="I316">
        <v>0</v>
      </c>
      <c r="J316">
        <v>0</v>
      </c>
      <c r="K316">
        <v>0</v>
      </c>
      <c r="L316">
        <v>0</v>
      </c>
      <c r="M316">
        <v>0</v>
      </c>
      <c r="N316">
        <v>0</v>
      </c>
      <c r="O316">
        <v>0</v>
      </c>
      <c r="P316">
        <v>0</v>
      </c>
      <c r="Q316">
        <v>0</v>
      </c>
      <c r="R316">
        <v>0</v>
      </c>
      <c r="S316">
        <v>0</v>
      </c>
      <c r="U316" s="175">
        <f t="shared" si="18"/>
        <v>0</v>
      </c>
    </row>
    <row r="317" spans="1:21">
      <c r="A317" s="183" t="str">
        <f t="shared" si="16"/>
        <v>576</v>
      </c>
      <c r="B317" s="183" t="str">
        <f t="shared" si="17"/>
        <v>576.3</v>
      </c>
      <c r="C317" t="s">
        <v>2078</v>
      </c>
      <c r="D317" t="s">
        <v>1487</v>
      </c>
      <c r="G317">
        <v>0</v>
      </c>
      <c r="H317">
        <v>0</v>
      </c>
      <c r="I317">
        <v>0</v>
      </c>
      <c r="J317">
        <v>0</v>
      </c>
      <c r="K317">
        <v>0</v>
      </c>
      <c r="L317">
        <v>0</v>
      </c>
      <c r="M317">
        <v>0</v>
      </c>
      <c r="N317">
        <v>0</v>
      </c>
      <c r="O317">
        <v>0</v>
      </c>
      <c r="P317">
        <v>0</v>
      </c>
      <c r="Q317">
        <v>0</v>
      </c>
      <c r="R317">
        <v>0</v>
      </c>
      <c r="S317">
        <v>0</v>
      </c>
      <c r="U317" s="175">
        <f t="shared" si="18"/>
        <v>0</v>
      </c>
    </row>
    <row r="318" spans="1:21">
      <c r="A318" s="183" t="str">
        <f t="shared" si="16"/>
        <v>576</v>
      </c>
      <c r="B318" s="183" t="str">
        <f t="shared" si="17"/>
        <v>576.4</v>
      </c>
      <c r="C318" t="s">
        <v>2079</v>
      </c>
      <c r="D318" t="s">
        <v>1489</v>
      </c>
      <c r="G318">
        <v>0</v>
      </c>
      <c r="H318">
        <v>0</v>
      </c>
      <c r="I318">
        <v>0</v>
      </c>
      <c r="J318">
        <v>0</v>
      </c>
      <c r="K318">
        <v>0</v>
      </c>
      <c r="L318">
        <v>0</v>
      </c>
      <c r="M318">
        <v>0</v>
      </c>
      <c r="N318">
        <v>0</v>
      </c>
      <c r="O318">
        <v>0</v>
      </c>
      <c r="P318">
        <v>0</v>
      </c>
      <c r="Q318">
        <v>0</v>
      </c>
      <c r="R318">
        <v>0</v>
      </c>
      <c r="S318">
        <v>0</v>
      </c>
      <c r="U318" s="175">
        <f t="shared" si="18"/>
        <v>0</v>
      </c>
    </row>
    <row r="319" spans="1:21">
      <c r="A319" s="183" t="str">
        <f t="shared" si="16"/>
        <v>576</v>
      </c>
      <c r="B319" s="183" t="str">
        <f t="shared" si="17"/>
        <v>576.5</v>
      </c>
      <c r="C319" t="s">
        <v>2080</v>
      </c>
      <c r="D319" t="s">
        <v>1491</v>
      </c>
      <c r="G319">
        <v>0</v>
      </c>
      <c r="H319">
        <v>0</v>
      </c>
      <c r="I319">
        <v>0</v>
      </c>
      <c r="J319">
        <v>0</v>
      </c>
      <c r="K319">
        <v>0</v>
      </c>
      <c r="L319">
        <v>0</v>
      </c>
      <c r="M319">
        <v>0</v>
      </c>
      <c r="N319">
        <v>0</v>
      </c>
      <c r="O319">
        <v>0</v>
      </c>
      <c r="P319">
        <v>0</v>
      </c>
      <c r="Q319">
        <v>0</v>
      </c>
      <c r="R319">
        <v>0</v>
      </c>
      <c r="S319">
        <v>0</v>
      </c>
      <c r="U319" s="175">
        <f t="shared" si="18"/>
        <v>0</v>
      </c>
    </row>
    <row r="320" spans="1:21">
      <c r="A320" s="183" t="str">
        <f t="shared" si="16"/>
        <v>580</v>
      </c>
      <c r="B320" s="183" t="str">
        <f t="shared" si="17"/>
        <v>580.0</v>
      </c>
      <c r="C320" t="s">
        <v>2081</v>
      </c>
      <c r="D320" t="s">
        <v>1493</v>
      </c>
      <c r="G320">
        <v>162530.46</v>
      </c>
      <c r="H320">
        <v>98774.84</v>
      </c>
      <c r="I320">
        <v>120109.53</v>
      </c>
      <c r="J320">
        <v>290464.09999999998</v>
      </c>
      <c r="K320">
        <v>231135.92</v>
      </c>
      <c r="L320">
        <v>363755.88</v>
      </c>
      <c r="M320">
        <v>136589.88</v>
      </c>
      <c r="N320">
        <v>158159.78</v>
      </c>
      <c r="O320">
        <v>156384.65</v>
      </c>
      <c r="P320">
        <v>78024.75</v>
      </c>
      <c r="Q320">
        <v>78929.7</v>
      </c>
      <c r="R320">
        <v>45946.02</v>
      </c>
      <c r="S320">
        <v>41555.949999999997</v>
      </c>
      <c r="U320" s="175">
        <f t="shared" si="18"/>
        <v>150950.88153846152</v>
      </c>
    </row>
    <row r="321" spans="1:21">
      <c r="A321" s="183" t="str">
        <f t="shared" si="16"/>
        <v>581</v>
      </c>
      <c r="B321" s="183" t="str">
        <f t="shared" si="17"/>
        <v>581.0</v>
      </c>
      <c r="C321" t="s">
        <v>2082</v>
      </c>
      <c r="D321" t="s">
        <v>1495</v>
      </c>
      <c r="G321">
        <v>94798.44</v>
      </c>
      <c r="H321">
        <v>70787.429999999993</v>
      </c>
      <c r="I321">
        <v>85284.25</v>
      </c>
      <c r="J321">
        <v>110614.16</v>
      </c>
      <c r="K321">
        <v>94222.399999999994</v>
      </c>
      <c r="L321">
        <v>75720.179999999993</v>
      </c>
      <c r="M321">
        <v>91628.27</v>
      </c>
      <c r="N321">
        <v>80564.5</v>
      </c>
      <c r="O321">
        <v>91479.72</v>
      </c>
      <c r="P321">
        <v>73001.94</v>
      </c>
      <c r="Q321">
        <v>-2235</v>
      </c>
      <c r="R321">
        <v>86406.39</v>
      </c>
      <c r="S321">
        <v>111004.74</v>
      </c>
      <c r="U321" s="175">
        <f t="shared" si="18"/>
        <v>81790.570769230777</v>
      </c>
    </row>
    <row r="322" spans="1:21">
      <c r="A322" s="183" t="str">
        <f t="shared" si="16"/>
        <v>581</v>
      </c>
      <c r="B322" s="183" t="str">
        <f t="shared" si="17"/>
        <v>581.1</v>
      </c>
      <c r="C322" t="s">
        <v>2083</v>
      </c>
      <c r="D322" t="s">
        <v>1497</v>
      </c>
      <c r="G322">
        <v>0</v>
      </c>
      <c r="H322">
        <v>0</v>
      </c>
      <c r="I322">
        <v>0</v>
      </c>
      <c r="J322">
        <v>0</v>
      </c>
      <c r="K322">
        <v>0</v>
      </c>
      <c r="L322">
        <v>0</v>
      </c>
      <c r="M322">
        <v>0</v>
      </c>
      <c r="N322">
        <v>0</v>
      </c>
      <c r="O322">
        <v>0</v>
      </c>
      <c r="P322">
        <v>0</v>
      </c>
      <c r="Q322">
        <v>0</v>
      </c>
      <c r="R322">
        <v>0</v>
      </c>
      <c r="S322">
        <v>0</v>
      </c>
      <c r="U322" s="175">
        <f t="shared" si="18"/>
        <v>0</v>
      </c>
    </row>
    <row r="323" spans="1:21">
      <c r="A323" s="183" t="str">
        <f t="shared" si="16"/>
        <v>582</v>
      </c>
      <c r="B323" s="183" t="str">
        <f t="shared" si="17"/>
        <v>582.0</v>
      </c>
      <c r="C323" t="s">
        <v>2084</v>
      </c>
      <c r="D323" t="s">
        <v>1499</v>
      </c>
      <c r="G323">
        <v>126970.61</v>
      </c>
      <c r="H323">
        <v>122500.72</v>
      </c>
      <c r="I323">
        <v>104628.38</v>
      </c>
      <c r="J323">
        <v>140114.23999999999</v>
      </c>
      <c r="K323">
        <v>104000.88</v>
      </c>
      <c r="L323">
        <v>134901.15</v>
      </c>
      <c r="M323">
        <v>142291.62</v>
      </c>
      <c r="N323">
        <v>145352.53</v>
      </c>
      <c r="O323">
        <v>182665.91</v>
      </c>
      <c r="P323">
        <v>139558.18</v>
      </c>
      <c r="Q323">
        <v>165317.79999999999</v>
      </c>
      <c r="R323">
        <v>105750.39</v>
      </c>
      <c r="S323">
        <v>133869.31</v>
      </c>
      <c r="U323" s="175">
        <f t="shared" si="18"/>
        <v>134455.51692307691</v>
      </c>
    </row>
    <row r="324" spans="1:21">
      <c r="A324" s="183" t="str">
        <f t="shared" si="16"/>
        <v>583</v>
      </c>
      <c r="B324" s="183" t="str">
        <f t="shared" si="17"/>
        <v>583.0</v>
      </c>
      <c r="C324" t="s">
        <v>2085</v>
      </c>
      <c r="D324" t="s">
        <v>1501</v>
      </c>
      <c r="G324">
        <v>723479.26</v>
      </c>
      <c r="H324">
        <v>497352.33</v>
      </c>
      <c r="I324">
        <v>776395.9</v>
      </c>
      <c r="J324">
        <v>1299184.27</v>
      </c>
      <c r="K324">
        <v>721581.33</v>
      </c>
      <c r="L324">
        <v>-297371.65999999997</v>
      </c>
      <c r="M324">
        <v>2112401.38</v>
      </c>
      <c r="N324">
        <v>884960.4</v>
      </c>
      <c r="O324">
        <v>-312458.83</v>
      </c>
      <c r="P324">
        <v>-771167.72</v>
      </c>
      <c r="Q324">
        <v>3819597.46</v>
      </c>
      <c r="R324">
        <v>-118306.95</v>
      </c>
      <c r="S324">
        <v>1926159.72</v>
      </c>
      <c r="U324" s="175">
        <f t="shared" si="18"/>
        <v>866292.83769230789</v>
      </c>
    </row>
    <row r="325" spans="1:21">
      <c r="A325" s="183" t="str">
        <f t="shared" si="16"/>
        <v>584</v>
      </c>
      <c r="B325" s="183" t="str">
        <f t="shared" si="17"/>
        <v>584.0</v>
      </c>
      <c r="C325" t="s">
        <v>2086</v>
      </c>
      <c r="D325" t="s">
        <v>1503</v>
      </c>
      <c r="G325">
        <v>85014.84</v>
      </c>
      <c r="H325">
        <v>62286.67</v>
      </c>
      <c r="I325">
        <v>46403.97</v>
      </c>
      <c r="J325">
        <v>76806.31</v>
      </c>
      <c r="K325">
        <v>68090.55</v>
      </c>
      <c r="L325">
        <v>66138.86</v>
      </c>
      <c r="M325">
        <v>62670.71</v>
      </c>
      <c r="N325">
        <v>65230.76</v>
      </c>
      <c r="O325">
        <v>67741.070000000007</v>
      </c>
      <c r="P325">
        <v>64884.67</v>
      </c>
      <c r="Q325">
        <v>49247.59</v>
      </c>
      <c r="R325">
        <v>64190.82</v>
      </c>
      <c r="S325">
        <v>67182.42</v>
      </c>
      <c r="U325" s="175">
        <f t="shared" si="18"/>
        <v>65068.403076923074</v>
      </c>
    </row>
    <row r="326" spans="1:21">
      <c r="A326" s="183" t="str">
        <f t="shared" si="16"/>
        <v>585</v>
      </c>
      <c r="B326" s="183" t="str">
        <f t="shared" si="17"/>
        <v>585.0</v>
      </c>
      <c r="C326" t="s">
        <v>2087</v>
      </c>
      <c r="D326" t="s">
        <v>1505</v>
      </c>
      <c r="G326">
        <v>116963.85</v>
      </c>
      <c r="H326">
        <v>222364.54</v>
      </c>
      <c r="I326">
        <v>207163.15</v>
      </c>
      <c r="J326">
        <v>165157.54</v>
      </c>
      <c r="K326">
        <v>144798.26999999999</v>
      </c>
      <c r="L326">
        <v>-55881.55</v>
      </c>
      <c r="M326">
        <v>122700.13</v>
      </c>
      <c r="N326">
        <v>106315.27</v>
      </c>
      <c r="O326">
        <v>148585.99</v>
      </c>
      <c r="P326">
        <v>170487.55</v>
      </c>
      <c r="Q326">
        <v>185110.2</v>
      </c>
      <c r="R326">
        <v>141099.99</v>
      </c>
      <c r="S326">
        <v>34199.97</v>
      </c>
      <c r="U326" s="175">
        <f t="shared" si="18"/>
        <v>131466.53076923077</v>
      </c>
    </row>
    <row r="327" spans="1:21">
      <c r="A327" s="183" t="str">
        <f t="shared" ref="A327:A390" si="19">MID(C327,4,3)</f>
        <v>586</v>
      </c>
      <c r="B327" s="183" t="str">
        <f t="shared" ref="B327:B390" si="20">MID(C327,4,3)&amp;"."&amp;MID(C327,7,1)</f>
        <v>586.0</v>
      </c>
      <c r="C327" t="s">
        <v>2088</v>
      </c>
      <c r="D327" t="s">
        <v>1507</v>
      </c>
      <c r="G327">
        <v>535946.93999999994</v>
      </c>
      <c r="H327">
        <v>-995512.68</v>
      </c>
      <c r="I327">
        <v>515568.59</v>
      </c>
      <c r="J327">
        <v>531462.51</v>
      </c>
      <c r="K327">
        <v>569903.65</v>
      </c>
      <c r="L327">
        <v>515130.58</v>
      </c>
      <c r="M327">
        <v>583980.11</v>
      </c>
      <c r="N327">
        <v>595905.37</v>
      </c>
      <c r="O327">
        <v>653126.43999999994</v>
      </c>
      <c r="P327">
        <v>604002.93999999994</v>
      </c>
      <c r="Q327">
        <v>560085.91</v>
      </c>
      <c r="R327">
        <v>625133.96</v>
      </c>
      <c r="S327">
        <v>600257.09</v>
      </c>
      <c r="U327" s="175">
        <f t="shared" ref="U327:U390" si="21">AVERAGE(G327:S327)</f>
        <v>453460.87769230764</v>
      </c>
    </row>
    <row r="328" spans="1:21">
      <c r="A328" s="183" t="str">
        <f t="shared" si="19"/>
        <v>587</v>
      </c>
      <c r="B328" s="183" t="str">
        <f t="shared" si="20"/>
        <v>587.0</v>
      </c>
      <c r="C328" t="s">
        <v>2089</v>
      </c>
      <c r="D328" t="s">
        <v>1509</v>
      </c>
      <c r="G328">
        <v>68408.350000000006</v>
      </c>
      <c r="H328">
        <v>59834.04</v>
      </c>
      <c r="I328">
        <v>52434.89</v>
      </c>
      <c r="J328">
        <v>69268.850000000006</v>
      </c>
      <c r="K328">
        <v>60101.17</v>
      </c>
      <c r="L328">
        <v>60163.15</v>
      </c>
      <c r="M328">
        <v>57072.92</v>
      </c>
      <c r="N328">
        <v>49972.76</v>
      </c>
      <c r="O328">
        <v>57311.33</v>
      </c>
      <c r="P328">
        <v>72520.13</v>
      </c>
      <c r="Q328">
        <v>66104.03</v>
      </c>
      <c r="R328">
        <v>48757.26</v>
      </c>
      <c r="S328">
        <v>55740.65</v>
      </c>
      <c r="U328" s="175">
        <f t="shared" si="21"/>
        <v>59822.271538461551</v>
      </c>
    </row>
    <row r="329" spans="1:21">
      <c r="A329" s="183" t="str">
        <f t="shared" si="19"/>
        <v>588</v>
      </c>
      <c r="B329" s="183" t="str">
        <f t="shared" si="20"/>
        <v>588.0</v>
      </c>
      <c r="C329" t="s">
        <v>2090</v>
      </c>
      <c r="D329" t="s">
        <v>1511</v>
      </c>
      <c r="G329">
        <v>6790384.5999999996</v>
      </c>
      <c r="H329">
        <v>112745.4</v>
      </c>
      <c r="I329">
        <v>-12724.89</v>
      </c>
      <c r="J329">
        <v>483005.77</v>
      </c>
      <c r="K329">
        <v>419047.75</v>
      </c>
      <c r="L329">
        <v>375387.32</v>
      </c>
      <c r="M329">
        <v>635557.68999999994</v>
      </c>
      <c r="N329">
        <v>574475.86</v>
      </c>
      <c r="O329">
        <v>1255679.1200000001</v>
      </c>
      <c r="P329">
        <v>442160.02</v>
      </c>
      <c r="Q329">
        <v>497722.02</v>
      </c>
      <c r="R329">
        <v>-2445296.96</v>
      </c>
      <c r="S329">
        <v>-609292.5</v>
      </c>
      <c r="U329" s="175">
        <f t="shared" si="21"/>
        <v>655296.24615384615</v>
      </c>
    </row>
    <row r="330" spans="1:21">
      <c r="A330" s="183" t="str">
        <f t="shared" si="19"/>
        <v>589</v>
      </c>
      <c r="B330" s="183" t="str">
        <f t="shared" si="20"/>
        <v>589.0</v>
      </c>
      <c r="C330" t="s">
        <v>2091</v>
      </c>
      <c r="D330" t="s">
        <v>1513</v>
      </c>
      <c r="G330">
        <v>28937.7</v>
      </c>
      <c r="H330">
        <v>28937.7</v>
      </c>
      <c r="I330">
        <v>29509.01</v>
      </c>
      <c r="J330">
        <v>29509.01</v>
      </c>
      <c r="K330">
        <v>29509.01</v>
      </c>
      <c r="L330">
        <v>29509.01</v>
      </c>
      <c r="M330">
        <v>29509.01</v>
      </c>
      <c r="N330">
        <v>29509.01</v>
      </c>
      <c r="O330">
        <v>29509.01</v>
      </c>
      <c r="P330">
        <v>29509.01</v>
      </c>
      <c r="Q330">
        <v>29509.01</v>
      </c>
      <c r="R330">
        <v>29509.01</v>
      </c>
      <c r="S330">
        <v>29509.01</v>
      </c>
      <c r="U330" s="175">
        <f t="shared" si="21"/>
        <v>29421.11615384616</v>
      </c>
    </row>
    <row r="331" spans="1:21">
      <c r="A331" s="183" t="str">
        <f t="shared" si="19"/>
        <v>590</v>
      </c>
      <c r="B331" s="183" t="str">
        <f t="shared" si="20"/>
        <v>590.0</v>
      </c>
      <c r="C331" t="s">
        <v>2092</v>
      </c>
      <c r="D331" t="s">
        <v>1515</v>
      </c>
      <c r="G331">
        <v>0</v>
      </c>
      <c r="H331">
        <v>0</v>
      </c>
      <c r="I331">
        <v>0</v>
      </c>
      <c r="J331">
        <v>0</v>
      </c>
      <c r="K331">
        <v>0</v>
      </c>
      <c r="L331">
        <v>0</v>
      </c>
      <c r="M331">
        <v>0</v>
      </c>
      <c r="N331">
        <v>0</v>
      </c>
      <c r="O331">
        <v>0</v>
      </c>
      <c r="P331">
        <v>0</v>
      </c>
      <c r="Q331">
        <v>0</v>
      </c>
      <c r="R331">
        <v>0</v>
      </c>
      <c r="S331">
        <v>0</v>
      </c>
      <c r="U331" s="175">
        <f t="shared" si="21"/>
        <v>0</v>
      </c>
    </row>
    <row r="332" spans="1:21">
      <c r="A332" s="183" t="str">
        <f t="shared" si="19"/>
        <v>591</v>
      </c>
      <c r="B332" s="183" t="str">
        <f t="shared" si="20"/>
        <v>591.0</v>
      </c>
      <c r="C332" t="s">
        <v>2093</v>
      </c>
      <c r="D332" t="s">
        <v>1517</v>
      </c>
      <c r="G332">
        <v>66964.39</v>
      </c>
      <c r="H332">
        <v>30326.62</v>
      </c>
      <c r="I332">
        <v>99108.92</v>
      </c>
      <c r="J332">
        <v>55366.5</v>
      </c>
      <c r="K332">
        <v>45989.81</v>
      </c>
      <c r="L332">
        <v>47018.02</v>
      </c>
      <c r="M332">
        <v>57528.62</v>
      </c>
      <c r="N332">
        <v>22765.55</v>
      </c>
      <c r="O332">
        <v>66210.75</v>
      </c>
      <c r="P332">
        <v>4278.71</v>
      </c>
      <c r="Q332">
        <v>99127.14</v>
      </c>
      <c r="R332">
        <v>51996.52</v>
      </c>
      <c r="S332">
        <v>146339.1</v>
      </c>
      <c r="U332" s="175">
        <f t="shared" si="21"/>
        <v>61001.588461538464</v>
      </c>
    </row>
    <row r="333" spans="1:21">
      <c r="A333" s="183" t="str">
        <f t="shared" si="19"/>
        <v>592</v>
      </c>
      <c r="B333" s="183" t="str">
        <f t="shared" si="20"/>
        <v>592.0</v>
      </c>
      <c r="C333" t="s">
        <v>2094</v>
      </c>
      <c r="D333" t="s">
        <v>1519</v>
      </c>
      <c r="G333">
        <v>198178.82</v>
      </c>
      <c r="H333">
        <v>266907.99</v>
      </c>
      <c r="I333">
        <v>252670.92</v>
      </c>
      <c r="J333">
        <v>171872.96</v>
      </c>
      <c r="K333">
        <v>214852.12</v>
      </c>
      <c r="L333">
        <v>320116.87</v>
      </c>
      <c r="M333">
        <v>297577.36</v>
      </c>
      <c r="N333">
        <v>285165.83</v>
      </c>
      <c r="O333">
        <v>245732.16</v>
      </c>
      <c r="P333">
        <v>207687.91</v>
      </c>
      <c r="Q333">
        <v>197633.79</v>
      </c>
      <c r="R333">
        <v>203413.7</v>
      </c>
      <c r="S333">
        <v>156452.91</v>
      </c>
      <c r="U333" s="175">
        <f t="shared" si="21"/>
        <v>232174.10307692314</v>
      </c>
    </row>
    <row r="334" spans="1:21">
      <c r="A334" s="183" t="str">
        <f t="shared" si="19"/>
        <v>592</v>
      </c>
      <c r="B334" s="183" t="str">
        <f t="shared" si="20"/>
        <v>592.1</v>
      </c>
      <c r="C334" t="s">
        <v>2095</v>
      </c>
      <c r="D334" t="s">
        <v>1521</v>
      </c>
      <c r="G334">
        <v>0</v>
      </c>
      <c r="H334">
        <v>0</v>
      </c>
      <c r="I334">
        <v>0</v>
      </c>
      <c r="J334">
        <v>0</v>
      </c>
      <c r="K334">
        <v>0</v>
      </c>
      <c r="L334">
        <v>0</v>
      </c>
      <c r="M334">
        <v>0</v>
      </c>
      <c r="N334">
        <v>0</v>
      </c>
      <c r="O334">
        <v>0</v>
      </c>
      <c r="P334">
        <v>0</v>
      </c>
      <c r="Q334">
        <v>0</v>
      </c>
      <c r="R334">
        <v>0</v>
      </c>
      <c r="S334">
        <v>0</v>
      </c>
      <c r="U334" s="175">
        <f t="shared" si="21"/>
        <v>0</v>
      </c>
    </row>
    <row r="335" spans="1:21">
      <c r="A335" s="183" t="str">
        <f t="shared" si="19"/>
        <v>593</v>
      </c>
      <c r="B335" s="183" t="str">
        <f t="shared" si="20"/>
        <v>593.0</v>
      </c>
      <c r="C335" t="s">
        <v>2096</v>
      </c>
      <c r="D335" t="s">
        <v>1523</v>
      </c>
      <c r="G335">
        <v>3485030.93</v>
      </c>
      <c r="H335">
        <v>2477756.7999999998</v>
      </c>
      <c r="I335">
        <v>2496441.38</v>
      </c>
      <c r="J335">
        <v>3106424.12</v>
      </c>
      <c r="K335">
        <v>2710902.23</v>
      </c>
      <c r="L335">
        <v>2763030.06</v>
      </c>
      <c r="M335">
        <v>3808040.07</v>
      </c>
      <c r="N335">
        <v>1749089.03</v>
      </c>
      <c r="O335">
        <v>3071264.85</v>
      </c>
      <c r="P335">
        <v>3441903.6</v>
      </c>
      <c r="Q335">
        <v>2107395.9</v>
      </c>
      <c r="R335">
        <v>2966695.53</v>
      </c>
      <c r="S335">
        <v>2762913.56</v>
      </c>
      <c r="U335" s="175">
        <f t="shared" si="21"/>
        <v>2842068.3123076926</v>
      </c>
    </row>
    <row r="336" spans="1:21">
      <c r="A336" s="183" t="str">
        <f t="shared" si="19"/>
        <v>594</v>
      </c>
      <c r="B336" s="183" t="str">
        <f t="shared" si="20"/>
        <v>594.0</v>
      </c>
      <c r="C336" t="s">
        <v>2097</v>
      </c>
      <c r="D336" t="s">
        <v>1525</v>
      </c>
      <c r="G336">
        <v>239682.24</v>
      </c>
      <c r="H336">
        <v>265499.96000000002</v>
      </c>
      <c r="I336">
        <v>180865.78</v>
      </c>
      <c r="J336">
        <v>266703.2</v>
      </c>
      <c r="K336">
        <v>325538.3</v>
      </c>
      <c r="L336">
        <v>347131.22</v>
      </c>
      <c r="M336">
        <v>457720.15</v>
      </c>
      <c r="N336">
        <v>320954.09999999998</v>
      </c>
      <c r="O336">
        <v>317317.94</v>
      </c>
      <c r="P336">
        <v>398954.89</v>
      </c>
      <c r="Q336">
        <v>319906.78999999998</v>
      </c>
      <c r="R336">
        <v>451927.96</v>
      </c>
      <c r="S336">
        <v>292075.17</v>
      </c>
      <c r="U336" s="175">
        <f t="shared" si="21"/>
        <v>321867.5153846154</v>
      </c>
    </row>
    <row r="337" spans="1:21">
      <c r="A337" s="183" t="str">
        <f t="shared" si="19"/>
        <v>595</v>
      </c>
      <c r="B337" s="183" t="str">
        <f t="shared" si="20"/>
        <v>595.0</v>
      </c>
      <c r="C337" t="s">
        <v>2098</v>
      </c>
      <c r="D337" t="s">
        <v>1527</v>
      </c>
      <c r="G337">
        <v>27311.69</v>
      </c>
      <c r="H337">
        <v>110558.13</v>
      </c>
      <c r="I337">
        <v>26979.81</v>
      </c>
      <c r="J337">
        <v>32204.39</v>
      </c>
      <c r="K337">
        <v>28053.45</v>
      </c>
      <c r="L337">
        <v>81556.92</v>
      </c>
      <c r="M337">
        <v>18312.2</v>
      </c>
      <c r="N337">
        <v>44939.19</v>
      </c>
      <c r="O337">
        <v>58345.65</v>
      </c>
      <c r="P337">
        <v>36170.370000000003</v>
      </c>
      <c r="Q337">
        <v>25253.17</v>
      </c>
      <c r="R337">
        <v>21783.13</v>
      </c>
      <c r="S337">
        <v>18917.240000000002</v>
      </c>
      <c r="U337" s="175">
        <f t="shared" si="21"/>
        <v>40798.872307692312</v>
      </c>
    </row>
    <row r="338" spans="1:21">
      <c r="A338" s="183" t="str">
        <f t="shared" si="19"/>
        <v>596</v>
      </c>
      <c r="B338" s="183" t="str">
        <f t="shared" si="20"/>
        <v>596.0</v>
      </c>
      <c r="C338" t="s">
        <v>2099</v>
      </c>
      <c r="D338" t="s">
        <v>1529</v>
      </c>
      <c r="G338">
        <v>705621.32</v>
      </c>
      <c r="H338">
        <v>86177.59</v>
      </c>
      <c r="I338">
        <v>180619.67</v>
      </c>
      <c r="J338">
        <v>138102.49</v>
      </c>
      <c r="K338">
        <v>122903.35</v>
      </c>
      <c r="L338">
        <v>128144.89</v>
      </c>
      <c r="M338">
        <v>100063.93</v>
      </c>
      <c r="N338">
        <v>86358.12</v>
      </c>
      <c r="O338">
        <v>151516</v>
      </c>
      <c r="P338">
        <v>78807.22</v>
      </c>
      <c r="Q338">
        <v>47389.47</v>
      </c>
      <c r="R338">
        <v>96929.97</v>
      </c>
      <c r="S338">
        <v>154158.88</v>
      </c>
      <c r="U338" s="175">
        <f t="shared" si="21"/>
        <v>159753.29999999999</v>
      </c>
    </row>
    <row r="339" spans="1:21">
      <c r="A339" s="183" t="str">
        <f t="shared" si="19"/>
        <v>597</v>
      </c>
      <c r="B339" s="183" t="str">
        <f t="shared" si="20"/>
        <v>597.0</v>
      </c>
      <c r="C339" t="s">
        <v>2100</v>
      </c>
      <c r="D339" t="s">
        <v>1531</v>
      </c>
      <c r="G339">
        <v>34935.96</v>
      </c>
      <c r="H339">
        <v>52265.49</v>
      </c>
      <c r="I339">
        <v>53098.45</v>
      </c>
      <c r="J339">
        <v>54802.01</v>
      </c>
      <c r="K339">
        <v>52563.17</v>
      </c>
      <c r="L339">
        <v>21297.46</v>
      </c>
      <c r="M339">
        <v>28669.56</v>
      </c>
      <c r="N339">
        <v>27427.279999999999</v>
      </c>
      <c r="O339">
        <v>46157.08</v>
      </c>
      <c r="P339">
        <v>45969.1</v>
      </c>
      <c r="Q339">
        <v>38338.17</v>
      </c>
      <c r="R339">
        <v>36339.730000000003</v>
      </c>
      <c r="S339">
        <v>57074.03</v>
      </c>
      <c r="U339" s="175">
        <f t="shared" si="21"/>
        <v>42225.960769230769</v>
      </c>
    </row>
    <row r="340" spans="1:21">
      <c r="A340" s="183" t="str">
        <f t="shared" si="19"/>
        <v>598</v>
      </c>
      <c r="B340" s="183" t="str">
        <f t="shared" si="20"/>
        <v>598.0</v>
      </c>
      <c r="C340" t="s">
        <v>2101</v>
      </c>
      <c r="D340" t="s">
        <v>1533</v>
      </c>
      <c r="G340">
        <v>0</v>
      </c>
      <c r="H340">
        <v>0</v>
      </c>
      <c r="I340">
        <v>0</v>
      </c>
      <c r="J340">
        <v>0</v>
      </c>
      <c r="K340">
        <v>0</v>
      </c>
      <c r="L340">
        <v>0</v>
      </c>
      <c r="M340">
        <v>494.86</v>
      </c>
      <c r="N340">
        <v>68.55</v>
      </c>
      <c r="O340">
        <v>0</v>
      </c>
      <c r="P340">
        <v>0</v>
      </c>
      <c r="Q340">
        <v>0</v>
      </c>
      <c r="R340">
        <v>0</v>
      </c>
      <c r="S340">
        <v>0</v>
      </c>
      <c r="U340" s="175">
        <f t="shared" si="21"/>
        <v>43.339230769230767</v>
      </c>
    </row>
    <row r="341" spans="1:21">
      <c r="A341" s="183" t="str">
        <f t="shared" si="19"/>
        <v>800</v>
      </c>
      <c r="B341" s="183" t="str">
        <f t="shared" si="20"/>
        <v>800.0</v>
      </c>
      <c r="C341" t="s">
        <v>2102</v>
      </c>
      <c r="D341" t="s">
        <v>1535</v>
      </c>
      <c r="G341">
        <v>0</v>
      </c>
      <c r="H341">
        <v>0</v>
      </c>
      <c r="I341">
        <v>0</v>
      </c>
      <c r="J341">
        <v>0</v>
      </c>
      <c r="K341">
        <v>0</v>
      </c>
      <c r="L341">
        <v>0</v>
      </c>
      <c r="M341">
        <v>0</v>
      </c>
      <c r="N341">
        <v>0</v>
      </c>
      <c r="O341">
        <v>0</v>
      </c>
      <c r="P341">
        <v>0</v>
      </c>
      <c r="Q341">
        <v>0</v>
      </c>
      <c r="R341">
        <v>0</v>
      </c>
      <c r="S341">
        <v>0</v>
      </c>
      <c r="U341" s="175">
        <f t="shared" si="21"/>
        <v>0</v>
      </c>
    </row>
    <row r="342" spans="1:21">
      <c r="A342" s="183" t="str">
        <f t="shared" si="19"/>
        <v>800</v>
      </c>
      <c r="B342" s="183" t="str">
        <f t="shared" si="20"/>
        <v>800.1</v>
      </c>
      <c r="C342" t="s">
        <v>2103</v>
      </c>
      <c r="D342" t="s">
        <v>1537</v>
      </c>
      <c r="G342">
        <v>0</v>
      </c>
      <c r="H342">
        <v>0</v>
      </c>
      <c r="I342">
        <v>0</v>
      </c>
      <c r="J342">
        <v>0</v>
      </c>
      <c r="K342">
        <v>0</v>
      </c>
      <c r="L342">
        <v>0</v>
      </c>
      <c r="M342">
        <v>0</v>
      </c>
      <c r="N342">
        <v>0</v>
      </c>
      <c r="O342">
        <v>0</v>
      </c>
      <c r="P342">
        <v>0</v>
      </c>
      <c r="Q342">
        <v>0</v>
      </c>
      <c r="R342">
        <v>0</v>
      </c>
      <c r="S342">
        <v>0</v>
      </c>
      <c r="U342" s="175">
        <f t="shared" si="21"/>
        <v>0</v>
      </c>
    </row>
    <row r="343" spans="1:21">
      <c r="A343" s="183" t="str">
        <f t="shared" si="19"/>
        <v>801</v>
      </c>
      <c r="B343" s="183" t="str">
        <f t="shared" si="20"/>
        <v>801.0</v>
      </c>
      <c r="C343" t="s">
        <v>2104</v>
      </c>
      <c r="D343" t="s">
        <v>1539</v>
      </c>
      <c r="G343">
        <v>0</v>
      </c>
      <c r="H343">
        <v>0</v>
      </c>
      <c r="I343">
        <v>0</v>
      </c>
      <c r="J343">
        <v>0</v>
      </c>
      <c r="K343">
        <v>0</v>
      </c>
      <c r="L343">
        <v>0</v>
      </c>
      <c r="M343">
        <v>0</v>
      </c>
      <c r="N343">
        <v>0</v>
      </c>
      <c r="O343">
        <v>0</v>
      </c>
      <c r="P343">
        <v>0</v>
      </c>
      <c r="Q343">
        <v>0</v>
      </c>
      <c r="R343">
        <v>0</v>
      </c>
      <c r="S343">
        <v>0</v>
      </c>
      <c r="U343" s="175">
        <f t="shared" si="21"/>
        <v>0</v>
      </c>
    </row>
    <row r="344" spans="1:21">
      <c r="A344" s="183" t="str">
        <f t="shared" si="19"/>
        <v>802</v>
      </c>
      <c r="B344" s="183" t="str">
        <f t="shared" si="20"/>
        <v>802.0</v>
      </c>
      <c r="C344" t="s">
        <v>2105</v>
      </c>
      <c r="D344" t="s">
        <v>1541</v>
      </c>
      <c r="G344">
        <v>0</v>
      </c>
      <c r="H344">
        <v>0</v>
      </c>
      <c r="I344">
        <v>0</v>
      </c>
      <c r="J344">
        <v>0</v>
      </c>
      <c r="K344">
        <v>0</v>
      </c>
      <c r="L344">
        <v>0</v>
      </c>
      <c r="M344">
        <v>0</v>
      </c>
      <c r="N344">
        <v>0</v>
      </c>
      <c r="O344">
        <v>0</v>
      </c>
      <c r="P344">
        <v>0</v>
      </c>
      <c r="Q344">
        <v>0</v>
      </c>
      <c r="R344">
        <v>0</v>
      </c>
      <c r="S344">
        <v>0</v>
      </c>
      <c r="U344" s="175">
        <f t="shared" si="21"/>
        <v>0</v>
      </c>
    </row>
    <row r="345" spans="1:21">
      <c r="A345" s="183" t="str">
        <f t="shared" si="19"/>
        <v>803</v>
      </c>
      <c r="B345" s="183" t="str">
        <f t="shared" si="20"/>
        <v>803.0</v>
      </c>
      <c r="C345" t="s">
        <v>2106</v>
      </c>
      <c r="D345" t="s">
        <v>1543</v>
      </c>
      <c r="G345">
        <v>0</v>
      </c>
      <c r="H345">
        <v>0</v>
      </c>
      <c r="I345">
        <v>0</v>
      </c>
      <c r="J345">
        <v>0</v>
      </c>
      <c r="K345">
        <v>0</v>
      </c>
      <c r="L345">
        <v>0</v>
      </c>
      <c r="M345">
        <v>0</v>
      </c>
      <c r="N345">
        <v>0</v>
      </c>
      <c r="O345">
        <v>0</v>
      </c>
      <c r="P345">
        <v>0</v>
      </c>
      <c r="Q345">
        <v>0</v>
      </c>
      <c r="R345">
        <v>0</v>
      </c>
      <c r="S345">
        <v>0</v>
      </c>
      <c r="U345" s="175">
        <f t="shared" si="21"/>
        <v>0</v>
      </c>
    </row>
    <row r="346" spans="1:21">
      <c r="A346" s="183" t="str">
        <f t="shared" si="19"/>
        <v>804</v>
      </c>
      <c r="B346" s="183" t="str">
        <f t="shared" si="20"/>
        <v>804.0</v>
      </c>
      <c r="C346" t="s">
        <v>2107</v>
      </c>
      <c r="D346" t="s">
        <v>1545</v>
      </c>
      <c r="G346">
        <v>0</v>
      </c>
      <c r="H346">
        <v>0</v>
      </c>
      <c r="I346">
        <v>0</v>
      </c>
      <c r="J346">
        <v>0</v>
      </c>
      <c r="K346">
        <v>0</v>
      </c>
      <c r="L346">
        <v>0</v>
      </c>
      <c r="M346">
        <v>0</v>
      </c>
      <c r="N346">
        <v>0</v>
      </c>
      <c r="O346">
        <v>0</v>
      </c>
      <c r="P346">
        <v>0</v>
      </c>
      <c r="Q346">
        <v>0</v>
      </c>
      <c r="R346">
        <v>0</v>
      </c>
      <c r="S346">
        <v>0</v>
      </c>
      <c r="U346" s="175">
        <f t="shared" si="21"/>
        <v>0</v>
      </c>
    </row>
    <row r="347" spans="1:21">
      <c r="A347" s="183" t="str">
        <f t="shared" si="19"/>
        <v>804</v>
      </c>
      <c r="B347" s="183" t="str">
        <f t="shared" si="20"/>
        <v>804.1</v>
      </c>
      <c r="C347" t="s">
        <v>2108</v>
      </c>
      <c r="D347" t="s">
        <v>1547</v>
      </c>
      <c r="G347">
        <v>0</v>
      </c>
      <c r="H347">
        <v>0</v>
      </c>
      <c r="I347">
        <v>0</v>
      </c>
      <c r="J347">
        <v>0</v>
      </c>
      <c r="K347">
        <v>0</v>
      </c>
      <c r="L347">
        <v>0</v>
      </c>
      <c r="M347">
        <v>0</v>
      </c>
      <c r="N347">
        <v>0</v>
      </c>
      <c r="O347">
        <v>0</v>
      </c>
      <c r="P347">
        <v>0</v>
      </c>
      <c r="Q347">
        <v>0</v>
      </c>
      <c r="R347">
        <v>0</v>
      </c>
      <c r="S347">
        <v>0</v>
      </c>
      <c r="U347" s="175">
        <f t="shared" si="21"/>
        <v>0</v>
      </c>
    </row>
    <row r="348" spans="1:21">
      <c r="A348" s="183" t="str">
        <f t="shared" si="19"/>
        <v>805</v>
      </c>
      <c r="B348" s="183" t="str">
        <f t="shared" si="20"/>
        <v>805.0</v>
      </c>
      <c r="C348" t="s">
        <v>2109</v>
      </c>
      <c r="D348" t="s">
        <v>1549</v>
      </c>
      <c r="G348">
        <v>0</v>
      </c>
      <c r="H348">
        <v>0</v>
      </c>
      <c r="I348">
        <v>0</v>
      </c>
      <c r="J348">
        <v>0</v>
      </c>
      <c r="K348">
        <v>0</v>
      </c>
      <c r="L348">
        <v>0</v>
      </c>
      <c r="M348">
        <v>0</v>
      </c>
      <c r="N348">
        <v>0</v>
      </c>
      <c r="O348">
        <v>0</v>
      </c>
      <c r="P348">
        <v>0</v>
      </c>
      <c r="Q348">
        <v>0</v>
      </c>
      <c r="R348">
        <v>0</v>
      </c>
      <c r="S348">
        <v>0</v>
      </c>
      <c r="U348" s="175">
        <f t="shared" si="21"/>
        <v>0</v>
      </c>
    </row>
    <row r="349" spans="1:21">
      <c r="A349" s="183" t="str">
        <f t="shared" si="19"/>
        <v>805</v>
      </c>
      <c r="B349" s="183" t="str">
        <f t="shared" si="20"/>
        <v>805.1</v>
      </c>
      <c r="C349" t="s">
        <v>2110</v>
      </c>
      <c r="D349" t="s">
        <v>1551</v>
      </c>
      <c r="G349">
        <v>0</v>
      </c>
      <c r="H349">
        <v>0</v>
      </c>
      <c r="I349">
        <v>0</v>
      </c>
      <c r="J349">
        <v>0</v>
      </c>
      <c r="K349">
        <v>0</v>
      </c>
      <c r="L349">
        <v>0</v>
      </c>
      <c r="M349">
        <v>0</v>
      </c>
      <c r="N349">
        <v>0</v>
      </c>
      <c r="O349">
        <v>0</v>
      </c>
      <c r="P349">
        <v>0</v>
      </c>
      <c r="Q349">
        <v>0</v>
      </c>
      <c r="R349">
        <v>0</v>
      </c>
      <c r="S349">
        <v>0</v>
      </c>
      <c r="U349" s="175">
        <f t="shared" si="21"/>
        <v>0</v>
      </c>
    </row>
    <row r="350" spans="1:21">
      <c r="A350" s="183" t="str">
        <f t="shared" si="19"/>
        <v>806</v>
      </c>
      <c r="B350" s="183" t="str">
        <f t="shared" si="20"/>
        <v>806.0</v>
      </c>
      <c r="C350" t="s">
        <v>2111</v>
      </c>
      <c r="D350" t="s">
        <v>1553</v>
      </c>
      <c r="G350">
        <v>0</v>
      </c>
      <c r="H350">
        <v>0</v>
      </c>
      <c r="I350">
        <v>0</v>
      </c>
      <c r="J350">
        <v>0</v>
      </c>
      <c r="K350">
        <v>0</v>
      </c>
      <c r="L350">
        <v>0</v>
      </c>
      <c r="M350">
        <v>0</v>
      </c>
      <c r="N350">
        <v>0</v>
      </c>
      <c r="O350">
        <v>0</v>
      </c>
      <c r="P350">
        <v>0</v>
      </c>
      <c r="Q350">
        <v>0</v>
      </c>
      <c r="R350">
        <v>0</v>
      </c>
      <c r="S350">
        <v>0</v>
      </c>
      <c r="U350" s="175">
        <f t="shared" si="21"/>
        <v>0</v>
      </c>
    </row>
    <row r="351" spans="1:21">
      <c r="A351" s="183" t="str">
        <f t="shared" si="19"/>
        <v>807</v>
      </c>
      <c r="B351" s="183" t="str">
        <f t="shared" si="20"/>
        <v>807.1</v>
      </c>
      <c r="C351" t="s">
        <v>2112</v>
      </c>
      <c r="D351" t="s">
        <v>1555</v>
      </c>
      <c r="G351">
        <v>0</v>
      </c>
      <c r="H351">
        <v>0</v>
      </c>
      <c r="I351">
        <v>0</v>
      </c>
      <c r="J351">
        <v>0</v>
      </c>
      <c r="K351">
        <v>0</v>
      </c>
      <c r="L351">
        <v>0</v>
      </c>
      <c r="M351">
        <v>0</v>
      </c>
      <c r="N351">
        <v>0</v>
      </c>
      <c r="O351">
        <v>0</v>
      </c>
      <c r="P351">
        <v>0</v>
      </c>
      <c r="Q351">
        <v>0</v>
      </c>
      <c r="R351">
        <v>0</v>
      </c>
      <c r="S351">
        <v>0</v>
      </c>
      <c r="U351" s="175">
        <f t="shared" si="21"/>
        <v>0</v>
      </c>
    </row>
    <row r="352" spans="1:21">
      <c r="A352" s="183" t="str">
        <f t="shared" si="19"/>
        <v>807</v>
      </c>
      <c r="B352" s="183" t="str">
        <f t="shared" si="20"/>
        <v>807.2</v>
      </c>
      <c r="C352" t="s">
        <v>2113</v>
      </c>
      <c r="D352" t="s">
        <v>1557</v>
      </c>
      <c r="G352">
        <v>0</v>
      </c>
      <c r="H352">
        <v>0</v>
      </c>
      <c r="I352">
        <v>0</v>
      </c>
      <c r="J352">
        <v>0</v>
      </c>
      <c r="K352">
        <v>0</v>
      </c>
      <c r="L352">
        <v>0</v>
      </c>
      <c r="M352">
        <v>0</v>
      </c>
      <c r="N352">
        <v>0</v>
      </c>
      <c r="O352">
        <v>0</v>
      </c>
      <c r="P352">
        <v>0</v>
      </c>
      <c r="Q352">
        <v>0</v>
      </c>
      <c r="R352">
        <v>0</v>
      </c>
      <c r="S352">
        <v>0</v>
      </c>
      <c r="U352" s="175">
        <f t="shared" si="21"/>
        <v>0</v>
      </c>
    </row>
    <row r="353" spans="1:21">
      <c r="A353" s="183" t="str">
        <f t="shared" si="19"/>
        <v>807</v>
      </c>
      <c r="B353" s="183" t="str">
        <f t="shared" si="20"/>
        <v>807.3</v>
      </c>
      <c r="C353" t="s">
        <v>2114</v>
      </c>
      <c r="D353" t="s">
        <v>1559</v>
      </c>
      <c r="G353">
        <v>0</v>
      </c>
      <c r="H353">
        <v>0</v>
      </c>
      <c r="I353">
        <v>0</v>
      </c>
      <c r="J353">
        <v>0</v>
      </c>
      <c r="K353">
        <v>0</v>
      </c>
      <c r="L353">
        <v>0</v>
      </c>
      <c r="M353">
        <v>0</v>
      </c>
      <c r="N353">
        <v>0</v>
      </c>
      <c r="O353">
        <v>0</v>
      </c>
      <c r="P353">
        <v>0</v>
      </c>
      <c r="Q353">
        <v>0</v>
      </c>
      <c r="R353">
        <v>0</v>
      </c>
      <c r="S353">
        <v>0</v>
      </c>
      <c r="U353" s="175">
        <f t="shared" si="21"/>
        <v>0</v>
      </c>
    </row>
    <row r="354" spans="1:21">
      <c r="A354" s="183" t="str">
        <f t="shared" si="19"/>
        <v>807</v>
      </c>
      <c r="B354" s="183" t="str">
        <f t="shared" si="20"/>
        <v>807.4</v>
      </c>
      <c r="C354" t="s">
        <v>2115</v>
      </c>
      <c r="D354" t="s">
        <v>1561</v>
      </c>
      <c r="G354">
        <v>0</v>
      </c>
      <c r="H354">
        <v>0</v>
      </c>
      <c r="I354">
        <v>0</v>
      </c>
      <c r="J354">
        <v>0</v>
      </c>
      <c r="K354">
        <v>0</v>
      </c>
      <c r="L354">
        <v>0</v>
      </c>
      <c r="M354">
        <v>0</v>
      </c>
      <c r="N354">
        <v>0</v>
      </c>
      <c r="O354">
        <v>0</v>
      </c>
      <c r="P354">
        <v>0</v>
      </c>
      <c r="Q354">
        <v>0</v>
      </c>
      <c r="R354">
        <v>0</v>
      </c>
      <c r="S354">
        <v>0</v>
      </c>
      <c r="U354" s="175">
        <f t="shared" si="21"/>
        <v>0</v>
      </c>
    </row>
    <row r="355" spans="1:21">
      <c r="A355" s="183" t="str">
        <f t="shared" si="19"/>
        <v>807</v>
      </c>
      <c r="B355" s="183" t="str">
        <f t="shared" si="20"/>
        <v>807.5</v>
      </c>
      <c r="C355" t="s">
        <v>2116</v>
      </c>
      <c r="D355" t="s">
        <v>1563</v>
      </c>
      <c r="G355">
        <v>0</v>
      </c>
      <c r="H355">
        <v>0</v>
      </c>
      <c r="I355">
        <v>0</v>
      </c>
      <c r="J355">
        <v>0</v>
      </c>
      <c r="K355">
        <v>0</v>
      </c>
      <c r="L355">
        <v>0</v>
      </c>
      <c r="M355">
        <v>0</v>
      </c>
      <c r="N355">
        <v>0</v>
      </c>
      <c r="O355">
        <v>0</v>
      </c>
      <c r="P355">
        <v>0</v>
      </c>
      <c r="Q355">
        <v>0</v>
      </c>
      <c r="R355">
        <v>0</v>
      </c>
      <c r="S355">
        <v>0</v>
      </c>
      <c r="U355" s="175">
        <f t="shared" si="21"/>
        <v>0</v>
      </c>
    </row>
    <row r="356" spans="1:21">
      <c r="A356" s="183" t="str">
        <f t="shared" si="19"/>
        <v>808</v>
      </c>
      <c r="B356" s="183" t="str">
        <f t="shared" si="20"/>
        <v>808.1</v>
      </c>
      <c r="C356" t="s">
        <v>2117</v>
      </c>
      <c r="D356" t="s">
        <v>1565</v>
      </c>
      <c r="G356">
        <v>0</v>
      </c>
      <c r="H356">
        <v>0</v>
      </c>
      <c r="I356">
        <v>0</v>
      </c>
      <c r="J356">
        <v>0</v>
      </c>
      <c r="K356">
        <v>0</v>
      </c>
      <c r="L356">
        <v>0</v>
      </c>
      <c r="M356">
        <v>0</v>
      </c>
      <c r="N356">
        <v>0</v>
      </c>
      <c r="O356">
        <v>0</v>
      </c>
      <c r="P356">
        <v>0</v>
      </c>
      <c r="Q356">
        <v>0</v>
      </c>
      <c r="R356">
        <v>0</v>
      </c>
      <c r="S356">
        <v>0</v>
      </c>
      <c r="U356" s="175">
        <f t="shared" si="21"/>
        <v>0</v>
      </c>
    </row>
    <row r="357" spans="1:21">
      <c r="A357" s="183" t="str">
        <f t="shared" si="19"/>
        <v>808</v>
      </c>
      <c r="B357" s="183" t="str">
        <f t="shared" si="20"/>
        <v>808.2</v>
      </c>
      <c r="C357" t="s">
        <v>2118</v>
      </c>
      <c r="D357" t="s">
        <v>1567</v>
      </c>
      <c r="G357">
        <v>0</v>
      </c>
      <c r="H357">
        <v>0</v>
      </c>
      <c r="I357">
        <v>0</v>
      </c>
      <c r="J357">
        <v>0</v>
      </c>
      <c r="K357">
        <v>0</v>
      </c>
      <c r="L357">
        <v>0</v>
      </c>
      <c r="M357">
        <v>0</v>
      </c>
      <c r="N357">
        <v>0</v>
      </c>
      <c r="O357">
        <v>0</v>
      </c>
      <c r="P357">
        <v>0</v>
      </c>
      <c r="Q357">
        <v>0</v>
      </c>
      <c r="R357">
        <v>0</v>
      </c>
      <c r="S357">
        <v>0</v>
      </c>
      <c r="U357" s="175">
        <f t="shared" si="21"/>
        <v>0</v>
      </c>
    </row>
    <row r="358" spans="1:21">
      <c r="A358" s="183" t="str">
        <f t="shared" si="19"/>
        <v>809</v>
      </c>
      <c r="B358" s="183" t="str">
        <f t="shared" si="20"/>
        <v>809.1</v>
      </c>
      <c r="C358" t="s">
        <v>2119</v>
      </c>
      <c r="D358" t="s">
        <v>1569</v>
      </c>
      <c r="G358">
        <v>0</v>
      </c>
      <c r="H358">
        <v>0</v>
      </c>
      <c r="I358">
        <v>0</v>
      </c>
      <c r="J358">
        <v>0</v>
      </c>
      <c r="K358">
        <v>0</v>
      </c>
      <c r="L358">
        <v>0</v>
      </c>
      <c r="M358">
        <v>0</v>
      </c>
      <c r="N358">
        <v>0</v>
      </c>
      <c r="O358">
        <v>0</v>
      </c>
      <c r="P358">
        <v>0</v>
      </c>
      <c r="Q358">
        <v>0</v>
      </c>
      <c r="R358">
        <v>0</v>
      </c>
      <c r="S358">
        <v>0</v>
      </c>
      <c r="U358" s="175">
        <f t="shared" si="21"/>
        <v>0</v>
      </c>
    </row>
    <row r="359" spans="1:21">
      <c r="A359" s="183" t="str">
        <f t="shared" si="19"/>
        <v>809</v>
      </c>
      <c r="B359" s="183" t="str">
        <f t="shared" si="20"/>
        <v>809.2</v>
      </c>
      <c r="C359" t="s">
        <v>2120</v>
      </c>
      <c r="D359" t="s">
        <v>1571</v>
      </c>
      <c r="G359">
        <v>0</v>
      </c>
      <c r="H359">
        <v>0</v>
      </c>
      <c r="I359">
        <v>0</v>
      </c>
      <c r="J359">
        <v>0</v>
      </c>
      <c r="K359">
        <v>0</v>
      </c>
      <c r="L359">
        <v>0</v>
      </c>
      <c r="M359">
        <v>0</v>
      </c>
      <c r="N359">
        <v>0</v>
      </c>
      <c r="O359">
        <v>0</v>
      </c>
      <c r="P359">
        <v>0</v>
      </c>
      <c r="Q359">
        <v>0</v>
      </c>
      <c r="R359">
        <v>0</v>
      </c>
      <c r="S359">
        <v>0</v>
      </c>
      <c r="U359" s="175">
        <f t="shared" si="21"/>
        <v>0</v>
      </c>
    </row>
    <row r="360" spans="1:21">
      <c r="A360" s="183" t="str">
        <f t="shared" si="19"/>
        <v>810</v>
      </c>
      <c r="B360" s="183" t="str">
        <f t="shared" si="20"/>
        <v>810.0</v>
      </c>
      <c r="C360" t="s">
        <v>2121</v>
      </c>
      <c r="D360" t="s">
        <v>1573</v>
      </c>
      <c r="G360">
        <v>0</v>
      </c>
      <c r="H360">
        <v>0</v>
      </c>
      <c r="I360">
        <v>0</v>
      </c>
      <c r="J360">
        <v>0</v>
      </c>
      <c r="K360">
        <v>0</v>
      </c>
      <c r="L360">
        <v>0</v>
      </c>
      <c r="M360">
        <v>0</v>
      </c>
      <c r="N360">
        <v>0</v>
      </c>
      <c r="O360">
        <v>0</v>
      </c>
      <c r="P360">
        <v>0</v>
      </c>
      <c r="Q360">
        <v>0</v>
      </c>
      <c r="R360">
        <v>0</v>
      </c>
      <c r="S360">
        <v>0</v>
      </c>
      <c r="U360" s="175">
        <f t="shared" si="21"/>
        <v>0</v>
      </c>
    </row>
    <row r="361" spans="1:21">
      <c r="A361" s="183" t="str">
        <f t="shared" si="19"/>
        <v>811</v>
      </c>
      <c r="B361" s="183" t="str">
        <f t="shared" si="20"/>
        <v>811.0</v>
      </c>
      <c r="C361" t="s">
        <v>2122</v>
      </c>
      <c r="D361" t="s">
        <v>1575</v>
      </c>
      <c r="G361">
        <v>0</v>
      </c>
      <c r="H361">
        <v>0</v>
      </c>
      <c r="I361">
        <v>0</v>
      </c>
      <c r="J361">
        <v>0</v>
      </c>
      <c r="K361">
        <v>0</v>
      </c>
      <c r="L361">
        <v>0</v>
      </c>
      <c r="M361">
        <v>0</v>
      </c>
      <c r="N361">
        <v>0</v>
      </c>
      <c r="O361">
        <v>0</v>
      </c>
      <c r="P361">
        <v>0</v>
      </c>
      <c r="Q361">
        <v>0</v>
      </c>
      <c r="R361">
        <v>0</v>
      </c>
      <c r="S361">
        <v>0</v>
      </c>
      <c r="U361" s="175">
        <f t="shared" si="21"/>
        <v>0</v>
      </c>
    </row>
    <row r="362" spans="1:21">
      <c r="A362" s="183" t="str">
        <f t="shared" si="19"/>
        <v>812</v>
      </c>
      <c r="B362" s="183" t="str">
        <f t="shared" si="20"/>
        <v>812.0</v>
      </c>
      <c r="C362" t="s">
        <v>2123</v>
      </c>
      <c r="D362" t="s">
        <v>1577</v>
      </c>
      <c r="G362">
        <v>0</v>
      </c>
      <c r="H362">
        <v>0</v>
      </c>
      <c r="I362">
        <v>0</v>
      </c>
      <c r="J362">
        <v>0</v>
      </c>
      <c r="K362">
        <v>0</v>
      </c>
      <c r="L362">
        <v>0</v>
      </c>
      <c r="M362">
        <v>0</v>
      </c>
      <c r="N362">
        <v>0</v>
      </c>
      <c r="O362">
        <v>0</v>
      </c>
      <c r="P362">
        <v>0</v>
      </c>
      <c r="Q362">
        <v>0</v>
      </c>
      <c r="R362">
        <v>0</v>
      </c>
      <c r="S362">
        <v>0</v>
      </c>
      <c r="U362" s="175">
        <f t="shared" si="21"/>
        <v>0</v>
      </c>
    </row>
    <row r="363" spans="1:21">
      <c r="A363" s="183" t="str">
        <f t="shared" si="19"/>
        <v>813</v>
      </c>
      <c r="B363" s="183" t="str">
        <f t="shared" si="20"/>
        <v>813.0</v>
      </c>
      <c r="C363" t="s">
        <v>2124</v>
      </c>
      <c r="D363" t="s">
        <v>1579</v>
      </c>
      <c r="G363">
        <v>0</v>
      </c>
      <c r="H363">
        <v>0</v>
      </c>
      <c r="I363">
        <v>0</v>
      </c>
      <c r="J363">
        <v>0</v>
      </c>
      <c r="K363">
        <v>0</v>
      </c>
      <c r="L363">
        <v>0</v>
      </c>
      <c r="M363">
        <v>0</v>
      </c>
      <c r="N363">
        <v>0</v>
      </c>
      <c r="O363">
        <v>0</v>
      </c>
      <c r="P363">
        <v>0</v>
      </c>
      <c r="Q363">
        <v>0</v>
      </c>
      <c r="R363">
        <v>0</v>
      </c>
      <c r="S363">
        <v>0</v>
      </c>
      <c r="U363" s="175">
        <f t="shared" si="21"/>
        <v>0</v>
      </c>
    </row>
    <row r="364" spans="1:21">
      <c r="A364" s="183" t="str">
        <f t="shared" si="19"/>
        <v>826</v>
      </c>
      <c r="B364" s="183" t="str">
        <f t="shared" si="20"/>
        <v>826.0</v>
      </c>
      <c r="C364" t="s">
        <v>2125</v>
      </c>
      <c r="D364" t="s">
        <v>1581</v>
      </c>
      <c r="G364">
        <v>0</v>
      </c>
      <c r="H364">
        <v>0</v>
      </c>
      <c r="I364">
        <v>0</v>
      </c>
      <c r="J364">
        <v>0</v>
      </c>
      <c r="K364">
        <v>0</v>
      </c>
      <c r="L364">
        <v>0</v>
      </c>
      <c r="M364">
        <v>0</v>
      </c>
      <c r="N364">
        <v>0</v>
      </c>
      <c r="O364">
        <v>0</v>
      </c>
      <c r="P364">
        <v>0</v>
      </c>
      <c r="Q364">
        <v>0</v>
      </c>
      <c r="R364">
        <v>0</v>
      </c>
      <c r="S364">
        <v>0</v>
      </c>
      <c r="U364" s="175">
        <f t="shared" si="21"/>
        <v>0</v>
      </c>
    </row>
    <row r="365" spans="1:21">
      <c r="A365" s="183" t="str">
        <f t="shared" si="19"/>
        <v>850</v>
      </c>
      <c r="B365" s="183" t="str">
        <f t="shared" si="20"/>
        <v>850.0</v>
      </c>
      <c r="C365" t="s">
        <v>2126</v>
      </c>
      <c r="D365" t="s">
        <v>1583</v>
      </c>
      <c r="G365">
        <v>0</v>
      </c>
      <c r="H365">
        <v>0</v>
      </c>
      <c r="I365">
        <v>0</v>
      </c>
      <c r="J365">
        <v>0</v>
      </c>
      <c r="K365">
        <v>0</v>
      </c>
      <c r="L365">
        <v>0</v>
      </c>
      <c r="M365">
        <v>0</v>
      </c>
      <c r="N365">
        <v>0</v>
      </c>
      <c r="O365">
        <v>0</v>
      </c>
      <c r="P365">
        <v>0</v>
      </c>
      <c r="Q365">
        <v>0</v>
      </c>
      <c r="R365">
        <v>0</v>
      </c>
      <c r="S365">
        <v>0</v>
      </c>
      <c r="U365" s="175">
        <f t="shared" si="21"/>
        <v>0</v>
      </c>
    </row>
    <row r="366" spans="1:21">
      <c r="A366" s="183" t="str">
        <f t="shared" si="19"/>
        <v>851</v>
      </c>
      <c r="B366" s="183" t="str">
        <f t="shared" si="20"/>
        <v>851.0</v>
      </c>
      <c r="C366" t="s">
        <v>2127</v>
      </c>
      <c r="D366" t="s">
        <v>1585</v>
      </c>
      <c r="G366">
        <v>0</v>
      </c>
      <c r="H366">
        <v>0</v>
      </c>
      <c r="I366">
        <v>0</v>
      </c>
      <c r="J366">
        <v>0</v>
      </c>
      <c r="K366">
        <v>0</v>
      </c>
      <c r="L366">
        <v>0</v>
      </c>
      <c r="M366">
        <v>0</v>
      </c>
      <c r="N366">
        <v>0</v>
      </c>
      <c r="O366">
        <v>0</v>
      </c>
      <c r="P366">
        <v>0</v>
      </c>
      <c r="Q366">
        <v>0</v>
      </c>
      <c r="R366">
        <v>0</v>
      </c>
      <c r="S366">
        <v>0</v>
      </c>
      <c r="U366" s="175">
        <f t="shared" si="21"/>
        <v>0</v>
      </c>
    </row>
    <row r="367" spans="1:21">
      <c r="A367" s="183" t="str">
        <f t="shared" si="19"/>
        <v>852</v>
      </c>
      <c r="B367" s="183" t="str">
        <f t="shared" si="20"/>
        <v>852.0</v>
      </c>
      <c r="C367" t="s">
        <v>2128</v>
      </c>
      <c r="D367" t="s">
        <v>1587</v>
      </c>
      <c r="G367">
        <v>0</v>
      </c>
      <c r="H367">
        <v>0</v>
      </c>
      <c r="I367">
        <v>0</v>
      </c>
      <c r="J367">
        <v>0</v>
      </c>
      <c r="K367">
        <v>0</v>
      </c>
      <c r="L367">
        <v>0</v>
      </c>
      <c r="M367">
        <v>0</v>
      </c>
      <c r="N367">
        <v>0</v>
      </c>
      <c r="O367">
        <v>0</v>
      </c>
      <c r="P367">
        <v>0</v>
      </c>
      <c r="Q367">
        <v>0</v>
      </c>
      <c r="R367">
        <v>0</v>
      </c>
      <c r="S367">
        <v>0</v>
      </c>
      <c r="U367" s="175">
        <f t="shared" si="21"/>
        <v>0</v>
      </c>
    </row>
    <row r="368" spans="1:21">
      <c r="A368" s="183" t="str">
        <f t="shared" si="19"/>
        <v>853</v>
      </c>
      <c r="B368" s="183" t="str">
        <f t="shared" si="20"/>
        <v>853.0</v>
      </c>
      <c r="C368" t="s">
        <v>2129</v>
      </c>
      <c r="D368" t="s">
        <v>1589</v>
      </c>
      <c r="G368">
        <v>0</v>
      </c>
      <c r="H368">
        <v>0</v>
      </c>
      <c r="I368">
        <v>0</v>
      </c>
      <c r="J368">
        <v>0</v>
      </c>
      <c r="K368">
        <v>0</v>
      </c>
      <c r="L368">
        <v>0</v>
      </c>
      <c r="M368">
        <v>0</v>
      </c>
      <c r="N368">
        <v>0</v>
      </c>
      <c r="O368">
        <v>0</v>
      </c>
      <c r="P368">
        <v>0</v>
      </c>
      <c r="Q368">
        <v>0</v>
      </c>
      <c r="R368">
        <v>0</v>
      </c>
      <c r="S368">
        <v>0</v>
      </c>
      <c r="U368" s="175">
        <f t="shared" si="21"/>
        <v>0</v>
      </c>
    </row>
    <row r="369" spans="1:21">
      <c r="A369" s="183" t="str">
        <f t="shared" si="19"/>
        <v>854</v>
      </c>
      <c r="B369" s="183" t="str">
        <f t="shared" si="20"/>
        <v>854.0</v>
      </c>
      <c r="C369" t="s">
        <v>2130</v>
      </c>
      <c r="D369" t="s">
        <v>1591</v>
      </c>
      <c r="G369">
        <v>0</v>
      </c>
      <c r="H369">
        <v>0</v>
      </c>
      <c r="I369">
        <v>0</v>
      </c>
      <c r="J369">
        <v>0</v>
      </c>
      <c r="K369">
        <v>0</v>
      </c>
      <c r="L369">
        <v>0</v>
      </c>
      <c r="M369">
        <v>0</v>
      </c>
      <c r="N369">
        <v>0</v>
      </c>
      <c r="O369">
        <v>0</v>
      </c>
      <c r="P369">
        <v>0</v>
      </c>
      <c r="Q369">
        <v>0</v>
      </c>
      <c r="R369">
        <v>0</v>
      </c>
      <c r="S369">
        <v>0</v>
      </c>
      <c r="U369" s="175">
        <f t="shared" si="21"/>
        <v>0</v>
      </c>
    </row>
    <row r="370" spans="1:21">
      <c r="A370" s="183" t="str">
        <f t="shared" si="19"/>
        <v>855</v>
      </c>
      <c r="B370" s="183" t="str">
        <f t="shared" si="20"/>
        <v>855.0</v>
      </c>
      <c r="C370" t="s">
        <v>2131</v>
      </c>
      <c r="D370" t="s">
        <v>1593</v>
      </c>
      <c r="G370">
        <v>0</v>
      </c>
      <c r="H370">
        <v>0</v>
      </c>
      <c r="I370">
        <v>0</v>
      </c>
      <c r="J370">
        <v>0</v>
      </c>
      <c r="K370">
        <v>0</v>
      </c>
      <c r="L370">
        <v>0</v>
      </c>
      <c r="M370">
        <v>0</v>
      </c>
      <c r="N370">
        <v>0</v>
      </c>
      <c r="O370">
        <v>0</v>
      </c>
      <c r="P370">
        <v>0</v>
      </c>
      <c r="Q370">
        <v>0</v>
      </c>
      <c r="R370">
        <v>0</v>
      </c>
      <c r="S370">
        <v>0</v>
      </c>
      <c r="U370" s="175">
        <f t="shared" si="21"/>
        <v>0</v>
      </c>
    </row>
    <row r="371" spans="1:21">
      <c r="A371" s="183" t="str">
        <f t="shared" si="19"/>
        <v>856</v>
      </c>
      <c r="B371" s="183" t="str">
        <f t="shared" si="20"/>
        <v>856.0</v>
      </c>
      <c r="C371" t="s">
        <v>2132</v>
      </c>
      <c r="D371" t="s">
        <v>1595</v>
      </c>
      <c r="G371">
        <v>0</v>
      </c>
      <c r="H371">
        <v>0</v>
      </c>
      <c r="I371">
        <v>0</v>
      </c>
      <c r="J371">
        <v>0</v>
      </c>
      <c r="K371">
        <v>0</v>
      </c>
      <c r="L371">
        <v>0</v>
      </c>
      <c r="M371">
        <v>0</v>
      </c>
      <c r="N371">
        <v>0</v>
      </c>
      <c r="O371">
        <v>0</v>
      </c>
      <c r="P371">
        <v>0</v>
      </c>
      <c r="Q371">
        <v>0</v>
      </c>
      <c r="R371">
        <v>0</v>
      </c>
      <c r="S371">
        <v>0</v>
      </c>
      <c r="U371" s="175">
        <f t="shared" si="21"/>
        <v>0</v>
      </c>
    </row>
    <row r="372" spans="1:21">
      <c r="A372" s="183" t="str">
        <f t="shared" si="19"/>
        <v>857</v>
      </c>
      <c r="B372" s="183" t="str">
        <f t="shared" si="20"/>
        <v>857.0</v>
      </c>
      <c r="C372" t="s">
        <v>2133</v>
      </c>
      <c r="D372" t="s">
        <v>1597</v>
      </c>
      <c r="G372">
        <v>0</v>
      </c>
      <c r="H372">
        <v>0</v>
      </c>
      <c r="I372">
        <v>0</v>
      </c>
      <c r="J372">
        <v>0</v>
      </c>
      <c r="K372">
        <v>0</v>
      </c>
      <c r="L372">
        <v>0</v>
      </c>
      <c r="M372">
        <v>0</v>
      </c>
      <c r="N372">
        <v>0</v>
      </c>
      <c r="O372">
        <v>0</v>
      </c>
      <c r="P372">
        <v>0</v>
      </c>
      <c r="Q372">
        <v>0</v>
      </c>
      <c r="R372">
        <v>0</v>
      </c>
      <c r="S372">
        <v>0</v>
      </c>
      <c r="U372" s="175">
        <f t="shared" si="21"/>
        <v>0</v>
      </c>
    </row>
    <row r="373" spans="1:21">
      <c r="A373" s="183" t="str">
        <f t="shared" si="19"/>
        <v>858</v>
      </c>
      <c r="B373" s="183" t="str">
        <f t="shared" si="20"/>
        <v>858.0</v>
      </c>
      <c r="C373" t="s">
        <v>2134</v>
      </c>
      <c r="D373" t="s">
        <v>1599</v>
      </c>
      <c r="G373">
        <v>0</v>
      </c>
      <c r="H373">
        <v>0</v>
      </c>
      <c r="I373">
        <v>0</v>
      </c>
      <c r="J373">
        <v>0</v>
      </c>
      <c r="K373">
        <v>0</v>
      </c>
      <c r="L373">
        <v>0</v>
      </c>
      <c r="M373">
        <v>0</v>
      </c>
      <c r="N373">
        <v>0</v>
      </c>
      <c r="O373">
        <v>0</v>
      </c>
      <c r="P373">
        <v>0</v>
      </c>
      <c r="Q373">
        <v>0</v>
      </c>
      <c r="R373">
        <v>0</v>
      </c>
      <c r="S373">
        <v>0</v>
      </c>
      <c r="U373" s="175">
        <f t="shared" si="21"/>
        <v>0</v>
      </c>
    </row>
    <row r="374" spans="1:21">
      <c r="A374" s="183" t="str">
        <f t="shared" si="19"/>
        <v>859</v>
      </c>
      <c r="B374" s="183" t="str">
        <f t="shared" si="20"/>
        <v>859.0</v>
      </c>
      <c r="C374" t="s">
        <v>2135</v>
      </c>
      <c r="D374" t="s">
        <v>1601</v>
      </c>
      <c r="G374">
        <v>0</v>
      </c>
      <c r="H374">
        <v>0</v>
      </c>
      <c r="I374">
        <v>0</v>
      </c>
      <c r="J374">
        <v>0</v>
      </c>
      <c r="K374">
        <v>0</v>
      </c>
      <c r="L374">
        <v>0</v>
      </c>
      <c r="M374">
        <v>0</v>
      </c>
      <c r="N374">
        <v>0</v>
      </c>
      <c r="O374">
        <v>0</v>
      </c>
      <c r="P374">
        <v>0</v>
      </c>
      <c r="Q374">
        <v>0</v>
      </c>
      <c r="R374">
        <v>0</v>
      </c>
      <c r="S374">
        <v>0</v>
      </c>
      <c r="U374" s="175">
        <f t="shared" si="21"/>
        <v>0</v>
      </c>
    </row>
    <row r="375" spans="1:21">
      <c r="A375" s="183" t="str">
        <f t="shared" si="19"/>
        <v>860</v>
      </c>
      <c r="B375" s="183" t="str">
        <f t="shared" si="20"/>
        <v>860.0</v>
      </c>
      <c r="C375" t="s">
        <v>2136</v>
      </c>
      <c r="D375" t="s">
        <v>1603</v>
      </c>
      <c r="G375">
        <v>0</v>
      </c>
      <c r="H375">
        <v>0</v>
      </c>
      <c r="I375">
        <v>0</v>
      </c>
      <c r="J375">
        <v>0</v>
      </c>
      <c r="K375">
        <v>0</v>
      </c>
      <c r="L375">
        <v>0</v>
      </c>
      <c r="M375">
        <v>0</v>
      </c>
      <c r="N375">
        <v>0</v>
      </c>
      <c r="O375">
        <v>0</v>
      </c>
      <c r="P375">
        <v>0</v>
      </c>
      <c r="Q375">
        <v>0</v>
      </c>
      <c r="R375">
        <v>0</v>
      </c>
      <c r="S375">
        <v>0</v>
      </c>
      <c r="U375" s="175">
        <f t="shared" si="21"/>
        <v>0</v>
      </c>
    </row>
    <row r="376" spans="1:21">
      <c r="A376" s="183" t="str">
        <f t="shared" si="19"/>
        <v>861</v>
      </c>
      <c r="B376" s="183" t="str">
        <f t="shared" si="20"/>
        <v>861.0</v>
      </c>
      <c r="C376" t="s">
        <v>2137</v>
      </c>
      <c r="D376" t="s">
        <v>1605</v>
      </c>
      <c r="G376">
        <v>0</v>
      </c>
      <c r="H376">
        <v>0</v>
      </c>
      <c r="I376">
        <v>0</v>
      </c>
      <c r="J376">
        <v>0</v>
      </c>
      <c r="K376">
        <v>0</v>
      </c>
      <c r="L376">
        <v>0</v>
      </c>
      <c r="M376">
        <v>0</v>
      </c>
      <c r="N376">
        <v>0</v>
      </c>
      <c r="O376">
        <v>0</v>
      </c>
      <c r="P376">
        <v>0</v>
      </c>
      <c r="Q376">
        <v>0</v>
      </c>
      <c r="R376">
        <v>0</v>
      </c>
      <c r="S376">
        <v>0</v>
      </c>
      <c r="U376" s="175">
        <f t="shared" si="21"/>
        <v>0</v>
      </c>
    </row>
    <row r="377" spans="1:21">
      <c r="A377" s="183" t="str">
        <f t="shared" si="19"/>
        <v>862</v>
      </c>
      <c r="B377" s="183" t="str">
        <f t="shared" si="20"/>
        <v>862.0</v>
      </c>
      <c r="C377" t="s">
        <v>2138</v>
      </c>
      <c r="D377" t="s">
        <v>1607</v>
      </c>
      <c r="G377">
        <v>0</v>
      </c>
      <c r="H377">
        <v>0</v>
      </c>
      <c r="I377">
        <v>0</v>
      </c>
      <c r="J377">
        <v>0</v>
      </c>
      <c r="K377">
        <v>0</v>
      </c>
      <c r="L377">
        <v>0</v>
      </c>
      <c r="M377">
        <v>0</v>
      </c>
      <c r="N377">
        <v>0</v>
      </c>
      <c r="O377">
        <v>0</v>
      </c>
      <c r="P377">
        <v>0</v>
      </c>
      <c r="Q377">
        <v>0</v>
      </c>
      <c r="R377">
        <v>0</v>
      </c>
      <c r="S377">
        <v>0</v>
      </c>
      <c r="U377" s="175">
        <f t="shared" si="21"/>
        <v>0</v>
      </c>
    </row>
    <row r="378" spans="1:21">
      <c r="A378" s="183" t="str">
        <f t="shared" si="19"/>
        <v>863</v>
      </c>
      <c r="B378" s="183" t="str">
        <f t="shared" si="20"/>
        <v>863.0</v>
      </c>
      <c r="C378" t="s">
        <v>2139</v>
      </c>
      <c r="D378" t="s">
        <v>1609</v>
      </c>
      <c r="G378">
        <v>0</v>
      </c>
      <c r="H378">
        <v>0</v>
      </c>
      <c r="I378">
        <v>0</v>
      </c>
      <c r="J378">
        <v>0</v>
      </c>
      <c r="K378">
        <v>0</v>
      </c>
      <c r="L378">
        <v>0</v>
      </c>
      <c r="M378">
        <v>0</v>
      </c>
      <c r="N378">
        <v>0</v>
      </c>
      <c r="O378">
        <v>0</v>
      </c>
      <c r="P378">
        <v>0</v>
      </c>
      <c r="Q378">
        <v>0</v>
      </c>
      <c r="R378">
        <v>0</v>
      </c>
      <c r="S378">
        <v>0</v>
      </c>
      <c r="U378" s="175">
        <f t="shared" si="21"/>
        <v>0</v>
      </c>
    </row>
    <row r="379" spans="1:21">
      <c r="A379" s="183" t="str">
        <f t="shared" si="19"/>
        <v>864</v>
      </c>
      <c r="B379" s="183" t="str">
        <f t="shared" si="20"/>
        <v>864.0</v>
      </c>
      <c r="C379" t="s">
        <v>2140</v>
      </c>
      <c r="D379" t="s">
        <v>1611</v>
      </c>
      <c r="G379">
        <v>0</v>
      </c>
      <c r="H379">
        <v>0</v>
      </c>
      <c r="I379">
        <v>0</v>
      </c>
      <c r="J379">
        <v>0</v>
      </c>
      <c r="K379">
        <v>0</v>
      </c>
      <c r="L379">
        <v>0</v>
      </c>
      <c r="M379">
        <v>0</v>
      </c>
      <c r="N379">
        <v>0</v>
      </c>
      <c r="O379">
        <v>0</v>
      </c>
      <c r="P379">
        <v>0</v>
      </c>
      <c r="Q379">
        <v>0</v>
      </c>
      <c r="R379">
        <v>0</v>
      </c>
      <c r="S379">
        <v>0</v>
      </c>
      <c r="U379" s="175">
        <f t="shared" si="21"/>
        <v>0</v>
      </c>
    </row>
    <row r="380" spans="1:21">
      <c r="A380" s="183" t="str">
        <f t="shared" si="19"/>
        <v>865</v>
      </c>
      <c r="B380" s="183" t="str">
        <f t="shared" si="20"/>
        <v>865.0</v>
      </c>
      <c r="C380" t="s">
        <v>2141</v>
      </c>
      <c r="D380" t="s">
        <v>1613</v>
      </c>
      <c r="G380">
        <v>0</v>
      </c>
      <c r="H380">
        <v>0</v>
      </c>
      <c r="I380">
        <v>0</v>
      </c>
      <c r="J380">
        <v>0</v>
      </c>
      <c r="K380">
        <v>0</v>
      </c>
      <c r="L380">
        <v>0</v>
      </c>
      <c r="M380">
        <v>0</v>
      </c>
      <c r="N380">
        <v>0</v>
      </c>
      <c r="O380">
        <v>0</v>
      </c>
      <c r="P380">
        <v>0</v>
      </c>
      <c r="Q380">
        <v>0</v>
      </c>
      <c r="R380">
        <v>0</v>
      </c>
      <c r="S380">
        <v>0</v>
      </c>
      <c r="U380" s="175">
        <f t="shared" si="21"/>
        <v>0</v>
      </c>
    </row>
    <row r="381" spans="1:21">
      <c r="A381" s="183" t="str">
        <f t="shared" si="19"/>
        <v>866</v>
      </c>
      <c r="B381" s="183" t="str">
        <f t="shared" si="20"/>
        <v>866.0</v>
      </c>
      <c r="C381" t="s">
        <v>2142</v>
      </c>
      <c r="D381" t="s">
        <v>1615</v>
      </c>
      <c r="G381">
        <v>0</v>
      </c>
      <c r="H381">
        <v>0</v>
      </c>
      <c r="I381">
        <v>0</v>
      </c>
      <c r="J381">
        <v>0</v>
      </c>
      <c r="K381">
        <v>0</v>
      </c>
      <c r="L381">
        <v>0</v>
      </c>
      <c r="M381">
        <v>0</v>
      </c>
      <c r="N381">
        <v>0</v>
      </c>
      <c r="O381">
        <v>0</v>
      </c>
      <c r="P381">
        <v>0</v>
      </c>
      <c r="Q381">
        <v>0</v>
      </c>
      <c r="R381">
        <v>0</v>
      </c>
      <c r="S381">
        <v>0</v>
      </c>
      <c r="U381" s="175">
        <f t="shared" si="21"/>
        <v>0</v>
      </c>
    </row>
    <row r="382" spans="1:21">
      <c r="A382" s="183" t="str">
        <f t="shared" si="19"/>
        <v>867</v>
      </c>
      <c r="B382" s="183" t="str">
        <f t="shared" si="20"/>
        <v>867.0</v>
      </c>
      <c r="C382" t="s">
        <v>2143</v>
      </c>
      <c r="D382" t="s">
        <v>1617</v>
      </c>
      <c r="G382">
        <v>0</v>
      </c>
      <c r="H382">
        <v>0</v>
      </c>
      <c r="I382">
        <v>0</v>
      </c>
      <c r="J382">
        <v>0</v>
      </c>
      <c r="K382">
        <v>0</v>
      </c>
      <c r="L382">
        <v>0</v>
      </c>
      <c r="M382">
        <v>0</v>
      </c>
      <c r="N382">
        <v>0</v>
      </c>
      <c r="O382">
        <v>0</v>
      </c>
      <c r="P382">
        <v>0</v>
      </c>
      <c r="Q382">
        <v>0</v>
      </c>
      <c r="R382">
        <v>0</v>
      </c>
      <c r="S382">
        <v>0</v>
      </c>
      <c r="U382" s="175">
        <f t="shared" si="21"/>
        <v>0</v>
      </c>
    </row>
    <row r="383" spans="1:21">
      <c r="A383" s="183" t="str">
        <f t="shared" si="19"/>
        <v>870</v>
      </c>
      <c r="B383" s="183" t="str">
        <f t="shared" si="20"/>
        <v>870.0</v>
      </c>
      <c r="C383" t="s">
        <v>2144</v>
      </c>
      <c r="D383" t="s">
        <v>1619</v>
      </c>
      <c r="G383">
        <v>0</v>
      </c>
      <c r="H383">
        <v>0</v>
      </c>
      <c r="I383">
        <v>0</v>
      </c>
      <c r="J383">
        <v>0</v>
      </c>
      <c r="K383">
        <v>0</v>
      </c>
      <c r="L383">
        <v>0</v>
      </c>
      <c r="M383">
        <v>0</v>
      </c>
      <c r="N383">
        <v>0</v>
      </c>
      <c r="O383">
        <v>0</v>
      </c>
      <c r="P383">
        <v>0</v>
      </c>
      <c r="Q383">
        <v>0</v>
      </c>
      <c r="R383">
        <v>0</v>
      </c>
      <c r="S383">
        <v>0</v>
      </c>
      <c r="U383" s="175">
        <f t="shared" si="21"/>
        <v>0</v>
      </c>
    </row>
    <row r="384" spans="1:21">
      <c r="A384" s="183" t="str">
        <f t="shared" si="19"/>
        <v>871</v>
      </c>
      <c r="B384" s="183" t="str">
        <f t="shared" si="20"/>
        <v>871.0</v>
      </c>
      <c r="C384" t="s">
        <v>2145</v>
      </c>
      <c r="D384" t="s">
        <v>1621</v>
      </c>
      <c r="G384">
        <v>0</v>
      </c>
      <c r="H384">
        <v>0</v>
      </c>
      <c r="I384">
        <v>0</v>
      </c>
      <c r="J384">
        <v>0</v>
      </c>
      <c r="K384">
        <v>0</v>
      </c>
      <c r="L384">
        <v>0</v>
      </c>
      <c r="M384">
        <v>0</v>
      </c>
      <c r="N384">
        <v>0</v>
      </c>
      <c r="O384">
        <v>0</v>
      </c>
      <c r="P384">
        <v>0</v>
      </c>
      <c r="Q384">
        <v>0</v>
      </c>
      <c r="R384">
        <v>0</v>
      </c>
      <c r="S384">
        <v>0</v>
      </c>
      <c r="U384" s="175">
        <f t="shared" si="21"/>
        <v>0</v>
      </c>
    </row>
    <row r="385" spans="1:21">
      <c r="A385" s="183" t="str">
        <f t="shared" si="19"/>
        <v>872</v>
      </c>
      <c r="B385" s="183" t="str">
        <f t="shared" si="20"/>
        <v>872.0</v>
      </c>
      <c r="C385" t="s">
        <v>2146</v>
      </c>
      <c r="D385" t="s">
        <v>1623</v>
      </c>
      <c r="G385">
        <v>0</v>
      </c>
      <c r="H385">
        <v>0</v>
      </c>
      <c r="I385">
        <v>0</v>
      </c>
      <c r="J385">
        <v>0</v>
      </c>
      <c r="K385">
        <v>0</v>
      </c>
      <c r="L385">
        <v>0</v>
      </c>
      <c r="M385">
        <v>0</v>
      </c>
      <c r="N385">
        <v>0</v>
      </c>
      <c r="O385">
        <v>0</v>
      </c>
      <c r="P385">
        <v>0</v>
      </c>
      <c r="Q385">
        <v>0</v>
      </c>
      <c r="R385">
        <v>0</v>
      </c>
      <c r="S385">
        <v>0</v>
      </c>
      <c r="U385" s="175">
        <f t="shared" si="21"/>
        <v>0</v>
      </c>
    </row>
    <row r="386" spans="1:21">
      <c r="A386" s="183" t="str">
        <f t="shared" si="19"/>
        <v>873</v>
      </c>
      <c r="B386" s="183" t="str">
        <f t="shared" si="20"/>
        <v>873.0</v>
      </c>
      <c r="C386" t="s">
        <v>2147</v>
      </c>
      <c r="D386" t="s">
        <v>1625</v>
      </c>
      <c r="G386">
        <v>0</v>
      </c>
      <c r="H386">
        <v>0</v>
      </c>
      <c r="I386">
        <v>0</v>
      </c>
      <c r="J386">
        <v>0</v>
      </c>
      <c r="K386">
        <v>0</v>
      </c>
      <c r="L386">
        <v>0</v>
      </c>
      <c r="M386">
        <v>0</v>
      </c>
      <c r="N386">
        <v>0</v>
      </c>
      <c r="O386">
        <v>0</v>
      </c>
      <c r="P386">
        <v>0</v>
      </c>
      <c r="Q386">
        <v>0</v>
      </c>
      <c r="R386">
        <v>0</v>
      </c>
      <c r="S386">
        <v>0</v>
      </c>
      <c r="U386" s="175">
        <f t="shared" si="21"/>
        <v>0</v>
      </c>
    </row>
    <row r="387" spans="1:21">
      <c r="A387" s="183" t="str">
        <f t="shared" si="19"/>
        <v>874</v>
      </c>
      <c r="B387" s="183" t="str">
        <f t="shared" si="20"/>
        <v>874.0</v>
      </c>
      <c r="C387" t="s">
        <v>2148</v>
      </c>
      <c r="D387" t="s">
        <v>1627</v>
      </c>
      <c r="G387">
        <v>0</v>
      </c>
      <c r="H387">
        <v>0</v>
      </c>
      <c r="I387">
        <v>0</v>
      </c>
      <c r="J387">
        <v>0</v>
      </c>
      <c r="K387">
        <v>0</v>
      </c>
      <c r="L387">
        <v>0</v>
      </c>
      <c r="M387">
        <v>0</v>
      </c>
      <c r="N387">
        <v>0</v>
      </c>
      <c r="O387">
        <v>0</v>
      </c>
      <c r="P387">
        <v>0</v>
      </c>
      <c r="Q387">
        <v>0</v>
      </c>
      <c r="R387">
        <v>0</v>
      </c>
      <c r="S387">
        <v>0</v>
      </c>
      <c r="U387" s="175">
        <f t="shared" si="21"/>
        <v>0</v>
      </c>
    </row>
    <row r="388" spans="1:21">
      <c r="A388" s="183" t="str">
        <f t="shared" si="19"/>
        <v>875</v>
      </c>
      <c r="B388" s="183" t="str">
        <f t="shared" si="20"/>
        <v>875.0</v>
      </c>
      <c r="C388" t="s">
        <v>2149</v>
      </c>
      <c r="D388" t="s">
        <v>1629</v>
      </c>
      <c r="G388">
        <v>0</v>
      </c>
      <c r="H388">
        <v>0</v>
      </c>
      <c r="I388">
        <v>0</v>
      </c>
      <c r="J388">
        <v>0</v>
      </c>
      <c r="K388">
        <v>0</v>
      </c>
      <c r="L388">
        <v>0</v>
      </c>
      <c r="M388">
        <v>0</v>
      </c>
      <c r="N388">
        <v>0</v>
      </c>
      <c r="O388">
        <v>0</v>
      </c>
      <c r="P388">
        <v>0</v>
      </c>
      <c r="Q388">
        <v>0</v>
      </c>
      <c r="R388">
        <v>0</v>
      </c>
      <c r="S388">
        <v>0</v>
      </c>
      <c r="U388" s="175">
        <f t="shared" si="21"/>
        <v>0</v>
      </c>
    </row>
    <row r="389" spans="1:21">
      <c r="A389" s="183" t="str">
        <f t="shared" si="19"/>
        <v>876</v>
      </c>
      <c r="B389" s="183" t="str">
        <f t="shared" si="20"/>
        <v>876.0</v>
      </c>
      <c r="C389" t="s">
        <v>2150</v>
      </c>
      <c r="D389" t="s">
        <v>1631</v>
      </c>
      <c r="G389">
        <v>0</v>
      </c>
      <c r="H389">
        <v>0</v>
      </c>
      <c r="I389">
        <v>0</v>
      </c>
      <c r="J389">
        <v>0</v>
      </c>
      <c r="K389">
        <v>0</v>
      </c>
      <c r="L389">
        <v>0</v>
      </c>
      <c r="M389">
        <v>0</v>
      </c>
      <c r="N389">
        <v>0</v>
      </c>
      <c r="O389">
        <v>0</v>
      </c>
      <c r="P389">
        <v>0</v>
      </c>
      <c r="Q389">
        <v>0</v>
      </c>
      <c r="R389">
        <v>0</v>
      </c>
      <c r="S389">
        <v>0</v>
      </c>
      <c r="U389" s="175">
        <f t="shared" si="21"/>
        <v>0</v>
      </c>
    </row>
    <row r="390" spans="1:21">
      <c r="A390" s="183" t="str">
        <f t="shared" si="19"/>
        <v>877</v>
      </c>
      <c r="B390" s="183" t="str">
        <f t="shared" si="20"/>
        <v>877.0</v>
      </c>
      <c r="C390" t="s">
        <v>2151</v>
      </c>
      <c r="D390" t="s">
        <v>1633</v>
      </c>
      <c r="G390">
        <v>0</v>
      </c>
      <c r="H390">
        <v>0</v>
      </c>
      <c r="I390">
        <v>0</v>
      </c>
      <c r="J390">
        <v>0</v>
      </c>
      <c r="K390">
        <v>0</v>
      </c>
      <c r="L390">
        <v>0</v>
      </c>
      <c r="M390">
        <v>0</v>
      </c>
      <c r="N390">
        <v>0</v>
      </c>
      <c r="O390">
        <v>0</v>
      </c>
      <c r="P390">
        <v>0</v>
      </c>
      <c r="Q390">
        <v>0</v>
      </c>
      <c r="R390">
        <v>0</v>
      </c>
      <c r="S390">
        <v>0</v>
      </c>
      <c r="U390" s="175">
        <f t="shared" si="21"/>
        <v>0</v>
      </c>
    </row>
    <row r="391" spans="1:21">
      <c r="A391" s="183" t="str">
        <f t="shared" ref="A391:A436" si="22">MID(C391,4,3)</f>
        <v>878</v>
      </c>
      <c r="B391" s="183" t="str">
        <f t="shared" ref="B391:B436" si="23">MID(C391,4,3)&amp;"."&amp;MID(C391,7,1)</f>
        <v>878.0</v>
      </c>
      <c r="C391" t="s">
        <v>2152</v>
      </c>
      <c r="D391" t="s">
        <v>1635</v>
      </c>
      <c r="G391">
        <v>0</v>
      </c>
      <c r="H391">
        <v>0</v>
      </c>
      <c r="I391">
        <v>0</v>
      </c>
      <c r="J391">
        <v>0</v>
      </c>
      <c r="K391">
        <v>0</v>
      </c>
      <c r="L391">
        <v>0</v>
      </c>
      <c r="M391">
        <v>0</v>
      </c>
      <c r="N391">
        <v>0</v>
      </c>
      <c r="O391">
        <v>0</v>
      </c>
      <c r="P391">
        <v>0</v>
      </c>
      <c r="Q391">
        <v>0</v>
      </c>
      <c r="R391">
        <v>0</v>
      </c>
      <c r="S391">
        <v>0</v>
      </c>
      <c r="U391" s="175">
        <f t="shared" ref="U391:U433" si="24">AVERAGE(G391:S391)</f>
        <v>0</v>
      </c>
    </row>
    <row r="392" spans="1:21">
      <c r="A392" s="183" t="str">
        <f t="shared" si="22"/>
        <v>879</v>
      </c>
      <c r="B392" s="183" t="str">
        <f t="shared" si="23"/>
        <v>879.0</v>
      </c>
      <c r="C392" t="s">
        <v>2153</v>
      </c>
      <c r="D392" t="s">
        <v>1637</v>
      </c>
      <c r="G392">
        <v>0</v>
      </c>
      <c r="H392">
        <v>0</v>
      </c>
      <c r="I392">
        <v>0</v>
      </c>
      <c r="J392">
        <v>0</v>
      </c>
      <c r="K392">
        <v>0</v>
      </c>
      <c r="L392">
        <v>0</v>
      </c>
      <c r="M392">
        <v>0</v>
      </c>
      <c r="N392">
        <v>0</v>
      </c>
      <c r="O392">
        <v>0</v>
      </c>
      <c r="P392">
        <v>0</v>
      </c>
      <c r="Q392">
        <v>0</v>
      </c>
      <c r="R392">
        <v>0</v>
      </c>
      <c r="S392">
        <v>0</v>
      </c>
      <c r="U392" s="175">
        <f t="shared" si="24"/>
        <v>0</v>
      </c>
    </row>
    <row r="393" spans="1:21">
      <c r="A393" s="183" t="str">
        <f t="shared" si="22"/>
        <v>880</v>
      </c>
      <c r="B393" s="183" t="str">
        <f t="shared" si="23"/>
        <v>880.0</v>
      </c>
      <c r="C393" t="s">
        <v>2154</v>
      </c>
      <c r="D393" t="s">
        <v>1639</v>
      </c>
      <c r="G393">
        <v>0</v>
      </c>
      <c r="H393">
        <v>0</v>
      </c>
      <c r="I393">
        <v>0</v>
      </c>
      <c r="J393">
        <v>0</v>
      </c>
      <c r="K393">
        <v>0</v>
      </c>
      <c r="L393">
        <v>0</v>
      </c>
      <c r="M393">
        <v>0</v>
      </c>
      <c r="N393">
        <v>0</v>
      </c>
      <c r="O393">
        <v>0</v>
      </c>
      <c r="P393">
        <v>0</v>
      </c>
      <c r="Q393">
        <v>0</v>
      </c>
      <c r="R393">
        <v>0</v>
      </c>
      <c r="S393">
        <v>0</v>
      </c>
      <c r="U393" s="175">
        <f t="shared" si="24"/>
        <v>0</v>
      </c>
    </row>
    <row r="394" spans="1:21">
      <c r="A394" s="183" t="str">
        <f t="shared" si="22"/>
        <v>881</v>
      </c>
      <c r="B394" s="183" t="str">
        <f t="shared" si="23"/>
        <v>881.0</v>
      </c>
      <c r="C394" t="s">
        <v>2155</v>
      </c>
      <c r="D394" t="s">
        <v>1641</v>
      </c>
      <c r="G394">
        <v>0</v>
      </c>
      <c r="H394">
        <v>0</v>
      </c>
      <c r="I394">
        <v>0</v>
      </c>
      <c r="J394">
        <v>0</v>
      </c>
      <c r="K394">
        <v>0</v>
      </c>
      <c r="L394">
        <v>0</v>
      </c>
      <c r="M394">
        <v>0</v>
      </c>
      <c r="N394">
        <v>0</v>
      </c>
      <c r="O394">
        <v>0</v>
      </c>
      <c r="P394">
        <v>0</v>
      </c>
      <c r="Q394">
        <v>0</v>
      </c>
      <c r="R394">
        <v>0</v>
      </c>
      <c r="S394">
        <v>0</v>
      </c>
      <c r="U394" s="175">
        <f t="shared" si="24"/>
        <v>0</v>
      </c>
    </row>
    <row r="395" spans="1:21">
      <c r="A395" s="183" t="str">
        <f t="shared" si="22"/>
        <v>885</v>
      </c>
      <c r="B395" s="183" t="str">
        <f t="shared" si="23"/>
        <v>885.0</v>
      </c>
      <c r="C395" t="s">
        <v>2156</v>
      </c>
      <c r="D395" t="s">
        <v>1643</v>
      </c>
      <c r="G395">
        <v>0</v>
      </c>
      <c r="H395">
        <v>0</v>
      </c>
      <c r="I395">
        <v>0</v>
      </c>
      <c r="J395">
        <v>0</v>
      </c>
      <c r="K395">
        <v>0</v>
      </c>
      <c r="L395">
        <v>0</v>
      </c>
      <c r="M395">
        <v>0</v>
      </c>
      <c r="N395">
        <v>0</v>
      </c>
      <c r="O395">
        <v>0</v>
      </c>
      <c r="P395">
        <v>0</v>
      </c>
      <c r="Q395">
        <v>0</v>
      </c>
      <c r="R395">
        <v>0</v>
      </c>
      <c r="S395">
        <v>0</v>
      </c>
      <c r="U395" s="175">
        <f t="shared" si="24"/>
        <v>0</v>
      </c>
    </row>
    <row r="396" spans="1:21">
      <c r="A396" s="183" t="str">
        <f t="shared" si="22"/>
        <v>886</v>
      </c>
      <c r="B396" s="183" t="str">
        <f t="shared" si="23"/>
        <v>886.0</v>
      </c>
      <c r="C396" t="s">
        <v>2157</v>
      </c>
      <c r="D396" t="s">
        <v>1645</v>
      </c>
      <c r="G396">
        <v>0</v>
      </c>
      <c r="H396">
        <v>0</v>
      </c>
      <c r="I396">
        <v>0</v>
      </c>
      <c r="J396">
        <v>0</v>
      </c>
      <c r="K396">
        <v>0</v>
      </c>
      <c r="L396">
        <v>0</v>
      </c>
      <c r="M396">
        <v>0</v>
      </c>
      <c r="N396">
        <v>0</v>
      </c>
      <c r="O396">
        <v>0</v>
      </c>
      <c r="P396">
        <v>0</v>
      </c>
      <c r="Q396">
        <v>0</v>
      </c>
      <c r="R396">
        <v>0</v>
      </c>
      <c r="S396">
        <v>0</v>
      </c>
      <c r="U396" s="175">
        <f t="shared" si="24"/>
        <v>0</v>
      </c>
    </row>
    <row r="397" spans="1:21">
      <c r="A397" s="183" t="str">
        <f t="shared" si="22"/>
        <v>887</v>
      </c>
      <c r="B397" s="183" t="str">
        <f t="shared" si="23"/>
        <v>887.0</v>
      </c>
      <c r="C397" t="s">
        <v>2158</v>
      </c>
      <c r="D397" t="s">
        <v>1647</v>
      </c>
      <c r="G397">
        <v>0</v>
      </c>
      <c r="H397">
        <v>0</v>
      </c>
      <c r="I397">
        <v>0</v>
      </c>
      <c r="J397">
        <v>0</v>
      </c>
      <c r="K397">
        <v>0</v>
      </c>
      <c r="L397">
        <v>0</v>
      </c>
      <c r="M397">
        <v>0</v>
      </c>
      <c r="N397">
        <v>0</v>
      </c>
      <c r="O397">
        <v>0</v>
      </c>
      <c r="P397">
        <v>0</v>
      </c>
      <c r="Q397">
        <v>0</v>
      </c>
      <c r="R397">
        <v>0</v>
      </c>
      <c r="S397">
        <v>0</v>
      </c>
      <c r="U397" s="175">
        <f t="shared" si="24"/>
        <v>0</v>
      </c>
    </row>
    <row r="398" spans="1:21">
      <c r="A398" s="183" t="str">
        <f t="shared" si="22"/>
        <v>888</v>
      </c>
      <c r="B398" s="183" t="str">
        <f t="shared" si="23"/>
        <v>888.0</v>
      </c>
      <c r="C398" t="s">
        <v>2159</v>
      </c>
      <c r="D398" t="s">
        <v>1649</v>
      </c>
      <c r="G398">
        <v>0</v>
      </c>
      <c r="H398">
        <v>0</v>
      </c>
      <c r="I398">
        <v>0</v>
      </c>
      <c r="J398">
        <v>0</v>
      </c>
      <c r="K398">
        <v>0</v>
      </c>
      <c r="L398">
        <v>0</v>
      </c>
      <c r="M398">
        <v>0</v>
      </c>
      <c r="N398">
        <v>0</v>
      </c>
      <c r="O398">
        <v>0</v>
      </c>
      <c r="P398">
        <v>0</v>
      </c>
      <c r="Q398">
        <v>0</v>
      </c>
      <c r="R398">
        <v>0</v>
      </c>
      <c r="S398">
        <v>0</v>
      </c>
      <c r="U398" s="175">
        <f t="shared" si="24"/>
        <v>0</v>
      </c>
    </row>
    <row r="399" spans="1:21">
      <c r="A399" s="183" t="str">
        <f t="shared" si="22"/>
        <v>889</v>
      </c>
      <c r="B399" s="183" t="str">
        <f t="shared" si="23"/>
        <v>889.0</v>
      </c>
      <c r="C399" t="s">
        <v>2160</v>
      </c>
      <c r="D399" t="s">
        <v>1651</v>
      </c>
      <c r="G399">
        <v>0</v>
      </c>
      <c r="H399">
        <v>0</v>
      </c>
      <c r="I399">
        <v>0</v>
      </c>
      <c r="J399">
        <v>0</v>
      </c>
      <c r="K399">
        <v>0</v>
      </c>
      <c r="L399">
        <v>0</v>
      </c>
      <c r="M399">
        <v>0</v>
      </c>
      <c r="N399">
        <v>0</v>
      </c>
      <c r="O399">
        <v>0</v>
      </c>
      <c r="P399">
        <v>0</v>
      </c>
      <c r="Q399">
        <v>0</v>
      </c>
      <c r="R399">
        <v>0</v>
      </c>
      <c r="S399">
        <v>0</v>
      </c>
      <c r="U399" s="175">
        <f t="shared" si="24"/>
        <v>0</v>
      </c>
    </row>
    <row r="400" spans="1:21">
      <c r="A400" s="183" t="str">
        <f t="shared" si="22"/>
        <v>890</v>
      </c>
      <c r="B400" s="183" t="str">
        <f t="shared" si="23"/>
        <v>890.0</v>
      </c>
      <c r="C400" t="s">
        <v>2161</v>
      </c>
      <c r="D400" t="s">
        <v>1653</v>
      </c>
      <c r="G400">
        <v>0</v>
      </c>
      <c r="H400">
        <v>0</v>
      </c>
      <c r="I400">
        <v>0</v>
      </c>
      <c r="J400">
        <v>0</v>
      </c>
      <c r="K400">
        <v>0</v>
      </c>
      <c r="L400">
        <v>0</v>
      </c>
      <c r="M400">
        <v>0</v>
      </c>
      <c r="N400">
        <v>0</v>
      </c>
      <c r="O400">
        <v>0</v>
      </c>
      <c r="P400">
        <v>0</v>
      </c>
      <c r="Q400">
        <v>0</v>
      </c>
      <c r="R400">
        <v>0</v>
      </c>
      <c r="S400">
        <v>0</v>
      </c>
      <c r="U400" s="175">
        <f t="shared" si="24"/>
        <v>0</v>
      </c>
    </row>
    <row r="401" spans="1:21">
      <c r="A401" s="183" t="str">
        <f t="shared" si="22"/>
        <v>891</v>
      </c>
      <c r="B401" s="183" t="str">
        <f t="shared" si="23"/>
        <v>891.0</v>
      </c>
      <c r="C401" t="s">
        <v>2162</v>
      </c>
      <c r="D401" t="s">
        <v>1655</v>
      </c>
      <c r="G401">
        <v>0</v>
      </c>
      <c r="H401">
        <v>0</v>
      </c>
      <c r="I401">
        <v>0</v>
      </c>
      <c r="J401">
        <v>0</v>
      </c>
      <c r="K401">
        <v>0</v>
      </c>
      <c r="L401">
        <v>0</v>
      </c>
      <c r="M401">
        <v>0</v>
      </c>
      <c r="N401">
        <v>0</v>
      </c>
      <c r="O401">
        <v>0</v>
      </c>
      <c r="P401">
        <v>0</v>
      </c>
      <c r="Q401">
        <v>0</v>
      </c>
      <c r="R401">
        <v>0</v>
      </c>
      <c r="S401">
        <v>0</v>
      </c>
      <c r="U401" s="175">
        <f t="shared" si="24"/>
        <v>0</v>
      </c>
    </row>
    <row r="402" spans="1:21">
      <c r="A402" s="183" t="str">
        <f t="shared" si="22"/>
        <v>892</v>
      </c>
      <c r="B402" s="183" t="str">
        <f t="shared" si="23"/>
        <v>892.0</v>
      </c>
      <c r="C402" t="s">
        <v>2163</v>
      </c>
      <c r="D402" t="s">
        <v>1657</v>
      </c>
      <c r="G402">
        <v>0</v>
      </c>
      <c r="H402">
        <v>0</v>
      </c>
      <c r="I402">
        <v>0</v>
      </c>
      <c r="J402">
        <v>0</v>
      </c>
      <c r="K402">
        <v>0</v>
      </c>
      <c r="L402">
        <v>0</v>
      </c>
      <c r="M402">
        <v>0</v>
      </c>
      <c r="N402">
        <v>0</v>
      </c>
      <c r="O402">
        <v>0</v>
      </c>
      <c r="P402">
        <v>0</v>
      </c>
      <c r="Q402">
        <v>0</v>
      </c>
      <c r="R402">
        <v>0</v>
      </c>
      <c r="S402">
        <v>0</v>
      </c>
      <c r="U402" s="175">
        <f t="shared" si="24"/>
        <v>0</v>
      </c>
    </row>
    <row r="403" spans="1:21">
      <c r="A403" s="183" t="str">
        <f t="shared" si="22"/>
        <v>893</v>
      </c>
      <c r="B403" s="183" t="str">
        <f t="shared" si="23"/>
        <v>893.0</v>
      </c>
      <c r="C403" t="s">
        <v>2164</v>
      </c>
      <c r="D403" t="s">
        <v>1659</v>
      </c>
      <c r="G403">
        <v>0</v>
      </c>
      <c r="H403">
        <v>0</v>
      </c>
      <c r="I403">
        <v>0</v>
      </c>
      <c r="J403">
        <v>0</v>
      </c>
      <c r="K403">
        <v>0</v>
      </c>
      <c r="L403">
        <v>0</v>
      </c>
      <c r="M403">
        <v>0</v>
      </c>
      <c r="N403">
        <v>0</v>
      </c>
      <c r="O403">
        <v>0</v>
      </c>
      <c r="P403">
        <v>0</v>
      </c>
      <c r="Q403">
        <v>0</v>
      </c>
      <c r="R403">
        <v>0</v>
      </c>
      <c r="S403">
        <v>0</v>
      </c>
      <c r="U403" s="175">
        <f t="shared" si="24"/>
        <v>0</v>
      </c>
    </row>
    <row r="404" spans="1:21">
      <c r="A404" s="183" t="str">
        <f t="shared" si="22"/>
        <v>894</v>
      </c>
      <c r="B404" s="183" t="str">
        <f t="shared" si="23"/>
        <v>894.0</v>
      </c>
      <c r="C404" t="s">
        <v>2165</v>
      </c>
      <c r="D404" t="s">
        <v>1661</v>
      </c>
      <c r="G404">
        <v>0</v>
      </c>
      <c r="H404">
        <v>0</v>
      </c>
      <c r="I404">
        <v>0</v>
      </c>
      <c r="J404">
        <v>0</v>
      </c>
      <c r="K404">
        <v>0</v>
      </c>
      <c r="L404">
        <v>0</v>
      </c>
      <c r="M404">
        <v>0</v>
      </c>
      <c r="N404">
        <v>0</v>
      </c>
      <c r="O404">
        <v>0</v>
      </c>
      <c r="P404">
        <v>0</v>
      </c>
      <c r="Q404">
        <v>0</v>
      </c>
      <c r="R404">
        <v>0</v>
      </c>
      <c r="S404">
        <v>0</v>
      </c>
      <c r="U404" s="175">
        <f t="shared" si="24"/>
        <v>0</v>
      </c>
    </row>
    <row r="405" spans="1:21">
      <c r="A405" s="183" t="str">
        <f t="shared" si="22"/>
        <v>901</v>
      </c>
      <c r="B405" s="183" t="str">
        <f t="shared" si="23"/>
        <v>901.0</v>
      </c>
      <c r="C405" t="s">
        <v>2166</v>
      </c>
      <c r="D405" t="s">
        <v>1663</v>
      </c>
      <c r="G405">
        <v>3763362.43</v>
      </c>
      <c r="H405">
        <v>28940.59</v>
      </c>
      <c r="I405">
        <v>31693.08</v>
      </c>
      <c r="J405">
        <v>48537.67</v>
      </c>
      <c r="K405">
        <v>44880.76</v>
      </c>
      <c r="L405">
        <v>44707.54</v>
      </c>
      <c r="M405">
        <v>45500.4</v>
      </c>
      <c r="N405">
        <v>66039.55</v>
      </c>
      <c r="O405">
        <v>51640.24</v>
      </c>
      <c r="P405">
        <v>48879.51</v>
      </c>
      <c r="Q405">
        <v>45240.57</v>
      </c>
      <c r="R405">
        <v>29767.18</v>
      </c>
      <c r="S405">
        <v>63072.79</v>
      </c>
      <c r="U405" s="175">
        <f t="shared" si="24"/>
        <v>331712.48538461537</v>
      </c>
    </row>
    <row r="406" spans="1:21">
      <c r="A406" s="183" t="str">
        <f t="shared" si="22"/>
        <v>902</v>
      </c>
      <c r="B406" s="183" t="str">
        <f t="shared" si="23"/>
        <v>902.0</v>
      </c>
      <c r="C406" t="s">
        <v>2167</v>
      </c>
      <c r="D406" t="s">
        <v>1665</v>
      </c>
      <c r="G406">
        <v>66968.28</v>
      </c>
      <c r="H406">
        <v>62151.66</v>
      </c>
      <c r="I406">
        <v>64924.69</v>
      </c>
      <c r="J406">
        <v>97627.25</v>
      </c>
      <c r="K406">
        <v>84115.26</v>
      </c>
      <c r="L406">
        <v>61767.28</v>
      </c>
      <c r="M406">
        <v>59027.6</v>
      </c>
      <c r="N406">
        <v>52016.68</v>
      </c>
      <c r="O406">
        <v>116371.18</v>
      </c>
      <c r="P406">
        <v>63501.599999999999</v>
      </c>
      <c r="Q406">
        <v>68914.570000000007</v>
      </c>
      <c r="R406">
        <v>69839.81</v>
      </c>
      <c r="S406">
        <v>85378.27</v>
      </c>
      <c r="U406" s="175">
        <f t="shared" si="24"/>
        <v>73277.240769230775</v>
      </c>
    </row>
    <row r="407" spans="1:21">
      <c r="A407" s="183" t="str">
        <f t="shared" si="22"/>
        <v>903</v>
      </c>
      <c r="B407" s="183" t="str">
        <f t="shared" si="23"/>
        <v>903.0</v>
      </c>
      <c r="C407" t="s">
        <v>2168</v>
      </c>
      <c r="D407" t="s">
        <v>1667</v>
      </c>
      <c r="G407">
        <v>3036584.71</v>
      </c>
      <c r="H407">
        <v>1916003.76</v>
      </c>
      <c r="I407">
        <v>2099114.06</v>
      </c>
      <c r="J407">
        <v>2798979.46</v>
      </c>
      <c r="K407">
        <v>2559640.0299999998</v>
      </c>
      <c r="L407">
        <v>3039643.22</v>
      </c>
      <c r="M407">
        <v>1917565.09</v>
      </c>
      <c r="N407">
        <v>2353765.7999999998</v>
      </c>
      <c r="O407">
        <v>2395448.2200000002</v>
      </c>
      <c r="P407">
        <v>2483515.85</v>
      </c>
      <c r="Q407">
        <v>2194633.12</v>
      </c>
      <c r="R407">
        <v>2700356.02</v>
      </c>
      <c r="S407">
        <v>2977831.66</v>
      </c>
      <c r="U407" s="175">
        <f t="shared" si="24"/>
        <v>2497929.3076923075</v>
      </c>
    </row>
    <row r="408" spans="1:21">
      <c r="A408" s="183" t="str">
        <f t="shared" si="22"/>
        <v>904</v>
      </c>
      <c r="B408" s="183" t="str">
        <f t="shared" si="23"/>
        <v>904.0</v>
      </c>
      <c r="C408" t="s">
        <v>2169</v>
      </c>
      <c r="D408" t="s">
        <v>1669</v>
      </c>
      <c r="G408">
        <v>-11191.44</v>
      </c>
      <c r="H408">
        <v>319745.13</v>
      </c>
      <c r="I408">
        <v>312276.58</v>
      </c>
      <c r="J408">
        <v>308492.14</v>
      </c>
      <c r="K408">
        <v>332277.5</v>
      </c>
      <c r="L408">
        <v>371938.21</v>
      </c>
      <c r="M408">
        <v>-1214534.03</v>
      </c>
      <c r="N408">
        <v>480533</v>
      </c>
      <c r="O408">
        <v>491746</v>
      </c>
      <c r="P408">
        <v>458186</v>
      </c>
      <c r="Q408">
        <v>781967</v>
      </c>
      <c r="R408">
        <v>764831.54</v>
      </c>
      <c r="S408">
        <v>678720</v>
      </c>
      <c r="U408" s="175">
        <f t="shared" si="24"/>
        <v>313460.58692307689</v>
      </c>
    </row>
    <row r="409" spans="1:21">
      <c r="A409" s="183" t="str">
        <f t="shared" si="22"/>
        <v>905</v>
      </c>
      <c r="B409" s="183" t="str">
        <f t="shared" si="23"/>
        <v>905.0</v>
      </c>
      <c r="C409" t="s">
        <v>2170</v>
      </c>
      <c r="D409" t="s">
        <v>1671</v>
      </c>
      <c r="G409">
        <v>0</v>
      </c>
      <c r="H409">
        <v>0</v>
      </c>
      <c r="I409">
        <v>0</v>
      </c>
      <c r="J409">
        <v>0</v>
      </c>
      <c r="K409">
        <v>0</v>
      </c>
      <c r="L409">
        <v>0</v>
      </c>
      <c r="M409">
        <v>0</v>
      </c>
      <c r="N409">
        <v>0</v>
      </c>
      <c r="O409">
        <v>0</v>
      </c>
      <c r="P409">
        <v>0</v>
      </c>
      <c r="Q409">
        <v>0</v>
      </c>
      <c r="R409">
        <v>0</v>
      </c>
      <c r="S409">
        <v>0</v>
      </c>
      <c r="U409" s="175">
        <f t="shared" si="24"/>
        <v>0</v>
      </c>
    </row>
    <row r="410" spans="1:21">
      <c r="A410" s="183" t="str">
        <f t="shared" si="22"/>
        <v>907</v>
      </c>
      <c r="B410" s="183" t="str">
        <f t="shared" si="23"/>
        <v>907.0</v>
      </c>
      <c r="C410" t="s">
        <v>2171</v>
      </c>
      <c r="D410" t="s">
        <v>1673</v>
      </c>
      <c r="G410">
        <v>0</v>
      </c>
      <c r="H410">
        <v>0</v>
      </c>
      <c r="I410">
        <v>0</v>
      </c>
      <c r="J410">
        <v>0</v>
      </c>
      <c r="K410">
        <v>0</v>
      </c>
      <c r="L410">
        <v>0</v>
      </c>
      <c r="M410">
        <v>0</v>
      </c>
      <c r="N410">
        <v>0</v>
      </c>
      <c r="O410">
        <v>0</v>
      </c>
      <c r="P410">
        <v>0</v>
      </c>
      <c r="Q410">
        <v>0</v>
      </c>
      <c r="R410">
        <v>0</v>
      </c>
      <c r="S410">
        <v>0</v>
      </c>
      <c r="U410" s="175">
        <f t="shared" si="24"/>
        <v>0</v>
      </c>
    </row>
    <row r="411" spans="1:21">
      <c r="A411" s="183" t="str">
        <f t="shared" si="22"/>
        <v>908</v>
      </c>
      <c r="B411" s="183" t="str">
        <f t="shared" si="23"/>
        <v>908.0</v>
      </c>
      <c r="C411" t="s">
        <v>2172</v>
      </c>
      <c r="D411" t="s">
        <v>1675</v>
      </c>
      <c r="G411">
        <v>3228270.59</v>
      </c>
      <c r="H411">
        <v>3429387.62</v>
      </c>
      <c r="I411">
        <v>3102588.87</v>
      </c>
      <c r="J411">
        <v>3729287.64</v>
      </c>
      <c r="K411">
        <v>3419951.83</v>
      </c>
      <c r="L411">
        <v>3847301.41</v>
      </c>
      <c r="M411">
        <v>4094634.96</v>
      </c>
      <c r="N411">
        <v>3693100.33</v>
      </c>
      <c r="O411">
        <v>4094011.63</v>
      </c>
      <c r="P411">
        <v>3372132.48</v>
      </c>
      <c r="Q411">
        <v>1828261.32</v>
      </c>
      <c r="R411">
        <v>5187601.1900000004</v>
      </c>
      <c r="S411">
        <v>3988844.62</v>
      </c>
      <c r="U411" s="175">
        <f t="shared" si="24"/>
        <v>3616567.268461538</v>
      </c>
    </row>
    <row r="412" spans="1:21">
      <c r="A412" s="183" t="str">
        <f t="shared" si="22"/>
        <v>909</v>
      </c>
      <c r="B412" s="183" t="str">
        <f t="shared" si="23"/>
        <v>909.0</v>
      </c>
      <c r="C412" t="s">
        <v>2173</v>
      </c>
      <c r="D412" t="s">
        <v>1677</v>
      </c>
      <c r="G412">
        <v>147610.22</v>
      </c>
      <c r="H412">
        <v>8165.8</v>
      </c>
      <c r="I412">
        <v>25920.75</v>
      </c>
      <c r="J412">
        <v>209257.60000000001</v>
      </c>
      <c r="K412">
        <v>87121.15</v>
      </c>
      <c r="L412">
        <v>1241.6600000000001</v>
      </c>
      <c r="M412">
        <v>6476.9</v>
      </c>
      <c r="N412">
        <v>349548.98</v>
      </c>
      <c r="O412">
        <v>61617.2</v>
      </c>
      <c r="P412">
        <v>59302.35</v>
      </c>
      <c r="Q412">
        <v>-0.35</v>
      </c>
      <c r="R412">
        <v>23115</v>
      </c>
      <c r="S412">
        <v>517828.81</v>
      </c>
      <c r="U412" s="175">
        <f t="shared" si="24"/>
        <v>115169.6976923077</v>
      </c>
    </row>
    <row r="413" spans="1:21">
      <c r="A413" s="183" t="str">
        <f t="shared" si="22"/>
        <v>910</v>
      </c>
      <c r="B413" s="183" t="str">
        <f t="shared" si="23"/>
        <v>910.0</v>
      </c>
      <c r="C413" t="s">
        <v>2174</v>
      </c>
      <c r="D413" t="s">
        <v>1679</v>
      </c>
      <c r="G413">
        <v>0</v>
      </c>
      <c r="H413">
        <v>0</v>
      </c>
      <c r="I413">
        <v>0</v>
      </c>
      <c r="J413">
        <v>0</v>
      </c>
      <c r="K413">
        <v>0</v>
      </c>
      <c r="L413">
        <v>0</v>
      </c>
      <c r="M413">
        <v>0</v>
      </c>
      <c r="N413">
        <v>0</v>
      </c>
      <c r="O413">
        <v>0</v>
      </c>
      <c r="P413">
        <v>0</v>
      </c>
      <c r="Q413">
        <v>0</v>
      </c>
      <c r="R413">
        <v>0</v>
      </c>
      <c r="S413">
        <v>0</v>
      </c>
      <c r="U413" s="175">
        <f t="shared" si="24"/>
        <v>0</v>
      </c>
    </row>
    <row r="414" spans="1:21">
      <c r="A414" s="183" t="str">
        <f t="shared" si="22"/>
        <v>911</v>
      </c>
      <c r="B414" s="183" t="str">
        <f t="shared" si="23"/>
        <v>911.0</v>
      </c>
      <c r="C414" t="s">
        <v>2175</v>
      </c>
      <c r="D414" t="s">
        <v>1681</v>
      </c>
      <c r="G414">
        <v>0</v>
      </c>
      <c r="H414">
        <v>0</v>
      </c>
      <c r="I414">
        <v>0</v>
      </c>
      <c r="J414">
        <v>0</v>
      </c>
      <c r="K414">
        <v>0</v>
      </c>
      <c r="L414">
        <v>0</v>
      </c>
      <c r="M414">
        <v>0</v>
      </c>
      <c r="N414">
        <v>0</v>
      </c>
      <c r="O414">
        <v>0</v>
      </c>
      <c r="P414">
        <v>0</v>
      </c>
      <c r="Q414">
        <v>0</v>
      </c>
      <c r="R414">
        <v>0</v>
      </c>
      <c r="S414">
        <v>0</v>
      </c>
      <c r="U414" s="175">
        <f t="shared" si="24"/>
        <v>0</v>
      </c>
    </row>
    <row r="415" spans="1:21">
      <c r="A415" s="183" t="str">
        <f t="shared" si="22"/>
        <v>912</v>
      </c>
      <c r="B415" s="183" t="str">
        <f t="shared" si="23"/>
        <v>912.0</v>
      </c>
      <c r="C415" t="s">
        <v>2176</v>
      </c>
      <c r="D415" t="s">
        <v>1683</v>
      </c>
      <c r="G415">
        <v>92611</v>
      </c>
      <c r="H415">
        <v>0</v>
      </c>
      <c r="I415">
        <v>0</v>
      </c>
      <c r="J415">
        <v>24865</v>
      </c>
      <c r="K415">
        <v>5450</v>
      </c>
      <c r="L415">
        <v>126986</v>
      </c>
      <c r="M415">
        <v>186200</v>
      </c>
      <c r="N415">
        <v>5468</v>
      </c>
      <c r="O415">
        <v>79155</v>
      </c>
      <c r="P415">
        <v>23623.13</v>
      </c>
      <c r="Q415">
        <v>9144.3700000000008</v>
      </c>
      <c r="R415">
        <v>90034.67</v>
      </c>
      <c r="S415">
        <v>-54159.4</v>
      </c>
      <c r="U415" s="175">
        <f t="shared" si="24"/>
        <v>45336.75153846154</v>
      </c>
    </row>
    <row r="416" spans="1:21">
      <c r="A416" s="183" t="str">
        <f t="shared" si="22"/>
        <v>913</v>
      </c>
      <c r="B416" s="183" t="str">
        <f t="shared" si="23"/>
        <v>913.0</v>
      </c>
      <c r="C416" t="s">
        <v>2177</v>
      </c>
      <c r="D416" t="s">
        <v>1685</v>
      </c>
      <c r="G416">
        <v>0</v>
      </c>
      <c r="H416">
        <v>0</v>
      </c>
      <c r="I416">
        <v>0</v>
      </c>
      <c r="J416">
        <v>0</v>
      </c>
      <c r="K416">
        <v>0</v>
      </c>
      <c r="L416">
        <v>0</v>
      </c>
      <c r="M416">
        <v>0</v>
      </c>
      <c r="N416">
        <v>0</v>
      </c>
      <c r="O416">
        <v>0</v>
      </c>
      <c r="P416">
        <v>0</v>
      </c>
      <c r="Q416">
        <v>0</v>
      </c>
      <c r="R416">
        <v>0</v>
      </c>
      <c r="S416">
        <v>0</v>
      </c>
      <c r="U416" s="175">
        <f t="shared" si="24"/>
        <v>0</v>
      </c>
    </row>
    <row r="417" spans="1:21">
      <c r="A417" s="183" t="str">
        <f t="shared" si="22"/>
        <v>916</v>
      </c>
      <c r="B417" s="183" t="str">
        <f t="shared" si="23"/>
        <v>916.0</v>
      </c>
      <c r="C417" t="s">
        <v>2178</v>
      </c>
      <c r="D417" t="s">
        <v>1687</v>
      </c>
      <c r="G417">
        <v>0</v>
      </c>
      <c r="H417">
        <v>0</v>
      </c>
      <c r="I417">
        <v>0</v>
      </c>
      <c r="J417">
        <v>0</v>
      </c>
      <c r="K417">
        <v>0</v>
      </c>
      <c r="L417">
        <v>0</v>
      </c>
      <c r="M417">
        <v>0</v>
      </c>
      <c r="N417">
        <v>0</v>
      </c>
      <c r="O417">
        <v>0</v>
      </c>
      <c r="P417">
        <v>0</v>
      </c>
      <c r="Q417">
        <v>0</v>
      </c>
      <c r="R417">
        <v>0</v>
      </c>
      <c r="S417">
        <v>0</v>
      </c>
      <c r="U417" s="175">
        <f t="shared" si="24"/>
        <v>0</v>
      </c>
    </row>
    <row r="418" spans="1:21">
      <c r="A418" s="183" t="str">
        <f t="shared" si="22"/>
        <v>920</v>
      </c>
      <c r="B418" s="183" t="str">
        <f t="shared" si="23"/>
        <v>920.0</v>
      </c>
      <c r="C418" t="s">
        <v>2179</v>
      </c>
      <c r="D418" t="s">
        <v>1689</v>
      </c>
      <c r="G418">
        <v>-3709136.12</v>
      </c>
      <c r="H418">
        <v>6016071.5300000003</v>
      </c>
      <c r="I418">
        <v>5433051.1799999997</v>
      </c>
      <c r="J418">
        <v>5873305.3799999999</v>
      </c>
      <c r="K418">
        <v>5510180.6699999999</v>
      </c>
      <c r="L418">
        <v>5450609.4000000004</v>
      </c>
      <c r="M418">
        <v>5699643.9699999997</v>
      </c>
      <c r="N418">
        <v>5423402.1600000001</v>
      </c>
      <c r="O418">
        <v>13166192.48</v>
      </c>
      <c r="P418">
        <v>8342262.9000000004</v>
      </c>
      <c r="Q418">
        <v>4534394.92</v>
      </c>
      <c r="R418">
        <v>6397264.7599999998</v>
      </c>
      <c r="S418">
        <v>7973371.0599999996</v>
      </c>
      <c r="U418" s="175">
        <f t="shared" si="24"/>
        <v>5854662.6376923081</v>
      </c>
    </row>
    <row r="419" spans="1:21">
      <c r="A419" s="183" t="str">
        <f t="shared" si="22"/>
        <v>921</v>
      </c>
      <c r="B419" s="183" t="str">
        <f t="shared" si="23"/>
        <v>921.0</v>
      </c>
      <c r="C419" t="s">
        <v>2180</v>
      </c>
      <c r="D419" t="s">
        <v>1691</v>
      </c>
      <c r="G419">
        <v>480464.26</v>
      </c>
      <c r="H419">
        <v>321668.84999999998</v>
      </c>
      <c r="I419">
        <v>332405.48</v>
      </c>
      <c r="J419">
        <v>362303.87</v>
      </c>
      <c r="K419">
        <v>414892.84</v>
      </c>
      <c r="L419">
        <v>275183.48</v>
      </c>
      <c r="M419">
        <v>530032.27</v>
      </c>
      <c r="N419">
        <v>294745.94</v>
      </c>
      <c r="O419">
        <v>652316.72</v>
      </c>
      <c r="P419">
        <v>307715.63</v>
      </c>
      <c r="Q419">
        <v>496747.29</v>
      </c>
      <c r="R419">
        <v>361482.8</v>
      </c>
      <c r="S419">
        <v>954683.71</v>
      </c>
      <c r="U419" s="175">
        <f t="shared" si="24"/>
        <v>444972.54923076922</v>
      </c>
    </row>
    <row r="420" spans="1:21">
      <c r="A420" s="183" t="str">
        <f t="shared" si="22"/>
        <v>922</v>
      </c>
      <c r="B420" s="183" t="str">
        <f t="shared" si="23"/>
        <v>922.0</v>
      </c>
      <c r="C420" t="s">
        <v>2181</v>
      </c>
      <c r="D420" t="s">
        <v>1693</v>
      </c>
      <c r="G420">
        <v>-4398128.83</v>
      </c>
      <c r="H420">
        <v>-3902297.65</v>
      </c>
      <c r="I420">
        <v>-3924014.38</v>
      </c>
      <c r="J420">
        <v>-4146844.24</v>
      </c>
      <c r="K420">
        <v>-3705369.75</v>
      </c>
      <c r="L420">
        <v>-3872853.18</v>
      </c>
      <c r="M420">
        <v>-4058573.8</v>
      </c>
      <c r="N420">
        <v>-3790257.93</v>
      </c>
      <c r="O420">
        <v>-4743160.3499999996</v>
      </c>
      <c r="P420">
        <v>-6054789.7699999996</v>
      </c>
      <c r="Q420">
        <v>-5079158.66</v>
      </c>
      <c r="R420">
        <v>-4717208.0599999996</v>
      </c>
      <c r="S420">
        <v>-5330006.1100000003</v>
      </c>
      <c r="U420" s="175">
        <f t="shared" si="24"/>
        <v>-4440204.823846153</v>
      </c>
    </row>
    <row r="421" spans="1:21">
      <c r="A421" s="183" t="str">
        <f t="shared" si="22"/>
        <v>923</v>
      </c>
      <c r="B421" s="183" t="str">
        <f t="shared" si="23"/>
        <v>923.0</v>
      </c>
      <c r="C421" t="s">
        <v>2182</v>
      </c>
      <c r="D421" t="s">
        <v>1695</v>
      </c>
      <c r="G421">
        <v>-2598464.9</v>
      </c>
      <c r="H421">
        <v>1804174.64</v>
      </c>
      <c r="I421">
        <v>1870800.77</v>
      </c>
      <c r="J421">
        <v>2482316.81</v>
      </c>
      <c r="K421">
        <v>1980390.67</v>
      </c>
      <c r="L421">
        <v>2129133.54</v>
      </c>
      <c r="M421">
        <v>2196013.6</v>
      </c>
      <c r="N421">
        <v>2125116.37</v>
      </c>
      <c r="O421">
        <v>2745599.91</v>
      </c>
      <c r="P421">
        <v>1741175.51</v>
      </c>
      <c r="Q421">
        <v>2206657.79</v>
      </c>
      <c r="R421">
        <v>2116983.91</v>
      </c>
      <c r="S421">
        <v>3671833.61</v>
      </c>
      <c r="U421" s="175">
        <f t="shared" si="24"/>
        <v>1882440.9407692307</v>
      </c>
    </row>
    <row r="422" spans="1:21">
      <c r="A422" s="183" t="str">
        <f t="shared" si="22"/>
        <v>924</v>
      </c>
      <c r="B422" s="183" t="str">
        <f t="shared" si="23"/>
        <v>924.0</v>
      </c>
      <c r="C422" t="s">
        <v>2183</v>
      </c>
      <c r="D422" t="s">
        <v>1697</v>
      </c>
      <c r="G422">
        <v>118176.25</v>
      </c>
      <c r="H422">
        <v>1052160.99</v>
      </c>
      <c r="I422">
        <v>1111396.8</v>
      </c>
      <c r="J422">
        <v>1169717.04</v>
      </c>
      <c r="K422">
        <v>943133.26</v>
      </c>
      <c r="L422">
        <v>1295717.07</v>
      </c>
      <c r="M422">
        <v>405571.47</v>
      </c>
      <c r="N422">
        <v>1014882.13</v>
      </c>
      <c r="O422">
        <v>858978.65</v>
      </c>
      <c r="P422">
        <v>1073286.6299999999</v>
      </c>
      <c r="Q422">
        <v>1052395.95</v>
      </c>
      <c r="R422">
        <v>1052395.95</v>
      </c>
      <c r="S422">
        <v>1119395.95</v>
      </c>
      <c r="U422" s="175">
        <f t="shared" si="24"/>
        <v>943631.39538461517</v>
      </c>
    </row>
    <row r="423" spans="1:21">
      <c r="A423" s="183" t="str">
        <f t="shared" si="22"/>
        <v>925</v>
      </c>
      <c r="B423" s="183" t="str">
        <f t="shared" si="23"/>
        <v>925.0</v>
      </c>
      <c r="C423" t="s">
        <v>2184</v>
      </c>
      <c r="D423" t="s">
        <v>1699</v>
      </c>
      <c r="G423">
        <v>2038068.85</v>
      </c>
      <c r="H423">
        <v>1603111.02</v>
      </c>
      <c r="I423">
        <v>1600312.37</v>
      </c>
      <c r="J423">
        <v>2155928.9700000002</v>
      </c>
      <c r="K423">
        <v>1599417.05</v>
      </c>
      <c r="L423">
        <v>1603435.64</v>
      </c>
      <c r="M423">
        <v>1291357.7</v>
      </c>
      <c r="N423">
        <v>1489844.45</v>
      </c>
      <c r="O423">
        <v>1690213.63</v>
      </c>
      <c r="P423">
        <v>2010659.08</v>
      </c>
      <c r="Q423">
        <v>1695713.16</v>
      </c>
      <c r="R423">
        <v>1692126.57</v>
      </c>
      <c r="S423">
        <v>1624485.53</v>
      </c>
      <c r="U423" s="175">
        <f t="shared" si="24"/>
        <v>1699590.3092307693</v>
      </c>
    </row>
    <row r="424" spans="1:21">
      <c r="A424" s="183" t="str">
        <f t="shared" si="22"/>
        <v>926</v>
      </c>
      <c r="B424" s="183" t="str">
        <f t="shared" si="23"/>
        <v>926.0</v>
      </c>
      <c r="C424" t="s">
        <v>2185</v>
      </c>
      <c r="D424" t="s">
        <v>1701</v>
      </c>
      <c r="G424">
        <v>8905600.2100000009</v>
      </c>
      <c r="H424">
        <v>2367249.84</v>
      </c>
      <c r="I424">
        <v>2778182.65</v>
      </c>
      <c r="J424">
        <v>5011718.5</v>
      </c>
      <c r="K424">
        <v>2795276.7</v>
      </c>
      <c r="L424">
        <v>2682298.1</v>
      </c>
      <c r="M424">
        <v>6083886.9000000004</v>
      </c>
      <c r="N424">
        <v>2662118.0299999998</v>
      </c>
      <c r="O424">
        <v>2901321.7</v>
      </c>
      <c r="P424">
        <v>3705274.21</v>
      </c>
      <c r="Q424">
        <v>2239261.7799999998</v>
      </c>
      <c r="R424">
        <v>3069930.8</v>
      </c>
      <c r="S424">
        <v>7059995.4299999997</v>
      </c>
      <c r="U424" s="175">
        <f t="shared" si="24"/>
        <v>4020162.6807692316</v>
      </c>
    </row>
    <row r="425" spans="1:21">
      <c r="A425" s="183" t="str">
        <f t="shared" si="22"/>
        <v>927</v>
      </c>
      <c r="B425" s="183" t="str">
        <f t="shared" si="23"/>
        <v>927.0</v>
      </c>
      <c r="C425" t="s">
        <v>2186</v>
      </c>
      <c r="D425" t="s">
        <v>1703</v>
      </c>
      <c r="G425">
        <v>0</v>
      </c>
      <c r="H425">
        <v>0</v>
      </c>
      <c r="I425">
        <v>0</v>
      </c>
      <c r="J425">
        <v>0</v>
      </c>
      <c r="K425">
        <v>0</v>
      </c>
      <c r="L425">
        <v>0</v>
      </c>
      <c r="M425">
        <v>0</v>
      </c>
      <c r="N425">
        <v>0</v>
      </c>
      <c r="O425">
        <v>0</v>
      </c>
      <c r="P425">
        <v>0</v>
      </c>
      <c r="Q425">
        <v>0</v>
      </c>
      <c r="R425">
        <v>0</v>
      </c>
      <c r="S425">
        <v>0</v>
      </c>
      <c r="U425" s="175">
        <f t="shared" si="24"/>
        <v>0</v>
      </c>
    </row>
    <row r="426" spans="1:21">
      <c r="A426" s="183" t="str">
        <f t="shared" si="22"/>
        <v>928</v>
      </c>
      <c r="B426" s="183" t="str">
        <f t="shared" si="23"/>
        <v>928.0</v>
      </c>
      <c r="C426" t="s">
        <v>2187</v>
      </c>
      <c r="D426" t="s">
        <v>1705</v>
      </c>
      <c r="G426">
        <v>175505.35</v>
      </c>
      <c r="H426">
        <v>-6555.87</v>
      </c>
      <c r="I426">
        <v>114148.65</v>
      </c>
      <c r="J426">
        <v>187935.08</v>
      </c>
      <c r="K426">
        <v>154687.70000000001</v>
      </c>
      <c r="L426">
        <v>145419.46</v>
      </c>
      <c r="M426">
        <v>134715.56</v>
      </c>
      <c r="N426">
        <v>165729.1</v>
      </c>
      <c r="O426">
        <v>174706.27</v>
      </c>
      <c r="P426">
        <v>182307.39</v>
      </c>
      <c r="Q426">
        <v>115325.5</v>
      </c>
      <c r="R426">
        <v>94693.28</v>
      </c>
      <c r="S426">
        <v>308609.89</v>
      </c>
      <c r="U426" s="175">
        <f t="shared" si="24"/>
        <v>149786.72</v>
      </c>
    </row>
    <row r="427" spans="1:21">
      <c r="A427" s="183" t="str">
        <f t="shared" si="22"/>
        <v>929</v>
      </c>
      <c r="B427" s="183" t="str">
        <f t="shared" si="23"/>
        <v>929.0</v>
      </c>
      <c r="C427" t="s">
        <v>2188</v>
      </c>
      <c r="D427" t="s">
        <v>1707</v>
      </c>
      <c r="G427">
        <v>0</v>
      </c>
      <c r="H427">
        <v>0</v>
      </c>
      <c r="I427">
        <v>0</v>
      </c>
      <c r="J427">
        <v>0</v>
      </c>
      <c r="K427">
        <v>0</v>
      </c>
      <c r="L427">
        <v>0</v>
      </c>
      <c r="M427">
        <v>0</v>
      </c>
      <c r="N427">
        <v>0</v>
      </c>
      <c r="O427">
        <v>0</v>
      </c>
      <c r="P427">
        <v>0</v>
      </c>
      <c r="Q427">
        <v>0</v>
      </c>
      <c r="R427">
        <v>0</v>
      </c>
      <c r="S427">
        <v>0</v>
      </c>
    </row>
    <row r="428" spans="1:21">
      <c r="A428" s="183" t="str">
        <f t="shared" si="22"/>
        <v>930</v>
      </c>
      <c r="B428" s="183" t="str">
        <f t="shared" si="23"/>
        <v>930.1</v>
      </c>
      <c r="C428" t="s">
        <v>2189</v>
      </c>
      <c r="D428" t="s">
        <v>1709</v>
      </c>
      <c r="G428">
        <v>18494.07</v>
      </c>
      <c r="H428">
        <v>5372.3</v>
      </c>
      <c r="I428">
        <v>11807.65</v>
      </c>
      <c r="J428">
        <v>7355.68</v>
      </c>
      <c r="K428">
        <v>16659.84</v>
      </c>
      <c r="L428">
        <v>10062.76</v>
      </c>
      <c r="M428">
        <v>5766.97</v>
      </c>
      <c r="N428">
        <v>4667.0200000000004</v>
      </c>
      <c r="O428">
        <v>23878.240000000002</v>
      </c>
      <c r="P428">
        <v>17074.66</v>
      </c>
      <c r="Q428">
        <v>19272.03</v>
      </c>
      <c r="R428">
        <v>26559.48</v>
      </c>
      <c r="S428">
        <v>11223.14</v>
      </c>
    </row>
    <row r="429" spans="1:21">
      <c r="A429" s="183" t="str">
        <f t="shared" si="22"/>
        <v>930</v>
      </c>
      <c r="B429" s="183" t="str">
        <f t="shared" si="23"/>
        <v>930.2</v>
      </c>
      <c r="C429" t="s">
        <v>2190</v>
      </c>
      <c r="D429" t="s">
        <v>1711</v>
      </c>
      <c r="G429">
        <v>-332652.59999999998</v>
      </c>
      <c r="H429">
        <v>948119.02</v>
      </c>
      <c r="I429">
        <v>1483397.76</v>
      </c>
      <c r="J429">
        <v>2701584.76</v>
      </c>
      <c r="K429">
        <v>1423500.11</v>
      </c>
      <c r="L429">
        <v>1700304.86</v>
      </c>
      <c r="M429">
        <v>2370469.89</v>
      </c>
      <c r="N429">
        <v>960269.02</v>
      </c>
      <c r="O429">
        <v>3412492.6</v>
      </c>
      <c r="P429">
        <v>1746985.41</v>
      </c>
      <c r="Q429">
        <v>1315955.9099999999</v>
      </c>
      <c r="R429">
        <v>274849.36</v>
      </c>
      <c r="S429">
        <v>1843220.16</v>
      </c>
      <c r="U429" s="175">
        <f t="shared" si="24"/>
        <v>1526807.4046153845</v>
      </c>
    </row>
    <row r="430" spans="1:21">
      <c r="A430" s="183" t="str">
        <f t="shared" si="22"/>
        <v>931</v>
      </c>
      <c r="B430" s="183" t="str">
        <f t="shared" si="23"/>
        <v>931.0</v>
      </c>
      <c r="C430" t="s">
        <v>2191</v>
      </c>
      <c r="D430" t="s">
        <v>1713</v>
      </c>
      <c r="G430">
        <v>148930.4</v>
      </c>
      <c r="H430">
        <v>141013.10999999999</v>
      </c>
      <c r="I430">
        <v>136685.41</v>
      </c>
      <c r="J430">
        <v>134587.12</v>
      </c>
      <c r="K430">
        <v>140200.74</v>
      </c>
      <c r="L430">
        <v>140758.9</v>
      </c>
      <c r="M430">
        <v>133805.93</v>
      </c>
      <c r="N430">
        <v>140185.51999999999</v>
      </c>
      <c r="O430">
        <v>140050.31</v>
      </c>
      <c r="P430">
        <v>133726.15</v>
      </c>
      <c r="Q430">
        <v>140055.31</v>
      </c>
      <c r="R430">
        <v>140055.31</v>
      </c>
      <c r="S430">
        <v>131905.88</v>
      </c>
      <c r="U430" s="175">
        <f t="shared" si="24"/>
        <v>138612.31461538465</v>
      </c>
    </row>
    <row r="431" spans="1:21">
      <c r="A431" s="183" t="str">
        <f t="shared" si="22"/>
        <v>932</v>
      </c>
      <c r="B431" s="183" t="str">
        <f t="shared" si="23"/>
        <v>932.0</v>
      </c>
      <c r="C431" t="s">
        <v>2192</v>
      </c>
      <c r="D431" t="s">
        <v>1715</v>
      </c>
      <c r="G431">
        <v>0</v>
      </c>
      <c r="H431">
        <v>0</v>
      </c>
      <c r="I431">
        <v>0</v>
      </c>
      <c r="J431">
        <v>0</v>
      </c>
      <c r="K431">
        <v>0</v>
      </c>
      <c r="L431">
        <v>0</v>
      </c>
      <c r="M431">
        <v>0</v>
      </c>
      <c r="N431">
        <v>0</v>
      </c>
      <c r="O431">
        <v>0</v>
      </c>
      <c r="P431">
        <v>0</v>
      </c>
      <c r="Q431">
        <v>0</v>
      </c>
      <c r="R431">
        <v>0</v>
      </c>
      <c r="S431">
        <v>0</v>
      </c>
      <c r="U431" s="188">
        <f t="shared" si="24"/>
        <v>0</v>
      </c>
    </row>
    <row r="432" spans="1:21">
      <c r="A432" s="183" t="str">
        <f t="shared" si="22"/>
        <v>935</v>
      </c>
      <c r="B432" s="183" t="str">
        <f t="shared" si="23"/>
        <v>935.0</v>
      </c>
      <c r="C432" t="s">
        <v>2193</v>
      </c>
      <c r="D432" t="s">
        <v>1717</v>
      </c>
      <c r="G432">
        <v>1718795.93</v>
      </c>
      <c r="H432">
        <v>134813.53</v>
      </c>
      <c r="I432">
        <v>80698.61</v>
      </c>
      <c r="J432">
        <v>83171.81</v>
      </c>
      <c r="K432">
        <v>72056.03</v>
      </c>
      <c r="L432">
        <v>130348.5</v>
      </c>
      <c r="M432">
        <v>138707.26999999999</v>
      </c>
      <c r="N432">
        <v>150542.34</v>
      </c>
      <c r="O432">
        <v>174092.02</v>
      </c>
      <c r="P432">
        <v>126999.06</v>
      </c>
      <c r="Q432">
        <v>156884.68</v>
      </c>
      <c r="R432">
        <v>-43337.72</v>
      </c>
      <c r="S432">
        <v>220708.66</v>
      </c>
      <c r="U432" s="175">
        <f t="shared" si="24"/>
        <v>241883.13230769231</v>
      </c>
    </row>
    <row r="433" spans="1:21">
      <c r="A433" s="183" t="str">
        <f t="shared" si="22"/>
        <v>999</v>
      </c>
      <c r="B433" s="183" t="str">
        <f t="shared" si="23"/>
        <v>999.9</v>
      </c>
      <c r="C433" t="s">
        <v>2194</v>
      </c>
      <c r="D433" t="s">
        <v>2195</v>
      </c>
      <c r="G433">
        <v>183313.32</v>
      </c>
      <c r="H433">
        <v>57680181.82</v>
      </c>
      <c r="I433">
        <v>238202.27</v>
      </c>
      <c r="J433">
        <v>218185.16</v>
      </c>
      <c r="K433">
        <v>233033.77</v>
      </c>
      <c r="L433">
        <v>250085.87</v>
      </c>
      <c r="M433">
        <v>262371.01</v>
      </c>
      <c r="N433">
        <v>246878.74</v>
      </c>
      <c r="O433">
        <v>266506.19</v>
      </c>
      <c r="P433">
        <v>288546.69</v>
      </c>
      <c r="Q433">
        <v>324877.87</v>
      </c>
      <c r="R433">
        <v>224421.24</v>
      </c>
      <c r="S433">
        <v>260836.03</v>
      </c>
      <c r="U433" s="175">
        <f t="shared" si="24"/>
        <v>4667495.383076923</v>
      </c>
    </row>
    <row r="434" spans="1:21">
      <c r="A434" s="183" t="str">
        <f t="shared" si="22"/>
        <v>999</v>
      </c>
      <c r="B434" s="183" t="str">
        <f t="shared" si="23"/>
        <v>999.9</v>
      </c>
      <c r="C434" t="s">
        <v>2196</v>
      </c>
      <c r="D434" t="s">
        <v>2197</v>
      </c>
      <c r="G434">
        <v>-183313.32</v>
      </c>
      <c r="H434">
        <v>-57680181.82</v>
      </c>
      <c r="I434">
        <v>-238202.27</v>
      </c>
      <c r="J434">
        <v>-218185.16</v>
      </c>
      <c r="K434">
        <v>-233033.77</v>
      </c>
      <c r="L434">
        <v>-250085.87</v>
      </c>
      <c r="M434">
        <v>-262371.01</v>
      </c>
      <c r="N434">
        <v>-246878.74</v>
      </c>
      <c r="O434">
        <v>-266506.19</v>
      </c>
      <c r="P434">
        <v>-288546.69</v>
      </c>
      <c r="Q434">
        <v>-324877.87</v>
      </c>
      <c r="R434">
        <v>-224421.24</v>
      </c>
      <c r="S434">
        <v>-260836.03</v>
      </c>
    </row>
    <row r="435" spans="1:21">
      <c r="A435" s="183" t="str">
        <f t="shared" si="22"/>
        <v>999</v>
      </c>
      <c r="B435" s="183" t="str">
        <f t="shared" si="23"/>
        <v>999.9</v>
      </c>
      <c r="C435" t="s">
        <v>2198</v>
      </c>
      <c r="D435" t="s">
        <v>2199</v>
      </c>
      <c r="G435">
        <v>-11225853.83</v>
      </c>
      <c r="H435">
        <v>-2866873350.0999999</v>
      </c>
      <c r="I435">
        <v>-23412086.379999999</v>
      </c>
      <c r="J435">
        <v>-21193467.66</v>
      </c>
      <c r="K435">
        <v>-27815170.100000001</v>
      </c>
      <c r="L435">
        <v>-42639037.390000001</v>
      </c>
      <c r="M435">
        <v>-43823231.299999997</v>
      </c>
      <c r="N435">
        <v>-52997862.710000001</v>
      </c>
      <c r="O435">
        <v>-43306685.280000001</v>
      </c>
      <c r="P435">
        <v>-44078183.740000002</v>
      </c>
      <c r="Q435">
        <v>-34342884.579999998</v>
      </c>
      <c r="R435">
        <v>-27588007.949999999</v>
      </c>
      <c r="S435">
        <v>-11151279.869999999</v>
      </c>
      <c r="U435" s="175">
        <f t="shared" ref="U435" si="25">U429</f>
        <v>1526807.4046153845</v>
      </c>
    </row>
    <row r="436" spans="1:21">
      <c r="A436" s="183" t="str">
        <f t="shared" si="22"/>
        <v>999</v>
      </c>
      <c r="B436" s="183" t="str">
        <f t="shared" si="23"/>
        <v>999.9</v>
      </c>
      <c r="C436" t="s">
        <v>2200</v>
      </c>
      <c r="D436" t="s">
        <v>2201</v>
      </c>
      <c r="G436">
        <v>11225853.83</v>
      </c>
      <c r="H436">
        <v>2866873350.0999999</v>
      </c>
      <c r="I436">
        <v>23412086.379999999</v>
      </c>
      <c r="J436">
        <v>21193467.66</v>
      </c>
      <c r="K436">
        <v>27815170.100000001</v>
      </c>
      <c r="L436">
        <v>42639037.390000001</v>
      </c>
      <c r="M436">
        <v>43823231.299999997</v>
      </c>
      <c r="N436">
        <v>52997862.710000001</v>
      </c>
      <c r="O436">
        <v>43306685.280000001</v>
      </c>
      <c r="P436">
        <v>44078183.740000002</v>
      </c>
      <c r="Q436">
        <v>34342884.579999998</v>
      </c>
      <c r="R436">
        <v>27588007.949999999</v>
      </c>
      <c r="S436">
        <v>11151279.869999999</v>
      </c>
      <c r="U436" s="175">
        <f t="shared" ref="U436" si="26">SUM(U432:U433,U430)</f>
        <v>5047990.83</v>
      </c>
    </row>
    <row r="437" spans="1:21">
      <c r="A437" s="181"/>
      <c r="B437" s="181"/>
      <c r="U437" s="191">
        <f t="shared" ref="U437" si="27">U435-U436</f>
        <v>-3521183.4253846155</v>
      </c>
    </row>
    <row r="438" spans="1:21" hidden="1">
      <c r="A438" s="181"/>
      <c r="B438" s="181"/>
    </row>
    <row r="439" spans="1:21" hidden="1">
      <c r="A439" s="181"/>
      <c r="B439" s="181"/>
    </row>
    <row r="440" spans="1:21" hidden="1">
      <c r="A440" s="181"/>
      <c r="B440" s="181"/>
    </row>
    <row r="441" spans="1:21" hidden="1">
      <c r="A441" s="181"/>
      <c r="B441" s="181"/>
    </row>
    <row r="442" spans="1:21" hidden="1">
      <c r="A442" s="181"/>
      <c r="B442" s="181"/>
    </row>
    <row r="443" spans="1:21" hidden="1">
      <c r="A443" s="181"/>
      <c r="B443" s="181"/>
    </row>
    <row r="444" spans="1:21" hidden="1">
      <c r="A444" s="181"/>
      <c r="B444" s="181"/>
    </row>
    <row r="445" spans="1:21" hidden="1">
      <c r="A445" s="181"/>
      <c r="B445" s="181"/>
    </row>
    <row r="446" spans="1:21" hidden="1">
      <c r="A446" s="181"/>
      <c r="B446" s="181"/>
    </row>
    <row r="447" spans="1:21" hidden="1">
      <c r="A447" s="181"/>
      <c r="B447" s="181"/>
    </row>
    <row r="448" spans="1:21" hidden="1">
      <c r="A448" s="181"/>
      <c r="B448" s="181"/>
    </row>
    <row r="449" spans="1:2" hidden="1">
      <c r="A449" s="181"/>
      <c r="B449" s="181"/>
    </row>
    <row r="450" spans="1:2" hidden="1">
      <c r="A450" s="181"/>
      <c r="B450" s="181"/>
    </row>
    <row r="451" spans="1:2" hidden="1">
      <c r="A451" s="181"/>
      <c r="B451" s="181"/>
    </row>
    <row r="452" spans="1:2" hidden="1">
      <c r="A452" s="181"/>
      <c r="B452" s="181"/>
    </row>
    <row r="453" spans="1:2" hidden="1">
      <c r="A453" s="181"/>
      <c r="B453" s="181"/>
    </row>
    <row r="454" spans="1:2" hidden="1">
      <c r="A454" s="181"/>
      <c r="B454" s="181"/>
    </row>
    <row r="455" spans="1:2" hidden="1">
      <c r="A455" s="181"/>
      <c r="B455" s="181"/>
    </row>
    <row r="456" spans="1:2" hidden="1">
      <c r="A456" s="181"/>
      <c r="B456" s="181"/>
    </row>
    <row r="457" spans="1:2" hidden="1">
      <c r="A457" s="181"/>
      <c r="B457" s="181"/>
    </row>
    <row r="458" spans="1:2" hidden="1">
      <c r="A458" s="181"/>
      <c r="B458" s="181"/>
    </row>
    <row r="459" spans="1:2" hidden="1">
      <c r="A459" s="181"/>
      <c r="B459" s="181"/>
    </row>
    <row r="460" spans="1:2" hidden="1">
      <c r="A460" s="181"/>
      <c r="B460" s="181"/>
    </row>
    <row r="461" spans="1:2" hidden="1">
      <c r="A461" s="181"/>
      <c r="B461" s="181"/>
    </row>
    <row r="462" spans="1:2" hidden="1">
      <c r="A462" s="181"/>
      <c r="B462" s="181"/>
    </row>
    <row r="463" spans="1:2" hidden="1">
      <c r="A463" s="181"/>
      <c r="B463" s="181"/>
    </row>
    <row r="464" spans="1:2" hidden="1">
      <c r="A464" s="181"/>
      <c r="B464" s="181"/>
    </row>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spans="1:21" hidden="1"/>
    <row r="498" spans="1:21" hidden="1"/>
    <row r="499" spans="1:21" hidden="1"/>
    <row r="501" spans="1:21">
      <c r="A501" s="336">
        <v>1823610</v>
      </c>
      <c r="B501" s="183" t="s">
        <v>1718</v>
      </c>
      <c r="C501" s="336">
        <v>1823610</v>
      </c>
      <c r="D501" s="192" t="s">
        <v>1719</v>
      </c>
      <c r="E501" s="464"/>
      <c r="F501" s="464"/>
      <c r="G501" s="192">
        <v>112960571.34</v>
      </c>
      <c r="H501" s="192">
        <v>113461154.86</v>
      </c>
      <c r="I501" s="192">
        <v>113997072.18000001</v>
      </c>
      <c r="J501" s="192">
        <v>114561016.42</v>
      </c>
      <c r="K501" s="192">
        <v>115043582.45999999</v>
      </c>
      <c r="L501" s="192">
        <v>115443748.43000001</v>
      </c>
      <c r="M501" s="192">
        <v>124698169.58</v>
      </c>
      <c r="N501" s="192">
        <v>125180501.44</v>
      </c>
      <c r="O501" s="192">
        <v>125610162.90000001</v>
      </c>
      <c r="P501" s="192">
        <v>126257479.62</v>
      </c>
      <c r="Q501" s="192">
        <v>126957581.7</v>
      </c>
      <c r="R501" s="192">
        <v>127768266.02</v>
      </c>
      <c r="S501" s="192">
        <v>119087132.54000001</v>
      </c>
      <c r="U501" s="175">
        <f t="shared" ref="U501:U508" si="28">AVERAGE(G501:S501)</f>
        <v>120078956.88384615</v>
      </c>
    </row>
    <row r="502" spans="1:21">
      <c r="A502" t="s">
        <v>2202</v>
      </c>
      <c r="B502" s="224" t="s">
        <v>2202</v>
      </c>
      <c r="C502" s="531"/>
      <c r="D502" s="531" t="s">
        <v>1720</v>
      </c>
      <c r="G502">
        <v>-69959701.310000002</v>
      </c>
      <c r="H502">
        <v>-69740582.420000002</v>
      </c>
      <c r="I502">
        <v>-72446601.519999996</v>
      </c>
      <c r="J502">
        <v>-78625034.409999996</v>
      </c>
      <c r="K502">
        <v>-83294737.519999996</v>
      </c>
      <c r="L502">
        <v>-83083033.709999993</v>
      </c>
      <c r="M502">
        <v>-83801235.540000007</v>
      </c>
      <c r="N502">
        <v>-83619410.540000007</v>
      </c>
      <c r="O502">
        <v>-83389181.799999997</v>
      </c>
      <c r="P502">
        <v>-85579509.879999995</v>
      </c>
      <c r="Q502">
        <v>-85397684.890000001</v>
      </c>
      <c r="R502">
        <v>-85215859.909999996</v>
      </c>
      <c r="S502">
        <v>-68415327.290000007</v>
      </c>
      <c r="U502" s="175">
        <f t="shared" si="28"/>
        <v>-79428300.056923062</v>
      </c>
    </row>
    <row r="503" spans="1:21">
      <c r="A503" t="s">
        <v>2203</v>
      </c>
      <c r="B503" s="181" t="s">
        <v>2203</v>
      </c>
      <c r="C503" s="128" t="s">
        <v>2203</v>
      </c>
      <c r="D503" t="s">
        <v>1721</v>
      </c>
      <c r="E503" s="464"/>
      <c r="F503" s="464"/>
      <c r="G503">
        <v>549974375.38</v>
      </c>
      <c r="H503" s="192">
        <v>546804481.62</v>
      </c>
      <c r="I503" s="192">
        <v>546734761.62</v>
      </c>
      <c r="J503" s="192">
        <v>553031297.41999996</v>
      </c>
      <c r="K503" s="192">
        <v>554840778.15999997</v>
      </c>
      <c r="L503" s="192">
        <v>551768852</v>
      </c>
      <c r="M503" s="192">
        <v>549609223.40999997</v>
      </c>
      <c r="N503" s="192">
        <v>542078993.77999997</v>
      </c>
      <c r="O503" s="192">
        <v>539026402.40999997</v>
      </c>
      <c r="P503" s="192">
        <v>536415473.57999998</v>
      </c>
      <c r="Q503" s="192">
        <v>533391386.49000001</v>
      </c>
      <c r="R503" s="192">
        <v>530367299.44999999</v>
      </c>
      <c r="S503" s="192">
        <v>512586444.26999998</v>
      </c>
      <c r="U503" s="175">
        <f t="shared" si="28"/>
        <v>542048443.81461525</v>
      </c>
    </row>
    <row r="504" spans="1:21">
      <c r="A504" t="s">
        <v>2204</v>
      </c>
      <c r="B504" s="530" t="s">
        <v>2204</v>
      </c>
      <c r="C504" s="531"/>
      <c r="D504" s="531" t="s">
        <v>1722</v>
      </c>
      <c r="G504">
        <v>-273855713.44999999</v>
      </c>
      <c r="H504">
        <v>-271278326.49000001</v>
      </c>
      <c r="I504">
        <v>-268805234.06999999</v>
      </c>
      <c r="J504">
        <v>-268471615.99000001</v>
      </c>
      <c r="K504">
        <v>-265975281.97999999</v>
      </c>
      <c r="L504">
        <v>-263540463.75999999</v>
      </c>
      <c r="M504">
        <v>-254482356.08000001</v>
      </c>
      <c r="N504">
        <v>-248635544.41999999</v>
      </c>
      <c r="O504">
        <v>-246206970.56</v>
      </c>
      <c r="P504">
        <v>-242138562.62</v>
      </c>
      <c r="Q504">
        <v>-239493235.31</v>
      </c>
      <c r="R504">
        <v>-236765352.88</v>
      </c>
      <c r="S504">
        <v>-242513617.96000001</v>
      </c>
      <c r="U504" s="175">
        <f t="shared" si="28"/>
        <v>-255550944.27461541</v>
      </c>
    </row>
    <row r="505" spans="1:21">
      <c r="A505" t="s">
        <v>2205</v>
      </c>
      <c r="B505" s="530" t="s">
        <v>2205</v>
      </c>
      <c r="C505" s="531"/>
      <c r="D505" s="531" t="s">
        <v>1723</v>
      </c>
      <c r="G505">
        <v>-93198389.680000007</v>
      </c>
      <c r="H505">
        <v>-92324418.25</v>
      </c>
      <c r="I505">
        <v>-91485854.25</v>
      </c>
      <c r="J505">
        <v>-91373631</v>
      </c>
      <c r="K505">
        <v>-90527176.599999994</v>
      </c>
      <c r="L505">
        <v>-89701606.5</v>
      </c>
      <c r="M505">
        <v>-86627462.609999999</v>
      </c>
      <c r="N505">
        <v>-84643537.780000001</v>
      </c>
      <c r="O505">
        <v>-83820087.549999997</v>
      </c>
      <c r="P505">
        <v>-82439921.859999999</v>
      </c>
      <c r="Q505">
        <v>-81542884.989999995</v>
      </c>
      <c r="R505">
        <v>-80617821.040000007</v>
      </c>
      <c r="S505">
        <v>-82570366.879999995</v>
      </c>
      <c r="U505" s="175">
        <f t="shared" si="28"/>
        <v>-86990242.999230757</v>
      </c>
    </row>
    <row r="506" spans="1:21">
      <c r="A506" t="s">
        <v>1724</v>
      </c>
      <c r="B506" s="189" t="s">
        <v>1724</v>
      </c>
      <c r="D506" s="190" t="s">
        <v>1725</v>
      </c>
      <c r="E506" s="465"/>
      <c r="F506" s="465"/>
      <c r="H506" s="174">
        <v>0</v>
      </c>
      <c r="I506" s="174">
        <v>0</v>
      </c>
      <c r="J506" s="174">
        <v>0</v>
      </c>
      <c r="K506" s="174">
        <v>0</v>
      </c>
      <c r="L506" s="174">
        <v>0</v>
      </c>
      <c r="M506" s="174">
        <v>0</v>
      </c>
      <c r="N506" s="174">
        <v>0</v>
      </c>
      <c r="O506" s="174">
        <v>0</v>
      </c>
      <c r="P506" s="174">
        <v>0</v>
      </c>
      <c r="Q506" s="174">
        <v>0</v>
      </c>
      <c r="R506" s="174">
        <v>0</v>
      </c>
      <c r="S506" s="174">
        <v>0</v>
      </c>
      <c r="U506" s="175">
        <f t="shared" si="28"/>
        <v>0</v>
      </c>
    </row>
    <row r="507" spans="1:21">
      <c r="A507" t="s">
        <v>1726</v>
      </c>
      <c r="B507" s="190" t="s">
        <v>1726</v>
      </c>
      <c r="D507" s="190" t="s">
        <v>1727</v>
      </c>
      <c r="E507" s="465"/>
      <c r="F507" s="465"/>
      <c r="G507">
        <v>80557.739999999932</v>
      </c>
      <c r="H507" s="174">
        <v>148118.91999999993</v>
      </c>
      <c r="I507" s="174">
        <v>214989.34999999992</v>
      </c>
      <c r="J507" s="174">
        <v>281859.77999999991</v>
      </c>
      <c r="K507" s="174">
        <v>348730.2099999999</v>
      </c>
      <c r="L507" s="174">
        <v>415600.6399999999</v>
      </c>
      <c r="M507" s="174">
        <v>482471.06999999989</v>
      </c>
      <c r="N507" s="174">
        <v>549341.49999999988</v>
      </c>
      <c r="O507" s="174">
        <v>616211.92999999993</v>
      </c>
      <c r="P507" s="174">
        <v>683082.35999999987</v>
      </c>
      <c r="Q507" s="174">
        <v>749952.7899999998</v>
      </c>
      <c r="R507" s="174">
        <v>816823.21999999974</v>
      </c>
      <c r="S507" s="174">
        <v>883693.64999999967</v>
      </c>
      <c r="U507" s="175">
        <f t="shared" si="28"/>
        <v>482417.93538461521</v>
      </c>
    </row>
    <row r="508" spans="1:21">
      <c r="A508" t="s">
        <v>1728</v>
      </c>
      <c r="B508" s="190" t="s">
        <v>1728</v>
      </c>
      <c r="D508" s="190" t="s">
        <v>1729</v>
      </c>
      <c r="E508" s="465"/>
      <c r="F508" s="465"/>
      <c r="G508">
        <v>2934854.7600000026</v>
      </c>
      <c r="H508">
        <v>2805519.2700000023</v>
      </c>
      <c r="I508">
        <v>2685705.2900000024</v>
      </c>
      <c r="J508">
        <v>1382209.6100000022</v>
      </c>
      <c r="K508">
        <v>1280361.0300000021</v>
      </c>
      <c r="L508">
        <v>1171033.5400000021</v>
      </c>
      <c r="M508">
        <v>1350189.690000002</v>
      </c>
      <c r="N508">
        <v>1239664.0100000021</v>
      </c>
      <c r="O508">
        <v>1141270.670000002</v>
      </c>
      <c r="P508">
        <v>1289512.400000002</v>
      </c>
      <c r="Q508">
        <v>2458699.7700000019</v>
      </c>
      <c r="R508">
        <v>2329741.9900000021</v>
      </c>
      <c r="S508">
        <v>-310358.19999999792</v>
      </c>
      <c r="U508" s="175">
        <f t="shared" si="28"/>
        <v>1673723.3715384637</v>
      </c>
    </row>
    <row r="510" spans="1:21">
      <c r="T510" s="175"/>
      <c r="U510"/>
    </row>
    <row r="511" spans="1:21">
      <c r="T511" s="175"/>
      <c r="U511"/>
    </row>
    <row r="512" spans="1:21">
      <c r="T512" s="175"/>
      <c r="U512"/>
    </row>
    <row r="513" spans="20:21">
      <c r="T513" s="175"/>
      <c r="U513"/>
    </row>
    <row r="514" spans="20:21">
      <c r="T514" s="175"/>
      <c r="U514"/>
    </row>
    <row r="515" spans="20:21">
      <c r="T515" s="175"/>
      <c r="U515"/>
    </row>
    <row r="516" spans="20:21">
      <c r="T516" s="175"/>
      <c r="U516"/>
    </row>
    <row r="517" spans="20:21">
      <c r="T517" s="175"/>
      <c r="U517"/>
    </row>
    <row r="518" spans="20:21">
      <c r="T518" s="175"/>
      <c r="U518"/>
    </row>
    <row r="519" spans="20:21">
      <c r="T519" s="175"/>
      <c r="U519"/>
    </row>
    <row r="520" spans="20:21">
      <c r="T520" s="175"/>
      <c r="U520"/>
    </row>
    <row r="521" spans="20:21">
      <c r="T521" s="175"/>
      <c r="U521"/>
    </row>
    <row r="522" spans="20:21">
      <c r="T522" s="175"/>
      <c r="U522"/>
    </row>
    <row r="523" spans="20:21">
      <c r="T523" s="175"/>
      <c r="U523"/>
    </row>
  </sheetData>
  <pageMargins left="0.7" right="0.7" top="0.75" bottom="0.75" header="0.3" footer="0.3"/>
  <customProperties>
    <customPr name="EpmWorksheetKeyString_GUID" r:id="rId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A4B7-8DDE-4812-975C-245A3437B382}">
  <sheetPr codeName="Sheet3">
    <tabColor rgb="FFE1FFE1"/>
    <pageSetUpPr fitToPage="1"/>
  </sheetPr>
  <dimension ref="B2:AF119"/>
  <sheetViews>
    <sheetView zoomScale="70" zoomScaleNormal="70" workbookViewId="0">
      <selection activeCell="D18" sqref="D18"/>
    </sheetView>
  </sheetViews>
  <sheetFormatPr defaultColWidth="8.88671875" defaultRowHeight="14.4"/>
  <cols>
    <col min="1" max="1" width="8.88671875" style="59"/>
    <col min="2" max="2" width="42.88671875" style="59" customWidth="1"/>
    <col min="3" max="3" width="2.5546875" style="59" customWidth="1"/>
    <col min="4" max="4" width="19.5546875" style="59" customWidth="1"/>
    <col min="5" max="5" width="2.5546875" style="59" customWidth="1"/>
    <col min="6" max="6" width="17.88671875" style="59" customWidth="1"/>
    <col min="7" max="7" width="2.5546875" style="59" customWidth="1"/>
    <col min="8" max="8" width="20.5546875" style="59" customWidth="1"/>
    <col min="9" max="9" width="2.5546875" style="59" customWidth="1"/>
    <col min="10" max="10" width="17.88671875" style="59" customWidth="1"/>
    <col min="11" max="11" width="2.5546875" style="59" customWidth="1"/>
    <col min="12" max="12" width="17.88671875" style="59" customWidth="1"/>
    <col min="13" max="13" width="2.5546875" style="59" customWidth="1"/>
    <col min="14" max="14" width="17.88671875" style="59" customWidth="1"/>
    <col min="15" max="15" width="2.5546875" style="59" customWidth="1"/>
    <col min="16" max="16" width="17.88671875" style="59" customWidth="1"/>
    <col min="17" max="17" width="2.5546875" style="59" customWidth="1"/>
    <col min="18" max="18" width="17.88671875" style="59" customWidth="1"/>
    <col min="19" max="19" width="2.5546875" style="59" customWidth="1"/>
    <col min="20" max="20" width="17.88671875" style="59" customWidth="1"/>
    <col min="21" max="21" width="11.6640625" style="59" bestFit="1" customWidth="1"/>
    <col min="22" max="22" width="44.88671875" style="59" customWidth="1"/>
    <col min="23" max="31" width="8.88671875" style="59"/>
    <col min="32" max="32" width="18.44140625" style="59" customWidth="1"/>
    <col min="33" max="16384" width="8.88671875" style="59"/>
  </cols>
  <sheetData>
    <row r="2" spans="2:32" ht="15.6">
      <c r="B2" s="58"/>
      <c r="C2" s="58"/>
      <c r="D2" s="58"/>
      <c r="E2" s="58"/>
      <c r="F2" s="58"/>
      <c r="G2" s="58"/>
      <c r="J2" s="60" t="s">
        <v>2221</v>
      </c>
      <c r="K2" s="58"/>
      <c r="L2" s="58"/>
      <c r="M2" s="58"/>
      <c r="N2" s="58"/>
      <c r="O2" s="58"/>
      <c r="P2" s="58"/>
      <c r="Q2" s="58"/>
      <c r="R2" s="58"/>
      <c r="S2" s="58"/>
      <c r="T2" s="61" t="s">
        <v>2222</v>
      </c>
    </row>
    <row r="3" spans="2:32" ht="15.6">
      <c r="B3" s="58"/>
      <c r="C3" s="58"/>
      <c r="D3" s="58"/>
      <c r="E3" s="58"/>
      <c r="F3" s="58"/>
      <c r="G3" s="58"/>
      <c r="J3" s="60" t="s">
        <v>2223</v>
      </c>
      <c r="K3" s="58"/>
      <c r="L3" s="58"/>
      <c r="M3" s="58"/>
      <c r="N3" s="58"/>
      <c r="O3" s="58"/>
      <c r="P3" s="58"/>
      <c r="Q3" s="58"/>
      <c r="R3" s="58"/>
      <c r="S3" s="58"/>
      <c r="T3" s="61" t="s">
        <v>2224</v>
      </c>
    </row>
    <row r="4" spans="2:32" ht="15.6">
      <c r="B4" s="62" t="s">
        <v>2225</v>
      </c>
      <c r="C4" s="62"/>
      <c r="D4" s="62"/>
      <c r="E4" s="62"/>
      <c r="F4" s="62"/>
      <c r="G4" s="62"/>
      <c r="H4" s="62"/>
      <c r="I4" s="62"/>
      <c r="J4" s="62"/>
      <c r="K4" s="62"/>
      <c r="L4" s="62"/>
      <c r="M4" s="62"/>
      <c r="N4" s="62"/>
      <c r="O4" s="62"/>
      <c r="P4" s="62"/>
      <c r="Q4" s="62"/>
      <c r="R4" s="62"/>
      <c r="S4" s="62"/>
      <c r="T4" s="62"/>
    </row>
    <row r="5" spans="2:32" ht="15.6">
      <c r="B5" s="63">
        <v>45261</v>
      </c>
      <c r="C5" s="62"/>
      <c r="D5" s="64"/>
      <c r="E5" s="62"/>
      <c r="F5" s="62"/>
      <c r="G5" s="62"/>
      <c r="H5" s="62"/>
      <c r="I5" s="62"/>
      <c r="J5" s="62"/>
      <c r="K5" s="62"/>
      <c r="L5" s="62"/>
      <c r="M5" s="62"/>
      <c r="N5" s="62"/>
      <c r="O5" s="62"/>
      <c r="P5" s="62"/>
      <c r="Q5" s="62"/>
      <c r="R5" s="62"/>
      <c r="S5" s="62"/>
      <c r="T5" s="62"/>
    </row>
    <row r="6" spans="2:32" ht="15.6">
      <c r="B6" s="65"/>
      <c r="C6" s="65"/>
      <c r="D6" s="66"/>
      <c r="E6" s="65"/>
      <c r="F6" s="66"/>
      <c r="G6" s="65"/>
      <c r="H6" s="66"/>
      <c r="I6" s="61"/>
      <c r="J6" s="66"/>
      <c r="K6" s="65"/>
      <c r="L6" s="66"/>
      <c r="M6" s="65"/>
      <c r="N6" s="66"/>
      <c r="O6" s="65"/>
      <c r="P6" s="66"/>
      <c r="Q6" s="65"/>
      <c r="R6" s="66"/>
      <c r="S6" s="65"/>
      <c r="T6" s="66"/>
    </row>
    <row r="7" spans="2:32" ht="15.6">
      <c r="B7" s="65"/>
      <c r="C7" s="65"/>
      <c r="D7" s="65"/>
      <c r="E7" s="65"/>
      <c r="F7" s="65"/>
      <c r="G7" s="65"/>
      <c r="H7" s="65"/>
      <c r="I7" s="65"/>
      <c r="J7" s="65"/>
      <c r="K7" s="65"/>
      <c r="L7" s="65"/>
      <c r="M7" s="65"/>
      <c r="N7" s="65"/>
      <c r="O7" s="65"/>
      <c r="P7" s="65"/>
      <c r="Q7" s="65"/>
      <c r="R7" s="65"/>
      <c r="S7" s="65"/>
      <c r="T7" s="65"/>
    </row>
    <row r="8" spans="2:32" ht="15.6">
      <c r="B8" s="65"/>
      <c r="C8" s="65"/>
      <c r="D8" s="67" t="s">
        <v>17</v>
      </c>
      <c r="E8" s="65"/>
      <c r="F8" s="67" t="s">
        <v>18</v>
      </c>
      <c r="G8" s="65"/>
      <c r="H8" s="67" t="s">
        <v>19</v>
      </c>
      <c r="I8" s="65"/>
      <c r="J8" s="67" t="s">
        <v>20</v>
      </c>
      <c r="K8" s="65"/>
      <c r="L8" s="67" t="s">
        <v>21</v>
      </c>
      <c r="M8" s="65"/>
      <c r="N8" s="67" t="s">
        <v>22</v>
      </c>
      <c r="O8" s="65"/>
      <c r="P8" s="67" t="s">
        <v>23</v>
      </c>
      <c r="Q8" s="65"/>
      <c r="R8" s="67" t="s">
        <v>24</v>
      </c>
      <c r="S8" s="65"/>
      <c r="T8" s="67" t="s">
        <v>25</v>
      </c>
    </row>
    <row r="9" spans="2:32" ht="15.6">
      <c r="B9" s="65"/>
      <c r="C9" s="65"/>
      <c r="D9" s="67"/>
      <c r="E9" s="67"/>
      <c r="F9" s="67" t="s">
        <v>27</v>
      </c>
      <c r="G9" s="67"/>
      <c r="H9" s="67" t="s">
        <v>32</v>
      </c>
      <c r="I9" s="67"/>
      <c r="J9" s="67"/>
      <c r="K9" s="67"/>
      <c r="L9" s="67" t="s">
        <v>2226</v>
      </c>
      <c r="M9" s="67"/>
      <c r="N9" s="67"/>
      <c r="O9" s="65"/>
      <c r="P9" s="65"/>
      <c r="Q9" s="65"/>
      <c r="R9" s="65"/>
      <c r="S9" s="65"/>
      <c r="T9" s="65"/>
    </row>
    <row r="10" spans="2:32" ht="15.6">
      <c r="B10" s="65"/>
      <c r="C10" s="65"/>
      <c r="D10" s="67" t="s">
        <v>2227</v>
      </c>
      <c r="E10" s="67"/>
      <c r="F10" s="67" t="s">
        <v>2228</v>
      </c>
      <c r="G10" s="67"/>
      <c r="H10" s="67" t="s">
        <v>2227</v>
      </c>
      <c r="I10" s="67"/>
      <c r="J10" s="67" t="s">
        <v>2229</v>
      </c>
      <c r="K10" s="67"/>
      <c r="L10" s="67" t="s">
        <v>2230</v>
      </c>
      <c r="M10" s="67"/>
      <c r="N10" s="67" t="s">
        <v>2231</v>
      </c>
      <c r="O10" s="65"/>
      <c r="P10" s="67" t="s">
        <v>32</v>
      </c>
      <c r="Q10" s="65"/>
      <c r="R10" s="67" t="s">
        <v>2232</v>
      </c>
      <c r="S10" s="65"/>
      <c r="T10" s="67" t="s">
        <v>45</v>
      </c>
    </row>
    <row r="11" spans="2:32" ht="15.6">
      <c r="B11" s="65"/>
      <c r="C11" s="65"/>
      <c r="D11" s="67" t="s">
        <v>47</v>
      </c>
      <c r="E11" s="67"/>
      <c r="F11" s="67" t="s">
        <v>2233</v>
      </c>
      <c r="G11" s="67"/>
      <c r="H11" s="67" t="s">
        <v>47</v>
      </c>
      <c r="I11" s="67"/>
      <c r="J11" s="67" t="s">
        <v>2234</v>
      </c>
      <c r="K11" s="67"/>
      <c r="L11" s="67" t="s">
        <v>2235</v>
      </c>
      <c r="M11" s="67"/>
      <c r="N11" s="67" t="s">
        <v>51</v>
      </c>
      <c r="O11" s="65"/>
      <c r="P11" s="67" t="s">
        <v>2236</v>
      </c>
      <c r="Q11" s="65"/>
      <c r="R11" s="67" t="s">
        <v>43</v>
      </c>
      <c r="S11" s="65"/>
      <c r="T11" s="67" t="s">
        <v>44</v>
      </c>
    </row>
    <row r="12" spans="2:32" ht="15.6">
      <c r="B12" s="65"/>
      <c r="C12" s="65"/>
      <c r="D12" s="68" t="s">
        <v>87</v>
      </c>
      <c r="E12" s="65"/>
      <c r="F12" s="68" t="s">
        <v>87</v>
      </c>
      <c r="G12" s="65"/>
      <c r="H12" s="68" t="s">
        <v>87</v>
      </c>
      <c r="I12" s="65"/>
      <c r="J12" s="68" t="s">
        <v>87</v>
      </c>
      <c r="K12" s="65"/>
      <c r="L12" s="68" t="s">
        <v>87</v>
      </c>
      <c r="M12" s="65"/>
      <c r="N12" s="68" t="s">
        <v>87</v>
      </c>
      <c r="O12" s="65"/>
      <c r="P12" s="68" t="s">
        <v>87</v>
      </c>
      <c r="Q12" s="65"/>
      <c r="R12" s="68" t="s">
        <v>87</v>
      </c>
      <c r="S12" s="65"/>
      <c r="T12" s="68" t="s">
        <v>87</v>
      </c>
    </row>
    <row r="13" spans="2:32" ht="15.6">
      <c r="B13" s="65" t="s">
        <v>2237</v>
      </c>
      <c r="C13" s="69" t="s">
        <v>90</v>
      </c>
      <c r="D13" s="65">
        <v>11880413225</v>
      </c>
      <c r="E13" s="69" t="s">
        <v>90</v>
      </c>
      <c r="F13" s="65">
        <v>-3574431010</v>
      </c>
      <c r="G13" s="69" t="s">
        <v>90</v>
      </c>
      <c r="H13" s="72">
        <v>8305982215</v>
      </c>
      <c r="I13" s="69" t="s">
        <v>90</v>
      </c>
      <c r="J13" s="65">
        <v>55938784</v>
      </c>
      <c r="K13" s="69" t="s">
        <v>90</v>
      </c>
      <c r="L13" s="65">
        <v>1098847305</v>
      </c>
      <c r="M13" s="69" t="s">
        <v>90</v>
      </c>
      <c r="N13" s="65">
        <v>0</v>
      </c>
      <c r="O13" s="69" t="s">
        <v>90</v>
      </c>
      <c r="P13" s="65">
        <v>9460768304</v>
      </c>
      <c r="Q13" s="69" t="s">
        <v>90</v>
      </c>
      <c r="R13" s="65">
        <v>1776069206.7123084</v>
      </c>
      <c r="S13" s="69" t="s">
        <v>90</v>
      </c>
      <c r="T13" s="65">
        <v>11236837510.712309</v>
      </c>
      <c r="AF13" s="70"/>
    </row>
    <row r="14" spans="2:32" ht="15.6">
      <c r="B14" s="65"/>
      <c r="C14" s="65"/>
      <c r="D14" s="68" t="s">
        <v>87</v>
      </c>
      <c r="E14" s="65"/>
      <c r="F14" s="68" t="s">
        <v>87</v>
      </c>
      <c r="G14" s="65"/>
      <c r="H14" s="68" t="s">
        <v>87</v>
      </c>
      <c r="I14" s="65"/>
      <c r="J14" s="68" t="s">
        <v>87</v>
      </c>
      <c r="K14" s="65"/>
      <c r="L14" s="68" t="s">
        <v>87</v>
      </c>
      <c r="M14" s="65"/>
      <c r="N14" s="68" t="s">
        <v>87</v>
      </c>
      <c r="O14" s="65"/>
      <c r="P14" s="68" t="s">
        <v>87</v>
      </c>
      <c r="Q14" s="65"/>
      <c r="R14" s="68" t="s">
        <v>87</v>
      </c>
      <c r="S14" s="65"/>
      <c r="T14" s="68" t="s">
        <v>87</v>
      </c>
    </row>
    <row r="15" spans="2:32" ht="15.6">
      <c r="B15" s="71"/>
      <c r="C15" s="65"/>
      <c r="D15" s="65"/>
      <c r="E15" s="65"/>
      <c r="F15" s="65"/>
      <c r="G15" s="65"/>
      <c r="H15" s="65"/>
      <c r="I15" s="65"/>
      <c r="J15" s="65"/>
      <c r="K15" s="65"/>
      <c r="L15" s="65"/>
      <c r="M15" s="65"/>
      <c r="N15" s="65"/>
      <c r="O15" s="65"/>
      <c r="P15" s="65"/>
      <c r="Q15" s="65"/>
      <c r="R15" s="65"/>
      <c r="S15" s="65"/>
      <c r="T15" s="65"/>
    </row>
    <row r="16" spans="2:32" ht="15.6">
      <c r="B16" s="65" t="s">
        <v>2238</v>
      </c>
      <c r="C16" s="65"/>
      <c r="D16" s="65">
        <v>11806239003</v>
      </c>
      <c r="E16" s="65"/>
      <c r="F16" s="65">
        <v>-3555663720</v>
      </c>
      <c r="G16" s="65"/>
      <c r="H16" s="72">
        <v>8250575283</v>
      </c>
      <c r="I16" s="65"/>
      <c r="J16" s="65">
        <v>54433136</v>
      </c>
      <c r="K16" s="65"/>
      <c r="L16" s="65">
        <v>1089320417</v>
      </c>
      <c r="M16" s="65"/>
      <c r="N16" s="65">
        <v>0</v>
      </c>
      <c r="O16" s="65"/>
      <c r="P16" s="65">
        <v>9394328836</v>
      </c>
      <c r="Q16" s="65"/>
      <c r="R16" s="65">
        <v>1766337258</v>
      </c>
      <c r="S16" s="65"/>
      <c r="T16" s="65">
        <v>11160666094</v>
      </c>
    </row>
    <row r="17" spans="2:22" ht="15.6">
      <c r="B17" s="65"/>
      <c r="C17" s="65"/>
      <c r="D17" s="68" t="s">
        <v>135</v>
      </c>
      <c r="E17" s="65"/>
      <c r="F17" s="68" t="s">
        <v>135</v>
      </c>
      <c r="G17" s="65"/>
      <c r="H17" s="68" t="s">
        <v>135</v>
      </c>
      <c r="I17" s="65"/>
      <c r="J17" s="68" t="s">
        <v>135</v>
      </c>
      <c r="K17" s="65"/>
      <c r="L17" s="68" t="s">
        <v>135</v>
      </c>
      <c r="M17" s="65"/>
      <c r="N17" s="68" t="s">
        <v>135</v>
      </c>
      <c r="O17" s="65"/>
      <c r="P17" s="68" t="s">
        <v>135</v>
      </c>
      <c r="Q17" s="65"/>
      <c r="R17" s="68" t="s">
        <v>135</v>
      </c>
      <c r="S17" s="65"/>
      <c r="T17" s="68" t="s">
        <v>135</v>
      </c>
    </row>
    <row r="18" spans="2:22" ht="15.6">
      <c r="B18" s="65"/>
      <c r="C18" s="65"/>
      <c r="D18" s="58">
        <f>D16/1000</f>
        <v>11806239.003</v>
      </c>
      <c r="E18" s="65"/>
      <c r="F18" s="58">
        <f>-F16/1000</f>
        <v>3555663.72</v>
      </c>
      <c r="G18" s="65"/>
      <c r="H18" s="65"/>
      <c r="I18" s="65"/>
      <c r="J18" s="65"/>
      <c r="K18" s="65"/>
      <c r="L18" s="65"/>
      <c r="M18" s="65"/>
      <c r="N18" s="65"/>
      <c r="O18" s="65"/>
      <c r="P18" s="65"/>
      <c r="Q18" s="65"/>
      <c r="R18" s="65"/>
      <c r="S18" s="65"/>
      <c r="T18" s="65"/>
      <c r="U18" s="73"/>
      <c r="V18" s="73"/>
    </row>
    <row r="19" spans="2:22" ht="15.6">
      <c r="B19" s="65" t="s">
        <v>2239</v>
      </c>
      <c r="C19" s="65"/>
      <c r="D19" s="65"/>
      <c r="E19" s="65"/>
      <c r="F19" s="65"/>
      <c r="G19" s="65"/>
      <c r="H19" s="65"/>
      <c r="I19" s="65"/>
      <c r="J19" s="65"/>
      <c r="K19" s="65"/>
      <c r="L19" s="65"/>
      <c r="M19" s="65"/>
      <c r="N19" s="65"/>
      <c r="O19" s="65"/>
      <c r="P19" s="65"/>
      <c r="Q19" s="65"/>
      <c r="R19" s="65"/>
      <c r="S19" s="65"/>
      <c r="T19" s="65"/>
      <c r="V19" s="73"/>
    </row>
    <row r="20" spans="2:22" ht="15.6">
      <c r="B20" s="68" t="s">
        <v>87</v>
      </c>
      <c r="C20" s="65"/>
      <c r="D20" s="65"/>
      <c r="E20" s="65"/>
      <c r="F20" s="65"/>
      <c r="G20" s="65"/>
      <c r="H20" s="65"/>
      <c r="I20" s="65"/>
      <c r="J20" s="65"/>
      <c r="K20" s="65"/>
      <c r="L20" s="65"/>
      <c r="M20" s="65"/>
      <c r="N20" s="65"/>
      <c r="O20" s="65"/>
      <c r="P20" s="65"/>
      <c r="Q20" s="65"/>
      <c r="R20" s="65"/>
      <c r="S20" s="65"/>
      <c r="T20" s="65"/>
      <c r="V20" s="74"/>
    </row>
    <row r="21" spans="2:22" ht="15.6">
      <c r="B21" s="65" t="s">
        <v>2240</v>
      </c>
      <c r="C21" s="65"/>
      <c r="D21" s="72">
        <v>0</v>
      </c>
      <c r="E21" s="72"/>
      <c r="F21" s="72">
        <v>0</v>
      </c>
      <c r="G21" s="72"/>
      <c r="H21" s="72">
        <v>0</v>
      </c>
      <c r="I21" s="72"/>
      <c r="J21" s="72"/>
      <c r="K21" s="72"/>
      <c r="L21" s="72"/>
      <c r="M21" s="72"/>
      <c r="N21" s="72"/>
      <c r="O21" s="72"/>
      <c r="P21" s="72">
        <v>0</v>
      </c>
      <c r="Q21" s="72"/>
      <c r="R21" s="72">
        <v>-325523076</v>
      </c>
      <c r="S21" s="72"/>
      <c r="T21" s="72">
        <v>-325523076</v>
      </c>
      <c r="V21" s="74"/>
    </row>
    <row r="22" spans="2:22" ht="15.6">
      <c r="B22" s="65" t="s">
        <v>92</v>
      </c>
      <c r="C22" s="65"/>
      <c r="D22" s="72">
        <v>-4162382.2953449874</v>
      </c>
      <c r="E22" s="72"/>
      <c r="F22" s="72">
        <v>1727555.7193979991</v>
      </c>
      <c r="G22" s="72"/>
      <c r="H22" s="72">
        <v>-2434826.5759469885</v>
      </c>
      <c r="I22" s="72"/>
      <c r="J22" s="72"/>
      <c r="K22" s="72"/>
      <c r="L22" s="72">
        <v>0</v>
      </c>
      <c r="M22" s="72"/>
      <c r="N22" s="72"/>
      <c r="O22" s="72"/>
      <c r="P22" s="72">
        <v>-2434826.5759469885</v>
      </c>
      <c r="Q22" s="72"/>
      <c r="R22" s="72">
        <v>-1798734</v>
      </c>
      <c r="S22" s="72"/>
      <c r="T22" s="72">
        <v>-4233560.5759469885</v>
      </c>
      <c r="V22" s="74"/>
    </row>
    <row r="23" spans="2:22" ht="15.6">
      <c r="B23" s="75" t="s">
        <v>96</v>
      </c>
      <c r="C23" s="65"/>
      <c r="D23" s="72">
        <v>-207570336.53739437</v>
      </c>
      <c r="E23" s="72"/>
      <c r="F23" s="72">
        <v>95911065.985211536</v>
      </c>
      <c r="G23" s="72"/>
      <c r="H23" s="72">
        <v>-111659270.55218284</v>
      </c>
      <c r="I23" s="72"/>
      <c r="J23" s="72"/>
      <c r="K23" s="72"/>
      <c r="L23" s="72">
        <v>-34068052.472739413</v>
      </c>
      <c r="M23" s="72"/>
      <c r="N23" s="72"/>
      <c r="O23" s="72"/>
      <c r="P23" s="72">
        <v>-145727323.02492225</v>
      </c>
      <c r="Q23" s="72"/>
      <c r="R23" s="72">
        <v>0</v>
      </c>
      <c r="S23" s="72"/>
      <c r="T23" s="72">
        <v>-145727323.02492225</v>
      </c>
    </row>
    <row r="24" spans="2:22" ht="15.6">
      <c r="B24" s="75" t="s">
        <v>94</v>
      </c>
      <c r="C24" s="65"/>
      <c r="D24" s="65">
        <v>-109589998.67156108</v>
      </c>
      <c r="E24" s="65"/>
      <c r="F24" s="65">
        <v>2122712.0291516432</v>
      </c>
      <c r="G24" s="65"/>
      <c r="H24" s="72">
        <v>-107467286.64240943</v>
      </c>
      <c r="I24" s="65"/>
      <c r="J24" s="65"/>
      <c r="K24" s="65"/>
      <c r="L24" s="65">
        <v>-262228214.38921979</v>
      </c>
      <c r="M24" s="65"/>
      <c r="N24" s="65"/>
      <c r="O24" s="65"/>
      <c r="P24" s="65">
        <v>-369695501.0316292</v>
      </c>
      <c r="Q24" s="65"/>
      <c r="R24" s="65">
        <v>0</v>
      </c>
      <c r="S24" s="65"/>
      <c r="T24" s="65">
        <v>-369695501.0316292</v>
      </c>
    </row>
    <row r="25" spans="2:22" ht="15.6">
      <c r="B25" s="65" t="s">
        <v>138</v>
      </c>
      <c r="C25" s="65"/>
      <c r="D25" s="65"/>
      <c r="E25" s="65"/>
      <c r="F25" s="65"/>
      <c r="G25" s="65"/>
      <c r="H25" s="65"/>
      <c r="I25" s="65"/>
      <c r="J25" s="65"/>
      <c r="K25" s="65"/>
      <c r="L25" s="65"/>
      <c r="M25" s="65"/>
      <c r="N25" s="65"/>
      <c r="O25" s="65"/>
      <c r="P25" s="65">
        <v>0</v>
      </c>
      <c r="Q25" s="65"/>
      <c r="R25" s="65">
        <v>0</v>
      </c>
      <c r="S25" s="65"/>
      <c r="T25" s="65">
        <v>0</v>
      </c>
    </row>
    <row r="26" spans="2:22" ht="15.6">
      <c r="B26" s="65" t="s">
        <v>99</v>
      </c>
      <c r="C26" s="65"/>
      <c r="D26" s="65"/>
      <c r="E26" s="65"/>
      <c r="F26" s="65"/>
      <c r="G26" s="65"/>
      <c r="H26" s="65"/>
      <c r="I26" s="65"/>
      <c r="J26" s="65"/>
      <c r="K26" s="65"/>
      <c r="L26" s="65"/>
      <c r="M26" s="65"/>
      <c r="N26" s="65"/>
      <c r="O26" s="65"/>
      <c r="P26" s="65">
        <v>0</v>
      </c>
      <c r="Q26" s="65"/>
      <c r="R26" s="65">
        <v>-494231070</v>
      </c>
      <c r="S26" s="65"/>
      <c r="T26" s="65">
        <v>-494231070</v>
      </c>
    </row>
    <row r="27" spans="2:22" ht="15.6">
      <c r="B27" s="75" t="s">
        <v>34</v>
      </c>
      <c r="C27" s="65"/>
      <c r="D27" s="65"/>
      <c r="E27" s="65"/>
      <c r="F27" s="65"/>
      <c r="G27" s="65"/>
      <c r="H27" s="65"/>
      <c r="I27" s="65"/>
      <c r="J27" s="65"/>
      <c r="K27" s="65"/>
      <c r="L27" s="65"/>
      <c r="M27" s="65"/>
      <c r="N27" s="65"/>
      <c r="O27" s="65"/>
      <c r="P27" s="65"/>
      <c r="Q27" s="65"/>
      <c r="R27" s="65">
        <v>-8138454</v>
      </c>
      <c r="S27" s="65"/>
      <c r="T27" s="65">
        <v>-8138454</v>
      </c>
    </row>
    <row r="28" spans="2:22" ht="15.6">
      <c r="B28" s="65" t="s">
        <v>106</v>
      </c>
      <c r="C28" s="65"/>
      <c r="D28" s="65"/>
      <c r="E28" s="65"/>
      <c r="F28" s="65"/>
      <c r="G28" s="65"/>
      <c r="H28" s="65"/>
      <c r="I28" s="65"/>
      <c r="J28" s="65"/>
      <c r="K28" s="65"/>
      <c r="L28" s="65">
        <v>-793024150.13804078</v>
      </c>
      <c r="M28" s="65"/>
      <c r="N28" s="65"/>
      <c r="O28" s="65"/>
      <c r="P28" s="65">
        <v>-793024150.13804078</v>
      </c>
      <c r="Q28" s="65"/>
      <c r="R28" s="66"/>
      <c r="S28" s="65"/>
      <c r="T28" s="65">
        <v>-793024150.13804078</v>
      </c>
      <c r="V28" s="72"/>
    </row>
    <row r="29" spans="2:22" ht="15.6">
      <c r="B29" s="65" t="s">
        <v>113</v>
      </c>
      <c r="C29" s="65"/>
      <c r="D29" s="65"/>
      <c r="E29" s="65"/>
      <c r="F29" s="65"/>
      <c r="G29" s="65"/>
      <c r="H29" s="65"/>
      <c r="I29" s="65"/>
      <c r="J29" s="65"/>
      <c r="K29" s="65"/>
      <c r="L29" s="65">
        <v>378701620.99990797</v>
      </c>
      <c r="M29" s="65"/>
      <c r="N29" s="65"/>
      <c r="O29" s="65"/>
      <c r="P29" s="65">
        <v>378701620.99990797</v>
      </c>
      <c r="Q29" s="65"/>
      <c r="R29" s="66"/>
      <c r="S29" s="65"/>
      <c r="T29" s="65">
        <v>378701620.99990797</v>
      </c>
    </row>
    <row r="30" spans="2:22" ht="15.6">
      <c r="B30" s="65" t="s">
        <v>2241</v>
      </c>
      <c r="C30" s="65"/>
      <c r="D30" s="65">
        <v>0</v>
      </c>
      <c r="E30" s="65"/>
      <c r="F30" s="65"/>
      <c r="G30" s="65"/>
      <c r="H30" s="72">
        <v>0</v>
      </c>
      <c r="I30" s="65"/>
      <c r="J30" s="65"/>
      <c r="K30" s="65"/>
      <c r="L30" s="65"/>
      <c r="M30" s="65"/>
      <c r="N30" s="65"/>
      <c r="O30" s="65"/>
      <c r="P30" s="65">
        <v>0</v>
      </c>
      <c r="Q30" s="65"/>
      <c r="R30" s="65"/>
      <c r="S30" s="65"/>
      <c r="T30" s="65">
        <v>0</v>
      </c>
    </row>
    <row r="31" spans="2:22" ht="15.6">
      <c r="B31" s="75" t="s">
        <v>2242</v>
      </c>
      <c r="C31" s="65"/>
      <c r="D31" s="65"/>
      <c r="E31" s="65"/>
      <c r="F31" s="65">
        <v>0</v>
      </c>
      <c r="G31" s="65"/>
      <c r="H31" s="72">
        <v>0</v>
      </c>
      <c r="I31" s="65"/>
      <c r="J31" s="65"/>
      <c r="K31" s="65"/>
      <c r="L31" s="65"/>
      <c r="M31" s="65"/>
      <c r="N31" s="65"/>
      <c r="O31" s="65"/>
      <c r="P31" s="65">
        <v>0</v>
      </c>
      <c r="Q31" s="65"/>
      <c r="R31" s="65"/>
      <c r="S31" s="65"/>
      <c r="T31" s="65">
        <v>0</v>
      </c>
    </row>
    <row r="32" spans="2:22" ht="15.6">
      <c r="B32" s="65" t="s">
        <v>2243</v>
      </c>
      <c r="C32" s="65"/>
      <c r="D32" s="65">
        <v>-7438091.8169712909</v>
      </c>
      <c r="E32" s="65"/>
      <c r="F32" s="65">
        <v>6494027.2065286813</v>
      </c>
      <c r="G32" s="65"/>
      <c r="H32" s="72">
        <v>-944064.61044260953</v>
      </c>
      <c r="I32" s="65"/>
      <c r="J32" s="65"/>
      <c r="K32" s="65"/>
      <c r="L32" s="65"/>
      <c r="M32" s="65"/>
      <c r="N32" s="65"/>
      <c r="O32" s="65"/>
      <c r="P32" s="65">
        <v>-944064.61044260953</v>
      </c>
      <c r="Q32" s="65"/>
      <c r="R32" s="65"/>
      <c r="S32" s="65"/>
      <c r="T32" s="65">
        <v>-944064.61044260953</v>
      </c>
    </row>
    <row r="33" spans="2:22" ht="15.6">
      <c r="B33" s="65" t="s">
        <v>143</v>
      </c>
      <c r="C33" s="65"/>
      <c r="D33" s="65"/>
      <c r="E33" s="65"/>
      <c r="F33" s="65"/>
      <c r="G33" s="65"/>
      <c r="H33" s="72"/>
      <c r="I33" s="65"/>
      <c r="J33" s="65"/>
      <c r="K33" s="65"/>
      <c r="L33" s="65"/>
      <c r="M33" s="65"/>
      <c r="N33" s="65"/>
      <c r="O33" s="65"/>
      <c r="P33" s="65"/>
      <c r="Q33" s="65"/>
      <c r="R33" s="65">
        <v>-717218461</v>
      </c>
      <c r="S33" s="65"/>
      <c r="T33" s="65">
        <v>-717218461</v>
      </c>
    </row>
    <row r="34" spans="2:22" ht="15.6">
      <c r="B34" s="65" t="s">
        <v>131</v>
      </c>
      <c r="C34" s="65"/>
      <c r="D34" s="65">
        <v>-25068101.98064639</v>
      </c>
      <c r="E34" s="65"/>
      <c r="F34" s="65"/>
      <c r="G34" s="65"/>
      <c r="H34" s="72">
        <v>-25068101.98064639</v>
      </c>
      <c r="I34" s="65"/>
      <c r="J34" s="65"/>
      <c r="K34" s="65"/>
      <c r="L34" s="65"/>
      <c r="M34" s="65"/>
      <c r="N34" s="65"/>
      <c r="O34" s="65"/>
      <c r="P34" s="65">
        <v>-25068101.98064639</v>
      </c>
      <c r="Q34" s="65"/>
      <c r="R34" s="65">
        <v>26195349</v>
      </c>
      <c r="S34" s="65"/>
      <c r="T34" s="65">
        <v>1127247.0193536095</v>
      </c>
    </row>
    <row r="35" spans="2:22" ht="15.6">
      <c r="B35" s="65"/>
      <c r="C35" s="65"/>
      <c r="D35" s="65"/>
      <c r="E35" s="65"/>
      <c r="F35" s="65"/>
      <c r="G35" s="65"/>
      <c r="H35" s="65"/>
      <c r="I35" s="65"/>
      <c r="J35" s="65"/>
      <c r="K35" s="65"/>
      <c r="L35" s="65"/>
      <c r="M35" s="65"/>
      <c r="N35" s="65"/>
      <c r="O35" s="65"/>
      <c r="P35" s="65"/>
      <c r="Q35" s="65"/>
      <c r="R35" s="65"/>
      <c r="S35" s="65"/>
      <c r="T35" s="65"/>
    </row>
    <row r="36" spans="2:22" ht="15.6">
      <c r="B36" s="65"/>
      <c r="C36" s="65"/>
      <c r="D36" s="68" t="s">
        <v>87</v>
      </c>
      <c r="E36" s="65"/>
      <c r="F36" s="68" t="s">
        <v>87</v>
      </c>
      <c r="G36" s="65"/>
      <c r="H36" s="68" t="s">
        <v>87</v>
      </c>
      <c r="I36" s="65"/>
      <c r="J36" s="68" t="s">
        <v>87</v>
      </c>
      <c r="K36" s="65"/>
      <c r="L36" s="68" t="s">
        <v>87</v>
      </c>
      <c r="M36" s="65"/>
      <c r="N36" s="68" t="s">
        <v>87</v>
      </c>
      <c r="O36" s="65"/>
      <c r="P36" s="68" t="s">
        <v>87</v>
      </c>
      <c r="Q36" s="65"/>
      <c r="R36" s="68" t="s">
        <v>87</v>
      </c>
      <c r="S36" s="65"/>
      <c r="T36" s="68" t="s">
        <v>87</v>
      </c>
    </row>
    <row r="37" spans="2:22" ht="15.6">
      <c r="B37" s="65" t="s">
        <v>2244</v>
      </c>
      <c r="C37" s="65"/>
      <c r="D37" s="65">
        <v>-353828911.30191809</v>
      </c>
      <c r="E37" s="65"/>
      <c r="F37" s="65">
        <v>106255360.94028986</v>
      </c>
      <c r="G37" s="65"/>
      <c r="H37" s="65">
        <v>-247573550.36162826</v>
      </c>
      <c r="I37" s="65"/>
      <c r="J37" s="65">
        <v>0</v>
      </c>
      <c r="K37" s="65"/>
      <c r="L37" s="65">
        <v>-710618796.00009203</v>
      </c>
      <c r="M37" s="65"/>
      <c r="N37" s="65">
        <v>0</v>
      </c>
      <c r="O37" s="65"/>
      <c r="P37" s="65">
        <v>-958192346.36172032</v>
      </c>
      <c r="Q37" s="65"/>
      <c r="R37" s="65">
        <v>-1520714446</v>
      </c>
      <c r="S37" s="65"/>
      <c r="T37" s="65">
        <v>-2478906792.3617206</v>
      </c>
      <c r="V37" s="73"/>
    </row>
    <row r="38" spans="2:22" ht="15.6">
      <c r="B38" s="65"/>
      <c r="C38" s="65"/>
      <c r="D38" s="68" t="s">
        <v>87</v>
      </c>
      <c r="E38" s="65"/>
      <c r="F38" s="68" t="s">
        <v>87</v>
      </c>
      <c r="G38" s="65"/>
      <c r="H38" s="68" t="s">
        <v>87</v>
      </c>
      <c r="I38" s="65"/>
      <c r="J38" s="68" t="s">
        <v>87</v>
      </c>
      <c r="K38" s="65"/>
      <c r="L38" s="68" t="s">
        <v>87</v>
      </c>
      <c r="M38" s="65"/>
      <c r="N38" s="68" t="s">
        <v>87</v>
      </c>
      <c r="O38" s="65"/>
      <c r="P38" s="68" t="s">
        <v>87</v>
      </c>
      <c r="Q38" s="65"/>
      <c r="R38" s="68" t="s">
        <v>87</v>
      </c>
      <c r="S38" s="65"/>
      <c r="T38" s="68" t="s">
        <v>87</v>
      </c>
    </row>
    <row r="39" spans="2:22" ht="15.6">
      <c r="B39" s="65" t="s">
        <v>2245</v>
      </c>
      <c r="C39" s="65"/>
      <c r="D39" s="65">
        <v>11452410091.698082</v>
      </c>
      <c r="E39" s="65"/>
      <c r="F39" s="65">
        <v>-3449408359.05971</v>
      </c>
      <c r="G39" s="65"/>
      <c r="H39" s="65">
        <v>8003001732.6383715</v>
      </c>
      <c r="I39" s="65"/>
      <c r="J39" s="65">
        <v>54433136</v>
      </c>
      <c r="K39" s="65"/>
      <c r="L39" s="65">
        <v>378701620.99990797</v>
      </c>
      <c r="M39" s="65"/>
      <c r="N39" s="65">
        <v>0</v>
      </c>
      <c r="O39" s="65"/>
      <c r="P39" s="65">
        <v>8436136489.6382799</v>
      </c>
      <c r="Q39" s="65"/>
      <c r="R39" s="65">
        <v>245622812</v>
      </c>
      <c r="S39" s="65"/>
      <c r="T39" s="65">
        <v>8681759301.638279</v>
      </c>
    </row>
    <row r="40" spans="2:22" ht="15.6">
      <c r="B40" s="65"/>
      <c r="C40" s="65"/>
      <c r="D40" s="68" t="s">
        <v>87</v>
      </c>
      <c r="E40" s="65"/>
      <c r="F40" s="68" t="s">
        <v>87</v>
      </c>
      <c r="G40" s="65"/>
      <c r="H40" s="68" t="s">
        <v>87</v>
      </c>
      <c r="I40" s="65"/>
      <c r="J40" s="68" t="s">
        <v>87</v>
      </c>
      <c r="K40" s="65"/>
      <c r="L40" s="68" t="s">
        <v>87</v>
      </c>
      <c r="M40" s="65"/>
      <c r="N40" s="68" t="s">
        <v>87</v>
      </c>
      <c r="O40" s="65"/>
      <c r="P40" s="68" t="s">
        <v>87</v>
      </c>
      <c r="Q40" s="65"/>
      <c r="R40" s="68" t="s">
        <v>87</v>
      </c>
      <c r="S40" s="65"/>
      <c r="T40" s="68" t="s">
        <v>87</v>
      </c>
    </row>
    <row r="41" spans="2:22" ht="15.6">
      <c r="B41" s="65" t="s">
        <v>2246</v>
      </c>
      <c r="C41" s="65"/>
      <c r="D41" s="65"/>
      <c r="E41" s="65"/>
      <c r="F41" s="65"/>
      <c r="G41" s="65"/>
      <c r="H41" s="65"/>
      <c r="I41" s="65"/>
      <c r="J41" s="65"/>
      <c r="K41" s="65"/>
      <c r="L41" s="65"/>
      <c r="M41" s="65"/>
      <c r="N41" s="65"/>
      <c r="O41" s="65"/>
      <c r="P41" s="65"/>
      <c r="Q41" s="65"/>
      <c r="R41" s="65"/>
      <c r="S41" s="65"/>
      <c r="T41" s="65"/>
    </row>
    <row r="42" spans="2:22" ht="15.6">
      <c r="B42" s="65" t="s">
        <v>2247</v>
      </c>
      <c r="C42" s="65"/>
      <c r="D42" s="65"/>
      <c r="E42" s="65"/>
      <c r="F42" s="65"/>
      <c r="G42" s="65"/>
      <c r="H42" s="65"/>
      <c r="I42" s="65"/>
      <c r="J42" s="65"/>
      <c r="K42" s="65"/>
      <c r="L42" s="65"/>
      <c r="M42" s="65"/>
      <c r="N42" s="65"/>
      <c r="O42" s="65"/>
      <c r="P42" s="65"/>
      <c r="Q42" s="65"/>
      <c r="R42" s="65"/>
      <c r="S42" s="65"/>
      <c r="T42" s="65"/>
    </row>
    <row r="43" spans="2:22" ht="15.6">
      <c r="B43" s="68" t="s">
        <v>87</v>
      </c>
      <c r="C43" s="65"/>
      <c r="D43" s="65"/>
      <c r="E43" s="65"/>
      <c r="F43" s="65"/>
      <c r="G43" s="65"/>
      <c r="H43" s="65"/>
      <c r="I43" s="65"/>
      <c r="J43" s="65"/>
      <c r="K43" s="65"/>
      <c r="L43" s="65"/>
      <c r="M43" s="65"/>
      <c r="N43" s="65"/>
      <c r="O43" s="65"/>
      <c r="P43" s="65"/>
      <c r="Q43" s="65"/>
      <c r="R43" s="65"/>
      <c r="S43" s="65"/>
      <c r="T43" s="65"/>
    </row>
    <row r="44" spans="2:22" ht="15.6">
      <c r="B44" s="76"/>
      <c r="C44" s="76"/>
      <c r="D44" s="76"/>
      <c r="E44" s="76"/>
      <c r="F44" s="76"/>
      <c r="G44" s="76"/>
      <c r="H44" s="76"/>
      <c r="I44" s="76"/>
      <c r="J44" s="76"/>
      <c r="K44" s="76"/>
      <c r="L44" s="76"/>
      <c r="M44" s="76"/>
      <c r="N44" s="76"/>
      <c r="O44" s="76"/>
      <c r="P44" s="76"/>
      <c r="Q44" s="76"/>
      <c r="R44" s="76"/>
      <c r="S44" s="76"/>
      <c r="T44" s="76"/>
    </row>
    <row r="45" spans="2:22" ht="15.6">
      <c r="B45" s="65"/>
      <c r="C45" s="65"/>
      <c r="D45" s="65"/>
      <c r="E45" s="65"/>
      <c r="F45" s="65"/>
      <c r="G45" s="65"/>
      <c r="H45" s="65"/>
      <c r="I45" s="65"/>
      <c r="J45" s="65"/>
      <c r="K45" s="65"/>
      <c r="L45" s="65"/>
      <c r="M45" s="65"/>
      <c r="N45" s="65"/>
      <c r="O45" s="65"/>
      <c r="P45" s="65"/>
      <c r="Q45" s="65"/>
      <c r="R45" s="65"/>
      <c r="S45" s="65"/>
      <c r="T45" s="65"/>
    </row>
    <row r="46" spans="2:22" ht="15.6">
      <c r="B46" s="65"/>
      <c r="C46" s="65"/>
      <c r="D46" s="68" t="s">
        <v>87</v>
      </c>
      <c r="E46" s="65"/>
      <c r="F46" s="68" t="s">
        <v>87</v>
      </c>
      <c r="G46" s="65"/>
      <c r="H46" s="68" t="s">
        <v>87</v>
      </c>
      <c r="I46" s="65"/>
      <c r="J46" s="68" t="s">
        <v>87</v>
      </c>
      <c r="K46" s="65"/>
      <c r="L46" s="68" t="s">
        <v>87</v>
      </c>
      <c r="M46" s="65"/>
      <c r="N46" s="68" t="s">
        <v>87</v>
      </c>
      <c r="O46" s="65"/>
      <c r="P46" s="68" t="s">
        <v>87</v>
      </c>
      <c r="Q46" s="65"/>
      <c r="R46" s="68" t="s">
        <v>87</v>
      </c>
      <c r="S46" s="65"/>
      <c r="T46" s="68" t="s">
        <v>87</v>
      </c>
    </row>
    <row r="47" spans="2:22" ht="15.6">
      <c r="B47" s="65" t="s">
        <v>2248</v>
      </c>
      <c r="C47" s="65"/>
      <c r="D47" s="65">
        <v>0</v>
      </c>
      <c r="E47" s="65"/>
      <c r="F47" s="65">
        <v>0</v>
      </c>
      <c r="G47" s="65"/>
      <c r="H47" s="65">
        <v>0</v>
      </c>
      <c r="I47" s="65"/>
      <c r="J47" s="65">
        <v>0</v>
      </c>
      <c r="K47" s="65"/>
      <c r="L47" s="65">
        <v>0</v>
      </c>
      <c r="M47" s="65"/>
      <c r="N47" s="65">
        <v>0</v>
      </c>
      <c r="O47" s="65"/>
      <c r="P47" s="65">
        <v>0</v>
      </c>
      <c r="Q47" s="65"/>
      <c r="R47" s="65">
        <v>0</v>
      </c>
      <c r="S47" s="65"/>
      <c r="T47" s="65">
        <v>0</v>
      </c>
    </row>
    <row r="48" spans="2:22" ht="15.6">
      <c r="B48" s="65"/>
      <c r="C48" s="65"/>
      <c r="D48" s="68" t="s">
        <v>87</v>
      </c>
      <c r="E48" s="65"/>
      <c r="F48" s="68" t="s">
        <v>87</v>
      </c>
      <c r="G48" s="65"/>
      <c r="H48" s="68" t="s">
        <v>87</v>
      </c>
      <c r="I48" s="65"/>
      <c r="J48" s="68" t="s">
        <v>87</v>
      </c>
      <c r="K48" s="65"/>
      <c r="L48" s="68" t="s">
        <v>87</v>
      </c>
      <c r="M48" s="65"/>
      <c r="N48" s="68" t="s">
        <v>87</v>
      </c>
      <c r="O48" s="65"/>
      <c r="P48" s="68" t="s">
        <v>87</v>
      </c>
      <c r="Q48" s="65"/>
      <c r="R48" s="68" t="s">
        <v>87</v>
      </c>
      <c r="S48" s="65"/>
      <c r="T48" s="68" t="s">
        <v>87</v>
      </c>
    </row>
    <row r="49" spans="2:20" ht="15.6">
      <c r="B49" s="65" t="s">
        <v>2249</v>
      </c>
      <c r="C49" s="77" t="s">
        <v>90</v>
      </c>
      <c r="D49" s="65">
        <v>11452410091.698082</v>
      </c>
      <c r="E49" s="77" t="s">
        <v>90</v>
      </c>
      <c r="F49" s="65">
        <v>-3449408359.05971</v>
      </c>
      <c r="G49" s="77" t="s">
        <v>90</v>
      </c>
      <c r="H49" s="65">
        <v>8003001732.6383715</v>
      </c>
      <c r="I49" s="77" t="s">
        <v>90</v>
      </c>
      <c r="J49" s="65">
        <v>54433136</v>
      </c>
      <c r="K49" s="77" t="s">
        <v>90</v>
      </c>
      <c r="L49" s="65">
        <v>378701620.99990797</v>
      </c>
      <c r="M49" s="77" t="s">
        <v>90</v>
      </c>
      <c r="N49" s="65">
        <v>0</v>
      </c>
      <c r="O49" s="77" t="s">
        <v>90</v>
      </c>
      <c r="P49" s="65">
        <v>8436136489.6382799</v>
      </c>
      <c r="Q49" s="77" t="s">
        <v>90</v>
      </c>
      <c r="R49" s="65">
        <v>245622812</v>
      </c>
      <c r="S49" s="77" t="s">
        <v>90</v>
      </c>
      <c r="T49" s="65">
        <v>8681759301.638279</v>
      </c>
    </row>
    <row r="50" spans="2:20" ht="15.6">
      <c r="B50" s="65"/>
      <c r="C50" s="65"/>
      <c r="D50" s="68" t="s">
        <v>135</v>
      </c>
      <c r="E50" s="65"/>
      <c r="F50" s="68" t="s">
        <v>135</v>
      </c>
      <c r="G50" s="65"/>
      <c r="H50" s="68" t="s">
        <v>135</v>
      </c>
      <c r="I50" s="65"/>
      <c r="J50" s="68" t="s">
        <v>135</v>
      </c>
      <c r="K50" s="65"/>
      <c r="L50" s="68" t="s">
        <v>135</v>
      </c>
      <c r="M50" s="65"/>
      <c r="N50" s="68" t="s">
        <v>135</v>
      </c>
      <c r="O50" s="65"/>
      <c r="P50" s="68" t="s">
        <v>135</v>
      </c>
      <c r="Q50" s="65"/>
      <c r="R50" s="68" t="s">
        <v>135</v>
      </c>
      <c r="S50" s="65"/>
      <c r="T50" s="68" t="s">
        <v>135</v>
      </c>
    </row>
    <row r="51" spans="2:20" ht="15.6">
      <c r="B51" s="65"/>
      <c r="C51" s="65"/>
      <c r="D51" s="65"/>
      <c r="E51" s="65"/>
      <c r="F51" s="65"/>
      <c r="G51" s="65"/>
      <c r="H51" s="388"/>
      <c r="I51" s="65"/>
      <c r="J51" s="65"/>
      <c r="K51" s="65"/>
      <c r="L51" s="65"/>
      <c r="M51" s="65"/>
      <c r="N51" s="65"/>
      <c r="O51" s="65"/>
      <c r="P51" s="65"/>
      <c r="Q51" s="65"/>
      <c r="R51" s="65"/>
      <c r="S51" s="65"/>
      <c r="T51" s="65"/>
    </row>
    <row r="52" spans="2:20" ht="15.6">
      <c r="B52" s="65"/>
      <c r="C52" s="65"/>
      <c r="D52" s="65"/>
      <c r="E52" s="65"/>
      <c r="F52" s="65"/>
      <c r="G52" s="65"/>
      <c r="H52" s="65"/>
      <c r="I52" s="65"/>
      <c r="J52" s="65"/>
      <c r="K52" s="65"/>
      <c r="L52" s="65"/>
      <c r="M52" s="65"/>
      <c r="N52" s="65"/>
      <c r="O52" s="65"/>
      <c r="P52" s="65"/>
      <c r="Q52" s="65"/>
      <c r="R52" s="65"/>
      <c r="S52" s="65"/>
      <c r="T52" s="65"/>
    </row>
    <row r="53" spans="2:20" ht="15.6">
      <c r="B53" s="65"/>
      <c r="C53" s="65"/>
      <c r="D53" s="65"/>
      <c r="E53" s="65"/>
      <c r="F53" s="65"/>
      <c r="G53" s="65"/>
      <c r="H53" s="65"/>
      <c r="I53" s="65"/>
      <c r="J53" s="65"/>
      <c r="K53" s="65"/>
      <c r="L53" s="65"/>
      <c r="M53" s="65"/>
      <c r="N53" s="65"/>
      <c r="O53" s="65"/>
      <c r="P53" s="65"/>
      <c r="Q53" s="65"/>
      <c r="R53" s="65"/>
      <c r="S53" s="65"/>
      <c r="T53" s="65"/>
    </row>
    <row r="54" spans="2:20" ht="15.6">
      <c r="B54" s="65"/>
      <c r="C54" s="65"/>
      <c r="D54" s="65"/>
      <c r="E54" s="65"/>
      <c r="F54" s="65"/>
      <c r="G54" s="65"/>
      <c r="H54" s="65"/>
      <c r="I54" s="65"/>
      <c r="J54" s="65"/>
      <c r="K54" s="65"/>
      <c r="L54" s="65"/>
      <c r="M54" s="65"/>
      <c r="N54" s="65"/>
      <c r="O54" s="65"/>
      <c r="P54" s="65"/>
      <c r="Q54" s="65"/>
      <c r="R54" s="65"/>
      <c r="S54" s="65"/>
      <c r="T54" s="65"/>
    </row>
    <row r="55" spans="2:20" ht="15.6">
      <c r="B55" s="65"/>
      <c r="C55" s="65"/>
      <c r="D55" s="65"/>
      <c r="E55" s="65"/>
      <c r="F55" s="65"/>
      <c r="G55" s="65"/>
      <c r="H55" s="65"/>
      <c r="I55" s="65"/>
      <c r="J55" s="65"/>
      <c r="K55" s="65"/>
      <c r="L55" s="65"/>
      <c r="M55" s="65"/>
      <c r="N55" s="65"/>
      <c r="O55" s="65"/>
      <c r="P55" s="65"/>
      <c r="Q55" s="65"/>
      <c r="R55" s="65"/>
      <c r="S55" s="65"/>
      <c r="T55" s="65"/>
    </row>
    <row r="56" spans="2:20" ht="15.6">
      <c r="B56" s="78" t="s">
        <v>2250</v>
      </c>
      <c r="C56" s="65"/>
      <c r="D56" s="65"/>
      <c r="E56" s="65"/>
      <c r="F56" s="65"/>
      <c r="G56" s="65"/>
      <c r="H56" s="65"/>
      <c r="I56" s="65"/>
      <c r="J56" s="65"/>
      <c r="K56" s="65"/>
      <c r="L56" s="65"/>
      <c r="M56" s="65"/>
      <c r="N56" s="65"/>
      <c r="O56" s="65"/>
      <c r="P56" s="65"/>
      <c r="Q56" s="65"/>
      <c r="R56" s="65"/>
      <c r="S56" s="65"/>
      <c r="T56" s="65"/>
    </row>
    <row r="57" spans="2:20" ht="15.6">
      <c r="B57" s="78" t="s">
        <v>2251</v>
      </c>
      <c r="C57" s="65"/>
      <c r="D57" s="65"/>
      <c r="E57" s="65"/>
      <c r="F57" s="65"/>
      <c r="G57" s="65"/>
      <c r="H57" s="65"/>
      <c r="I57" s="65"/>
      <c r="J57" s="65"/>
      <c r="K57" s="65"/>
      <c r="L57" s="65"/>
      <c r="M57" s="65"/>
      <c r="N57" s="65"/>
      <c r="O57" s="65"/>
      <c r="P57" s="65"/>
      <c r="Q57" s="65"/>
      <c r="R57" s="65"/>
      <c r="S57" s="65"/>
      <c r="T57" s="65"/>
    </row>
    <row r="58" spans="2:20" ht="15.6">
      <c r="B58" s="78" t="s">
        <v>2252</v>
      </c>
      <c r="C58" s="65"/>
      <c r="D58" s="65"/>
      <c r="E58" s="65"/>
      <c r="F58" s="65"/>
      <c r="G58" s="65"/>
      <c r="H58" s="65"/>
      <c r="I58" s="65"/>
      <c r="J58" s="65"/>
      <c r="K58" s="65"/>
      <c r="L58" s="65"/>
      <c r="M58" s="65"/>
      <c r="N58" s="65"/>
      <c r="O58" s="65"/>
      <c r="P58" s="65"/>
      <c r="Q58" s="65"/>
      <c r="R58" s="65"/>
      <c r="S58" s="65"/>
      <c r="T58" s="65"/>
    </row>
    <row r="63" spans="2:20" ht="15.6">
      <c r="B63" s="58"/>
      <c r="C63" s="58"/>
      <c r="D63" s="58"/>
      <c r="E63" s="58"/>
      <c r="F63" s="58"/>
      <c r="G63" s="58"/>
      <c r="I63" s="58"/>
      <c r="J63" s="60" t="s">
        <v>2221</v>
      </c>
      <c r="K63" s="58"/>
      <c r="L63" s="58"/>
      <c r="M63" s="58"/>
      <c r="N63" s="58"/>
      <c r="O63" s="58"/>
      <c r="P63" s="58"/>
      <c r="Q63" s="58"/>
      <c r="R63" s="58"/>
      <c r="S63" s="58"/>
      <c r="T63" s="61" t="s">
        <v>2253</v>
      </c>
    </row>
    <row r="64" spans="2:20" ht="15.6">
      <c r="B64" s="58"/>
      <c r="C64" s="58"/>
      <c r="D64" s="58"/>
      <c r="E64" s="58"/>
      <c r="F64" s="58"/>
      <c r="G64" s="58"/>
      <c r="I64" s="58"/>
      <c r="J64" s="60" t="s">
        <v>2254</v>
      </c>
      <c r="K64" s="58"/>
      <c r="L64" s="58"/>
      <c r="M64" s="58"/>
      <c r="N64" s="58"/>
      <c r="O64" s="58"/>
      <c r="P64" s="58"/>
      <c r="Q64" s="58"/>
      <c r="R64" s="58"/>
      <c r="S64" s="58"/>
      <c r="T64" s="61" t="s">
        <v>2224</v>
      </c>
    </row>
    <row r="65" spans="2:22" ht="15.6">
      <c r="B65" s="62" t="s">
        <v>2225</v>
      </c>
      <c r="C65" s="62"/>
      <c r="D65" s="62"/>
      <c r="E65" s="62"/>
      <c r="F65" s="62"/>
      <c r="G65" s="62"/>
      <c r="H65" s="62"/>
      <c r="I65" s="62"/>
      <c r="J65" s="62"/>
      <c r="K65" s="62"/>
      <c r="L65" s="62"/>
      <c r="M65" s="62"/>
      <c r="N65" s="62"/>
      <c r="O65" s="62"/>
      <c r="P65" s="62"/>
      <c r="Q65" s="62"/>
      <c r="R65" s="62"/>
      <c r="S65" s="62"/>
      <c r="T65" s="62"/>
    </row>
    <row r="66" spans="2:22" ht="15.6">
      <c r="B66" s="63">
        <v>45261</v>
      </c>
      <c r="C66" s="62"/>
      <c r="D66" s="64"/>
      <c r="E66" s="62"/>
      <c r="F66" s="62"/>
      <c r="G66" s="62"/>
      <c r="H66" s="62"/>
      <c r="I66" s="62"/>
      <c r="J66" s="62"/>
      <c r="K66" s="62"/>
      <c r="L66" s="62"/>
      <c r="M66" s="62"/>
      <c r="N66" s="62"/>
      <c r="O66" s="62"/>
      <c r="P66" s="62"/>
      <c r="Q66" s="62"/>
      <c r="R66" s="62"/>
      <c r="S66" s="62"/>
      <c r="T66" s="62"/>
    </row>
    <row r="67" spans="2:22" ht="15.6">
      <c r="B67" s="65"/>
      <c r="C67" s="65"/>
      <c r="D67" s="66"/>
      <c r="E67" s="65"/>
      <c r="F67" s="66"/>
      <c r="G67" s="65"/>
      <c r="H67" s="66"/>
      <c r="I67" s="61"/>
      <c r="J67" s="66"/>
      <c r="K67" s="65"/>
      <c r="L67" s="66"/>
      <c r="M67" s="65"/>
      <c r="N67" s="66"/>
      <c r="O67" s="65"/>
      <c r="P67" s="66"/>
      <c r="Q67" s="65"/>
      <c r="R67" s="66"/>
      <c r="S67" s="65"/>
      <c r="T67" s="66"/>
    </row>
    <row r="68" spans="2:22" ht="15.6">
      <c r="B68" s="65"/>
      <c r="C68" s="65"/>
      <c r="D68" s="65"/>
      <c r="E68" s="65"/>
      <c r="F68" s="65"/>
      <c r="G68" s="65"/>
      <c r="H68" s="65"/>
      <c r="I68" s="65"/>
      <c r="J68" s="65"/>
      <c r="K68" s="65"/>
      <c r="L68" s="65"/>
      <c r="M68" s="65"/>
      <c r="N68" s="65"/>
      <c r="O68" s="65"/>
      <c r="P68" s="65"/>
      <c r="Q68" s="65"/>
      <c r="R68" s="65"/>
      <c r="S68" s="65"/>
      <c r="T68" s="65"/>
    </row>
    <row r="69" spans="2:22" ht="15.6">
      <c r="B69" s="65"/>
      <c r="C69" s="65"/>
      <c r="D69" s="67" t="s">
        <v>17</v>
      </c>
      <c r="E69" s="65"/>
      <c r="F69" s="67" t="s">
        <v>18</v>
      </c>
      <c r="G69" s="65"/>
      <c r="H69" s="67" t="s">
        <v>19</v>
      </c>
      <c r="I69" s="65"/>
      <c r="J69" s="67" t="s">
        <v>20</v>
      </c>
      <c r="K69" s="65"/>
      <c r="L69" s="67" t="s">
        <v>21</v>
      </c>
      <c r="M69" s="65"/>
      <c r="N69" s="67" t="s">
        <v>22</v>
      </c>
      <c r="O69" s="65"/>
      <c r="P69" s="67" t="s">
        <v>23</v>
      </c>
      <c r="Q69" s="65"/>
      <c r="R69" s="67" t="s">
        <v>24</v>
      </c>
      <c r="S69" s="65"/>
      <c r="T69" s="67" t="s">
        <v>25</v>
      </c>
    </row>
    <row r="70" spans="2:22" ht="15.6">
      <c r="B70" s="65"/>
      <c r="C70" s="65"/>
      <c r="D70" s="67"/>
      <c r="E70" s="67"/>
      <c r="F70" s="67" t="s">
        <v>27</v>
      </c>
      <c r="G70" s="67"/>
      <c r="H70" s="67" t="s">
        <v>32</v>
      </c>
      <c r="I70" s="67"/>
      <c r="J70" s="67"/>
      <c r="K70" s="67"/>
      <c r="L70" s="67" t="s">
        <v>2226</v>
      </c>
      <c r="M70" s="67"/>
      <c r="N70" s="67"/>
      <c r="O70" s="65"/>
      <c r="P70" s="65"/>
      <c r="Q70" s="65"/>
      <c r="R70" s="65"/>
      <c r="S70" s="65"/>
      <c r="T70" s="65"/>
    </row>
    <row r="71" spans="2:22" ht="15.6">
      <c r="B71" s="65"/>
      <c r="C71" s="65"/>
      <c r="D71" s="67" t="s">
        <v>2227</v>
      </c>
      <c r="E71" s="67"/>
      <c r="F71" s="67" t="s">
        <v>2228</v>
      </c>
      <c r="G71" s="67"/>
      <c r="H71" s="67" t="s">
        <v>2227</v>
      </c>
      <c r="I71" s="67"/>
      <c r="J71" s="67" t="s">
        <v>2229</v>
      </c>
      <c r="K71" s="67"/>
      <c r="L71" s="67" t="s">
        <v>2230</v>
      </c>
      <c r="M71" s="67"/>
      <c r="N71" s="67" t="s">
        <v>2231</v>
      </c>
      <c r="O71" s="65"/>
      <c r="P71" s="67" t="s">
        <v>32</v>
      </c>
      <c r="Q71" s="65"/>
      <c r="R71" s="67" t="s">
        <v>2232</v>
      </c>
      <c r="S71" s="65"/>
      <c r="T71" s="67" t="s">
        <v>45</v>
      </c>
    </row>
    <row r="72" spans="2:22" ht="15.6">
      <c r="B72" s="65"/>
      <c r="C72" s="65"/>
      <c r="D72" s="67" t="s">
        <v>47</v>
      </c>
      <c r="E72" s="67"/>
      <c r="F72" s="67" t="s">
        <v>2233</v>
      </c>
      <c r="G72" s="67"/>
      <c r="H72" s="67" t="s">
        <v>47</v>
      </c>
      <c r="I72" s="67"/>
      <c r="J72" s="67" t="s">
        <v>2234</v>
      </c>
      <c r="K72" s="67"/>
      <c r="L72" s="67" t="s">
        <v>2235</v>
      </c>
      <c r="M72" s="67"/>
      <c r="N72" s="67" t="s">
        <v>51</v>
      </c>
      <c r="O72" s="65"/>
      <c r="P72" s="67" t="s">
        <v>2236</v>
      </c>
      <c r="Q72" s="65"/>
      <c r="R72" s="67" t="s">
        <v>43</v>
      </c>
      <c r="S72" s="65"/>
      <c r="T72" s="67" t="s">
        <v>44</v>
      </c>
    </row>
    <row r="73" spans="2:22" ht="15.6">
      <c r="B73" s="65"/>
      <c r="C73" s="65"/>
      <c r="D73" s="68" t="s">
        <v>87</v>
      </c>
      <c r="E73" s="65"/>
      <c r="F73" s="68" t="s">
        <v>87</v>
      </c>
      <c r="G73" s="65"/>
      <c r="H73" s="68" t="s">
        <v>87</v>
      </c>
      <c r="I73" s="65"/>
      <c r="J73" s="68" t="s">
        <v>87</v>
      </c>
      <c r="K73" s="65"/>
      <c r="L73" s="68" t="s">
        <v>87</v>
      </c>
      <c r="M73" s="65"/>
      <c r="N73" s="68" t="s">
        <v>87</v>
      </c>
      <c r="O73" s="65"/>
      <c r="P73" s="68" t="s">
        <v>87</v>
      </c>
      <c r="Q73" s="65"/>
      <c r="R73" s="68" t="s">
        <v>87</v>
      </c>
      <c r="S73" s="65"/>
      <c r="T73" s="68" t="s">
        <v>87</v>
      </c>
    </row>
    <row r="74" spans="2:22" ht="15.6">
      <c r="B74" s="65" t="s">
        <v>2237</v>
      </c>
      <c r="C74" s="69" t="s">
        <v>90</v>
      </c>
      <c r="D74" s="65">
        <v>12524665664</v>
      </c>
      <c r="E74" s="69" t="s">
        <v>90</v>
      </c>
      <c r="F74" s="65">
        <v>-3706481293</v>
      </c>
      <c r="G74" s="69" t="s">
        <v>90</v>
      </c>
      <c r="H74" s="79">
        <v>8818184371</v>
      </c>
      <c r="I74" s="69" t="s">
        <v>90</v>
      </c>
      <c r="J74" s="65">
        <v>58127610</v>
      </c>
      <c r="K74" s="69" t="s">
        <v>90</v>
      </c>
      <c r="L74" s="65">
        <v>1093242215</v>
      </c>
      <c r="M74" s="69" t="s">
        <v>90</v>
      </c>
      <c r="N74" s="65">
        <v>0</v>
      </c>
      <c r="O74" s="69" t="s">
        <v>90</v>
      </c>
      <c r="P74" s="65">
        <v>9969554196</v>
      </c>
      <c r="Q74" s="69" t="s">
        <v>90</v>
      </c>
      <c r="R74" s="65">
        <v>1776069206.7123084</v>
      </c>
      <c r="S74" s="69" t="s">
        <v>90</v>
      </c>
      <c r="T74" s="65">
        <v>11745623402.712309</v>
      </c>
      <c r="V74" s="73"/>
    </row>
    <row r="75" spans="2:22" ht="15.6">
      <c r="B75" s="65"/>
      <c r="C75" s="65"/>
      <c r="D75" s="68" t="s">
        <v>87</v>
      </c>
      <c r="E75" s="65"/>
      <c r="F75" s="68" t="s">
        <v>87</v>
      </c>
      <c r="G75" s="65"/>
      <c r="H75" s="68" t="s">
        <v>87</v>
      </c>
      <c r="I75" s="65"/>
      <c r="J75" s="68" t="s">
        <v>87</v>
      </c>
      <c r="K75" s="65"/>
      <c r="L75" s="68" t="s">
        <v>87</v>
      </c>
      <c r="M75" s="65"/>
      <c r="N75" s="68" t="s">
        <v>87</v>
      </c>
      <c r="O75" s="65"/>
      <c r="P75" s="68" t="s">
        <v>87</v>
      </c>
      <c r="Q75" s="65"/>
      <c r="R75" s="68" t="s">
        <v>87</v>
      </c>
      <c r="S75" s="65"/>
      <c r="T75" s="68" t="s">
        <v>87</v>
      </c>
    </row>
    <row r="76" spans="2:22" ht="15.6">
      <c r="B76" s="71"/>
      <c r="C76" s="65"/>
      <c r="D76" s="65"/>
      <c r="E76" s="65"/>
      <c r="F76" s="65"/>
      <c r="G76" s="65"/>
      <c r="H76" s="65"/>
      <c r="I76" s="65"/>
      <c r="J76" s="65"/>
      <c r="K76" s="65"/>
      <c r="L76" s="65"/>
      <c r="M76" s="65"/>
      <c r="N76" s="65"/>
      <c r="O76" s="65"/>
      <c r="P76" s="65"/>
      <c r="Q76" s="65"/>
      <c r="R76" s="65"/>
      <c r="S76" s="65"/>
      <c r="T76" s="65"/>
    </row>
    <row r="77" spans="2:22" ht="15.6">
      <c r="B77" s="65" t="s">
        <v>2238</v>
      </c>
      <c r="C77" s="65"/>
      <c r="D77" s="65">
        <v>12446469113</v>
      </c>
      <c r="E77" s="65"/>
      <c r="F77" s="65">
        <v>-3687020682</v>
      </c>
      <c r="G77" s="65"/>
      <c r="H77" s="72">
        <v>8759448431</v>
      </c>
      <c r="I77" s="65"/>
      <c r="J77" s="65">
        <v>56563047</v>
      </c>
      <c r="K77" s="65"/>
      <c r="L77" s="65">
        <v>1083763923</v>
      </c>
      <c r="M77" s="65"/>
      <c r="N77" s="65">
        <v>0</v>
      </c>
      <c r="O77" s="65"/>
      <c r="P77" s="65">
        <v>9899775401</v>
      </c>
      <c r="Q77" s="65"/>
      <c r="R77" s="65">
        <v>1766337258</v>
      </c>
      <c r="S77" s="65"/>
      <c r="T77" s="65">
        <v>11666112659</v>
      </c>
    </row>
    <row r="78" spans="2:22" ht="15.6">
      <c r="B78" s="65"/>
      <c r="C78" s="65"/>
      <c r="D78" s="68" t="s">
        <v>135</v>
      </c>
      <c r="E78" s="65"/>
      <c r="F78" s="68" t="s">
        <v>135</v>
      </c>
      <c r="G78" s="65"/>
      <c r="H78" s="68" t="s">
        <v>135</v>
      </c>
      <c r="I78" s="65"/>
      <c r="J78" s="68" t="s">
        <v>135</v>
      </c>
      <c r="K78" s="65"/>
      <c r="L78" s="68" t="s">
        <v>135</v>
      </c>
      <c r="M78" s="65"/>
      <c r="N78" s="68" t="s">
        <v>135</v>
      </c>
      <c r="O78" s="65"/>
      <c r="P78" s="68" t="s">
        <v>135</v>
      </c>
      <c r="Q78" s="65"/>
      <c r="R78" s="68" t="s">
        <v>135</v>
      </c>
      <c r="S78" s="65"/>
      <c r="T78" s="68" t="s">
        <v>135</v>
      </c>
    </row>
    <row r="79" spans="2:22" ht="15.6">
      <c r="B79" s="65"/>
      <c r="C79" s="65"/>
      <c r="D79" s="58"/>
      <c r="E79" s="65"/>
      <c r="F79" s="65"/>
      <c r="G79" s="65"/>
      <c r="H79" s="65"/>
      <c r="I79" s="65"/>
      <c r="J79" s="65"/>
      <c r="K79" s="65"/>
      <c r="L79" s="65"/>
      <c r="M79" s="65"/>
      <c r="N79" s="65"/>
      <c r="O79" s="65"/>
      <c r="P79" s="65"/>
      <c r="Q79" s="65"/>
      <c r="R79" s="65"/>
      <c r="S79" s="65"/>
      <c r="T79" s="65"/>
    </row>
    <row r="80" spans="2:22" ht="15.6">
      <c r="B80" s="65" t="s">
        <v>2239</v>
      </c>
      <c r="C80" s="65"/>
      <c r="D80" s="65"/>
      <c r="E80" s="65"/>
      <c r="F80" s="65"/>
      <c r="G80" s="65"/>
      <c r="H80" s="65"/>
      <c r="I80" s="65"/>
      <c r="J80" s="65"/>
      <c r="K80" s="65"/>
      <c r="L80" s="65"/>
      <c r="M80" s="65"/>
      <c r="N80" s="65"/>
      <c r="O80" s="65"/>
      <c r="P80" s="65"/>
      <c r="Q80" s="65"/>
      <c r="R80" s="65"/>
      <c r="S80" s="65"/>
      <c r="T80" s="65"/>
    </row>
    <row r="81" spans="2:20" ht="15.6">
      <c r="B81" s="68" t="s">
        <v>87</v>
      </c>
      <c r="C81" s="65"/>
      <c r="D81" s="65"/>
      <c r="E81" s="65"/>
      <c r="F81" s="65"/>
      <c r="G81" s="65"/>
      <c r="H81" s="65"/>
      <c r="I81" s="65"/>
      <c r="J81" s="65"/>
      <c r="K81" s="65"/>
      <c r="L81" s="65"/>
      <c r="M81" s="65"/>
      <c r="N81" s="65"/>
      <c r="O81" s="65"/>
      <c r="P81" s="65"/>
      <c r="Q81" s="65"/>
      <c r="R81" s="65"/>
      <c r="S81" s="65"/>
      <c r="T81" s="65"/>
    </row>
    <row r="82" spans="2:20" ht="15.6">
      <c r="B82" s="65" t="s">
        <v>2255</v>
      </c>
      <c r="C82" s="65"/>
      <c r="D82" s="72">
        <v>0</v>
      </c>
      <c r="E82" s="72"/>
      <c r="F82" s="72">
        <v>0</v>
      </c>
      <c r="G82" s="72"/>
      <c r="H82" s="72">
        <v>0</v>
      </c>
      <c r="I82" s="72"/>
      <c r="J82" s="72"/>
      <c r="K82" s="72"/>
      <c r="L82" s="72"/>
      <c r="M82" s="72"/>
      <c r="N82" s="72"/>
      <c r="O82" s="72"/>
      <c r="P82" s="72">
        <v>0</v>
      </c>
      <c r="Q82" s="72"/>
      <c r="R82" s="72">
        <v>-325523076</v>
      </c>
      <c r="S82" s="72"/>
      <c r="T82" s="72">
        <v>-325523076</v>
      </c>
    </row>
    <row r="83" spans="2:20" ht="15.6">
      <c r="B83" s="65" t="s">
        <v>92</v>
      </c>
      <c r="C83" s="65"/>
      <c r="D83" s="72">
        <v>-4162382.7226603231</v>
      </c>
      <c r="E83" s="72"/>
      <c r="F83" s="72">
        <v>2144209.5522195022</v>
      </c>
      <c r="G83" s="72"/>
      <c r="H83" s="72">
        <v>-2018173.170440821</v>
      </c>
      <c r="I83" s="72"/>
      <c r="J83" s="72"/>
      <c r="K83" s="72"/>
      <c r="L83" s="72">
        <v>0</v>
      </c>
      <c r="M83" s="72"/>
      <c r="N83" s="72"/>
      <c r="O83" s="72"/>
      <c r="P83" s="72">
        <v>-2018173.170440821</v>
      </c>
      <c r="Q83" s="72"/>
      <c r="R83" s="72">
        <v>-1798734</v>
      </c>
      <c r="S83" s="72"/>
      <c r="T83" s="72">
        <v>-3816907.170440821</v>
      </c>
    </row>
    <row r="84" spans="2:20" ht="15.6">
      <c r="B84" s="75" t="s">
        <v>96</v>
      </c>
      <c r="C84" s="65"/>
      <c r="D84" s="72">
        <v>-238816082.10314119</v>
      </c>
      <c r="E84" s="72"/>
      <c r="F84" s="72">
        <v>99463472.884962559</v>
      </c>
      <c r="G84" s="72"/>
      <c r="H84" s="72">
        <v>-139352609.21817863</v>
      </c>
      <c r="I84" s="72"/>
      <c r="J84" s="72"/>
      <c r="K84" s="72"/>
      <c r="L84" s="72">
        <v>-15571006.393093903</v>
      </c>
      <c r="M84" s="72"/>
      <c r="N84" s="72"/>
      <c r="O84" s="72"/>
      <c r="P84" s="72">
        <v>-154923615.61127254</v>
      </c>
      <c r="Q84" s="72"/>
      <c r="R84" s="72">
        <v>0</v>
      </c>
      <c r="S84" s="72"/>
      <c r="T84" s="72">
        <v>-154923615.61127254</v>
      </c>
    </row>
    <row r="85" spans="2:20" ht="15.6">
      <c r="B85" s="75" t="s">
        <v>94</v>
      </c>
      <c r="C85" s="65"/>
      <c r="D85" s="72">
        <v>-181160416.27427354</v>
      </c>
      <c r="E85" s="72"/>
      <c r="F85" s="72">
        <v>3749555.3228124394</v>
      </c>
      <c r="G85" s="72"/>
      <c r="H85" s="72">
        <v>-177410860.95146111</v>
      </c>
      <c r="I85" s="72"/>
      <c r="J85" s="72"/>
      <c r="K85" s="72"/>
      <c r="L85" s="72">
        <v>-265556419.84795806</v>
      </c>
      <c r="M85" s="72"/>
      <c r="N85" s="72"/>
      <c r="O85" s="72"/>
      <c r="P85" s="72">
        <v>-442967280.79941916</v>
      </c>
      <c r="Q85" s="72"/>
      <c r="R85" s="72">
        <v>0</v>
      </c>
      <c r="S85" s="72"/>
      <c r="T85" s="72">
        <v>-442967280.79941916</v>
      </c>
    </row>
    <row r="86" spans="2:20" ht="15.6">
      <c r="B86" s="65" t="s">
        <v>138</v>
      </c>
      <c r="C86" s="65"/>
      <c r="D86" s="72"/>
      <c r="E86" s="72"/>
      <c r="F86" s="72"/>
      <c r="G86" s="72"/>
      <c r="H86" s="72"/>
      <c r="I86" s="72"/>
      <c r="J86" s="72"/>
      <c r="K86" s="72"/>
      <c r="L86" s="72"/>
      <c r="M86" s="72"/>
      <c r="N86" s="72"/>
      <c r="O86" s="72"/>
      <c r="P86" s="72"/>
      <c r="Q86" s="72"/>
      <c r="R86" s="72">
        <v>0</v>
      </c>
      <c r="S86" s="72"/>
      <c r="T86" s="72">
        <v>0</v>
      </c>
    </row>
    <row r="87" spans="2:20" ht="15.6">
      <c r="B87" s="65" t="s">
        <v>99</v>
      </c>
      <c r="C87" s="65"/>
      <c r="D87" s="72"/>
      <c r="E87" s="72"/>
      <c r="F87" s="72"/>
      <c r="G87" s="72"/>
      <c r="H87" s="72"/>
      <c r="I87" s="72"/>
      <c r="J87" s="72"/>
      <c r="K87" s="72"/>
      <c r="L87" s="72"/>
      <c r="M87" s="72"/>
      <c r="N87" s="72"/>
      <c r="O87" s="72"/>
      <c r="P87" s="72"/>
      <c r="Q87" s="72"/>
      <c r="R87" s="72">
        <v>-494231070</v>
      </c>
      <c r="S87" s="72"/>
      <c r="T87" s="72">
        <v>-494231070</v>
      </c>
    </row>
    <row r="88" spans="2:20" ht="15.6">
      <c r="B88" s="75" t="s">
        <v>34</v>
      </c>
      <c r="C88" s="65"/>
      <c r="D88" s="72"/>
      <c r="E88" s="72"/>
      <c r="F88" s="72"/>
      <c r="G88" s="72"/>
      <c r="H88" s="72"/>
      <c r="I88" s="72"/>
      <c r="J88" s="72"/>
      <c r="K88" s="72"/>
      <c r="L88" s="72"/>
      <c r="M88" s="72"/>
      <c r="N88" s="72"/>
      <c r="O88" s="72"/>
      <c r="P88" s="72"/>
      <c r="Q88" s="72"/>
      <c r="R88" s="72">
        <v>-8138454</v>
      </c>
      <c r="S88" s="72"/>
      <c r="T88" s="72">
        <v>-8138454</v>
      </c>
    </row>
    <row r="89" spans="2:20" ht="15.6">
      <c r="B89" s="65" t="s">
        <v>106</v>
      </c>
      <c r="C89" s="65"/>
      <c r="D89" s="72"/>
      <c r="E89" s="72"/>
      <c r="F89" s="72"/>
      <c r="G89" s="72"/>
      <c r="H89" s="72"/>
      <c r="I89" s="72"/>
      <c r="J89" s="72"/>
      <c r="K89" s="72"/>
      <c r="L89" s="72">
        <v>-802636496.75894797</v>
      </c>
      <c r="M89" s="72"/>
      <c r="N89" s="72"/>
      <c r="O89" s="72"/>
      <c r="P89" s="72">
        <v>-802636496.75894797</v>
      </c>
      <c r="Q89" s="72"/>
      <c r="R89" s="80"/>
      <c r="S89" s="72"/>
      <c r="T89" s="72">
        <v>-802636496.75894797</v>
      </c>
    </row>
    <row r="90" spans="2:20" ht="15.6">
      <c r="B90" s="65" t="s">
        <v>113</v>
      </c>
      <c r="C90" s="65"/>
      <c r="D90" s="72"/>
      <c r="E90" s="72"/>
      <c r="F90" s="72"/>
      <c r="G90" s="72"/>
      <c r="H90" s="72"/>
      <c r="I90" s="72"/>
      <c r="J90" s="72"/>
      <c r="K90" s="72"/>
      <c r="L90" s="72">
        <v>410034910.93042624</v>
      </c>
      <c r="M90" s="72"/>
      <c r="N90" s="72"/>
      <c r="O90" s="72"/>
      <c r="P90" s="72">
        <v>410034910.93042624</v>
      </c>
      <c r="Q90" s="72"/>
      <c r="R90" s="80"/>
      <c r="S90" s="72"/>
      <c r="T90" s="72">
        <v>410034910.93042624</v>
      </c>
    </row>
    <row r="91" spans="2:20" ht="15.6">
      <c r="B91" s="65" t="s">
        <v>2241</v>
      </c>
      <c r="C91" s="65"/>
      <c r="D91" s="72">
        <v>0</v>
      </c>
      <c r="E91" s="72"/>
      <c r="F91" s="72"/>
      <c r="G91" s="72"/>
      <c r="H91" s="72">
        <v>0</v>
      </c>
      <c r="I91" s="72"/>
      <c r="J91" s="72"/>
      <c r="K91" s="72"/>
      <c r="L91" s="72"/>
      <c r="M91" s="72"/>
      <c r="N91" s="72"/>
      <c r="O91" s="72"/>
      <c r="P91" s="72">
        <v>0</v>
      </c>
      <c r="Q91" s="72"/>
      <c r="R91" s="72"/>
      <c r="S91" s="72"/>
      <c r="T91" s="72">
        <v>0</v>
      </c>
    </row>
    <row r="92" spans="2:20" ht="15.6">
      <c r="B92" s="75" t="s">
        <v>2242</v>
      </c>
      <c r="C92" s="65"/>
      <c r="D92" s="72"/>
      <c r="E92" s="72"/>
      <c r="F92" s="72">
        <v>0</v>
      </c>
      <c r="G92" s="72"/>
      <c r="H92" s="72">
        <v>0</v>
      </c>
      <c r="I92" s="72"/>
      <c r="J92" s="72"/>
      <c r="K92" s="72"/>
      <c r="L92" s="72"/>
      <c r="M92" s="72"/>
      <c r="N92" s="72"/>
      <c r="O92" s="72"/>
      <c r="P92" s="72">
        <v>0</v>
      </c>
      <c r="Q92" s="72"/>
      <c r="R92" s="72"/>
      <c r="S92" s="72"/>
      <c r="T92" s="72">
        <v>0</v>
      </c>
    </row>
    <row r="93" spans="2:20" ht="15.6">
      <c r="B93" s="65" t="s">
        <v>2243</v>
      </c>
      <c r="C93" s="65"/>
      <c r="D93" s="72">
        <v>-7438091.8169712909</v>
      </c>
      <c r="E93" s="72"/>
      <c r="F93" s="72">
        <v>6611759.449292223</v>
      </c>
      <c r="G93" s="72"/>
      <c r="H93" s="72">
        <v>-826332.36767906789</v>
      </c>
      <c r="I93" s="72"/>
      <c r="J93" s="72"/>
      <c r="K93" s="72"/>
      <c r="L93" s="72"/>
      <c r="M93" s="72"/>
      <c r="N93" s="72"/>
      <c r="O93" s="72"/>
      <c r="P93" s="72">
        <v>-826332.36767906789</v>
      </c>
      <c r="Q93" s="72"/>
      <c r="R93" s="72"/>
      <c r="S93" s="72"/>
      <c r="T93" s="72">
        <v>-826332.36767906789</v>
      </c>
    </row>
    <row r="94" spans="2:20" ht="15.6">
      <c r="B94" s="65" t="s">
        <v>143</v>
      </c>
      <c r="C94" s="65"/>
      <c r="D94" s="72"/>
      <c r="E94" s="72"/>
      <c r="F94" s="72"/>
      <c r="G94" s="72"/>
      <c r="H94" s="72"/>
      <c r="I94" s="72"/>
      <c r="J94" s="72"/>
      <c r="K94" s="72"/>
      <c r="L94" s="72"/>
      <c r="M94" s="72"/>
      <c r="N94" s="72"/>
      <c r="O94" s="72"/>
      <c r="P94" s="72"/>
      <c r="Q94" s="72"/>
      <c r="R94" s="72">
        <v>-717218461</v>
      </c>
      <c r="S94" s="72"/>
      <c r="T94" s="72">
        <v>-717218461</v>
      </c>
    </row>
    <row r="95" spans="2:20" ht="15.6">
      <c r="B95" s="65" t="s">
        <v>131</v>
      </c>
      <c r="C95" s="65"/>
      <c r="D95" s="72">
        <v>-24063432.803809173</v>
      </c>
      <c r="E95" s="72"/>
      <c r="F95" s="72"/>
      <c r="G95" s="72"/>
      <c r="H95" s="72">
        <v>-24063432.803809173</v>
      </c>
      <c r="I95" s="72"/>
      <c r="J95" s="72"/>
      <c r="K95" s="72"/>
      <c r="L95" s="72"/>
      <c r="M95" s="72"/>
      <c r="N95" s="72"/>
      <c r="O95" s="72"/>
      <c r="P95" s="72">
        <v>-24063432.803809173</v>
      </c>
      <c r="Q95" s="72"/>
      <c r="R95" s="72">
        <v>26195349</v>
      </c>
      <c r="S95" s="72"/>
      <c r="T95" s="72">
        <v>2131916.1961908266</v>
      </c>
    </row>
    <row r="96" spans="2:20" ht="15.6">
      <c r="B96" s="65"/>
      <c r="C96" s="65"/>
      <c r="D96" s="72"/>
      <c r="E96" s="72"/>
      <c r="F96" s="72"/>
      <c r="G96" s="72"/>
      <c r="H96" s="72"/>
      <c r="I96" s="72"/>
      <c r="J96" s="72"/>
      <c r="K96" s="72"/>
      <c r="L96" s="72"/>
      <c r="M96" s="72"/>
      <c r="N96" s="72"/>
      <c r="O96" s="72"/>
      <c r="P96" s="72"/>
      <c r="Q96" s="72"/>
      <c r="R96" s="72"/>
      <c r="S96" s="72"/>
      <c r="T96" s="72"/>
    </row>
    <row r="97" spans="2:20" ht="15.6">
      <c r="B97" s="65"/>
      <c r="C97" s="65"/>
      <c r="D97" s="68" t="s">
        <v>87</v>
      </c>
      <c r="E97" s="65"/>
      <c r="F97" s="68" t="s">
        <v>87</v>
      </c>
      <c r="G97" s="65"/>
      <c r="H97" s="68" t="s">
        <v>87</v>
      </c>
      <c r="I97" s="65"/>
      <c r="J97" s="68" t="s">
        <v>87</v>
      </c>
      <c r="K97" s="65"/>
      <c r="L97" s="68" t="s">
        <v>87</v>
      </c>
      <c r="M97" s="65"/>
      <c r="N97" s="68" t="s">
        <v>87</v>
      </c>
      <c r="O97" s="65"/>
      <c r="P97" s="68" t="s">
        <v>87</v>
      </c>
      <c r="Q97" s="65"/>
      <c r="R97" s="68" t="s">
        <v>87</v>
      </c>
      <c r="S97" s="65"/>
      <c r="T97" s="68" t="s">
        <v>87</v>
      </c>
    </row>
    <row r="98" spans="2:20" ht="15.6">
      <c r="B98" s="65" t="s">
        <v>2244</v>
      </c>
      <c r="C98" s="65"/>
      <c r="D98" s="79">
        <v>-455640405.72085553</v>
      </c>
      <c r="E98" s="79"/>
      <c r="F98" s="79">
        <v>111968997.20928672</v>
      </c>
      <c r="G98" s="79"/>
      <c r="H98" s="79">
        <v>-343671408.51156878</v>
      </c>
      <c r="I98" s="79"/>
      <c r="J98" s="79">
        <v>0</v>
      </c>
      <c r="K98" s="79"/>
      <c r="L98" s="79">
        <v>-673729012.06957376</v>
      </c>
      <c r="M98" s="79"/>
      <c r="N98" s="79">
        <v>0</v>
      </c>
      <c r="O98" s="79"/>
      <c r="P98" s="79">
        <v>-1017400420.5811425</v>
      </c>
      <c r="Q98" s="79"/>
      <c r="R98" s="79">
        <v>-1520714446</v>
      </c>
      <c r="S98" s="79"/>
      <c r="T98" s="79">
        <v>-2538114866.5811424</v>
      </c>
    </row>
    <row r="99" spans="2:20" ht="15.6">
      <c r="B99" s="65"/>
      <c r="C99" s="65"/>
      <c r="D99" s="68" t="s">
        <v>87</v>
      </c>
      <c r="E99" s="65"/>
      <c r="F99" s="68" t="s">
        <v>87</v>
      </c>
      <c r="G99" s="65"/>
      <c r="H99" s="68" t="s">
        <v>87</v>
      </c>
      <c r="I99" s="65"/>
      <c r="J99" s="68" t="s">
        <v>87</v>
      </c>
      <c r="K99" s="65"/>
      <c r="L99" s="68" t="s">
        <v>87</v>
      </c>
      <c r="M99" s="65"/>
      <c r="N99" s="68" t="s">
        <v>87</v>
      </c>
      <c r="O99" s="65"/>
      <c r="P99" s="68" t="s">
        <v>87</v>
      </c>
      <c r="Q99" s="65"/>
      <c r="R99" s="68" t="s">
        <v>87</v>
      </c>
      <c r="S99" s="65"/>
      <c r="T99" s="68" t="s">
        <v>87</v>
      </c>
    </row>
    <row r="100" spans="2:20" ht="15.6">
      <c r="B100" s="65" t="s">
        <v>2245</v>
      </c>
      <c r="C100" s="65"/>
      <c r="D100" s="79">
        <v>11990828707.279144</v>
      </c>
      <c r="E100" s="79"/>
      <c r="F100" s="79">
        <v>-3575051684.7907133</v>
      </c>
      <c r="G100" s="79"/>
      <c r="H100" s="79">
        <v>8415777022.488431</v>
      </c>
      <c r="I100" s="79"/>
      <c r="J100" s="79">
        <v>56563047</v>
      </c>
      <c r="K100" s="79"/>
      <c r="L100" s="79">
        <v>410034910.93042624</v>
      </c>
      <c r="M100" s="79"/>
      <c r="N100" s="79">
        <v>0</v>
      </c>
      <c r="O100" s="79"/>
      <c r="P100" s="79">
        <v>8882374980.4188576</v>
      </c>
      <c r="Q100" s="79"/>
      <c r="R100" s="79">
        <v>245622812</v>
      </c>
      <c r="S100" s="79"/>
      <c r="T100" s="79">
        <v>9127997792.4188576</v>
      </c>
    </row>
    <row r="101" spans="2:20" ht="15.6">
      <c r="B101" s="65"/>
      <c r="C101" s="65"/>
      <c r="D101" s="68" t="s">
        <v>87</v>
      </c>
      <c r="E101" s="65"/>
      <c r="F101" s="68" t="s">
        <v>87</v>
      </c>
      <c r="G101" s="65"/>
      <c r="H101" s="68" t="s">
        <v>87</v>
      </c>
      <c r="I101" s="65"/>
      <c r="J101" s="68" t="s">
        <v>87</v>
      </c>
      <c r="K101" s="65"/>
      <c r="L101" s="68" t="s">
        <v>87</v>
      </c>
      <c r="M101" s="65"/>
      <c r="N101" s="68" t="s">
        <v>87</v>
      </c>
      <c r="O101" s="65"/>
      <c r="P101" s="68" t="s">
        <v>87</v>
      </c>
      <c r="Q101" s="65"/>
      <c r="R101" s="68" t="s">
        <v>87</v>
      </c>
      <c r="S101" s="65"/>
      <c r="T101" s="68" t="s">
        <v>87</v>
      </c>
    </row>
    <row r="102" spans="2:20" ht="15.6">
      <c r="B102" s="65" t="s">
        <v>2246</v>
      </c>
      <c r="C102" s="65"/>
      <c r="D102" s="65"/>
      <c r="E102" s="65"/>
      <c r="F102" s="65"/>
      <c r="G102" s="65"/>
      <c r="H102" s="65"/>
      <c r="I102" s="65"/>
      <c r="J102" s="65"/>
      <c r="K102" s="65"/>
      <c r="L102" s="65"/>
      <c r="M102" s="65"/>
      <c r="N102" s="65"/>
      <c r="O102" s="65"/>
      <c r="P102" s="65"/>
      <c r="Q102" s="65"/>
      <c r="R102" s="65"/>
      <c r="S102" s="65"/>
      <c r="T102" s="65"/>
    </row>
    <row r="103" spans="2:20" ht="15.6">
      <c r="B103" s="65" t="s">
        <v>2247</v>
      </c>
      <c r="C103" s="65"/>
      <c r="D103" s="65"/>
      <c r="E103" s="65"/>
      <c r="F103" s="65"/>
      <c r="G103" s="65"/>
      <c r="H103" s="65"/>
      <c r="I103" s="65"/>
      <c r="J103" s="65"/>
      <c r="K103" s="65"/>
      <c r="L103" s="65"/>
      <c r="M103" s="65"/>
      <c r="N103" s="65"/>
      <c r="O103" s="65"/>
      <c r="P103" s="65"/>
      <c r="Q103" s="65"/>
      <c r="R103" s="65"/>
      <c r="S103" s="65"/>
      <c r="T103" s="65"/>
    </row>
    <row r="104" spans="2:20" ht="15.6">
      <c r="B104" s="68" t="s">
        <v>87</v>
      </c>
      <c r="C104" s="65"/>
      <c r="D104" s="65"/>
      <c r="E104" s="65"/>
      <c r="F104" s="65"/>
      <c r="G104" s="65"/>
      <c r="H104" s="65"/>
      <c r="I104" s="65"/>
      <c r="J104" s="65"/>
      <c r="K104" s="65"/>
      <c r="L104" s="65"/>
      <c r="M104" s="65"/>
      <c r="N104" s="65"/>
      <c r="O104" s="65"/>
      <c r="P104" s="65"/>
      <c r="Q104" s="65"/>
      <c r="R104" s="76"/>
      <c r="S104" s="76"/>
      <c r="T104" s="65"/>
    </row>
    <row r="105" spans="2:20" ht="15.6">
      <c r="B105" s="76"/>
      <c r="C105" s="76"/>
      <c r="D105" s="76"/>
      <c r="E105" s="76"/>
      <c r="F105" s="76"/>
      <c r="G105" s="76"/>
      <c r="H105" s="76"/>
      <c r="I105" s="76"/>
      <c r="J105" s="76"/>
      <c r="K105" s="76"/>
      <c r="L105" s="76"/>
      <c r="M105" s="76"/>
      <c r="N105" s="76"/>
      <c r="O105" s="76"/>
      <c r="P105" s="76"/>
      <c r="Q105" s="76"/>
      <c r="R105" s="76"/>
      <c r="S105" s="76"/>
      <c r="T105" s="76"/>
    </row>
    <row r="106" spans="2:20" ht="15.6">
      <c r="B106" s="65"/>
      <c r="C106" s="65"/>
      <c r="D106" s="65"/>
      <c r="E106" s="65"/>
      <c r="F106" s="65"/>
      <c r="G106" s="65"/>
      <c r="H106" s="65"/>
      <c r="I106" s="65"/>
      <c r="J106" s="65"/>
      <c r="K106" s="65"/>
      <c r="L106" s="65"/>
      <c r="M106" s="65"/>
      <c r="N106" s="65"/>
      <c r="O106" s="65"/>
      <c r="P106" s="65"/>
      <c r="Q106" s="65"/>
      <c r="R106" s="65"/>
      <c r="S106" s="65"/>
      <c r="T106" s="65"/>
    </row>
    <row r="107" spans="2:20" ht="15.6">
      <c r="B107" s="65"/>
      <c r="C107" s="65"/>
      <c r="D107" s="68" t="s">
        <v>87</v>
      </c>
      <c r="E107" s="65"/>
      <c r="F107" s="68" t="s">
        <v>87</v>
      </c>
      <c r="G107" s="65"/>
      <c r="H107" s="68" t="s">
        <v>87</v>
      </c>
      <c r="I107" s="65"/>
      <c r="J107" s="68" t="s">
        <v>87</v>
      </c>
      <c r="K107" s="65"/>
      <c r="L107" s="68" t="s">
        <v>87</v>
      </c>
      <c r="M107" s="65"/>
      <c r="N107" s="68" t="s">
        <v>87</v>
      </c>
      <c r="O107" s="65"/>
      <c r="P107" s="68" t="s">
        <v>87</v>
      </c>
      <c r="Q107" s="65"/>
      <c r="R107" s="68" t="s">
        <v>87</v>
      </c>
      <c r="S107" s="65"/>
      <c r="T107" s="68" t="s">
        <v>87</v>
      </c>
    </row>
    <row r="108" spans="2:20" ht="15.6">
      <c r="B108" s="65" t="s">
        <v>2248</v>
      </c>
      <c r="C108" s="65"/>
      <c r="D108" s="65">
        <v>0</v>
      </c>
      <c r="E108" s="65"/>
      <c r="F108" s="65">
        <v>0</v>
      </c>
      <c r="G108" s="65"/>
      <c r="H108" s="65">
        <v>0</v>
      </c>
      <c r="I108" s="65"/>
      <c r="J108" s="65">
        <v>0</v>
      </c>
      <c r="K108" s="65"/>
      <c r="L108" s="65">
        <v>0</v>
      </c>
      <c r="M108" s="65"/>
      <c r="N108" s="65">
        <v>0</v>
      </c>
      <c r="O108" s="65"/>
      <c r="P108" s="65">
        <v>0</v>
      </c>
      <c r="Q108" s="65"/>
      <c r="R108" s="65">
        <v>0</v>
      </c>
      <c r="S108" s="65"/>
      <c r="T108" s="65">
        <v>0</v>
      </c>
    </row>
    <row r="109" spans="2:20" ht="15.6">
      <c r="B109" s="65"/>
      <c r="C109" s="65"/>
      <c r="D109" s="68" t="s">
        <v>87</v>
      </c>
      <c r="E109" s="65"/>
      <c r="F109" s="68" t="s">
        <v>87</v>
      </c>
      <c r="G109" s="65"/>
      <c r="H109" s="68" t="s">
        <v>87</v>
      </c>
      <c r="I109" s="65"/>
      <c r="J109" s="68" t="s">
        <v>87</v>
      </c>
      <c r="K109" s="65"/>
      <c r="L109" s="68" t="s">
        <v>87</v>
      </c>
      <c r="M109" s="65"/>
      <c r="N109" s="68" t="s">
        <v>87</v>
      </c>
      <c r="O109" s="65"/>
      <c r="P109" s="68" t="s">
        <v>87</v>
      </c>
      <c r="Q109" s="65"/>
      <c r="R109" s="68" t="s">
        <v>87</v>
      </c>
      <c r="S109" s="65"/>
      <c r="T109" s="68" t="s">
        <v>87</v>
      </c>
    </row>
    <row r="110" spans="2:20" ht="15.6">
      <c r="B110" s="65" t="s">
        <v>2249</v>
      </c>
      <c r="C110" s="69" t="s">
        <v>90</v>
      </c>
      <c r="D110" s="65">
        <v>11990828707.279144</v>
      </c>
      <c r="E110" s="77" t="s">
        <v>90</v>
      </c>
      <c r="F110" s="65">
        <v>-3575051684.7907133</v>
      </c>
      <c r="G110" s="77" t="s">
        <v>90</v>
      </c>
      <c r="H110" s="65">
        <v>8415777022.488431</v>
      </c>
      <c r="I110" s="77" t="s">
        <v>90</v>
      </c>
      <c r="J110" s="65">
        <v>56563047</v>
      </c>
      <c r="K110" s="77" t="s">
        <v>90</v>
      </c>
      <c r="L110" s="65">
        <v>410034910.93042624</v>
      </c>
      <c r="M110" s="77" t="s">
        <v>90</v>
      </c>
      <c r="N110" s="65">
        <v>0</v>
      </c>
      <c r="O110" s="77" t="s">
        <v>90</v>
      </c>
      <c r="P110" s="65">
        <v>8882374980.4188576</v>
      </c>
      <c r="Q110" s="77" t="s">
        <v>90</v>
      </c>
      <c r="R110" s="65">
        <v>245622812</v>
      </c>
      <c r="S110" s="77" t="s">
        <v>90</v>
      </c>
      <c r="T110" s="65">
        <v>9127997792.4188576</v>
      </c>
    </row>
    <row r="111" spans="2:20" ht="15.6">
      <c r="B111" s="65"/>
      <c r="C111" s="65"/>
      <c r="D111" s="68" t="s">
        <v>135</v>
      </c>
      <c r="E111" s="65"/>
      <c r="F111" s="68" t="s">
        <v>135</v>
      </c>
      <c r="G111" s="65"/>
      <c r="H111" s="68" t="s">
        <v>135</v>
      </c>
      <c r="I111" s="65"/>
      <c r="J111" s="68" t="s">
        <v>135</v>
      </c>
      <c r="K111" s="65"/>
      <c r="L111" s="68" t="s">
        <v>135</v>
      </c>
      <c r="M111" s="65"/>
      <c r="N111" s="68" t="s">
        <v>135</v>
      </c>
      <c r="O111" s="65"/>
      <c r="P111" s="68" t="s">
        <v>135</v>
      </c>
      <c r="Q111" s="65"/>
      <c r="R111" s="68" t="s">
        <v>135</v>
      </c>
      <c r="S111" s="65"/>
      <c r="T111" s="68" t="s">
        <v>135</v>
      </c>
    </row>
    <row r="112" spans="2:20" ht="15.6">
      <c r="B112" s="65"/>
      <c r="C112" s="65"/>
      <c r="D112" s="65"/>
      <c r="E112" s="65"/>
      <c r="F112" s="65"/>
      <c r="G112" s="65"/>
      <c r="H112" s="388"/>
      <c r="I112" s="65"/>
      <c r="J112" s="65"/>
      <c r="K112" s="65"/>
      <c r="L112" s="65"/>
      <c r="M112" s="65"/>
      <c r="N112" s="65"/>
      <c r="O112" s="65"/>
      <c r="P112" s="65"/>
      <c r="Q112" s="65"/>
      <c r="R112" s="65"/>
      <c r="S112" s="65"/>
      <c r="T112" s="65"/>
    </row>
    <row r="113" spans="2:20" ht="15.6">
      <c r="B113" s="65"/>
      <c r="C113" s="65"/>
      <c r="D113" s="65"/>
      <c r="E113" s="65"/>
      <c r="F113" s="65"/>
      <c r="G113" s="65"/>
      <c r="H113" s="65"/>
      <c r="I113" s="65"/>
      <c r="J113" s="65"/>
      <c r="K113" s="65"/>
      <c r="L113" s="65"/>
      <c r="M113" s="65"/>
      <c r="N113" s="65"/>
      <c r="O113" s="65"/>
      <c r="P113" s="65"/>
      <c r="Q113" s="65"/>
      <c r="R113" s="65"/>
      <c r="S113" s="65"/>
      <c r="T113" s="65"/>
    </row>
    <row r="114" spans="2:20" ht="15.6">
      <c r="B114" s="65"/>
      <c r="C114" s="65"/>
      <c r="D114" s="65"/>
      <c r="E114" s="65"/>
      <c r="F114" s="65"/>
      <c r="G114" s="65"/>
      <c r="H114" s="65"/>
      <c r="I114" s="65"/>
      <c r="J114" s="65"/>
      <c r="K114" s="65"/>
      <c r="L114" s="65"/>
      <c r="M114" s="65"/>
      <c r="N114" s="65"/>
      <c r="O114" s="65"/>
      <c r="P114" s="65"/>
      <c r="Q114" s="65"/>
      <c r="R114" s="65"/>
      <c r="S114" s="65"/>
      <c r="T114" s="65"/>
    </row>
    <row r="115" spans="2:20" ht="15.6">
      <c r="B115" s="65"/>
      <c r="C115" s="65"/>
      <c r="D115" s="65"/>
      <c r="E115" s="65"/>
      <c r="F115" s="65"/>
      <c r="G115" s="65"/>
      <c r="H115" s="65"/>
      <c r="I115" s="65"/>
      <c r="J115" s="65"/>
      <c r="K115" s="65"/>
      <c r="L115" s="65"/>
      <c r="M115" s="65"/>
      <c r="N115" s="65"/>
      <c r="O115" s="65"/>
      <c r="P115" s="65"/>
      <c r="Q115" s="65"/>
      <c r="R115" s="65"/>
      <c r="S115" s="65"/>
      <c r="T115" s="65"/>
    </row>
    <row r="116" spans="2:20" ht="15.6">
      <c r="B116" s="65"/>
      <c r="C116" s="65"/>
      <c r="D116" s="65"/>
      <c r="E116" s="65"/>
      <c r="F116" s="65"/>
      <c r="G116" s="65"/>
      <c r="H116" s="65"/>
      <c r="I116" s="65"/>
      <c r="J116" s="65"/>
      <c r="K116" s="65"/>
      <c r="L116" s="65"/>
      <c r="M116" s="65"/>
      <c r="N116" s="65"/>
      <c r="O116" s="65"/>
      <c r="P116" s="65"/>
      <c r="Q116" s="65"/>
      <c r="R116" s="65"/>
      <c r="S116" s="65"/>
      <c r="T116" s="65"/>
    </row>
    <row r="117" spans="2:20" ht="15.6">
      <c r="B117" s="78" t="s">
        <v>2250</v>
      </c>
      <c r="C117" s="65"/>
      <c r="D117" s="65"/>
      <c r="E117" s="65"/>
      <c r="F117" s="65"/>
      <c r="G117" s="65"/>
      <c r="H117" s="65"/>
      <c r="I117" s="65"/>
      <c r="J117" s="65"/>
      <c r="K117" s="65"/>
      <c r="L117" s="65"/>
      <c r="M117" s="65"/>
      <c r="N117" s="65"/>
      <c r="O117" s="65"/>
      <c r="P117" s="65"/>
      <c r="Q117" s="65"/>
      <c r="R117" s="65"/>
      <c r="S117" s="65"/>
      <c r="T117" s="65"/>
    </row>
    <row r="118" spans="2:20" ht="15.6">
      <c r="B118" s="78" t="s">
        <v>2251</v>
      </c>
      <c r="C118" s="65"/>
      <c r="D118" s="65"/>
      <c r="E118" s="65"/>
      <c r="F118" s="65"/>
      <c r="G118" s="65"/>
      <c r="H118" s="65"/>
      <c r="I118" s="65"/>
      <c r="J118" s="65"/>
      <c r="K118" s="65"/>
      <c r="L118" s="65"/>
      <c r="M118" s="65"/>
      <c r="N118" s="65"/>
      <c r="O118" s="65"/>
      <c r="P118" s="65"/>
      <c r="Q118" s="65"/>
      <c r="R118" s="65"/>
      <c r="S118" s="65"/>
      <c r="T118" s="65"/>
    </row>
    <row r="119" spans="2:20" ht="15.6">
      <c r="B119" s="78" t="s">
        <v>2252</v>
      </c>
      <c r="C119" s="65"/>
      <c r="D119" s="65"/>
      <c r="E119" s="65"/>
      <c r="F119" s="65"/>
      <c r="G119" s="65"/>
      <c r="H119" s="65"/>
      <c r="I119" s="65"/>
      <c r="J119" s="65"/>
      <c r="K119" s="65"/>
      <c r="L119" s="65"/>
      <c r="M119" s="65"/>
      <c r="N119" s="65"/>
      <c r="O119" s="65"/>
      <c r="P119" s="65"/>
      <c r="Q119" s="65"/>
      <c r="R119" s="65"/>
      <c r="S119" s="65"/>
      <c r="T119" s="65"/>
    </row>
  </sheetData>
  <printOptions horizontalCentered="1"/>
  <pageMargins left="0.45" right="0.45" top="0.5" bottom="0.5" header="0.3" footer="0.3"/>
  <pageSetup scale="55" orientation="landscape" horizontalDpi="1200" verticalDpi="1200" r:id="rId1"/>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35BBA-7056-4C8F-9BC7-329A7128B0E4}">
  <sheetPr>
    <tabColor rgb="FFE1FFE1"/>
    <pageSetUpPr fitToPage="1"/>
  </sheetPr>
  <dimension ref="B2:AF119"/>
  <sheetViews>
    <sheetView zoomScale="70" zoomScaleNormal="70" zoomScaleSheetLayoutView="70" workbookViewId="0">
      <selection activeCell="B3" sqref="A1:XFD1048576"/>
    </sheetView>
  </sheetViews>
  <sheetFormatPr defaultColWidth="8.88671875" defaultRowHeight="14.4"/>
  <cols>
    <col min="1" max="1" width="8.88671875" style="59"/>
    <col min="2" max="2" width="42.88671875" style="59" customWidth="1"/>
    <col min="3" max="3" width="2.6640625" style="59" customWidth="1"/>
    <col min="4" max="4" width="17.88671875" style="59" customWidth="1"/>
    <col min="5" max="5" width="2.6640625" style="59" customWidth="1"/>
    <col min="6" max="6" width="17.88671875" style="59" customWidth="1"/>
    <col min="7" max="7" width="2.6640625" style="59" customWidth="1"/>
    <col min="8" max="8" width="20.5546875" style="59" customWidth="1"/>
    <col min="9" max="9" width="2.6640625" style="59" customWidth="1"/>
    <col min="10" max="10" width="17.88671875" style="59" customWidth="1"/>
    <col min="11" max="11" width="2.6640625" style="59" customWidth="1"/>
    <col min="12" max="12" width="17.88671875" style="59" customWidth="1"/>
    <col min="13" max="13" width="2.6640625" style="59" customWidth="1"/>
    <col min="14" max="14" width="17.88671875" style="59" customWidth="1"/>
    <col min="15" max="15" width="2.6640625" style="59" customWidth="1"/>
    <col min="16" max="16" width="17.88671875" style="59" customWidth="1"/>
    <col min="17" max="17" width="2.6640625" style="59" customWidth="1"/>
    <col min="18" max="18" width="17.88671875" style="59" customWidth="1"/>
    <col min="19" max="19" width="2.6640625" style="59" customWidth="1"/>
    <col min="20" max="20" width="17.88671875" style="59" customWidth="1"/>
    <col min="21" max="21" width="8.88671875" style="59"/>
    <col min="22" max="22" width="18.33203125" style="59" bestFit="1" customWidth="1"/>
    <col min="23" max="31" width="8.88671875" style="59"/>
    <col min="32" max="32" width="18.33203125" style="59" bestFit="1" customWidth="1"/>
    <col min="33" max="16384" width="8.88671875" style="59"/>
  </cols>
  <sheetData>
    <row r="2" spans="2:32" ht="15.6">
      <c r="C2" s="384"/>
      <c r="D2" s="384"/>
      <c r="E2" s="384"/>
      <c r="J2" s="60" t="s">
        <v>2221</v>
      </c>
      <c r="K2" s="384"/>
      <c r="L2" s="385"/>
      <c r="M2" s="384"/>
      <c r="N2" s="384"/>
      <c r="O2" s="384"/>
      <c r="P2" s="384"/>
      <c r="Q2" s="384"/>
      <c r="R2" s="384"/>
      <c r="S2" s="384"/>
      <c r="T2" s="61" t="s">
        <v>2222</v>
      </c>
    </row>
    <row r="3" spans="2:32" ht="15.6">
      <c r="B3" s="58"/>
      <c r="C3" s="58"/>
      <c r="D3" s="58"/>
      <c r="E3" s="58"/>
      <c r="G3" s="384"/>
      <c r="I3" s="386"/>
      <c r="J3" s="60" t="s">
        <v>2223</v>
      </c>
      <c r="K3" s="384"/>
      <c r="L3" s="385"/>
      <c r="M3" s="384"/>
      <c r="N3" s="384"/>
      <c r="O3" s="384"/>
      <c r="P3" s="384"/>
      <c r="Q3" s="384"/>
      <c r="R3" s="58"/>
      <c r="S3" s="58"/>
      <c r="T3" s="61" t="s">
        <v>2224</v>
      </c>
    </row>
    <row r="4" spans="2:32" ht="15.6">
      <c r="B4" s="784" t="s">
        <v>2225</v>
      </c>
      <c r="C4" s="784"/>
      <c r="D4" s="784"/>
      <c r="E4" s="784"/>
      <c r="F4" s="784"/>
      <c r="G4" s="784"/>
      <c r="H4" s="784"/>
      <c r="I4" s="784"/>
      <c r="J4" s="784"/>
      <c r="K4" s="784"/>
      <c r="L4" s="784"/>
      <c r="M4" s="784"/>
      <c r="N4" s="784"/>
      <c r="O4" s="784"/>
      <c r="P4" s="784"/>
      <c r="Q4" s="784"/>
      <c r="R4" s="784"/>
      <c r="S4" s="784"/>
      <c r="T4" s="784"/>
    </row>
    <row r="5" spans="2:32" ht="15.6">
      <c r="B5" s="785">
        <v>45657</v>
      </c>
      <c r="C5" s="785"/>
      <c r="D5" s="785"/>
      <c r="E5" s="785"/>
      <c r="F5" s="785"/>
      <c r="G5" s="785"/>
      <c r="H5" s="785"/>
      <c r="I5" s="785"/>
      <c r="J5" s="785"/>
      <c r="K5" s="785"/>
      <c r="L5" s="785"/>
      <c r="M5" s="785"/>
      <c r="N5" s="785"/>
      <c r="O5" s="785"/>
      <c r="P5" s="785"/>
      <c r="Q5" s="785"/>
      <c r="R5" s="785"/>
      <c r="S5" s="785"/>
      <c r="T5" s="785"/>
    </row>
    <row r="6" spans="2:32" ht="15.6">
      <c r="B6" s="65"/>
      <c r="C6" s="65"/>
      <c r="D6" s="66"/>
      <c r="E6" s="65"/>
      <c r="F6" s="66"/>
      <c r="G6" s="65"/>
      <c r="H6" s="66"/>
      <c r="I6" s="61"/>
      <c r="J6" s="66"/>
      <c r="K6" s="65"/>
      <c r="L6" s="66"/>
      <c r="M6" s="65"/>
      <c r="N6" s="66"/>
      <c r="O6" s="65"/>
      <c r="P6" s="66"/>
      <c r="Q6" s="65"/>
      <c r="R6" s="66"/>
      <c r="S6" s="65"/>
      <c r="T6" s="66"/>
    </row>
    <row r="7" spans="2:32" ht="15.6">
      <c r="B7" s="65"/>
      <c r="C7" s="65"/>
      <c r="D7" s="65"/>
      <c r="E7" s="65"/>
      <c r="F7" s="65"/>
      <c r="G7" s="65"/>
      <c r="H7" s="65"/>
      <c r="I7" s="65"/>
      <c r="J7" s="65"/>
      <c r="K7" s="65"/>
      <c r="L7" s="65"/>
      <c r="M7" s="65"/>
      <c r="N7" s="65"/>
      <c r="O7" s="65"/>
      <c r="P7" s="65"/>
      <c r="Q7" s="65"/>
      <c r="R7" s="65"/>
      <c r="S7" s="65"/>
      <c r="T7" s="65"/>
    </row>
    <row r="8" spans="2:32" ht="15.6">
      <c r="B8" s="65"/>
      <c r="C8" s="65"/>
      <c r="D8" s="67" t="s">
        <v>17</v>
      </c>
      <c r="E8" s="65"/>
      <c r="F8" s="67" t="s">
        <v>18</v>
      </c>
      <c r="G8" s="65"/>
      <c r="H8" s="67" t="s">
        <v>19</v>
      </c>
      <c r="I8" s="65"/>
      <c r="J8" s="67" t="s">
        <v>20</v>
      </c>
      <c r="K8" s="65"/>
      <c r="L8" s="67" t="s">
        <v>21</v>
      </c>
      <c r="M8" s="65"/>
      <c r="N8" s="67" t="s">
        <v>22</v>
      </c>
      <c r="O8" s="65"/>
      <c r="P8" s="67" t="s">
        <v>23</v>
      </c>
      <c r="Q8" s="65"/>
      <c r="R8" s="67" t="s">
        <v>24</v>
      </c>
      <c r="S8" s="65"/>
      <c r="T8" s="67" t="s">
        <v>25</v>
      </c>
    </row>
    <row r="9" spans="2:32" ht="15.6">
      <c r="B9" s="65"/>
      <c r="C9" s="65"/>
      <c r="D9" s="67"/>
      <c r="E9" s="67"/>
      <c r="F9" s="67" t="s">
        <v>27</v>
      </c>
      <c r="G9" s="67"/>
      <c r="H9" s="67" t="s">
        <v>32</v>
      </c>
      <c r="I9" s="67"/>
      <c r="J9" s="67"/>
      <c r="K9" s="67"/>
      <c r="L9" s="67" t="s">
        <v>2226</v>
      </c>
      <c r="M9" s="67"/>
      <c r="N9" s="67"/>
      <c r="O9" s="65"/>
      <c r="P9" s="65"/>
      <c r="Q9" s="65"/>
      <c r="R9" s="65"/>
      <c r="S9" s="65"/>
      <c r="T9" s="65"/>
    </row>
    <row r="10" spans="2:32" ht="15.6">
      <c r="B10" s="65"/>
      <c r="C10" s="65"/>
      <c r="D10" s="67" t="s">
        <v>2227</v>
      </c>
      <c r="E10" s="67"/>
      <c r="F10" s="67" t="s">
        <v>2228</v>
      </c>
      <c r="G10" s="67"/>
      <c r="H10" s="67" t="s">
        <v>2227</v>
      </c>
      <c r="I10" s="67"/>
      <c r="J10" s="67" t="s">
        <v>2229</v>
      </c>
      <c r="K10" s="67"/>
      <c r="L10" s="67" t="s">
        <v>2230</v>
      </c>
      <c r="M10" s="67"/>
      <c r="N10" s="67" t="s">
        <v>2231</v>
      </c>
      <c r="O10" s="65"/>
      <c r="P10" s="67" t="s">
        <v>32</v>
      </c>
      <c r="Q10" s="65"/>
      <c r="R10" s="67" t="s">
        <v>2232</v>
      </c>
      <c r="S10" s="65"/>
      <c r="T10" s="67" t="s">
        <v>45</v>
      </c>
    </row>
    <row r="11" spans="2:32" ht="15.6">
      <c r="B11" s="65"/>
      <c r="C11" s="65"/>
      <c r="D11" s="67" t="s">
        <v>47</v>
      </c>
      <c r="E11" s="67"/>
      <c r="F11" s="67" t="s">
        <v>2233</v>
      </c>
      <c r="G11" s="67"/>
      <c r="H11" s="67" t="s">
        <v>47</v>
      </c>
      <c r="I11" s="67"/>
      <c r="J11" s="67" t="s">
        <v>2234</v>
      </c>
      <c r="K11" s="67"/>
      <c r="L11" s="67" t="s">
        <v>2235</v>
      </c>
      <c r="M11" s="67"/>
      <c r="N11" s="67" t="s">
        <v>51</v>
      </c>
      <c r="O11" s="65"/>
      <c r="P11" s="67" t="s">
        <v>2236</v>
      </c>
      <c r="Q11" s="65"/>
      <c r="R11" s="67" t="s">
        <v>43</v>
      </c>
      <c r="S11" s="65"/>
      <c r="T11" s="67" t="s">
        <v>44</v>
      </c>
    </row>
    <row r="12" spans="2:32" ht="15.6">
      <c r="B12" s="65"/>
      <c r="C12" s="65"/>
      <c r="D12" s="68" t="s">
        <v>87</v>
      </c>
      <c r="E12" s="65"/>
      <c r="F12" s="68" t="s">
        <v>87</v>
      </c>
      <c r="G12" s="65"/>
      <c r="H12" s="68" t="s">
        <v>87</v>
      </c>
      <c r="I12" s="65"/>
      <c r="J12" s="68" t="s">
        <v>87</v>
      </c>
      <c r="K12" s="65"/>
      <c r="L12" s="68" t="s">
        <v>87</v>
      </c>
      <c r="M12" s="65"/>
      <c r="N12" s="68" t="s">
        <v>87</v>
      </c>
      <c r="O12" s="65"/>
      <c r="P12" s="68" t="s">
        <v>87</v>
      </c>
      <c r="Q12" s="65"/>
      <c r="R12" s="68" t="s">
        <v>87</v>
      </c>
      <c r="S12" s="65"/>
      <c r="T12" s="68" t="s">
        <v>87</v>
      </c>
    </row>
    <row r="13" spans="2:32" ht="15.6">
      <c r="B13" s="65" t="s">
        <v>2237</v>
      </c>
      <c r="C13" s="69" t="s">
        <v>90</v>
      </c>
      <c r="D13" s="65">
        <v>13096767065</v>
      </c>
      <c r="E13" s="69" t="s">
        <v>90</v>
      </c>
      <c r="F13" s="65">
        <v>-3807023244</v>
      </c>
      <c r="G13" s="69" t="s">
        <v>90</v>
      </c>
      <c r="H13" s="72">
        <v>9289743821</v>
      </c>
      <c r="I13" s="69" t="s">
        <v>90</v>
      </c>
      <c r="J13" s="65">
        <v>63405877</v>
      </c>
      <c r="K13" s="69" t="s">
        <v>90</v>
      </c>
      <c r="L13" s="65">
        <v>1066830880</v>
      </c>
      <c r="M13" s="69" t="s">
        <v>90</v>
      </c>
      <c r="N13" s="65">
        <v>0</v>
      </c>
      <c r="O13" s="69" t="s">
        <v>90</v>
      </c>
      <c r="P13" s="65">
        <v>10419980578</v>
      </c>
      <c r="Q13" s="69" t="s">
        <v>90</v>
      </c>
      <c r="R13" s="65">
        <v>667959886.47139597</v>
      </c>
      <c r="S13" s="69" t="s">
        <v>90</v>
      </c>
      <c r="T13" s="65">
        <v>11087940464.471395</v>
      </c>
      <c r="AF13" s="70"/>
    </row>
    <row r="14" spans="2:32" ht="15.6">
      <c r="B14" s="65"/>
      <c r="C14" s="65"/>
      <c r="D14" s="68" t="s">
        <v>87</v>
      </c>
      <c r="E14" s="65"/>
      <c r="F14" s="68" t="s">
        <v>87</v>
      </c>
      <c r="G14" s="65"/>
      <c r="H14" s="68" t="s">
        <v>87</v>
      </c>
      <c r="I14" s="65"/>
      <c r="J14" s="68" t="s">
        <v>87</v>
      </c>
      <c r="K14" s="65"/>
      <c r="L14" s="68" t="s">
        <v>87</v>
      </c>
      <c r="M14" s="65"/>
      <c r="N14" s="68" t="s">
        <v>87</v>
      </c>
      <c r="O14" s="65"/>
      <c r="P14" s="68" t="s">
        <v>87</v>
      </c>
      <c r="Q14" s="65"/>
      <c r="R14" s="68" t="s">
        <v>87</v>
      </c>
      <c r="S14" s="65"/>
      <c r="T14" s="68" t="s">
        <v>87</v>
      </c>
    </row>
    <row r="15" spans="2:32" ht="15.6">
      <c r="B15" s="71"/>
      <c r="C15" s="65"/>
      <c r="D15" s="65"/>
      <c r="E15" s="65"/>
      <c r="F15" s="65"/>
      <c r="G15" s="65"/>
      <c r="H15" s="65"/>
      <c r="I15" s="65"/>
      <c r="J15" s="65"/>
      <c r="K15" s="65"/>
      <c r="L15" s="65"/>
      <c r="M15" s="65"/>
      <c r="N15" s="65"/>
      <c r="O15" s="65"/>
      <c r="P15" s="65"/>
      <c r="Q15" s="65"/>
      <c r="R15" s="65"/>
      <c r="S15" s="65"/>
      <c r="T15" s="65"/>
    </row>
    <row r="16" spans="2:32" ht="15.6">
      <c r="B16" s="65" t="s">
        <v>2238</v>
      </c>
      <c r="C16" s="65"/>
      <c r="D16" s="65">
        <v>13014998654</v>
      </c>
      <c r="E16" s="65"/>
      <c r="F16" s="65">
        <v>-3787034745</v>
      </c>
      <c r="G16" s="65"/>
      <c r="H16" s="72">
        <v>9227963909</v>
      </c>
      <c r="I16" s="65"/>
      <c r="J16" s="65">
        <v>61699244</v>
      </c>
      <c r="K16" s="65"/>
      <c r="L16" s="65">
        <v>1057581571</v>
      </c>
      <c r="M16" s="65"/>
      <c r="N16" s="65">
        <v>0</v>
      </c>
      <c r="O16" s="65"/>
      <c r="P16" s="65">
        <v>10347244724</v>
      </c>
      <c r="Q16" s="65"/>
      <c r="R16" s="65">
        <v>664299809</v>
      </c>
      <c r="S16" s="65"/>
      <c r="T16" s="65">
        <v>11011544533</v>
      </c>
    </row>
    <row r="17" spans="2:22" ht="15.6">
      <c r="B17" s="65"/>
      <c r="C17" s="65"/>
      <c r="D17" s="68" t="s">
        <v>135</v>
      </c>
      <c r="E17" s="65"/>
      <c r="F17" s="68" t="s">
        <v>135</v>
      </c>
      <c r="G17" s="65"/>
      <c r="H17" s="68" t="s">
        <v>135</v>
      </c>
      <c r="I17" s="65"/>
      <c r="J17" s="68" t="s">
        <v>135</v>
      </c>
      <c r="K17" s="65"/>
      <c r="L17" s="68" t="s">
        <v>135</v>
      </c>
      <c r="M17" s="65"/>
      <c r="N17" s="68" t="s">
        <v>135</v>
      </c>
      <c r="O17" s="65"/>
      <c r="P17" s="68" t="s">
        <v>135</v>
      </c>
      <c r="Q17" s="65"/>
      <c r="R17" s="68" t="s">
        <v>135</v>
      </c>
      <c r="S17" s="65"/>
      <c r="T17" s="68" t="s">
        <v>135</v>
      </c>
    </row>
    <row r="18" spans="2:22" ht="15.6">
      <c r="B18" s="65"/>
      <c r="C18" s="65"/>
      <c r="D18" s="58"/>
      <c r="E18" s="65"/>
      <c r="F18" s="65"/>
      <c r="G18" s="65"/>
      <c r="H18" s="65"/>
      <c r="I18" s="65"/>
      <c r="J18" s="65"/>
      <c r="K18" s="65"/>
      <c r="L18" s="65"/>
      <c r="M18" s="65"/>
      <c r="N18" s="65"/>
      <c r="O18" s="65"/>
      <c r="P18" s="65"/>
      <c r="Q18" s="65"/>
      <c r="R18" s="65"/>
      <c r="S18" s="65"/>
      <c r="T18" s="65"/>
      <c r="V18" s="73"/>
    </row>
    <row r="19" spans="2:22" ht="15.6">
      <c r="B19" s="65" t="s">
        <v>2239</v>
      </c>
      <c r="C19" s="65"/>
      <c r="D19" s="65"/>
      <c r="E19" s="65"/>
      <c r="F19" s="65"/>
      <c r="G19" s="65"/>
      <c r="H19" s="65"/>
      <c r="I19" s="65"/>
      <c r="J19" s="65"/>
      <c r="K19" s="65"/>
      <c r="L19" s="65"/>
      <c r="M19" s="65"/>
      <c r="N19" s="65"/>
      <c r="O19" s="65"/>
      <c r="P19" s="65"/>
      <c r="Q19" s="65"/>
      <c r="R19" s="65"/>
      <c r="S19" s="65"/>
      <c r="T19" s="65"/>
    </row>
    <row r="20" spans="2:22" ht="15.6">
      <c r="B20" s="68" t="s">
        <v>87</v>
      </c>
      <c r="C20" s="65"/>
      <c r="D20" s="65"/>
      <c r="E20" s="65"/>
      <c r="F20" s="65"/>
      <c r="G20" s="65"/>
      <c r="H20" s="65"/>
      <c r="I20" s="65"/>
      <c r="J20" s="65"/>
      <c r="K20" s="65"/>
      <c r="L20" s="65"/>
      <c r="M20" s="65"/>
      <c r="N20" s="65"/>
      <c r="O20" s="65"/>
      <c r="P20" s="65"/>
      <c r="Q20" s="65"/>
      <c r="R20" s="65"/>
      <c r="S20" s="65"/>
      <c r="T20" s="65"/>
      <c r="V20" s="70"/>
    </row>
    <row r="21" spans="2:22" ht="15.6">
      <c r="B21" s="65" t="s">
        <v>183</v>
      </c>
      <c r="C21" s="65"/>
      <c r="D21" s="74">
        <v>0</v>
      </c>
      <c r="E21" s="387"/>
      <c r="F21" s="74">
        <v>0</v>
      </c>
      <c r="G21" s="65"/>
      <c r="H21" s="72">
        <v>0</v>
      </c>
      <c r="I21" s="65"/>
      <c r="J21" s="65"/>
      <c r="K21" s="65"/>
      <c r="L21" s="65"/>
      <c r="M21" s="65"/>
      <c r="N21" s="65"/>
      <c r="O21" s="65"/>
      <c r="P21" s="65">
        <v>0</v>
      </c>
      <c r="Q21" s="65"/>
      <c r="R21" s="65">
        <v>-7448580</v>
      </c>
      <c r="S21" s="65"/>
      <c r="T21" s="65">
        <v>-7448580</v>
      </c>
      <c r="V21" s="70"/>
    </row>
    <row r="22" spans="2:22" ht="15.6">
      <c r="B22" s="65" t="s">
        <v>92</v>
      </c>
      <c r="C22" s="65"/>
      <c r="D22" s="65">
        <v>-4162382.2953449874</v>
      </c>
      <c r="E22" s="65"/>
      <c r="F22" s="65">
        <v>2560865.3944351445</v>
      </c>
      <c r="G22" s="65"/>
      <c r="H22" s="72">
        <v>-1601516.9009098429</v>
      </c>
      <c r="I22" s="65"/>
      <c r="J22" s="65"/>
      <c r="K22" s="65"/>
      <c r="L22" s="65">
        <v>0</v>
      </c>
      <c r="M22" s="65"/>
      <c r="N22" s="65"/>
      <c r="O22" s="65"/>
      <c r="P22" s="65">
        <v>-1601516.9009098429</v>
      </c>
      <c r="Q22" s="65"/>
      <c r="R22" s="65">
        <v>-2705143</v>
      </c>
      <c r="S22" s="65"/>
      <c r="T22" s="65">
        <v>-4306659.9009098429</v>
      </c>
      <c r="V22" s="70"/>
    </row>
    <row r="23" spans="2:22" ht="15.6">
      <c r="B23" s="75" t="s">
        <v>34</v>
      </c>
      <c r="C23" s="65"/>
      <c r="D23" s="65"/>
      <c r="E23" s="65"/>
      <c r="F23" s="65"/>
      <c r="G23" s="65"/>
      <c r="H23" s="72">
        <v>0</v>
      </c>
      <c r="I23" s="65"/>
      <c r="J23" s="65"/>
      <c r="K23" s="65"/>
      <c r="L23" s="65"/>
      <c r="M23" s="65"/>
      <c r="N23" s="65"/>
      <c r="O23" s="65"/>
      <c r="P23" s="65">
        <v>0</v>
      </c>
      <c r="Q23" s="65"/>
      <c r="R23" s="65">
        <v>-10752566</v>
      </c>
      <c r="S23" s="65"/>
      <c r="T23" s="65">
        <v>-10752566</v>
      </c>
      <c r="V23" s="70"/>
    </row>
    <row r="24" spans="2:22" ht="15.6">
      <c r="B24" s="75" t="s">
        <v>96</v>
      </c>
      <c r="C24" s="65"/>
      <c r="D24" s="65">
        <v>-255457796.38265201</v>
      </c>
      <c r="E24" s="65"/>
      <c r="F24" s="65">
        <v>103743247.63550991</v>
      </c>
      <c r="G24" s="65"/>
      <c r="H24" s="72">
        <v>-151714548.74714211</v>
      </c>
      <c r="I24" s="65"/>
      <c r="J24" s="65"/>
      <c r="K24" s="65"/>
      <c r="L24" s="65">
        <v>-4084089.709405581</v>
      </c>
      <c r="M24" s="65"/>
      <c r="N24" s="65"/>
      <c r="O24" s="65"/>
      <c r="P24" s="65">
        <v>-155798638.45654768</v>
      </c>
      <c r="Q24" s="65"/>
      <c r="R24" s="65">
        <v>0</v>
      </c>
      <c r="S24" s="65"/>
      <c r="T24" s="65">
        <v>-155798638.45654768</v>
      </c>
    </row>
    <row r="25" spans="2:22" ht="15.6">
      <c r="B25" s="75" t="s">
        <v>94</v>
      </c>
      <c r="C25" s="65"/>
      <c r="D25" s="65">
        <v>-419373908.2278989</v>
      </c>
      <c r="E25" s="65"/>
      <c r="F25" s="65">
        <v>7751053.8541482342</v>
      </c>
      <c r="G25" s="65"/>
      <c r="H25" s="72">
        <v>-411622854.37375069</v>
      </c>
      <c r="I25" s="65"/>
      <c r="J25" s="65"/>
      <c r="K25" s="65"/>
      <c r="L25" s="65">
        <v>-122385176.94358183</v>
      </c>
      <c r="M25" s="65"/>
      <c r="N25" s="65"/>
      <c r="O25" s="65"/>
      <c r="P25" s="65">
        <v>-534008031.31733251</v>
      </c>
      <c r="Q25" s="65"/>
      <c r="R25" s="65">
        <v>-302829</v>
      </c>
      <c r="S25" s="65"/>
      <c r="T25" s="65">
        <v>-534310860.31733251</v>
      </c>
    </row>
    <row r="26" spans="2:22" ht="15.6">
      <c r="B26" s="75" t="s">
        <v>99</v>
      </c>
      <c r="C26" s="65"/>
      <c r="D26" s="65"/>
      <c r="E26" s="65"/>
      <c r="F26" s="65"/>
      <c r="G26" s="65"/>
      <c r="H26" s="72"/>
      <c r="I26" s="65"/>
      <c r="J26" s="65"/>
      <c r="K26" s="65"/>
      <c r="L26" s="65"/>
      <c r="M26" s="65"/>
      <c r="N26" s="65"/>
      <c r="O26" s="65"/>
      <c r="P26" s="65">
        <v>0</v>
      </c>
      <c r="Q26" s="65"/>
      <c r="R26" s="65">
        <v>-510212605</v>
      </c>
      <c r="S26" s="65"/>
      <c r="T26" s="65">
        <v>-510212605</v>
      </c>
    </row>
    <row r="27" spans="2:22" ht="15.6">
      <c r="B27" s="65" t="s">
        <v>138</v>
      </c>
      <c r="C27" s="65"/>
      <c r="D27" s="65"/>
      <c r="E27" s="65"/>
      <c r="F27" s="65"/>
      <c r="G27" s="65"/>
      <c r="H27" s="65"/>
      <c r="I27" s="65"/>
      <c r="J27" s="65"/>
      <c r="K27" s="65"/>
      <c r="L27" s="65"/>
      <c r="M27" s="65"/>
      <c r="N27" s="65"/>
      <c r="O27" s="65"/>
      <c r="P27" s="65">
        <v>0</v>
      </c>
      <c r="Q27" s="65"/>
      <c r="R27" s="65">
        <v>0</v>
      </c>
      <c r="S27" s="65"/>
      <c r="T27" s="65">
        <v>0</v>
      </c>
    </row>
    <row r="28" spans="2:22" ht="15.6">
      <c r="B28" s="65" t="s">
        <v>106</v>
      </c>
      <c r="C28" s="65"/>
      <c r="D28" s="65"/>
      <c r="E28" s="65"/>
      <c r="F28" s="65"/>
      <c r="G28" s="65"/>
      <c r="H28" s="65"/>
      <c r="I28" s="65"/>
      <c r="J28" s="65"/>
      <c r="K28" s="65"/>
      <c r="L28" s="65">
        <v>-931112304.34701264</v>
      </c>
      <c r="M28" s="65"/>
      <c r="N28" s="65"/>
      <c r="O28" s="65"/>
      <c r="P28" s="65">
        <v>-931112304.34701264</v>
      </c>
      <c r="Q28" s="65"/>
      <c r="R28" s="66"/>
      <c r="S28" s="65"/>
      <c r="T28" s="65">
        <v>-931112304.34701264</v>
      </c>
    </row>
    <row r="29" spans="2:22" ht="15.6">
      <c r="B29" s="65" t="s">
        <v>113</v>
      </c>
      <c r="C29" s="65"/>
      <c r="D29" s="65"/>
      <c r="E29" s="65"/>
      <c r="F29" s="65"/>
      <c r="G29" s="65"/>
      <c r="H29" s="65"/>
      <c r="I29" s="65"/>
      <c r="J29" s="65"/>
      <c r="K29" s="65"/>
      <c r="L29" s="65">
        <v>235275616.78113693</v>
      </c>
      <c r="M29" s="65"/>
      <c r="N29" s="65"/>
      <c r="O29" s="65"/>
      <c r="P29" s="65">
        <v>235275616.78113693</v>
      </c>
      <c r="Q29" s="65"/>
      <c r="R29" s="66"/>
      <c r="S29" s="65"/>
      <c r="T29" s="65">
        <v>235275616.78113693</v>
      </c>
    </row>
    <row r="30" spans="2:22" ht="15.6">
      <c r="B30" s="65" t="s">
        <v>2241</v>
      </c>
      <c r="C30" s="65"/>
      <c r="D30" s="65">
        <v>0</v>
      </c>
      <c r="E30" s="65"/>
      <c r="F30" s="65"/>
      <c r="G30" s="65"/>
      <c r="H30" s="72">
        <v>0</v>
      </c>
      <c r="I30" s="65"/>
      <c r="J30" s="65"/>
      <c r="K30" s="65"/>
      <c r="L30" s="65"/>
      <c r="M30" s="65"/>
      <c r="N30" s="65"/>
      <c r="O30" s="65"/>
      <c r="P30" s="65">
        <v>0</v>
      </c>
      <c r="Q30" s="65"/>
      <c r="R30" s="65"/>
      <c r="S30" s="65"/>
      <c r="T30" s="65">
        <v>0</v>
      </c>
    </row>
    <row r="31" spans="2:22" ht="15.6">
      <c r="B31" s="75" t="s">
        <v>2242</v>
      </c>
      <c r="C31" s="65"/>
      <c r="D31" s="65"/>
      <c r="E31" s="65"/>
      <c r="F31" s="65">
        <v>0</v>
      </c>
      <c r="G31" s="65"/>
      <c r="H31" s="72">
        <v>0</v>
      </c>
      <c r="I31" s="65"/>
      <c r="J31" s="65"/>
      <c r="K31" s="65"/>
      <c r="L31" s="65"/>
      <c r="M31" s="65"/>
      <c r="N31" s="65"/>
      <c r="O31" s="65"/>
      <c r="P31" s="65">
        <v>0</v>
      </c>
      <c r="Q31" s="65"/>
      <c r="R31" s="65"/>
      <c r="S31" s="65"/>
      <c r="T31" s="65">
        <v>0</v>
      </c>
    </row>
    <row r="32" spans="2:22" ht="15.6">
      <c r="B32" s="65" t="s">
        <v>2243</v>
      </c>
      <c r="C32" s="65"/>
      <c r="D32" s="65">
        <v>-7438091.8169712909</v>
      </c>
      <c r="E32" s="65"/>
      <c r="F32" s="65">
        <v>6729491.3936308902</v>
      </c>
      <c r="G32" s="65"/>
      <c r="H32" s="72">
        <v>-708600.42334040068</v>
      </c>
      <c r="I32" s="65"/>
      <c r="J32" s="65"/>
      <c r="K32" s="65"/>
      <c r="L32" s="65"/>
      <c r="M32" s="65"/>
      <c r="N32" s="65"/>
      <c r="O32" s="65"/>
      <c r="P32" s="65">
        <v>-708600.42334040068</v>
      </c>
      <c r="Q32" s="65"/>
      <c r="R32" s="65"/>
      <c r="S32" s="65"/>
      <c r="T32" s="65">
        <v>-708600.42334040068</v>
      </c>
    </row>
    <row r="33" spans="2:22" ht="15.6">
      <c r="B33" s="65" t="s">
        <v>143</v>
      </c>
      <c r="C33" s="65"/>
      <c r="D33" s="65"/>
      <c r="E33" s="65"/>
      <c r="F33" s="65"/>
      <c r="G33" s="65"/>
      <c r="H33" s="72"/>
      <c r="I33" s="65"/>
      <c r="J33" s="65"/>
      <c r="K33" s="65"/>
      <c r="L33" s="65"/>
      <c r="M33" s="65"/>
      <c r="N33" s="65"/>
      <c r="O33" s="65"/>
      <c r="P33" s="65">
        <v>0</v>
      </c>
      <c r="Q33" s="65"/>
      <c r="R33" s="65">
        <v>0</v>
      </c>
      <c r="S33" s="65"/>
      <c r="T33" s="65">
        <v>0</v>
      </c>
    </row>
    <row r="34" spans="2:22" ht="15.6">
      <c r="B34" s="65" t="s">
        <v>131</v>
      </c>
      <c r="C34" s="65"/>
      <c r="D34" s="65">
        <v>-32970090.285815127</v>
      </c>
      <c r="E34" s="65"/>
      <c r="F34" s="65"/>
      <c r="G34" s="65"/>
      <c r="H34" s="72">
        <v>-32970090.285815127</v>
      </c>
      <c r="I34" s="65"/>
      <c r="J34" s="65"/>
      <c r="K34" s="65"/>
      <c r="L34" s="65"/>
      <c r="M34" s="65"/>
      <c r="N34" s="65"/>
      <c r="O34" s="65"/>
      <c r="P34" s="65">
        <v>-32970090.285815127</v>
      </c>
      <c r="Q34" s="65"/>
      <c r="R34" s="65">
        <v>34408368</v>
      </c>
      <c r="S34" s="65"/>
      <c r="T34" s="65">
        <v>1438277.7141848728</v>
      </c>
    </row>
    <row r="35" spans="2:22" ht="15.6">
      <c r="B35" s="65"/>
      <c r="C35" s="65"/>
      <c r="D35" s="65"/>
      <c r="E35" s="65"/>
      <c r="F35" s="65"/>
      <c r="G35" s="65"/>
      <c r="H35" s="65"/>
      <c r="I35" s="65"/>
      <c r="J35" s="65"/>
      <c r="K35" s="65"/>
      <c r="L35" s="65"/>
      <c r="M35" s="65"/>
      <c r="N35" s="65"/>
      <c r="O35" s="65"/>
      <c r="P35" s="65"/>
      <c r="Q35" s="65"/>
      <c r="R35" s="65"/>
      <c r="S35" s="65"/>
      <c r="T35" s="65"/>
    </row>
    <row r="36" spans="2:22" ht="15.6">
      <c r="B36" s="65"/>
      <c r="C36" s="65"/>
      <c r="D36" s="68" t="s">
        <v>87</v>
      </c>
      <c r="E36" s="65"/>
      <c r="F36" s="68" t="s">
        <v>87</v>
      </c>
      <c r="G36" s="65"/>
      <c r="H36" s="68" t="s">
        <v>87</v>
      </c>
      <c r="I36" s="65"/>
      <c r="J36" s="68" t="s">
        <v>87</v>
      </c>
      <c r="K36" s="65"/>
      <c r="L36" s="68" t="s">
        <v>87</v>
      </c>
      <c r="M36" s="65"/>
      <c r="N36" s="68" t="s">
        <v>87</v>
      </c>
      <c r="O36" s="65"/>
      <c r="P36" s="68" t="s">
        <v>87</v>
      </c>
      <c r="Q36" s="65"/>
      <c r="R36" s="68" t="s">
        <v>87</v>
      </c>
      <c r="S36" s="65"/>
      <c r="T36" s="68" t="s">
        <v>87</v>
      </c>
    </row>
    <row r="37" spans="2:22" ht="15.6">
      <c r="B37" s="65" t="s">
        <v>2244</v>
      </c>
      <c r="C37" s="65"/>
      <c r="D37" s="65">
        <v>-719402269.00868237</v>
      </c>
      <c r="E37" s="65"/>
      <c r="F37" s="65">
        <v>120784658.27772418</v>
      </c>
      <c r="G37" s="65"/>
      <c r="H37" s="65">
        <v>-598617610.73095822</v>
      </c>
      <c r="I37" s="65"/>
      <c r="J37" s="65">
        <v>0</v>
      </c>
      <c r="K37" s="65"/>
      <c r="L37" s="65">
        <v>-822305954.21886301</v>
      </c>
      <c r="M37" s="65"/>
      <c r="N37" s="65">
        <v>0</v>
      </c>
      <c r="O37" s="65"/>
      <c r="P37" s="65">
        <v>-1420923564.9498212</v>
      </c>
      <c r="Q37" s="65"/>
      <c r="R37" s="65">
        <v>-497013355</v>
      </c>
      <c r="S37" s="65"/>
      <c r="T37" s="65">
        <v>-1917936919.949821</v>
      </c>
      <c r="V37" s="73"/>
    </row>
    <row r="38" spans="2:22" ht="15.6">
      <c r="B38" s="65"/>
      <c r="C38" s="65"/>
      <c r="D38" s="68" t="s">
        <v>87</v>
      </c>
      <c r="E38" s="65"/>
      <c r="F38" s="68" t="s">
        <v>87</v>
      </c>
      <c r="G38" s="65"/>
      <c r="H38" s="68" t="s">
        <v>87</v>
      </c>
      <c r="I38" s="65"/>
      <c r="J38" s="68" t="s">
        <v>87</v>
      </c>
      <c r="K38" s="65"/>
      <c r="L38" s="68" t="s">
        <v>87</v>
      </c>
      <c r="M38" s="65"/>
      <c r="N38" s="68" t="s">
        <v>87</v>
      </c>
      <c r="O38" s="65"/>
      <c r="P38" s="68" t="s">
        <v>87</v>
      </c>
      <c r="Q38" s="65"/>
      <c r="R38" s="68" t="s">
        <v>87</v>
      </c>
      <c r="S38" s="65"/>
      <c r="T38" s="68" t="s">
        <v>87</v>
      </c>
    </row>
    <row r="39" spans="2:22" ht="15.6">
      <c r="B39" s="65" t="s">
        <v>2245</v>
      </c>
      <c r="C39" s="65"/>
      <c r="D39" s="65">
        <v>12295596384.991318</v>
      </c>
      <c r="E39" s="65"/>
      <c r="F39" s="65">
        <v>-3666250086.7222757</v>
      </c>
      <c r="G39" s="65"/>
      <c r="H39" s="65">
        <v>8629346298.2690411</v>
      </c>
      <c r="I39" s="65"/>
      <c r="J39" s="65">
        <v>61699244</v>
      </c>
      <c r="K39" s="65"/>
      <c r="L39" s="65">
        <v>235275616.78113699</v>
      </c>
      <c r="M39" s="65"/>
      <c r="N39" s="65">
        <v>0</v>
      </c>
      <c r="O39" s="65"/>
      <c r="P39" s="65">
        <v>8926321159.0501785</v>
      </c>
      <c r="Q39" s="65"/>
      <c r="R39" s="65">
        <v>167286454</v>
      </c>
      <c r="S39" s="65"/>
      <c r="T39" s="65">
        <v>9093607613.0501785</v>
      </c>
    </row>
    <row r="40" spans="2:22" ht="15.6">
      <c r="B40" s="65"/>
      <c r="C40" s="65"/>
      <c r="D40" s="68" t="s">
        <v>87</v>
      </c>
      <c r="E40" s="65"/>
      <c r="F40" s="68" t="s">
        <v>87</v>
      </c>
      <c r="G40" s="65"/>
      <c r="H40" s="68" t="s">
        <v>87</v>
      </c>
      <c r="I40" s="65"/>
      <c r="J40" s="68" t="s">
        <v>87</v>
      </c>
      <c r="K40" s="65"/>
      <c r="L40" s="68" t="s">
        <v>87</v>
      </c>
      <c r="M40" s="65"/>
      <c r="N40" s="68" t="s">
        <v>87</v>
      </c>
      <c r="O40" s="65"/>
      <c r="P40" s="68" t="s">
        <v>87</v>
      </c>
      <c r="Q40" s="65"/>
      <c r="R40" s="68" t="s">
        <v>87</v>
      </c>
      <c r="S40" s="65"/>
      <c r="T40" s="68" t="s">
        <v>87</v>
      </c>
    </row>
    <row r="41" spans="2:22" ht="15.6">
      <c r="B41" s="65" t="s">
        <v>2246</v>
      </c>
      <c r="C41" s="65"/>
      <c r="D41" s="65"/>
      <c r="E41" s="65"/>
      <c r="F41" s="65"/>
      <c r="G41" s="65"/>
      <c r="H41" s="65"/>
      <c r="I41" s="65"/>
      <c r="J41" s="65"/>
      <c r="K41" s="65"/>
      <c r="L41" s="65"/>
      <c r="M41" s="65"/>
      <c r="N41" s="65"/>
      <c r="O41" s="65"/>
      <c r="P41" s="65"/>
      <c r="Q41" s="65"/>
      <c r="R41" s="65"/>
      <c r="S41" s="65"/>
      <c r="T41" s="65"/>
    </row>
    <row r="42" spans="2:22" ht="15.6">
      <c r="B42" s="65"/>
      <c r="C42" s="65"/>
      <c r="D42" s="65"/>
      <c r="E42" s="65"/>
      <c r="F42" s="65"/>
      <c r="G42" s="65"/>
      <c r="H42" s="65"/>
      <c r="I42" s="65"/>
      <c r="J42" s="65"/>
      <c r="K42" s="65"/>
      <c r="L42" s="65"/>
      <c r="M42" s="65"/>
      <c r="N42" s="65"/>
      <c r="O42" s="65"/>
      <c r="P42" s="65"/>
      <c r="Q42" s="65"/>
      <c r="R42" s="65"/>
      <c r="S42" s="65"/>
      <c r="T42" s="65"/>
    </row>
    <row r="43" spans="2:22" ht="15.6">
      <c r="B43" s="68" t="s">
        <v>87</v>
      </c>
      <c r="C43" s="65"/>
      <c r="D43" s="65"/>
      <c r="E43" s="65"/>
      <c r="F43" s="65"/>
      <c r="G43" s="65"/>
      <c r="H43" s="65"/>
      <c r="I43" s="65"/>
      <c r="J43" s="65"/>
      <c r="K43" s="65"/>
      <c r="L43" s="65"/>
      <c r="M43" s="65"/>
      <c r="N43" s="65"/>
      <c r="O43" s="65"/>
      <c r="P43" s="65"/>
      <c r="Q43" s="65"/>
      <c r="R43" s="65"/>
      <c r="S43" s="65"/>
      <c r="T43" s="65"/>
    </row>
    <row r="44" spans="2:22" ht="15.6">
      <c r="B44" s="76"/>
      <c r="C44" s="76"/>
      <c r="D44" s="76"/>
      <c r="E44" s="76"/>
      <c r="F44" s="76"/>
      <c r="G44" s="76"/>
      <c r="H44" s="76"/>
      <c r="I44" s="76"/>
      <c r="J44" s="76"/>
      <c r="K44" s="76"/>
      <c r="L44" s="76"/>
      <c r="M44" s="76"/>
      <c r="N44" s="76"/>
      <c r="O44" s="76"/>
      <c r="P44" s="76"/>
      <c r="Q44" s="76"/>
      <c r="R44" s="76"/>
      <c r="S44" s="76"/>
      <c r="T44" s="76"/>
    </row>
    <row r="45" spans="2:22" ht="15.6">
      <c r="B45" s="65"/>
      <c r="C45" s="65"/>
      <c r="D45" s="65"/>
      <c r="E45" s="65"/>
      <c r="F45" s="65"/>
      <c r="G45" s="65"/>
      <c r="H45" s="65"/>
      <c r="I45" s="65"/>
      <c r="J45" s="65"/>
      <c r="K45" s="65"/>
      <c r="L45" s="65"/>
      <c r="M45" s="65"/>
      <c r="N45" s="65"/>
      <c r="O45" s="65"/>
      <c r="P45" s="65"/>
      <c r="Q45" s="65"/>
      <c r="R45" s="65"/>
      <c r="S45" s="65"/>
      <c r="T45" s="65"/>
    </row>
    <row r="46" spans="2:22" ht="15.6">
      <c r="B46" s="65"/>
      <c r="C46" s="65"/>
      <c r="D46" s="68" t="s">
        <v>87</v>
      </c>
      <c r="E46" s="65"/>
      <c r="F46" s="68" t="s">
        <v>87</v>
      </c>
      <c r="G46" s="65"/>
      <c r="H46" s="68" t="s">
        <v>87</v>
      </c>
      <c r="I46" s="65"/>
      <c r="J46" s="68" t="s">
        <v>87</v>
      </c>
      <c r="K46" s="65"/>
      <c r="L46" s="68" t="s">
        <v>87</v>
      </c>
      <c r="M46" s="65"/>
      <c r="N46" s="68" t="s">
        <v>87</v>
      </c>
      <c r="O46" s="65"/>
      <c r="P46" s="68" t="s">
        <v>87</v>
      </c>
      <c r="Q46" s="65"/>
      <c r="R46" s="68" t="s">
        <v>87</v>
      </c>
      <c r="S46" s="65"/>
      <c r="T46" s="68" t="s">
        <v>87</v>
      </c>
    </row>
    <row r="47" spans="2:22" ht="15.6">
      <c r="B47" s="65" t="s">
        <v>2248</v>
      </c>
      <c r="C47" s="65"/>
      <c r="D47" s="65">
        <v>0</v>
      </c>
      <c r="E47" s="65"/>
      <c r="F47" s="65">
        <v>0</v>
      </c>
      <c r="G47" s="65"/>
      <c r="H47" s="65">
        <v>0</v>
      </c>
      <c r="I47" s="65"/>
      <c r="J47" s="65">
        <v>0</v>
      </c>
      <c r="K47" s="65"/>
      <c r="L47" s="65">
        <v>0</v>
      </c>
      <c r="M47" s="65"/>
      <c r="N47" s="65">
        <v>0</v>
      </c>
      <c r="O47" s="65"/>
      <c r="P47" s="65">
        <v>0</v>
      </c>
      <c r="Q47" s="65"/>
      <c r="R47" s="65">
        <v>0</v>
      </c>
      <c r="S47" s="65"/>
      <c r="T47" s="65">
        <v>0</v>
      </c>
    </row>
    <row r="48" spans="2:22" ht="15.6">
      <c r="B48" s="65"/>
      <c r="C48" s="65"/>
      <c r="D48" s="68" t="s">
        <v>87</v>
      </c>
      <c r="E48" s="65"/>
      <c r="F48" s="68" t="s">
        <v>87</v>
      </c>
      <c r="G48" s="65"/>
      <c r="H48" s="68" t="s">
        <v>87</v>
      </c>
      <c r="I48" s="65"/>
      <c r="J48" s="68" t="s">
        <v>87</v>
      </c>
      <c r="K48" s="65"/>
      <c r="L48" s="68" t="s">
        <v>87</v>
      </c>
      <c r="M48" s="65"/>
      <c r="N48" s="68" t="s">
        <v>87</v>
      </c>
      <c r="O48" s="65"/>
      <c r="P48" s="68" t="s">
        <v>87</v>
      </c>
      <c r="Q48" s="65"/>
      <c r="R48" s="68" t="s">
        <v>87</v>
      </c>
      <c r="S48" s="65"/>
      <c r="T48" s="68" t="s">
        <v>87</v>
      </c>
    </row>
    <row r="49" spans="2:20" ht="15.6">
      <c r="B49" s="65" t="s">
        <v>2249</v>
      </c>
      <c r="C49" s="77" t="s">
        <v>90</v>
      </c>
      <c r="D49" s="65">
        <v>12295596384.991318</v>
      </c>
      <c r="E49" s="77" t="s">
        <v>90</v>
      </c>
      <c r="F49" s="65">
        <v>-3666250086.7222757</v>
      </c>
      <c r="G49" s="77" t="s">
        <v>90</v>
      </c>
      <c r="H49" s="65">
        <v>8629346298.2690411</v>
      </c>
      <c r="I49" s="77" t="s">
        <v>90</v>
      </c>
      <c r="J49" s="65">
        <v>61699244</v>
      </c>
      <c r="K49" s="77" t="s">
        <v>90</v>
      </c>
      <c r="L49" s="65">
        <v>235275616.78113699</v>
      </c>
      <c r="M49" s="77" t="s">
        <v>90</v>
      </c>
      <c r="N49" s="65">
        <v>0</v>
      </c>
      <c r="O49" s="77" t="s">
        <v>90</v>
      </c>
      <c r="P49" s="65">
        <v>8926321159.0501785</v>
      </c>
      <c r="Q49" s="77" t="s">
        <v>90</v>
      </c>
      <c r="R49" s="65">
        <v>167286454</v>
      </c>
      <c r="S49" s="77" t="s">
        <v>90</v>
      </c>
      <c r="T49" s="65">
        <v>9093607613.0501785</v>
      </c>
    </row>
    <row r="50" spans="2:20" ht="15.6">
      <c r="B50" s="65"/>
      <c r="C50" s="65"/>
      <c r="D50" s="68" t="s">
        <v>135</v>
      </c>
      <c r="E50" s="65"/>
      <c r="F50" s="68" t="s">
        <v>135</v>
      </c>
      <c r="G50" s="65"/>
      <c r="H50" s="68" t="s">
        <v>135</v>
      </c>
      <c r="I50" s="65"/>
      <c r="J50" s="68" t="s">
        <v>135</v>
      </c>
      <c r="K50" s="65"/>
      <c r="L50" s="68" t="s">
        <v>135</v>
      </c>
      <c r="M50" s="65"/>
      <c r="N50" s="68" t="s">
        <v>135</v>
      </c>
      <c r="O50" s="65"/>
      <c r="P50" s="68" t="s">
        <v>135</v>
      </c>
      <c r="Q50" s="65"/>
      <c r="R50" s="68" t="s">
        <v>135</v>
      </c>
      <c r="S50" s="65"/>
      <c r="T50" s="68" t="s">
        <v>135</v>
      </c>
    </row>
    <row r="51" spans="2:20" ht="15.6">
      <c r="B51" s="65"/>
      <c r="C51" s="65"/>
      <c r="D51" s="65"/>
      <c r="E51" s="65"/>
      <c r="F51" s="65"/>
      <c r="G51" s="65"/>
      <c r="H51" s="388"/>
      <c r="I51" s="65"/>
      <c r="J51" s="65"/>
      <c r="K51" s="65"/>
      <c r="L51" s="65"/>
      <c r="M51" s="65"/>
      <c r="N51" s="65"/>
      <c r="O51" s="65"/>
      <c r="P51" s="65"/>
      <c r="Q51" s="65"/>
      <c r="R51" s="65"/>
      <c r="S51" s="65"/>
      <c r="T51" s="65"/>
    </row>
    <row r="54" spans="2:20" ht="15.6">
      <c r="B54" s="65"/>
      <c r="C54" s="65"/>
      <c r="D54" s="65"/>
      <c r="E54" s="65"/>
      <c r="F54" s="65"/>
      <c r="G54" s="65"/>
      <c r="H54" s="65"/>
      <c r="I54" s="65"/>
      <c r="J54" s="65"/>
      <c r="K54" s="65"/>
      <c r="L54" s="65"/>
      <c r="M54" s="65"/>
      <c r="N54" s="65"/>
      <c r="O54" s="65"/>
      <c r="P54" s="65"/>
      <c r="Q54" s="65"/>
      <c r="R54" s="65"/>
      <c r="S54" s="65"/>
      <c r="T54" s="65"/>
    </row>
    <row r="55" spans="2:20" ht="15.6">
      <c r="B55" s="65"/>
      <c r="C55" s="65"/>
      <c r="D55" s="65"/>
      <c r="E55" s="65"/>
      <c r="F55" s="65"/>
      <c r="G55" s="65"/>
      <c r="H55" s="65"/>
      <c r="I55" s="65"/>
      <c r="J55" s="65"/>
      <c r="K55" s="65"/>
      <c r="L55" s="65"/>
      <c r="M55" s="65"/>
      <c r="N55" s="65"/>
      <c r="O55" s="65"/>
      <c r="P55" s="65"/>
      <c r="Q55" s="65"/>
      <c r="R55" s="65"/>
      <c r="S55" s="65"/>
      <c r="T55" s="65"/>
    </row>
    <row r="56" spans="2:20" ht="15.6">
      <c r="B56" s="78" t="s">
        <v>2250</v>
      </c>
      <c r="C56" s="65"/>
      <c r="D56" s="65"/>
      <c r="E56" s="65"/>
      <c r="F56" s="65"/>
      <c r="G56" s="65"/>
      <c r="H56" s="65"/>
      <c r="I56" s="65"/>
      <c r="J56" s="65"/>
      <c r="K56" s="65"/>
      <c r="L56" s="65"/>
      <c r="M56" s="65"/>
      <c r="N56" s="65"/>
      <c r="O56" s="65"/>
      <c r="P56" s="65"/>
      <c r="Q56" s="65"/>
      <c r="R56" s="65"/>
      <c r="S56" s="65"/>
      <c r="T56" s="65"/>
    </row>
    <row r="57" spans="2:20" ht="15.6">
      <c r="B57" s="78" t="s">
        <v>2251</v>
      </c>
      <c r="C57" s="65"/>
      <c r="D57" s="65"/>
      <c r="E57" s="65"/>
      <c r="F57" s="65"/>
      <c r="G57" s="65"/>
      <c r="H57" s="65"/>
      <c r="I57" s="65"/>
      <c r="J57" s="65"/>
      <c r="K57" s="65"/>
      <c r="L57" s="65"/>
      <c r="M57" s="65"/>
      <c r="N57" s="65"/>
      <c r="O57" s="65"/>
      <c r="P57" s="65"/>
      <c r="Q57" s="65"/>
      <c r="R57" s="65"/>
      <c r="S57" s="65"/>
      <c r="T57" s="65"/>
    </row>
    <row r="58" spans="2:20" ht="15.6">
      <c r="B58" s="78" t="s">
        <v>2252</v>
      </c>
      <c r="C58" s="65"/>
      <c r="D58" s="65"/>
      <c r="E58" s="65"/>
      <c r="F58" s="65"/>
      <c r="G58" s="65"/>
      <c r="H58" s="65"/>
      <c r="I58" s="65"/>
      <c r="J58" s="65"/>
      <c r="K58" s="65"/>
      <c r="L58" s="65"/>
      <c r="M58" s="65"/>
      <c r="N58" s="65"/>
      <c r="O58" s="65"/>
      <c r="P58" s="65"/>
      <c r="Q58" s="65"/>
      <c r="R58" s="65"/>
      <c r="S58" s="65"/>
      <c r="T58" s="65"/>
    </row>
    <row r="63" spans="2:20" ht="15.6">
      <c r="B63" s="58"/>
      <c r="C63" s="58"/>
      <c r="D63" s="58"/>
      <c r="E63" s="58"/>
      <c r="F63" s="58"/>
      <c r="G63" s="58"/>
      <c r="I63" s="58"/>
      <c r="J63" s="60" t="s">
        <v>2221</v>
      </c>
      <c r="K63" s="60"/>
      <c r="M63" s="58"/>
      <c r="N63" s="58"/>
      <c r="O63" s="58"/>
      <c r="P63" s="58"/>
      <c r="Q63" s="58"/>
      <c r="R63" s="58"/>
      <c r="S63" s="58"/>
      <c r="T63" s="61" t="s">
        <v>2253</v>
      </c>
    </row>
    <row r="64" spans="2:20" ht="15.6">
      <c r="B64" s="58"/>
      <c r="C64" s="58"/>
      <c r="D64" s="58"/>
      <c r="E64" s="58"/>
      <c r="F64" s="58"/>
      <c r="G64" s="58"/>
      <c r="I64" s="58"/>
      <c r="J64" s="60" t="s">
        <v>2254</v>
      </c>
      <c r="K64" s="60"/>
      <c r="M64" s="58"/>
      <c r="N64" s="58"/>
      <c r="O64" s="58"/>
      <c r="P64" s="58"/>
      <c r="Q64" s="58"/>
      <c r="R64" s="58"/>
      <c r="S64" s="58"/>
      <c r="T64" s="61" t="s">
        <v>2224</v>
      </c>
    </row>
    <row r="65" spans="2:22" ht="15.6">
      <c r="B65" s="62" t="s">
        <v>2225</v>
      </c>
      <c r="C65" s="62"/>
      <c r="D65" s="62"/>
      <c r="E65" s="62"/>
      <c r="F65" s="62"/>
      <c r="G65" s="62"/>
      <c r="H65" s="62"/>
      <c r="I65" s="62"/>
      <c r="J65" s="62"/>
      <c r="K65" s="62"/>
      <c r="L65" s="62"/>
      <c r="M65" s="62"/>
      <c r="N65" s="62"/>
      <c r="O65" s="62"/>
      <c r="P65" s="62"/>
      <c r="Q65" s="62"/>
      <c r="R65" s="62"/>
      <c r="S65" s="62"/>
      <c r="T65" s="62"/>
    </row>
    <row r="66" spans="2:22" ht="15.6">
      <c r="B66" s="63">
        <v>45657</v>
      </c>
      <c r="C66" s="62"/>
      <c r="D66" s="64"/>
      <c r="E66" s="62"/>
      <c r="F66" s="62"/>
      <c r="G66" s="62"/>
      <c r="H66" s="62"/>
      <c r="I66" s="62"/>
      <c r="J66" s="62"/>
      <c r="K66" s="62"/>
      <c r="L66" s="62"/>
      <c r="M66" s="62"/>
      <c r="N66" s="62"/>
      <c r="O66" s="62"/>
      <c r="P66" s="62"/>
      <c r="Q66" s="62"/>
      <c r="R66" s="62"/>
      <c r="S66" s="62"/>
      <c r="T66" s="62"/>
    </row>
    <row r="67" spans="2:22" ht="15.6">
      <c r="B67" s="65"/>
      <c r="C67" s="65"/>
      <c r="D67" s="66"/>
      <c r="E67" s="65"/>
      <c r="F67" s="66"/>
      <c r="G67" s="65"/>
      <c r="H67" s="66"/>
      <c r="I67" s="61"/>
      <c r="J67" s="66"/>
      <c r="K67" s="65"/>
      <c r="L67" s="66"/>
      <c r="M67" s="65"/>
      <c r="N67" s="66"/>
      <c r="O67" s="65"/>
      <c r="P67" s="66"/>
      <c r="Q67" s="65"/>
      <c r="R67" s="66"/>
      <c r="S67" s="65"/>
      <c r="T67" s="66"/>
    </row>
    <row r="68" spans="2:22" ht="15.6">
      <c r="B68" s="65"/>
      <c r="C68" s="65"/>
      <c r="D68" s="65"/>
      <c r="E68" s="65"/>
      <c r="F68" s="65"/>
      <c r="G68" s="65"/>
      <c r="H68" s="65"/>
      <c r="I68" s="65"/>
      <c r="J68" s="65"/>
      <c r="K68" s="65"/>
      <c r="L68" s="65"/>
      <c r="M68" s="65"/>
      <c r="N68" s="65"/>
      <c r="O68" s="65"/>
      <c r="P68" s="65"/>
      <c r="Q68" s="65"/>
      <c r="R68" s="65"/>
      <c r="S68" s="65"/>
      <c r="T68" s="65"/>
    </row>
    <row r="69" spans="2:22" ht="15.6">
      <c r="B69" s="65"/>
      <c r="C69" s="65"/>
      <c r="D69" s="67" t="s">
        <v>17</v>
      </c>
      <c r="E69" s="65"/>
      <c r="F69" s="67" t="s">
        <v>18</v>
      </c>
      <c r="G69" s="65"/>
      <c r="H69" s="67" t="s">
        <v>19</v>
      </c>
      <c r="I69" s="65"/>
      <c r="J69" s="67" t="s">
        <v>20</v>
      </c>
      <c r="K69" s="65"/>
      <c r="L69" s="67" t="s">
        <v>21</v>
      </c>
      <c r="M69" s="65"/>
      <c r="N69" s="67" t="s">
        <v>22</v>
      </c>
      <c r="O69" s="65"/>
      <c r="P69" s="67" t="s">
        <v>23</v>
      </c>
      <c r="Q69" s="65"/>
      <c r="R69" s="67" t="s">
        <v>24</v>
      </c>
      <c r="S69" s="65"/>
      <c r="T69" s="67" t="s">
        <v>25</v>
      </c>
    </row>
    <row r="70" spans="2:22" ht="15.6">
      <c r="B70" s="65"/>
      <c r="C70" s="65"/>
      <c r="D70" s="67"/>
      <c r="E70" s="67"/>
      <c r="F70" s="67" t="s">
        <v>27</v>
      </c>
      <c r="G70" s="67"/>
      <c r="H70" s="67" t="s">
        <v>32</v>
      </c>
      <c r="I70" s="67"/>
      <c r="J70" s="67"/>
      <c r="K70" s="67"/>
      <c r="L70" s="67" t="s">
        <v>2226</v>
      </c>
      <c r="M70" s="67"/>
      <c r="N70" s="67"/>
      <c r="O70" s="65"/>
      <c r="P70" s="65"/>
      <c r="Q70" s="65"/>
      <c r="R70" s="65"/>
      <c r="S70" s="65"/>
      <c r="T70" s="65"/>
    </row>
    <row r="71" spans="2:22" ht="15.6">
      <c r="B71" s="65"/>
      <c r="C71" s="65"/>
      <c r="D71" s="67" t="s">
        <v>2227</v>
      </c>
      <c r="E71" s="67"/>
      <c r="F71" s="67" t="s">
        <v>2228</v>
      </c>
      <c r="G71" s="67"/>
      <c r="H71" s="67" t="s">
        <v>2227</v>
      </c>
      <c r="I71" s="67"/>
      <c r="J71" s="67" t="s">
        <v>2229</v>
      </c>
      <c r="K71" s="67"/>
      <c r="L71" s="67" t="s">
        <v>2230</v>
      </c>
      <c r="M71" s="67"/>
      <c r="N71" s="67" t="s">
        <v>2231</v>
      </c>
      <c r="O71" s="65"/>
      <c r="P71" s="67" t="s">
        <v>32</v>
      </c>
      <c r="Q71" s="65"/>
      <c r="R71" s="67" t="s">
        <v>2232</v>
      </c>
      <c r="S71" s="65"/>
      <c r="T71" s="67" t="s">
        <v>45</v>
      </c>
    </row>
    <row r="72" spans="2:22" ht="15.6">
      <c r="B72" s="65"/>
      <c r="C72" s="65"/>
      <c r="D72" s="67" t="s">
        <v>47</v>
      </c>
      <c r="E72" s="67"/>
      <c r="F72" s="67" t="s">
        <v>2233</v>
      </c>
      <c r="G72" s="67"/>
      <c r="H72" s="67" t="s">
        <v>47</v>
      </c>
      <c r="I72" s="67"/>
      <c r="J72" s="67" t="s">
        <v>2234</v>
      </c>
      <c r="K72" s="67"/>
      <c r="L72" s="67" t="s">
        <v>2235</v>
      </c>
      <c r="M72" s="67"/>
      <c r="N72" s="67" t="s">
        <v>51</v>
      </c>
      <c r="O72" s="65"/>
      <c r="P72" s="67" t="s">
        <v>2236</v>
      </c>
      <c r="Q72" s="65"/>
      <c r="R72" s="67" t="s">
        <v>43</v>
      </c>
      <c r="S72" s="65"/>
      <c r="T72" s="67" t="s">
        <v>44</v>
      </c>
    </row>
    <row r="73" spans="2:22" ht="15.6">
      <c r="B73" s="65"/>
      <c r="C73" s="65"/>
      <c r="D73" s="68" t="s">
        <v>87</v>
      </c>
      <c r="E73" s="65"/>
      <c r="F73" s="68" t="s">
        <v>87</v>
      </c>
      <c r="G73" s="65"/>
      <c r="H73" s="68" t="s">
        <v>87</v>
      </c>
      <c r="I73" s="65"/>
      <c r="J73" s="68" t="s">
        <v>87</v>
      </c>
      <c r="K73" s="65"/>
      <c r="L73" s="68" t="s">
        <v>87</v>
      </c>
      <c r="M73" s="65"/>
      <c r="N73" s="68" t="s">
        <v>87</v>
      </c>
      <c r="O73" s="65"/>
      <c r="P73" s="68" t="s">
        <v>87</v>
      </c>
      <c r="Q73" s="65"/>
      <c r="R73" s="68" t="s">
        <v>87</v>
      </c>
      <c r="S73" s="65"/>
      <c r="T73" s="68" t="s">
        <v>87</v>
      </c>
    </row>
    <row r="74" spans="2:22" ht="15.6">
      <c r="B74" s="65" t="s">
        <v>2237</v>
      </c>
      <c r="C74" s="69" t="s">
        <v>90</v>
      </c>
      <c r="D74" s="65">
        <v>13711031069</v>
      </c>
      <c r="E74" s="69" t="s">
        <v>90</v>
      </c>
      <c r="F74" s="65">
        <v>-3940235152</v>
      </c>
      <c r="G74" s="69" t="s">
        <v>90</v>
      </c>
      <c r="H74" s="79">
        <v>9770795917</v>
      </c>
      <c r="I74" s="69" t="s">
        <v>90</v>
      </c>
      <c r="J74" s="65">
        <v>64262400</v>
      </c>
      <c r="K74" s="69" t="s">
        <v>90</v>
      </c>
      <c r="L74" s="65">
        <v>985419933</v>
      </c>
      <c r="M74" s="69" t="s">
        <v>90</v>
      </c>
      <c r="N74" s="65">
        <v>0</v>
      </c>
      <c r="O74" s="69" t="s">
        <v>90</v>
      </c>
      <c r="P74" s="65">
        <v>10820478250</v>
      </c>
      <c r="Q74" s="69" t="s">
        <v>90</v>
      </c>
      <c r="R74" s="65">
        <v>667959886.47139597</v>
      </c>
      <c r="S74" s="69" t="s">
        <v>90</v>
      </c>
      <c r="T74" s="65">
        <v>11488438136.471395</v>
      </c>
      <c r="V74" s="73"/>
    </row>
    <row r="75" spans="2:22" ht="15.6">
      <c r="B75" s="65"/>
      <c r="C75" s="65"/>
      <c r="D75" s="68" t="s">
        <v>87</v>
      </c>
      <c r="E75" s="65"/>
      <c r="F75" s="68" t="s">
        <v>87</v>
      </c>
      <c r="G75" s="65"/>
      <c r="H75" s="68" t="s">
        <v>87</v>
      </c>
      <c r="I75" s="65"/>
      <c r="J75" s="68" t="s">
        <v>87</v>
      </c>
      <c r="K75" s="65"/>
      <c r="L75" s="68" t="s">
        <v>87</v>
      </c>
      <c r="M75" s="65"/>
      <c r="N75" s="68" t="s">
        <v>87</v>
      </c>
      <c r="O75" s="65"/>
      <c r="P75" s="68" t="s">
        <v>87</v>
      </c>
      <c r="Q75" s="65"/>
      <c r="R75" s="68" t="s">
        <v>87</v>
      </c>
      <c r="S75" s="65"/>
      <c r="T75" s="68" t="s">
        <v>87</v>
      </c>
    </row>
    <row r="76" spans="2:22" ht="15.6">
      <c r="B76" s="71"/>
      <c r="C76" s="65"/>
      <c r="D76" s="65"/>
      <c r="E76" s="65"/>
      <c r="F76" s="65"/>
      <c r="G76" s="65"/>
      <c r="H76" s="65"/>
      <c r="I76" s="65"/>
      <c r="J76" s="65"/>
      <c r="K76" s="65"/>
      <c r="L76" s="65"/>
      <c r="M76" s="65"/>
      <c r="N76" s="65"/>
      <c r="O76" s="65"/>
      <c r="P76" s="65"/>
      <c r="Q76" s="65"/>
      <c r="R76" s="65"/>
      <c r="S76" s="65"/>
      <c r="T76" s="65"/>
    </row>
    <row r="77" spans="2:22" ht="15.6">
      <c r="B77" s="65" t="s">
        <v>2238</v>
      </c>
      <c r="C77" s="65"/>
      <c r="D77" s="65">
        <v>13625427560</v>
      </c>
      <c r="E77" s="65"/>
      <c r="F77" s="65">
        <v>-3919547234</v>
      </c>
      <c r="G77" s="65"/>
      <c r="H77" s="79">
        <v>9705880326</v>
      </c>
      <c r="I77" s="65"/>
      <c r="J77" s="65">
        <v>62532713</v>
      </c>
      <c r="K77" s="65"/>
      <c r="L77" s="65">
        <v>976876449</v>
      </c>
      <c r="M77" s="65"/>
      <c r="N77" s="65">
        <v>0</v>
      </c>
      <c r="O77" s="65"/>
      <c r="P77" s="65">
        <v>10745289488</v>
      </c>
      <c r="Q77" s="65"/>
      <c r="R77" s="65">
        <v>664299809</v>
      </c>
      <c r="S77" s="65"/>
      <c r="T77" s="65">
        <v>11409589297</v>
      </c>
    </row>
    <row r="78" spans="2:22" ht="15.6">
      <c r="B78" s="65"/>
      <c r="C78" s="65"/>
      <c r="D78" s="68" t="s">
        <v>135</v>
      </c>
      <c r="E78" s="65"/>
      <c r="F78" s="68" t="s">
        <v>135</v>
      </c>
      <c r="G78" s="65"/>
      <c r="H78" s="68" t="s">
        <v>135</v>
      </c>
      <c r="I78" s="65"/>
      <c r="J78" s="68" t="s">
        <v>135</v>
      </c>
      <c r="K78" s="65"/>
      <c r="L78" s="68" t="s">
        <v>135</v>
      </c>
      <c r="M78" s="65"/>
      <c r="N78" s="68" t="s">
        <v>135</v>
      </c>
      <c r="O78" s="65"/>
      <c r="P78" s="68" t="s">
        <v>135</v>
      </c>
      <c r="Q78" s="65"/>
      <c r="R78" s="68" t="s">
        <v>135</v>
      </c>
      <c r="S78" s="65"/>
      <c r="T78" s="68" t="s">
        <v>135</v>
      </c>
    </row>
    <row r="79" spans="2:22" ht="15.6">
      <c r="B79" s="65"/>
      <c r="C79" s="65"/>
      <c r="D79" s="58"/>
      <c r="E79" s="65"/>
      <c r="F79" s="65"/>
      <c r="G79" s="65"/>
      <c r="H79" s="65"/>
      <c r="I79" s="65"/>
      <c r="J79" s="65"/>
      <c r="K79" s="65"/>
      <c r="L79" s="65"/>
      <c r="M79" s="65"/>
      <c r="N79" s="65"/>
      <c r="O79" s="65"/>
      <c r="P79" s="65"/>
      <c r="Q79" s="65"/>
      <c r="R79" s="65"/>
      <c r="S79" s="65"/>
      <c r="T79" s="65"/>
    </row>
    <row r="80" spans="2:22" ht="15.6">
      <c r="B80" s="65" t="s">
        <v>2239</v>
      </c>
      <c r="C80" s="65"/>
      <c r="D80" s="65"/>
      <c r="E80" s="65"/>
      <c r="F80" s="65"/>
      <c r="G80" s="65"/>
      <c r="H80" s="65"/>
      <c r="I80" s="65"/>
      <c r="J80" s="65"/>
      <c r="K80" s="65"/>
      <c r="L80" s="65"/>
      <c r="M80" s="65"/>
      <c r="N80" s="65"/>
      <c r="O80" s="65"/>
      <c r="P80" s="65"/>
      <c r="Q80" s="65"/>
      <c r="R80" s="65"/>
      <c r="S80" s="65"/>
      <c r="T80" s="65"/>
    </row>
    <row r="81" spans="2:20" ht="15.6">
      <c r="B81" s="68" t="s">
        <v>87</v>
      </c>
      <c r="C81" s="65"/>
      <c r="D81" s="65"/>
      <c r="E81" s="65"/>
      <c r="F81" s="65"/>
      <c r="G81" s="65"/>
      <c r="H81" s="65"/>
      <c r="I81" s="65"/>
      <c r="J81" s="65"/>
      <c r="K81" s="65"/>
      <c r="L81" s="65"/>
      <c r="M81" s="65"/>
      <c r="N81" s="65"/>
      <c r="O81" s="65"/>
      <c r="P81" s="65"/>
      <c r="Q81" s="65"/>
      <c r="R81" s="65"/>
      <c r="S81" s="65"/>
      <c r="T81" s="65"/>
    </row>
    <row r="82" spans="2:20" ht="15.6">
      <c r="B82" s="65" t="s">
        <v>183</v>
      </c>
      <c r="C82" s="65"/>
      <c r="D82" s="65">
        <v>0</v>
      </c>
      <c r="E82" s="65"/>
      <c r="F82" s="65">
        <v>0</v>
      </c>
      <c r="G82" s="65"/>
      <c r="H82" s="72">
        <v>0</v>
      </c>
      <c r="I82" s="65"/>
      <c r="J82" s="65"/>
      <c r="K82" s="65"/>
      <c r="L82" s="65"/>
      <c r="M82" s="65"/>
      <c r="N82" s="65"/>
      <c r="O82" s="65"/>
      <c r="P82" s="65">
        <v>0</v>
      </c>
      <c r="Q82" s="65"/>
      <c r="R82" s="65">
        <v>-7448580</v>
      </c>
      <c r="S82" s="65"/>
      <c r="T82" s="65">
        <v>-7448580</v>
      </c>
    </row>
    <row r="83" spans="2:20" ht="15.6">
      <c r="B83" s="65" t="s">
        <v>92</v>
      </c>
      <c r="C83" s="65"/>
      <c r="D83" s="65">
        <v>-4162382.2953449874</v>
      </c>
      <c r="E83" s="65"/>
      <c r="F83" s="65">
        <v>2977520.2319537168</v>
      </c>
      <c r="G83" s="65"/>
      <c r="H83" s="72">
        <v>-1184862.0633912706</v>
      </c>
      <c r="I83" s="65"/>
      <c r="J83" s="65"/>
      <c r="K83" s="65"/>
      <c r="L83" s="65">
        <v>0</v>
      </c>
      <c r="M83" s="65"/>
      <c r="N83" s="65"/>
      <c r="O83" s="65"/>
      <c r="P83" s="65">
        <v>-1184862.0633912706</v>
      </c>
      <c r="Q83" s="65"/>
      <c r="R83" s="65">
        <v>-2705143</v>
      </c>
      <c r="S83" s="65"/>
      <c r="T83" s="65">
        <v>-3890005.0633912706</v>
      </c>
    </row>
    <row r="84" spans="2:20" ht="15.6">
      <c r="B84" s="75" t="s">
        <v>34</v>
      </c>
      <c r="C84" s="65"/>
      <c r="D84" s="65"/>
      <c r="E84" s="65"/>
      <c r="F84" s="65"/>
      <c r="G84" s="65"/>
      <c r="H84" s="72">
        <v>0</v>
      </c>
      <c r="I84" s="65"/>
      <c r="J84" s="65"/>
      <c r="K84" s="65"/>
      <c r="L84" s="65"/>
      <c r="M84" s="65"/>
      <c r="N84" s="65"/>
      <c r="O84" s="65"/>
      <c r="P84" s="65"/>
      <c r="Q84" s="65"/>
      <c r="R84" s="65">
        <v>-10752566</v>
      </c>
      <c r="S84" s="65"/>
      <c r="T84" s="65">
        <v>-10752566</v>
      </c>
    </row>
    <row r="85" spans="2:20" ht="15.6">
      <c r="B85" s="75" t="s">
        <v>96</v>
      </c>
      <c r="C85" s="65"/>
      <c r="D85" s="65">
        <v>-260483222.90113807</v>
      </c>
      <c r="E85" s="65"/>
      <c r="F85" s="65">
        <v>108208597.49469018</v>
      </c>
      <c r="G85" s="65"/>
      <c r="H85" s="72">
        <v>-152274625.40644789</v>
      </c>
      <c r="I85" s="65"/>
      <c r="J85" s="65"/>
      <c r="K85" s="65"/>
      <c r="L85" s="65">
        <v>-772926.62291185837</v>
      </c>
      <c r="M85" s="65"/>
      <c r="N85" s="65"/>
      <c r="O85" s="65"/>
      <c r="P85" s="65">
        <v>-153047552.02935976</v>
      </c>
      <c r="Q85" s="65"/>
      <c r="R85" s="65">
        <v>0</v>
      </c>
      <c r="S85" s="65"/>
      <c r="T85" s="65">
        <v>-153047552.02935976</v>
      </c>
    </row>
    <row r="86" spans="2:20" ht="15.6">
      <c r="B86" s="75" t="s">
        <v>94</v>
      </c>
      <c r="C86" s="65"/>
      <c r="D86" s="65">
        <v>-598917044.27419794</v>
      </c>
      <c r="E86" s="65"/>
      <c r="F86" s="65">
        <v>12865809.459014837</v>
      </c>
      <c r="G86" s="65"/>
      <c r="H86" s="72">
        <v>-586051234.81518304</v>
      </c>
      <c r="I86" s="65"/>
      <c r="J86" s="65"/>
      <c r="K86" s="65"/>
      <c r="L86" s="65">
        <v>-18320818.31768395</v>
      </c>
      <c r="M86" s="65"/>
      <c r="N86" s="65"/>
      <c r="O86" s="65"/>
      <c r="P86" s="65">
        <v>-604372053.13286698</v>
      </c>
      <c r="Q86" s="65"/>
      <c r="R86" s="65">
        <v>-302829</v>
      </c>
      <c r="S86" s="65"/>
      <c r="T86" s="65">
        <v>-604674882.13286698</v>
      </c>
    </row>
    <row r="87" spans="2:20" ht="15.6">
      <c r="B87" s="75" t="s">
        <v>99</v>
      </c>
      <c r="C87" s="65"/>
      <c r="D87" s="65"/>
      <c r="E87" s="65"/>
      <c r="F87" s="65"/>
      <c r="G87" s="65"/>
      <c r="H87" s="72"/>
      <c r="I87" s="65"/>
      <c r="J87" s="65"/>
      <c r="K87" s="65"/>
      <c r="L87" s="65"/>
      <c r="M87" s="65"/>
      <c r="N87" s="65"/>
      <c r="O87" s="65"/>
      <c r="P87" s="65">
        <v>0</v>
      </c>
      <c r="Q87" s="65"/>
      <c r="R87" s="65">
        <v>-510212605</v>
      </c>
      <c r="S87" s="65"/>
      <c r="T87" s="65">
        <v>-510212605</v>
      </c>
    </row>
    <row r="88" spans="2:20" ht="15.6">
      <c r="B88" s="65" t="s">
        <v>138</v>
      </c>
      <c r="C88" s="65"/>
      <c r="D88" s="65"/>
      <c r="E88" s="65"/>
      <c r="F88" s="65"/>
      <c r="G88" s="65"/>
      <c r="H88" s="65"/>
      <c r="I88" s="65"/>
      <c r="J88" s="65"/>
      <c r="K88" s="65"/>
      <c r="L88" s="65"/>
      <c r="M88" s="65"/>
      <c r="N88" s="65"/>
      <c r="O88" s="65"/>
      <c r="P88" s="65"/>
      <c r="Q88" s="65"/>
      <c r="R88" s="65">
        <v>0</v>
      </c>
      <c r="S88" s="65"/>
      <c r="T88" s="65">
        <v>0</v>
      </c>
    </row>
    <row r="89" spans="2:20" ht="15.6">
      <c r="B89" s="65" t="s">
        <v>106</v>
      </c>
      <c r="C89" s="65"/>
      <c r="D89" s="65"/>
      <c r="E89" s="65"/>
      <c r="F89" s="65"/>
      <c r="G89" s="65"/>
      <c r="H89" s="65"/>
      <c r="I89" s="65"/>
      <c r="J89" s="65"/>
      <c r="K89" s="65"/>
      <c r="L89" s="65">
        <v>-957782704.05940425</v>
      </c>
      <c r="M89" s="65"/>
      <c r="N89" s="65"/>
      <c r="O89" s="65"/>
      <c r="P89" s="65">
        <v>-957782704.05940425</v>
      </c>
      <c r="Q89" s="65"/>
      <c r="R89" s="66"/>
      <c r="S89" s="65"/>
      <c r="T89" s="65">
        <v>-957782704.05940425</v>
      </c>
    </row>
    <row r="90" spans="2:20" ht="15.6">
      <c r="B90" s="65" t="s">
        <v>113</v>
      </c>
      <c r="C90" s="65"/>
      <c r="D90" s="65"/>
      <c r="E90" s="65"/>
      <c r="F90" s="65"/>
      <c r="G90" s="65"/>
      <c r="H90" s="65"/>
      <c r="I90" s="65"/>
      <c r="J90" s="65"/>
      <c r="K90" s="65"/>
      <c r="L90" s="65">
        <v>119472542.02275003</v>
      </c>
      <c r="M90" s="65"/>
      <c r="N90" s="65"/>
      <c r="O90" s="65"/>
      <c r="P90" s="65">
        <v>119472542.02275003</v>
      </c>
      <c r="Q90" s="65"/>
      <c r="R90" s="66"/>
      <c r="S90" s="65"/>
      <c r="T90" s="65">
        <v>119472542.02275003</v>
      </c>
    </row>
    <row r="91" spans="2:20" ht="15.6">
      <c r="B91" s="65" t="s">
        <v>2241</v>
      </c>
      <c r="C91" s="65"/>
      <c r="D91" s="65">
        <v>0</v>
      </c>
      <c r="E91" s="65"/>
      <c r="F91" s="65"/>
      <c r="G91" s="65"/>
      <c r="H91" s="72">
        <v>0</v>
      </c>
      <c r="I91" s="65"/>
      <c r="J91" s="65"/>
      <c r="K91" s="65"/>
      <c r="L91" s="65"/>
      <c r="M91" s="65"/>
      <c r="N91" s="65"/>
      <c r="O91" s="65"/>
      <c r="P91" s="65">
        <v>0</v>
      </c>
      <c r="Q91" s="65"/>
      <c r="R91" s="65"/>
      <c r="S91" s="65"/>
      <c r="T91" s="65">
        <v>0</v>
      </c>
    </row>
    <row r="92" spans="2:20" ht="15.6">
      <c r="B92" s="75" t="s">
        <v>2242</v>
      </c>
      <c r="C92" s="65"/>
      <c r="D92" s="65"/>
      <c r="E92" s="65"/>
      <c r="F92" s="65">
        <v>0</v>
      </c>
      <c r="G92" s="65"/>
      <c r="H92" s="72">
        <v>0</v>
      </c>
      <c r="I92" s="65"/>
      <c r="J92" s="65"/>
      <c r="K92" s="65"/>
      <c r="L92" s="65"/>
      <c r="M92" s="65"/>
      <c r="N92" s="65"/>
      <c r="O92" s="65"/>
      <c r="P92" s="65">
        <v>0</v>
      </c>
      <c r="Q92" s="65"/>
      <c r="R92" s="65"/>
      <c r="S92" s="65"/>
      <c r="T92" s="65">
        <v>0</v>
      </c>
    </row>
    <row r="93" spans="2:20" ht="15.6">
      <c r="B93" s="65" t="s">
        <v>2243</v>
      </c>
      <c r="C93" s="65"/>
      <c r="D93" s="65">
        <v>-7438091.8169712909</v>
      </c>
      <c r="E93" s="65"/>
      <c r="F93" s="65">
        <v>6847225.2677837331</v>
      </c>
      <c r="G93" s="65"/>
      <c r="H93" s="72">
        <v>-590866.54918755777</v>
      </c>
      <c r="I93" s="65"/>
      <c r="J93" s="65"/>
      <c r="K93" s="65"/>
      <c r="L93" s="65"/>
      <c r="M93" s="65"/>
      <c r="N93" s="65"/>
      <c r="O93" s="65"/>
      <c r="P93" s="65">
        <v>-590866.54918755777</v>
      </c>
      <c r="Q93" s="65"/>
      <c r="R93" s="65"/>
      <c r="S93" s="65"/>
      <c r="T93" s="65">
        <v>-590866.54918755777</v>
      </c>
    </row>
    <row r="94" spans="2:20" ht="15.6">
      <c r="B94" s="65" t="s">
        <v>143</v>
      </c>
      <c r="C94" s="65"/>
      <c r="D94" s="65"/>
      <c r="E94" s="65"/>
      <c r="F94" s="65"/>
      <c r="G94" s="65"/>
      <c r="H94" s="72"/>
      <c r="I94" s="65"/>
      <c r="J94" s="65"/>
      <c r="K94" s="65"/>
      <c r="L94" s="65"/>
      <c r="M94" s="65"/>
      <c r="N94" s="65"/>
      <c r="O94" s="65"/>
      <c r="P94" s="65">
        <v>0</v>
      </c>
      <c r="Q94" s="65"/>
      <c r="R94" s="65">
        <v>0</v>
      </c>
      <c r="S94" s="65"/>
      <c r="T94" s="65">
        <v>0</v>
      </c>
    </row>
    <row r="95" spans="2:20" ht="15.6">
      <c r="B95" s="65" t="s">
        <v>131</v>
      </c>
      <c r="C95" s="65"/>
      <c r="D95" s="65">
        <v>-32535310.906745594</v>
      </c>
      <c r="E95" s="65"/>
      <c r="F95" s="65"/>
      <c r="G95" s="65"/>
      <c r="H95" s="72">
        <v>-32535310.906745594</v>
      </c>
      <c r="I95" s="65"/>
      <c r="J95" s="65"/>
      <c r="K95" s="65"/>
      <c r="L95" s="65"/>
      <c r="M95" s="65"/>
      <c r="N95" s="65"/>
      <c r="O95" s="65"/>
      <c r="P95" s="65">
        <v>-32535310.906745594</v>
      </c>
      <c r="Q95" s="65"/>
      <c r="R95" s="65">
        <v>34408368</v>
      </c>
      <c r="S95" s="65"/>
      <c r="T95" s="65">
        <v>1873057.093254406</v>
      </c>
    </row>
    <row r="96" spans="2:20" ht="15.6">
      <c r="B96" s="65"/>
      <c r="C96" s="65"/>
      <c r="D96" s="65"/>
      <c r="E96" s="65"/>
      <c r="F96" s="65"/>
      <c r="G96" s="65"/>
      <c r="H96" s="65"/>
      <c r="I96" s="65"/>
      <c r="J96" s="65"/>
      <c r="K96" s="65"/>
      <c r="L96" s="65"/>
      <c r="M96" s="65"/>
      <c r="N96" s="65"/>
      <c r="O96" s="65"/>
      <c r="P96" s="65"/>
      <c r="Q96" s="65"/>
      <c r="R96" s="65"/>
      <c r="S96" s="65"/>
      <c r="T96" s="65"/>
    </row>
    <row r="97" spans="2:20" ht="15.6">
      <c r="B97" s="65"/>
      <c r="C97" s="65"/>
      <c r="D97" s="68" t="s">
        <v>87</v>
      </c>
      <c r="E97" s="65"/>
      <c r="F97" s="68" t="s">
        <v>87</v>
      </c>
      <c r="G97" s="65"/>
      <c r="H97" s="68" t="s">
        <v>87</v>
      </c>
      <c r="I97" s="65"/>
      <c r="J97" s="68" t="s">
        <v>87</v>
      </c>
      <c r="K97" s="65"/>
      <c r="L97" s="68" t="s">
        <v>87</v>
      </c>
      <c r="M97" s="65"/>
      <c r="N97" s="68" t="s">
        <v>87</v>
      </c>
      <c r="O97" s="65"/>
      <c r="P97" s="68" t="s">
        <v>87</v>
      </c>
      <c r="Q97" s="65"/>
      <c r="R97" s="68" t="s">
        <v>87</v>
      </c>
      <c r="S97" s="65"/>
      <c r="T97" s="68" t="s">
        <v>87</v>
      </c>
    </row>
    <row r="98" spans="2:20" ht="15.6">
      <c r="B98" s="65" t="s">
        <v>2244</v>
      </c>
      <c r="C98" s="65"/>
      <c r="D98" s="65">
        <v>-903536052.19439781</v>
      </c>
      <c r="E98" s="65"/>
      <c r="F98" s="65">
        <v>130899152.45344245</v>
      </c>
      <c r="G98" s="65"/>
      <c r="H98" s="65">
        <v>-772636899.74095535</v>
      </c>
      <c r="I98" s="65"/>
      <c r="J98" s="65">
        <v>0</v>
      </c>
      <c r="K98" s="65"/>
      <c r="L98" s="65">
        <v>-857403906.9772501</v>
      </c>
      <c r="M98" s="65"/>
      <c r="N98" s="65">
        <v>0</v>
      </c>
      <c r="O98" s="65"/>
      <c r="P98" s="65">
        <v>-1630040806.7182055</v>
      </c>
      <c r="Q98" s="65"/>
      <c r="R98" s="65">
        <v>-497013355</v>
      </c>
      <c r="S98" s="65"/>
      <c r="T98" s="65">
        <v>-2127054161.7182055</v>
      </c>
    </row>
    <row r="99" spans="2:20" ht="15.6">
      <c r="B99" s="65"/>
      <c r="C99" s="65"/>
      <c r="D99" s="68" t="s">
        <v>87</v>
      </c>
      <c r="E99" s="65"/>
      <c r="F99" s="68" t="s">
        <v>87</v>
      </c>
      <c r="G99" s="65"/>
      <c r="H99" s="68" t="s">
        <v>87</v>
      </c>
      <c r="I99" s="65"/>
      <c r="J99" s="68" t="s">
        <v>87</v>
      </c>
      <c r="K99" s="65"/>
      <c r="L99" s="68" t="s">
        <v>87</v>
      </c>
      <c r="M99" s="65"/>
      <c r="N99" s="68" t="s">
        <v>87</v>
      </c>
      <c r="O99" s="65"/>
      <c r="P99" s="68" t="s">
        <v>87</v>
      </c>
      <c r="Q99" s="65"/>
      <c r="R99" s="68" t="s">
        <v>87</v>
      </c>
      <c r="S99" s="65"/>
      <c r="T99" s="68" t="s">
        <v>87</v>
      </c>
    </row>
    <row r="100" spans="2:20" ht="15.6">
      <c r="B100" s="65" t="s">
        <v>2245</v>
      </c>
      <c r="C100" s="65"/>
      <c r="D100" s="65">
        <v>12721891507.805603</v>
      </c>
      <c r="E100" s="65"/>
      <c r="F100" s="65">
        <v>-3788648081.5465574</v>
      </c>
      <c r="G100" s="65"/>
      <c r="H100" s="65">
        <v>8933243426.2590446</v>
      </c>
      <c r="I100" s="65"/>
      <c r="J100" s="65">
        <v>62532713</v>
      </c>
      <c r="K100" s="65"/>
      <c r="L100" s="65">
        <v>119472542.0227499</v>
      </c>
      <c r="M100" s="65"/>
      <c r="N100" s="65">
        <v>0</v>
      </c>
      <c r="O100" s="65"/>
      <c r="P100" s="65">
        <v>9115248681.2817955</v>
      </c>
      <c r="Q100" s="65"/>
      <c r="R100" s="65">
        <v>167286454</v>
      </c>
      <c r="S100" s="65"/>
      <c r="T100" s="65">
        <v>9282535135.2817955</v>
      </c>
    </row>
    <row r="101" spans="2:20" ht="15.6">
      <c r="B101" s="65"/>
      <c r="C101" s="65"/>
      <c r="D101" s="68" t="s">
        <v>87</v>
      </c>
      <c r="E101" s="65"/>
      <c r="F101" s="68" t="s">
        <v>87</v>
      </c>
      <c r="G101" s="65"/>
      <c r="H101" s="68" t="s">
        <v>87</v>
      </c>
      <c r="I101" s="65"/>
      <c r="J101" s="68" t="s">
        <v>87</v>
      </c>
      <c r="K101" s="65"/>
      <c r="L101" s="68" t="s">
        <v>87</v>
      </c>
      <c r="M101" s="65"/>
      <c r="N101" s="68" t="s">
        <v>87</v>
      </c>
      <c r="O101" s="65"/>
      <c r="P101" s="68" t="s">
        <v>87</v>
      </c>
      <c r="Q101" s="65"/>
      <c r="R101" s="68" t="s">
        <v>87</v>
      </c>
      <c r="S101" s="65"/>
      <c r="T101" s="68" t="s">
        <v>87</v>
      </c>
    </row>
    <row r="102" spans="2:20" ht="15.6">
      <c r="B102" s="65" t="s">
        <v>2246</v>
      </c>
      <c r="C102" s="65"/>
      <c r="D102" s="65"/>
      <c r="E102" s="65"/>
      <c r="F102" s="65"/>
      <c r="G102" s="65"/>
      <c r="H102" s="65"/>
      <c r="I102" s="65"/>
      <c r="J102" s="65"/>
      <c r="K102" s="65"/>
      <c r="L102" s="65"/>
      <c r="M102" s="65"/>
      <c r="N102" s="65"/>
      <c r="O102" s="65"/>
      <c r="P102" s="65"/>
      <c r="Q102" s="65"/>
      <c r="R102" s="65"/>
      <c r="S102" s="65"/>
      <c r="T102" s="65"/>
    </row>
    <row r="103" spans="2:20" ht="15.6">
      <c r="B103" s="65" t="s">
        <v>2247</v>
      </c>
      <c r="C103" s="65"/>
      <c r="D103" s="65"/>
      <c r="E103" s="65"/>
      <c r="F103" s="65"/>
      <c r="G103" s="65"/>
      <c r="H103" s="65"/>
      <c r="I103" s="65"/>
      <c r="J103" s="65"/>
      <c r="K103" s="65"/>
      <c r="L103" s="65"/>
      <c r="M103" s="65"/>
      <c r="N103" s="65"/>
      <c r="O103" s="65"/>
      <c r="P103" s="65"/>
      <c r="Q103" s="65"/>
      <c r="R103" s="65"/>
      <c r="S103" s="65"/>
      <c r="T103" s="65"/>
    </row>
    <row r="104" spans="2:20" ht="15.6">
      <c r="B104" s="68" t="s">
        <v>87</v>
      </c>
      <c r="C104" s="65"/>
      <c r="D104" s="65"/>
      <c r="E104" s="65"/>
      <c r="F104" s="65"/>
      <c r="G104" s="65"/>
      <c r="H104" s="65"/>
      <c r="I104" s="65"/>
      <c r="J104" s="65"/>
      <c r="K104" s="65"/>
      <c r="L104" s="65"/>
      <c r="M104" s="65"/>
      <c r="N104" s="65"/>
      <c r="O104" s="65"/>
      <c r="P104" s="65"/>
      <c r="Q104" s="65"/>
      <c r="R104" s="76"/>
      <c r="S104" s="76"/>
      <c r="T104" s="65"/>
    </row>
    <row r="105" spans="2:20" ht="15.6">
      <c r="B105" s="76"/>
      <c r="C105" s="76"/>
      <c r="D105" s="76"/>
      <c r="E105" s="76"/>
      <c r="F105" s="76"/>
      <c r="G105" s="76"/>
      <c r="H105" s="76"/>
      <c r="I105" s="76"/>
      <c r="J105" s="76"/>
      <c r="K105" s="76"/>
      <c r="L105" s="76"/>
      <c r="M105" s="76"/>
      <c r="N105" s="76"/>
      <c r="O105" s="76"/>
      <c r="P105" s="76"/>
      <c r="Q105" s="76"/>
      <c r="R105" s="76"/>
      <c r="S105" s="76"/>
      <c r="T105" s="76"/>
    </row>
    <row r="106" spans="2:20" ht="15.6">
      <c r="B106" s="65"/>
      <c r="C106" s="65"/>
      <c r="D106" s="65"/>
      <c r="E106" s="65"/>
      <c r="F106" s="65"/>
      <c r="G106" s="65"/>
      <c r="H106" s="65"/>
      <c r="I106" s="65"/>
      <c r="J106" s="65"/>
      <c r="K106" s="65"/>
      <c r="L106" s="65"/>
      <c r="M106" s="65"/>
      <c r="N106" s="65"/>
      <c r="O106" s="65"/>
      <c r="P106" s="65"/>
      <c r="Q106" s="65"/>
      <c r="R106" s="65"/>
      <c r="S106" s="65"/>
      <c r="T106" s="65"/>
    </row>
    <row r="107" spans="2:20" ht="15.6">
      <c r="B107" s="65"/>
      <c r="C107" s="65"/>
      <c r="D107" s="68" t="s">
        <v>87</v>
      </c>
      <c r="E107" s="65"/>
      <c r="F107" s="68" t="s">
        <v>87</v>
      </c>
      <c r="G107" s="65"/>
      <c r="H107" s="68" t="s">
        <v>87</v>
      </c>
      <c r="I107" s="65"/>
      <c r="J107" s="68" t="s">
        <v>87</v>
      </c>
      <c r="K107" s="65"/>
      <c r="L107" s="68" t="s">
        <v>87</v>
      </c>
      <c r="M107" s="65"/>
      <c r="N107" s="68" t="s">
        <v>87</v>
      </c>
      <c r="O107" s="65"/>
      <c r="P107" s="68" t="s">
        <v>87</v>
      </c>
      <c r="Q107" s="65"/>
      <c r="R107" s="68" t="s">
        <v>87</v>
      </c>
      <c r="S107" s="65"/>
      <c r="T107" s="68" t="s">
        <v>87</v>
      </c>
    </row>
    <row r="108" spans="2:20" ht="15.6">
      <c r="B108" s="65" t="s">
        <v>2248</v>
      </c>
      <c r="C108" s="65"/>
      <c r="D108" s="65">
        <v>0</v>
      </c>
      <c r="E108" s="65"/>
      <c r="F108" s="65">
        <v>0</v>
      </c>
      <c r="G108" s="65"/>
      <c r="H108" s="65">
        <v>0</v>
      </c>
      <c r="I108" s="65"/>
      <c r="J108" s="65">
        <v>0</v>
      </c>
      <c r="K108" s="65"/>
      <c r="L108" s="65">
        <v>0</v>
      </c>
      <c r="M108" s="65"/>
      <c r="N108" s="65">
        <v>0</v>
      </c>
      <c r="O108" s="65"/>
      <c r="P108" s="65">
        <v>0</v>
      </c>
      <c r="Q108" s="65"/>
      <c r="R108" s="65">
        <v>0</v>
      </c>
      <c r="S108" s="65"/>
      <c r="T108" s="65">
        <v>0</v>
      </c>
    </row>
    <row r="109" spans="2:20" ht="15.6">
      <c r="B109" s="65"/>
      <c r="C109" s="65"/>
      <c r="D109" s="68" t="s">
        <v>87</v>
      </c>
      <c r="E109" s="65"/>
      <c r="F109" s="68" t="s">
        <v>87</v>
      </c>
      <c r="G109" s="65"/>
      <c r="H109" s="68" t="s">
        <v>87</v>
      </c>
      <c r="I109" s="65"/>
      <c r="J109" s="68" t="s">
        <v>87</v>
      </c>
      <c r="K109" s="65"/>
      <c r="L109" s="68" t="s">
        <v>87</v>
      </c>
      <c r="M109" s="65"/>
      <c r="N109" s="68" t="s">
        <v>87</v>
      </c>
      <c r="O109" s="65"/>
      <c r="P109" s="68" t="s">
        <v>87</v>
      </c>
      <c r="Q109" s="65"/>
      <c r="R109" s="68" t="s">
        <v>87</v>
      </c>
      <c r="S109" s="65"/>
      <c r="T109" s="68" t="s">
        <v>87</v>
      </c>
    </row>
    <row r="110" spans="2:20" ht="15.6">
      <c r="B110" s="65" t="s">
        <v>2249</v>
      </c>
      <c r="C110" s="69" t="s">
        <v>90</v>
      </c>
      <c r="D110" s="65">
        <v>12721891507.805603</v>
      </c>
      <c r="E110" s="77" t="s">
        <v>90</v>
      </c>
      <c r="F110" s="65">
        <v>-3788648081.5465574</v>
      </c>
      <c r="G110" s="77" t="s">
        <v>90</v>
      </c>
      <c r="H110" s="65">
        <v>8933243426.2590446</v>
      </c>
      <c r="I110" s="77" t="s">
        <v>90</v>
      </c>
      <c r="J110" s="65">
        <v>62532713</v>
      </c>
      <c r="K110" s="77" t="s">
        <v>90</v>
      </c>
      <c r="L110" s="65">
        <v>119472542.0227499</v>
      </c>
      <c r="M110" s="77" t="s">
        <v>90</v>
      </c>
      <c r="N110" s="65">
        <v>0</v>
      </c>
      <c r="O110" s="77" t="s">
        <v>90</v>
      </c>
      <c r="P110" s="65">
        <v>9115248681.2817955</v>
      </c>
      <c r="Q110" s="77" t="s">
        <v>90</v>
      </c>
      <c r="R110" s="65">
        <v>167286454</v>
      </c>
      <c r="S110" s="77" t="s">
        <v>90</v>
      </c>
      <c r="T110" s="65">
        <v>9282535135.2817955</v>
      </c>
    </row>
    <row r="111" spans="2:20" ht="15.6">
      <c r="B111" s="65"/>
      <c r="C111" s="65"/>
      <c r="D111" s="68" t="s">
        <v>135</v>
      </c>
      <c r="E111" s="65"/>
      <c r="F111" s="68" t="s">
        <v>135</v>
      </c>
      <c r="G111" s="65"/>
      <c r="H111" s="68" t="s">
        <v>135</v>
      </c>
      <c r="I111" s="65"/>
      <c r="J111" s="68" t="s">
        <v>135</v>
      </c>
      <c r="K111" s="65"/>
      <c r="L111" s="68" t="s">
        <v>135</v>
      </c>
      <c r="M111" s="65"/>
      <c r="N111" s="68" t="s">
        <v>135</v>
      </c>
      <c r="O111" s="65"/>
      <c r="P111" s="68" t="s">
        <v>135</v>
      </c>
      <c r="Q111" s="65"/>
      <c r="R111" s="68" t="s">
        <v>135</v>
      </c>
      <c r="S111" s="65"/>
      <c r="T111" s="68" t="s">
        <v>135</v>
      </c>
    </row>
    <row r="112" spans="2:20" ht="15.6">
      <c r="B112" s="65"/>
      <c r="C112" s="65"/>
      <c r="D112" s="65"/>
      <c r="E112" s="65"/>
      <c r="F112" s="65"/>
      <c r="G112" s="65"/>
      <c r="H112" s="388"/>
      <c r="I112" s="65"/>
      <c r="J112" s="65"/>
      <c r="K112" s="65"/>
      <c r="L112" s="65"/>
      <c r="M112" s="65"/>
      <c r="N112" s="65"/>
      <c r="O112" s="65"/>
      <c r="P112" s="65"/>
      <c r="Q112" s="65"/>
      <c r="R112" s="65"/>
      <c r="S112" s="65"/>
      <c r="T112" s="65"/>
    </row>
    <row r="113" spans="2:20" ht="15.6">
      <c r="B113" s="65"/>
      <c r="C113" s="65"/>
      <c r="D113" s="65"/>
      <c r="E113" s="65"/>
      <c r="F113" s="65"/>
      <c r="G113" s="65"/>
      <c r="H113" s="65"/>
      <c r="I113" s="65"/>
      <c r="J113" s="65"/>
      <c r="K113" s="65"/>
      <c r="L113" s="65"/>
      <c r="M113" s="65"/>
      <c r="N113" s="65"/>
      <c r="O113" s="65"/>
      <c r="P113" s="65"/>
      <c r="Q113" s="65"/>
      <c r="R113" s="65"/>
      <c r="S113" s="65"/>
      <c r="T113" s="65"/>
    </row>
    <row r="114" spans="2:20" ht="15.6">
      <c r="B114" s="65"/>
      <c r="C114" s="65"/>
      <c r="D114" s="65"/>
      <c r="E114" s="65"/>
      <c r="F114" s="65"/>
      <c r="G114" s="65"/>
      <c r="H114" s="65"/>
      <c r="I114" s="65"/>
      <c r="J114" s="65"/>
      <c r="K114" s="65"/>
      <c r="L114" s="65"/>
      <c r="M114" s="65"/>
      <c r="N114" s="65"/>
      <c r="O114" s="65"/>
      <c r="P114" s="65"/>
      <c r="Q114" s="65"/>
      <c r="R114" s="65"/>
      <c r="S114" s="65"/>
      <c r="T114" s="65"/>
    </row>
    <row r="115" spans="2:20" ht="15.6">
      <c r="B115" s="65"/>
      <c r="C115" s="65"/>
      <c r="D115" s="65"/>
      <c r="E115" s="65"/>
      <c r="F115" s="65"/>
      <c r="G115" s="65"/>
      <c r="H115" s="65"/>
      <c r="I115" s="65"/>
      <c r="J115" s="65"/>
      <c r="K115" s="65"/>
      <c r="L115" s="65"/>
      <c r="M115" s="65"/>
      <c r="N115" s="65"/>
      <c r="O115" s="65"/>
      <c r="P115" s="65"/>
      <c r="Q115" s="65"/>
      <c r="R115" s="65"/>
      <c r="S115" s="65"/>
      <c r="T115" s="65"/>
    </row>
    <row r="116" spans="2:20" ht="15.6">
      <c r="B116" s="65"/>
      <c r="C116" s="65"/>
      <c r="D116" s="65"/>
      <c r="E116" s="65"/>
      <c r="F116" s="65"/>
      <c r="G116" s="65"/>
      <c r="H116" s="65"/>
      <c r="I116" s="65"/>
      <c r="J116" s="65"/>
      <c r="K116" s="65"/>
      <c r="L116" s="65"/>
      <c r="M116" s="65"/>
      <c r="N116" s="65"/>
      <c r="O116" s="65"/>
      <c r="P116" s="65"/>
      <c r="Q116" s="65"/>
      <c r="R116" s="65"/>
      <c r="S116" s="65"/>
      <c r="T116" s="65"/>
    </row>
    <row r="117" spans="2:20" ht="15.6">
      <c r="B117" s="78" t="s">
        <v>2250</v>
      </c>
      <c r="C117" s="65"/>
      <c r="D117" s="65"/>
      <c r="E117" s="65"/>
      <c r="F117" s="65"/>
      <c r="G117" s="65"/>
      <c r="H117" s="65"/>
      <c r="I117" s="65"/>
      <c r="J117" s="65"/>
      <c r="K117" s="65"/>
      <c r="L117" s="65"/>
      <c r="M117" s="65"/>
      <c r="N117" s="65"/>
      <c r="O117" s="65"/>
      <c r="P117" s="65"/>
      <c r="Q117" s="65"/>
      <c r="R117" s="65"/>
      <c r="S117" s="65"/>
      <c r="T117" s="65"/>
    </row>
    <row r="118" spans="2:20" ht="15.6">
      <c r="B118" s="78" t="s">
        <v>2251</v>
      </c>
      <c r="C118" s="65"/>
      <c r="D118" s="65"/>
      <c r="E118" s="65"/>
      <c r="F118" s="65"/>
      <c r="G118" s="65"/>
      <c r="H118" s="65"/>
      <c r="I118" s="65"/>
      <c r="J118" s="65"/>
      <c r="K118" s="65"/>
      <c r="L118" s="65"/>
      <c r="M118" s="65"/>
      <c r="N118" s="65"/>
      <c r="O118" s="65"/>
      <c r="P118" s="65"/>
      <c r="Q118" s="65"/>
      <c r="R118" s="65"/>
      <c r="S118" s="65"/>
      <c r="T118" s="65"/>
    </row>
    <row r="119" spans="2:20" ht="15.6">
      <c r="B119" s="78" t="s">
        <v>2252</v>
      </c>
      <c r="C119" s="65"/>
      <c r="D119" s="65"/>
      <c r="E119" s="65"/>
      <c r="F119" s="65"/>
      <c r="G119" s="65"/>
      <c r="H119" s="65"/>
      <c r="I119" s="65"/>
      <c r="J119" s="65"/>
      <c r="K119" s="65"/>
      <c r="L119" s="65"/>
      <c r="M119" s="65"/>
      <c r="N119" s="65"/>
      <c r="O119" s="65"/>
      <c r="P119" s="65"/>
      <c r="Q119" s="65"/>
      <c r="R119" s="65"/>
      <c r="S119" s="65"/>
      <c r="T119" s="65"/>
    </row>
  </sheetData>
  <mergeCells count="2">
    <mergeCell ref="B4:T4"/>
    <mergeCell ref="B5:T5"/>
  </mergeCells>
  <pageMargins left="0.7" right="0.7" top="0.75" bottom="0.75" header="0.3" footer="0.3"/>
  <pageSetup scale="51" orientation="landscape" r:id="rId1"/>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E9138-2DF0-4111-A882-A5A9F3CA7D18}">
  <sheetPr>
    <tabColor rgb="FFE1FFE1"/>
    <pageSetUpPr fitToPage="1"/>
  </sheetPr>
  <dimension ref="B2:AF119"/>
  <sheetViews>
    <sheetView topLeftCell="A2" zoomScale="70" zoomScaleNormal="70" zoomScaleSheetLayoutView="70" workbookViewId="0">
      <selection activeCell="L21" sqref="L21:L34"/>
    </sheetView>
  </sheetViews>
  <sheetFormatPr defaultColWidth="8.88671875" defaultRowHeight="14.4"/>
  <cols>
    <col min="1" max="1" width="8.88671875" style="59"/>
    <col min="2" max="2" width="42.88671875" style="59" customWidth="1"/>
    <col min="3" max="3" width="2.6640625" style="59" customWidth="1"/>
    <col min="4" max="4" width="17.88671875" style="59" customWidth="1"/>
    <col min="5" max="5" width="2.6640625" style="59" customWidth="1"/>
    <col min="6" max="6" width="17.88671875" style="59" customWidth="1"/>
    <col min="7" max="7" width="2.6640625" style="59" customWidth="1"/>
    <col min="8" max="8" width="20.5546875" style="59" customWidth="1"/>
    <col min="9" max="9" width="2.6640625" style="59" customWidth="1"/>
    <col min="10" max="10" width="17.88671875" style="59" customWidth="1"/>
    <col min="11" max="11" width="2.6640625" style="59" customWidth="1"/>
    <col min="12" max="12" width="17.88671875" style="59" customWidth="1"/>
    <col min="13" max="13" width="2.6640625" style="59" customWidth="1"/>
    <col min="14" max="14" width="17.88671875" style="59" customWidth="1"/>
    <col min="15" max="15" width="2.6640625" style="59" customWidth="1"/>
    <col min="16" max="16" width="17.88671875" style="59" customWidth="1"/>
    <col min="17" max="17" width="2.6640625" style="59" customWidth="1"/>
    <col min="18" max="18" width="17.88671875" style="59" customWidth="1"/>
    <col min="19" max="19" width="2.6640625" style="59" customWidth="1"/>
    <col min="20" max="20" width="17.88671875" style="59" customWidth="1"/>
    <col min="21" max="21" width="8.88671875" style="59"/>
    <col min="22" max="22" width="18.33203125" style="59" bestFit="1" customWidth="1"/>
    <col min="23" max="31" width="8.88671875" style="59"/>
    <col min="32" max="32" width="18.33203125" style="59" bestFit="1" customWidth="1"/>
    <col min="33" max="16384" width="8.88671875" style="59"/>
  </cols>
  <sheetData>
    <row r="2" spans="2:32" ht="15.6">
      <c r="C2" s="384"/>
      <c r="D2" s="384"/>
      <c r="E2" s="384"/>
      <c r="J2" s="60" t="s">
        <v>2221</v>
      </c>
      <c r="K2" s="384"/>
      <c r="L2" s="385"/>
      <c r="M2" s="384"/>
      <c r="N2" s="384"/>
      <c r="O2" s="384"/>
      <c r="P2" s="384"/>
      <c r="Q2" s="384"/>
      <c r="R2" s="384"/>
      <c r="S2" s="384"/>
      <c r="T2" s="61" t="s">
        <v>2222</v>
      </c>
    </row>
    <row r="3" spans="2:32" ht="15.6">
      <c r="B3" s="58"/>
      <c r="C3" s="58"/>
      <c r="D3" s="58"/>
      <c r="E3" s="58"/>
      <c r="G3" s="384"/>
      <c r="I3" s="386"/>
      <c r="J3" s="60" t="s">
        <v>2223</v>
      </c>
      <c r="K3" s="384"/>
      <c r="L3" s="385"/>
      <c r="M3" s="384"/>
      <c r="N3" s="384"/>
      <c r="O3" s="384"/>
      <c r="P3" s="384"/>
      <c r="Q3" s="384"/>
      <c r="R3" s="58"/>
      <c r="S3" s="58"/>
      <c r="T3" s="61" t="s">
        <v>2224</v>
      </c>
    </row>
    <row r="4" spans="2:32" ht="15.6">
      <c r="B4" s="784" t="s">
        <v>2225</v>
      </c>
      <c r="C4" s="784"/>
      <c r="D4" s="784"/>
      <c r="E4" s="784"/>
      <c r="F4" s="784"/>
      <c r="G4" s="784"/>
      <c r="H4" s="784"/>
      <c r="I4" s="784"/>
      <c r="J4" s="784"/>
      <c r="K4" s="784"/>
      <c r="L4" s="784"/>
      <c r="M4" s="784"/>
      <c r="N4" s="784"/>
      <c r="O4" s="784"/>
      <c r="P4" s="784"/>
      <c r="Q4" s="784"/>
      <c r="R4" s="784"/>
      <c r="S4" s="784"/>
      <c r="T4" s="784"/>
    </row>
    <row r="5" spans="2:32" ht="15.6">
      <c r="B5" s="785">
        <v>46022</v>
      </c>
      <c r="C5" s="785"/>
      <c r="D5" s="785"/>
      <c r="E5" s="785"/>
      <c r="F5" s="785"/>
      <c r="G5" s="785"/>
      <c r="H5" s="785"/>
      <c r="I5" s="785"/>
      <c r="J5" s="785"/>
      <c r="K5" s="785"/>
      <c r="L5" s="785"/>
      <c r="M5" s="785"/>
      <c r="N5" s="785"/>
      <c r="O5" s="785"/>
      <c r="P5" s="785"/>
      <c r="Q5" s="785"/>
      <c r="R5" s="785"/>
      <c r="S5" s="785"/>
      <c r="T5" s="785"/>
    </row>
    <row r="6" spans="2:32" ht="15.6">
      <c r="B6" s="65"/>
      <c r="C6" s="65"/>
      <c r="D6" s="66"/>
      <c r="E6" s="65"/>
      <c r="F6" s="66"/>
      <c r="G6" s="65"/>
      <c r="H6" s="66"/>
      <c r="I6" s="61"/>
      <c r="J6" s="66"/>
      <c r="K6" s="65"/>
      <c r="L6" s="66"/>
      <c r="M6" s="65"/>
      <c r="N6" s="66"/>
      <c r="O6" s="65"/>
      <c r="P6" s="66"/>
      <c r="Q6" s="65"/>
      <c r="R6" s="66"/>
      <c r="S6" s="65"/>
      <c r="T6" s="66"/>
    </row>
    <row r="7" spans="2:32" ht="15.6">
      <c r="B7" s="65"/>
      <c r="C7" s="65"/>
      <c r="D7" s="65"/>
      <c r="E7" s="65"/>
      <c r="F7" s="65"/>
      <c r="G7" s="65"/>
      <c r="H7" s="65"/>
      <c r="I7" s="65"/>
      <c r="J7" s="65"/>
      <c r="K7" s="65"/>
      <c r="L7" s="65"/>
      <c r="M7" s="65"/>
      <c r="N7" s="65"/>
      <c r="O7" s="65"/>
      <c r="P7" s="65"/>
      <c r="Q7" s="65"/>
      <c r="R7" s="65"/>
      <c r="S7" s="65"/>
      <c r="T7" s="65"/>
    </row>
    <row r="8" spans="2:32" ht="15.6">
      <c r="B8" s="65"/>
      <c r="C8" s="65"/>
      <c r="D8" s="67" t="s">
        <v>17</v>
      </c>
      <c r="E8" s="65"/>
      <c r="F8" s="67" t="s">
        <v>18</v>
      </c>
      <c r="G8" s="65"/>
      <c r="H8" s="67" t="s">
        <v>19</v>
      </c>
      <c r="I8" s="65"/>
      <c r="J8" s="67" t="s">
        <v>20</v>
      </c>
      <c r="K8" s="65"/>
      <c r="L8" s="67" t="s">
        <v>21</v>
      </c>
      <c r="M8" s="65"/>
      <c r="N8" s="67" t="s">
        <v>22</v>
      </c>
      <c r="O8" s="65"/>
      <c r="P8" s="67" t="s">
        <v>23</v>
      </c>
      <c r="Q8" s="65"/>
      <c r="R8" s="67" t="s">
        <v>24</v>
      </c>
      <c r="S8" s="65"/>
      <c r="T8" s="67" t="s">
        <v>25</v>
      </c>
    </row>
    <row r="9" spans="2:32" ht="15.6">
      <c r="B9" s="65"/>
      <c r="C9" s="65"/>
      <c r="D9" s="67"/>
      <c r="E9" s="67"/>
      <c r="F9" s="67" t="s">
        <v>27</v>
      </c>
      <c r="G9" s="67"/>
      <c r="H9" s="67" t="s">
        <v>32</v>
      </c>
      <c r="I9" s="67"/>
      <c r="J9" s="67"/>
      <c r="K9" s="67"/>
      <c r="L9" s="67" t="s">
        <v>2226</v>
      </c>
      <c r="M9" s="67"/>
      <c r="N9" s="67"/>
      <c r="O9" s="65"/>
      <c r="P9" s="65"/>
      <c r="Q9" s="65"/>
      <c r="R9" s="65"/>
      <c r="S9" s="65"/>
      <c r="T9" s="65"/>
    </row>
    <row r="10" spans="2:32" ht="15.6">
      <c r="B10" s="65"/>
      <c r="C10" s="65"/>
      <c r="D10" s="67" t="s">
        <v>2227</v>
      </c>
      <c r="E10" s="67"/>
      <c r="F10" s="67" t="s">
        <v>2228</v>
      </c>
      <c r="G10" s="67"/>
      <c r="H10" s="67" t="s">
        <v>2227</v>
      </c>
      <c r="I10" s="67"/>
      <c r="J10" s="67" t="s">
        <v>2229</v>
      </c>
      <c r="K10" s="67"/>
      <c r="L10" s="67" t="s">
        <v>2230</v>
      </c>
      <c r="M10" s="67"/>
      <c r="N10" s="67" t="s">
        <v>2231</v>
      </c>
      <c r="O10" s="65"/>
      <c r="P10" s="67" t="s">
        <v>32</v>
      </c>
      <c r="Q10" s="65"/>
      <c r="R10" s="67" t="s">
        <v>2232</v>
      </c>
      <c r="S10" s="65"/>
      <c r="T10" s="67" t="s">
        <v>45</v>
      </c>
    </row>
    <row r="11" spans="2:32" ht="15.6">
      <c r="B11" s="65"/>
      <c r="C11" s="65"/>
      <c r="D11" s="67" t="s">
        <v>47</v>
      </c>
      <c r="E11" s="67"/>
      <c r="F11" s="67" t="s">
        <v>2233</v>
      </c>
      <c r="G11" s="67"/>
      <c r="H11" s="67" t="s">
        <v>47</v>
      </c>
      <c r="I11" s="67"/>
      <c r="J11" s="67" t="s">
        <v>2234</v>
      </c>
      <c r="K11" s="67"/>
      <c r="L11" s="67" t="s">
        <v>2235</v>
      </c>
      <c r="M11" s="67"/>
      <c r="N11" s="67" t="s">
        <v>51</v>
      </c>
      <c r="O11" s="65"/>
      <c r="P11" s="67" t="s">
        <v>2236</v>
      </c>
      <c r="Q11" s="65"/>
      <c r="R11" s="67" t="s">
        <v>43</v>
      </c>
      <c r="S11" s="65"/>
      <c r="T11" s="67" t="s">
        <v>44</v>
      </c>
    </row>
    <row r="12" spans="2:32" ht="15.6">
      <c r="B12" s="65"/>
      <c r="C12" s="65"/>
      <c r="D12" s="68" t="s">
        <v>87</v>
      </c>
      <c r="E12" s="65"/>
      <c r="F12" s="68" t="s">
        <v>87</v>
      </c>
      <c r="G12" s="65"/>
      <c r="H12" s="68" t="s">
        <v>87</v>
      </c>
      <c r="I12" s="65"/>
      <c r="J12" s="68" t="s">
        <v>87</v>
      </c>
      <c r="K12" s="65"/>
      <c r="L12" s="68" t="s">
        <v>87</v>
      </c>
      <c r="M12" s="65"/>
      <c r="N12" s="68" t="s">
        <v>87</v>
      </c>
      <c r="O12" s="65"/>
      <c r="P12" s="68" t="s">
        <v>87</v>
      </c>
      <c r="Q12" s="65"/>
      <c r="R12" s="68" t="s">
        <v>87</v>
      </c>
      <c r="S12" s="65"/>
      <c r="T12" s="68" t="s">
        <v>87</v>
      </c>
    </row>
    <row r="13" spans="2:32" ht="15.6">
      <c r="B13" s="65" t="s">
        <v>2237</v>
      </c>
      <c r="C13" s="69" t="s">
        <v>90</v>
      </c>
      <c r="D13" s="65">
        <v>14471335398</v>
      </c>
      <c r="E13" s="69" t="s">
        <v>90</v>
      </c>
      <c r="F13" s="65">
        <v>-4169650370</v>
      </c>
      <c r="G13" s="69" t="s">
        <v>90</v>
      </c>
      <c r="H13" s="72">
        <v>10301685028</v>
      </c>
      <c r="I13" s="69" t="s">
        <v>90</v>
      </c>
      <c r="J13" s="65">
        <v>69494543</v>
      </c>
      <c r="K13" s="69" t="s">
        <v>90</v>
      </c>
      <c r="L13" s="65">
        <v>1050507012</v>
      </c>
      <c r="M13" s="69" t="s">
        <v>90</v>
      </c>
      <c r="N13" s="65">
        <v>0</v>
      </c>
      <c r="O13" s="69" t="s">
        <v>90</v>
      </c>
      <c r="P13" s="65">
        <v>11421686583</v>
      </c>
      <c r="Q13" s="69" t="s">
        <v>90</v>
      </c>
      <c r="R13" s="65">
        <v>606832557.67902982</v>
      </c>
      <c r="S13" s="69" t="s">
        <v>90</v>
      </c>
      <c r="T13" s="65">
        <v>12028519140.679029</v>
      </c>
      <c r="AF13" s="70"/>
    </row>
    <row r="14" spans="2:32" ht="15.6">
      <c r="B14" s="65"/>
      <c r="C14" s="65"/>
      <c r="D14" s="68" t="s">
        <v>87</v>
      </c>
      <c r="E14" s="65"/>
      <c r="F14" s="68" t="s">
        <v>87</v>
      </c>
      <c r="G14" s="65"/>
      <c r="H14" s="68" t="s">
        <v>87</v>
      </c>
      <c r="I14" s="65"/>
      <c r="J14" s="68" t="s">
        <v>87</v>
      </c>
      <c r="K14" s="65"/>
      <c r="L14" s="68" t="s">
        <v>87</v>
      </c>
      <c r="M14" s="65"/>
      <c r="N14" s="68" t="s">
        <v>87</v>
      </c>
      <c r="O14" s="65"/>
      <c r="P14" s="68" t="s">
        <v>87</v>
      </c>
      <c r="Q14" s="65"/>
      <c r="R14" s="68" t="s">
        <v>87</v>
      </c>
      <c r="S14" s="65"/>
      <c r="T14" s="68" t="s">
        <v>87</v>
      </c>
    </row>
    <row r="15" spans="2:32" ht="15.6">
      <c r="B15" s="71"/>
      <c r="C15" s="65"/>
      <c r="D15" s="65"/>
      <c r="E15" s="65"/>
      <c r="F15" s="65"/>
      <c r="G15" s="65"/>
      <c r="H15" s="65"/>
      <c r="I15" s="65"/>
      <c r="J15" s="65"/>
      <c r="K15" s="65"/>
      <c r="L15" s="65"/>
      <c r="M15" s="65"/>
      <c r="N15" s="65"/>
      <c r="O15" s="65"/>
      <c r="P15" s="65"/>
      <c r="Q15" s="65"/>
      <c r="R15" s="65"/>
      <c r="S15" s="65"/>
      <c r="T15" s="65"/>
    </row>
    <row r="16" spans="2:32" ht="15.6">
      <c r="B16" s="65" t="s">
        <v>2238</v>
      </c>
      <c r="C16" s="65"/>
      <c r="D16" s="65">
        <v>14391930634</v>
      </c>
      <c r="E16" s="65"/>
      <c r="F16" s="65">
        <v>-4150178886</v>
      </c>
      <c r="G16" s="65"/>
      <c r="H16" s="72">
        <v>10241751748</v>
      </c>
      <c r="I16" s="65"/>
      <c r="J16" s="65">
        <v>68033560</v>
      </c>
      <c r="K16" s="65"/>
      <c r="L16" s="65">
        <v>1043979825</v>
      </c>
      <c r="M16" s="65"/>
      <c r="N16" s="65">
        <v>0</v>
      </c>
      <c r="O16" s="65"/>
      <c r="P16" s="65">
        <v>11353765133</v>
      </c>
      <c r="Q16" s="65"/>
      <c r="R16" s="65">
        <v>604744897</v>
      </c>
      <c r="S16" s="65"/>
      <c r="T16" s="65">
        <v>11958510030</v>
      </c>
    </row>
    <row r="17" spans="2:22" ht="15.6">
      <c r="B17" s="65"/>
      <c r="C17" s="65"/>
      <c r="D17" s="68" t="s">
        <v>135</v>
      </c>
      <c r="E17" s="65"/>
      <c r="F17" s="68" t="s">
        <v>135</v>
      </c>
      <c r="G17" s="65"/>
      <c r="H17" s="68" t="s">
        <v>135</v>
      </c>
      <c r="I17" s="65"/>
      <c r="J17" s="68" t="s">
        <v>135</v>
      </c>
      <c r="K17" s="65"/>
      <c r="L17" s="68" t="s">
        <v>135</v>
      </c>
      <c r="M17" s="65"/>
      <c r="N17" s="68" t="s">
        <v>135</v>
      </c>
      <c r="O17" s="65"/>
      <c r="P17" s="68" t="s">
        <v>135</v>
      </c>
      <c r="Q17" s="65"/>
      <c r="R17" s="68" t="s">
        <v>135</v>
      </c>
      <c r="S17" s="65"/>
      <c r="T17" s="68" t="s">
        <v>135</v>
      </c>
    </row>
    <row r="18" spans="2:22" ht="15.6">
      <c r="B18" s="65"/>
      <c r="C18" s="65"/>
      <c r="D18" s="58">
        <f>D16/1000</f>
        <v>14391930.634</v>
      </c>
      <c r="E18" s="65"/>
      <c r="F18" s="58">
        <f>-F16/1000</f>
        <v>4150178.8859999999</v>
      </c>
      <c r="G18" s="65"/>
      <c r="H18" s="65"/>
      <c r="I18" s="65"/>
      <c r="J18" s="65"/>
      <c r="K18" s="65"/>
      <c r="L18" s="65"/>
      <c r="M18" s="65"/>
      <c r="N18" s="65"/>
      <c r="O18" s="65"/>
      <c r="P18" s="65"/>
      <c r="Q18" s="65"/>
      <c r="R18" s="65"/>
      <c r="S18" s="65"/>
      <c r="T18" s="65"/>
      <c r="V18" s="73"/>
    </row>
    <row r="19" spans="2:22" ht="15.6">
      <c r="B19" s="65" t="s">
        <v>2239</v>
      </c>
      <c r="C19" s="65"/>
      <c r="D19" s="65"/>
      <c r="E19" s="65"/>
      <c r="F19" s="65"/>
      <c r="G19" s="65"/>
      <c r="H19" s="65"/>
      <c r="I19" s="65"/>
      <c r="J19" s="65"/>
      <c r="K19" s="65"/>
      <c r="L19" s="65"/>
      <c r="M19" s="65"/>
      <c r="N19" s="65"/>
      <c r="O19" s="65"/>
      <c r="P19" s="65"/>
      <c r="Q19" s="65"/>
      <c r="R19" s="65"/>
      <c r="S19" s="65"/>
      <c r="T19" s="65"/>
    </row>
    <row r="20" spans="2:22" ht="15.6">
      <c r="B20" s="68" t="s">
        <v>87</v>
      </c>
      <c r="C20" s="65"/>
      <c r="D20" s="65"/>
      <c r="E20" s="65"/>
      <c r="F20" s="65"/>
      <c r="G20" s="65"/>
      <c r="H20" s="65"/>
      <c r="I20" s="65"/>
      <c r="J20" s="65"/>
      <c r="K20" s="65"/>
      <c r="L20" s="65"/>
      <c r="M20" s="65"/>
      <c r="N20" s="65"/>
      <c r="O20" s="65"/>
      <c r="P20" s="65"/>
      <c r="Q20" s="65"/>
      <c r="R20" s="65"/>
      <c r="S20" s="65"/>
      <c r="T20" s="65"/>
      <c r="V20" s="70"/>
    </row>
    <row r="21" spans="2:22" ht="15.6">
      <c r="B21" s="65" t="s">
        <v>183</v>
      </c>
      <c r="C21" s="65"/>
      <c r="D21" s="74">
        <v>0</v>
      </c>
      <c r="E21" s="387"/>
      <c r="F21" s="74">
        <v>0</v>
      </c>
      <c r="G21" s="65"/>
      <c r="H21" s="72">
        <v>0</v>
      </c>
      <c r="I21" s="65"/>
      <c r="J21" s="65"/>
      <c r="K21" s="65"/>
      <c r="L21" s="65"/>
      <c r="M21" s="65"/>
      <c r="N21" s="65"/>
      <c r="O21" s="65"/>
      <c r="P21" s="65">
        <v>0</v>
      </c>
      <c r="Q21" s="65"/>
      <c r="R21" s="65">
        <v>-4728459</v>
      </c>
      <c r="S21" s="65"/>
      <c r="T21" s="65">
        <v>-4728459</v>
      </c>
      <c r="V21" s="70"/>
    </row>
    <row r="22" spans="2:22" ht="15.6">
      <c r="B22" s="65" t="s">
        <v>92</v>
      </c>
      <c r="C22" s="65"/>
      <c r="D22" s="65">
        <v>-4165550.3611144135</v>
      </c>
      <c r="E22" s="65"/>
      <c r="F22" s="65">
        <v>3396156.1809291029</v>
      </c>
      <c r="G22" s="65"/>
      <c r="H22" s="72">
        <v>-769394.18018531054</v>
      </c>
      <c r="I22" s="65"/>
      <c r="J22" s="65"/>
      <c r="K22" s="65"/>
      <c r="L22" s="65">
        <v>0</v>
      </c>
      <c r="M22" s="65"/>
      <c r="N22" s="65"/>
      <c r="O22" s="65"/>
      <c r="P22" s="65">
        <v>-769394.18018531054</v>
      </c>
      <c r="Q22" s="65"/>
      <c r="R22" s="65">
        <v>-3782136</v>
      </c>
      <c r="S22" s="65"/>
      <c r="T22" s="65">
        <v>-4551530.1801853105</v>
      </c>
      <c r="V22" s="70"/>
    </row>
    <row r="23" spans="2:22" ht="15.6">
      <c r="B23" s="75" t="s">
        <v>34</v>
      </c>
      <c r="C23" s="65"/>
      <c r="D23" s="65"/>
      <c r="E23" s="65"/>
      <c r="F23" s="65"/>
      <c r="G23" s="65"/>
      <c r="H23" s="72">
        <v>0</v>
      </c>
      <c r="I23" s="65"/>
      <c r="J23" s="65"/>
      <c r="K23" s="65"/>
      <c r="L23" s="65"/>
      <c r="M23" s="65"/>
      <c r="N23" s="65"/>
      <c r="O23" s="65"/>
      <c r="P23" s="65">
        <v>0</v>
      </c>
      <c r="Q23" s="65"/>
      <c r="R23" s="65">
        <v>-19982702</v>
      </c>
      <c r="S23" s="65"/>
      <c r="T23" s="65">
        <v>-19982702</v>
      </c>
      <c r="V23" s="70"/>
    </row>
    <row r="24" spans="2:22" ht="15.6">
      <c r="B24" s="75" t="s">
        <v>96</v>
      </c>
      <c r="C24" s="65"/>
      <c r="D24" s="65">
        <v>-260920068.70595258</v>
      </c>
      <c r="E24" s="65"/>
      <c r="F24" s="65">
        <v>113988351.3976593</v>
      </c>
      <c r="G24" s="65"/>
      <c r="H24" s="72">
        <v>-146931717.30829328</v>
      </c>
      <c r="I24" s="65"/>
      <c r="J24" s="65"/>
      <c r="K24" s="65"/>
      <c r="L24" s="65">
        <v>-536429.12928829668</v>
      </c>
      <c r="M24" s="65"/>
      <c r="N24" s="65"/>
      <c r="O24" s="65"/>
      <c r="P24" s="65">
        <v>-147468146.43758157</v>
      </c>
      <c r="Q24" s="65"/>
      <c r="R24" s="65">
        <v>0</v>
      </c>
      <c r="S24" s="65"/>
      <c r="T24" s="65">
        <v>-147468146.43758157</v>
      </c>
    </row>
    <row r="25" spans="2:22" ht="15.6">
      <c r="B25" s="75" t="s">
        <v>94</v>
      </c>
      <c r="C25" s="65"/>
      <c r="D25" s="65">
        <v>-669998904.34419513</v>
      </c>
      <c r="E25" s="65"/>
      <c r="F25" s="65">
        <v>21018297.998770133</v>
      </c>
      <c r="G25" s="65"/>
      <c r="H25" s="72">
        <v>-648980606.34542501</v>
      </c>
      <c r="I25" s="65"/>
      <c r="J25" s="65"/>
      <c r="K25" s="65"/>
      <c r="L25" s="65">
        <v>-32561783.699415304</v>
      </c>
      <c r="M25" s="65"/>
      <c r="N25" s="65"/>
      <c r="O25" s="65"/>
      <c r="P25" s="65">
        <v>-681542390.04484034</v>
      </c>
      <c r="Q25" s="65"/>
      <c r="R25" s="65">
        <v>-3348782</v>
      </c>
      <c r="S25" s="65"/>
      <c r="T25" s="65">
        <v>-684891172.04484034</v>
      </c>
    </row>
    <row r="26" spans="2:22" ht="15.6">
      <c r="B26" s="75" t="s">
        <v>99</v>
      </c>
      <c r="C26" s="65"/>
      <c r="D26" s="65"/>
      <c r="E26" s="65"/>
      <c r="F26" s="65"/>
      <c r="G26" s="65"/>
      <c r="H26" s="72"/>
      <c r="I26" s="65"/>
      <c r="J26" s="65"/>
      <c r="K26" s="65"/>
      <c r="L26" s="65"/>
      <c r="M26" s="65"/>
      <c r="N26" s="65"/>
      <c r="O26" s="65"/>
      <c r="P26" s="65">
        <v>0</v>
      </c>
      <c r="Q26" s="65"/>
      <c r="R26" s="65">
        <v>-519054278</v>
      </c>
      <c r="S26" s="65"/>
      <c r="T26" s="65">
        <v>-519054278</v>
      </c>
    </row>
    <row r="27" spans="2:22" ht="15.6">
      <c r="B27" s="65" t="s">
        <v>138</v>
      </c>
      <c r="C27" s="65"/>
      <c r="D27" s="65"/>
      <c r="E27" s="65"/>
      <c r="F27" s="65"/>
      <c r="G27" s="65"/>
      <c r="H27" s="65"/>
      <c r="I27" s="65"/>
      <c r="J27" s="65"/>
      <c r="K27" s="65"/>
      <c r="L27" s="65"/>
      <c r="M27" s="65"/>
      <c r="N27" s="65"/>
      <c r="O27" s="65"/>
      <c r="P27" s="65">
        <v>0</v>
      </c>
      <c r="Q27" s="65"/>
      <c r="R27" s="65">
        <v>-188876</v>
      </c>
      <c r="S27" s="65"/>
      <c r="T27" s="65">
        <v>-188876</v>
      </c>
    </row>
    <row r="28" spans="2:22" ht="15.6">
      <c r="B28" s="65" t="s">
        <v>106</v>
      </c>
      <c r="C28" s="65"/>
      <c r="D28" s="65"/>
      <c r="E28" s="65"/>
      <c r="F28" s="65"/>
      <c r="G28" s="65"/>
      <c r="H28" s="65"/>
      <c r="I28" s="65"/>
      <c r="J28" s="65"/>
      <c r="K28" s="65"/>
      <c r="L28" s="65">
        <v>-1010881612.1712964</v>
      </c>
      <c r="M28" s="65"/>
      <c r="N28" s="65"/>
      <c r="O28" s="65"/>
      <c r="P28" s="65">
        <v>-1010881612.1712964</v>
      </c>
      <c r="Q28" s="65"/>
      <c r="R28" s="66"/>
      <c r="S28" s="65"/>
      <c r="T28" s="65">
        <v>-1010881612.1712964</v>
      </c>
    </row>
    <row r="29" spans="2:22" ht="15.6">
      <c r="B29" s="65" t="s">
        <v>113</v>
      </c>
      <c r="C29" s="65"/>
      <c r="D29" s="65"/>
      <c r="E29" s="65"/>
      <c r="F29" s="65"/>
      <c r="G29" s="65"/>
      <c r="H29" s="65"/>
      <c r="I29" s="65"/>
      <c r="J29" s="65"/>
      <c r="K29" s="65"/>
      <c r="L29" s="65">
        <v>230174822.73426303</v>
      </c>
      <c r="M29" s="65"/>
      <c r="N29" s="65"/>
      <c r="O29" s="65"/>
      <c r="P29" s="65">
        <v>230174822.73426303</v>
      </c>
      <c r="Q29" s="65"/>
      <c r="R29" s="66"/>
      <c r="S29" s="65"/>
      <c r="T29" s="65">
        <v>230174822.73426303</v>
      </c>
    </row>
    <row r="30" spans="2:22" ht="15.6">
      <c r="B30" s="65" t="s">
        <v>2241</v>
      </c>
      <c r="C30" s="65"/>
      <c r="D30" s="65">
        <v>0</v>
      </c>
      <c r="E30" s="65"/>
      <c r="F30" s="65"/>
      <c r="G30" s="65"/>
      <c r="H30" s="72">
        <v>0</v>
      </c>
      <c r="I30" s="65"/>
      <c r="J30" s="65"/>
      <c r="K30" s="65"/>
      <c r="L30" s="65"/>
      <c r="M30" s="65"/>
      <c r="N30" s="65"/>
      <c r="O30" s="65"/>
      <c r="P30" s="65">
        <v>0</v>
      </c>
      <c r="Q30" s="65"/>
      <c r="R30" s="65"/>
      <c r="S30" s="65"/>
      <c r="T30" s="65">
        <v>0</v>
      </c>
    </row>
    <row r="31" spans="2:22" ht="15.6">
      <c r="B31" s="75" t="s">
        <v>2242</v>
      </c>
      <c r="C31" s="65"/>
      <c r="D31" s="65"/>
      <c r="E31" s="65"/>
      <c r="F31" s="65">
        <v>0</v>
      </c>
      <c r="G31" s="65"/>
      <c r="H31" s="72">
        <v>0</v>
      </c>
      <c r="I31" s="65"/>
      <c r="J31" s="65"/>
      <c r="K31" s="65"/>
      <c r="L31" s="65"/>
      <c r="M31" s="65"/>
      <c r="N31" s="65"/>
      <c r="O31" s="65"/>
      <c r="P31" s="65">
        <v>0</v>
      </c>
      <c r="Q31" s="65"/>
      <c r="R31" s="65"/>
      <c r="S31" s="65"/>
      <c r="T31" s="65">
        <v>0</v>
      </c>
    </row>
    <row r="32" spans="2:22" ht="15.6">
      <c r="B32" s="65" t="s">
        <v>2243</v>
      </c>
      <c r="C32" s="65"/>
      <c r="D32" s="65">
        <v>-7443753.0855437499</v>
      </c>
      <c r="E32" s="65"/>
      <c r="F32" s="65">
        <v>6969022.8753376622</v>
      </c>
      <c r="G32" s="65"/>
      <c r="H32" s="72">
        <v>-474730.21020608768</v>
      </c>
      <c r="I32" s="65"/>
      <c r="J32" s="65"/>
      <c r="K32" s="65"/>
      <c r="L32" s="65"/>
      <c r="M32" s="65"/>
      <c r="N32" s="65"/>
      <c r="O32" s="65"/>
      <c r="P32" s="65">
        <v>-474730.21020608768</v>
      </c>
      <c r="Q32" s="65"/>
      <c r="R32" s="65"/>
      <c r="S32" s="65"/>
      <c r="T32" s="65">
        <v>-474730.21020608768</v>
      </c>
    </row>
    <row r="33" spans="2:22" ht="15.6" hidden="1">
      <c r="B33" s="65" t="s">
        <v>143</v>
      </c>
      <c r="C33" s="65"/>
      <c r="D33" s="65"/>
      <c r="E33" s="65"/>
      <c r="F33" s="65"/>
      <c r="G33" s="65"/>
      <c r="H33" s="72"/>
      <c r="I33" s="65"/>
      <c r="J33" s="65"/>
      <c r="K33" s="65"/>
      <c r="L33" s="65"/>
      <c r="M33" s="65"/>
      <c r="N33" s="65"/>
      <c r="O33" s="65"/>
      <c r="P33" s="65">
        <v>0</v>
      </c>
      <c r="Q33" s="65"/>
      <c r="R33" s="65">
        <v>0</v>
      </c>
      <c r="S33" s="65"/>
      <c r="T33" s="65">
        <v>0</v>
      </c>
    </row>
    <row r="34" spans="2:22" ht="15.6">
      <c r="B34" s="65" t="s">
        <v>131</v>
      </c>
      <c r="C34" s="65"/>
      <c r="D34" s="65">
        <v>-31323863.264378093</v>
      </c>
      <c r="E34" s="65"/>
      <c r="F34" s="65"/>
      <c r="G34" s="65"/>
      <c r="H34" s="72">
        <v>-31323863.264378093</v>
      </c>
      <c r="I34" s="65"/>
      <c r="J34" s="65"/>
      <c r="K34" s="65"/>
      <c r="L34" s="65"/>
      <c r="M34" s="65"/>
      <c r="N34" s="65"/>
      <c r="O34" s="65"/>
      <c r="P34" s="65">
        <v>-31323863.264378093</v>
      </c>
      <c r="Q34" s="65"/>
      <c r="R34" s="65">
        <v>33010857</v>
      </c>
      <c r="S34" s="65"/>
      <c r="T34" s="65">
        <v>1686993.7356219068</v>
      </c>
    </row>
    <row r="35" spans="2:22" ht="15.6">
      <c r="B35" s="65"/>
      <c r="C35" s="65"/>
      <c r="D35" s="65"/>
      <c r="E35" s="65"/>
      <c r="F35" s="65"/>
      <c r="G35" s="65"/>
      <c r="H35" s="65"/>
      <c r="I35" s="65"/>
      <c r="J35" s="65"/>
      <c r="K35" s="65"/>
      <c r="L35" s="65"/>
      <c r="M35" s="65"/>
      <c r="N35" s="65"/>
      <c r="O35" s="65"/>
      <c r="P35" s="65"/>
      <c r="Q35" s="65"/>
      <c r="R35" s="65"/>
      <c r="S35" s="65"/>
      <c r="T35" s="65"/>
    </row>
    <row r="36" spans="2:22" ht="15.6">
      <c r="B36" s="65"/>
      <c r="C36" s="65"/>
      <c r="D36" s="68" t="s">
        <v>87</v>
      </c>
      <c r="E36" s="65"/>
      <c r="F36" s="68" t="s">
        <v>87</v>
      </c>
      <c r="G36" s="65"/>
      <c r="H36" s="68" t="s">
        <v>87</v>
      </c>
      <c r="I36" s="65"/>
      <c r="J36" s="68" t="s">
        <v>87</v>
      </c>
      <c r="K36" s="65"/>
      <c r="L36" s="68" t="s">
        <v>87</v>
      </c>
      <c r="M36" s="65"/>
      <c r="N36" s="68" t="s">
        <v>87</v>
      </c>
      <c r="O36" s="65"/>
      <c r="P36" s="68" t="s">
        <v>87</v>
      </c>
      <c r="Q36" s="65"/>
      <c r="R36" s="68" t="s">
        <v>87</v>
      </c>
      <c r="S36" s="65"/>
      <c r="T36" s="68" t="s">
        <v>87</v>
      </c>
    </row>
    <row r="37" spans="2:22" ht="15.6">
      <c r="B37" s="65" t="s">
        <v>2244</v>
      </c>
      <c r="C37" s="65"/>
      <c r="D37" s="65">
        <v>-973852139.76118398</v>
      </c>
      <c r="E37" s="65"/>
      <c r="F37" s="65">
        <v>145371828.4526962</v>
      </c>
      <c r="G37" s="65"/>
      <c r="H37" s="65">
        <v>-828480311.30848765</v>
      </c>
      <c r="I37" s="65"/>
      <c r="J37" s="65">
        <v>0</v>
      </c>
      <c r="K37" s="65"/>
      <c r="L37" s="65">
        <v>-813805002.26573694</v>
      </c>
      <c r="M37" s="65"/>
      <c r="N37" s="65">
        <v>0</v>
      </c>
      <c r="O37" s="65"/>
      <c r="P37" s="65">
        <v>-1642285313.5742247</v>
      </c>
      <c r="Q37" s="65"/>
      <c r="R37" s="65">
        <v>-518074376</v>
      </c>
      <c r="S37" s="65"/>
      <c r="T37" s="65">
        <v>-2160359689.5742245</v>
      </c>
      <c r="V37" s="73"/>
    </row>
    <row r="38" spans="2:22" ht="15.6">
      <c r="B38" s="65"/>
      <c r="C38" s="65"/>
      <c r="D38" s="68" t="s">
        <v>87</v>
      </c>
      <c r="E38" s="65"/>
      <c r="F38" s="68" t="s">
        <v>87</v>
      </c>
      <c r="G38" s="65"/>
      <c r="H38" s="68" t="s">
        <v>87</v>
      </c>
      <c r="I38" s="65"/>
      <c r="J38" s="68" t="s">
        <v>87</v>
      </c>
      <c r="K38" s="65"/>
      <c r="L38" s="68" t="s">
        <v>87</v>
      </c>
      <c r="M38" s="65"/>
      <c r="N38" s="68" t="s">
        <v>87</v>
      </c>
      <c r="O38" s="65"/>
      <c r="P38" s="68" t="s">
        <v>87</v>
      </c>
      <c r="Q38" s="65"/>
      <c r="R38" s="68" t="s">
        <v>87</v>
      </c>
      <c r="S38" s="65"/>
      <c r="T38" s="68" t="s">
        <v>87</v>
      </c>
    </row>
    <row r="39" spans="2:22" ht="15.6">
      <c r="B39" s="65" t="s">
        <v>2245</v>
      </c>
      <c r="C39" s="65"/>
      <c r="D39" s="65">
        <v>13418078494.238815</v>
      </c>
      <c r="E39" s="65"/>
      <c r="F39" s="65">
        <v>-4004807057.5473037</v>
      </c>
      <c r="G39" s="65"/>
      <c r="H39" s="65">
        <v>9413271436.6915131</v>
      </c>
      <c r="I39" s="65"/>
      <c r="J39" s="65">
        <v>68033560</v>
      </c>
      <c r="K39" s="65"/>
      <c r="L39" s="65">
        <v>230174822.73426306</v>
      </c>
      <c r="M39" s="65"/>
      <c r="N39" s="65">
        <v>0</v>
      </c>
      <c r="O39" s="65"/>
      <c r="P39" s="65">
        <v>9711479819.4257755</v>
      </c>
      <c r="Q39" s="65"/>
      <c r="R39" s="65">
        <v>86670521</v>
      </c>
      <c r="S39" s="65"/>
      <c r="T39" s="65">
        <v>9798150340.4257755</v>
      </c>
    </row>
    <row r="40" spans="2:22" ht="15.6">
      <c r="B40" s="65"/>
      <c r="C40" s="65"/>
      <c r="D40" s="68" t="s">
        <v>87</v>
      </c>
      <c r="E40" s="65"/>
      <c r="F40" s="68" t="s">
        <v>87</v>
      </c>
      <c r="G40" s="65"/>
      <c r="H40" s="68" t="s">
        <v>87</v>
      </c>
      <c r="I40" s="65"/>
      <c r="J40" s="68" t="s">
        <v>87</v>
      </c>
      <c r="K40" s="65"/>
      <c r="L40" s="68" t="s">
        <v>87</v>
      </c>
      <c r="M40" s="65"/>
      <c r="N40" s="68" t="s">
        <v>87</v>
      </c>
      <c r="O40" s="65"/>
      <c r="P40" s="68" t="s">
        <v>87</v>
      </c>
      <c r="Q40" s="65"/>
      <c r="R40" s="68" t="s">
        <v>87</v>
      </c>
      <c r="S40" s="65"/>
      <c r="T40" s="68" t="s">
        <v>87</v>
      </c>
    </row>
    <row r="41" spans="2:22" ht="15.6">
      <c r="B41" s="65" t="s">
        <v>2246</v>
      </c>
      <c r="C41" s="65"/>
      <c r="D41" s="65"/>
      <c r="E41" s="65"/>
      <c r="F41" s="65"/>
      <c r="G41" s="65"/>
      <c r="H41" s="65"/>
      <c r="I41" s="65"/>
      <c r="J41" s="65"/>
      <c r="K41" s="65"/>
      <c r="L41" s="65"/>
      <c r="M41" s="65"/>
      <c r="N41" s="65"/>
      <c r="O41" s="65"/>
      <c r="P41" s="65"/>
      <c r="Q41" s="65"/>
      <c r="R41" s="65"/>
      <c r="S41" s="65"/>
      <c r="T41" s="65"/>
    </row>
    <row r="42" spans="2:22" ht="15.6">
      <c r="B42" s="65"/>
      <c r="C42" s="65"/>
      <c r="D42" s="65"/>
      <c r="E42" s="65"/>
      <c r="F42" s="65"/>
      <c r="G42" s="65"/>
      <c r="H42" s="65"/>
      <c r="I42" s="65"/>
      <c r="J42" s="65"/>
      <c r="K42" s="65"/>
      <c r="L42" s="65"/>
      <c r="M42" s="65"/>
      <c r="N42" s="65"/>
      <c r="O42" s="65"/>
      <c r="P42" s="65"/>
      <c r="Q42" s="65"/>
      <c r="R42" s="65"/>
      <c r="S42" s="65"/>
      <c r="T42" s="65"/>
    </row>
    <row r="43" spans="2:22" ht="15.6">
      <c r="B43" s="68" t="s">
        <v>87</v>
      </c>
      <c r="C43" s="65"/>
      <c r="D43" s="65"/>
      <c r="E43" s="65"/>
      <c r="F43" s="65"/>
      <c r="G43" s="65"/>
      <c r="H43" s="65"/>
      <c r="I43" s="65"/>
      <c r="J43" s="65"/>
      <c r="K43" s="65"/>
      <c r="L43" s="65"/>
      <c r="M43" s="65"/>
      <c r="N43" s="65"/>
      <c r="O43" s="65"/>
      <c r="P43" s="65"/>
      <c r="Q43" s="65"/>
      <c r="R43" s="65"/>
      <c r="S43" s="65"/>
      <c r="T43" s="65"/>
    </row>
    <row r="44" spans="2:22" ht="15.6">
      <c r="B44" s="76"/>
      <c r="C44" s="76"/>
      <c r="D44" s="76"/>
      <c r="E44" s="76"/>
      <c r="F44" s="76"/>
      <c r="G44" s="76"/>
      <c r="H44" s="76"/>
      <c r="I44" s="76"/>
      <c r="J44" s="76"/>
      <c r="K44" s="76"/>
      <c r="L44" s="76"/>
      <c r="M44" s="76"/>
      <c r="N44" s="76"/>
      <c r="O44" s="76"/>
      <c r="P44" s="76"/>
      <c r="Q44" s="76"/>
      <c r="R44" s="76"/>
      <c r="S44" s="76"/>
      <c r="T44" s="76"/>
    </row>
    <row r="45" spans="2:22" ht="15.6">
      <c r="B45" s="65"/>
      <c r="C45" s="65"/>
      <c r="D45" s="65"/>
      <c r="E45" s="65"/>
      <c r="F45" s="65"/>
      <c r="G45" s="65"/>
      <c r="H45" s="65"/>
      <c r="I45" s="65"/>
      <c r="J45" s="65"/>
      <c r="K45" s="65"/>
      <c r="L45" s="65"/>
      <c r="M45" s="65"/>
      <c r="N45" s="65"/>
      <c r="O45" s="65"/>
      <c r="P45" s="65"/>
      <c r="Q45" s="65"/>
      <c r="R45" s="65"/>
      <c r="S45" s="65"/>
      <c r="T45" s="65"/>
    </row>
    <row r="46" spans="2:22" ht="15.6">
      <c r="B46" s="65"/>
      <c r="C46" s="65"/>
      <c r="D46" s="68" t="s">
        <v>87</v>
      </c>
      <c r="E46" s="65"/>
      <c r="F46" s="68" t="s">
        <v>87</v>
      </c>
      <c r="G46" s="65"/>
      <c r="H46" s="68" t="s">
        <v>87</v>
      </c>
      <c r="I46" s="65"/>
      <c r="J46" s="68" t="s">
        <v>87</v>
      </c>
      <c r="K46" s="65"/>
      <c r="L46" s="68" t="s">
        <v>87</v>
      </c>
      <c r="M46" s="65"/>
      <c r="N46" s="68" t="s">
        <v>87</v>
      </c>
      <c r="O46" s="65"/>
      <c r="P46" s="68" t="s">
        <v>87</v>
      </c>
      <c r="Q46" s="65"/>
      <c r="R46" s="68" t="s">
        <v>87</v>
      </c>
      <c r="S46" s="65"/>
      <c r="T46" s="68" t="s">
        <v>87</v>
      </c>
    </row>
    <row r="47" spans="2:22" ht="15.6">
      <c r="B47" s="65" t="s">
        <v>2248</v>
      </c>
      <c r="C47" s="65"/>
      <c r="D47" s="65">
        <v>0</v>
      </c>
      <c r="E47" s="65"/>
      <c r="F47" s="65">
        <v>0</v>
      </c>
      <c r="G47" s="65"/>
      <c r="H47" s="65">
        <v>0</v>
      </c>
      <c r="I47" s="65"/>
      <c r="J47" s="65">
        <v>0</v>
      </c>
      <c r="K47" s="65"/>
      <c r="L47" s="65">
        <v>0</v>
      </c>
      <c r="M47" s="65"/>
      <c r="N47" s="65">
        <v>0</v>
      </c>
      <c r="O47" s="65"/>
      <c r="P47" s="65">
        <v>0</v>
      </c>
      <c r="Q47" s="65"/>
      <c r="R47" s="65">
        <v>0</v>
      </c>
      <c r="S47" s="65"/>
      <c r="T47" s="65">
        <v>0</v>
      </c>
    </row>
    <row r="48" spans="2:22" ht="15.6">
      <c r="B48" s="65"/>
      <c r="C48" s="65"/>
      <c r="D48" s="68" t="s">
        <v>87</v>
      </c>
      <c r="E48" s="65"/>
      <c r="F48" s="68" t="s">
        <v>87</v>
      </c>
      <c r="G48" s="65"/>
      <c r="H48" s="68" t="s">
        <v>87</v>
      </c>
      <c r="I48" s="65"/>
      <c r="J48" s="68" t="s">
        <v>87</v>
      </c>
      <c r="K48" s="65"/>
      <c r="L48" s="68" t="s">
        <v>87</v>
      </c>
      <c r="M48" s="65"/>
      <c r="N48" s="68" t="s">
        <v>87</v>
      </c>
      <c r="O48" s="65"/>
      <c r="P48" s="68" t="s">
        <v>87</v>
      </c>
      <c r="Q48" s="65"/>
      <c r="R48" s="68" t="s">
        <v>87</v>
      </c>
      <c r="S48" s="65"/>
      <c r="T48" s="68" t="s">
        <v>87</v>
      </c>
    </row>
    <row r="49" spans="2:20" ht="15.6">
      <c r="B49" s="65" t="s">
        <v>2249</v>
      </c>
      <c r="C49" s="77" t="s">
        <v>90</v>
      </c>
      <c r="D49" s="65">
        <v>13418078494.238815</v>
      </c>
      <c r="E49" s="77" t="s">
        <v>90</v>
      </c>
      <c r="F49" s="65">
        <v>-4004807057.5473037</v>
      </c>
      <c r="G49" s="77" t="s">
        <v>90</v>
      </c>
      <c r="H49" s="65">
        <v>9413271436.6915131</v>
      </c>
      <c r="I49" s="77" t="s">
        <v>90</v>
      </c>
      <c r="J49" s="65">
        <v>68033560</v>
      </c>
      <c r="K49" s="77" t="s">
        <v>90</v>
      </c>
      <c r="L49" s="65">
        <v>230174822.73426306</v>
      </c>
      <c r="M49" s="77" t="s">
        <v>90</v>
      </c>
      <c r="N49" s="65">
        <v>0</v>
      </c>
      <c r="O49" s="77" t="s">
        <v>90</v>
      </c>
      <c r="P49" s="65">
        <v>9711479819.4257755</v>
      </c>
      <c r="Q49" s="77" t="s">
        <v>90</v>
      </c>
      <c r="R49" s="65">
        <v>86670521</v>
      </c>
      <c r="S49" s="77" t="s">
        <v>90</v>
      </c>
      <c r="T49" s="65">
        <v>9798150340.4257755</v>
      </c>
    </row>
    <row r="50" spans="2:20" ht="15.6">
      <c r="B50" s="65"/>
      <c r="C50" s="65"/>
      <c r="D50" s="68" t="s">
        <v>135</v>
      </c>
      <c r="E50" s="65"/>
      <c r="F50" s="68" t="s">
        <v>135</v>
      </c>
      <c r="G50" s="65"/>
      <c r="H50" s="68" t="s">
        <v>135</v>
      </c>
      <c r="I50" s="65"/>
      <c r="J50" s="68" t="s">
        <v>135</v>
      </c>
      <c r="K50" s="65"/>
      <c r="L50" s="68" t="s">
        <v>135</v>
      </c>
      <c r="M50" s="65"/>
      <c r="N50" s="68" t="s">
        <v>135</v>
      </c>
      <c r="O50" s="65"/>
      <c r="P50" s="68" t="s">
        <v>135</v>
      </c>
      <c r="Q50" s="65"/>
      <c r="R50" s="68" t="s">
        <v>135</v>
      </c>
      <c r="S50" s="65"/>
      <c r="T50" s="68" t="s">
        <v>135</v>
      </c>
    </row>
    <row r="51" spans="2:20" ht="15.6">
      <c r="B51" s="65"/>
      <c r="C51" s="65"/>
      <c r="D51" s="65"/>
      <c r="E51" s="65"/>
      <c r="F51" s="65"/>
      <c r="G51" s="65"/>
      <c r="H51" s="388"/>
      <c r="I51" s="65"/>
      <c r="J51" s="65"/>
      <c r="K51" s="65"/>
      <c r="L51" s="65"/>
      <c r="M51" s="65"/>
      <c r="N51" s="65"/>
      <c r="O51" s="65"/>
      <c r="P51" s="65"/>
      <c r="Q51" s="65"/>
      <c r="R51" s="65"/>
      <c r="S51" s="65"/>
      <c r="T51" s="65"/>
    </row>
    <row r="54" spans="2:20" ht="15.6">
      <c r="B54" s="65"/>
      <c r="C54" s="65"/>
      <c r="D54" s="65"/>
      <c r="E54" s="65"/>
      <c r="F54" s="65"/>
      <c r="G54" s="65"/>
      <c r="H54" s="65"/>
      <c r="I54" s="65"/>
      <c r="J54" s="65"/>
      <c r="K54" s="65"/>
      <c r="L54" s="65"/>
      <c r="M54" s="65"/>
      <c r="N54" s="65"/>
      <c r="O54" s="65"/>
      <c r="P54" s="65"/>
      <c r="Q54" s="65"/>
      <c r="R54" s="65"/>
      <c r="S54" s="65"/>
      <c r="T54" s="65"/>
    </row>
    <row r="55" spans="2:20" ht="15.6">
      <c r="B55" s="65"/>
      <c r="C55" s="65"/>
      <c r="D55" s="65"/>
      <c r="E55" s="65"/>
      <c r="F55" s="65"/>
      <c r="G55" s="65"/>
      <c r="H55" s="65"/>
      <c r="I55" s="65"/>
      <c r="J55" s="65"/>
      <c r="K55" s="65"/>
      <c r="L55" s="65"/>
      <c r="M55" s="65"/>
      <c r="N55" s="65"/>
      <c r="O55" s="65"/>
      <c r="P55" s="65"/>
      <c r="Q55" s="65"/>
      <c r="R55" s="65"/>
      <c r="S55" s="65"/>
      <c r="T55" s="65"/>
    </row>
    <row r="56" spans="2:20" ht="15.6">
      <c r="B56" s="78" t="s">
        <v>2250</v>
      </c>
      <c r="C56" s="65"/>
      <c r="D56" s="65"/>
      <c r="E56" s="65"/>
      <c r="F56" s="65"/>
      <c r="G56" s="65"/>
      <c r="H56" s="65"/>
      <c r="I56" s="65"/>
      <c r="J56" s="65"/>
      <c r="K56" s="65"/>
      <c r="L56" s="65"/>
      <c r="M56" s="65"/>
      <c r="N56" s="65"/>
      <c r="O56" s="65"/>
      <c r="P56" s="65"/>
      <c r="Q56" s="65"/>
      <c r="R56" s="65"/>
      <c r="S56" s="65"/>
      <c r="T56" s="65"/>
    </row>
    <row r="57" spans="2:20" ht="15.6">
      <c r="B57" s="78" t="s">
        <v>2251</v>
      </c>
      <c r="C57" s="65"/>
      <c r="D57" s="65"/>
      <c r="E57" s="65"/>
      <c r="F57" s="65"/>
      <c r="G57" s="65"/>
      <c r="H57" s="65"/>
      <c r="I57" s="65"/>
      <c r="J57" s="65"/>
      <c r="K57" s="65"/>
      <c r="L57" s="65"/>
      <c r="M57" s="65"/>
      <c r="N57" s="65"/>
      <c r="O57" s="65"/>
      <c r="P57" s="65"/>
      <c r="Q57" s="65"/>
      <c r="R57" s="65"/>
      <c r="S57" s="65"/>
      <c r="T57" s="65"/>
    </row>
    <row r="58" spans="2:20" ht="15.6">
      <c r="B58" s="78" t="s">
        <v>2252</v>
      </c>
      <c r="C58" s="65"/>
      <c r="D58" s="65"/>
      <c r="E58" s="65"/>
      <c r="F58" s="65"/>
      <c r="G58" s="65"/>
      <c r="H58" s="65"/>
      <c r="I58" s="65"/>
      <c r="J58" s="65"/>
      <c r="K58" s="65"/>
      <c r="L58" s="65"/>
      <c r="M58" s="65"/>
      <c r="N58" s="65"/>
      <c r="O58" s="65"/>
      <c r="P58" s="65"/>
      <c r="Q58" s="65"/>
      <c r="R58" s="65"/>
      <c r="S58" s="65"/>
      <c r="T58" s="65"/>
    </row>
    <row r="63" spans="2:20" ht="15.6">
      <c r="B63" s="58"/>
      <c r="C63" s="58"/>
      <c r="D63" s="65"/>
      <c r="E63" s="58"/>
      <c r="F63" s="58"/>
      <c r="G63" s="58"/>
      <c r="I63" s="58"/>
      <c r="J63" s="60" t="s">
        <v>2221</v>
      </c>
      <c r="K63" s="60"/>
      <c r="M63" s="58"/>
      <c r="N63" s="58"/>
      <c r="O63" s="58"/>
      <c r="P63" s="58"/>
      <c r="Q63" s="58"/>
      <c r="R63" s="58"/>
      <c r="S63" s="58"/>
      <c r="T63" s="61" t="s">
        <v>2253</v>
      </c>
    </row>
    <row r="64" spans="2:20" ht="15.6">
      <c r="B64" s="58"/>
      <c r="C64" s="58"/>
      <c r="D64" s="58"/>
      <c r="E64" s="58"/>
      <c r="F64" s="58"/>
      <c r="G64" s="58"/>
      <c r="I64" s="58"/>
      <c r="J64" s="60" t="s">
        <v>2254</v>
      </c>
      <c r="K64" s="60"/>
      <c r="M64" s="58"/>
      <c r="N64" s="58"/>
      <c r="O64" s="58"/>
      <c r="P64" s="58"/>
      <c r="Q64" s="58"/>
      <c r="R64" s="58"/>
      <c r="S64" s="58"/>
      <c r="T64" s="61" t="s">
        <v>2224</v>
      </c>
    </row>
    <row r="65" spans="2:22" ht="15.6">
      <c r="B65" s="62" t="s">
        <v>2225</v>
      </c>
      <c r="C65" s="62"/>
      <c r="D65" s="62"/>
      <c r="E65" s="62"/>
      <c r="F65" s="62"/>
      <c r="G65" s="62"/>
      <c r="H65" s="62"/>
      <c r="I65" s="62"/>
      <c r="J65" s="62"/>
      <c r="K65" s="62"/>
      <c r="L65" s="62"/>
      <c r="M65" s="62"/>
      <c r="N65" s="62"/>
      <c r="O65" s="62"/>
      <c r="P65" s="62"/>
      <c r="Q65" s="62"/>
      <c r="R65" s="62"/>
      <c r="S65" s="62"/>
      <c r="T65" s="62"/>
    </row>
    <row r="66" spans="2:22" ht="15.6">
      <c r="B66" s="63">
        <v>46022</v>
      </c>
      <c r="C66" s="62"/>
      <c r="D66" s="64"/>
      <c r="E66" s="62"/>
      <c r="F66" s="62"/>
      <c r="G66" s="62"/>
      <c r="H66" s="62"/>
      <c r="I66" s="62"/>
      <c r="J66" s="62"/>
      <c r="K66" s="62"/>
      <c r="L66" s="62"/>
      <c r="M66" s="62"/>
      <c r="N66" s="62"/>
      <c r="O66" s="62"/>
      <c r="P66" s="62"/>
      <c r="Q66" s="62"/>
      <c r="R66" s="62"/>
      <c r="S66" s="62"/>
      <c r="T66" s="62"/>
    </row>
    <row r="67" spans="2:22" ht="15.6">
      <c r="B67" s="65"/>
      <c r="C67" s="65"/>
      <c r="D67" s="66"/>
      <c r="E67" s="65"/>
      <c r="F67" s="66"/>
      <c r="G67" s="65"/>
      <c r="H67" s="66"/>
      <c r="I67" s="61"/>
      <c r="J67" s="66"/>
      <c r="K67" s="65"/>
      <c r="L67" s="66"/>
      <c r="M67" s="65"/>
      <c r="N67" s="66"/>
      <c r="O67" s="65"/>
      <c r="P67" s="66"/>
      <c r="Q67" s="65"/>
      <c r="R67" s="66"/>
      <c r="S67" s="65"/>
      <c r="T67" s="66"/>
    </row>
    <row r="68" spans="2:22" ht="15.6">
      <c r="B68" s="65"/>
      <c r="C68" s="65"/>
      <c r="D68" s="65"/>
      <c r="E68" s="65"/>
      <c r="F68" s="65"/>
      <c r="G68" s="65"/>
      <c r="H68" s="65"/>
      <c r="I68" s="65"/>
      <c r="J68" s="65"/>
      <c r="K68" s="65"/>
      <c r="L68" s="65"/>
      <c r="M68" s="65"/>
      <c r="N68" s="65"/>
      <c r="O68" s="65"/>
      <c r="P68" s="65"/>
      <c r="Q68" s="65"/>
      <c r="R68" s="65"/>
      <c r="S68" s="65"/>
      <c r="T68" s="65"/>
    </row>
    <row r="69" spans="2:22" ht="15.6">
      <c r="B69" s="65"/>
      <c r="C69" s="65"/>
      <c r="D69" s="67" t="s">
        <v>17</v>
      </c>
      <c r="E69" s="65"/>
      <c r="F69" s="67" t="s">
        <v>18</v>
      </c>
      <c r="G69" s="65"/>
      <c r="H69" s="67" t="s">
        <v>19</v>
      </c>
      <c r="I69" s="65"/>
      <c r="J69" s="67" t="s">
        <v>20</v>
      </c>
      <c r="K69" s="65"/>
      <c r="L69" s="67" t="s">
        <v>21</v>
      </c>
      <c r="M69" s="65"/>
      <c r="N69" s="67" t="s">
        <v>22</v>
      </c>
      <c r="O69" s="65"/>
      <c r="P69" s="67" t="s">
        <v>23</v>
      </c>
      <c r="Q69" s="65"/>
      <c r="R69" s="67" t="s">
        <v>24</v>
      </c>
      <c r="S69" s="65"/>
      <c r="T69" s="67" t="s">
        <v>25</v>
      </c>
    </row>
    <row r="70" spans="2:22" ht="15.6">
      <c r="B70" s="65"/>
      <c r="C70" s="65"/>
      <c r="D70" s="67"/>
      <c r="E70" s="67"/>
      <c r="F70" s="67" t="s">
        <v>27</v>
      </c>
      <c r="G70" s="67"/>
      <c r="H70" s="67" t="s">
        <v>32</v>
      </c>
      <c r="I70" s="67"/>
      <c r="J70" s="67"/>
      <c r="K70" s="67"/>
      <c r="L70" s="67" t="s">
        <v>2226</v>
      </c>
      <c r="M70" s="67"/>
      <c r="N70" s="67"/>
      <c r="O70" s="65"/>
      <c r="P70" s="65"/>
      <c r="Q70" s="65"/>
      <c r="R70" s="65"/>
      <c r="S70" s="65"/>
      <c r="T70" s="65"/>
    </row>
    <row r="71" spans="2:22" ht="15.6">
      <c r="B71" s="65"/>
      <c r="C71" s="65"/>
      <c r="D71" s="67" t="s">
        <v>2227</v>
      </c>
      <c r="E71" s="67"/>
      <c r="F71" s="67" t="s">
        <v>2228</v>
      </c>
      <c r="G71" s="67"/>
      <c r="H71" s="67" t="s">
        <v>2227</v>
      </c>
      <c r="I71" s="67"/>
      <c r="J71" s="67" t="s">
        <v>2229</v>
      </c>
      <c r="K71" s="67"/>
      <c r="L71" s="67" t="s">
        <v>2230</v>
      </c>
      <c r="M71" s="67"/>
      <c r="N71" s="67" t="s">
        <v>2231</v>
      </c>
      <c r="O71" s="65"/>
      <c r="P71" s="67" t="s">
        <v>32</v>
      </c>
      <c r="Q71" s="65"/>
      <c r="R71" s="67" t="s">
        <v>2232</v>
      </c>
      <c r="S71" s="65"/>
      <c r="T71" s="67" t="s">
        <v>45</v>
      </c>
    </row>
    <row r="72" spans="2:22" ht="15.6">
      <c r="B72" s="65"/>
      <c r="C72" s="65"/>
      <c r="D72" s="67" t="s">
        <v>47</v>
      </c>
      <c r="E72" s="67"/>
      <c r="F72" s="67" t="s">
        <v>2233</v>
      </c>
      <c r="G72" s="67"/>
      <c r="H72" s="67" t="s">
        <v>47</v>
      </c>
      <c r="I72" s="67"/>
      <c r="J72" s="67" t="s">
        <v>2234</v>
      </c>
      <c r="K72" s="67"/>
      <c r="L72" s="67" t="s">
        <v>2235</v>
      </c>
      <c r="M72" s="67"/>
      <c r="N72" s="67" t="s">
        <v>51</v>
      </c>
      <c r="O72" s="65"/>
      <c r="P72" s="67" t="s">
        <v>2236</v>
      </c>
      <c r="Q72" s="65"/>
      <c r="R72" s="67" t="s">
        <v>43</v>
      </c>
      <c r="S72" s="65"/>
      <c r="T72" s="67" t="s">
        <v>44</v>
      </c>
    </row>
    <row r="73" spans="2:22" ht="15.6">
      <c r="B73" s="65"/>
      <c r="C73" s="65"/>
      <c r="D73" s="68" t="s">
        <v>87</v>
      </c>
      <c r="E73" s="65"/>
      <c r="F73" s="68" t="s">
        <v>87</v>
      </c>
      <c r="G73" s="65"/>
      <c r="H73" s="68" t="s">
        <v>87</v>
      </c>
      <c r="I73" s="65"/>
      <c r="J73" s="68" t="s">
        <v>87</v>
      </c>
      <c r="K73" s="65"/>
      <c r="L73" s="68" t="s">
        <v>87</v>
      </c>
      <c r="M73" s="65"/>
      <c r="N73" s="68" t="s">
        <v>87</v>
      </c>
      <c r="O73" s="65"/>
      <c r="P73" s="68" t="s">
        <v>87</v>
      </c>
      <c r="Q73" s="65"/>
      <c r="R73" s="68" t="s">
        <v>87</v>
      </c>
      <c r="S73" s="65"/>
      <c r="T73" s="68" t="s">
        <v>87</v>
      </c>
    </row>
    <row r="74" spans="2:22" ht="15.6">
      <c r="B74" s="65" t="s">
        <v>2237</v>
      </c>
      <c r="C74" s="69" t="s">
        <v>90</v>
      </c>
      <c r="D74" s="65">
        <v>15452825599</v>
      </c>
      <c r="E74" s="69" t="s">
        <v>90</v>
      </c>
      <c r="F74" s="65">
        <v>-4362242965</v>
      </c>
      <c r="G74" s="69" t="s">
        <v>90</v>
      </c>
      <c r="H74" s="79">
        <v>11090582634</v>
      </c>
      <c r="I74" s="69" t="s">
        <v>90</v>
      </c>
      <c r="J74" s="65">
        <v>70764952</v>
      </c>
      <c r="K74" s="69" t="s">
        <v>90</v>
      </c>
      <c r="L74" s="65">
        <v>711966473</v>
      </c>
      <c r="M74" s="69" t="s">
        <v>90</v>
      </c>
      <c r="N74" s="65">
        <v>0</v>
      </c>
      <c r="O74" s="69" t="s">
        <v>90</v>
      </c>
      <c r="P74" s="65">
        <v>11873314059</v>
      </c>
      <c r="Q74" s="69" t="s">
        <v>90</v>
      </c>
      <c r="R74" s="65">
        <v>606832557.67902982</v>
      </c>
      <c r="S74" s="69" t="s">
        <v>90</v>
      </c>
      <c r="T74" s="65">
        <v>12480146616.679029</v>
      </c>
      <c r="V74" s="73"/>
    </row>
    <row r="75" spans="2:22" ht="15.6">
      <c r="B75" s="65"/>
      <c r="C75" s="65"/>
      <c r="D75" s="68" t="s">
        <v>87</v>
      </c>
      <c r="E75" s="65"/>
      <c r="F75" s="68" t="s">
        <v>87</v>
      </c>
      <c r="G75" s="65"/>
      <c r="H75" s="68" t="s">
        <v>87</v>
      </c>
      <c r="I75" s="65"/>
      <c r="J75" s="68" t="s">
        <v>87</v>
      </c>
      <c r="K75" s="65"/>
      <c r="L75" s="68" t="s">
        <v>87</v>
      </c>
      <c r="M75" s="65"/>
      <c r="N75" s="68" t="s">
        <v>87</v>
      </c>
      <c r="O75" s="65"/>
      <c r="P75" s="68" t="s">
        <v>87</v>
      </c>
      <c r="Q75" s="65"/>
      <c r="R75" s="68" t="s">
        <v>87</v>
      </c>
      <c r="S75" s="65"/>
      <c r="T75" s="68" t="s">
        <v>87</v>
      </c>
    </row>
    <row r="76" spans="2:22" ht="15.6">
      <c r="B76" s="71"/>
      <c r="C76" s="65"/>
      <c r="D76" s="65"/>
      <c r="E76" s="65"/>
      <c r="F76" s="65"/>
      <c r="G76" s="65"/>
      <c r="H76" s="65"/>
      <c r="I76" s="65"/>
      <c r="J76" s="65"/>
      <c r="K76" s="65"/>
      <c r="L76" s="65"/>
      <c r="M76" s="65"/>
      <c r="N76" s="65"/>
      <c r="O76" s="65"/>
      <c r="P76" s="65"/>
      <c r="Q76" s="65"/>
      <c r="R76" s="65"/>
      <c r="S76" s="65"/>
      <c r="T76" s="65"/>
    </row>
    <row r="77" spans="2:22" ht="15.6">
      <c r="B77" s="65" t="s">
        <v>2238</v>
      </c>
      <c r="C77" s="65"/>
      <c r="D77" s="65">
        <v>15368035361</v>
      </c>
      <c r="E77" s="65"/>
      <c r="F77" s="65">
        <v>-4341872110</v>
      </c>
      <c r="G77" s="65"/>
      <c r="H77" s="79">
        <v>11026163251</v>
      </c>
      <c r="I77" s="65"/>
      <c r="J77" s="65">
        <v>69277261</v>
      </c>
      <c r="K77" s="65"/>
      <c r="L77" s="65">
        <v>707542763</v>
      </c>
      <c r="M77" s="65"/>
      <c r="N77" s="65">
        <v>0</v>
      </c>
      <c r="O77" s="65"/>
      <c r="P77" s="65">
        <v>11802983275</v>
      </c>
      <c r="Q77" s="65"/>
      <c r="R77" s="65">
        <v>604744897</v>
      </c>
      <c r="S77" s="65"/>
      <c r="T77" s="65">
        <v>12407728172</v>
      </c>
    </row>
    <row r="78" spans="2:22" ht="15.6">
      <c r="B78" s="65"/>
      <c r="C78" s="65"/>
      <c r="D78" s="68" t="s">
        <v>135</v>
      </c>
      <c r="E78" s="65"/>
      <c r="F78" s="68" t="s">
        <v>135</v>
      </c>
      <c r="G78" s="65"/>
      <c r="H78" s="68" t="s">
        <v>135</v>
      </c>
      <c r="I78" s="65"/>
      <c r="J78" s="68" t="s">
        <v>135</v>
      </c>
      <c r="K78" s="65"/>
      <c r="L78" s="68" t="s">
        <v>135</v>
      </c>
      <c r="M78" s="65"/>
      <c r="N78" s="68" t="s">
        <v>135</v>
      </c>
      <c r="O78" s="65"/>
      <c r="P78" s="68" t="s">
        <v>135</v>
      </c>
      <c r="Q78" s="65"/>
      <c r="R78" s="68" t="s">
        <v>135</v>
      </c>
      <c r="S78" s="65"/>
      <c r="T78" s="68" t="s">
        <v>135</v>
      </c>
    </row>
    <row r="79" spans="2:22" ht="15.6">
      <c r="B79" s="65"/>
      <c r="C79" s="65"/>
      <c r="D79" s="58"/>
      <c r="E79" s="65"/>
      <c r="F79" s="65"/>
      <c r="G79" s="65"/>
      <c r="H79" s="65"/>
      <c r="I79" s="65"/>
      <c r="J79" s="65"/>
      <c r="K79" s="65"/>
      <c r="L79" s="65"/>
      <c r="M79" s="65"/>
      <c r="N79" s="65"/>
      <c r="O79" s="65"/>
      <c r="P79" s="65"/>
      <c r="Q79" s="65"/>
      <c r="R79" s="65"/>
      <c r="S79" s="65"/>
      <c r="T79" s="65"/>
    </row>
    <row r="80" spans="2:22" ht="15.6">
      <c r="B80" s="65" t="s">
        <v>2239</v>
      </c>
      <c r="C80" s="65"/>
      <c r="D80" s="65"/>
      <c r="E80" s="65"/>
      <c r="F80" s="65"/>
      <c r="G80" s="65"/>
      <c r="H80" s="65"/>
      <c r="I80" s="65"/>
      <c r="J80" s="65"/>
      <c r="K80" s="65"/>
      <c r="L80" s="65"/>
      <c r="M80" s="65"/>
      <c r="N80" s="65"/>
      <c r="O80" s="65"/>
      <c r="P80" s="65"/>
      <c r="Q80" s="65"/>
      <c r="R80" s="65"/>
      <c r="S80" s="65"/>
      <c r="T80" s="65"/>
    </row>
    <row r="81" spans="2:20" ht="15.6">
      <c r="B81" s="68" t="s">
        <v>87</v>
      </c>
      <c r="C81" s="65"/>
      <c r="D81" s="65"/>
      <c r="E81" s="65"/>
      <c r="F81" s="65"/>
      <c r="G81" s="65"/>
      <c r="H81" s="65"/>
      <c r="I81" s="65"/>
      <c r="J81" s="65"/>
      <c r="K81" s="65"/>
      <c r="L81" s="65"/>
      <c r="M81" s="65"/>
      <c r="N81" s="65"/>
      <c r="O81" s="65"/>
      <c r="P81" s="65"/>
      <c r="Q81" s="65"/>
      <c r="R81" s="65"/>
      <c r="S81" s="65"/>
      <c r="T81" s="65"/>
    </row>
    <row r="82" spans="2:20" ht="15.6">
      <c r="B82" s="65" t="s">
        <v>183</v>
      </c>
      <c r="C82" s="65"/>
      <c r="D82" s="65">
        <v>0</v>
      </c>
      <c r="E82" s="65"/>
      <c r="F82" s="65">
        <v>0</v>
      </c>
      <c r="G82" s="65"/>
      <c r="H82" s="72">
        <v>0</v>
      </c>
      <c r="I82" s="65"/>
      <c r="J82" s="65"/>
      <c r="K82" s="65"/>
      <c r="L82" s="65"/>
      <c r="M82" s="65"/>
      <c r="N82" s="65"/>
      <c r="O82" s="65"/>
      <c r="P82" s="65">
        <v>0</v>
      </c>
      <c r="Q82" s="65"/>
      <c r="R82" s="65">
        <v>-4728459</v>
      </c>
      <c r="S82" s="65"/>
      <c r="T82" s="65">
        <v>-4728459</v>
      </c>
    </row>
    <row r="83" spans="2:20" ht="15.6">
      <c r="B83" s="65" t="s">
        <v>92</v>
      </c>
      <c r="C83" s="65"/>
      <c r="D83" s="65">
        <v>-4165550.3611144135</v>
      </c>
      <c r="E83" s="65"/>
      <c r="F83" s="65">
        <v>3813054.2114637252</v>
      </c>
      <c r="G83" s="65"/>
      <c r="H83" s="72">
        <v>-352496.14965068828</v>
      </c>
      <c r="I83" s="65"/>
      <c r="J83" s="65"/>
      <c r="K83" s="65"/>
      <c r="L83" s="65">
        <v>0</v>
      </c>
      <c r="M83" s="65"/>
      <c r="N83" s="65"/>
      <c r="O83" s="65"/>
      <c r="P83" s="65">
        <v>-352496.14965068828</v>
      </c>
      <c r="Q83" s="65"/>
      <c r="R83" s="65">
        <v>-3782136</v>
      </c>
      <c r="S83" s="65"/>
      <c r="T83" s="65">
        <v>-4134632.1496506883</v>
      </c>
    </row>
    <row r="84" spans="2:20" ht="15.6">
      <c r="B84" s="75" t="s">
        <v>34</v>
      </c>
      <c r="C84" s="65"/>
      <c r="D84" s="65"/>
      <c r="E84" s="65"/>
      <c r="F84" s="65"/>
      <c r="G84" s="65"/>
      <c r="H84" s="72">
        <v>0</v>
      </c>
      <c r="I84" s="65"/>
      <c r="J84" s="65"/>
      <c r="K84" s="65"/>
      <c r="L84" s="65"/>
      <c r="M84" s="65"/>
      <c r="N84" s="65"/>
      <c r="O84" s="65"/>
      <c r="P84" s="65"/>
      <c r="Q84" s="65"/>
      <c r="R84" s="65">
        <v>-19982702</v>
      </c>
      <c r="S84" s="65"/>
      <c r="T84" s="65">
        <v>-19982702</v>
      </c>
    </row>
    <row r="85" spans="2:20" ht="15.6">
      <c r="B85" s="75" t="s">
        <v>96</v>
      </c>
      <c r="C85" s="65"/>
      <c r="D85" s="65">
        <v>-261456890.00562578</v>
      </c>
      <c r="E85" s="65"/>
      <c r="F85" s="65">
        <v>119711097.29751429</v>
      </c>
      <c r="G85" s="65"/>
      <c r="H85" s="72">
        <v>-141745792.70811149</v>
      </c>
      <c r="I85" s="65"/>
      <c r="J85" s="65"/>
      <c r="K85" s="65"/>
      <c r="L85" s="65">
        <v>0.27826026169507129</v>
      </c>
      <c r="M85" s="65"/>
      <c r="N85" s="65"/>
      <c r="O85" s="65"/>
      <c r="P85" s="65">
        <v>-141745792.42985123</v>
      </c>
      <c r="Q85" s="65"/>
      <c r="R85" s="65">
        <v>0</v>
      </c>
      <c r="S85" s="65"/>
      <c r="T85" s="65">
        <v>-141745792.42985123</v>
      </c>
    </row>
    <row r="86" spans="2:20" ht="15.6">
      <c r="B86" s="75" t="s">
        <v>94</v>
      </c>
      <c r="C86" s="65"/>
      <c r="D86" s="65">
        <v>-784259422.47422302</v>
      </c>
      <c r="E86" s="65"/>
      <c r="F86" s="65">
        <v>30818659.43203884</v>
      </c>
      <c r="G86" s="65"/>
      <c r="H86" s="72">
        <v>-753440763.04218423</v>
      </c>
      <c r="I86" s="65"/>
      <c r="J86" s="65"/>
      <c r="K86" s="65"/>
      <c r="L86" s="65">
        <v>-2558442.0679174853</v>
      </c>
      <c r="M86" s="65"/>
      <c r="N86" s="65"/>
      <c r="O86" s="65"/>
      <c r="P86" s="65">
        <v>-755999205.1101017</v>
      </c>
      <c r="Q86" s="65"/>
      <c r="R86" s="65">
        <v>-3348782</v>
      </c>
      <c r="S86" s="65"/>
      <c r="T86" s="65">
        <v>-759347987.1101017</v>
      </c>
    </row>
    <row r="87" spans="2:20" ht="15.6">
      <c r="B87" s="75" t="s">
        <v>99</v>
      </c>
      <c r="C87" s="65"/>
      <c r="D87" s="65"/>
      <c r="E87" s="65"/>
      <c r="F87" s="65"/>
      <c r="G87" s="65"/>
      <c r="H87" s="72"/>
      <c r="I87" s="65"/>
      <c r="J87" s="65"/>
      <c r="K87" s="65"/>
      <c r="L87" s="65"/>
      <c r="M87" s="65"/>
      <c r="N87" s="65"/>
      <c r="O87" s="65"/>
      <c r="P87" s="65">
        <v>0</v>
      </c>
      <c r="Q87" s="65"/>
      <c r="R87" s="65">
        <v>-519054278</v>
      </c>
      <c r="S87" s="65"/>
      <c r="T87" s="65">
        <v>-519054278</v>
      </c>
    </row>
    <row r="88" spans="2:20" ht="15.6">
      <c r="B88" s="65" t="s">
        <v>138</v>
      </c>
      <c r="C88" s="65"/>
      <c r="D88" s="65"/>
      <c r="E88" s="65"/>
      <c r="F88" s="65"/>
      <c r="G88" s="65"/>
      <c r="H88" s="65"/>
      <c r="I88" s="65"/>
      <c r="J88" s="65"/>
      <c r="K88" s="65"/>
      <c r="L88" s="65"/>
      <c r="M88" s="65"/>
      <c r="N88" s="65"/>
      <c r="O88" s="65"/>
      <c r="P88" s="65"/>
      <c r="Q88" s="65"/>
      <c r="R88" s="65">
        <v>-188876</v>
      </c>
      <c r="S88" s="65"/>
      <c r="T88" s="65">
        <v>-188876</v>
      </c>
    </row>
    <row r="89" spans="2:20" ht="15.6">
      <c r="B89" s="65" t="s">
        <v>106</v>
      </c>
      <c r="C89" s="65"/>
      <c r="D89" s="65"/>
      <c r="E89" s="65"/>
      <c r="F89" s="65"/>
      <c r="G89" s="65"/>
      <c r="H89" s="65"/>
      <c r="I89" s="65"/>
      <c r="J89" s="65"/>
      <c r="K89" s="65"/>
      <c r="L89" s="65">
        <v>-704984321.21034276</v>
      </c>
      <c r="M89" s="65"/>
      <c r="N89" s="65"/>
      <c r="O89" s="65"/>
      <c r="P89" s="65">
        <v>-704984321.21034276</v>
      </c>
      <c r="Q89" s="65"/>
      <c r="R89" s="66"/>
      <c r="S89" s="65"/>
      <c r="T89" s="65">
        <v>-704984321.21034276</v>
      </c>
    </row>
    <row r="90" spans="2:20" ht="15.6">
      <c r="B90" s="65" t="s">
        <v>113</v>
      </c>
      <c r="C90" s="65"/>
      <c r="D90" s="65"/>
      <c r="E90" s="65"/>
      <c r="F90" s="65"/>
      <c r="G90" s="65"/>
      <c r="H90" s="65"/>
      <c r="I90" s="65"/>
      <c r="J90" s="65"/>
      <c r="K90" s="65"/>
      <c r="L90" s="65">
        <v>195133716.87984791</v>
      </c>
      <c r="M90" s="65"/>
      <c r="N90" s="65"/>
      <c r="O90" s="65"/>
      <c r="P90" s="65">
        <v>195133716.87984791</v>
      </c>
      <c r="Q90" s="65"/>
      <c r="R90" s="66"/>
      <c r="S90" s="65"/>
      <c r="T90" s="65">
        <v>195133716.87984791</v>
      </c>
    </row>
    <row r="91" spans="2:20" ht="15.6">
      <c r="B91" s="65" t="s">
        <v>2241</v>
      </c>
      <c r="C91" s="65"/>
      <c r="D91" s="65">
        <v>0</v>
      </c>
      <c r="E91" s="65"/>
      <c r="F91" s="65"/>
      <c r="G91" s="65"/>
      <c r="H91" s="72">
        <v>0</v>
      </c>
      <c r="I91" s="65"/>
      <c r="J91" s="65"/>
      <c r="K91" s="65"/>
      <c r="L91" s="65"/>
      <c r="M91" s="65"/>
      <c r="N91" s="65"/>
      <c r="O91" s="65"/>
      <c r="P91" s="65">
        <v>0</v>
      </c>
      <c r="Q91" s="65"/>
      <c r="R91" s="65"/>
      <c r="S91" s="65"/>
      <c r="T91" s="65">
        <v>0</v>
      </c>
    </row>
    <row r="92" spans="2:20" ht="15.6">
      <c r="B92" s="75" t="s">
        <v>2242</v>
      </c>
      <c r="C92" s="65"/>
      <c r="D92" s="65"/>
      <c r="E92" s="65"/>
      <c r="F92" s="65">
        <v>0</v>
      </c>
      <c r="G92" s="65"/>
      <c r="H92" s="72">
        <v>0</v>
      </c>
      <c r="I92" s="65"/>
      <c r="J92" s="65"/>
      <c r="K92" s="65"/>
      <c r="L92" s="65"/>
      <c r="M92" s="65"/>
      <c r="N92" s="65"/>
      <c r="O92" s="65"/>
      <c r="P92" s="65">
        <v>0</v>
      </c>
      <c r="Q92" s="65"/>
      <c r="R92" s="65"/>
      <c r="S92" s="65"/>
      <c r="T92" s="65">
        <v>0</v>
      </c>
    </row>
    <row r="93" spans="2:20" ht="15.6">
      <c r="B93" s="65" t="s">
        <v>2243</v>
      </c>
      <c r="C93" s="65"/>
      <c r="D93" s="65">
        <v>-7443753.0855437499</v>
      </c>
      <c r="E93" s="65"/>
      <c r="F93" s="65">
        <v>7086825.1100568334</v>
      </c>
      <c r="G93" s="65"/>
      <c r="H93" s="72">
        <v>-356927.97548691649</v>
      </c>
      <c r="I93" s="65"/>
      <c r="J93" s="65"/>
      <c r="K93" s="65"/>
      <c r="L93" s="65"/>
      <c r="M93" s="65"/>
      <c r="N93" s="65"/>
      <c r="O93" s="65"/>
      <c r="P93" s="65">
        <v>-356927.97548691649</v>
      </c>
      <c r="Q93" s="65"/>
      <c r="R93" s="65"/>
      <c r="S93" s="65"/>
      <c r="T93" s="65">
        <v>-356927.97548691649</v>
      </c>
    </row>
    <row r="94" spans="2:20" ht="15.6">
      <c r="B94" s="65" t="s">
        <v>143</v>
      </c>
      <c r="C94" s="65"/>
      <c r="D94" s="65"/>
      <c r="E94" s="65"/>
      <c r="F94" s="65"/>
      <c r="G94" s="65"/>
      <c r="H94" s="72"/>
      <c r="I94" s="65"/>
      <c r="J94" s="65"/>
      <c r="K94" s="65"/>
      <c r="L94" s="65"/>
      <c r="M94" s="65"/>
      <c r="N94" s="65"/>
      <c r="O94" s="65"/>
      <c r="P94" s="65">
        <v>0</v>
      </c>
      <c r="Q94" s="65"/>
      <c r="R94" s="65">
        <v>0</v>
      </c>
      <c r="S94" s="65"/>
      <c r="T94" s="65">
        <v>0</v>
      </c>
    </row>
    <row r="95" spans="2:20" ht="15.6">
      <c r="B95" s="65" t="s">
        <v>131</v>
      </c>
      <c r="C95" s="65"/>
      <c r="D95" s="65">
        <v>-30396248.281296991</v>
      </c>
      <c r="E95" s="65"/>
      <c r="F95" s="65"/>
      <c r="G95" s="65"/>
      <c r="H95" s="72">
        <v>-30396248.281296991</v>
      </c>
      <c r="I95" s="65"/>
      <c r="J95" s="65"/>
      <c r="K95" s="65"/>
      <c r="L95" s="65"/>
      <c r="M95" s="65"/>
      <c r="N95" s="65"/>
      <c r="O95" s="65"/>
      <c r="P95" s="65">
        <v>-30396248.281296991</v>
      </c>
      <c r="Q95" s="65"/>
      <c r="R95" s="65">
        <v>33010857</v>
      </c>
      <c r="S95" s="65"/>
      <c r="T95" s="65">
        <v>2614608.7187030092</v>
      </c>
    </row>
    <row r="96" spans="2:20" ht="15.6">
      <c r="B96" s="65"/>
      <c r="C96" s="65"/>
      <c r="D96" s="65"/>
      <c r="E96" s="65"/>
      <c r="F96" s="65"/>
      <c r="G96" s="65"/>
      <c r="H96" s="65"/>
      <c r="I96" s="65"/>
      <c r="J96" s="65"/>
      <c r="K96" s="65"/>
      <c r="L96" s="65"/>
      <c r="M96" s="65"/>
      <c r="N96" s="65"/>
      <c r="O96" s="65"/>
      <c r="P96" s="65"/>
      <c r="Q96" s="65"/>
      <c r="R96" s="65"/>
      <c r="S96" s="65"/>
      <c r="T96" s="65"/>
    </row>
    <row r="97" spans="2:20" ht="15.6">
      <c r="B97" s="65"/>
      <c r="C97" s="65"/>
      <c r="D97" s="68" t="s">
        <v>87</v>
      </c>
      <c r="E97" s="65"/>
      <c r="F97" s="68" t="s">
        <v>87</v>
      </c>
      <c r="G97" s="65"/>
      <c r="H97" s="68" t="s">
        <v>87</v>
      </c>
      <c r="I97" s="65"/>
      <c r="J97" s="68" t="s">
        <v>87</v>
      </c>
      <c r="K97" s="65"/>
      <c r="L97" s="68" t="s">
        <v>87</v>
      </c>
      <c r="M97" s="65"/>
      <c r="N97" s="68" t="s">
        <v>87</v>
      </c>
      <c r="O97" s="65"/>
      <c r="P97" s="68" t="s">
        <v>87</v>
      </c>
      <c r="Q97" s="65"/>
      <c r="R97" s="68" t="s">
        <v>87</v>
      </c>
      <c r="S97" s="65"/>
      <c r="T97" s="68" t="s">
        <v>87</v>
      </c>
    </row>
    <row r="98" spans="2:20" ht="15.6">
      <c r="B98" s="65" t="s">
        <v>2244</v>
      </c>
      <c r="C98" s="65"/>
      <c r="D98" s="65">
        <v>-1087721864.207804</v>
      </c>
      <c r="E98" s="65"/>
      <c r="F98" s="65">
        <v>161429636.0510737</v>
      </c>
      <c r="G98" s="65"/>
      <c r="H98" s="65">
        <v>-926292228.15673029</v>
      </c>
      <c r="I98" s="65"/>
      <c r="J98" s="65">
        <v>0</v>
      </c>
      <c r="K98" s="65"/>
      <c r="L98" s="65">
        <v>-512409046.12015212</v>
      </c>
      <c r="M98" s="65"/>
      <c r="N98" s="65">
        <v>0</v>
      </c>
      <c r="O98" s="65"/>
      <c r="P98" s="65">
        <v>-1438701274.2768822</v>
      </c>
      <c r="Q98" s="65"/>
      <c r="R98" s="65">
        <v>-518074376</v>
      </c>
      <c r="S98" s="65"/>
      <c r="T98" s="65">
        <v>-1956775650.2768822</v>
      </c>
    </row>
    <row r="99" spans="2:20" ht="15.6">
      <c r="B99" s="65"/>
      <c r="C99" s="65"/>
      <c r="D99" s="68" t="s">
        <v>87</v>
      </c>
      <c r="E99" s="65"/>
      <c r="F99" s="68" t="s">
        <v>87</v>
      </c>
      <c r="G99" s="65"/>
      <c r="H99" s="68" t="s">
        <v>87</v>
      </c>
      <c r="I99" s="65"/>
      <c r="J99" s="68" t="s">
        <v>87</v>
      </c>
      <c r="K99" s="65"/>
      <c r="L99" s="68" t="s">
        <v>87</v>
      </c>
      <c r="M99" s="65"/>
      <c r="N99" s="68" t="s">
        <v>87</v>
      </c>
      <c r="O99" s="65"/>
      <c r="P99" s="68" t="s">
        <v>87</v>
      </c>
      <c r="Q99" s="65"/>
      <c r="R99" s="68" t="s">
        <v>87</v>
      </c>
      <c r="S99" s="65"/>
      <c r="T99" s="68" t="s">
        <v>87</v>
      </c>
    </row>
    <row r="100" spans="2:20" ht="15.6">
      <c r="B100" s="65" t="s">
        <v>2245</v>
      </c>
      <c r="C100" s="65"/>
      <c r="D100" s="65">
        <v>14280313496.792196</v>
      </c>
      <c r="E100" s="65"/>
      <c r="F100" s="65">
        <v>-4180442473.9489264</v>
      </c>
      <c r="G100" s="65"/>
      <c r="H100" s="65">
        <v>10099871022.843269</v>
      </c>
      <c r="I100" s="65"/>
      <c r="J100" s="65">
        <v>69277261</v>
      </c>
      <c r="K100" s="65"/>
      <c r="L100" s="65">
        <v>195133716.87984788</v>
      </c>
      <c r="M100" s="65"/>
      <c r="N100" s="65">
        <v>0</v>
      </c>
      <c r="O100" s="65"/>
      <c r="P100" s="65">
        <v>10364282000.723118</v>
      </c>
      <c r="Q100" s="65"/>
      <c r="R100" s="65">
        <v>86670521</v>
      </c>
      <c r="S100" s="65"/>
      <c r="T100" s="65">
        <v>10450952521.723118</v>
      </c>
    </row>
    <row r="101" spans="2:20" ht="15.6">
      <c r="B101" s="65"/>
      <c r="C101" s="65"/>
      <c r="D101" s="68" t="s">
        <v>87</v>
      </c>
      <c r="E101" s="65"/>
      <c r="F101" s="68" t="s">
        <v>87</v>
      </c>
      <c r="G101" s="65"/>
      <c r="H101" s="68" t="s">
        <v>87</v>
      </c>
      <c r="I101" s="65"/>
      <c r="J101" s="68" t="s">
        <v>87</v>
      </c>
      <c r="K101" s="65"/>
      <c r="L101" s="68" t="s">
        <v>87</v>
      </c>
      <c r="M101" s="65"/>
      <c r="N101" s="68" t="s">
        <v>87</v>
      </c>
      <c r="O101" s="65"/>
      <c r="P101" s="68" t="s">
        <v>87</v>
      </c>
      <c r="Q101" s="65"/>
      <c r="R101" s="68" t="s">
        <v>87</v>
      </c>
      <c r="S101" s="65"/>
      <c r="T101" s="68" t="s">
        <v>87</v>
      </c>
    </row>
    <row r="102" spans="2:20" ht="15.6">
      <c r="B102" s="65" t="s">
        <v>2246</v>
      </c>
      <c r="C102" s="65"/>
      <c r="D102" s="65"/>
      <c r="E102" s="65"/>
      <c r="F102" s="65"/>
      <c r="G102" s="65"/>
      <c r="H102" s="65"/>
      <c r="I102" s="65"/>
      <c r="J102" s="65"/>
      <c r="K102" s="65"/>
      <c r="L102" s="65"/>
      <c r="M102" s="65"/>
      <c r="N102" s="65"/>
      <c r="O102" s="65"/>
      <c r="P102" s="65"/>
      <c r="Q102" s="65"/>
      <c r="R102" s="65"/>
      <c r="S102" s="65"/>
      <c r="T102" s="65"/>
    </row>
    <row r="103" spans="2:20" ht="15.6">
      <c r="B103" s="65" t="s">
        <v>2247</v>
      </c>
      <c r="C103" s="65"/>
      <c r="D103" s="65"/>
      <c r="E103" s="65"/>
      <c r="F103" s="65"/>
      <c r="G103" s="65"/>
      <c r="H103" s="65"/>
      <c r="I103" s="65"/>
      <c r="J103" s="65"/>
      <c r="K103" s="65"/>
      <c r="L103" s="65"/>
      <c r="M103" s="65"/>
      <c r="N103" s="65"/>
      <c r="O103" s="65"/>
      <c r="P103" s="65"/>
      <c r="Q103" s="65"/>
      <c r="R103" s="65"/>
      <c r="S103" s="65"/>
      <c r="T103" s="65"/>
    </row>
    <row r="104" spans="2:20" ht="15.6">
      <c r="B104" s="68" t="s">
        <v>87</v>
      </c>
      <c r="C104" s="65"/>
      <c r="D104" s="65"/>
      <c r="E104" s="65"/>
      <c r="F104" s="65"/>
      <c r="G104" s="65"/>
      <c r="H104" s="65"/>
      <c r="I104" s="65"/>
      <c r="J104" s="65"/>
      <c r="K104" s="65"/>
      <c r="L104" s="65"/>
      <c r="M104" s="65"/>
      <c r="N104" s="65"/>
      <c r="O104" s="65"/>
      <c r="P104" s="65"/>
      <c r="Q104" s="65"/>
      <c r="R104" s="76"/>
      <c r="S104" s="76"/>
      <c r="T104" s="65"/>
    </row>
    <row r="105" spans="2:20" ht="15.6">
      <c r="B105" s="76"/>
      <c r="C105" s="76"/>
      <c r="D105" s="76"/>
      <c r="E105" s="76"/>
      <c r="F105" s="76"/>
      <c r="G105" s="76"/>
      <c r="H105" s="76"/>
      <c r="I105" s="76"/>
      <c r="J105" s="76"/>
      <c r="K105" s="76"/>
      <c r="L105" s="76"/>
      <c r="M105" s="76"/>
      <c r="N105" s="76"/>
      <c r="O105" s="76"/>
      <c r="P105" s="76"/>
      <c r="Q105" s="76"/>
      <c r="R105" s="76"/>
      <c r="S105" s="76"/>
      <c r="T105" s="76"/>
    </row>
    <row r="106" spans="2:20" ht="15.6">
      <c r="B106" s="65"/>
      <c r="C106" s="65"/>
      <c r="D106" s="65"/>
      <c r="E106" s="65"/>
      <c r="F106" s="65"/>
      <c r="G106" s="65"/>
      <c r="H106" s="65"/>
      <c r="I106" s="65"/>
      <c r="J106" s="65"/>
      <c r="K106" s="65"/>
      <c r="L106" s="65"/>
      <c r="M106" s="65"/>
      <c r="N106" s="65"/>
      <c r="O106" s="65"/>
      <c r="P106" s="65"/>
      <c r="Q106" s="65"/>
      <c r="R106" s="65"/>
      <c r="S106" s="65"/>
      <c r="T106" s="65"/>
    </row>
    <row r="107" spans="2:20" ht="15.6">
      <c r="B107" s="65"/>
      <c r="C107" s="65"/>
      <c r="D107" s="68" t="s">
        <v>87</v>
      </c>
      <c r="E107" s="65"/>
      <c r="F107" s="68" t="s">
        <v>87</v>
      </c>
      <c r="G107" s="65"/>
      <c r="H107" s="68" t="s">
        <v>87</v>
      </c>
      <c r="I107" s="65"/>
      <c r="J107" s="68" t="s">
        <v>87</v>
      </c>
      <c r="K107" s="65"/>
      <c r="L107" s="68" t="s">
        <v>87</v>
      </c>
      <c r="M107" s="65"/>
      <c r="N107" s="68" t="s">
        <v>87</v>
      </c>
      <c r="O107" s="65"/>
      <c r="P107" s="68" t="s">
        <v>87</v>
      </c>
      <c r="Q107" s="65"/>
      <c r="R107" s="68" t="s">
        <v>87</v>
      </c>
      <c r="S107" s="65"/>
      <c r="T107" s="68" t="s">
        <v>87</v>
      </c>
    </row>
    <row r="108" spans="2:20" ht="15.6">
      <c r="B108" s="65" t="s">
        <v>2248</v>
      </c>
      <c r="C108" s="65"/>
      <c r="D108" s="65">
        <v>0</v>
      </c>
      <c r="E108" s="65"/>
      <c r="F108" s="65">
        <v>0</v>
      </c>
      <c r="G108" s="65"/>
      <c r="H108" s="65">
        <v>0</v>
      </c>
      <c r="I108" s="65"/>
      <c r="J108" s="65">
        <v>0</v>
      </c>
      <c r="K108" s="65"/>
      <c r="L108" s="65">
        <v>0</v>
      </c>
      <c r="M108" s="65"/>
      <c r="N108" s="65">
        <v>0</v>
      </c>
      <c r="O108" s="65"/>
      <c r="P108" s="65">
        <v>0</v>
      </c>
      <c r="Q108" s="65"/>
      <c r="R108" s="65">
        <v>0</v>
      </c>
      <c r="S108" s="65"/>
      <c r="T108" s="65">
        <v>0</v>
      </c>
    </row>
    <row r="109" spans="2:20" ht="15.6">
      <c r="B109" s="65"/>
      <c r="C109" s="65"/>
      <c r="D109" s="68" t="s">
        <v>87</v>
      </c>
      <c r="E109" s="65"/>
      <c r="F109" s="68" t="s">
        <v>87</v>
      </c>
      <c r="G109" s="65"/>
      <c r="H109" s="68" t="s">
        <v>87</v>
      </c>
      <c r="I109" s="65"/>
      <c r="J109" s="68" t="s">
        <v>87</v>
      </c>
      <c r="K109" s="65"/>
      <c r="L109" s="68" t="s">
        <v>87</v>
      </c>
      <c r="M109" s="65"/>
      <c r="N109" s="68" t="s">
        <v>87</v>
      </c>
      <c r="O109" s="65"/>
      <c r="P109" s="68" t="s">
        <v>87</v>
      </c>
      <c r="Q109" s="65"/>
      <c r="R109" s="68" t="s">
        <v>87</v>
      </c>
      <c r="S109" s="65"/>
      <c r="T109" s="68" t="s">
        <v>87</v>
      </c>
    </row>
    <row r="110" spans="2:20" ht="15.6">
      <c r="B110" s="65" t="s">
        <v>2249</v>
      </c>
      <c r="C110" s="69" t="s">
        <v>90</v>
      </c>
      <c r="D110" s="65">
        <v>14280313496.792196</v>
      </c>
      <c r="E110" s="77" t="s">
        <v>90</v>
      </c>
      <c r="F110" s="65">
        <v>-4180442473.9489264</v>
      </c>
      <c r="G110" s="77" t="s">
        <v>90</v>
      </c>
      <c r="H110" s="65">
        <v>10099871022.843269</v>
      </c>
      <c r="I110" s="77" t="s">
        <v>90</v>
      </c>
      <c r="J110" s="65">
        <v>69277261</v>
      </c>
      <c r="K110" s="77" t="s">
        <v>90</v>
      </c>
      <c r="L110" s="65">
        <v>195133716.87984788</v>
      </c>
      <c r="M110" s="77" t="s">
        <v>90</v>
      </c>
      <c r="N110" s="65">
        <v>0</v>
      </c>
      <c r="O110" s="77" t="s">
        <v>90</v>
      </c>
      <c r="P110" s="65">
        <v>10364282000.723118</v>
      </c>
      <c r="Q110" s="77" t="s">
        <v>90</v>
      </c>
      <c r="R110" s="65">
        <v>86670521</v>
      </c>
      <c r="S110" s="77" t="s">
        <v>90</v>
      </c>
      <c r="T110" s="65">
        <v>10450952521.723118</v>
      </c>
    </row>
    <row r="111" spans="2:20" ht="15.6">
      <c r="B111" s="65"/>
      <c r="C111" s="65"/>
      <c r="D111" s="68" t="s">
        <v>135</v>
      </c>
      <c r="E111" s="65"/>
      <c r="F111" s="68" t="s">
        <v>135</v>
      </c>
      <c r="G111" s="65"/>
      <c r="H111" s="68" t="s">
        <v>135</v>
      </c>
      <c r="I111" s="65"/>
      <c r="J111" s="68" t="s">
        <v>135</v>
      </c>
      <c r="K111" s="65"/>
      <c r="L111" s="68" t="s">
        <v>135</v>
      </c>
      <c r="M111" s="65"/>
      <c r="N111" s="68" t="s">
        <v>135</v>
      </c>
      <c r="O111" s="65"/>
      <c r="P111" s="68" t="s">
        <v>135</v>
      </c>
      <c r="Q111" s="65"/>
      <c r="R111" s="68" t="s">
        <v>135</v>
      </c>
      <c r="S111" s="65"/>
      <c r="T111" s="68" t="s">
        <v>135</v>
      </c>
    </row>
    <row r="112" spans="2:20" ht="15.6">
      <c r="B112" s="65"/>
      <c r="C112" s="65"/>
      <c r="D112" s="65"/>
      <c r="E112" s="65"/>
      <c r="F112" s="65"/>
      <c r="G112" s="65"/>
      <c r="H112" s="388"/>
      <c r="I112" s="65"/>
      <c r="J112" s="65"/>
      <c r="K112" s="65"/>
      <c r="L112" s="65"/>
      <c r="M112" s="65"/>
      <c r="N112" s="65"/>
      <c r="O112" s="65"/>
      <c r="P112" s="65"/>
      <c r="Q112" s="65"/>
      <c r="R112" s="65"/>
      <c r="S112" s="65"/>
      <c r="T112" s="65"/>
    </row>
    <row r="113" spans="2:20" ht="15.6">
      <c r="B113" s="65"/>
      <c r="C113" s="65"/>
      <c r="D113" s="65"/>
      <c r="E113" s="65"/>
      <c r="F113" s="65"/>
      <c r="G113" s="65"/>
      <c r="H113" s="65"/>
      <c r="I113" s="65"/>
      <c r="J113" s="65"/>
      <c r="K113" s="65"/>
      <c r="L113" s="65"/>
      <c r="M113" s="65"/>
      <c r="N113" s="65"/>
      <c r="O113" s="65"/>
      <c r="P113" s="65"/>
      <c r="Q113" s="65"/>
      <c r="R113" s="65"/>
      <c r="S113" s="65"/>
      <c r="T113" s="65"/>
    </row>
    <row r="114" spans="2:20" ht="15.6">
      <c r="B114" s="65"/>
      <c r="C114" s="65"/>
      <c r="D114" s="65"/>
      <c r="E114" s="65"/>
      <c r="F114" s="65"/>
      <c r="G114" s="65"/>
      <c r="H114" s="65"/>
      <c r="I114" s="65"/>
      <c r="J114" s="65"/>
      <c r="K114" s="65"/>
      <c r="L114" s="65"/>
      <c r="M114" s="65"/>
      <c r="N114" s="65"/>
      <c r="O114" s="65"/>
      <c r="P114" s="65"/>
      <c r="Q114" s="65"/>
      <c r="R114" s="65"/>
      <c r="S114" s="65"/>
      <c r="T114" s="65"/>
    </row>
    <row r="115" spans="2:20" ht="15.6">
      <c r="B115" s="65"/>
      <c r="C115" s="65"/>
      <c r="D115" s="65"/>
      <c r="E115" s="65"/>
      <c r="F115" s="65"/>
      <c r="G115" s="65"/>
      <c r="H115" s="65"/>
      <c r="I115" s="65"/>
      <c r="J115" s="65"/>
      <c r="K115" s="65"/>
      <c r="L115" s="65"/>
      <c r="M115" s="65"/>
      <c r="N115" s="65"/>
      <c r="O115" s="65"/>
      <c r="P115" s="65"/>
      <c r="Q115" s="65"/>
      <c r="R115" s="65"/>
      <c r="S115" s="65"/>
      <c r="T115" s="65"/>
    </row>
    <row r="116" spans="2:20" ht="15.6">
      <c r="B116" s="65"/>
      <c r="C116" s="65"/>
      <c r="D116" s="65"/>
      <c r="E116" s="65"/>
      <c r="F116" s="65"/>
      <c r="G116" s="65"/>
      <c r="H116" s="65"/>
      <c r="I116" s="65"/>
      <c r="J116" s="65"/>
      <c r="K116" s="65"/>
      <c r="L116" s="65"/>
      <c r="M116" s="65"/>
      <c r="N116" s="65"/>
      <c r="O116" s="65"/>
      <c r="P116" s="65"/>
      <c r="Q116" s="65"/>
      <c r="R116" s="65"/>
      <c r="S116" s="65"/>
      <c r="T116" s="65"/>
    </row>
    <row r="117" spans="2:20" ht="15.6">
      <c r="B117" s="78" t="s">
        <v>2250</v>
      </c>
      <c r="C117" s="65"/>
      <c r="D117" s="65"/>
      <c r="E117" s="65"/>
      <c r="F117" s="65"/>
      <c r="G117" s="65"/>
      <c r="H117" s="65"/>
      <c r="I117" s="65"/>
      <c r="J117" s="65"/>
      <c r="K117" s="65"/>
      <c r="L117" s="65"/>
      <c r="M117" s="65"/>
      <c r="N117" s="65"/>
      <c r="O117" s="65"/>
      <c r="P117" s="65"/>
      <c r="Q117" s="65"/>
      <c r="R117" s="65"/>
      <c r="S117" s="65"/>
      <c r="T117" s="65"/>
    </row>
    <row r="118" spans="2:20" ht="15.6">
      <c r="B118" s="78" t="s">
        <v>2251</v>
      </c>
      <c r="C118" s="65"/>
      <c r="D118" s="65"/>
      <c r="E118" s="65"/>
      <c r="F118" s="65"/>
      <c r="G118" s="65"/>
      <c r="H118" s="65"/>
      <c r="I118" s="65"/>
      <c r="J118" s="65"/>
      <c r="K118" s="65"/>
      <c r="L118" s="65"/>
      <c r="M118" s="65"/>
      <c r="N118" s="65"/>
      <c r="O118" s="65"/>
      <c r="P118" s="65"/>
      <c r="Q118" s="65"/>
      <c r="R118" s="65"/>
      <c r="S118" s="65"/>
      <c r="T118" s="65"/>
    </row>
    <row r="119" spans="2:20" ht="15.6">
      <c r="B119" s="78" t="s">
        <v>2252</v>
      </c>
      <c r="C119" s="65"/>
      <c r="D119" s="65"/>
      <c r="E119" s="65"/>
      <c r="F119" s="65"/>
      <c r="G119" s="65"/>
      <c r="H119" s="65"/>
      <c r="I119" s="65"/>
      <c r="J119" s="65"/>
      <c r="K119" s="65"/>
      <c r="L119" s="65"/>
      <c r="M119" s="65"/>
      <c r="N119" s="65"/>
      <c r="O119" s="65"/>
      <c r="P119" s="65"/>
      <c r="Q119" s="65"/>
      <c r="R119" s="65"/>
      <c r="S119" s="65"/>
      <c r="T119" s="65"/>
    </row>
  </sheetData>
  <mergeCells count="2">
    <mergeCell ref="B4:T4"/>
    <mergeCell ref="B5:T5"/>
  </mergeCells>
  <pageMargins left="0.7" right="0.7" top="0.75" bottom="0.75" header="0.3" footer="0.3"/>
  <pageSetup scale="51" orientation="landscape" r:id="rId1"/>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05EDA-9694-4D53-8AA9-BA1BB9696516}">
  <sheetPr>
    <tabColor rgb="FF008080"/>
  </sheetPr>
  <dimension ref="A1:V173"/>
  <sheetViews>
    <sheetView zoomScaleNormal="100" zoomScaleSheetLayoutView="70" workbookViewId="0">
      <selection activeCell="U2" sqref="U2"/>
    </sheetView>
  </sheetViews>
  <sheetFormatPr defaultColWidth="9.109375" defaultRowHeight="15" customHeight="1"/>
  <cols>
    <col min="1" max="1" width="4.6640625" style="81" customWidth="1"/>
    <col min="2" max="2" width="10.6640625" style="81" customWidth="1"/>
    <col min="3" max="4" width="9.6640625" style="81" customWidth="1"/>
    <col min="5" max="5" width="18.88671875" style="81" customWidth="1"/>
    <col min="6" max="6" width="12.33203125" style="81" customWidth="1"/>
    <col min="7" max="19" width="11.33203125" style="81" customWidth="1"/>
    <col min="20" max="20" width="10.44140625" style="81" customWidth="1"/>
    <col min="21" max="21" width="20" style="81" customWidth="1"/>
    <col min="22" max="16384" width="9.109375" style="81"/>
  </cols>
  <sheetData>
    <row r="1" spans="1:21" ht="15" customHeight="1" thickBot="1">
      <c r="A1" s="574" t="s">
        <v>340</v>
      </c>
      <c r="B1" s="574"/>
      <c r="C1" s="574"/>
      <c r="D1" s="574"/>
      <c r="E1" s="574"/>
      <c r="F1" s="574"/>
      <c r="G1" s="574"/>
      <c r="H1" s="574"/>
      <c r="I1" s="574" t="s">
        <v>341</v>
      </c>
      <c r="J1" s="574"/>
      <c r="K1" s="574"/>
      <c r="L1" s="574"/>
      <c r="M1" s="574"/>
      <c r="N1" s="574"/>
      <c r="O1" s="574"/>
      <c r="P1" s="574"/>
      <c r="Q1" s="574"/>
      <c r="R1" s="574"/>
      <c r="S1" s="574"/>
      <c r="T1" s="575" t="s">
        <v>2</v>
      </c>
      <c r="U1" s="580" t="s">
        <v>2256</v>
      </c>
    </row>
    <row r="2" spans="1:21" ht="15" customHeight="1">
      <c r="A2" s="4" t="s">
        <v>4</v>
      </c>
      <c r="B2" s="4"/>
      <c r="C2" s="4"/>
      <c r="D2" s="4"/>
      <c r="E2" s="4"/>
      <c r="F2" s="4" t="s">
        <v>343</v>
      </c>
      <c r="G2" s="4" t="s">
        <v>344</v>
      </c>
      <c r="H2" s="5"/>
      <c r="I2" s="5"/>
      <c r="J2" s="6"/>
      <c r="K2" s="6"/>
      <c r="L2" s="4"/>
      <c r="M2" s="6"/>
      <c r="N2" s="6"/>
      <c r="O2" s="6"/>
      <c r="P2" s="6"/>
      <c r="Q2" s="6" t="s">
        <v>7</v>
      </c>
      <c r="R2" s="4"/>
      <c r="S2" s="4"/>
      <c r="T2" s="7"/>
      <c r="U2" s="579" t="s">
        <v>2257</v>
      </c>
    </row>
    <row r="3" spans="1:21" ht="15" customHeight="1">
      <c r="A3" s="4"/>
      <c r="B3" s="4"/>
      <c r="C3" s="4"/>
      <c r="D3" s="4"/>
      <c r="E3" s="4"/>
      <c r="F3" s="4"/>
      <c r="G3" s="4" t="s">
        <v>345</v>
      </c>
      <c r="H3" s="5"/>
      <c r="I3" s="5"/>
      <c r="J3" s="9"/>
      <c r="K3" s="7"/>
      <c r="L3" s="4"/>
      <c r="M3" s="4"/>
      <c r="N3" s="4"/>
      <c r="O3" s="9"/>
      <c r="P3" s="9"/>
      <c r="Q3" s="9"/>
      <c r="R3" s="7" t="s">
        <v>2258</v>
      </c>
      <c r="S3" s="4"/>
      <c r="T3" s="9"/>
    </row>
    <row r="4" spans="1:21" ht="15" customHeight="1">
      <c r="A4" s="4" t="s">
        <v>10</v>
      </c>
      <c r="B4" s="4"/>
      <c r="C4" s="4"/>
      <c r="D4" s="4"/>
      <c r="E4" s="4"/>
      <c r="F4" s="4"/>
      <c r="G4" s="4" t="s">
        <v>346</v>
      </c>
      <c r="H4" s="4"/>
      <c r="I4" s="4"/>
      <c r="J4" s="9"/>
      <c r="K4" s="7"/>
      <c r="L4" s="9"/>
      <c r="M4" s="4"/>
      <c r="N4" s="4"/>
      <c r="O4" s="4"/>
      <c r="P4" s="4"/>
      <c r="Q4" s="9"/>
      <c r="R4" s="7" t="s">
        <v>2259</v>
      </c>
      <c r="S4" s="4"/>
      <c r="T4" s="9"/>
    </row>
    <row r="5" spans="1:21" ht="15" customHeight="1">
      <c r="A5" s="4"/>
      <c r="B5" s="4"/>
      <c r="C5" s="4"/>
      <c r="D5" s="4"/>
      <c r="E5" s="4"/>
      <c r="F5" s="4"/>
      <c r="G5" s="4"/>
      <c r="H5" s="4"/>
      <c r="I5" s="4"/>
      <c r="J5" s="9"/>
      <c r="K5" s="7"/>
      <c r="L5" s="9"/>
      <c r="M5" s="4"/>
      <c r="N5" s="4"/>
      <c r="O5" s="4"/>
      <c r="P5" s="4"/>
      <c r="Q5" s="9"/>
      <c r="R5" s="7" t="s">
        <v>2260</v>
      </c>
      <c r="S5" s="4"/>
      <c r="T5" s="9"/>
    </row>
    <row r="6" spans="1:21" ht="15" customHeight="1" thickBot="1">
      <c r="A6" s="2" t="s">
        <v>517</v>
      </c>
      <c r="B6" s="2"/>
      <c r="C6" s="1"/>
      <c r="D6" s="1"/>
      <c r="E6" s="1"/>
      <c r="F6" s="1"/>
      <c r="G6" s="1"/>
      <c r="H6" s="1"/>
      <c r="I6" s="2" t="s">
        <v>15</v>
      </c>
      <c r="J6" s="10"/>
      <c r="K6" s="1"/>
      <c r="L6" s="1"/>
      <c r="M6" s="1"/>
      <c r="N6" s="1"/>
      <c r="O6" s="1"/>
      <c r="P6" s="1"/>
      <c r="Q6" s="1"/>
      <c r="R6" s="2" t="s">
        <v>16</v>
      </c>
      <c r="S6" s="1"/>
      <c r="T6" s="1"/>
    </row>
    <row r="7" spans="1:21" ht="15" customHeight="1">
      <c r="A7" s="142"/>
      <c r="B7" s="142"/>
      <c r="C7" s="143"/>
      <c r="D7" s="143"/>
      <c r="E7" s="143"/>
      <c r="F7" s="143" t="s">
        <v>17</v>
      </c>
      <c r="G7" s="143" t="s">
        <v>18</v>
      </c>
      <c r="H7" s="143" t="s">
        <v>19</v>
      </c>
      <c r="I7" s="143" t="s">
        <v>20</v>
      </c>
      <c r="J7" s="143" t="s">
        <v>21</v>
      </c>
      <c r="K7" s="143" t="s">
        <v>22</v>
      </c>
      <c r="L7" s="143" t="s">
        <v>23</v>
      </c>
      <c r="M7" s="143" t="s">
        <v>24</v>
      </c>
      <c r="N7" s="143" t="s">
        <v>25</v>
      </c>
      <c r="O7" s="143" t="s">
        <v>26</v>
      </c>
      <c r="P7" s="143" t="s">
        <v>348</v>
      </c>
      <c r="Q7" s="143" t="s">
        <v>349</v>
      </c>
      <c r="R7" s="143" t="s">
        <v>350</v>
      </c>
      <c r="S7" s="143" t="s">
        <v>351</v>
      </c>
      <c r="T7" s="143" t="s">
        <v>352</v>
      </c>
    </row>
    <row r="8" spans="1:21" ht="15" customHeight="1">
      <c r="A8" s="142"/>
      <c r="B8" s="142"/>
      <c r="C8" s="142"/>
      <c r="D8" s="142"/>
      <c r="E8" s="142"/>
      <c r="F8" s="144"/>
      <c r="G8" s="144"/>
      <c r="H8" s="144"/>
      <c r="I8" s="144"/>
      <c r="J8" s="144"/>
      <c r="K8" s="144"/>
      <c r="L8" s="144"/>
      <c r="M8" s="144"/>
      <c r="N8" s="144"/>
      <c r="O8" s="144"/>
      <c r="P8" s="144"/>
      <c r="Q8" s="144"/>
      <c r="R8" s="144"/>
      <c r="S8" s="144" t="s">
        <v>353</v>
      </c>
      <c r="T8" s="144" t="s">
        <v>354</v>
      </c>
    </row>
    <row r="9" spans="1:21" ht="15" customHeight="1">
      <c r="A9" s="142" t="s">
        <v>35</v>
      </c>
      <c r="B9" s="144" t="s">
        <v>355</v>
      </c>
      <c r="C9" s="144" t="s">
        <v>356</v>
      </c>
      <c r="D9" s="144"/>
      <c r="E9" s="144"/>
      <c r="F9" s="144" t="s">
        <v>357</v>
      </c>
      <c r="G9" s="144" t="s">
        <v>358</v>
      </c>
      <c r="H9" s="144" t="s">
        <v>359</v>
      </c>
      <c r="I9" s="144" t="s">
        <v>360</v>
      </c>
      <c r="J9" s="144" t="s">
        <v>361</v>
      </c>
      <c r="K9" s="144" t="s">
        <v>362</v>
      </c>
      <c r="L9" s="144" t="s">
        <v>363</v>
      </c>
      <c r="M9" s="144" t="s">
        <v>364</v>
      </c>
      <c r="N9" s="144" t="s">
        <v>365</v>
      </c>
      <c r="O9" s="144" t="s">
        <v>366</v>
      </c>
      <c r="P9" s="144" t="s">
        <v>367</v>
      </c>
      <c r="Q9" s="144" t="s">
        <v>368</v>
      </c>
      <c r="R9" s="144" t="s">
        <v>357</v>
      </c>
      <c r="S9" s="144" t="s">
        <v>369</v>
      </c>
      <c r="T9" s="144" t="s">
        <v>370</v>
      </c>
    </row>
    <row r="10" spans="1:21" ht="15" customHeight="1" thickBot="1">
      <c r="A10" s="145" t="s">
        <v>46</v>
      </c>
      <c r="B10" s="146" t="s">
        <v>371</v>
      </c>
      <c r="C10" s="146" t="s">
        <v>372</v>
      </c>
      <c r="D10" s="146"/>
      <c r="E10" s="146"/>
      <c r="F10" s="147">
        <v>2021</v>
      </c>
      <c r="G10" s="147">
        <v>2022</v>
      </c>
      <c r="H10" s="147">
        <v>2022</v>
      </c>
      <c r="I10" s="147">
        <v>2022</v>
      </c>
      <c r="J10" s="147">
        <v>2022</v>
      </c>
      <c r="K10" s="147">
        <v>2022</v>
      </c>
      <c r="L10" s="147">
        <v>2022</v>
      </c>
      <c r="M10" s="147">
        <v>2022</v>
      </c>
      <c r="N10" s="147">
        <v>2022</v>
      </c>
      <c r="O10" s="147">
        <v>2022</v>
      </c>
      <c r="P10" s="147">
        <v>2022</v>
      </c>
      <c r="Q10" s="147">
        <v>2022</v>
      </c>
      <c r="R10" s="147">
        <v>2022</v>
      </c>
      <c r="S10" s="147">
        <v>2022</v>
      </c>
      <c r="T10" s="146" t="s">
        <v>373</v>
      </c>
    </row>
    <row r="11" spans="1:21" ht="15" customHeight="1">
      <c r="A11" s="142">
        <v>1</v>
      </c>
      <c r="B11" s="148" t="s">
        <v>374</v>
      </c>
      <c r="C11" s="14" t="s">
        <v>375</v>
      </c>
      <c r="D11" s="14"/>
      <c r="E11" s="14"/>
      <c r="F11" s="149">
        <f>ROUND((+SUMIF('Prior Historical'!$A:$A,"101",'Prior Historical'!G:G)+VLOOKUP("106",'Prior Historical'!$A$5:$U$500,COLUMNS($F11:F11)+6,FALSE))/1000,3)</f>
        <v>10361954.363</v>
      </c>
      <c r="G11" s="149">
        <f>ROUND((+SUMIF('Prior Historical'!$A:$A,"101",'Prior Historical'!H:H)+VLOOKUP("106",'Prior Historical'!$A$5:$U$500,COLUMNS($F11:G11)+6,FALSE))/1000,3)</f>
        <v>10424494.873</v>
      </c>
      <c r="H11" s="149">
        <f>ROUND((+SUMIF('Prior Historical'!$A:$A,"101",'Prior Historical'!I:I)+VLOOKUP("106",'Prior Historical'!$A$5:$U$500,COLUMNS($F11:H11)+6,FALSE))/1000,3)</f>
        <v>10448358.777000001</v>
      </c>
      <c r="I11" s="149">
        <f>ROUND((+SUMIF('Prior Historical'!$A:$A,"101",'Prior Historical'!J:J)+VLOOKUP("106",'Prior Historical'!$A$5:$U$500,COLUMNS($F11:I11)+6,FALSE))/1000,3)</f>
        <v>10469458.25</v>
      </c>
      <c r="J11" s="149">
        <f>ROUND((+SUMIF('Prior Historical'!$A:$A,"101",'Prior Historical'!K:K)+VLOOKUP("106",'Prior Historical'!$A$5:$U$500,COLUMNS($F11:J11)+6,FALSE))/1000,3)</f>
        <v>10669405.654999999</v>
      </c>
      <c r="K11" s="149">
        <f>ROUND((+SUMIF('Prior Historical'!$A:$A,"101",'Prior Historical'!L:L)+VLOOKUP("106",'Prior Historical'!$A$5:$U$500,COLUMNS($F11:K11)+6,FALSE))/1000,3)</f>
        <v>10704538.34</v>
      </c>
      <c r="L11" s="149">
        <f>ROUND((+SUMIF('Prior Historical'!$A:$A,"101",'Prior Historical'!M:M)+VLOOKUP("106",'Prior Historical'!$A$5:$U$500,COLUMNS($F11:L11)+6,FALSE))/1000,3)</f>
        <v>10764184.902000001</v>
      </c>
      <c r="M11" s="149">
        <f>ROUND((+SUMIF('Prior Historical'!$A:$A,"101",'Prior Historical'!N:N)+VLOOKUP("106",'Prior Historical'!$A$5:$U$500,COLUMNS($F11:M11)+6,FALSE))/1000,3)</f>
        <v>10779724.905999999</v>
      </c>
      <c r="N11" s="149">
        <f>ROUND((+SUMIF('Prior Historical'!$A:$A,"101",'Prior Historical'!O:O)+VLOOKUP("106",'Prior Historical'!$A$5:$U$500,COLUMNS($F11:N11)+6,FALSE))/1000,3)</f>
        <v>10812819.889</v>
      </c>
      <c r="O11" s="149">
        <f>ROUND((+SUMIF('Prior Historical'!$A:$A,"101",'Prior Historical'!P:P)+VLOOKUP("106",'Prior Historical'!$A$5:$U$500,COLUMNS($F11:O11)+6,FALSE))/1000,3)</f>
        <v>10839209.453</v>
      </c>
      <c r="P11" s="149">
        <f>ROUND((+SUMIF('Prior Historical'!$A:$A,"101",'Prior Historical'!Q:Q)+VLOOKUP("106",'Prior Historical'!$A$5:$U$500,COLUMNS($F11:P11)+6,FALSE))/1000,3)</f>
        <v>10864977.297</v>
      </c>
      <c r="Q11" s="149">
        <f>ROUND((+SUMIF('Prior Historical'!$A:$A,"101",'Prior Historical'!R:R)+VLOOKUP("106",'Prior Historical'!$A$5:$U$500,COLUMNS($F11:Q11)+6,FALSE))/1000,3)</f>
        <v>10917549.788000001</v>
      </c>
      <c r="R11" s="149">
        <f>ROUND((+SUMIF('Prior Historical'!$A:$A,"101",'Prior Historical'!S:S)+VLOOKUP("106",'Prior Historical'!$A$5:$U$500,COLUMNS($F11:R11)+6,FALSE))/1000,3)</f>
        <v>11601211.353</v>
      </c>
      <c r="S11" s="150">
        <f t="shared" ref="S11:S16" si="0">(SUM(F11:R11)/13)</f>
        <v>10742914.449692309</v>
      </c>
      <c r="T11" s="144" t="s">
        <v>376</v>
      </c>
    </row>
    <row r="12" spans="1:21" ht="15" customHeight="1">
      <c r="A12" s="142">
        <v>2</v>
      </c>
      <c r="B12" s="151" t="s">
        <v>377</v>
      </c>
      <c r="C12" s="14" t="s">
        <v>378</v>
      </c>
      <c r="D12" s="142"/>
      <c r="E12" s="142"/>
      <c r="F12" s="27">
        <f>SUMIF('Prior Historical'!$A:$A,$B12,'Prior Historical'!G:G)/1000</f>
        <v>14.933729999999999</v>
      </c>
      <c r="G12" s="27">
        <f>SUMIF('Prior Historical'!$A:$A,$B12,'Prior Historical'!H:H)/1000</f>
        <v>33.357169999999996</v>
      </c>
      <c r="H12" s="27">
        <f>SUMIF('Prior Historical'!$A:$A,$B12,'Prior Historical'!I:I)/1000</f>
        <v>1144.0687499999999</v>
      </c>
      <c r="I12" s="27">
        <f>SUMIF('Prior Historical'!$A:$A,$B12,'Prior Historical'!J:J)/1000</f>
        <v>1145.9095400000001</v>
      </c>
      <c r="J12" s="27">
        <f>SUMIF('Prior Historical'!$A:$A,$B12,'Prior Historical'!K:K)/1000</f>
        <v>1147.3651399999999</v>
      </c>
      <c r="K12" s="27">
        <f>SUMIF('Prior Historical'!$A:$A,$B12,'Prior Historical'!L:L)/1000</f>
        <v>1156.9276399999999</v>
      </c>
      <c r="L12" s="27">
        <f>SUMIF('Prior Historical'!$A:$A,$B12,'Prior Historical'!M:M)/1000</f>
        <v>1164.5538899999999</v>
      </c>
      <c r="M12" s="27">
        <f>SUMIF('Prior Historical'!$A:$A,$B12,'Prior Historical'!N:N)/1000</f>
        <v>1190.1908500000002</v>
      </c>
      <c r="N12" s="27">
        <f>SUMIF('Prior Historical'!$A:$A,$B12,'Prior Historical'!O:O)/1000</f>
        <v>1322.1742400000001</v>
      </c>
      <c r="O12" s="27">
        <f>SUMIF('Prior Historical'!$A:$A,$B12,'Prior Historical'!P:P)/1000</f>
        <v>1316.6494700000001</v>
      </c>
      <c r="P12" s="27">
        <f>SUMIF('Prior Historical'!$A:$A,$B12,'Prior Historical'!Q:Q)/1000</f>
        <v>1316.8324299999999</v>
      </c>
      <c r="Q12" s="27">
        <f>SUMIF('Prior Historical'!$A:$A,$B12,'Prior Historical'!R:R)/1000</f>
        <v>216.99381</v>
      </c>
      <c r="R12" s="27">
        <f>SUMIF('Prior Historical'!$A:$A,$B12,'Prior Historical'!S:S)/1000</f>
        <v>218.90986999999998</v>
      </c>
      <c r="S12" s="150">
        <f>SUM(F12:R12)/13</f>
        <v>876.06665615384611</v>
      </c>
      <c r="T12" s="144" t="s">
        <v>376</v>
      </c>
    </row>
    <row r="13" spans="1:21" ht="15" customHeight="1">
      <c r="A13" s="142">
        <v>3</v>
      </c>
      <c r="B13" s="86" t="s">
        <v>379</v>
      </c>
      <c r="C13" s="14" t="s">
        <v>380</v>
      </c>
      <c r="D13" s="142"/>
      <c r="E13" s="142"/>
      <c r="F13" s="152">
        <f>ROUND(VLOOKUP($B13,'Prior Historical'!$A$5:$U$500,COLUMNS($F13:F13)+6,FALSE)/1000,3)</f>
        <v>54564.529000000002</v>
      </c>
      <c r="G13" s="152">
        <f>ROUND(VLOOKUP($B13,'Prior Historical'!$A$5:$U$500,COLUMNS($F13:G13)+6,FALSE)/1000,3)</f>
        <v>54562.029000000002</v>
      </c>
      <c r="H13" s="152">
        <f>ROUND(VLOOKUP($B13,'Prior Historical'!$A$5:$U$500,COLUMNS($F13:H13)+6,FALSE)/1000,3)</f>
        <v>54562.029000000002</v>
      </c>
      <c r="I13" s="152">
        <f>ROUND(VLOOKUP($B13,'Prior Historical'!$A$5:$U$500,COLUMNS($F13:I13)+6,FALSE)/1000,3)</f>
        <v>54562.029000000002</v>
      </c>
      <c r="J13" s="152">
        <f>ROUND(VLOOKUP($B13,'Prior Historical'!$A$5:$U$500,COLUMNS($F13:J13)+6,FALSE)/1000,3)</f>
        <v>63660.794000000002</v>
      </c>
      <c r="K13" s="152">
        <f>ROUND(VLOOKUP($B13,'Prior Historical'!$A$5:$U$500,COLUMNS($F13:K13)+6,FALSE)/1000,3)</f>
        <v>54569.014999999999</v>
      </c>
      <c r="L13" s="152">
        <f>ROUND(VLOOKUP($B13,'Prior Historical'!$A$5:$U$500,COLUMNS($F13:L13)+6,FALSE)/1000,3)</f>
        <v>54569.597999999998</v>
      </c>
      <c r="M13" s="152">
        <f>ROUND(VLOOKUP($B13,'Prior Historical'!$A$5:$U$500,COLUMNS($F13:M13)+6,FALSE)/1000,3)</f>
        <v>54569.597999999998</v>
      </c>
      <c r="N13" s="152">
        <f>ROUND(VLOOKUP($B13,'Prior Historical'!$A$5:$U$500,COLUMNS($F13:N13)+6,FALSE)/1000,3)</f>
        <v>54570.472999999998</v>
      </c>
      <c r="O13" s="152">
        <f>ROUND(VLOOKUP($B13,'Prior Historical'!$A$5:$U$500,COLUMNS($F13:O13)+6,FALSE)/1000,3)</f>
        <v>54570.472999999998</v>
      </c>
      <c r="P13" s="152">
        <f>ROUND(VLOOKUP($B13,'Prior Historical'!$A$5:$U$500,COLUMNS($F13:P13)+6,FALSE)/1000,3)</f>
        <v>54570.472999999998</v>
      </c>
      <c r="Q13" s="152">
        <f>ROUND(VLOOKUP($B13,'Prior Historical'!$A$5:$U$500,COLUMNS($F13:Q13)+6,FALSE)/1000,3)</f>
        <v>54570.472999999998</v>
      </c>
      <c r="R13" s="152">
        <f>ROUND(VLOOKUP($B13,'Prior Historical'!$A$5:$U$500,COLUMNS($F13:R13)+6,FALSE)/1000,3)</f>
        <v>54570.735000000001</v>
      </c>
      <c r="S13" s="150">
        <f t="shared" si="0"/>
        <v>55267.096000000005</v>
      </c>
      <c r="T13" s="144" t="s">
        <v>376</v>
      </c>
    </row>
    <row r="14" spans="1:21" ht="15" customHeight="1">
      <c r="A14" s="142">
        <v>4</v>
      </c>
      <c r="B14" s="86" t="s">
        <v>381</v>
      </c>
      <c r="C14" s="14" t="s">
        <v>382</v>
      </c>
      <c r="D14" s="142"/>
      <c r="E14" s="142"/>
      <c r="F14" s="152">
        <f>ROUND(VLOOKUP($B14,'Prior Historical'!$A$5:$U$500,COLUMNS($F14:F14)+6,FALSE)/1000,3)</f>
        <v>1162722.932</v>
      </c>
      <c r="G14" s="152">
        <f>ROUND(VLOOKUP($B14,'Prior Historical'!$A$5:$U$500,COLUMNS($F14:G14)+6,FALSE)/1000,3)</f>
        <v>1153841.68</v>
      </c>
      <c r="H14" s="152">
        <f>ROUND(VLOOKUP($B14,'Prior Historical'!$A$5:$U$500,COLUMNS($F14:H14)+6,FALSE)/1000,3)</f>
        <v>1194575.2579999999</v>
      </c>
      <c r="I14" s="152">
        <f>ROUND(VLOOKUP($B14,'Prior Historical'!$A$5:$U$500,COLUMNS($F14:I14)+6,FALSE)/1000,3)</f>
        <v>1230126.524</v>
      </c>
      <c r="J14" s="152">
        <f>ROUND(VLOOKUP($B14,'Prior Historical'!$A$5:$U$500,COLUMNS($F14:J14)+6,FALSE)/1000,3)</f>
        <v>1078738.7849999999</v>
      </c>
      <c r="K14" s="152">
        <f>ROUND(VLOOKUP($B14,'Prior Historical'!$A$5:$U$500,COLUMNS($F14:K14)+6,FALSE)/1000,3)</f>
        <v>1116298.77</v>
      </c>
      <c r="L14" s="152">
        <f>ROUND(VLOOKUP($B14,'Prior Historical'!$A$5:$U$500,COLUMNS($F14:L14)+6,FALSE)/1000,3)</f>
        <v>1135548.2069999999</v>
      </c>
      <c r="M14" s="152">
        <f>ROUND(VLOOKUP($B14,'Prior Historical'!$A$5:$U$500,COLUMNS($F14:M14)+6,FALSE)/1000,3)</f>
        <v>1189964.253</v>
      </c>
      <c r="N14" s="152">
        <f>ROUND(VLOOKUP($B14,'Prior Historical'!$A$5:$U$500,COLUMNS($F14:N14)+6,FALSE)/1000,3)</f>
        <v>1246053.5449999999</v>
      </c>
      <c r="O14" s="152">
        <f>ROUND(VLOOKUP($B14,'Prior Historical'!$A$5:$U$500,COLUMNS($F14:O14)+6,FALSE)/1000,3)</f>
        <v>1317037.551</v>
      </c>
      <c r="P14" s="152">
        <f>ROUND(VLOOKUP($B14,'Prior Historical'!$A$5:$U$500,COLUMNS($F14:P14)+6,FALSE)/1000,3)</f>
        <v>1378041.5379999999</v>
      </c>
      <c r="Q14" s="152">
        <f>ROUND(VLOOKUP($B14,'Prior Historical'!$A$5:$U$500,COLUMNS($F14:Q14)+6,FALSE)/1000,3)</f>
        <v>1418264.294</v>
      </c>
      <c r="R14" s="152">
        <f>ROUND(VLOOKUP($B14,'Prior Historical'!$A$5:$U$500,COLUMNS($F14:R14)+6,FALSE)/1000,3)</f>
        <v>894768.62199999997</v>
      </c>
      <c r="S14" s="150">
        <f t="shared" si="0"/>
        <v>1193537.0737692306</v>
      </c>
      <c r="T14" s="144" t="s">
        <v>376</v>
      </c>
    </row>
    <row r="15" spans="1:21" ht="15" customHeight="1">
      <c r="A15" s="142">
        <v>5</v>
      </c>
      <c r="B15" s="153" t="s">
        <v>383</v>
      </c>
      <c r="C15" s="14" t="s">
        <v>384</v>
      </c>
      <c r="D15" s="142"/>
      <c r="E15" s="142"/>
      <c r="F15" s="149">
        <f>ROUND((VLOOKUP("108",'Prior Historical'!$A$5:$U$500,COLUMNS($F15:F15)+6,FALSE)+VLOOKUP("111",'Prior Historical'!$A$5:$U$500,COLUMNS($F15:F15)+6,FALSE)+VLOOKUP("115",'Prior Historical'!$A$5:$U$500,COLUMNS($F15:F15)+6,FALSE))/1000,3)</f>
        <v>-3208526.9959999998</v>
      </c>
      <c r="G15" s="149">
        <f>ROUND((VLOOKUP("108",'Prior Historical'!$A$5:$U$500,COLUMNS($F15:G15)+6,FALSE)+VLOOKUP("111",'Prior Historical'!$A$5:$U$500,COLUMNS($F15:G15)+6,FALSE)+VLOOKUP("115",'Prior Historical'!$A$5:$U$500,COLUMNS($F15:G15)+6,FALSE))/1000,3)</f>
        <v>-3229752.659</v>
      </c>
      <c r="H15" s="149">
        <f>ROUND((VLOOKUP("108",'Prior Historical'!$A$5:$U$500,COLUMNS($F15:H15)+6,FALSE)+VLOOKUP("111",'Prior Historical'!$A$5:$U$500,COLUMNS($F15:H15)+6,FALSE)+VLOOKUP("115",'Prior Historical'!$A$5:$U$500,COLUMNS($F15:H15)+6,FALSE))/1000,3)</f>
        <v>-3251127.0690000001</v>
      </c>
      <c r="I15" s="149">
        <f>ROUND((VLOOKUP("108",'Prior Historical'!$A$5:$U$500,COLUMNS($F15:I15)+6,FALSE)+VLOOKUP("111",'Prior Historical'!$A$5:$U$500,COLUMNS($F15:I15)+6,FALSE)+VLOOKUP("115",'Prior Historical'!$A$5:$U$500,COLUMNS($F15:I15)+6,FALSE))/1000,3)</f>
        <v>-3266104.432</v>
      </c>
      <c r="J15" s="149">
        <f>ROUND((VLOOKUP("108",'Prior Historical'!$A$5:$U$500,COLUMNS($F15:J15)+6,FALSE)+VLOOKUP("111",'Prior Historical'!$A$5:$U$500,COLUMNS($F15:J15)+6,FALSE)+VLOOKUP("115",'Prior Historical'!$A$5:$U$500,COLUMNS($F15:J15)+6,FALSE))/1000,3)</f>
        <v>-3293898.6690000002</v>
      </c>
      <c r="K15" s="149">
        <f>ROUND((VLOOKUP("108",'Prior Historical'!$A$5:$U$500,COLUMNS($F15:K15)+6,FALSE)+VLOOKUP("111",'Prior Historical'!$A$5:$U$500,COLUMNS($F15:K15)+6,FALSE)+VLOOKUP("115",'Prior Historical'!$A$5:$U$500,COLUMNS($F15:K15)+6,FALSE))/1000,3)</f>
        <v>-3318953.267</v>
      </c>
      <c r="L15" s="149">
        <f>ROUND((VLOOKUP("108",'Prior Historical'!$A$5:$U$500,COLUMNS($F15:L15)+6,FALSE)+VLOOKUP("111",'Prior Historical'!$A$5:$U$500,COLUMNS($F15:L15)+6,FALSE)+VLOOKUP("115",'Prior Historical'!$A$5:$U$500,COLUMNS($F15:L15)+6,FALSE))/1000,3)</f>
        <v>-3341266</v>
      </c>
      <c r="M15" s="149">
        <f>ROUND((VLOOKUP("108",'Prior Historical'!$A$5:$U$500,COLUMNS($F15:M15)+6,FALSE)+VLOOKUP("111",'Prior Historical'!$A$5:$U$500,COLUMNS($F15:M15)+6,FALSE)+VLOOKUP("115",'Prior Historical'!$A$5:$U$500,COLUMNS($F15:M15)+6,FALSE))/1000,3)</f>
        <v>-3347089.156</v>
      </c>
      <c r="N15" s="149">
        <f>ROUND((VLOOKUP("108",'Prior Historical'!$A$5:$U$500,COLUMNS($F15:N15)+6,FALSE)+VLOOKUP("111",'Prior Historical'!$A$5:$U$500,COLUMNS($F15:N15)+6,FALSE)+VLOOKUP("115",'Prior Historical'!$A$5:$U$500,COLUMNS($F15:N15)+6,FALSE))/1000,3)</f>
        <v>-3366404.5950000002</v>
      </c>
      <c r="O15" s="149">
        <f>ROUND((VLOOKUP("108",'Prior Historical'!$A$5:$U$500,COLUMNS($F15:O15)+6,FALSE)+VLOOKUP("111",'Prior Historical'!$A$5:$U$500,COLUMNS($F15:O15)+6,FALSE)+VLOOKUP("115",'Prior Historical'!$A$5:$U$500,COLUMNS($F15:O15)+6,FALSE))/1000,3)</f>
        <v>-3391710.875</v>
      </c>
      <c r="P15" s="149">
        <f>ROUND((VLOOKUP("108",'Prior Historical'!$A$5:$U$500,COLUMNS($F15:P15)+6,FALSE)+VLOOKUP("111",'Prior Historical'!$A$5:$U$500,COLUMNS($F15:P15)+6,FALSE)+VLOOKUP("115",'Prior Historical'!$A$5:$U$500,COLUMNS($F15:P15)+6,FALSE))/1000,3)</f>
        <v>-3416410.28</v>
      </c>
      <c r="Q15" s="149">
        <f>ROUND((VLOOKUP("108",'Prior Historical'!$A$5:$U$500,COLUMNS($F15:Q15)+6,FALSE)+VLOOKUP("111",'Prior Historical'!$A$5:$U$500,COLUMNS($F15:Q15)+6,FALSE)+VLOOKUP("115",'Prior Historical'!$A$5:$U$500,COLUMNS($F15:Q15)+6,FALSE))/1000,3)</f>
        <v>-3440194.6349999998</v>
      </c>
      <c r="R15" s="149">
        <f>ROUND((VLOOKUP("108",'Prior Historical'!$A$5:$U$500,COLUMNS($F15:R15)+6,FALSE)+VLOOKUP("111",'Prior Historical'!$A$5:$U$500,COLUMNS($F15:R15)+6,FALSE)+VLOOKUP("115",'Prior Historical'!$A$5:$U$500,COLUMNS($F15:R15)+6,FALSE))/1000,3)</f>
        <v>-3452940.0290000001</v>
      </c>
      <c r="S15" s="150">
        <f t="shared" si="0"/>
        <v>-3332644.512461538</v>
      </c>
      <c r="T15" s="144" t="s">
        <v>376</v>
      </c>
    </row>
    <row r="16" spans="1:21" ht="15" customHeight="1">
      <c r="A16" s="142">
        <v>6</v>
      </c>
      <c r="B16" s="35" t="s">
        <v>385</v>
      </c>
      <c r="C16" s="14" t="s">
        <v>386</v>
      </c>
      <c r="D16" s="142"/>
      <c r="E16" s="142"/>
      <c r="F16" s="154">
        <f>ROUND(VLOOKUP($B16,'Prior Historical'!$A$5:$U$500,COLUMNS($F16:F16)+6,FALSE)/1000,3)</f>
        <v>7484.8230000000003</v>
      </c>
      <c r="G16" s="154">
        <f>ROUND(VLOOKUP($B16,'Prior Historical'!$A$5:$U$500,COLUMNS($F16:G16)+6,FALSE)/1000,3)</f>
        <v>7484.8230000000003</v>
      </c>
      <c r="H16" s="154">
        <f>ROUND(VLOOKUP($B16,'Prior Historical'!$A$5:$U$500,COLUMNS($F16:H16)+6,FALSE)/1000,3)</f>
        <v>7484.8230000000003</v>
      </c>
      <c r="I16" s="154">
        <f>ROUND(VLOOKUP($B16,'Prior Historical'!$A$5:$U$500,COLUMNS($F16:I16)+6,FALSE)/1000,3)</f>
        <v>7484.8230000000003</v>
      </c>
      <c r="J16" s="154">
        <f>ROUND(VLOOKUP($B16,'Prior Historical'!$A$5:$U$500,COLUMNS($F16:J16)+6,FALSE)/1000,3)</f>
        <v>7484.8230000000003</v>
      </c>
      <c r="K16" s="154">
        <f>ROUND(VLOOKUP($B16,'Prior Historical'!$A$5:$U$500,COLUMNS($F16:K16)+6,FALSE)/1000,3)</f>
        <v>7484.8230000000003</v>
      </c>
      <c r="L16" s="154">
        <f>ROUND(VLOOKUP($B16,'Prior Historical'!$A$5:$U$500,COLUMNS($F16:L16)+6,FALSE)/1000,3)</f>
        <v>7484.8230000000003</v>
      </c>
      <c r="M16" s="154">
        <f>ROUND(VLOOKUP($B16,'Prior Historical'!$A$5:$U$500,COLUMNS($F16:M16)+6,FALSE)/1000,3)</f>
        <v>7484.8230000000003</v>
      </c>
      <c r="N16" s="154">
        <f>ROUND(VLOOKUP($B16,'Prior Historical'!$A$5:$U$500,COLUMNS($F16:N16)+6,FALSE)/1000,3)</f>
        <v>7484.8230000000003</v>
      </c>
      <c r="O16" s="154">
        <f>ROUND(VLOOKUP($B16,'Prior Historical'!$A$5:$U$500,COLUMNS($F16:O16)+6,FALSE)/1000,3)</f>
        <v>7484.8230000000003</v>
      </c>
      <c r="P16" s="154">
        <f>ROUND(VLOOKUP($B16,'Prior Historical'!$A$5:$U$500,COLUMNS($F16:P16)+6,FALSE)/1000,3)</f>
        <v>7484.8230000000003</v>
      </c>
      <c r="Q16" s="154">
        <f>ROUND(VLOOKUP($B16,'Prior Historical'!$A$5:$U$500,COLUMNS($F16:Q16)+6,FALSE)/1000,3)</f>
        <v>7484.8230000000003</v>
      </c>
      <c r="R16" s="154">
        <f>ROUND(VLOOKUP($B16,'Prior Historical'!$A$5:$U$500,COLUMNS($F16:R16)+6,FALSE)/1000,3)</f>
        <v>7484.8230000000003</v>
      </c>
      <c r="S16" s="155">
        <f t="shared" si="0"/>
        <v>7484.823000000003</v>
      </c>
      <c r="T16" s="144" t="s">
        <v>376</v>
      </c>
    </row>
    <row r="17" spans="1:20" ht="15" customHeight="1">
      <c r="A17" s="142">
        <v>7</v>
      </c>
      <c r="B17" s="35"/>
      <c r="C17" s="14"/>
      <c r="D17" s="142" t="s">
        <v>388</v>
      </c>
      <c r="E17" s="142"/>
      <c r="F17" s="27">
        <f t="shared" ref="F17:S17" si="1">SUM(F11:F16)</f>
        <v>8378214.5847300002</v>
      </c>
      <c r="G17" s="27">
        <f t="shared" si="1"/>
        <v>8410664.10317</v>
      </c>
      <c r="H17" s="27">
        <f t="shared" si="1"/>
        <v>8454997.8867499996</v>
      </c>
      <c r="I17" s="27">
        <f t="shared" si="1"/>
        <v>8496673.1035399996</v>
      </c>
      <c r="J17" s="27">
        <f t="shared" si="1"/>
        <v>8526538.7531400006</v>
      </c>
      <c r="K17" s="27">
        <f t="shared" si="1"/>
        <v>8565094.6086400021</v>
      </c>
      <c r="L17" s="27">
        <f t="shared" si="1"/>
        <v>8621686.0838900004</v>
      </c>
      <c r="M17" s="27">
        <f t="shared" si="1"/>
        <v>8685844.6148500014</v>
      </c>
      <c r="N17" s="27">
        <f t="shared" si="1"/>
        <v>8755846.3092400003</v>
      </c>
      <c r="O17" s="27">
        <f t="shared" si="1"/>
        <v>8827908.0744700003</v>
      </c>
      <c r="P17" s="27">
        <f t="shared" si="1"/>
        <v>8889980.6834300011</v>
      </c>
      <c r="Q17" s="27">
        <f t="shared" si="1"/>
        <v>8957891.7368100006</v>
      </c>
      <c r="R17" s="27">
        <f t="shared" si="1"/>
        <v>9105314.4138700012</v>
      </c>
      <c r="S17" s="27">
        <f t="shared" si="1"/>
        <v>8667434.9966561571</v>
      </c>
      <c r="T17" s="144"/>
    </row>
    <row r="18" spans="1:20" ht="15" customHeight="1">
      <c r="A18" s="142">
        <v>8</v>
      </c>
      <c r="B18" s="35"/>
      <c r="C18" s="14"/>
      <c r="D18" s="142"/>
      <c r="E18" s="142"/>
      <c r="F18" s="27"/>
      <c r="G18" s="27"/>
      <c r="H18" s="27"/>
      <c r="I18" s="27"/>
      <c r="J18" s="27"/>
      <c r="K18" s="27"/>
      <c r="L18" s="27"/>
      <c r="M18" s="27"/>
      <c r="N18" s="27"/>
      <c r="O18" s="27"/>
      <c r="P18" s="27"/>
      <c r="Q18" s="27"/>
      <c r="R18" s="27"/>
      <c r="S18" s="27"/>
      <c r="T18" s="144"/>
    </row>
    <row r="19" spans="1:20" ht="15" customHeight="1">
      <c r="A19" s="142">
        <v>9</v>
      </c>
      <c r="B19" s="35"/>
      <c r="C19" s="14" t="s">
        <v>391</v>
      </c>
      <c r="D19" s="142"/>
      <c r="E19" s="142"/>
      <c r="F19" s="27"/>
      <c r="G19" s="27"/>
      <c r="H19" s="27"/>
      <c r="I19" s="27"/>
      <c r="J19" s="27"/>
      <c r="K19" s="27"/>
      <c r="L19" s="27"/>
      <c r="M19" s="27"/>
      <c r="N19" s="27"/>
      <c r="O19" s="27"/>
      <c r="P19" s="27"/>
      <c r="Q19" s="27"/>
      <c r="R19" s="27"/>
      <c r="S19" s="27"/>
      <c r="T19" s="144"/>
    </row>
    <row r="20" spans="1:20" ht="15" customHeight="1">
      <c r="A20" s="142">
        <v>10</v>
      </c>
      <c r="B20" s="35" t="s">
        <v>392</v>
      </c>
      <c r="C20" s="14" t="s">
        <v>266</v>
      </c>
      <c r="D20" s="142"/>
      <c r="E20" s="142"/>
      <c r="F20" s="152">
        <f>ROUND(VLOOKUP($B20,'Prior Historical'!$A$5:$U$500,COLUMNS($F20:F20)+6,FALSE)/1000,3)</f>
        <v>14053.703</v>
      </c>
      <c r="G20" s="152">
        <f>ROUND(VLOOKUP($B20,'Prior Historical'!$A$5:$U$500,COLUMNS($F20:G20)+6,FALSE)/1000,3)</f>
        <v>14159.495000000001</v>
      </c>
      <c r="H20" s="152">
        <f>ROUND(VLOOKUP($B20,'Prior Historical'!$A$5:$U$500,COLUMNS($F20:H20)+6,FALSE)/1000,3)</f>
        <v>14181.832</v>
      </c>
      <c r="I20" s="152">
        <f>ROUND(VLOOKUP($B20,'Prior Historical'!$A$5:$U$500,COLUMNS($F20:I20)+6,FALSE)/1000,3)</f>
        <v>14306.444</v>
      </c>
      <c r="J20" s="152">
        <f>ROUND(VLOOKUP($B20,'Prior Historical'!$A$5:$U$500,COLUMNS($F20:J20)+6,FALSE)/1000,3)</f>
        <v>14278.261</v>
      </c>
      <c r="K20" s="152">
        <f>ROUND(VLOOKUP($B20,'Prior Historical'!$A$5:$U$500,COLUMNS($F20:K20)+6,FALSE)/1000,3)</f>
        <v>14407.838</v>
      </c>
      <c r="L20" s="152">
        <f>ROUND(VLOOKUP($B20,'Prior Historical'!$A$5:$U$500,COLUMNS($F20:L20)+6,FALSE)/1000,3)</f>
        <v>14420.579</v>
      </c>
      <c r="M20" s="152">
        <f>ROUND(VLOOKUP($B20,'Prior Historical'!$A$5:$U$500,COLUMNS($F20:M20)+6,FALSE)/1000,3)</f>
        <v>14582.355</v>
      </c>
      <c r="N20" s="152">
        <f>ROUND(VLOOKUP($B20,'Prior Historical'!$A$5:$U$500,COLUMNS($F20:N20)+6,FALSE)/1000,3)</f>
        <v>14658.214</v>
      </c>
      <c r="O20" s="152">
        <f>ROUND(VLOOKUP($B20,'Prior Historical'!$A$5:$U$500,COLUMNS($F20:O20)+6,FALSE)/1000,3)</f>
        <v>14721.739</v>
      </c>
      <c r="P20" s="152">
        <f>ROUND(VLOOKUP($B20,'Prior Historical'!$A$5:$U$500,COLUMNS($F20:P20)+6,FALSE)/1000,3)</f>
        <v>14811.663</v>
      </c>
      <c r="Q20" s="152">
        <f>ROUND(VLOOKUP($B20,'Prior Historical'!$A$5:$U$500,COLUMNS($F20:Q20)+6,FALSE)/1000,3)</f>
        <v>15084.902</v>
      </c>
      <c r="R20" s="152">
        <f>ROUND(VLOOKUP($B20,'Prior Historical'!$A$5:$U$500,COLUMNS($F20:R20)+6,FALSE)/1000,3)</f>
        <v>20099.787</v>
      </c>
      <c r="S20" s="150">
        <f>(SUM(F20:R20)/13)</f>
        <v>14905.139384615384</v>
      </c>
      <c r="T20" s="144" t="s">
        <v>393</v>
      </c>
    </row>
    <row r="21" spans="1:20" ht="15" customHeight="1">
      <c r="A21" s="142">
        <v>11</v>
      </c>
      <c r="B21" s="35" t="s">
        <v>394</v>
      </c>
      <c r="C21" s="14" t="s">
        <v>267</v>
      </c>
      <c r="D21" s="142"/>
      <c r="E21" s="142"/>
      <c r="F21" s="154">
        <f>ROUND(VLOOKUP($B21,'Prior Historical'!$A$5:$U$500,COLUMNS($F21:F21)+6,FALSE)/1000,3)</f>
        <v>-7167.4219999999996</v>
      </c>
      <c r="G21" s="154">
        <f>ROUND(VLOOKUP($B21,'Prior Historical'!$A$5:$U$500,COLUMNS($F21:G21)+6,FALSE)/1000,3)</f>
        <v>-7252.375</v>
      </c>
      <c r="H21" s="154">
        <f>ROUND(VLOOKUP($B21,'Prior Historical'!$A$5:$U$500,COLUMNS($F21:H21)+6,FALSE)/1000,3)</f>
        <v>-7339.9870000000001</v>
      </c>
      <c r="I21" s="154">
        <f>ROUND(VLOOKUP($B21,'Prior Historical'!$A$5:$U$500,COLUMNS($F21:I21)+6,FALSE)/1000,3)</f>
        <v>-7411.0029999999997</v>
      </c>
      <c r="J21" s="154">
        <f>ROUND(VLOOKUP($B21,'Prior Historical'!$A$5:$U$500,COLUMNS($F21:J21)+6,FALSE)/1000,3)</f>
        <v>-7384.0959999999995</v>
      </c>
      <c r="K21" s="154">
        <f>ROUND(VLOOKUP($B21,'Prior Historical'!$A$5:$U$500,COLUMNS($F21:K21)+6,FALSE)/1000,3)</f>
        <v>-7411.1660000000002</v>
      </c>
      <c r="L21" s="154">
        <f>ROUND(VLOOKUP($B21,'Prior Historical'!$A$5:$U$500,COLUMNS($F21:L21)+6,FALSE)/1000,3)</f>
        <v>-7460.942</v>
      </c>
      <c r="M21" s="154">
        <f>ROUND(VLOOKUP($B21,'Prior Historical'!$A$5:$U$500,COLUMNS($F21:M21)+6,FALSE)/1000,3)</f>
        <v>-7470.0469999999996</v>
      </c>
      <c r="N21" s="154">
        <f>ROUND(VLOOKUP($B21,'Prior Historical'!$A$5:$U$500,COLUMNS($F21:N21)+6,FALSE)/1000,3)</f>
        <v>-7472.8469999999998</v>
      </c>
      <c r="O21" s="154">
        <f>ROUND(VLOOKUP($B21,'Prior Historical'!$A$5:$U$500,COLUMNS($F21:O21)+6,FALSE)/1000,3)</f>
        <v>-7548.4859999999999</v>
      </c>
      <c r="P21" s="154">
        <f>ROUND(VLOOKUP($B21,'Prior Historical'!$A$5:$U$500,COLUMNS($F21:P21)+6,FALSE)/1000,3)</f>
        <v>-7626.7529999999997</v>
      </c>
      <c r="Q21" s="154">
        <f>ROUND(VLOOKUP($B21,'Prior Historical'!$A$5:$U$500,COLUMNS($F21:Q21)+6,FALSE)/1000,3)</f>
        <v>-7635.3370000000004</v>
      </c>
      <c r="R21" s="154">
        <f>ROUND(VLOOKUP($B21,'Prior Historical'!$A$5:$U$500,COLUMNS($F21:R21)+6,FALSE)/1000,3)</f>
        <v>-7709.451</v>
      </c>
      <c r="S21" s="155">
        <f>(SUM(F21:R21)/13)</f>
        <v>-7453.0701538461535</v>
      </c>
      <c r="T21" s="144" t="s">
        <v>393</v>
      </c>
    </row>
    <row r="22" spans="1:20" ht="15" customHeight="1">
      <c r="A22" s="142">
        <v>12</v>
      </c>
      <c r="B22" s="142"/>
      <c r="C22" s="14"/>
      <c r="D22" s="142" t="s">
        <v>395</v>
      </c>
      <c r="E22" s="142"/>
      <c r="F22" s="27">
        <f t="shared" ref="F22:S22" si="2">SUM(F20:F21)</f>
        <v>6886.2809999999999</v>
      </c>
      <c r="G22" s="27">
        <f t="shared" si="2"/>
        <v>6907.1200000000008</v>
      </c>
      <c r="H22" s="27">
        <f t="shared" si="2"/>
        <v>6841.8450000000003</v>
      </c>
      <c r="I22" s="27">
        <f t="shared" si="2"/>
        <v>6895.4409999999998</v>
      </c>
      <c r="J22" s="27">
        <f t="shared" si="2"/>
        <v>6894.1650000000009</v>
      </c>
      <c r="K22" s="27">
        <f t="shared" si="2"/>
        <v>6996.6719999999996</v>
      </c>
      <c r="L22" s="27">
        <f t="shared" si="2"/>
        <v>6959.6369999999997</v>
      </c>
      <c r="M22" s="27">
        <f t="shared" si="2"/>
        <v>7112.308</v>
      </c>
      <c r="N22" s="27">
        <f t="shared" si="2"/>
        <v>7185.3670000000002</v>
      </c>
      <c r="O22" s="27">
        <f t="shared" si="2"/>
        <v>7173.2529999999997</v>
      </c>
      <c r="P22" s="27">
        <f t="shared" si="2"/>
        <v>7184.9100000000008</v>
      </c>
      <c r="Q22" s="27">
        <f t="shared" si="2"/>
        <v>7449.5649999999996</v>
      </c>
      <c r="R22" s="27">
        <f t="shared" si="2"/>
        <v>12390.335999999999</v>
      </c>
      <c r="S22" s="27">
        <f t="shared" si="2"/>
        <v>7452.0692307692307</v>
      </c>
      <c r="T22" s="144"/>
    </row>
    <row r="23" spans="1:20" ht="15" customHeight="1">
      <c r="A23" s="142">
        <v>13</v>
      </c>
      <c r="B23" s="35"/>
      <c r="D23" s="142"/>
      <c r="E23" s="142"/>
      <c r="F23" s="142"/>
      <c r="G23" s="142"/>
      <c r="H23" s="142"/>
      <c r="I23" s="142"/>
      <c r="J23" s="142"/>
      <c r="K23" s="142"/>
      <c r="L23" s="142"/>
      <c r="M23" s="142"/>
      <c r="N23" s="142"/>
      <c r="O23" s="142"/>
      <c r="P23" s="142"/>
      <c r="Q23" s="142"/>
      <c r="R23" s="142"/>
      <c r="S23" s="142"/>
      <c r="T23" s="144"/>
    </row>
    <row r="24" spans="1:20" ht="15" customHeight="1">
      <c r="A24" s="142">
        <v>14</v>
      </c>
      <c r="B24" s="35"/>
      <c r="C24" s="14" t="s">
        <v>396</v>
      </c>
      <c r="D24" s="142"/>
      <c r="E24" s="142"/>
      <c r="F24" s="142"/>
      <c r="G24" s="142"/>
      <c r="H24" s="142"/>
      <c r="I24" s="142"/>
      <c r="J24" s="142"/>
      <c r="K24" s="142"/>
      <c r="L24" s="142"/>
      <c r="M24" s="142"/>
      <c r="N24" s="142"/>
      <c r="O24" s="142"/>
      <c r="P24" s="142"/>
      <c r="Q24" s="142"/>
      <c r="R24" s="142"/>
      <c r="S24" s="142"/>
      <c r="T24" s="144"/>
    </row>
    <row r="25" spans="1:20" ht="15" customHeight="1">
      <c r="A25" s="142">
        <v>15</v>
      </c>
      <c r="B25" s="35" t="s">
        <v>397</v>
      </c>
      <c r="C25" s="14" t="s">
        <v>270</v>
      </c>
      <c r="D25" s="142"/>
      <c r="E25" s="142"/>
      <c r="F25" s="27">
        <f>ROUND(IF(ISNA(VLOOKUP($B25,'Prior Historical'!$A$5:$U$500,COLUMNS($F25:F25)+6,FALSE)),0,+(VLOOKUP($B25,'Prior Historical'!$A$5:$U$500,COLUMNS($F25:F25)+6,FALSE)))/1000,3)</f>
        <v>14661.047</v>
      </c>
      <c r="G25" s="27">
        <f>ROUND(IF(ISNA(VLOOKUP($B25,'Prior Historical'!$A$5:$U$500,COLUMNS($F25:G25)+6,FALSE)),0,+(VLOOKUP($B25,'Prior Historical'!$A$5:$U$500,COLUMNS($F25:G25)+6,FALSE)))/1000,3)</f>
        <v>12270.254000000001</v>
      </c>
      <c r="H25" s="27">
        <f>ROUND(IF(ISNA(VLOOKUP($B25,'Prior Historical'!$A$5:$U$500,COLUMNS($F25:H25)+6,FALSE)),0,+(VLOOKUP($B25,'Prior Historical'!$A$5:$U$500,COLUMNS($F25:H25)+6,FALSE)))/1000,3)</f>
        <v>16219.228999999999</v>
      </c>
      <c r="I25" s="27">
        <f>ROUND(IF(ISNA(VLOOKUP($B25,'Prior Historical'!$A$5:$U$500,COLUMNS($F25:I25)+6,FALSE)),0,+(VLOOKUP($B25,'Prior Historical'!$A$5:$U$500,COLUMNS($F25:I25)+6,FALSE)))/1000,3)</f>
        <v>16023.334999999999</v>
      </c>
      <c r="J25" s="27">
        <f>ROUND(IF(ISNA(VLOOKUP($B25,'Prior Historical'!$A$5:$U$500,COLUMNS($F25:J25)+6,FALSE)),0,+(VLOOKUP($B25,'Prior Historical'!$A$5:$U$500,COLUMNS($F25:J25)+6,FALSE)))/1000,3)</f>
        <v>11459.835999999999</v>
      </c>
      <c r="K25" s="27">
        <f>ROUND(IF(ISNA(VLOOKUP($B25,'Prior Historical'!$A$5:$U$500,COLUMNS($F25:K25)+6,FALSE)),0,+(VLOOKUP($B25,'Prior Historical'!$A$5:$U$500,COLUMNS($F25:K25)+6,FALSE)))/1000,3)</f>
        <v>23861.598000000002</v>
      </c>
      <c r="L25" s="27">
        <f>ROUND(IF(ISNA(VLOOKUP($B25,'Prior Historical'!$A$5:$U$500,COLUMNS($F25:L25)+6,FALSE)),0,+(VLOOKUP($B25,'Prior Historical'!$A$5:$U$500,COLUMNS($F25:L25)+6,FALSE)))/1000,3)</f>
        <v>7558.9840000000004</v>
      </c>
      <c r="M25" s="27">
        <f>ROUND(IF(ISNA(VLOOKUP($B25,'Prior Historical'!$A$5:$U$500,COLUMNS($F25:M25)+6,FALSE)),0,+(VLOOKUP($B25,'Prior Historical'!$A$5:$U$500,COLUMNS($F25:M25)+6,FALSE)))/1000,3)</f>
        <v>56130.938999999998</v>
      </c>
      <c r="N25" s="27">
        <f>ROUND(IF(ISNA(VLOOKUP($B25,'Prior Historical'!$A$5:$U$500,COLUMNS($F25:N25)+6,FALSE)),0,+(VLOOKUP($B25,'Prior Historical'!$A$5:$U$500,COLUMNS($F25:N25)+6,FALSE)))/1000,3)</f>
        <v>105239.91899999999</v>
      </c>
      <c r="O25" s="27">
        <f>ROUND(IF(ISNA(VLOOKUP($B25,'Prior Historical'!$A$5:$U$500,COLUMNS($F25:O25)+6,FALSE)),0,+(VLOOKUP($B25,'Prior Historical'!$A$5:$U$500,COLUMNS($F25:O25)+6,FALSE)))/1000,3)</f>
        <v>81208.263999999996</v>
      </c>
      <c r="P25" s="27">
        <f>ROUND(IF(ISNA(VLOOKUP($B25,'Prior Historical'!$A$5:$U$500,COLUMNS($F25:P25)+6,FALSE)),0,+(VLOOKUP($B25,'Prior Historical'!$A$5:$U$500,COLUMNS($F25:P25)+6,FALSE)))/1000,3)</f>
        <v>15334.503000000001</v>
      </c>
      <c r="Q25" s="27">
        <f>ROUND(IF(ISNA(VLOOKUP($B25,'Prior Historical'!$A$5:$U$500,COLUMNS($F25:Q25)+6,FALSE)),0,+(VLOOKUP($B25,'Prior Historical'!$A$5:$U$500,COLUMNS($F25:Q25)+6,FALSE)))/1000,3)</f>
        <v>15222.129000000001</v>
      </c>
      <c r="R25" s="27">
        <f>ROUND(IF(ISNA(VLOOKUP($B25,'Prior Historical'!$A$5:$U$500,COLUMNS($F25:R25)+6,FALSE)),0,+(VLOOKUP($B25,'Prior Historical'!$A$5:$U$500,COLUMNS($F25:R25)+6,FALSE)))/1000,3)</f>
        <v>9902.8349999999991</v>
      </c>
      <c r="S25" s="150">
        <f t="shared" ref="S25:S43" si="3">(SUM(F25:R25)/13)</f>
        <v>29622.528615384621</v>
      </c>
      <c r="T25" s="144" t="s">
        <v>118</v>
      </c>
    </row>
    <row r="26" spans="1:20" ht="15" customHeight="1">
      <c r="A26" s="142">
        <v>16</v>
      </c>
      <c r="B26" s="35" t="s">
        <v>398</v>
      </c>
      <c r="C26" s="14" t="s">
        <v>271</v>
      </c>
      <c r="D26" s="142"/>
      <c r="E26" s="142"/>
      <c r="F26" s="27">
        <f>ROUND(IF(ISNA(VLOOKUP($B26,'Prior Historical'!$A$5:$U$500,COLUMNS($F26:F26)+6,FALSE)),0,+(VLOOKUP($B26,'Prior Historical'!$A$5:$U$500,COLUMNS($F26:F26)+6,FALSE)))/1000,3)</f>
        <v>0</v>
      </c>
      <c r="G26" s="27">
        <f>ROUND(IF(ISNA(VLOOKUP($B26,'Prior Historical'!$A$5:$U$500,COLUMNS($F26:G26)+6,FALSE)),0,+(VLOOKUP($B26,'Prior Historical'!$A$5:$U$500,COLUMNS($F26:G26)+6,FALSE)))/1000,3)</f>
        <v>0</v>
      </c>
      <c r="H26" s="27">
        <f>ROUND(IF(ISNA(VLOOKUP($B26,'Prior Historical'!$A$5:$U$500,COLUMNS($F26:H26)+6,FALSE)),0,+(VLOOKUP($B26,'Prior Historical'!$A$5:$U$500,COLUMNS($F26:H26)+6,FALSE)))/1000,3)</f>
        <v>0</v>
      </c>
      <c r="I26" s="27">
        <f>ROUND(IF(ISNA(VLOOKUP($B26,'Prior Historical'!$A$5:$U$500,COLUMNS($F26:I26)+6,FALSE)),0,+(VLOOKUP($B26,'Prior Historical'!$A$5:$U$500,COLUMNS($F26:I26)+6,FALSE)))/1000,3)</f>
        <v>0</v>
      </c>
      <c r="J26" s="27">
        <f>ROUND(IF(ISNA(VLOOKUP($B26,'Prior Historical'!$A$5:$U$500,COLUMNS($F26:J26)+6,FALSE)),0,+(VLOOKUP($B26,'Prior Historical'!$A$5:$U$500,COLUMNS($F26:J26)+6,FALSE)))/1000,3)</f>
        <v>0</v>
      </c>
      <c r="K26" s="27">
        <f>ROUND(IF(ISNA(VLOOKUP($B26,'Prior Historical'!$A$5:$U$500,COLUMNS($F26:K26)+6,FALSE)),0,+(VLOOKUP($B26,'Prior Historical'!$A$5:$U$500,COLUMNS($F26:K26)+6,FALSE)))/1000,3)</f>
        <v>0</v>
      </c>
      <c r="L26" s="27">
        <f>ROUND(IF(ISNA(VLOOKUP($B26,'Prior Historical'!$A$5:$U$500,COLUMNS($F26:L26)+6,FALSE)),0,+(VLOOKUP($B26,'Prior Historical'!$A$5:$U$500,COLUMNS($F26:L26)+6,FALSE)))/1000,3)</f>
        <v>0</v>
      </c>
      <c r="M26" s="27">
        <f>ROUND(IF(ISNA(VLOOKUP($B26,'Prior Historical'!$A$5:$U$500,COLUMNS($F26:M26)+6,FALSE)),0,+(VLOOKUP($B26,'Prior Historical'!$A$5:$U$500,COLUMNS($F26:M26)+6,FALSE)))/1000,3)</f>
        <v>0</v>
      </c>
      <c r="N26" s="27">
        <f>ROUND(IF(ISNA(VLOOKUP($B26,'Prior Historical'!$A$5:$U$500,COLUMNS($F26:N26)+6,FALSE)),0,+(VLOOKUP($B26,'Prior Historical'!$A$5:$U$500,COLUMNS($F26:N26)+6,FALSE)))/1000,3)</f>
        <v>0</v>
      </c>
      <c r="O26" s="27">
        <f>ROUND(IF(ISNA(VLOOKUP($B26,'Prior Historical'!$A$5:$U$500,COLUMNS($F26:O26)+6,FALSE)),0,+(VLOOKUP($B26,'Prior Historical'!$A$5:$U$500,COLUMNS($F26:O26)+6,FALSE)))/1000,3)</f>
        <v>0</v>
      </c>
      <c r="P26" s="27">
        <f>ROUND(IF(ISNA(VLOOKUP($B26,'Prior Historical'!$A$5:$U$500,COLUMNS($F26:P26)+6,FALSE)),0,+(VLOOKUP($B26,'Prior Historical'!$A$5:$U$500,COLUMNS($F26:P26)+6,FALSE)))/1000,3)</f>
        <v>0</v>
      </c>
      <c r="Q26" s="27">
        <f>ROUND(IF(ISNA(VLOOKUP($B26,'Prior Historical'!$A$5:$U$500,COLUMNS($F26:Q26)+6,FALSE)),0,+(VLOOKUP($B26,'Prior Historical'!$A$5:$U$500,COLUMNS($F26:Q26)+6,FALSE)))/1000,3)</f>
        <v>0</v>
      </c>
      <c r="R26" s="27">
        <f>ROUND(IF(ISNA(VLOOKUP($B26,'Prior Historical'!$A$5:$U$500,COLUMNS($F26:R26)+6,FALSE)),0,+(VLOOKUP($B26,'Prior Historical'!$A$5:$U$500,COLUMNS($F26:R26)+6,FALSE)))/1000,3)</f>
        <v>0</v>
      </c>
      <c r="S26" s="150">
        <f t="shared" si="3"/>
        <v>0</v>
      </c>
      <c r="T26" s="144" t="s">
        <v>118</v>
      </c>
    </row>
    <row r="27" spans="1:20" ht="15" customHeight="1">
      <c r="A27" s="142">
        <v>17</v>
      </c>
      <c r="B27" s="86" t="s">
        <v>399</v>
      </c>
      <c r="C27" s="14" t="s">
        <v>272</v>
      </c>
      <c r="D27" s="142"/>
      <c r="E27" s="142"/>
      <c r="F27" s="27">
        <f>ROUND(IF(ISNA(VLOOKUP($B27,'Prior Historical'!$A$5:$U$500,COLUMNS($F27:F27)+6,FALSE)),0,+(VLOOKUP($B27,'Prior Historical'!$A$5:$U$500,COLUMNS($F27:F27)+6,FALSE)))/1000,3)</f>
        <v>52.064999999999998</v>
      </c>
      <c r="G27" s="27">
        <f>ROUND(IF(ISNA(VLOOKUP($B27,'Prior Historical'!$A$5:$U$500,COLUMNS($F27:G27)+6,FALSE)),0,+(VLOOKUP($B27,'Prior Historical'!$A$5:$U$500,COLUMNS($F27:G27)+6,FALSE)))/1000,3)</f>
        <v>52.064999999999998</v>
      </c>
      <c r="H27" s="27">
        <f>ROUND(IF(ISNA(VLOOKUP($B27,'Prior Historical'!$A$5:$U$500,COLUMNS($F27:H27)+6,FALSE)),0,+(VLOOKUP($B27,'Prior Historical'!$A$5:$U$500,COLUMNS($F27:H27)+6,FALSE)))/1000,3)</f>
        <v>52.064999999999998</v>
      </c>
      <c r="I27" s="27">
        <f>ROUND(IF(ISNA(VLOOKUP($B27,'Prior Historical'!$A$5:$U$500,COLUMNS($F27:I27)+6,FALSE)),0,+(VLOOKUP($B27,'Prior Historical'!$A$5:$U$500,COLUMNS($F27:I27)+6,FALSE)))/1000,3)</f>
        <v>52.064999999999998</v>
      </c>
      <c r="J27" s="27">
        <f>ROUND(IF(ISNA(VLOOKUP($B27,'Prior Historical'!$A$5:$U$500,COLUMNS($F27:J27)+6,FALSE)),0,+(VLOOKUP($B27,'Prior Historical'!$A$5:$U$500,COLUMNS($F27:J27)+6,FALSE)))/1000,3)</f>
        <v>52.064999999999998</v>
      </c>
      <c r="K27" s="27">
        <f>ROUND(IF(ISNA(VLOOKUP($B27,'Prior Historical'!$A$5:$U$500,COLUMNS($F27:K27)+6,FALSE)),0,+(VLOOKUP($B27,'Prior Historical'!$A$5:$U$500,COLUMNS($F27:K27)+6,FALSE)))/1000,3)</f>
        <v>52.064999999999998</v>
      </c>
      <c r="L27" s="27">
        <f>ROUND(IF(ISNA(VLOOKUP($B27,'Prior Historical'!$A$5:$U$500,COLUMNS($F27:L27)+6,FALSE)),0,+(VLOOKUP($B27,'Prior Historical'!$A$5:$U$500,COLUMNS($F27:L27)+6,FALSE)))/1000,3)</f>
        <v>52.064999999999998</v>
      </c>
      <c r="M27" s="27">
        <f>ROUND(IF(ISNA(VLOOKUP($B27,'Prior Historical'!$A$5:$U$500,COLUMNS($F27:M27)+6,FALSE)),0,+(VLOOKUP($B27,'Prior Historical'!$A$5:$U$500,COLUMNS($F27:M27)+6,FALSE)))/1000,3)</f>
        <v>52.064999999999998</v>
      </c>
      <c r="N27" s="27">
        <f>ROUND(IF(ISNA(VLOOKUP($B27,'Prior Historical'!$A$5:$U$500,COLUMNS($F27:N27)+6,FALSE)),0,+(VLOOKUP($B27,'Prior Historical'!$A$5:$U$500,COLUMNS($F27:N27)+6,FALSE)))/1000,3)</f>
        <v>52.064999999999998</v>
      </c>
      <c r="O27" s="27">
        <f>ROUND(IF(ISNA(VLOOKUP($B27,'Prior Historical'!$A$5:$U$500,COLUMNS($F27:O27)+6,FALSE)),0,+(VLOOKUP($B27,'Prior Historical'!$A$5:$U$500,COLUMNS($F27:O27)+6,FALSE)))/1000,3)</f>
        <v>52.064999999999998</v>
      </c>
      <c r="P27" s="27">
        <f>ROUND(IF(ISNA(VLOOKUP($B27,'Prior Historical'!$A$5:$U$500,COLUMNS($F27:P27)+6,FALSE)),0,+(VLOOKUP($B27,'Prior Historical'!$A$5:$U$500,COLUMNS($F27:P27)+6,FALSE)))/1000,3)</f>
        <v>51.064999999999998</v>
      </c>
      <c r="Q27" s="27">
        <f>ROUND(IF(ISNA(VLOOKUP($B27,'Prior Historical'!$A$5:$U$500,COLUMNS($F27:Q27)+6,FALSE)),0,+(VLOOKUP($B27,'Prior Historical'!$A$5:$U$500,COLUMNS($F27:Q27)+6,FALSE)))/1000,3)</f>
        <v>51.064999999999998</v>
      </c>
      <c r="R27" s="27">
        <f>ROUND(IF(ISNA(VLOOKUP($B27,'Prior Historical'!$A$5:$U$500,COLUMNS($F27:R27)+6,FALSE)),0,+(VLOOKUP($B27,'Prior Historical'!$A$5:$U$500,COLUMNS($F27:R27)+6,FALSE)))/1000,3)</f>
        <v>51.064999999999998</v>
      </c>
      <c r="S27" s="150">
        <f t="shared" si="3"/>
        <v>51.834230769230771</v>
      </c>
      <c r="T27" s="144" t="s">
        <v>118</v>
      </c>
    </row>
    <row r="28" spans="1:20" ht="15" customHeight="1">
      <c r="A28" s="142">
        <v>18</v>
      </c>
      <c r="B28" s="35" t="s">
        <v>400</v>
      </c>
      <c r="C28" s="14" t="s">
        <v>273</v>
      </c>
      <c r="D28" s="142"/>
      <c r="E28" s="142"/>
      <c r="F28" s="152">
        <f>ROUND(VLOOKUP($B28,'Prior Historical'!$A$5:$U$500,COLUMNS($F28:F28)+6,FALSE)/1000,3)</f>
        <v>0</v>
      </c>
      <c r="G28" s="152">
        <f>ROUND(VLOOKUP($B28,'Prior Historical'!$A$5:$U$500,COLUMNS($F28:G28)+6,FALSE)/1000,3)</f>
        <v>0</v>
      </c>
      <c r="H28" s="152">
        <f>ROUND(VLOOKUP($B28,'Prior Historical'!$A$5:$U$500,COLUMNS($F28:H28)+6,FALSE)/1000,3)</f>
        <v>0</v>
      </c>
      <c r="I28" s="152">
        <f>ROUND(VLOOKUP($B28,'Prior Historical'!$A$5:$U$500,COLUMNS($F28:I28)+6,FALSE)/1000,3)</f>
        <v>0</v>
      </c>
      <c r="J28" s="152">
        <f>ROUND(VLOOKUP($B28,'Prior Historical'!$A$5:$U$500,COLUMNS($F28:J28)+6,FALSE)/1000,3)</f>
        <v>0</v>
      </c>
      <c r="K28" s="152">
        <f>ROUND(VLOOKUP($B28,'Prior Historical'!$A$5:$U$500,COLUMNS($F28:K28)+6,FALSE)/1000,3)</f>
        <v>0</v>
      </c>
      <c r="L28" s="152">
        <f>ROUND(VLOOKUP($B28,'Prior Historical'!$A$5:$U$500,COLUMNS($F28:L28)+6,FALSE)/1000,3)</f>
        <v>0</v>
      </c>
      <c r="M28" s="152">
        <f>ROUND(VLOOKUP($B28,'Prior Historical'!$A$5:$U$500,COLUMNS($F28:M28)+6,FALSE)/1000,3)</f>
        <v>0</v>
      </c>
      <c r="N28" s="152">
        <f>ROUND(VLOOKUP($B28,'Prior Historical'!$A$5:$U$500,COLUMNS($F28:N28)+6,FALSE)/1000,3)</f>
        <v>0</v>
      </c>
      <c r="O28" s="152">
        <f>ROUND(VLOOKUP($B28,'Prior Historical'!$A$5:$U$500,COLUMNS($F28:O28)+6,FALSE)/1000,3)</f>
        <v>0</v>
      </c>
      <c r="P28" s="152">
        <f>ROUND(VLOOKUP($B28,'Prior Historical'!$A$5:$U$500,COLUMNS($F28:P28)+6,FALSE)/1000,3)</f>
        <v>0</v>
      </c>
      <c r="Q28" s="152">
        <f>ROUND(VLOOKUP($B28,'Prior Historical'!$A$5:$U$500,COLUMNS($F28:Q28)+6,FALSE)/1000,3)</f>
        <v>0</v>
      </c>
      <c r="R28" s="152">
        <f>ROUND(VLOOKUP($B28,'Prior Historical'!$A$5:$U$500,COLUMNS($F28:R28)+6,FALSE)/1000,3)</f>
        <v>0</v>
      </c>
      <c r="S28" s="150">
        <f t="shared" si="3"/>
        <v>0</v>
      </c>
      <c r="T28" s="144" t="s">
        <v>118</v>
      </c>
    </row>
    <row r="29" spans="1:20" ht="15" customHeight="1">
      <c r="A29" s="142">
        <v>19</v>
      </c>
      <c r="B29" s="35" t="s">
        <v>401</v>
      </c>
      <c r="C29" s="14" t="s">
        <v>274</v>
      </c>
      <c r="D29" s="142"/>
      <c r="E29" s="142"/>
      <c r="F29" s="27">
        <f>ROUND(IF(ISNA(VLOOKUP($B29,'Prior Historical'!$A$5:$U$500,COLUMNS($F29:F29)+6,FALSE)),0,+(VLOOKUP($B29,'Prior Historical'!$A$5:$U$500,COLUMNS($F29:F29)+6,FALSE)))/1000,3)</f>
        <v>0</v>
      </c>
      <c r="G29" s="27">
        <f>ROUND(IF(ISNA(VLOOKUP($B29,'Prior Historical'!$A$5:$U$500,COLUMNS($F29:G29)+6,FALSE)),0,+(VLOOKUP($B29,'Prior Historical'!$A$5:$U$500,COLUMNS($F29:G29)+6,FALSE)))/1000,3)</f>
        <v>0</v>
      </c>
      <c r="H29" s="27">
        <f>ROUND(IF(ISNA(VLOOKUP($B29,'Prior Historical'!$A$5:$U$500,COLUMNS($F29:H29)+6,FALSE)),0,+(VLOOKUP($B29,'Prior Historical'!$A$5:$U$500,COLUMNS($F29:H29)+6,FALSE)))/1000,3)</f>
        <v>0</v>
      </c>
      <c r="I29" s="27">
        <f>ROUND(IF(ISNA(VLOOKUP($B29,'Prior Historical'!$A$5:$U$500,COLUMNS($F29:I29)+6,FALSE)),0,+(VLOOKUP($B29,'Prior Historical'!$A$5:$U$500,COLUMNS($F29:I29)+6,FALSE)))/1000,3)</f>
        <v>0</v>
      </c>
      <c r="J29" s="27">
        <f>ROUND(IF(ISNA(VLOOKUP($B29,'Prior Historical'!$A$5:$U$500,COLUMNS($F29:J29)+6,FALSE)),0,+(VLOOKUP($B29,'Prior Historical'!$A$5:$U$500,COLUMNS($F29:J29)+6,FALSE)))/1000,3)</f>
        <v>0</v>
      </c>
      <c r="K29" s="27">
        <f>ROUND(IF(ISNA(VLOOKUP($B29,'Prior Historical'!$A$5:$U$500,COLUMNS($F29:K29)+6,FALSE)),0,+(VLOOKUP($B29,'Prior Historical'!$A$5:$U$500,COLUMNS($F29:K29)+6,FALSE)))/1000,3)</f>
        <v>0</v>
      </c>
      <c r="L29" s="27">
        <f>ROUND(IF(ISNA(VLOOKUP($B29,'Prior Historical'!$A$5:$U$500,COLUMNS($F29:L29)+6,FALSE)),0,+(VLOOKUP($B29,'Prior Historical'!$A$5:$U$500,COLUMNS($F29:L29)+6,FALSE)))/1000,3)</f>
        <v>0</v>
      </c>
      <c r="M29" s="27">
        <f>ROUND(IF(ISNA(VLOOKUP($B29,'Prior Historical'!$A$5:$U$500,COLUMNS($F29:M29)+6,FALSE)),0,+(VLOOKUP($B29,'Prior Historical'!$A$5:$U$500,COLUMNS($F29:M29)+6,FALSE)))/1000,3)</f>
        <v>0</v>
      </c>
      <c r="N29" s="27">
        <f>ROUND(IF(ISNA(VLOOKUP($B29,'Prior Historical'!$A$5:$U$500,COLUMNS($F29:N29)+6,FALSE)),0,+(VLOOKUP($B29,'Prior Historical'!$A$5:$U$500,COLUMNS($F29:N29)+6,FALSE)))/1000,3)</f>
        <v>0</v>
      </c>
      <c r="O29" s="27">
        <f>ROUND(IF(ISNA(VLOOKUP($B29,'Prior Historical'!$A$5:$U$500,COLUMNS($F29:O29)+6,FALSE)),0,+(VLOOKUP($B29,'Prior Historical'!$A$5:$U$500,COLUMNS($F29:O29)+6,FALSE)))/1000,3)</f>
        <v>0</v>
      </c>
      <c r="P29" s="27">
        <f>ROUND(IF(ISNA(VLOOKUP($B29,'Prior Historical'!$A$5:$U$500,COLUMNS($F29:P29)+6,FALSE)),0,+(VLOOKUP($B29,'Prior Historical'!$A$5:$U$500,COLUMNS($F29:P29)+6,FALSE)))/1000,3)</f>
        <v>0</v>
      </c>
      <c r="Q29" s="27">
        <f>ROUND(IF(ISNA(VLOOKUP($B29,'Prior Historical'!$A$5:$U$500,COLUMNS($F29:Q29)+6,FALSE)),0,+(VLOOKUP($B29,'Prior Historical'!$A$5:$U$500,COLUMNS($F29:Q29)+6,FALSE)))/1000,3)</f>
        <v>0</v>
      </c>
      <c r="R29" s="27">
        <f>ROUND(IF(ISNA(VLOOKUP($B29,'Prior Historical'!$A$5:$U$500,COLUMNS($F29:R29)+6,FALSE)),0,+(VLOOKUP($B29,'Prior Historical'!$A$5:$U$500,COLUMNS($F29:R29)+6,FALSE)))/1000,3)</f>
        <v>0</v>
      </c>
      <c r="S29" s="150">
        <f t="shared" si="3"/>
        <v>0</v>
      </c>
      <c r="T29" s="144" t="s">
        <v>118</v>
      </c>
    </row>
    <row r="30" spans="1:20" ht="15" customHeight="1">
      <c r="A30" s="142">
        <v>20</v>
      </c>
      <c r="B30" s="35" t="s">
        <v>402</v>
      </c>
      <c r="C30" s="14" t="s">
        <v>275</v>
      </c>
      <c r="D30" s="142"/>
      <c r="E30" s="142"/>
      <c r="F30" s="152">
        <f>ROUND(VLOOKUP($B30,'Prior Historical'!$A$5:$U$500,COLUMNS($F30:F30)+6,FALSE)/1000,3)</f>
        <v>138526.31200000001</v>
      </c>
      <c r="G30" s="152">
        <f>ROUND(VLOOKUP($B30,'Prior Historical'!$A$5:$U$500,COLUMNS($F30:G30)+6,FALSE)/1000,3)</f>
        <v>144569.85399999999</v>
      </c>
      <c r="H30" s="152">
        <f>ROUND(VLOOKUP($B30,'Prior Historical'!$A$5:$U$500,COLUMNS($F30:H30)+6,FALSE)/1000,3)</f>
        <v>148100.37700000001</v>
      </c>
      <c r="I30" s="152">
        <f>ROUND(VLOOKUP($B30,'Prior Historical'!$A$5:$U$500,COLUMNS($F30:I30)+6,FALSE)/1000,3)</f>
        <v>128100.09</v>
      </c>
      <c r="J30" s="152">
        <f>ROUND(VLOOKUP($B30,'Prior Historical'!$A$5:$U$500,COLUMNS($F30:J30)+6,FALSE)/1000,3)</f>
        <v>144854.67300000001</v>
      </c>
      <c r="K30" s="152">
        <f>ROUND(VLOOKUP($B30,'Prior Historical'!$A$5:$U$500,COLUMNS($F30:K30)+6,FALSE)/1000,3)</f>
        <v>161993.84</v>
      </c>
      <c r="L30" s="152">
        <f>ROUND(VLOOKUP($B30,'Prior Historical'!$A$5:$U$500,COLUMNS($F30:L30)+6,FALSE)/1000,3)</f>
        <v>184262.726</v>
      </c>
      <c r="M30" s="152">
        <f>ROUND(VLOOKUP($B30,'Prior Historical'!$A$5:$U$500,COLUMNS($F30:M30)+6,FALSE)/1000,3)</f>
        <v>210915.054</v>
      </c>
      <c r="N30" s="152">
        <f>ROUND(VLOOKUP($B30,'Prior Historical'!$A$5:$U$500,COLUMNS($F30:N30)+6,FALSE)/1000,3)</f>
        <v>191176.01</v>
      </c>
      <c r="O30" s="152">
        <f>ROUND(VLOOKUP($B30,'Prior Historical'!$A$5:$U$500,COLUMNS($F30:O30)+6,FALSE)/1000,3)</f>
        <v>218163.253</v>
      </c>
      <c r="P30" s="152">
        <f>ROUND(VLOOKUP($B30,'Prior Historical'!$A$5:$U$500,COLUMNS($F30:P30)+6,FALSE)/1000,3)</f>
        <v>185514.31099999999</v>
      </c>
      <c r="Q30" s="152">
        <f>ROUND(VLOOKUP($B30,'Prior Historical'!$A$5:$U$500,COLUMNS($F30:Q30)+6,FALSE)/1000,3)</f>
        <v>169543.15900000001</v>
      </c>
      <c r="R30" s="152">
        <f>ROUND(VLOOKUP($B30,'Prior Historical'!$A$5:$U$500,COLUMNS($F30:R30)+6,FALSE)/1000,3)</f>
        <v>163872.375</v>
      </c>
      <c r="S30" s="150">
        <f t="shared" si="3"/>
        <v>168430.15646153846</v>
      </c>
      <c r="T30" s="144" t="s">
        <v>118</v>
      </c>
    </row>
    <row r="31" spans="1:20" ht="15" customHeight="1">
      <c r="A31" s="142">
        <v>21</v>
      </c>
      <c r="B31" s="35" t="s">
        <v>403</v>
      </c>
      <c r="C31" s="14" t="s">
        <v>276</v>
      </c>
      <c r="D31" s="142"/>
      <c r="E31" s="142"/>
      <c r="F31" s="152">
        <f>ROUND(VLOOKUP($B31,'Prior Historical'!$A$5:$U$500,COLUMNS($F31:F31)+6,FALSE)/1000,3)</f>
        <v>3500.8470000000002</v>
      </c>
      <c r="G31" s="152">
        <f>ROUND(VLOOKUP($B31,'Prior Historical'!$A$5:$U$500,COLUMNS($F31:G31)+6,FALSE)/1000,3)</f>
        <v>10687.503000000001</v>
      </c>
      <c r="H31" s="152">
        <f>ROUND(VLOOKUP($B31,'Prior Historical'!$A$5:$U$500,COLUMNS($F31:H31)+6,FALSE)/1000,3)</f>
        <v>5771.1930000000002</v>
      </c>
      <c r="I31" s="152">
        <f>ROUND(VLOOKUP($B31,'Prior Historical'!$A$5:$U$500,COLUMNS($F31:I31)+6,FALSE)/1000,3)</f>
        <v>4523.3559999999998</v>
      </c>
      <c r="J31" s="152">
        <f>ROUND(VLOOKUP($B31,'Prior Historical'!$A$5:$U$500,COLUMNS($F31:J31)+6,FALSE)/1000,3)</f>
        <v>6430.4250000000002</v>
      </c>
      <c r="K31" s="152">
        <f>ROUND(VLOOKUP($B31,'Prior Historical'!$A$5:$U$500,COLUMNS($F31:K31)+6,FALSE)/1000,3)</f>
        <v>10925.662</v>
      </c>
      <c r="L31" s="152">
        <f>ROUND(VLOOKUP($B31,'Prior Historical'!$A$5:$U$500,COLUMNS($F31:L31)+6,FALSE)/1000,3)</f>
        <v>11866.646000000001</v>
      </c>
      <c r="M31" s="152">
        <f>ROUND(VLOOKUP($B31,'Prior Historical'!$A$5:$U$500,COLUMNS($F31:M31)+6,FALSE)/1000,3)</f>
        <v>9046.0220000000008</v>
      </c>
      <c r="N31" s="152">
        <f>ROUND(VLOOKUP($B31,'Prior Historical'!$A$5:$U$500,COLUMNS($F31:N31)+6,FALSE)/1000,3)</f>
        <v>9484.2909999999993</v>
      </c>
      <c r="O31" s="152">
        <f>ROUND(VLOOKUP($B31,'Prior Historical'!$A$5:$U$500,COLUMNS($F31:O31)+6,FALSE)/1000,3)</f>
        <v>10148.19</v>
      </c>
      <c r="P31" s="152">
        <f>ROUND(VLOOKUP($B31,'Prior Historical'!$A$5:$U$500,COLUMNS($F31:P31)+6,FALSE)/1000,3)</f>
        <v>5535.8549999999996</v>
      </c>
      <c r="Q31" s="152">
        <f>ROUND(VLOOKUP($B31,'Prior Historical'!$A$5:$U$500,COLUMNS($F31:Q31)+6,FALSE)/1000,3)</f>
        <v>5173.7669999999998</v>
      </c>
      <c r="R31" s="152">
        <f>ROUND(VLOOKUP($B31,'Prior Historical'!$A$5:$U$500,COLUMNS($F31:R31)+6,FALSE)/1000,3)</f>
        <v>16710.607</v>
      </c>
      <c r="S31" s="150">
        <f t="shared" si="3"/>
        <v>8446.4895384615393</v>
      </c>
      <c r="T31" s="144" t="s">
        <v>118</v>
      </c>
    </row>
    <row r="32" spans="1:20" ht="15" customHeight="1">
      <c r="A32" s="142">
        <v>22</v>
      </c>
      <c r="B32" s="35" t="s">
        <v>404</v>
      </c>
      <c r="C32" s="14" t="s">
        <v>277</v>
      </c>
      <c r="D32" s="142"/>
      <c r="E32" s="142"/>
      <c r="F32" s="152">
        <f>ROUND(VLOOKUP($B32,'Prior Historical'!$A$5:$U$500,COLUMNS($F32:F32)+6,FALSE)/1000,3)</f>
        <v>-4897.5200000000004</v>
      </c>
      <c r="G32" s="152">
        <f>ROUND(VLOOKUP($B32,'Prior Historical'!$A$5:$U$500,COLUMNS($F32:G32)+6,FALSE)/1000,3)</f>
        <v>-5049.259</v>
      </c>
      <c r="H32" s="152">
        <f>ROUND(VLOOKUP($B32,'Prior Historical'!$A$5:$U$500,COLUMNS($F32:H32)+6,FALSE)/1000,3)</f>
        <v>-5023.4880000000003</v>
      </c>
      <c r="I32" s="152">
        <f>ROUND(VLOOKUP($B32,'Prior Historical'!$A$5:$U$500,COLUMNS($F32:I32)+6,FALSE)/1000,3)</f>
        <v>-5018.2089999999998</v>
      </c>
      <c r="J32" s="152">
        <f>ROUND(VLOOKUP($B32,'Prior Historical'!$A$5:$U$500,COLUMNS($F32:J32)+6,FALSE)/1000,3)</f>
        <v>-5059.2529999999997</v>
      </c>
      <c r="K32" s="152">
        <f>ROUND(VLOOKUP($B32,'Prior Historical'!$A$5:$U$500,COLUMNS($F32:K32)+6,FALSE)/1000,3)</f>
        <v>-5057.3890000000001</v>
      </c>
      <c r="L32" s="152">
        <f>ROUND(VLOOKUP($B32,'Prior Historical'!$A$5:$U$500,COLUMNS($F32:L32)+6,FALSE)/1000,3)</f>
        <v>-3556.5790000000002</v>
      </c>
      <c r="M32" s="152">
        <f>ROUND(VLOOKUP($B32,'Prior Historical'!$A$5:$U$500,COLUMNS($F32:M32)+6,FALSE)/1000,3)</f>
        <v>-3641.2150000000001</v>
      </c>
      <c r="N32" s="152">
        <f>ROUND(VLOOKUP($B32,'Prior Historical'!$A$5:$U$500,COLUMNS($F32:N32)+6,FALSE)/1000,3)</f>
        <v>-3641.248</v>
      </c>
      <c r="O32" s="152">
        <f>ROUND(VLOOKUP($B32,'Prior Historical'!$A$5:$U$500,COLUMNS($F32:O32)+6,FALSE)/1000,3)</f>
        <v>-3387.89</v>
      </c>
      <c r="P32" s="152">
        <f>ROUND(VLOOKUP($B32,'Prior Historical'!$A$5:$U$500,COLUMNS($F32:P32)+6,FALSE)/1000,3)</f>
        <v>-3339.8380000000002</v>
      </c>
      <c r="Q32" s="152">
        <f>ROUND(VLOOKUP($B32,'Prior Historical'!$A$5:$U$500,COLUMNS($F32:Q32)+6,FALSE)/1000,3)</f>
        <v>-3107.989</v>
      </c>
      <c r="R32" s="152">
        <f>ROUND(VLOOKUP($B32,'Prior Historical'!$A$5:$U$500,COLUMNS($F32:R32)+6,FALSE)/1000,3)</f>
        <v>-2628.41</v>
      </c>
      <c r="S32" s="150">
        <f t="shared" si="3"/>
        <v>-4108.3297692307688</v>
      </c>
      <c r="T32" s="144" t="s">
        <v>118</v>
      </c>
    </row>
    <row r="33" spans="1:20" ht="15" customHeight="1">
      <c r="A33" s="142">
        <v>23</v>
      </c>
      <c r="B33" s="86" t="s">
        <v>405</v>
      </c>
      <c r="C33" s="14" t="s">
        <v>274</v>
      </c>
      <c r="D33" s="142"/>
      <c r="E33" s="142"/>
      <c r="F33" s="27">
        <f>ROUND(IF(ISNA(VLOOKUP($B33,'Prior Historical'!$A$5:$U$500,COLUMNS($F33:F33)+6,FALSE)),0,+(VLOOKUP($B33,'Prior Historical'!$A$5:$U$500,COLUMNS($F33:F33)+6,FALSE)))/1000,3)</f>
        <v>0</v>
      </c>
      <c r="G33" s="27">
        <f>ROUND(IF(ISNA(VLOOKUP($B33,'Prior Historical'!$A$5:$U$500,COLUMNS($F33:G33)+6,FALSE)),0,+(VLOOKUP($B33,'Prior Historical'!$A$5:$U$500,COLUMNS($F33:G33)+6,FALSE)))/1000,3)</f>
        <v>0</v>
      </c>
      <c r="H33" s="27">
        <f>ROUND(IF(ISNA(VLOOKUP($B33,'Prior Historical'!$A$5:$U$500,COLUMNS($F33:H33)+6,FALSE)),0,+(VLOOKUP($B33,'Prior Historical'!$A$5:$U$500,COLUMNS($F33:H33)+6,FALSE)))/1000,3)</f>
        <v>0</v>
      </c>
      <c r="I33" s="27">
        <f>ROUND(IF(ISNA(VLOOKUP($B33,'Prior Historical'!$A$5:$U$500,COLUMNS($F33:I33)+6,FALSE)),0,+(VLOOKUP($B33,'Prior Historical'!$A$5:$U$500,COLUMNS($F33:I33)+6,FALSE)))/1000,3)</f>
        <v>0</v>
      </c>
      <c r="J33" s="27">
        <f>ROUND(IF(ISNA(VLOOKUP($B33,'Prior Historical'!$A$5:$U$500,COLUMNS($F33:J33)+6,FALSE)),0,+(VLOOKUP($B33,'Prior Historical'!$A$5:$U$500,COLUMNS($F33:J33)+6,FALSE)))/1000,3)</f>
        <v>0</v>
      </c>
      <c r="K33" s="27">
        <f>ROUND(IF(ISNA(VLOOKUP($B33,'Prior Historical'!$A$5:$U$500,COLUMNS($F33:K33)+6,FALSE)),0,+(VLOOKUP($B33,'Prior Historical'!$A$5:$U$500,COLUMNS($F33:K33)+6,FALSE)))/1000,3)</f>
        <v>0</v>
      </c>
      <c r="L33" s="27">
        <f>ROUND(IF(ISNA(VLOOKUP($B33,'Prior Historical'!$A$5:$U$500,COLUMNS($F33:L33)+6,FALSE)),0,+(VLOOKUP($B33,'Prior Historical'!$A$5:$U$500,COLUMNS($F33:L33)+6,FALSE)))/1000,3)</f>
        <v>0</v>
      </c>
      <c r="M33" s="27">
        <f>ROUND(IF(ISNA(VLOOKUP($B33,'Prior Historical'!$A$5:$U$500,COLUMNS($F33:M33)+6,FALSE)),0,+(VLOOKUP($B33,'Prior Historical'!$A$5:$U$500,COLUMNS($F33:M33)+6,FALSE)))/1000,3)</f>
        <v>36571.247000000003</v>
      </c>
      <c r="N33" s="27">
        <f>ROUND(IF(ISNA(VLOOKUP($B33,'Prior Historical'!$A$5:$U$500,COLUMNS($F33:N33)+6,FALSE)),0,+(VLOOKUP($B33,'Prior Historical'!$A$5:$U$500,COLUMNS($F33:N33)+6,FALSE)))/1000,3)</f>
        <v>24775.691999999999</v>
      </c>
      <c r="O33" s="27">
        <f>ROUND(IF(ISNA(VLOOKUP($B33,'Prior Historical'!$A$5:$U$500,COLUMNS($F33:O33)+6,FALSE)),0,+(VLOOKUP($B33,'Prior Historical'!$A$5:$U$500,COLUMNS($F33:O33)+6,FALSE)))/1000,3)</f>
        <v>0</v>
      </c>
      <c r="P33" s="27">
        <f>ROUND(IF(ISNA(VLOOKUP($B33,'Prior Historical'!$A$5:$U$500,COLUMNS($F33:P33)+6,FALSE)),0,+(VLOOKUP($B33,'Prior Historical'!$A$5:$U$500,COLUMNS($F33:P33)+6,FALSE)))/1000,3)</f>
        <v>0</v>
      </c>
      <c r="Q33" s="27">
        <f>ROUND(IF(ISNA(VLOOKUP($B33,'Prior Historical'!$A$5:$U$500,COLUMNS($F33:Q33)+6,FALSE)),0,+(VLOOKUP($B33,'Prior Historical'!$A$5:$U$500,COLUMNS($F33:Q33)+6,FALSE)))/1000,3)</f>
        <v>0</v>
      </c>
      <c r="R33" s="27">
        <f>ROUND(IF(ISNA(VLOOKUP($B33,'Prior Historical'!$A$5:$U$500,COLUMNS($F33:R33)+6,FALSE)),0,+(VLOOKUP($B33,'Prior Historical'!$A$5:$U$500,COLUMNS($F33:R33)+6,FALSE)))/1000,3)</f>
        <v>0</v>
      </c>
      <c r="S33" s="150">
        <f t="shared" si="3"/>
        <v>4718.9953076923075</v>
      </c>
      <c r="T33" s="144" t="s">
        <v>118</v>
      </c>
    </row>
    <row r="34" spans="1:20" ht="15" customHeight="1">
      <c r="A34" s="142">
        <v>24</v>
      </c>
      <c r="B34" s="35" t="s">
        <v>406</v>
      </c>
      <c r="C34" s="14" t="s">
        <v>278</v>
      </c>
      <c r="D34" s="142"/>
      <c r="E34" s="142"/>
      <c r="F34" s="27">
        <f>ROUND(IF(ISNA(VLOOKUP($B34,'Prior Historical'!$A$5:$U$500,COLUMNS($F34:F34)+6,FALSE)),0,+(VLOOKUP($B34,'Prior Historical'!$A$5:$U$500,COLUMNS($F34:F34)+6,FALSE)))/1000,3)</f>
        <v>19089.992999999999</v>
      </c>
      <c r="G34" s="27">
        <f>ROUND(IF(ISNA(VLOOKUP($B34,'Prior Historical'!$A$5:$U$500,COLUMNS($F34:G34)+6,FALSE)),0,+(VLOOKUP($B34,'Prior Historical'!$A$5:$U$500,COLUMNS($F34:G34)+6,FALSE)))/1000,3)</f>
        <v>16796.728999999999</v>
      </c>
      <c r="H34" s="27">
        <f>ROUND(IF(ISNA(VLOOKUP($B34,'Prior Historical'!$A$5:$U$500,COLUMNS($F34:H34)+6,FALSE)),0,+(VLOOKUP($B34,'Prior Historical'!$A$5:$U$500,COLUMNS($F34:H34)+6,FALSE)))/1000,3)</f>
        <v>12571.86</v>
      </c>
      <c r="I34" s="27">
        <f>ROUND(IF(ISNA(VLOOKUP($B34,'Prior Historical'!$A$5:$U$500,COLUMNS($F34:I34)+6,FALSE)),0,+(VLOOKUP($B34,'Prior Historical'!$A$5:$U$500,COLUMNS($F34:I34)+6,FALSE)))/1000,3)</f>
        <v>16509.865000000002</v>
      </c>
      <c r="J34" s="27">
        <f>ROUND(IF(ISNA(VLOOKUP($B34,'Prior Historical'!$A$5:$U$500,COLUMNS($F34:J34)+6,FALSE)),0,+(VLOOKUP($B34,'Prior Historical'!$A$5:$U$500,COLUMNS($F34:J34)+6,FALSE)))/1000,3)</f>
        <v>13688.356</v>
      </c>
      <c r="K34" s="27">
        <f>ROUND(IF(ISNA(VLOOKUP($B34,'Prior Historical'!$A$5:$U$500,COLUMNS($F34:K34)+6,FALSE)),0,+(VLOOKUP($B34,'Prior Historical'!$A$5:$U$500,COLUMNS($F34:K34)+6,FALSE)))/1000,3)</f>
        <v>14959.263999999999</v>
      </c>
      <c r="L34" s="27">
        <f>ROUND(IF(ISNA(VLOOKUP($B34,'Prior Historical'!$A$5:$U$500,COLUMNS($F34:L34)+6,FALSE)),0,+(VLOOKUP($B34,'Prior Historical'!$A$5:$U$500,COLUMNS($F34:L34)+6,FALSE)))/1000,3)</f>
        <v>17816.928</v>
      </c>
      <c r="M34" s="27">
        <f>ROUND(IF(ISNA(VLOOKUP($B34,'Prior Historical'!$A$5:$U$500,COLUMNS($F34:M34)+6,FALSE)),0,+(VLOOKUP($B34,'Prior Historical'!$A$5:$U$500,COLUMNS($F34:M34)+6,FALSE)))/1000,3)</f>
        <v>17141.741999999998</v>
      </c>
      <c r="N34" s="27">
        <f>ROUND(IF(ISNA(VLOOKUP($B34,'Prior Historical'!$A$5:$U$500,COLUMNS($F34:N34)+6,FALSE)),0,+(VLOOKUP($B34,'Prior Historical'!$A$5:$U$500,COLUMNS($F34:N34)+6,FALSE)))/1000,3)</f>
        <v>13335.432000000001</v>
      </c>
      <c r="O34" s="27">
        <f>ROUND(IF(ISNA(VLOOKUP($B34,'Prior Historical'!$A$5:$U$500,COLUMNS($F34:O34)+6,FALSE)),0,+(VLOOKUP($B34,'Prior Historical'!$A$5:$U$500,COLUMNS($F34:O34)+6,FALSE)))/1000,3)</f>
        <v>17492.754000000001</v>
      </c>
      <c r="P34" s="27">
        <f>ROUND(IF(ISNA(VLOOKUP($B34,'Prior Historical'!$A$5:$U$500,COLUMNS($F34:P34)+6,FALSE)),0,+(VLOOKUP($B34,'Prior Historical'!$A$5:$U$500,COLUMNS($F34:P34)+6,FALSE)))/1000,3)</f>
        <v>14789.638000000001</v>
      </c>
      <c r="Q34" s="27">
        <f>ROUND(IF(ISNA(VLOOKUP($B34,'Prior Historical'!$A$5:$U$500,COLUMNS($F34:Q34)+6,FALSE)),0,+(VLOOKUP($B34,'Prior Historical'!$A$5:$U$500,COLUMNS($F34:Q34)+6,FALSE)))/1000,3)</f>
        <v>16511.552</v>
      </c>
      <c r="R34" s="27">
        <f>ROUND(IF(ISNA(VLOOKUP($B34,'Prior Historical'!$A$5:$U$500,COLUMNS($F34:R34)+6,FALSE)),0,+(VLOOKUP($B34,'Prior Historical'!$A$5:$U$500,COLUMNS($F34:R34)+6,FALSE)))/1000,3)</f>
        <v>25135.739000000001</v>
      </c>
      <c r="S34" s="150">
        <f t="shared" si="3"/>
        <v>16603.065538461538</v>
      </c>
      <c r="T34" s="144" t="s">
        <v>118</v>
      </c>
    </row>
    <row r="35" spans="1:20" ht="15" customHeight="1">
      <c r="A35" s="142">
        <v>25</v>
      </c>
      <c r="B35" s="151" t="s">
        <v>407</v>
      </c>
      <c r="C35" s="14" t="s">
        <v>279</v>
      </c>
      <c r="D35" s="142"/>
      <c r="E35" s="142"/>
      <c r="F35" s="152">
        <f>ROUND(VLOOKUP($B35,'Prior Historical'!$A$5:$U$500,COLUMNS($F35:F35)+6,FALSE)/1000,3)</f>
        <v>19526.271000000001</v>
      </c>
      <c r="G35" s="152">
        <f>ROUND(VLOOKUP($B35,'Prior Historical'!$A$5:$U$500,COLUMNS($F35:G35)+6,FALSE)/1000,3)</f>
        <v>19455.352999999999</v>
      </c>
      <c r="H35" s="152">
        <f>ROUND(VLOOKUP($B35,'Prior Historical'!$A$5:$U$500,COLUMNS($F35:H35)+6,FALSE)/1000,3)</f>
        <v>16246.277</v>
      </c>
      <c r="I35" s="152">
        <f>ROUND(VLOOKUP($B35,'Prior Historical'!$A$5:$U$500,COLUMNS($F35:I35)+6,FALSE)/1000,3)</f>
        <v>15914.062</v>
      </c>
      <c r="J35" s="152">
        <f>ROUND(VLOOKUP($B35,'Prior Historical'!$A$5:$U$500,COLUMNS($F35:J35)+6,FALSE)/1000,3)</f>
        <v>17248.762999999999</v>
      </c>
      <c r="K35" s="152">
        <f>ROUND(VLOOKUP($B35,'Prior Historical'!$A$5:$U$500,COLUMNS($F35:K35)+6,FALSE)/1000,3)</f>
        <v>15852.884</v>
      </c>
      <c r="L35" s="152">
        <f>ROUND(VLOOKUP($B35,'Prior Historical'!$A$5:$U$500,COLUMNS($F35:L35)+6,FALSE)/1000,3)</f>
        <v>15353.686</v>
      </c>
      <c r="M35" s="152">
        <f>ROUND(VLOOKUP($B35,'Prior Historical'!$A$5:$U$500,COLUMNS($F35:M35)+6,FALSE)/1000,3)</f>
        <v>15061.509</v>
      </c>
      <c r="N35" s="152">
        <f>ROUND(VLOOKUP($B35,'Prior Historical'!$A$5:$U$500,COLUMNS($F35:N35)+6,FALSE)/1000,3)</f>
        <v>14039.504000000001</v>
      </c>
      <c r="O35" s="152">
        <f>ROUND(VLOOKUP($B35,'Prior Historical'!$A$5:$U$500,COLUMNS($F35:O35)+6,FALSE)/1000,3)</f>
        <v>17795.925999999999</v>
      </c>
      <c r="P35" s="152">
        <f>ROUND(VLOOKUP($B35,'Prior Historical'!$A$5:$U$500,COLUMNS($F35:P35)+6,FALSE)/1000,3)</f>
        <v>22297.679</v>
      </c>
      <c r="Q35" s="152">
        <f>ROUND(VLOOKUP($B35,'Prior Historical'!$A$5:$U$500,COLUMNS($F35:Q35)+6,FALSE)/1000,3)</f>
        <v>23767.317999999999</v>
      </c>
      <c r="R35" s="152">
        <f>ROUND(VLOOKUP($B35,'Prior Historical'!$A$5:$U$500,COLUMNS($F35:R35)+6,FALSE)/1000,3)</f>
        <v>23065.341</v>
      </c>
      <c r="S35" s="150">
        <f t="shared" si="3"/>
        <v>18124.967153846155</v>
      </c>
      <c r="T35" s="144" t="s">
        <v>118</v>
      </c>
    </row>
    <row r="36" spans="1:20" ht="15" customHeight="1">
      <c r="A36" s="142">
        <v>26</v>
      </c>
      <c r="B36" s="35" t="s">
        <v>408</v>
      </c>
      <c r="C36" s="14" t="s">
        <v>409</v>
      </c>
      <c r="D36" s="142"/>
      <c r="E36" s="142"/>
      <c r="F36" s="27">
        <f>ROUND(IF(ISNA(VLOOKUP($B36,'Prior Historical'!$A$5:$U$500,COLUMNS($F36:F36)+6,FALSE)),0,+(VLOOKUP($B36,'Prior Historical'!$A$5:$U$500,COLUMNS($F36:F36)+6,FALSE)))/1000,3)</f>
        <v>0</v>
      </c>
      <c r="G36" s="27">
        <f>ROUND(IF(ISNA(VLOOKUP($B36,'Prior Historical'!$A$5:$U$500,COLUMNS($F36:G36)+6,FALSE)),0,+(VLOOKUP($B36,'Prior Historical'!$A$5:$U$500,COLUMNS($F36:G36)+6,FALSE)))/1000,3)</f>
        <v>0</v>
      </c>
      <c r="H36" s="27">
        <f>ROUND(IF(ISNA(VLOOKUP($B36,'Prior Historical'!$A$5:$U$500,COLUMNS($F36:H36)+6,FALSE)),0,+(VLOOKUP($B36,'Prior Historical'!$A$5:$U$500,COLUMNS($F36:H36)+6,FALSE)))/1000,3)</f>
        <v>0</v>
      </c>
      <c r="I36" s="27">
        <f>ROUND(IF(ISNA(VLOOKUP($B36,'Prior Historical'!$A$5:$U$500,COLUMNS($F36:I36)+6,FALSE)),0,+(VLOOKUP($B36,'Prior Historical'!$A$5:$U$500,COLUMNS($F36:I36)+6,FALSE)))/1000,3)</f>
        <v>0</v>
      </c>
      <c r="J36" s="27">
        <f>ROUND(IF(ISNA(VLOOKUP($B36,'Prior Historical'!$A$5:$U$500,COLUMNS($F36:J36)+6,FALSE)),0,+(VLOOKUP($B36,'Prior Historical'!$A$5:$U$500,COLUMNS($F36:J36)+6,FALSE)))/1000,3)</f>
        <v>0</v>
      </c>
      <c r="K36" s="27">
        <f>ROUND(IF(ISNA(VLOOKUP($B36,'Prior Historical'!$A$5:$U$500,COLUMNS($F36:K36)+6,FALSE)),0,+(VLOOKUP($B36,'Prior Historical'!$A$5:$U$500,COLUMNS($F36:K36)+6,FALSE)))/1000,3)</f>
        <v>0</v>
      </c>
      <c r="L36" s="27">
        <f>ROUND(IF(ISNA(VLOOKUP($B36,'Prior Historical'!$A$5:$U$500,COLUMNS($F36:L36)+6,FALSE)),0,+(VLOOKUP($B36,'Prior Historical'!$A$5:$U$500,COLUMNS($F36:L36)+6,FALSE)))/1000,3)</f>
        <v>0</v>
      </c>
      <c r="M36" s="27">
        <f>ROUND(IF(ISNA(VLOOKUP($B36,'Prior Historical'!$A$5:$U$500,COLUMNS($F36:M36)+6,FALSE)),0,+(VLOOKUP($B36,'Prior Historical'!$A$5:$U$500,COLUMNS($F36:M36)+6,FALSE)))/1000,3)</f>
        <v>0</v>
      </c>
      <c r="N36" s="27">
        <f>ROUND(IF(ISNA(VLOOKUP($B36,'Prior Historical'!$A$5:$U$500,COLUMNS($F36:N36)+6,FALSE)),0,+(VLOOKUP($B36,'Prior Historical'!$A$5:$U$500,COLUMNS($F36:N36)+6,FALSE)))/1000,3)</f>
        <v>0</v>
      </c>
      <c r="O36" s="27">
        <f>ROUND(IF(ISNA(VLOOKUP($B36,'Prior Historical'!$A$5:$U$500,COLUMNS($F36:O36)+6,FALSE)),0,+(VLOOKUP($B36,'Prior Historical'!$A$5:$U$500,COLUMNS($F36:O36)+6,FALSE)))/1000,3)</f>
        <v>0</v>
      </c>
      <c r="P36" s="27">
        <f>ROUND(IF(ISNA(VLOOKUP($B36,'Prior Historical'!$A$5:$U$500,COLUMNS($F36:P36)+6,FALSE)),0,+(VLOOKUP($B36,'Prior Historical'!$A$5:$U$500,COLUMNS($F36:P36)+6,FALSE)))/1000,3)</f>
        <v>0</v>
      </c>
      <c r="Q36" s="27">
        <f>ROUND(IF(ISNA(VLOOKUP($B36,'Prior Historical'!$A$5:$U$500,COLUMNS($F36:Q36)+6,FALSE)),0,+(VLOOKUP($B36,'Prior Historical'!$A$5:$U$500,COLUMNS($F36:Q36)+6,FALSE)))/1000,3)</f>
        <v>0</v>
      </c>
      <c r="R36" s="27">
        <f>ROUND(IF(ISNA(VLOOKUP($B36,'Prior Historical'!$A$5:$U$500,COLUMNS($F36:R36)+6,FALSE)),0,+(VLOOKUP($B36,'Prior Historical'!$A$5:$U$500,COLUMNS($F36:R36)+6,FALSE)))/1000,3)</f>
        <v>0</v>
      </c>
      <c r="S36" s="150">
        <f t="shared" si="3"/>
        <v>0</v>
      </c>
      <c r="T36" s="144" t="s">
        <v>118</v>
      </c>
    </row>
    <row r="37" spans="1:20" ht="15" customHeight="1">
      <c r="A37" s="142">
        <v>27</v>
      </c>
      <c r="B37" s="86" t="s">
        <v>410</v>
      </c>
      <c r="C37" s="14" t="s">
        <v>280</v>
      </c>
      <c r="D37" s="142"/>
      <c r="E37" s="142"/>
      <c r="F37" s="27">
        <f>ROUND(IF(ISNA(VLOOKUP($B37,'Prior Historical'!$A$5:$U$500,COLUMNS($F37:F37)+6,FALSE)),0,+(VLOOKUP($B37,'Prior Historical'!$A$5:$U$500,COLUMNS($F37:F37)+6,FALSE)))/1000,3)</f>
        <v>118147.447</v>
      </c>
      <c r="G37" s="27">
        <f>ROUND(IF(ISNA(VLOOKUP($B37,'Prior Historical'!$A$5:$U$500,COLUMNS($F37:G37)+6,FALSE)),0,+(VLOOKUP($B37,'Prior Historical'!$A$5:$U$500,COLUMNS($F37:G37)+6,FALSE)))/1000,3)</f>
        <v>127112.061</v>
      </c>
      <c r="H37" s="27">
        <f>ROUND(IF(ISNA(VLOOKUP($B37,'Prior Historical'!$A$5:$U$500,COLUMNS($F37:H37)+6,FALSE)),0,+(VLOOKUP($B37,'Prior Historical'!$A$5:$U$500,COLUMNS($F37:H37)+6,FALSE)))/1000,3)</f>
        <v>127092.901</v>
      </c>
      <c r="I37" s="27">
        <f>ROUND(IF(ISNA(VLOOKUP($B37,'Prior Historical'!$A$5:$U$500,COLUMNS($F37:I37)+6,FALSE)),0,+(VLOOKUP($B37,'Prior Historical'!$A$5:$U$500,COLUMNS($F37:I37)+6,FALSE)))/1000,3)</f>
        <v>129827.946</v>
      </c>
      <c r="J37" s="27">
        <f>ROUND(IF(ISNA(VLOOKUP($B37,'Prior Historical'!$A$5:$U$500,COLUMNS($F37:J37)+6,FALSE)),0,+(VLOOKUP($B37,'Prior Historical'!$A$5:$U$500,COLUMNS($F37:J37)+6,FALSE)))/1000,3)</f>
        <v>132292.59700000001</v>
      </c>
      <c r="K37" s="27">
        <f>ROUND(IF(ISNA(VLOOKUP($B37,'Prior Historical'!$A$5:$U$500,COLUMNS($F37:K37)+6,FALSE)),0,+(VLOOKUP($B37,'Prior Historical'!$A$5:$U$500,COLUMNS($F37:K37)+6,FALSE)))/1000,3)</f>
        <v>138154.58799999999</v>
      </c>
      <c r="L37" s="27">
        <f>ROUND(IF(ISNA(VLOOKUP($B37,'Prior Historical'!$A$5:$U$500,COLUMNS($F37:L37)+6,FALSE)),0,+(VLOOKUP($B37,'Prior Historical'!$A$5:$U$500,COLUMNS($F37:L37)+6,FALSE)))/1000,3)</f>
        <v>139364.136</v>
      </c>
      <c r="M37" s="27">
        <f>ROUND(IF(ISNA(VLOOKUP($B37,'Prior Historical'!$A$5:$U$500,COLUMNS($F37:M37)+6,FALSE)),0,+(VLOOKUP($B37,'Prior Historical'!$A$5:$U$500,COLUMNS($F37:M37)+6,FALSE)))/1000,3)</f>
        <v>140076.05499999999</v>
      </c>
      <c r="N37" s="27">
        <f>ROUND(IF(ISNA(VLOOKUP($B37,'Prior Historical'!$A$5:$U$500,COLUMNS($F37:N37)+6,FALSE)),0,+(VLOOKUP($B37,'Prior Historical'!$A$5:$U$500,COLUMNS($F37:N37)+6,FALSE)))/1000,3)</f>
        <v>139400.00200000001</v>
      </c>
      <c r="O37" s="27">
        <f>ROUND(IF(ISNA(VLOOKUP($B37,'Prior Historical'!$A$5:$U$500,COLUMNS($F37:O37)+6,FALSE)),0,+(VLOOKUP($B37,'Prior Historical'!$A$5:$U$500,COLUMNS($F37:O37)+6,FALSE)))/1000,3)</f>
        <v>139669.44099999999</v>
      </c>
      <c r="P37" s="27">
        <f>ROUND(IF(ISNA(VLOOKUP($B37,'Prior Historical'!$A$5:$U$500,COLUMNS($F37:P37)+6,FALSE)),0,+(VLOOKUP($B37,'Prior Historical'!$A$5:$U$500,COLUMNS($F37:P37)+6,FALSE)))/1000,3)</f>
        <v>144964.89799999999</v>
      </c>
      <c r="Q37" s="27">
        <f>ROUND(IF(ISNA(VLOOKUP($B37,'Prior Historical'!$A$5:$U$500,COLUMNS($F37:Q37)+6,FALSE)),0,+(VLOOKUP($B37,'Prior Historical'!$A$5:$U$500,COLUMNS($F37:Q37)+6,FALSE)))/1000,3)</f>
        <v>151522.435</v>
      </c>
      <c r="R37" s="27">
        <f>ROUND(IF(ISNA(VLOOKUP($B37,'Prior Historical'!$A$5:$U$500,COLUMNS($F37:R37)+6,FALSE)),0,+(VLOOKUP($B37,'Prior Historical'!$A$5:$U$500,COLUMNS($F37:R37)+6,FALSE)))/1000,3)</f>
        <v>154369.56</v>
      </c>
      <c r="S37" s="150">
        <f t="shared" si="3"/>
        <v>137076.4666923077</v>
      </c>
      <c r="T37" s="144" t="s">
        <v>118</v>
      </c>
    </row>
    <row r="38" spans="1:20" ht="15" customHeight="1">
      <c r="A38" s="142">
        <v>28</v>
      </c>
      <c r="B38" s="35" t="s">
        <v>411</v>
      </c>
      <c r="C38" s="14" t="s">
        <v>281</v>
      </c>
      <c r="D38" s="142"/>
      <c r="E38" s="142"/>
      <c r="F38" s="27">
        <f>ROUND(IF(ISNA(VLOOKUP($B38,'Prior Historical'!$A$5:$U$500,COLUMNS($F38:F38)+6,FALSE)),0,+(VLOOKUP($B38,'Prior Historical'!$A$5:$U$500,COLUMNS($F38:F38)+6,FALSE)))/1000,3)</f>
        <v>0</v>
      </c>
      <c r="G38" s="27">
        <f>ROUND(IF(ISNA(VLOOKUP($B38,'Prior Historical'!$A$5:$U$500,COLUMNS($F38:G38)+6,FALSE)),0,+(VLOOKUP($B38,'Prior Historical'!$A$5:$U$500,COLUMNS($F38:G38)+6,FALSE)))/1000,3)</f>
        <v>0</v>
      </c>
      <c r="H38" s="27">
        <f>ROUND(IF(ISNA(VLOOKUP($B38,'Prior Historical'!$A$5:$U$500,COLUMNS($F38:H38)+6,FALSE)),0,+(VLOOKUP($B38,'Prior Historical'!$A$5:$U$500,COLUMNS($F38:H38)+6,FALSE)))/1000,3)</f>
        <v>0</v>
      </c>
      <c r="I38" s="27">
        <f>ROUND(IF(ISNA(VLOOKUP($B38,'Prior Historical'!$A$5:$U$500,COLUMNS($F38:I38)+6,FALSE)),0,+(VLOOKUP($B38,'Prior Historical'!$A$5:$U$500,COLUMNS($F38:I38)+6,FALSE)))/1000,3)</f>
        <v>0</v>
      </c>
      <c r="J38" s="27">
        <f>ROUND(IF(ISNA(VLOOKUP($B38,'Prior Historical'!$A$5:$U$500,COLUMNS($F38:J38)+6,FALSE)),0,+(VLOOKUP($B38,'Prior Historical'!$A$5:$U$500,COLUMNS($F38:J38)+6,FALSE)))/1000,3)</f>
        <v>0</v>
      </c>
      <c r="K38" s="27">
        <f>ROUND(IF(ISNA(VLOOKUP($B38,'Prior Historical'!$A$5:$U$500,COLUMNS($F38:K38)+6,FALSE)),0,+(VLOOKUP($B38,'Prior Historical'!$A$5:$U$500,COLUMNS($F38:K38)+6,FALSE)))/1000,3)</f>
        <v>0</v>
      </c>
      <c r="L38" s="27">
        <f>ROUND(IF(ISNA(VLOOKUP($B38,'Prior Historical'!$A$5:$U$500,COLUMNS($F38:L38)+6,FALSE)),0,+(VLOOKUP($B38,'Prior Historical'!$A$5:$U$500,COLUMNS($F38:L38)+6,FALSE)))/1000,3)</f>
        <v>0</v>
      </c>
      <c r="M38" s="27">
        <f>ROUND(IF(ISNA(VLOOKUP($B38,'Prior Historical'!$A$5:$U$500,COLUMNS($F38:M38)+6,FALSE)),0,+(VLOOKUP($B38,'Prior Historical'!$A$5:$U$500,COLUMNS($F38:M38)+6,FALSE)))/1000,3)</f>
        <v>0</v>
      </c>
      <c r="N38" s="27">
        <f>ROUND(IF(ISNA(VLOOKUP($B38,'Prior Historical'!$A$5:$U$500,COLUMNS($F38:N38)+6,FALSE)),0,+(VLOOKUP($B38,'Prior Historical'!$A$5:$U$500,COLUMNS($F38:N38)+6,FALSE)))/1000,3)</f>
        <v>0</v>
      </c>
      <c r="O38" s="27">
        <f>ROUND(IF(ISNA(VLOOKUP($B38,'Prior Historical'!$A$5:$U$500,COLUMNS($F38:O38)+6,FALSE)),0,+(VLOOKUP($B38,'Prior Historical'!$A$5:$U$500,COLUMNS($F38:O38)+6,FALSE)))/1000,3)</f>
        <v>0</v>
      </c>
      <c r="P38" s="27">
        <f>ROUND(IF(ISNA(VLOOKUP($B38,'Prior Historical'!$A$5:$U$500,COLUMNS($F38:P38)+6,FALSE)),0,+(VLOOKUP($B38,'Prior Historical'!$A$5:$U$500,COLUMNS($F38:P38)+6,FALSE)))/1000,3)</f>
        <v>0</v>
      </c>
      <c r="Q38" s="27">
        <f>ROUND(IF(ISNA(VLOOKUP($B38,'Prior Historical'!$A$5:$U$500,COLUMNS($F38:Q38)+6,FALSE)),0,+(VLOOKUP($B38,'Prior Historical'!$A$5:$U$500,COLUMNS($F38:Q38)+6,FALSE)))/1000,3)</f>
        <v>0</v>
      </c>
      <c r="R38" s="27">
        <f>ROUND(IF(ISNA(VLOOKUP($B38,'Prior Historical'!$A$5:$U$500,COLUMNS($F38:R38)+6,FALSE)),0,+(VLOOKUP($B38,'Prior Historical'!$A$5:$U$500,COLUMNS($F38:R38)+6,FALSE)))/1000,3)</f>
        <v>0</v>
      </c>
      <c r="S38" s="150">
        <f t="shared" si="3"/>
        <v>0</v>
      </c>
      <c r="T38" s="144" t="s">
        <v>118</v>
      </c>
    </row>
    <row r="39" spans="1:20" ht="15" customHeight="1">
      <c r="A39" s="142">
        <v>29</v>
      </c>
      <c r="B39" s="35" t="s">
        <v>412</v>
      </c>
      <c r="C39" s="14" t="s">
        <v>282</v>
      </c>
      <c r="D39" s="142"/>
      <c r="E39" s="142"/>
      <c r="F39" s="27">
        <f>ROUND(IF(ISNA(VLOOKUP($B39,'Prior Historical'!$A$5:$U$500,COLUMNS($F39:F39)+6,FALSE)),0,+(VLOOKUP($B39,'Prior Historical'!$A$5:$U$500,COLUMNS($F39:F39)+6,FALSE)))/1000,3)</f>
        <v>0</v>
      </c>
      <c r="G39" s="27">
        <f>ROUND(IF(ISNA(VLOOKUP($B39,'Prior Historical'!$A$5:$U$500,COLUMNS($F39:G39)+6,FALSE)),0,+(VLOOKUP($B39,'Prior Historical'!$A$5:$U$500,COLUMNS($F39:G39)+6,FALSE)))/1000,3)</f>
        <v>0</v>
      </c>
      <c r="H39" s="27">
        <f>ROUND(IF(ISNA(VLOOKUP($B39,'Prior Historical'!$A$5:$U$500,COLUMNS($F39:H39)+6,FALSE)),0,+(VLOOKUP($B39,'Prior Historical'!$A$5:$U$500,COLUMNS($F39:H39)+6,FALSE)))/1000,3)</f>
        <v>0</v>
      </c>
      <c r="I39" s="27">
        <f>ROUND(IF(ISNA(VLOOKUP($B39,'Prior Historical'!$A$5:$U$500,COLUMNS($F39:I39)+6,FALSE)),0,+(VLOOKUP($B39,'Prior Historical'!$A$5:$U$500,COLUMNS($F39:I39)+6,FALSE)))/1000,3)</f>
        <v>0</v>
      </c>
      <c r="J39" s="27">
        <f>ROUND(IF(ISNA(VLOOKUP($B39,'Prior Historical'!$A$5:$U$500,COLUMNS($F39:J39)+6,FALSE)),0,+(VLOOKUP($B39,'Prior Historical'!$A$5:$U$500,COLUMNS($F39:J39)+6,FALSE)))/1000,3)</f>
        <v>0</v>
      </c>
      <c r="K39" s="27">
        <f>ROUND(IF(ISNA(VLOOKUP($B39,'Prior Historical'!$A$5:$U$500,COLUMNS($F39:K39)+6,FALSE)),0,+(VLOOKUP($B39,'Prior Historical'!$A$5:$U$500,COLUMNS($F39:K39)+6,FALSE)))/1000,3)</f>
        <v>0</v>
      </c>
      <c r="L39" s="27">
        <f>ROUND(IF(ISNA(VLOOKUP($B39,'Prior Historical'!$A$5:$U$500,COLUMNS($F39:L39)+6,FALSE)),0,+(VLOOKUP($B39,'Prior Historical'!$A$5:$U$500,COLUMNS($F39:L39)+6,FALSE)))/1000,3)</f>
        <v>0</v>
      </c>
      <c r="M39" s="27">
        <f>ROUND(IF(ISNA(VLOOKUP($B39,'Prior Historical'!$A$5:$U$500,COLUMNS($F39:M39)+6,FALSE)),0,+(VLOOKUP($B39,'Prior Historical'!$A$5:$U$500,COLUMNS($F39:M39)+6,FALSE)))/1000,3)</f>
        <v>0</v>
      </c>
      <c r="N39" s="27">
        <f>ROUND(IF(ISNA(VLOOKUP($B39,'Prior Historical'!$A$5:$U$500,COLUMNS($F39:N39)+6,FALSE)),0,+(VLOOKUP($B39,'Prior Historical'!$A$5:$U$500,COLUMNS($F39:N39)+6,FALSE)))/1000,3)</f>
        <v>0</v>
      </c>
      <c r="O39" s="27">
        <f>ROUND(IF(ISNA(VLOOKUP($B39,'Prior Historical'!$A$5:$U$500,COLUMNS($F39:O39)+6,FALSE)),0,+(VLOOKUP($B39,'Prior Historical'!$A$5:$U$500,COLUMNS($F39:O39)+6,FALSE)))/1000,3)</f>
        <v>0</v>
      </c>
      <c r="P39" s="27">
        <f>ROUND(IF(ISNA(VLOOKUP($B39,'Prior Historical'!$A$5:$U$500,COLUMNS($F39:P39)+6,FALSE)),0,+(VLOOKUP($B39,'Prior Historical'!$A$5:$U$500,COLUMNS($F39:P39)+6,FALSE)))/1000,3)</f>
        <v>0</v>
      </c>
      <c r="Q39" s="27">
        <f>ROUND(IF(ISNA(VLOOKUP($B39,'Prior Historical'!$A$5:$U$500,COLUMNS($F39:Q39)+6,FALSE)),0,+(VLOOKUP($B39,'Prior Historical'!$A$5:$U$500,COLUMNS($F39:Q39)+6,FALSE)))/1000,3)</f>
        <v>0</v>
      </c>
      <c r="R39" s="27">
        <f>ROUND(IF(ISNA(VLOOKUP($B39,'Prior Historical'!$A$5:$U$500,COLUMNS($F39:R39)+6,FALSE)),0,+(VLOOKUP($B39,'Prior Historical'!$A$5:$U$500,COLUMNS($F39:R39)+6,FALSE)))/1000,3)</f>
        <v>0</v>
      </c>
      <c r="S39" s="150">
        <f t="shared" si="3"/>
        <v>0</v>
      </c>
      <c r="T39" s="144" t="s">
        <v>118</v>
      </c>
    </row>
    <row r="40" spans="1:20" ht="15" customHeight="1">
      <c r="A40" s="142">
        <v>30</v>
      </c>
      <c r="B40" s="35" t="s">
        <v>413</v>
      </c>
      <c r="C40" s="14" t="s">
        <v>283</v>
      </c>
      <c r="D40" s="142"/>
      <c r="E40" s="142"/>
      <c r="F40" s="152">
        <f>ROUND(VLOOKUP($B40,'Prior Historical'!$A$5:$U$500,COLUMNS($F40:F40)+6,FALSE)/1000,3)</f>
        <v>18339.831999999999</v>
      </c>
      <c r="G40" s="152">
        <f>ROUND(VLOOKUP($B40,'Prior Historical'!$A$5:$U$500,COLUMNS($F40:G40)+6,FALSE)/1000,3)</f>
        <v>16999.681</v>
      </c>
      <c r="H40" s="152">
        <f>ROUND(VLOOKUP($B40,'Prior Historical'!$A$5:$U$500,COLUMNS($F40:H40)+6,FALSE)/1000,3)</f>
        <v>15459.526</v>
      </c>
      <c r="I40" s="152">
        <f>ROUND(VLOOKUP($B40,'Prior Historical'!$A$5:$U$500,COLUMNS($F40:I40)+6,FALSE)/1000,3)</f>
        <v>15670.555</v>
      </c>
      <c r="J40" s="152">
        <f>ROUND(VLOOKUP($B40,'Prior Historical'!$A$5:$U$500,COLUMNS($F40:J40)+6,FALSE)/1000,3)</f>
        <v>11691.308000000001</v>
      </c>
      <c r="K40" s="152">
        <f>ROUND(VLOOKUP($B40,'Prior Historical'!$A$5:$U$500,COLUMNS($F40:K40)+6,FALSE)/1000,3)</f>
        <v>11270.451999999999</v>
      </c>
      <c r="L40" s="152">
        <f>ROUND(VLOOKUP($B40,'Prior Historical'!$A$5:$U$500,COLUMNS($F40:L40)+6,FALSE)/1000,3)</f>
        <v>19658.399000000001</v>
      </c>
      <c r="M40" s="152">
        <f>ROUND(VLOOKUP($B40,'Prior Historical'!$A$5:$U$500,COLUMNS($F40:M40)+6,FALSE)/1000,3)</f>
        <v>28916.165000000001</v>
      </c>
      <c r="N40" s="152">
        <f>ROUND(VLOOKUP($B40,'Prior Historical'!$A$5:$U$500,COLUMNS($F40:N40)+6,FALSE)/1000,3)</f>
        <v>27208.455999999998</v>
      </c>
      <c r="O40" s="152">
        <f>ROUND(VLOOKUP($B40,'Prior Historical'!$A$5:$U$500,COLUMNS($F40:O40)+6,FALSE)/1000,3)</f>
        <v>27644.16</v>
      </c>
      <c r="P40" s="152">
        <f>ROUND(VLOOKUP($B40,'Prior Historical'!$A$5:$U$500,COLUMNS($F40:P40)+6,FALSE)/1000,3)</f>
        <v>22114.112000000001</v>
      </c>
      <c r="Q40" s="152">
        <f>ROUND(VLOOKUP($B40,'Prior Historical'!$A$5:$U$500,COLUMNS($F40:Q40)+6,FALSE)/1000,3)</f>
        <v>22927.307000000001</v>
      </c>
      <c r="R40" s="152">
        <f>ROUND(VLOOKUP($B40,'Prior Historical'!$A$5:$U$500,COLUMNS($F40:R40)+6,FALSE)/1000,3)</f>
        <v>26186.39</v>
      </c>
      <c r="S40" s="150">
        <f t="shared" si="3"/>
        <v>20314.334076923078</v>
      </c>
      <c r="T40" s="144" t="s">
        <v>118</v>
      </c>
    </row>
    <row r="41" spans="1:20" ht="15" customHeight="1">
      <c r="A41" s="142">
        <v>31</v>
      </c>
      <c r="B41" s="35" t="s">
        <v>414</v>
      </c>
      <c r="C41" s="14" t="s">
        <v>284</v>
      </c>
      <c r="D41" s="142"/>
      <c r="E41" s="142"/>
      <c r="F41" s="27">
        <f>ROUND(IF(ISNA(VLOOKUP($B41,'Prior Historical'!$A$5:$U$500,COLUMNS($F41:F41)+6,FALSE)),0,+(VLOOKUP($B41,'Prior Historical'!$A$5:$U$500,COLUMNS($F41:F41)+6,FALSE)))/1000,3)</f>
        <v>0</v>
      </c>
      <c r="G41" s="27">
        <f>ROUND(IF(ISNA(VLOOKUP($B41,'Prior Historical'!$A$5:$U$500,COLUMNS($F41:G41)+6,FALSE)),0,+(VLOOKUP($B41,'Prior Historical'!$A$5:$U$500,COLUMNS($F41:G41)+6,FALSE)))/1000,3)</f>
        <v>0</v>
      </c>
      <c r="H41" s="27">
        <f>ROUND(IF(ISNA(VLOOKUP($B41,'Prior Historical'!$A$5:$U$500,COLUMNS($F41:H41)+6,FALSE)),0,+(VLOOKUP($B41,'Prior Historical'!$A$5:$U$500,COLUMNS($F41:H41)+6,FALSE)))/1000,3)</f>
        <v>0</v>
      </c>
      <c r="I41" s="27">
        <f>ROUND(IF(ISNA(VLOOKUP($B41,'Prior Historical'!$A$5:$U$500,COLUMNS($F41:I41)+6,FALSE)),0,+(VLOOKUP($B41,'Prior Historical'!$A$5:$U$500,COLUMNS($F41:I41)+6,FALSE)))/1000,3)</f>
        <v>0</v>
      </c>
      <c r="J41" s="27">
        <f>ROUND(IF(ISNA(VLOOKUP($B41,'Prior Historical'!$A$5:$U$500,COLUMNS($F41:J41)+6,FALSE)),0,+(VLOOKUP($B41,'Prior Historical'!$A$5:$U$500,COLUMNS($F41:J41)+6,FALSE)))/1000,3)</f>
        <v>0</v>
      </c>
      <c r="K41" s="27">
        <f>ROUND(IF(ISNA(VLOOKUP($B41,'Prior Historical'!$A$5:$U$500,COLUMNS($F41:K41)+6,FALSE)),0,+(VLOOKUP($B41,'Prior Historical'!$A$5:$U$500,COLUMNS($F41:K41)+6,FALSE)))/1000,3)</f>
        <v>0</v>
      </c>
      <c r="L41" s="27">
        <f>ROUND(IF(ISNA(VLOOKUP($B41,'Prior Historical'!$A$5:$U$500,COLUMNS($F41:L41)+6,FALSE)),0,+(VLOOKUP($B41,'Prior Historical'!$A$5:$U$500,COLUMNS($F41:L41)+6,FALSE)))/1000,3)</f>
        <v>0</v>
      </c>
      <c r="M41" s="27">
        <f>ROUND(IF(ISNA(VLOOKUP($B41,'Prior Historical'!$A$5:$U$500,COLUMNS($F41:M41)+6,FALSE)),0,+(VLOOKUP($B41,'Prior Historical'!$A$5:$U$500,COLUMNS($F41:M41)+6,FALSE)))/1000,3)</f>
        <v>0</v>
      </c>
      <c r="N41" s="27">
        <f>ROUND(IF(ISNA(VLOOKUP($B41,'Prior Historical'!$A$5:$U$500,COLUMNS($F41:N41)+6,FALSE)),0,+(VLOOKUP($B41,'Prior Historical'!$A$5:$U$500,COLUMNS($F41:N41)+6,FALSE)))/1000,3)</f>
        <v>0</v>
      </c>
      <c r="O41" s="27">
        <f>ROUND(IF(ISNA(VLOOKUP($B41,'Prior Historical'!$A$5:$U$500,COLUMNS($F41:O41)+6,FALSE)),0,+(VLOOKUP($B41,'Prior Historical'!$A$5:$U$500,COLUMNS($F41:O41)+6,FALSE)))/1000,3)</f>
        <v>0</v>
      </c>
      <c r="P41" s="27">
        <f>ROUND(IF(ISNA(VLOOKUP($B41,'Prior Historical'!$A$5:$U$500,COLUMNS($F41:P41)+6,FALSE)),0,+(VLOOKUP($B41,'Prior Historical'!$A$5:$U$500,COLUMNS($F41:P41)+6,FALSE)))/1000,3)</f>
        <v>0</v>
      </c>
      <c r="Q41" s="27">
        <f>ROUND(IF(ISNA(VLOOKUP($B41,'Prior Historical'!$A$5:$U$500,COLUMNS($F41:Q41)+6,FALSE)),0,+(VLOOKUP($B41,'Prior Historical'!$A$5:$U$500,COLUMNS($F41:Q41)+6,FALSE)))/1000,3)</f>
        <v>0</v>
      </c>
      <c r="R41" s="27">
        <f>ROUND(IF(ISNA(VLOOKUP($B41,'Prior Historical'!$A$5:$U$500,COLUMNS($F41:R41)+6,FALSE)),0,+(VLOOKUP($B41,'Prior Historical'!$A$5:$U$500,COLUMNS($F41:R41)+6,FALSE)))/1000,3)</f>
        <v>0</v>
      </c>
      <c r="S41" s="150">
        <f t="shared" si="3"/>
        <v>0</v>
      </c>
      <c r="T41" s="144" t="s">
        <v>118</v>
      </c>
    </row>
    <row r="42" spans="1:20" ht="15" customHeight="1">
      <c r="A42" s="142">
        <v>32</v>
      </c>
      <c r="B42" s="35" t="s">
        <v>415</v>
      </c>
      <c r="C42" s="14" t="s">
        <v>285</v>
      </c>
      <c r="D42" s="142"/>
      <c r="E42" s="142"/>
      <c r="F42" s="152">
        <f>ROUND(VLOOKUP($B42,'Prior Historical'!$A$5:$U$500,COLUMNS($F42:F42)+6,FALSE)/1000,3)</f>
        <v>56590.957000000002</v>
      </c>
      <c r="G42" s="152">
        <f>ROUND(VLOOKUP($B42,'Prior Historical'!$A$5:$U$500,COLUMNS($F42:G42)+6,FALSE)/1000,3)</f>
        <v>61266.28</v>
      </c>
      <c r="H42" s="152">
        <f>ROUND(VLOOKUP($B42,'Prior Historical'!$A$5:$U$500,COLUMNS($F42:H42)+6,FALSE)/1000,3)</f>
        <v>55925.421999999999</v>
      </c>
      <c r="I42" s="152">
        <f>ROUND(VLOOKUP($B42,'Prior Historical'!$A$5:$U$500,COLUMNS($F42:I42)+6,FALSE)/1000,3)</f>
        <v>61972.027999999998</v>
      </c>
      <c r="J42" s="152">
        <f>ROUND(VLOOKUP($B42,'Prior Historical'!$A$5:$U$500,COLUMNS($F42:J42)+6,FALSE)/1000,3)</f>
        <v>66148.592999999993</v>
      </c>
      <c r="K42" s="152">
        <f>ROUND(VLOOKUP($B42,'Prior Historical'!$A$5:$U$500,COLUMNS($F42:K42)+6,FALSE)/1000,3)</f>
        <v>78326.384999999995</v>
      </c>
      <c r="L42" s="152">
        <f>ROUND(VLOOKUP($B42,'Prior Historical'!$A$5:$U$500,COLUMNS($F42:L42)+6,FALSE)/1000,3)</f>
        <v>81490.054000000004</v>
      </c>
      <c r="M42" s="152">
        <f>ROUND(VLOOKUP($B42,'Prior Historical'!$A$5:$U$500,COLUMNS($F42:M42)+6,FALSE)/1000,3)</f>
        <v>84671.331999999995</v>
      </c>
      <c r="N42" s="152">
        <f>ROUND(VLOOKUP($B42,'Prior Historical'!$A$5:$U$500,COLUMNS($F42:N42)+6,FALSE)/1000,3)</f>
        <v>86858.483999999997</v>
      </c>
      <c r="O42" s="152">
        <f>ROUND(VLOOKUP($B42,'Prior Historical'!$A$5:$U$500,COLUMNS($F42:O42)+6,FALSE)/1000,3)</f>
        <v>69897.197</v>
      </c>
      <c r="P42" s="152">
        <f>ROUND(VLOOKUP($B42,'Prior Historical'!$A$5:$U$500,COLUMNS($F42:P42)+6,FALSE)/1000,3)</f>
        <v>69145.222999999998</v>
      </c>
      <c r="Q42" s="152">
        <f>ROUND(VLOOKUP($B42,'Prior Historical'!$A$5:$U$500,COLUMNS($F42:Q42)+6,FALSE)/1000,3)</f>
        <v>65904.017000000007</v>
      </c>
      <c r="R42" s="152">
        <f>ROUND(VLOOKUP($B42,'Prior Historical'!$A$5:$U$500,COLUMNS($F42:R42)+6,FALSE)/1000,3)</f>
        <v>65330.194000000003</v>
      </c>
      <c r="S42" s="150">
        <f t="shared" si="3"/>
        <v>69502.012769230772</v>
      </c>
      <c r="T42" s="144" t="s">
        <v>118</v>
      </c>
    </row>
    <row r="43" spans="1:20" ht="15" customHeight="1">
      <c r="A43" s="142">
        <v>33</v>
      </c>
      <c r="B43" s="35" t="s">
        <v>416</v>
      </c>
      <c r="C43" s="14" t="s">
        <v>286</v>
      </c>
      <c r="D43" s="142"/>
      <c r="E43" s="142"/>
      <c r="F43" s="32">
        <f>ROUND(IF(ISNA(VLOOKUP($B43,'Prior Historical'!$A$5:$U$500,COLUMNS($F43:F43)+6,FALSE)),0,+(VLOOKUP($B43,'Prior Historical'!$A$5:$U$500,COLUMNS($F43:F43)+6,FALSE)))/1000,3)</f>
        <v>190.881</v>
      </c>
      <c r="G43" s="32">
        <f>ROUND(IF(ISNA(VLOOKUP($B43,'Prior Historical'!$A$5:$U$500,COLUMNS($F43:G43)+6,FALSE)),0,+(VLOOKUP($B43,'Prior Historical'!$A$5:$U$500,COLUMNS($F43:G43)+6,FALSE)))/1000,3)</f>
        <v>984.81299999999999</v>
      </c>
      <c r="H43" s="32">
        <f>ROUND(IF(ISNA(VLOOKUP($B43,'Prior Historical'!$A$5:$U$500,COLUMNS($F43:H43)+6,FALSE)),0,+(VLOOKUP($B43,'Prior Historical'!$A$5:$U$500,COLUMNS($F43:H43)+6,FALSE)))/1000,3)</f>
        <v>499.28300000000002</v>
      </c>
      <c r="I43" s="32">
        <f>ROUND(IF(ISNA(VLOOKUP($B43,'Prior Historical'!$A$5:$U$500,COLUMNS($F43:I43)+6,FALSE)),0,+(VLOOKUP($B43,'Prior Historical'!$A$5:$U$500,COLUMNS($F43:I43)+6,FALSE)))/1000,3)</f>
        <v>1757.443</v>
      </c>
      <c r="J43" s="32">
        <f>ROUND(IF(ISNA(VLOOKUP($B43,'Prior Historical'!$A$5:$U$500,COLUMNS($F43:J43)+6,FALSE)),0,+(VLOOKUP($B43,'Prior Historical'!$A$5:$U$500,COLUMNS($F43:J43)+6,FALSE)))/1000,3)</f>
        <v>2838.8420000000001</v>
      </c>
      <c r="K43" s="32">
        <f>ROUND(IF(ISNA(VLOOKUP($B43,'Prior Historical'!$A$5:$U$500,COLUMNS($F43:K43)+6,FALSE)),0,+(VLOOKUP($B43,'Prior Historical'!$A$5:$U$500,COLUMNS($F43:K43)+6,FALSE)))/1000,3)</f>
        <v>3670.2750000000001</v>
      </c>
      <c r="L43" s="32">
        <f>ROUND(IF(ISNA(VLOOKUP($B43,'Prior Historical'!$A$5:$U$500,COLUMNS($F43:L43)+6,FALSE)),0,+(VLOOKUP($B43,'Prior Historical'!$A$5:$U$500,COLUMNS($F43:L43)+6,FALSE)))/1000,3)</f>
        <v>1896.607</v>
      </c>
      <c r="M43" s="32">
        <f>ROUND(IF(ISNA(VLOOKUP($B43,'Prior Historical'!$A$5:$U$500,COLUMNS($F43:M43)+6,FALSE)),0,+(VLOOKUP($B43,'Prior Historical'!$A$5:$U$500,COLUMNS($F43:M43)+6,FALSE)))/1000,3)</f>
        <v>3632.2629999999999</v>
      </c>
      <c r="N43" s="32">
        <f>ROUND(IF(ISNA(VLOOKUP($B43,'Prior Historical'!$A$5:$U$500,COLUMNS($F43:N43)+6,FALSE)),0,+(VLOOKUP($B43,'Prior Historical'!$A$5:$U$500,COLUMNS($F43:N43)+6,FALSE)))/1000,3)</f>
        <v>4213.18</v>
      </c>
      <c r="O43" s="32">
        <f>ROUND(IF(ISNA(VLOOKUP($B43,'Prior Historical'!$A$5:$U$500,COLUMNS($F43:O43)+6,FALSE)),0,+(VLOOKUP($B43,'Prior Historical'!$A$5:$U$500,COLUMNS($F43:O43)+6,FALSE)))/1000,3)</f>
        <v>4375.826</v>
      </c>
      <c r="P43" s="32">
        <f>ROUND(IF(ISNA(VLOOKUP($B43,'Prior Historical'!$A$5:$U$500,COLUMNS($F43:P43)+6,FALSE)),0,+(VLOOKUP($B43,'Prior Historical'!$A$5:$U$500,COLUMNS($F43:P43)+6,FALSE)))/1000,3)</f>
        <v>773.13400000000001</v>
      </c>
      <c r="Q43" s="32">
        <f>ROUND(IF(ISNA(VLOOKUP($B43,'Prior Historical'!$A$5:$U$500,COLUMNS($F43:Q43)+6,FALSE)),0,+(VLOOKUP($B43,'Prior Historical'!$A$5:$U$500,COLUMNS($F43:Q43)+6,FALSE)))/1000,3)</f>
        <v>2454.5520000000001</v>
      </c>
      <c r="R43" s="32">
        <f>ROUND(IF(ISNA(VLOOKUP($B43,'Prior Historical'!$A$5:$U$500,COLUMNS($F43:R43)+6,FALSE)),0,+(VLOOKUP($B43,'Prior Historical'!$A$5:$U$500,COLUMNS($F43:R43)+6,FALSE)))/1000,3)</f>
        <v>4525</v>
      </c>
      <c r="S43" s="155">
        <f t="shared" si="3"/>
        <v>2447.0845384615382</v>
      </c>
      <c r="T43" s="144" t="s">
        <v>118</v>
      </c>
    </row>
    <row r="44" spans="1:20" ht="15" customHeight="1">
      <c r="A44" s="142">
        <v>34</v>
      </c>
      <c r="B44" s="35"/>
      <c r="C44" s="14"/>
      <c r="D44" s="142" t="s">
        <v>396</v>
      </c>
      <c r="E44" s="142"/>
      <c r="F44" s="27">
        <f t="shared" ref="F44:S44" si="4">SUM(F25:F43)</f>
        <v>383728.13199999998</v>
      </c>
      <c r="G44" s="27">
        <f t="shared" si="4"/>
        <v>405145.33399999997</v>
      </c>
      <c r="H44" s="27">
        <f t="shared" si="4"/>
        <v>392914.64500000002</v>
      </c>
      <c r="I44" s="27">
        <f t="shared" si="4"/>
        <v>385332.53600000002</v>
      </c>
      <c r="J44" s="27">
        <f t="shared" si="4"/>
        <v>401646.20500000007</v>
      </c>
      <c r="K44" s="27">
        <f t="shared" si="4"/>
        <v>454009.62400000001</v>
      </c>
      <c r="L44" s="27">
        <f t="shared" si="4"/>
        <v>475763.652</v>
      </c>
      <c r="M44" s="27">
        <f t="shared" si="4"/>
        <v>598573.17799999996</v>
      </c>
      <c r="N44" s="27">
        <f t="shared" si="4"/>
        <v>612141.78700000013</v>
      </c>
      <c r="O44" s="27">
        <f t="shared" si="4"/>
        <v>583059.18599999999</v>
      </c>
      <c r="P44" s="27">
        <f t="shared" si="4"/>
        <v>477180.58000000007</v>
      </c>
      <c r="Q44" s="27">
        <f t="shared" si="4"/>
        <v>469969.31200000003</v>
      </c>
      <c r="R44" s="27">
        <f t="shared" si="4"/>
        <v>486520.696</v>
      </c>
      <c r="S44" s="27">
        <f t="shared" si="4"/>
        <v>471229.60515384621</v>
      </c>
      <c r="T44" s="27"/>
    </row>
    <row r="45" spans="1:20" ht="15" customHeight="1">
      <c r="A45" s="142">
        <v>35</v>
      </c>
      <c r="B45" s="35"/>
      <c r="C45" s="14"/>
      <c r="D45" s="142"/>
      <c r="E45" s="142"/>
      <c r="F45" s="27"/>
      <c r="G45" s="27"/>
      <c r="H45" s="27"/>
      <c r="I45" s="27"/>
      <c r="J45" s="27"/>
      <c r="K45" s="27"/>
      <c r="L45" s="27"/>
      <c r="M45" s="27"/>
      <c r="N45" s="27"/>
      <c r="O45" s="27"/>
      <c r="P45" s="27"/>
      <c r="Q45" s="27"/>
      <c r="R45" s="27"/>
      <c r="S45" s="27"/>
      <c r="T45" s="27"/>
    </row>
    <row r="46" spans="1:20" ht="15" customHeight="1">
      <c r="A46" s="142">
        <v>36</v>
      </c>
      <c r="B46" s="142"/>
      <c r="C46" s="142"/>
      <c r="D46" s="142"/>
      <c r="E46" s="142"/>
      <c r="F46" s="142"/>
      <c r="G46" s="142"/>
      <c r="H46" s="142"/>
      <c r="I46" s="142"/>
      <c r="J46" s="142"/>
      <c r="K46" s="142"/>
      <c r="L46" s="142"/>
      <c r="M46" s="142"/>
      <c r="N46" s="142"/>
      <c r="O46" s="142"/>
      <c r="P46" s="142"/>
      <c r="Q46" s="142"/>
      <c r="R46" s="142"/>
      <c r="S46" s="142"/>
      <c r="T46" s="142"/>
    </row>
    <row r="47" spans="1:20" ht="15" customHeight="1">
      <c r="A47" s="142">
        <v>37</v>
      </c>
      <c r="B47" s="142"/>
      <c r="C47" s="142"/>
      <c r="D47" s="142"/>
      <c r="E47" s="142"/>
      <c r="F47" s="142"/>
      <c r="G47" s="142"/>
      <c r="H47" s="142"/>
      <c r="I47" s="142"/>
      <c r="J47" s="142"/>
      <c r="K47" s="142"/>
      <c r="L47" s="142"/>
      <c r="M47" s="142"/>
      <c r="N47" s="142"/>
      <c r="O47" s="142"/>
      <c r="P47" s="142"/>
      <c r="Q47" s="142"/>
      <c r="R47" s="142"/>
      <c r="S47" s="142"/>
      <c r="T47" s="142"/>
    </row>
    <row r="48" spans="1:20" ht="15" customHeight="1">
      <c r="A48" s="142">
        <v>38</v>
      </c>
      <c r="B48" s="142"/>
      <c r="C48" s="142"/>
      <c r="D48" s="142"/>
      <c r="E48" s="142"/>
      <c r="F48" s="142"/>
      <c r="G48" s="142"/>
      <c r="H48" s="142"/>
      <c r="I48" s="142"/>
      <c r="J48" s="142"/>
      <c r="K48" s="142"/>
      <c r="L48" s="142"/>
      <c r="M48" s="142"/>
      <c r="N48" s="142"/>
      <c r="O48" s="142"/>
      <c r="P48" s="142"/>
      <c r="Q48" s="142"/>
      <c r="R48" s="142"/>
      <c r="S48" s="142"/>
      <c r="T48" s="142"/>
    </row>
    <row r="49" spans="1:20" ht="15" customHeight="1">
      <c r="A49" s="142">
        <v>39</v>
      </c>
      <c r="B49" s="142"/>
      <c r="C49" s="142"/>
      <c r="D49" s="142"/>
      <c r="E49" s="142"/>
      <c r="F49" s="142"/>
      <c r="G49" s="142"/>
      <c r="H49" s="142"/>
      <c r="I49" s="142"/>
      <c r="J49" s="142"/>
      <c r="K49" s="142"/>
      <c r="L49" s="142"/>
      <c r="M49" s="142"/>
      <c r="N49" s="142"/>
      <c r="O49" s="142"/>
      <c r="P49" s="142"/>
      <c r="Q49" s="142"/>
      <c r="R49" s="142"/>
      <c r="S49" s="142"/>
      <c r="T49" s="142"/>
    </row>
    <row r="50" spans="1:20" ht="15" customHeight="1">
      <c r="A50" s="142">
        <v>40</v>
      </c>
      <c r="B50" s="142"/>
      <c r="C50" s="142"/>
      <c r="D50" s="142"/>
      <c r="E50" s="142"/>
      <c r="F50" s="142"/>
      <c r="G50" s="142"/>
      <c r="H50" s="142"/>
      <c r="I50" s="142"/>
      <c r="J50" s="142"/>
      <c r="K50" s="142"/>
      <c r="L50" s="142"/>
      <c r="M50" s="142"/>
      <c r="N50" s="142"/>
      <c r="O50" s="142"/>
      <c r="P50" s="142"/>
      <c r="Q50" s="142"/>
      <c r="R50" s="142"/>
      <c r="S50" s="156"/>
      <c r="T50" s="142"/>
    </row>
    <row r="51" spans="1:20" ht="15" customHeight="1">
      <c r="A51" s="142">
        <v>41</v>
      </c>
      <c r="B51" s="142"/>
      <c r="C51" s="142"/>
      <c r="D51" s="142"/>
      <c r="E51" s="142"/>
      <c r="F51" s="142"/>
      <c r="G51" s="142"/>
      <c r="H51" s="142"/>
      <c r="I51" s="142"/>
      <c r="J51" s="142"/>
      <c r="K51" s="142"/>
      <c r="L51" s="142"/>
      <c r="M51" s="142"/>
      <c r="N51" s="142"/>
      <c r="O51" s="142"/>
      <c r="P51" s="142"/>
      <c r="Q51" s="142"/>
      <c r="R51" s="142"/>
      <c r="S51" s="142"/>
      <c r="T51" s="142"/>
    </row>
    <row r="52" spans="1:20" ht="15" customHeight="1">
      <c r="A52" s="4">
        <v>42</v>
      </c>
      <c r="B52" s="142" t="s">
        <v>417</v>
      </c>
      <c r="C52" s="4"/>
      <c r="D52" s="4"/>
      <c r="E52" s="4"/>
      <c r="F52" s="37"/>
      <c r="G52" s="37"/>
      <c r="H52" s="37"/>
      <c r="I52" s="37"/>
      <c r="J52" s="37"/>
      <c r="K52" s="37"/>
      <c r="L52" s="37"/>
      <c r="M52" s="37"/>
      <c r="N52" s="37"/>
      <c r="O52" s="37"/>
      <c r="P52" s="37"/>
      <c r="Q52" s="37"/>
    </row>
    <row r="53" spans="1:20" ht="15" customHeight="1" thickBot="1">
      <c r="A53" s="1">
        <v>43</v>
      </c>
      <c r="B53" s="145" t="s">
        <v>67</v>
      </c>
      <c r="C53" s="1"/>
      <c r="D53" s="1"/>
      <c r="E53" s="1"/>
      <c r="F53" s="1"/>
      <c r="G53" s="1"/>
      <c r="H53" s="1"/>
      <c r="I53" s="1"/>
      <c r="J53" s="1"/>
      <c r="K53" s="1"/>
      <c r="L53" s="1"/>
      <c r="M53" s="1"/>
      <c r="N53" s="1"/>
      <c r="O53" s="1"/>
      <c r="P53" s="1"/>
      <c r="Q53" s="1"/>
      <c r="R53" s="1"/>
      <c r="S53" s="1"/>
      <c r="T53" s="100"/>
    </row>
    <row r="54" spans="1:20" ht="15" customHeight="1">
      <c r="A54" s="5" t="s">
        <v>180</v>
      </c>
      <c r="B54" s="5"/>
      <c r="C54" s="5"/>
      <c r="D54" s="5"/>
      <c r="E54" s="5"/>
      <c r="F54" s="5"/>
      <c r="G54" s="5"/>
      <c r="H54" s="5"/>
      <c r="I54" s="5"/>
      <c r="J54" s="5"/>
      <c r="K54" s="5"/>
      <c r="L54" s="5"/>
      <c r="M54" s="5"/>
      <c r="N54" s="5"/>
      <c r="O54" s="5"/>
      <c r="P54" s="5"/>
      <c r="Q54" s="5"/>
      <c r="R54" s="5" t="s">
        <v>181</v>
      </c>
      <c r="S54" s="5"/>
      <c r="T54" s="5"/>
    </row>
    <row r="55" spans="1:20" ht="15" customHeight="1" thickBot="1">
      <c r="A55" s="574" t="s">
        <v>340</v>
      </c>
      <c r="B55" s="574"/>
      <c r="C55" s="574"/>
      <c r="D55" s="574"/>
      <c r="E55" s="574"/>
      <c r="F55" s="574"/>
      <c r="G55" s="574"/>
      <c r="H55" s="574"/>
      <c r="I55" s="574" t="str">
        <f>+$I$1</f>
        <v>13 MONTH AVERAGE BALANCE SHEET - SYSTEM BASIS</v>
      </c>
      <c r="J55" s="574"/>
      <c r="K55" s="574"/>
      <c r="L55" s="574"/>
      <c r="M55" s="574"/>
      <c r="N55" s="574"/>
      <c r="O55" s="574"/>
      <c r="P55" s="574"/>
      <c r="Q55" s="574"/>
      <c r="R55" s="574"/>
      <c r="S55" s="574"/>
      <c r="T55" s="575" t="s">
        <v>70</v>
      </c>
    </row>
    <row r="56" spans="1:20" ht="15" customHeight="1">
      <c r="A56" s="4" t="s">
        <v>4</v>
      </c>
      <c r="B56" s="4"/>
      <c r="C56" s="4"/>
      <c r="D56" s="4"/>
      <c r="E56" s="4"/>
      <c r="F56" s="4" t="s">
        <v>343</v>
      </c>
      <c r="G56" s="4" t="str">
        <f>+$G$2</f>
        <v>Derive the 13-month average system balance sheet by primary account by month for the test year, the prior year</v>
      </c>
      <c r="H56" s="5"/>
      <c r="I56" s="5"/>
      <c r="J56" s="6"/>
      <c r="K56" s="6"/>
      <c r="L56" s="4"/>
      <c r="M56" s="6"/>
      <c r="N56" s="6"/>
      <c r="O56" s="6"/>
      <c r="P56" s="6"/>
      <c r="Q56" s="6" t="s">
        <v>7</v>
      </c>
      <c r="R56" s="4"/>
      <c r="S56" s="4"/>
      <c r="T56" s="7"/>
    </row>
    <row r="57" spans="1:20" ht="15" customHeight="1">
      <c r="A57" s="4"/>
      <c r="B57" s="4"/>
      <c r="C57" s="4"/>
      <c r="D57" s="4"/>
      <c r="E57" s="4"/>
      <c r="F57" s="4"/>
      <c r="G57" s="4" t="str">
        <f>+$G$3</f>
        <v>and the most recent historical year.  For accounts including non-electric utility amounts, show these</v>
      </c>
      <c r="H57" s="5"/>
      <c r="I57" s="5"/>
      <c r="J57" s="9"/>
      <c r="K57" s="7"/>
      <c r="L57" s="4"/>
      <c r="M57" s="4"/>
      <c r="N57" s="4"/>
      <c r="O57" s="4"/>
      <c r="P57" s="9"/>
      <c r="Q57" s="9"/>
      <c r="R57" s="7" t="str">
        <f>+$R$3</f>
        <v xml:space="preserve">Projected Test Year Ended </v>
      </c>
      <c r="S57" s="4"/>
      <c r="T57" s="9"/>
    </row>
    <row r="58" spans="1:20" ht="15" customHeight="1">
      <c r="A58" s="4" t="s">
        <v>10</v>
      </c>
      <c r="B58" s="4"/>
      <c r="C58" s="4"/>
      <c r="D58" s="4"/>
      <c r="E58" s="4"/>
      <c r="F58" s="4"/>
      <c r="G58" s="4" t="str">
        <f>+$G$4</f>
        <v>amounts as a separate sub-account.</v>
      </c>
      <c r="H58" s="4"/>
      <c r="I58" s="4"/>
      <c r="J58" s="9"/>
      <c r="K58" s="7"/>
      <c r="L58" s="9"/>
      <c r="M58" s="4"/>
      <c r="N58" s="4"/>
      <c r="O58" s="4"/>
      <c r="P58" s="4"/>
      <c r="Q58" s="9"/>
      <c r="R58" s="7" t="str">
        <f>+$R$4</f>
        <v xml:space="preserve">Projected Prior Year Ended </v>
      </c>
      <c r="S58" s="4"/>
      <c r="T58" s="9"/>
    </row>
    <row r="59" spans="1:20" ht="15" customHeight="1">
      <c r="A59" s="4"/>
      <c r="B59" s="4"/>
      <c r="C59" s="4"/>
      <c r="D59" s="4"/>
      <c r="E59" s="4"/>
      <c r="F59" s="4"/>
      <c r="G59" s="4"/>
      <c r="H59" s="4"/>
      <c r="I59" s="4"/>
      <c r="J59" s="9"/>
      <c r="K59" s="7"/>
      <c r="L59" s="9"/>
      <c r="M59" s="4"/>
      <c r="N59" s="4"/>
      <c r="O59" s="4"/>
      <c r="P59" s="4"/>
      <c r="Q59" s="9"/>
      <c r="R59" s="7" t="str">
        <f>+$R$5</f>
        <v xml:space="preserve">Historical Prior Year Ended </v>
      </c>
      <c r="S59" s="4"/>
      <c r="T59" s="9"/>
    </row>
    <row r="60" spans="1:20" ht="15" customHeight="1" thickBot="1">
      <c r="A60" s="2" t="s">
        <v>517</v>
      </c>
      <c r="B60" s="2"/>
      <c r="C60" s="1"/>
      <c r="D60" s="1"/>
      <c r="E60" s="1"/>
      <c r="F60" s="1"/>
      <c r="G60" s="1"/>
      <c r="H60" s="1"/>
      <c r="I60" s="2" t="s">
        <v>15</v>
      </c>
      <c r="J60" s="10"/>
      <c r="K60" s="1"/>
      <c r="L60" s="1"/>
      <c r="M60" s="1"/>
      <c r="N60" s="1"/>
      <c r="O60" s="1"/>
      <c r="P60" s="1"/>
      <c r="Q60" s="1"/>
      <c r="R60" s="2" t="str">
        <f>R6</f>
        <v>Witness:</v>
      </c>
      <c r="S60" s="1"/>
      <c r="T60" s="1"/>
    </row>
    <row r="61" spans="1:20" ht="15" customHeight="1">
      <c r="A61" s="142"/>
      <c r="B61" s="142"/>
      <c r="C61" s="143"/>
      <c r="D61" s="143"/>
      <c r="E61" s="143"/>
      <c r="F61" s="143" t="s">
        <v>17</v>
      </c>
      <c r="G61" s="143" t="s">
        <v>18</v>
      </c>
      <c r="H61" s="143" t="s">
        <v>19</v>
      </c>
      <c r="I61" s="143" t="s">
        <v>20</v>
      </c>
      <c r="J61" s="143" t="s">
        <v>21</v>
      </c>
      <c r="K61" s="143" t="s">
        <v>22</v>
      </c>
      <c r="L61" s="143" t="s">
        <v>23</v>
      </c>
      <c r="M61" s="143" t="s">
        <v>24</v>
      </c>
      <c r="N61" s="143" t="s">
        <v>25</v>
      </c>
      <c r="O61" s="143" t="s">
        <v>26</v>
      </c>
      <c r="P61" s="143" t="s">
        <v>348</v>
      </c>
      <c r="Q61" s="143" t="s">
        <v>349</v>
      </c>
      <c r="R61" s="143" t="s">
        <v>350</v>
      </c>
      <c r="S61" s="143" t="s">
        <v>351</v>
      </c>
      <c r="T61" s="143" t="s">
        <v>352</v>
      </c>
    </row>
    <row r="62" spans="1:20" ht="15" customHeight="1">
      <c r="A62" s="142"/>
      <c r="B62" s="142"/>
      <c r="C62" s="142"/>
      <c r="D62" s="142"/>
      <c r="E62" s="142"/>
      <c r="F62" s="144"/>
      <c r="G62" s="144"/>
      <c r="H62" s="144"/>
      <c r="I62" s="144"/>
      <c r="J62" s="144"/>
      <c r="K62" s="144"/>
      <c r="L62" s="144"/>
      <c r="M62" s="144"/>
      <c r="N62" s="144"/>
      <c r="O62" s="144"/>
      <c r="P62" s="144"/>
      <c r="Q62" s="144"/>
      <c r="R62" s="144"/>
      <c r="S62" s="144" t="s">
        <v>353</v>
      </c>
      <c r="T62" s="144" t="s">
        <v>354</v>
      </c>
    </row>
    <row r="63" spans="1:20" ht="15" customHeight="1">
      <c r="A63" s="142" t="s">
        <v>35</v>
      </c>
      <c r="B63" s="144" t="s">
        <v>355</v>
      </c>
      <c r="C63" s="144" t="s">
        <v>356</v>
      </c>
      <c r="D63" s="144"/>
      <c r="E63" s="144"/>
      <c r="F63" s="144" t="s">
        <v>357</v>
      </c>
      <c r="G63" s="144" t="s">
        <v>358</v>
      </c>
      <c r="H63" s="144" t="s">
        <v>359</v>
      </c>
      <c r="I63" s="144" t="s">
        <v>360</v>
      </c>
      <c r="J63" s="144" t="s">
        <v>361</v>
      </c>
      <c r="K63" s="144" t="s">
        <v>362</v>
      </c>
      <c r="L63" s="144" t="s">
        <v>363</v>
      </c>
      <c r="M63" s="144" t="s">
        <v>364</v>
      </c>
      <c r="N63" s="144" t="s">
        <v>365</v>
      </c>
      <c r="O63" s="144" t="s">
        <v>366</v>
      </c>
      <c r="P63" s="144" t="s">
        <v>367</v>
      </c>
      <c r="Q63" s="144" t="s">
        <v>368</v>
      </c>
      <c r="R63" s="144" t="s">
        <v>357</v>
      </c>
      <c r="S63" s="144" t="s">
        <v>369</v>
      </c>
      <c r="T63" s="144" t="s">
        <v>370</v>
      </c>
    </row>
    <row r="64" spans="1:20" ht="15" customHeight="1" thickBot="1">
      <c r="A64" s="145" t="s">
        <v>46</v>
      </c>
      <c r="B64" s="146" t="s">
        <v>371</v>
      </c>
      <c r="C64" s="146" t="s">
        <v>372</v>
      </c>
      <c r="D64" s="146"/>
      <c r="E64" s="146"/>
      <c r="F64" s="147">
        <v>2021</v>
      </c>
      <c r="G64" s="147">
        <v>2022</v>
      </c>
      <c r="H64" s="147">
        <v>2022</v>
      </c>
      <c r="I64" s="147">
        <v>2022</v>
      </c>
      <c r="J64" s="147">
        <v>2022</v>
      </c>
      <c r="K64" s="147">
        <v>2022</v>
      </c>
      <c r="L64" s="147">
        <v>2022</v>
      </c>
      <c r="M64" s="147">
        <v>2022</v>
      </c>
      <c r="N64" s="147">
        <v>2022</v>
      </c>
      <c r="O64" s="147">
        <v>2022</v>
      </c>
      <c r="P64" s="147">
        <v>2022</v>
      </c>
      <c r="Q64" s="147">
        <v>2022</v>
      </c>
      <c r="R64" s="147">
        <v>2022</v>
      </c>
      <c r="S64" s="147">
        <v>2022</v>
      </c>
      <c r="T64" s="146" t="s">
        <v>373</v>
      </c>
    </row>
    <row r="65" spans="1:20" ht="15" customHeight="1">
      <c r="A65" s="142">
        <v>1</v>
      </c>
      <c r="B65" s="86"/>
      <c r="C65" s="14" t="s">
        <v>292</v>
      </c>
      <c r="D65" s="14"/>
      <c r="E65" s="14"/>
      <c r="F65" s="14"/>
      <c r="G65" s="14"/>
      <c r="H65" s="14"/>
      <c r="I65" s="14"/>
      <c r="J65" s="14"/>
      <c r="K65" s="14"/>
      <c r="L65" s="14"/>
      <c r="M65" s="14"/>
      <c r="N65" s="14"/>
      <c r="O65" s="14"/>
      <c r="P65" s="14"/>
      <c r="Q65" s="14"/>
      <c r="R65" s="14"/>
      <c r="S65" s="14"/>
      <c r="T65" s="142"/>
    </row>
    <row r="66" spans="1:20" ht="15" customHeight="1">
      <c r="A66" s="142">
        <v>2</v>
      </c>
      <c r="B66" s="35" t="s">
        <v>419</v>
      </c>
      <c r="C66" s="14" t="s">
        <v>420</v>
      </c>
      <c r="D66" s="142"/>
      <c r="E66" s="142"/>
      <c r="F66" s="152">
        <f>ROUND(VLOOKUP($B66,'Prior Historical'!$A$5:$U$500,COLUMNS($F66:F66)+6,FALSE)/1000,3)</f>
        <v>23185.754000000001</v>
      </c>
      <c r="G66" s="152">
        <f>ROUND(VLOOKUP($B66,'Prior Historical'!$A$5:$U$500,COLUMNS($F66:G66)+6,FALSE)/1000,3)</f>
        <v>23070.457999999999</v>
      </c>
      <c r="H66" s="152">
        <f>ROUND(VLOOKUP($B66,'Prior Historical'!$A$5:$U$500,COLUMNS($F66:H66)+6,FALSE)/1000,3)</f>
        <v>22956.226999999999</v>
      </c>
      <c r="I66" s="152">
        <f>ROUND(VLOOKUP($B66,'Prior Historical'!$A$5:$U$500,COLUMNS($F66:I66)+6,FALSE)/1000,3)</f>
        <v>22841.994999999999</v>
      </c>
      <c r="J66" s="152">
        <f>ROUND(VLOOKUP($B66,'Prior Historical'!$A$5:$U$500,COLUMNS($F66:J66)+6,FALSE)/1000,3)</f>
        <v>22731.688999999998</v>
      </c>
      <c r="K66" s="152">
        <f>ROUND(VLOOKUP($B66,'Prior Historical'!$A$5:$U$500,COLUMNS($F66:K66)+6,FALSE)/1000,3)</f>
        <v>22616.967000000001</v>
      </c>
      <c r="L66" s="152">
        <f>ROUND(VLOOKUP($B66,'Prior Historical'!$A$5:$U$500,COLUMNS($F66:L66)+6,FALSE)/1000,3)</f>
        <v>22502.685000000001</v>
      </c>
      <c r="M66" s="152">
        <f>ROUND(VLOOKUP($B66,'Prior Historical'!$A$5:$U$500,COLUMNS($F66:M66)+6,FALSE)/1000,3)</f>
        <v>25703.083999999999</v>
      </c>
      <c r="N66" s="152">
        <f>ROUND(VLOOKUP($B66,'Prior Historical'!$A$5:$U$500,COLUMNS($F66:N66)+6,FALSE)/1000,3)</f>
        <v>26128.736000000001</v>
      </c>
      <c r="O66" s="152">
        <f>ROUND(VLOOKUP($B66,'Prior Historical'!$A$5:$U$500,COLUMNS($F66:O66)+6,FALSE)/1000,3)</f>
        <v>25965.545999999998</v>
      </c>
      <c r="P66" s="152">
        <f>ROUND(VLOOKUP($B66,'Prior Historical'!$A$5:$U$500,COLUMNS($F66:P66)+6,FALSE)/1000,3)</f>
        <v>25937.62</v>
      </c>
      <c r="Q66" s="152">
        <f>ROUND(VLOOKUP($B66,'Prior Historical'!$A$5:$U$500,COLUMNS($F66:Q66)+6,FALSE)/1000,3)</f>
        <v>25794.985000000001</v>
      </c>
      <c r="R66" s="152">
        <f>ROUND(VLOOKUP($B66,'Prior Historical'!$A$5:$U$500,COLUMNS($F66:R66)+6,FALSE)/1000,3)</f>
        <v>25769.001</v>
      </c>
      <c r="S66" s="150">
        <f t="shared" ref="S66:S73" si="5">(SUM(F66:R66)/13)</f>
        <v>24246.518999999997</v>
      </c>
      <c r="T66" s="144" t="s">
        <v>421</v>
      </c>
    </row>
    <row r="67" spans="1:20" ht="15" customHeight="1">
      <c r="A67" s="142">
        <v>3</v>
      </c>
      <c r="B67" s="35" t="s">
        <v>422</v>
      </c>
      <c r="C67" s="14" t="s">
        <v>289</v>
      </c>
      <c r="D67" s="142"/>
      <c r="E67" s="142"/>
      <c r="F67" s="149">
        <f>(SUMIF('Prior Historical'!$A:$A,$B67,'Prior Historical'!G:G))/1000-F68</f>
        <v>815905.40519999992</v>
      </c>
      <c r="G67" s="149">
        <f>(SUMIF('Prior Historical'!$A:$A,$B67,'Prior Historical'!H:H))/1000-G68</f>
        <v>829053.94997000007</v>
      </c>
      <c r="H67" s="149">
        <f>(SUMIF('Prior Historical'!$A:$A,$B67,'Prior Historical'!I:I))/1000-H68</f>
        <v>853069.40937999997</v>
      </c>
      <c r="I67" s="149">
        <f>(SUMIF('Prior Historical'!$A:$A,$B67,'Prior Historical'!J:J))/1000-I68</f>
        <v>871509.28703000001</v>
      </c>
      <c r="J67" s="149">
        <f>(SUMIF('Prior Historical'!$A:$A,$B67,'Prior Historical'!K:K))/1000-J68</f>
        <v>881099.89382</v>
      </c>
      <c r="K67" s="149">
        <f>(SUMIF('Prior Historical'!$A:$A,$B67,'Prior Historical'!L:L))/1000-K68</f>
        <v>921701.61700000009</v>
      </c>
      <c r="L67" s="149">
        <f>(SUMIF('Prior Historical'!$A:$A,$B67,'Prior Historical'!M:M))/1000-L68</f>
        <v>966636.59701000014</v>
      </c>
      <c r="M67" s="149">
        <f>(SUMIF('Prior Historical'!$A:$A,$B67,'Prior Historical'!N:N))/1000-M68</f>
        <v>1014762.7136999997</v>
      </c>
      <c r="N67" s="149">
        <f>(SUMIF('Prior Historical'!$A:$A,$B67,'Prior Historical'!O:O))/1000-N68</f>
        <v>1110672.1384099999</v>
      </c>
      <c r="O67" s="149">
        <f>(SUMIF('Prior Historical'!$A:$A,$B67,'Prior Historical'!P:P))/1000-O68</f>
        <v>1163309.8178300001</v>
      </c>
      <c r="P67" s="149">
        <f>(SUMIF('Prior Historical'!$A:$A,$B67,'Prior Historical'!Q:Q))/1000-P68</f>
        <v>1195392.4198499999</v>
      </c>
      <c r="Q67" s="149">
        <f>(SUMIF('Prior Historical'!$A:$A,$B67,'Prior Historical'!R:R))/1000-Q68</f>
        <v>1215338.3494000002</v>
      </c>
      <c r="R67" s="149">
        <f>(SUMIF('Prior Historical'!$A:$A,$B67,'Prior Historical'!S:S))/1000-R68</f>
        <v>1367077.9840500003</v>
      </c>
      <c r="S67" s="150">
        <f t="shared" ref="S67:S68" si="6">AVERAGE(F67:R67)</f>
        <v>1015809.9678961539</v>
      </c>
      <c r="T67" s="144" t="s">
        <v>423</v>
      </c>
    </row>
    <row r="68" spans="1:20" ht="15" customHeight="1">
      <c r="A68" s="142">
        <v>4</v>
      </c>
      <c r="B68" s="151" t="s">
        <v>422</v>
      </c>
      <c r="C68" s="14" t="s">
        <v>424</v>
      </c>
      <c r="D68" s="142"/>
      <c r="E68" s="142"/>
      <c r="F68" s="27">
        <f>(SUMIF('Prior Historical'!$C:$C,"1823610",'Prior Historical'!G:G))/1000</f>
        <v>112960.57134000001</v>
      </c>
      <c r="G68" s="27">
        <f>(SUMIF('Prior Historical'!$C:$C,"1823610",'Prior Historical'!H:H))/1000</f>
        <v>113461.15486</v>
      </c>
      <c r="H68" s="27">
        <f>(SUMIF('Prior Historical'!$C:$C,"1823610",'Prior Historical'!I:I))/1000</f>
        <v>113997.07218</v>
      </c>
      <c r="I68" s="27">
        <f>(SUMIF('Prior Historical'!$C:$C,"1823610",'Prior Historical'!J:J))/1000</f>
        <v>114561.01642</v>
      </c>
      <c r="J68" s="27">
        <f>(SUMIF('Prior Historical'!$C:$C,"1823610",'Prior Historical'!K:K))/1000</f>
        <v>115043.58245999999</v>
      </c>
      <c r="K68" s="27">
        <f>(SUMIF('Prior Historical'!$C:$C,"1823610",'Prior Historical'!L:L))/1000</f>
        <v>115443.74843000001</v>
      </c>
      <c r="L68" s="27">
        <f>(SUMIF('Prior Historical'!$C:$C,"1823610",'Prior Historical'!M:M))/1000</f>
        <v>124698.16958</v>
      </c>
      <c r="M68" s="27">
        <f>(SUMIF('Prior Historical'!$C:$C,"1823610",'Prior Historical'!N:N))/1000</f>
        <v>125180.50143999999</v>
      </c>
      <c r="N68" s="27">
        <f>(SUMIF('Prior Historical'!$C:$C,"1823610",'Prior Historical'!O:O))/1000</f>
        <v>125610.16290000001</v>
      </c>
      <c r="O68" s="27">
        <f>(SUMIF('Prior Historical'!$C:$C,"1823610",'Prior Historical'!P:P))/1000</f>
        <v>126257.47962</v>
      </c>
      <c r="P68" s="27">
        <f>(SUMIF('Prior Historical'!$C:$C,"1823610",'Prior Historical'!Q:Q))/1000</f>
        <v>126957.58170000001</v>
      </c>
      <c r="Q68" s="27">
        <f>(SUMIF('Prior Historical'!$C:$C,"1823610",'Prior Historical'!R:R))/1000</f>
        <v>127768.26602</v>
      </c>
      <c r="R68" s="27">
        <f>(SUMIF('Prior Historical'!$C:$C,"1823610",'Prior Historical'!S:S))/1000</f>
        <v>119087.13254000001</v>
      </c>
      <c r="S68" s="150">
        <f t="shared" si="6"/>
        <v>120078.95688384616</v>
      </c>
      <c r="T68" s="144" t="s">
        <v>425</v>
      </c>
    </row>
    <row r="69" spans="1:20" ht="15" customHeight="1">
      <c r="A69" s="142">
        <v>5</v>
      </c>
      <c r="B69" s="35" t="s">
        <v>426</v>
      </c>
      <c r="C69" s="14" t="s">
        <v>290</v>
      </c>
      <c r="D69" s="142"/>
      <c r="E69" s="142"/>
      <c r="F69" s="152">
        <f>ROUND(VLOOKUP($B69,'Prior Historical'!$A$5:$U$500,COLUMNS($F69:F69)+6,FALSE)/1000,3)</f>
        <v>1727.7629999999999</v>
      </c>
      <c r="G69" s="152">
        <f>ROUND(VLOOKUP($B69,'Prior Historical'!$A$5:$U$500,COLUMNS($F69:G69)+6,FALSE)/1000,3)</f>
        <v>1788.4</v>
      </c>
      <c r="H69" s="152">
        <f>ROUND(VLOOKUP($B69,'Prior Historical'!$A$5:$U$500,COLUMNS($F69:H69)+6,FALSE)/1000,3)</f>
        <v>1820.0840000000001</v>
      </c>
      <c r="I69" s="152">
        <f>ROUND(VLOOKUP($B69,'Prior Historical'!$A$5:$U$500,COLUMNS($F69:I69)+6,FALSE)/1000,3)</f>
        <v>1894.0630000000001</v>
      </c>
      <c r="J69" s="152">
        <f>ROUND(VLOOKUP($B69,'Prior Historical'!$A$5:$U$500,COLUMNS($F69:J69)+6,FALSE)/1000,3)</f>
        <v>2050.09</v>
      </c>
      <c r="K69" s="152">
        <f>ROUND(VLOOKUP($B69,'Prior Historical'!$A$5:$U$500,COLUMNS($F69:K69)+6,FALSE)/1000,3)</f>
        <v>2152.04</v>
      </c>
      <c r="L69" s="152">
        <f>ROUND(VLOOKUP($B69,'Prior Historical'!$A$5:$U$500,COLUMNS($F69:L69)+6,FALSE)/1000,3)</f>
        <v>732.78599999999994</v>
      </c>
      <c r="M69" s="152">
        <f>ROUND(VLOOKUP($B69,'Prior Historical'!$A$5:$U$500,COLUMNS($F69:M69)+6,FALSE)/1000,3)</f>
        <v>1015.74</v>
      </c>
      <c r="N69" s="152">
        <f>ROUND(VLOOKUP($B69,'Prior Historical'!$A$5:$U$500,COLUMNS($F69:N69)+6,FALSE)/1000,3)</f>
        <v>884.35500000000002</v>
      </c>
      <c r="O69" s="152">
        <f>ROUND(VLOOKUP($B69,'Prior Historical'!$A$5:$U$500,COLUMNS($F69:O69)+6,FALSE)/1000,3)</f>
        <v>1034.807</v>
      </c>
      <c r="P69" s="152">
        <f>ROUND(VLOOKUP($B69,'Prior Historical'!$A$5:$U$500,COLUMNS($F69:P69)+6,FALSE)/1000,3)</f>
        <v>1349.289</v>
      </c>
      <c r="Q69" s="152">
        <f>ROUND(VLOOKUP($B69,'Prior Historical'!$A$5:$U$500,COLUMNS($F69:Q69)+6,FALSE)/1000,3)</f>
        <v>1781.579</v>
      </c>
      <c r="R69" s="152">
        <f>ROUND(VLOOKUP($B69,'Prior Historical'!$A$5:$U$500,COLUMNS($F69:R69)+6,FALSE)/1000,3)</f>
        <v>2061.6030000000001</v>
      </c>
      <c r="S69" s="150">
        <f t="shared" si="5"/>
        <v>1560.9691538461541</v>
      </c>
      <c r="T69" s="144" t="s">
        <v>118</v>
      </c>
    </row>
    <row r="70" spans="1:20" ht="15" customHeight="1">
      <c r="A70" s="142">
        <v>6</v>
      </c>
      <c r="B70" s="35" t="s">
        <v>427</v>
      </c>
      <c r="C70" s="14" t="s">
        <v>291</v>
      </c>
      <c r="D70" s="142"/>
      <c r="E70" s="142"/>
      <c r="F70" s="27">
        <f>ROUND(IF(ISNA(VLOOKUP($B70,'Prior Historical'!$A$5:$U$500,COLUMNS($F70:F70)+6,FALSE)),0,+(VLOOKUP($B70,'Prior Historical'!$A$5:$U$500,COLUMNS($F70:F70)+6,FALSE)))/1000,3)</f>
        <v>57.884999999999998</v>
      </c>
      <c r="G70" s="27">
        <f>ROUND(IF(ISNA(VLOOKUP($B70,'Prior Historical'!$A$5:$U$500,COLUMNS($F70:G70)+6,FALSE)),0,+(VLOOKUP($B70,'Prior Historical'!$A$5:$U$500,COLUMNS($F70:G70)+6,FALSE)))/1000,3)</f>
        <v>58.905999999999999</v>
      </c>
      <c r="H70" s="27">
        <f>ROUND(IF(ISNA(VLOOKUP($B70,'Prior Historical'!$A$5:$U$500,COLUMNS($F70:H70)+6,FALSE)),0,+(VLOOKUP($B70,'Prior Historical'!$A$5:$U$500,COLUMNS($F70:H70)+6,FALSE)))/1000,3)</f>
        <v>59.481999999999999</v>
      </c>
      <c r="I70" s="27">
        <f>ROUND(IF(ISNA(VLOOKUP($B70,'Prior Historical'!$A$5:$U$500,COLUMNS($F70:I70)+6,FALSE)),0,+(VLOOKUP($B70,'Prior Historical'!$A$5:$U$500,COLUMNS($F70:I70)+6,FALSE)))/1000,3)</f>
        <v>59.048000000000002</v>
      </c>
      <c r="J70" s="27">
        <f>ROUND(IF(ISNA(VLOOKUP($B70,'Prior Historical'!$A$5:$U$500,COLUMNS($F70:J70)+6,FALSE)),0,+(VLOOKUP($B70,'Prior Historical'!$A$5:$U$500,COLUMNS($F70:J70)+6,FALSE)))/1000,3)</f>
        <v>58.615000000000002</v>
      </c>
      <c r="K70" s="27">
        <f>ROUND(IF(ISNA(VLOOKUP($B70,'Prior Historical'!$A$5:$U$500,COLUMNS($F70:K70)+6,FALSE)),0,+(VLOOKUP($B70,'Prior Historical'!$A$5:$U$500,COLUMNS($F70:K70)+6,FALSE)))/1000,3)</f>
        <v>58.180999999999997</v>
      </c>
      <c r="L70" s="27">
        <f>ROUND(IF(ISNA(VLOOKUP($B70,'Prior Historical'!$A$5:$U$500,COLUMNS($F70:L70)+6,FALSE)),0,+(VLOOKUP($B70,'Prior Historical'!$A$5:$U$500,COLUMNS($F70:L70)+6,FALSE)))/1000,3)</f>
        <v>57.747</v>
      </c>
      <c r="M70" s="27">
        <f>ROUND(IF(ISNA(VLOOKUP($B70,'Prior Historical'!$A$5:$U$500,COLUMNS($F70:M70)+6,FALSE)),0,+(VLOOKUP($B70,'Prior Historical'!$A$5:$U$500,COLUMNS($F70:M70)+6,FALSE)))/1000,3)</f>
        <v>57.341000000000001</v>
      </c>
      <c r="N70" s="27">
        <f>ROUND(IF(ISNA(VLOOKUP($B70,'Prior Historical'!$A$5:$U$500,COLUMNS($F70:N70)+6,FALSE)),0,+(VLOOKUP($B70,'Prior Historical'!$A$5:$U$500,COLUMNS($F70:N70)+6,FALSE)))/1000,3)</f>
        <v>63.898000000000003</v>
      </c>
      <c r="O70" s="27">
        <f>ROUND(IF(ISNA(VLOOKUP($B70,'Prior Historical'!$A$5:$U$500,COLUMNS($F70:O70)+6,FALSE)),0,+(VLOOKUP($B70,'Prior Historical'!$A$5:$U$500,COLUMNS($F70:O70)+6,FALSE)))/1000,3)</f>
        <v>63.518000000000001</v>
      </c>
      <c r="P70" s="27">
        <f>ROUND(IF(ISNA(VLOOKUP($B70,'Prior Historical'!$A$5:$U$500,COLUMNS($F70:P70)+6,FALSE)),0,+(VLOOKUP($B70,'Prior Historical'!$A$5:$U$500,COLUMNS($F70:P70)+6,FALSE)))/1000,3)</f>
        <v>66.528000000000006</v>
      </c>
      <c r="Q70" s="27">
        <f>ROUND(IF(ISNA(VLOOKUP($B70,'Prior Historical'!$A$5:$U$500,COLUMNS($F70:Q70)+6,FALSE)),0,+(VLOOKUP($B70,'Prior Historical'!$A$5:$U$500,COLUMNS($F70:Q70)+6,FALSE)))/1000,3)</f>
        <v>66.147999999999996</v>
      </c>
      <c r="R70" s="27">
        <f>ROUND(IF(ISNA(VLOOKUP($B70,'Prior Historical'!$A$5:$U$500,COLUMNS($F70:R70)+6,FALSE)),0,+(VLOOKUP($B70,'Prior Historical'!$A$5:$U$500,COLUMNS($F70:R70)+6,FALSE)))/1000,3)</f>
        <v>67.774000000000001</v>
      </c>
      <c r="S70" s="150">
        <f t="shared" si="5"/>
        <v>61.159307692307692</v>
      </c>
      <c r="T70" s="144" t="s">
        <v>118</v>
      </c>
    </row>
    <row r="71" spans="1:20" ht="15" customHeight="1">
      <c r="A71" s="142">
        <v>7</v>
      </c>
      <c r="B71" s="35" t="s">
        <v>428</v>
      </c>
      <c r="C71" s="14" t="s">
        <v>292</v>
      </c>
      <c r="D71" s="142"/>
      <c r="E71" s="142"/>
      <c r="F71" s="152">
        <f>ROUND(VLOOKUP($B71,'Prior Historical'!$A$5:$U$500,COLUMNS($F71:F71)+6,FALSE)/1000,3)</f>
        <v>10627.269</v>
      </c>
      <c r="G71" s="152">
        <f>ROUND(VLOOKUP($B71,'Prior Historical'!$A$5:$U$500,COLUMNS($F71:G71)+6,FALSE)/1000,3)</f>
        <v>9906.3960000000006</v>
      </c>
      <c r="H71" s="152">
        <f>ROUND(VLOOKUP($B71,'Prior Historical'!$A$5:$U$500,COLUMNS($F71:H71)+6,FALSE)/1000,3)</f>
        <v>12174.22</v>
      </c>
      <c r="I71" s="152">
        <f>ROUND(VLOOKUP($B71,'Prior Historical'!$A$5:$U$500,COLUMNS($F71:I71)+6,FALSE)/1000,3)</f>
        <v>13394.733</v>
      </c>
      <c r="J71" s="152">
        <f>ROUND(VLOOKUP($B71,'Prior Historical'!$A$5:$U$500,COLUMNS($F71:J71)+6,FALSE)/1000,3)</f>
        <v>12415.502</v>
      </c>
      <c r="K71" s="152">
        <f>ROUND(VLOOKUP($B71,'Prior Historical'!$A$5:$U$500,COLUMNS($F71:K71)+6,FALSE)/1000,3)</f>
        <v>14118.705</v>
      </c>
      <c r="L71" s="152">
        <f>ROUND(VLOOKUP($B71,'Prior Historical'!$A$5:$U$500,COLUMNS($F71:L71)+6,FALSE)/1000,3)</f>
        <v>15129.422</v>
      </c>
      <c r="M71" s="152">
        <f>ROUND(VLOOKUP($B71,'Prior Historical'!$A$5:$U$500,COLUMNS($F71:M71)+6,FALSE)/1000,3)</f>
        <v>16697.289000000001</v>
      </c>
      <c r="N71" s="152">
        <f>ROUND(VLOOKUP($B71,'Prior Historical'!$A$5:$U$500,COLUMNS($F71:N71)+6,FALSE)/1000,3)</f>
        <v>16427.866999999998</v>
      </c>
      <c r="O71" s="152">
        <f>ROUND(VLOOKUP($B71,'Prior Historical'!$A$5:$U$500,COLUMNS($F71:O71)+6,FALSE)/1000,3)</f>
        <v>21475.958999999999</v>
      </c>
      <c r="P71" s="152">
        <f>ROUND(VLOOKUP($B71,'Prior Historical'!$A$5:$U$500,COLUMNS($F71:P71)+6,FALSE)/1000,3)</f>
        <v>23085.205000000002</v>
      </c>
      <c r="Q71" s="152">
        <f>ROUND(VLOOKUP($B71,'Prior Historical'!$A$5:$U$500,COLUMNS($F71:Q71)+6,FALSE)/1000,3)</f>
        <v>24329.681</v>
      </c>
      <c r="R71" s="152">
        <f>ROUND(VLOOKUP($B71,'Prior Historical'!$A$5:$U$500,COLUMNS($F71:R71)+6,FALSE)/1000,3)</f>
        <v>12387.67</v>
      </c>
      <c r="S71" s="150">
        <f t="shared" si="5"/>
        <v>15551.532153846154</v>
      </c>
      <c r="T71" s="144" t="s">
        <v>118</v>
      </c>
    </row>
    <row r="72" spans="1:20" ht="15" customHeight="1">
      <c r="A72" s="142">
        <v>8</v>
      </c>
      <c r="B72" s="157" t="s">
        <v>429</v>
      </c>
      <c r="C72" s="14" t="s">
        <v>430</v>
      </c>
      <c r="D72" s="142"/>
      <c r="E72" s="142"/>
      <c r="F72" s="152">
        <f>ROUND(VLOOKUP($B72,'Prior Historical'!$A$5:$U$500,COLUMNS($F72:F72)+6,FALSE)/1000,3)</f>
        <v>4094.89</v>
      </c>
      <c r="G72" s="152">
        <f>ROUND(VLOOKUP($B72,'Prior Historical'!$A$5:$U$500,COLUMNS($F72:G72)+6,FALSE)/1000,3)</f>
        <v>4032.748</v>
      </c>
      <c r="H72" s="152">
        <f>ROUND(VLOOKUP($B72,'Prior Historical'!$A$5:$U$500,COLUMNS($F72:H72)+6,FALSE)/1000,3)</f>
        <v>3941.549</v>
      </c>
      <c r="I72" s="152">
        <f>ROUND(VLOOKUP($B72,'Prior Historical'!$A$5:$U$500,COLUMNS($F72:I72)+6,FALSE)/1000,3)</f>
        <v>3864.8789999999999</v>
      </c>
      <c r="J72" s="152">
        <f>ROUND(VLOOKUP($B72,'Prior Historical'!$A$5:$U$500,COLUMNS($F72:J72)+6,FALSE)/1000,3)</f>
        <v>3788.2080000000001</v>
      </c>
      <c r="K72" s="152">
        <f>ROUND(VLOOKUP($B72,'Prior Historical'!$A$5:$U$500,COLUMNS($F72:K72)+6,FALSE)/1000,3)</f>
        <v>3731.1590000000001</v>
      </c>
      <c r="L72" s="152">
        <f>ROUND(VLOOKUP($B72,'Prior Historical'!$A$5:$U$500,COLUMNS($F72:L72)+6,FALSE)/1000,3)</f>
        <v>3674.11</v>
      </c>
      <c r="M72" s="152">
        <f>ROUND(VLOOKUP($B72,'Prior Historical'!$A$5:$U$500,COLUMNS($F72:M72)+6,FALSE)/1000,3)</f>
        <v>3617.0610000000001</v>
      </c>
      <c r="N72" s="152">
        <f>ROUND(VLOOKUP($B72,'Prior Historical'!$A$5:$U$500,COLUMNS($F72:N72)+6,FALSE)/1000,3)</f>
        <v>3560.0120000000002</v>
      </c>
      <c r="O72" s="152">
        <f>ROUND(VLOOKUP($B72,'Prior Historical'!$A$5:$U$500,COLUMNS($F72:O72)+6,FALSE)/1000,3)</f>
        <v>3502.9630000000002</v>
      </c>
      <c r="P72" s="152">
        <f>ROUND(VLOOKUP($B72,'Prior Historical'!$A$5:$U$500,COLUMNS($F72:P72)+6,FALSE)/1000,3)</f>
        <v>3445.9140000000002</v>
      </c>
      <c r="Q72" s="152">
        <f>ROUND(VLOOKUP($B72,'Prior Historical'!$A$5:$U$500,COLUMNS($F72:Q72)+6,FALSE)/1000,3)</f>
        <v>3406.5189999999998</v>
      </c>
      <c r="R72" s="152">
        <f>ROUND(VLOOKUP($B72,'Prior Historical'!$A$5:$U$500,COLUMNS($F72:R72)+6,FALSE)/1000,3)</f>
        <v>3367.125</v>
      </c>
      <c r="S72" s="150">
        <f t="shared" si="5"/>
        <v>3694.3951538461542</v>
      </c>
      <c r="T72" s="144" t="s">
        <v>421</v>
      </c>
    </row>
    <row r="73" spans="1:20" ht="15" customHeight="1">
      <c r="A73" s="142">
        <v>9</v>
      </c>
      <c r="B73" s="35" t="s">
        <v>431</v>
      </c>
      <c r="C73" s="14" t="s">
        <v>432</v>
      </c>
      <c r="D73" s="142"/>
      <c r="E73" s="142"/>
      <c r="F73" s="154">
        <f>ROUND(VLOOKUP($B73,'Prior Historical'!$A$5:$U$500,COLUMNS($F73:F73)+6,FALSE)/1000,3)</f>
        <v>658178.33799999999</v>
      </c>
      <c r="G73" s="154">
        <f>ROUND(VLOOKUP($B73,'Prior Historical'!$A$5:$U$500,COLUMNS($F73:G73)+6,FALSE)/1000,3)</f>
        <v>657869.11</v>
      </c>
      <c r="H73" s="154">
        <f>ROUND(VLOOKUP($B73,'Prior Historical'!$A$5:$U$500,COLUMNS($F73:H73)+6,FALSE)/1000,3)</f>
        <v>671789.821</v>
      </c>
      <c r="I73" s="154">
        <f>ROUND(VLOOKUP($B73,'Prior Historical'!$A$5:$U$500,COLUMNS($F73:I73)+6,FALSE)/1000,3)</f>
        <v>700727.07</v>
      </c>
      <c r="J73" s="154">
        <f>ROUND(VLOOKUP($B73,'Prior Historical'!$A$5:$U$500,COLUMNS($F73:J73)+6,FALSE)/1000,3)</f>
        <v>723058.93900000001</v>
      </c>
      <c r="K73" s="154">
        <f>ROUND(VLOOKUP($B73,'Prior Historical'!$A$5:$U$500,COLUMNS($F73:K73)+6,FALSE)/1000,3)</f>
        <v>723786.80900000001</v>
      </c>
      <c r="L73" s="154">
        <f>ROUND(VLOOKUP($B73,'Prior Historical'!$A$5:$U$500,COLUMNS($F73:L73)+6,FALSE)/1000,3)</f>
        <v>741942.32200000004</v>
      </c>
      <c r="M73" s="154">
        <f>ROUND(VLOOKUP($B73,'Prior Historical'!$A$5:$U$500,COLUMNS($F73:M73)+6,FALSE)/1000,3)</f>
        <v>744541.23199999996</v>
      </c>
      <c r="N73" s="154">
        <f>ROUND(VLOOKUP($B73,'Prior Historical'!$A$5:$U$500,COLUMNS($F73:N73)+6,FALSE)/1000,3)</f>
        <v>754275.47</v>
      </c>
      <c r="O73" s="154">
        <f>ROUND(VLOOKUP($B73,'Prior Historical'!$A$5:$U$500,COLUMNS($F73:O73)+6,FALSE)/1000,3)</f>
        <v>769517.68099999998</v>
      </c>
      <c r="P73" s="154">
        <f>ROUND(VLOOKUP($B73,'Prior Historical'!$A$5:$U$500,COLUMNS($F73:P73)+6,FALSE)/1000,3)</f>
        <v>772638.72900000005</v>
      </c>
      <c r="Q73" s="154">
        <f>ROUND(VLOOKUP($B73,'Prior Historical'!$A$5:$U$500,COLUMNS($F73:Q73)+6,FALSE)/1000,3)</f>
        <v>775480.52300000004</v>
      </c>
      <c r="R73" s="154">
        <f>ROUND(VLOOKUP($B73,'Prior Historical'!$A$5:$U$500,COLUMNS($F73:R73)+6,FALSE)/1000,3)</f>
        <v>721216.49699999997</v>
      </c>
      <c r="S73" s="155">
        <f t="shared" si="5"/>
        <v>724232.50315384613</v>
      </c>
      <c r="T73" s="144" t="s">
        <v>421</v>
      </c>
    </row>
    <row r="74" spans="1:20" ht="15" customHeight="1">
      <c r="A74" s="142">
        <v>10</v>
      </c>
      <c r="B74" s="35"/>
      <c r="C74" s="14"/>
      <c r="D74" s="142" t="s">
        <v>292</v>
      </c>
      <c r="E74" s="142"/>
      <c r="F74" s="27">
        <f t="shared" ref="F74:S74" si="7">SUM(F66:F73)</f>
        <v>1626737.8755399999</v>
      </c>
      <c r="G74" s="27">
        <f t="shared" ref="G74:R74" si="8">SUM(G66:G73)</f>
        <v>1639241.12283</v>
      </c>
      <c r="H74" s="27">
        <f t="shared" si="8"/>
        <v>1679807.8645599999</v>
      </c>
      <c r="I74" s="27">
        <f t="shared" si="8"/>
        <v>1728852.0914499997</v>
      </c>
      <c r="J74" s="27">
        <f t="shared" si="8"/>
        <v>1760246.5192799999</v>
      </c>
      <c r="K74" s="27">
        <f t="shared" si="8"/>
        <v>1803609.2264300003</v>
      </c>
      <c r="L74" s="27">
        <f t="shared" si="8"/>
        <v>1875373.8385900003</v>
      </c>
      <c r="M74" s="27">
        <f t="shared" si="8"/>
        <v>1931574.96214</v>
      </c>
      <c r="N74" s="27">
        <f t="shared" si="8"/>
        <v>2037622.6393100002</v>
      </c>
      <c r="O74" s="27">
        <f t="shared" si="8"/>
        <v>2111127.7714499999</v>
      </c>
      <c r="P74" s="27">
        <f t="shared" si="8"/>
        <v>2148873.2865500003</v>
      </c>
      <c r="Q74" s="27">
        <f t="shared" si="8"/>
        <v>2173966.0504200002</v>
      </c>
      <c r="R74" s="27">
        <f t="shared" si="8"/>
        <v>2251034.7865899997</v>
      </c>
      <c r="S74" s="27">
        <f t="shared" si="7"/>
        <v>1905236.0027030769</v>
      </c>
      <c r="T74" s="142"/>
    </row>
    <row r="75" spans="1:20" ht="15" customHeight="1">
      <c r="A75" s="142">
        <v>11</v>
      </c>
      <c r="B75" s="35"/>
      <c r="C75" s="14"/>
      <c r="D75" s="142"/>
      <c r="E75" s="142"/>
      <c r="F75" s="27"/>
      <c r="G75" s="27"/>
      <c r="H75" s="27"/>
      <c r="I75" s="27"/>
      <c r="J75" s="27"/>
      <c r="K75" s="27"/>
      <c r="L75" s="27"/>
      <c r="M75" s="27"/>
      <c r="N75" s="27"/>
      <c r="O75" s="27"/>
      <c r="P75" s="27"/>
      <c r="Q75" s="27"/>
      <c r="R75" s="27"/>
      <c r="S75" s="27"/>
      <c r="T75" s="142"/>
    </row>
    <row r="76" spans="1:20" ht="15" customHeight="1" thickBot="1">
      <c r="A76" s="142">
        <v>12</v>
      </c>
      <c r="B76" s="35"/>
      <c r="C76" s="14" t="s">
        <v>433</v>
      </c>
      <c r="D76" s="142"/>
      <c r="E76" s="142"/>
      <c r="F76" s="158">
        <f t="shared" ref="F76:S76" si="9">+F17+F22+F44+F74</f>
        <v>10395566.873269999</v>
      </c>
      <c r="G76" s="158">
        <f t="shared" si="9"/>
        <v>10461957.68</v>
      </c>
      <c r="H76" s="158">
        <f t="shared" si="9"/>
        <v>10534562.24131</v>
      </c>
      <c r="I76" s="158">
        <f t="shared" si="9"/>
        <v>10617753.17199</v>
      </c>
      <c r="J76" s="158">
        <f t="shared" si="9"/>
        <v>10695325.642419999</v>
      </c>
      <c r="K76" s="158">
        <f t="shared" si="9"/>
        <v>10829710.131070003</v>
      </c>
      <c r="L76" s="158">
        <f t="shared" si="9"/>
        <v>10979783.211480001</v>
      </c>
      <c r="M76" s="158">
        <f t="shared" si="9"/>
        <v>11223105.06299</v>
      </c>
      <c r="N76" s="158">
        <f t="shared" si="9"/>
        <v>11412796.102550002</v>
      </c>
      <c r="O76" s="158">
        <f t="shared" si="9"/>
        <v>11529268.284920001</v>
      </c>
      <c r="P76" s="158">
        <f t="shared" si="9"/>
        <v>11523219.459980002</v>
      </c>
      <c r="Q76" s="158">
        <f t="shared" si="9"/>
        <v>11609276.66423</v>
      </c>
      <c r="R76" s="158">
        <f t="shared" si="9"/>
        <v>11855260.23246</v>
      </c>
      <c r="S76" s="158">
        <f t="shared" si="9"/>
        <v>11051352.673743848</v>
      </c>
      <c r="T76" s="142"/>
    </row>
    <row r="77" spans="1:20" ht="15" customHeight="1" thickTop="1">
      <c r="A77" s="142">
        <v>13</v>
      </c>
      <c r="B77" s="142"/>
      <c r="C77" s="142"/>
      <c r="D77" s="142"/>
      <c r="E77" s="142"/>
      <c r="F77" s="142"/>
      <c r="G77" s="142"/>
      <c r="H77" s="142"/>
      <c r="I77" s="142"/>
      <c r="J77" s="142"/>
      <c r="K77" s="142"/>
      <c r="L77" s="142"/>
      <c r="M77" s="142"/>
      <c r="N77" s="142"/>
      <c r="O77" s="142"/>
      <c r="P77" s="142"/>
      <c r="Q77" s="142"/>
      <c r="R77" s="142"/>
      <c r="S77" s="142"/>
      <c r="T77" s="142"/>
    </row>
    <row r="78" spans="1:20" ht="15" customHeight="1">
      <c r="A78" s="142">
        <v>14</v>
      </c>
      <c r="B78" s="35"/>
      <c r="C78" s="14" t="s">
        <v>434</v>
      </c>
      <c r="D78" s="142"/>
      <c r="E78" s="142"/>
      <c r="F78" s="142"/>
      <c r="G78" s="142"/>
      <c r="H78" s="142"/>
      <c r="I78" s="142"/>
      <c r="J78" s="142"/>
      <c r="K78" s="142"/>
      <c r="L78" s="142"/>
      <c r="M78" s="142"/>
      <c r="N78" s="142"/>
      <c r="O78" s="142"/>
      <c r="P78" s="142"/>
      <c r="Q78" s="142"/>
      <c r="R78" s="142"/>
      <c r="S78" s="142"/>
      <c r="T78" s="142"/>
    </row>
    <row r="79" spans="1:20" ht="15" customHeight="1">
      <c r="A79" s="142">
        <v>15</v>
      </c>
      <c r="B79" s="35"/>
      <c r="C79" s="14"/>
      <c r="D79" s="142"/>
      <c r="E79" s="142"/>
      <c r="F79" s="27"/>
      <c r="G79" s="27"/>
      <c r="H79" s="27"/>
      <c r="I79" s="27"/>
      <c r="J79" s="27"/>
      <c r="K79" s="27"/>
      <c r="L79" s="27"/>
      <c r="M79" s="27"/>
      <c r="N79" s="27"/>
      <c r="O79" s="27"/>
      <c r="P79" s="27"/>
      <c r="Q79" s="27"/>
      <c r="R79" s="27"/>
      <c r="S79" s="27"/>
      <c r="T79" s="142"/>
    </row>
    <row r="80" spans="1:20" ht="15" customHeight="1">
      <c r="A80" s="142">
        <v>16</v>
      </c>
      <c r="B80" s="35" t="s">
        <v>435</v>
      </c>
      <c r="C80" s="14" t="s">
        <v>436</v>
      </c>
      <c r="D80" s="142"/>
      <c r="E80" s="142"/>
      <c r="F80" s="152">
        <f>ROUND(VLOOKUP($B80,'Prior Historical'!$A$5:$U$500,COLUMNS($F80:F80)+6,FALSE)/1000,3)</f>
        <v>119696.788</v>
      </c>
      <c r="G80" s="152">
        <f>ROUND(VLOOKUP($B80,'Prior Historical'!$A$5:$U$500,COLUMNS($F80:G80)+6,FALSE)/1000,3)</f>
        <v>119696.788</v>
      </c>
      <c r="H80" s="152">
        <f>ROUND(VLOOKUP($B80,'Prior Historical'!$A$5:$U$500,COLUMNS($F80:H80)+6,FALSE)/1000,3)</f>
        <v>119696.788</v>
      </c>
      <c r="I80" s="152">
        <f>ROUND(VLOOKUP($B80,'Prior Historical'!$A$5:$U$500,COLUMNS($F80:I80)+6,FALSE)/1000,3)</f>
        <v>119696.788</v>
      </c>
      <c r="J80" s="152">
        <f>ROUND(VLOOKUP($B80,'Prior Historical'!$A$5:$U$500,COLUMNS($F80:J80)+6,FALSE)/1000,3)</f>
        <v>119696.788</v>
      </c>
      <c r="K80" s="152">
        <f>ROUND(VLOOKUP($B80,'Prior Historical'!$A$5:$U$500,COLUMNS($F80:K80)+6,FALSE)/1000,3)</f>
        <v>119696.788</v>
      </c>
      <c r="L80" s="152">
        <f>ROUND(VLOOKUP($B80,'Prior Historical'!$A$5:$U$500,COLUMNS($F80:L80)+6,FALSE)/1000,3)</f>
        <v>119696.788</v>
      </c>
      <c r="M80" s="152">
        <f>ROUND(VLOOKUP($B80,'Prior Historical'!$A$5:$U$500,COLUMNS($F80:M80)+6,FALSE)/1000,3)</f>
        <v>119696.788</v>
      </c>
      <c r="N80" s="152">
        <f>ROUND(VLOOKUP($B80,'Prior Historical'!$A$5:$U$500,COLUMNS($F80:N80)+6,FALSE)/1000,3)</f>
        <v>119696.788</v>
      </c>
      <c r="O80" s="152">
        <f>ROUND(VLOOKUP($B80,'Prior Historical'!$A$5:$U$500,COLUMNS($F80:O80)+6,FALSE)/1000,3)</f>
        <v>119696.788</v>
      </c>
      <c r="P80" s="152">
        <f>ROUND(VLOOKUP($B80,'Prior Historical'!$A$5:$U$500,COLUMNS($F80:P80)+6,FALSE)/1000,3)</f>
        <v>119696.788</v>
      </c>
      <c r="Q80" s="152">
        <f>ROUND(VLOOKUP($B80,'Prior Historical'!$A$5:$U$500,COLUMNS($F80:Q80)+6,FALSE)/1000,3)</f>
        <v>119696.788</v>
      </c>
      <c r="R80" s="152">
        <f>ROUND(VLOOKUP($B80,'Prior Historical'!$A$5:$U$500,COLUMNS($F80:R80)+6,FALSE)/1000,3)</f>
        <v>119696.788</v>
      </c>
      <c r="S80" s="150">
        <f>(SUM(F80:R80)/13)</f>
        <v>119696.78799999996</v>
      </c>
      <c r="T80" s="144" t="s">
        <v>421</v>
      </c>
    </row>
    <row r="81" spans="1:20" ht="15" customHeight="1">
      <c r="A81" s="142">
        <v>17</v>
      </c>
      <c r="B81" s="35" t="s">
        <v>437</v>
      </c>
      <c r="C81" s="14" t="s">
        <v>438</v>
      </c>
      <c r="D81" s="142"/>
      <c r="E81" s="142"/>
      <c r="F81" s="152">
        <f>ROUND(VLOOKUP($B81,'Prior Historical'!$A$5:$U$500,COLUMNS($F81:F81)+6,FALSE)/1000,3)</f>
        <v>3685840.2489999998</v>
      </c>
      <c r="G81" s="152">
        <f>ROUND(VLOOKUP($B81,'Prior Historical'!$A$5:$U$500,COLUMNS($F81:G81)+6,FALSE)/1000,3)</f>
        <v>3785840.2489999998</v>
      </c>
      <c r="H81" s="152">
        <f>ROUND(VLOOKUP($B81,'Prior Historical'!$A$5:$U$500,COLUMNS($F81:H81)+6,FALSE)/1000,3)</f>
        <v>3785840.2489999998</v>
      </c>
      <c r="I81" s="152">
        <f>ROUND(VLOOKUP($B81,'Prior Historical'!$A$5:$U$500,COLUMNS($F81:I81)+6,FALSE)/1000,3)</f>
        <v>3785840.2489999998</v>
      </c>
      <c r="J81" s="152">
        <f>ROUND(VLOOKUP($B81,'Prior Historical'!$A$5:$U$500,COLUMNS($F81:J81)+6,FALSE)/1000,3)</f>
        <v>3785840.2489999998</v>
      </c>
      <c r="K81" s="152">
        <f>ROUND(VLOOKUP($B81,'Prior Historical'!$A$5:$U$500,COLUMNS($F81:K81)+6,FALSE)/1000,3)</f>
        <v>3860840.2489999998</v>
      </c>
      <c r="L81" s="152">
        <f>ROUND(VLOOKUP($B81,'Prior Historical'!$A$5:$U$500,COLUMNS($F81:L81)+6,FALSE)/1000,3)</f>
        <v>3860840.2489999998</v>
      </c>
      <c r="M81" s="152">
        <f>ROUND(VLOOKUP($B81,'Prior Historical'!$A$5:$U$500,COLUMNS($F81:M81)+6,FALSE)/1000,3)</f>
        <v>3860840.2489999998</v>
      </c>
      <c r="N81" s="152">
        <f>ROUND(VLOOKUP($B81,'Prior Historical'!$A$5:$U$500,COLUMNS($F81:N81)+6,FALSE)/1000,3)</f>
        <v>4010840.2489999998</v>
      </c>
      <c r="O81" s="152">
        <f>ROUND(VLOOKUP($B81,'Prior Historical'!$A$5:$U$500,COLUMNS($F81:O81)+6,FALSE)/1000,3)</f>
        <v>4010840.2489999998</v>
      </c>
      <c r="P81" s="152">
        <f>ROUND(VLOOKUP($B81,'Prior Historical'!$A$5:$U$500,COLUMNS($F81:P81)+6,FALSE)/1000,3)</f>
        <v>4010840.2489999998</v>
      </c>
      <c r="Q81" s="152">
        <f>ROUND(VLOOKUP($B81,'Prior Historical'!$A$5:$U$500,COLUMNS($F81:Q81)+6,FALSE)/1000,3)</f>
        <v>4010840.2489999998</v>
      </c>
      <c r="R81" s="152">
        <f>ROUND(VLOOKUP($B81,'Prior Historical'!$A$5:$U$500,COLUMNS($F81:R81)+6,FALSE)/1000,3)</f>
        <v>4085840.2489999998</v>
      </c>
      <c r="S81" s="150">
        <f>(SUM(F81:R81)/13)</f>
        <v>3887763.3259230754</v>
      </c>
      <c r="T81" s="144" t="s">
        <v>421</v>
      </c>
    </row>
    <row r="82" spans="1:20" ht="15" customHeight="1">
      <c r="A82" s="142">
        <v>18</v>
      </c>
      <c r="B82" s="35" t="s">
        <v>439</v>
      </c>
      <c r="C82" s="14" t="s">
        <v>440</v>
      </c>
      <c r="D82" s="142"/>
      <c r="E82" s="142"/>
      <c r="F82" s="152">
        <f>ROUND(VLOOKUP($B82,'Prior Historical'!$A$5:$U$500,COLUMNS($F82:F82)+6,FALSE)/1000,3)</f>
        <v>-700.92100000000005</v>
      </c>
      <c r="G82" s="152">
        <f>ROUND(VLOOKUP($B82,'Prior Historical'!$A$5:$U$500,COLUMNS($F82:G82)+6,FALSE)/1000,3)</f>
        <v>-700.92100000000005</v>
      </c>
      <c r="H82" s="152">
        <f>ROUND(VLOOKUP($B82,'Prior Historical'!$A$5:$U$500,COLUMNS($F82:H82)+6,FALSE)/1000,3)</f>
        <v>-700.92100000000005</v>
      </c>
      <c r="I82" s="152">
        <f>ROUND(VLOOKUP($B82,'Prior Historical'!$A$5:$U$500,COLUMNS($F82:I82)+6,FALSE)/1000,3)</f>
        <v>-700.92100000000005</v>
      </c>
      <c r="J82" s="152">
        <f>ROUND(VLOOKUP($B82,'Prior Historical'!$A$5:$U$500,COLUMNS($F82:J82)+6,FALSE)/1000,3)</f>
        <v>-700.92100000000005</v>
      </c>
      <c r="K82" s="152">
        <f>ROUND(VLOOKUP($B82,'Prior Historical'!$A$5:$U$500,COLUMNS($F82:K82)+6,FALSE)/1000,3)</f>
        <v>-700.92100000000005</v>
      </c>
      <c r="L82" s="152">
        <f>ROUND(VLOOKUP($B82,'Prior Historical'!$A$5:$U$500,COLUMNS($F82:L82)+6,FALSE)/1000,3)</f>
        <v>-700.92100000000005</v>
      </c>
      <c r="M82" s="152">
        <f>ROUND(VLOOKUP($B82,'Prior Historical'!$A$5:$U$500,COLUMNS($F82:M82)+6,FALSE)/1000,3)</f>
        <v>-700.92100000000005</v>
      </c>
      <c r="N82" s="152">
        <f>ROUND(VLOOKUP($B82,'Prior Historical'!$A$5:$U$500,COLUMNS($F82:N82)+6,FALSE)/1000,3)</f>
        <v>-700.92100000000005</v>
      </c>
      <c r="O82" s="152">
        <f>ROUND(VLOOKUP($B82,'Prior Historical'!$A$5:$U$500,COLUMNS($F82:O82)+6,FALSE)/1000,3)</f>
        <v>-700.92100000000005</v>
      </c>
      <c r="P82" s="152">
        <f>ROUND(VLOOKUP($B82,'Prior Historical'!$A$5:$U$500,COLUMNS($F82:P82)+6,FALSE)/1000,3)</f>
        <v>-700.92100000000005</v>
      </c>
      <c r="Q82" s="152">
        <f>ROUND(VLOOKUP($B82,'Prior Historical'!$A$5:$U$500,COLUMNS($F82:Q82)+6,FALSE)/1000,3)</f>
        <v>-700.92100000000005</v>
      </c>
      <c r="R82" s="152">
        <f>ROUND(VLOOKUP($B82,'Prior Historical'!$A$5:$U$500,COLUMNS($F82:R82)+6,FALSE)/1000,3)</f>
        <v>-700.92100000000005</v>
      </c>
      <c r="S82" s="150">
        <f>(SUM(F82:R82)/13)</f>
        <v>-700.92100000000016</v>
      </c>
      <c r="T82" s="144" t="s">
        <v>421</v>
      </c>
    </row>
    <row r="83" spans="1:20" ht="15" customHeight="1">
      <c r="A83" s="142">
        <v>19</v>
      </c>
      <c r="B83" s="35" t="s">
        <v>441</v>
      </c>
      <c r="C83" s="14" t="s">
        <v>442</v>
      </c>
      <c r="D83" s="142"/>
      <c r="E83" s="142"/>
      <c r="F83" s="152">
        <f>ROUND(VLOOKUP($B83,'Prior Historical'!$A$5:$U$500,COLUMNS($F83:F83)+6,FALSE)/1000,3)</f>
        <v>201569.27100000001</v>
      </c>
      <c r="G83" s="152">
        <f>ROUND(VLOOKUP($B83,'Prior Historical'!$A$5:$U$500,COLUMNS($F83:G83)+6,FALSE)/1000,3)</f>
        <v>238713.889</v>
      </c>
      <c r="H83" s="152">
        <f>ROUND(VLOOKUP($B83,'Prior Historical'!$A$5:$U$500,COLUMNS($F83:H83)+6,FALSE)/1000,3)</f>
        <v>197616.69699999999</v>
      </c>
      <c r="I83" s="152">
        <f>ROUND(VLOOKUP($B83,'Prior Historical'!$A$5:$U$500,COLUMNS($F83:I83)+6,FALSE)/1000,3)</f>
        <v>222280.63399999999</v>
      </c>
      <c r="J83" s="152">
        <f>ROUND(VLOOKUP($B83,'Prior Historical'!$A$5:$U$500,COLUMNS($F83:J83)+6,FALSE)/1000,3)</f>
        <v>165775.13</v>
      </c>
      <c r="K83" s="152">
        <f>ROUND(VLOOKUP($B83,'Prior Historical'!$A$5:$U$500,COLUMNS($F83:K83)+6,FALSE)/1000,3)</f>
        <v>211865.42199999999</v>
      </c>
      <c r="L83" s="152">
        <f>ROUND(VLOOKUP($B83,'Prior Historical'!$A$5:$U$500,COLUMNS($F83:L83)+6,FALSE)/1000,3)</f>
        <v>259928.342</v>
      </c>
      <c r="M83" s="152">
        <f>ROUND(VLOOKUP($B83,'Prior Historical'!$A$5:$U$500,COLUMNS($F83:M83)+6,FALSE)/1000,3)</f>
        <v>316357.902</v>
      </c>
      <c r="N83" s="152">
        <f>ROUND(VLOOKUP($B83,'Prior Historical'!$A$5:$U$500,COLUMNS($F83:N83)+6,FALSE)/1000,3)</f>
        <v>238080.82199999999</v>
      </c>
      <c r="O83" s="152">
        <f>ROUND(VLOOKUP($B83,'Prior Historical'!$A$5:$U$500,COLUMNS($F83:O83)+6,FALSE)/1000,3)</f>
        <v>286450.255</v>
      </c>
      <c r="P83" s="152">
        <f>ROUND(VLOOKUP($B83,'Prior Historical'!$A$5:$U$500,COLUMNS($F83:P83)+6,FALSE)/1000,3)</f>
        <v>172361.179</v>
      </c>
      <c r="Q83" s="152">
        <f>ROUND(VLOOKUP($B83,'Prior Historical'!$A$5:$U$500,COLUMNS($F83:Q83)+6,FALSE)/1000,3)</f>
        <v>203914.87299999999</v>
      </c>
      <c r="R83" s="152">
        <f>ROUND(VLOOKUP($B83,'Prior Historical'!$A$5:$U$500,COLUMNS($F83:R83)+6,FALSE)/1000,3)</f>
        <v>225276.52900000001</v>
      </c>
      <c r="S83" s="150">
        <f>(SUM(F83:R83)/13)</f>
        <v>226168.53423076926</v>
      </c>
      <c r="T83" s="144" t="s">
        <v>421</v>
      </c>
    </row>
    <row r="84" spans="1:20" ht="15" customHeight="1">
      <c r="A84" s="142">
        <v>20</v>
      </c>
      <c r="B84" s="35" t="s">
        <v>443</v>
      </c>
      <c r="C84" s="14" t="s">
        <v>444</v>
      </c>
      <c r="D84" s="142"/>
      <c r="E84" s="142"/>
      <c r="F84" s="154">
        <f>ROUND(VLOOKUP($B84,'Prior Historical'!$A$5:$U$500,COLUMNS($F84:F84)+6,FALSE)/1000,3)</f>
        <v>-787.75699999999995</v>
      </c>
      <c r="G84" s="154">
        <f>ROUND(VLOOKUP($B84,'Prior Historical'!$A$5:$U$500,COLUMNS($F84:G84)+6,FALSE)/1000,3)</f>
        <v>-781.65800000000002</v>
      </c>
      <c r="H84" s="154">
        <f>ROUND(VLOOKUP($B84,'Prior Historical'!$A$5:$U$500,COLUMNS($F84:H84)+6,FALSE)/1000,3)</f>
        <v>-775.55899999999997</v>
      </c>
      <c r="I84" s="154">
        <f>ROUND(VLOOKUP($B84,'Prior Historical'!$A$5:$U$500,COLUMNS($F84:I84)+6,FALSE)/1000,3)</f>
        <v>-769.46100000000001</v>
      </c>
      <c r="J84" s="154">
        <f>ROUND(VLOOKUP($B84,'Prior Historical'!$A$5:$U$500,COLUMNS($F84:J84)+6,FALSE)/1000,3)</f>
        <v>-763.36199999999997</v>
      </c>
      <c r="K84" s="154">
        <f>ROUND(VLOOKUP($B84,'Prior Historical'!$A$5:$U$500,COLUMNS($F84:K84)+6,FALSE)/1000,3)</f>
        <v>-757.26400000000001</v>
      </c>
      <c r="L84" s="154">
        <f>ROUND(VLOOKUP($B84,'Prior Historical'!$A$5:$U$500,COLUMNS($F84:L84)+6,FALSE)/1000,3)</f>
        <v>-751.16499999999996</v>
      </c>
      <c r="M84" s="154">
        <f>ROUND(VLOOKUP($B84,'Prior Historical'!$A$5:$U$500,COLUMNS($F84:M84)+6,FALSE)/1000,3)</f>
        <v>-745.06600000000003</v>
      </c>
      <c r="N84" s="154">
        <f>ROUND(VLOOKUP($B84,'Prior Historical'!$A$5:$U$500,COLUMNS($F84:N84)+6,FALSE)/1000,3)</f>
        <v>-738.96799999999996</v>
      </c>
      <c r="O84" s="154">
        <f>ROUND(VLOOKUP($B84,'Prior Historical'!$A$5:$U$500,COLUMNS($F84:O84)+6,FALSE)/1000,3)</f>
        <v>-732.86900000000003</v>
      </c>
      <c r="P84" s="154">
        <f>ROUND(VLOOKUP($B84,'Prior Historical'!$A$5:$U$500,COLUMNS($F84:P84)+6,FALSE)/1000,3)</f>
        <v>-726.77099999999996</v>
      </c>
      <c r="Q84" s="154">
        <f>ROUND(VLOOKUP($B84,'Prior Historical'!$A$5:$U$500,COLUMNS($F84:Q84)+6,FALSE)/1000,3)</f>
        <v>-720.67200000000003</v>
      </c>
      <c r="R84" s="154">
        <f>ROUND(VLOOKUP($B84,'Prior Historical'!$A$5:$U$500,COLUMNS($F84:R84)+6,FALSE)/1000,3)</f>
        <v>-714.57399999999996</v>
      </c>
      <c r="S84" s="155">
        <f>(SUM(F84:R84)/13)</f>
        <v>-751.16507692307698</v>
      </c>
      <c r="T84" s="144" t="s">
        <v>421</v>
      </c>
    </row>
    <row r="85" spans="1:20" ht="15" customHeight="1">
      <c r="A85" s="142">
        <v>21</v>
      </c>
      <c r="B85" s="35"/>
      <c r="C85" s="14"/>
      <c r="D85" s="142" t="s">
        <v>434</v>
      </c>
      <c r="E85" s="142"/>
      <c r="F85" s="27">
        <f t="shared" ref="F85:S85" si="10">SUM(F80:F84)</f>
        <v>4005617.63</v>
      </c>
      <c r="G85" s="27">
        <f t="shared" si="10"/>
        <v>4142768.3470000001</v>
      </c>
      <c r="H85" s="27">
        <f t="shared" si="10"/>
        <v>4101677.2540000002</v>
      </c>
      <c r="I85" s="27">
        <f t="shared" si="10"/>
        <v>4126347.2889999999</v>
      </c>
      <c r="J85" s="27">
        <f t="shared" si="10"/>
        <v>4069847.8839999996</v>
      </c>
      <c r="K85" s="27">
        <f t="shared" si="10"/>
        <v>4190944.2739999997</v>
      </c>
      <c r="L85" s="27">
        <f t="shared" si="10"/>
        <v>4239013.2929999996</v>
      </c>
      <c r="M85" s="27">
        <f t="shared" si="10"/>
        <v>4295448.9520000005</v>
      </c>
      <c r="N85" s="27">
        <f t="shared" si="10"/>
        <v>4367177.97</v>
      </c>
      <c r="O85" s="27">
        <f t="shared" si="10"/>
        <v>4415553.5020000003</v>
      </c>
      <c r="P85" s="27">
        <f t="shared" si="10"/>
        <v>4301470.5240000002</v>
      </c>
      <c r="Q85" s="27">
        <f t="shared" si="10"/>
        <v>4333030.3169999998</v>
      </c>
      <c r="R85" s="27">
        <f t="shared" si="10"/>
        <v>4429398.0709999995</v>
      </c>
      <c r="S85" s="27">
        <f t="shared" si="10"/>
        <v>4232176.5620769225</v>
      </c>
      <c r="T85" s="142"/>
    </row>
    <row r="86" spans="1:20" ht="15" customHeight="1">
      <c r="A86" s="142">
        <v>22</v>
      </c>
      <c r="B86" s="35"/>
      <c r="C86" s="142"/>
      <c r="D86" s="142"/>
      <c r="E86" s="142"/>
      <c r="F86" s="27"/>
      <c r="G86" s="27"/>
      <c r="H86" s="27"/>
      <c r="I86" s="27"/>
      <c r="J86" s="27"/>
      <c r="K86" s="27"/>
      <c r="L86" s="27"/>
      <c r="M86" s="27"/>
      <c r="N86" s="27"/>
      <c r="O86" s="27"/>
      <c r="P86" s="27"/>
      <c r="Q86" s="27"/>
      <c r="R86" s="27"/>
      <c r="S86" s="27"/>
      <c r="T86" s="142"/>
    </row>
    <row r="87" spans="1:20" ht="15" customHeight="1">
      <c r="A87" s="142">
        <v>23</v>
      </c>
      <c r="B87" s="35"/>
      <c r="C87" s="14" t="s">
        <v>445</v>
      </c>
      <c r="D87" s="142"/>
      <c r="E87" s="142"/>
      <c r="F87" s="27"/>
      <c r="G87" s="27"/>
      <c r="H87" s="27"/>
      <c r="I87" s="27"/>
      <c r="J87" s="27"/>
      <c r="K87" s="27"/>
      <c r="L87" s="27"/>
      <c r="M87" s="27"/>
      <c r="N87" s="27"/>
      <c r="O87" s="27"/>
      <c r="P87" s="27"/>
      <c r="Q87" s="27"/>
      <c r="R87" s="27"/>
      <c r="S87" s="27"/>
      <c r="T87" s="142"/>
    </row>
    <row r="88" spans="1:20" ht="15" customHeight="1">
      <c r="A88" s="142">
        <v>24</v>
      </c>
      <c r="B88" s="142"/>
      <c r="C88" s="142"/>
      <c r="D88" s="142"/>
      <c r="E88" s="142"/>
      <c r="F88" s="142"/>
      <c r="G88" s="142"/>
      <c r="H88" s="142"/>
      <c r="I88" s="142"/>
      <c r="J88" s="142"/>
      <c r="K88" s="142"/>
      <c r="L88" s="142"/>
      <c r="M88" s="142"/>
      <c r="N88" s="142"/>
      <c r="O88" s="142"/>
      <c r="P88" s="142"/>
      <c r="Q88" s="142"/>
      <c r="R88" s="142"/>
      <c r="S88" s="142"/>
      <c r="T88" s="142"/>
    </row>
    <row r="89" spans="1:20" ht="15" customHeight="1">
      <c r="A89" s="142">
        <v>25</v>
      </c>
      <c r="B89" s="35" t="s">
        <v>446</v>
      </c>
      <c r="C89" s="14" t="s">
        <v>447</v>
      </c>
      <c r="D89" s="142"/>
      <c r="E89" s="142"/>
      <c r="F89" s="152">
        <f>ROUND(VLOOKUP($B89,'Prior Historical'!$A$5:$U$500,COLUMNS($F89:F89)+6,FALSE)/1000,3)</f>
        <v>2905000</v>
      </c>
      <c r="G89" s="152">
        <f>ROUND(VLOOKUP($B89,'Prior Historical'!$A$5:$U$500,COLUMNS($F89:G89)+6,FALSE)/1000,3)</f>
        <v>2905000</v>
      </c>
      <c r="H89" s="152">
        <f>ROUND(VLOOKUP($B89,'Prior Historical'!$A$5:$U$500,COLUMNS($F89:H89)+6,FALSE)/1000,3)</f>
        <v>2905000</v>
      </c>
      <c r="I89" s="152">
        <f>ROUND(VLOOKUP($B89,'Prior Historical'!$A$5:$U$500,COLUMNS($F89:I89)+6,FALSE)/1000,3)</f>
        <v>2905000</v>
      </c>
      <c r="J89" s="152">
        <f>ROUND(VLOOKUP($B89,'Prior Historical'!$A$5:$U$500,COLUMNS($F89:J89)+6,FALSE)/1000,3)</f>
        <v>2905000</v>
      </c>
      <c r="K89" s="152">
        <f>ROUND(VLOOKUP($B89,'Prior Historical'!$A$5:$U$500,COLUMNS($F89:K89)+6,FALSE)/1000,3)</f>
        <v>2905000</v>
      </c>
      <c r="L89" s="152">
        <f>ROUND(VLOOKUP($B89,'Prior Historical'!$A$5:$U$500,COLUMNS($F89:L89)+6,FALSE)/1000,3)</f>
        <v>2905000</v>
      </c>
      <c r="M89" s="152">
        <f>ROUND(VLOOKUP($B89,'Prior Historical'!$A$5:$U$500,COLUMNS($F89:M89)+6,FALSE)/1000,3)</f>
        <v>3430000</v>
      </c>
      <c r="N89" s="152">
        <f>ROUND(VLOOKUP($B89,'Prior Historical'!$A$5:$U$500,COLUMNS($F89:N89)+6,FALSE)/1000,3)</f>
        <v>3430000</v>
      </c>
      <c r="O89" s="152">
        <f>ROUND(VLOOKUP($B89,'Prior Historical'!$A$5:$U$500,COLUMNS($F89:O89)+6,FALSE)/1000,3)</f>
        <v>3205000</v>
      </c>
      <c r="P89" s="152">
        <f>ROUND(VLOOKUP($B89,'Prior Historical'!$A$5:$U$500,COLUMNS($F89:P89)+6,FALSE)/1000,3)</f>
        <v>3205000</v>
      </c>
      <c r="Q89" s="152">
        <f>ROUND(VLOOKUP($B89,'Prior Historical'!$A$5:$U$500,COLUMNS($F89:Q89)+6,FALSE)/1000,3)</f>
        <v>3205000</v>
      </c>
      <c r="R89" s="152">
        <f>ROUND(VLOOKUP($B89,'Prior Historical'!$A$5:$U$500,COLUMNS($F89:R89)+6,FALSE)/1000,3)</f>
        <v>3205000</v>
      </c>
      <c r="S89" s="150">
        <f>(SUM(F89:R89)/13)</f>
        <v>3078076.923076923</v>
      </c>
      <c r="T89" s="144" t="s">
        <v>421</v>
      </c>
    </row>
    <row r="90" spans="1:20" ht="15" customHeight="1">
      <c r="A90" s="142">
        <v>26</v>
      </c>
      <c r="B90" s="35" t="s">
        <v>448</v>
      </c>
      <c r="C90" s="14" t="s">
        <v>449</v>
      </c>
      <c r="D90" s="142"/>
      <c r="E90" s="142"/>
      <c r="F90" s="27">
        <f>ROUND(IF(ISNA(VLOOKUP($B90,'Prior Historical'!$A$5:$U$500,COLUMNS($F90:F90)+6,FALSE)),0,+(VLOOKUP($B90,'Prior Historical'!$A$5:$U$500,COLUMNS($F90:F90)+6,FALSE)))/1000,3)</f>
        <v>0</v>
      </c>
      <c r="G90" s="27">
        <f>ROUND(IF(ISNA(VLOOKUP($B90,'Prior Historical'!$A$5:$U$500,COLUMNS($F90:G90)+6,FALSE)),0,+(VLOOKUP($B90,'Prior Historical'!$A$5:$U$500,COLUMNS($F90:G90)+6,FALSE)))/1000,3)</f>
        <v>0</v>
      </c>
      <c r="H90" s="27">
        <f>ROUND(IF(ISNA(VLOOKUP($B90,'Prior Historical'!$A$5:$U$500,COLUMNS($F90:H90)+6,FALSE)),0,+(VLOOKUP($B90,'Prior Historical'!$A$5:$U$500,COLUMNS($F90:H90)+6,FALSE)))/1000,3)</f>
        <v>0</v>
      </c>
      <c r="I90" s="27">
        <f>ROUND(IF(ISNA(VLOOKUP($B90,'Prior Historical'!$A$5:$U$500,COLUMNS($F90:I90)+6,FALSE)),0,+(VLOOKUP($B90,'Prior Historical'!$A$5:$U$500,COLUMNS($F90:I90)+6,FALSE)))/1000,3)</f>
        <v>0</v>
      </c>
      <c r="J90" s="27">
        <f>ROUND(IF(ISNA(VLOOKUP($B90,'Prior Historical'!$A$5:$U$500,COLUMNS($F90:J90)+6,FALSE)),0,+(VLOOKUP($B90,'Prior Historical'!$A$5:$U$500,COLUMNS($F90:J90)+6,FALSE)))/1000,3)</f>
        <v>0</v>
      </c>
      <c r="K90" s="27">
        <f>ROUND(IF(ISNA(VLOOKUP($B90,'Prior Historical'!$A$5:$U$500,COLUMNS($F90:K90)+6,FALSE)),0,+(VLOOKUP($B90,'Prior Historical'!$A$5:$U$500,COLUMNS($F90:K90)+6,FALSE)))/1000,3)</f>
        <v>0</v>
      </c>
      <c r="L90" s="27">
        <f>ROUND(IF(ISNA(VLOOKUP($B90,'Prior Historical'!$A$5:$U$500,COLUMNS($F90:L90)+6,FALSE)),0,+(VLOOKUP($B90,'Prior Historical'!$A$5:$U$500,COLUMNS($F90:L90)+6,FALSE)))/1000,3)</f>
        <v>0</v>
      </c>
      <c r="M90" s="27">
        <f>ROUND(IF(ISNA(VLOOKUP($B90,'Prior Historical'!$A$5:$U$500,COLUMNS($F90:M90)+6,FALSE)),0,+(VLOOKUP($B90,'Prior Historical'!$A$5:$U$500,COLUMNS($F90:M90)+6,FALSE)))/1000,3)</f>
        <v>0</v>
      </c>
      <c r="N90" s="27">
        <f>ROUND(IF(ISNA(VLOOKUP($B90,'Prior Historical'!$A$5:$U$500,COLUMNS($F90:N90)+6,FALSE)),0,+(VLOOKUP($B90,'Prior Historical'!$A$5:$U$500,COLUMNS($F90:N90)+6,FALSE)))/1000,3)</f>
        <v>0</v>
      </c>
      <c r="O90" s="27">
        <f>ROUND(IF(ISNA(VLOOKUP($B90,'Prior Historical'!$A$5:$U$500,COLUMNS($F90:O90)+6,FALSE)),0,+(VLOOKUP($B90,'Prior Historical'!$A$5:$U$500,COLUMNS($F90:O90)+6,FALSE)))/1000,3)</f>
        <v>0</v>
      </c>
      <c r="P90" s="27">
        <f>ROUND(IF(ISNA(VLOOKUP($B90,'Prior Historical'!$A$5:$U$500,COLUMNS($F90:P90)+6,FALSE)),0,+(VLOOKUP($B90,'Prior Historical'!$A$5:$U$500,COLUMNS($F90:P90)+6,FALSE)))/1000,3)</f>
        <v>0</v>
      </c>
      <c r="Q90" s="27">
        <f>ROUND(IF(ISNA(VLOOKUP($B90,'Prior Historical'!$A$5:$U$500,COLUMNS($F90:Q90)+6,FALSE)),0,+(VLOOKUP($B90,'Prior Historical'!$A$5:$U$500,COLUMNS($F90:Q90)+6,FALSE)))/1000,3)</f>
        <v>0</v>
      </c>
      <c r="R90" s="27">
        <f>ROUND(IF(ISNA(VLOOKUP($B90,'Prior Historical'!$A$5:$U$500,COLUMNS($F90:R90)+6,FALSE)),0,+(VLOOKUP($B90,'Prior Historical'!$A$5:$U$500,COLUMNS($F90:R90)+6,FALSE)))/1000,3)</f>
        <v>0</v>
      </c>
      <c r="S90" s="150">
        <f>(SUM(F90:R90)/13)</f>
        <v>0</v>
      </c>
      <c r="T90" s="144" t="s">
        <v>421</v>
      </c>
    </row>
    <row r="91" spans="1:20" ht="15" customHeight="1">
      <c r="A91" s="142">
        <v>27</v>
      </c>
      <c r="B91" s="35" t="s">
        <v>450</v>
      </c>
      <c r="C91" s="14" t="s">
        <v>451</v>
      </c>
      <c r="D91" s="142"/>
      <c r="E91" s="142"/>
      <c r="F91" s="154">
        <f>ROUND(VLOOKUP($B91,'Prior Historical'!$A$5:$U$500,COLUMNS($F91:F91)+6,FALSE)/1000,3)</f>
        <v>-9744.2289999999994</v>
      </c>
      <c r="G91" s="154">
        <f>ROUND(VLOOKUP($B91,'Prior Historical'!$A$5:$U$500,COLUMNS($F91:G91)+6,FALSE)/1000,3)</f>
        <v>-9703.4120000000003</v>
      </c>
      <c r="H91" s="154">
        <f>ROUND(VLOOKUP($B91,'Prior Historical'!$A$5:$U$500,COLUMNS($F91:H91)+6,FALSE)/1000,3)</f>
        <v>-9662.5959999999995</v>
      </c>
      <c r="I91" s="154">
        <f>ROUND(VLOOKUP($B91,'Prior Historical'!$A$5:$U$500,COLUMNS($F91:I91)+6,FALSE)/1000,3)</f>
        <v>-9621.7800000000007</v>
      </c>
      <c r="J91" s="154">
        <f>ROUND(VLOOKUP($B91,'Prior Historical'!$A$5:$U$500,COLUMNS($F91:J91)+6,FALSE)/1000,3)</f>
        <v>-9580.9629999999997</v>
      </c>
      <c r="K91" s="154">
        <f>ROUND(VLOOKUP($B91,'Prior Historical'!$A$5:$U$500,COLUMNS($F91:K91)+6,FALSE)/1000,3)</f>
        <v>-9540.1470000000008</v>
      </c>
      <c r="L91" s="154">
        <f>ROUND(VLOOKUP($B91,'Prior Historical'!$A$5:$U$500,COLUMNS($F91:L91)+6,FALSE)/1000,3)</f>
        <v>-9499.3310000000001</v>
      </c>
      <c r="M91" s="154">
        <f>ROUND(VLOOKUP($B91,'Prior Historical'!$A$5:$U$500,COLUMNS($F91:M91)+6,FALSE)/1000,3)</f>
        <v>-9879.1409999999996</v>
      </c>
      <c r="N91" s="154">
        <f>ROUND(VLOOKUP($B91,'Prior Historical'!$A$5:$U$500,COLUMNS($F91:N91)+6,FALSE)/1000,3)</f>
        <v>-9833.25</v>
      </c>
      <c r="O91" s="154">
        <f>ROUND(VLOOKUP($B91,'Prior Historical'!$A$5:$U$500,COLUMNS($F91:O91)+6,FALSE)/1000,3)</f>
        <v>-9787.3590000000004</v>
      </c>
      <c r="P91" s="154">
        <f>ROUND(VLOOKUP($B91,'Prior Historical'!$A$5:$U$500,COLUMNS($F91:P91)+6,FALSE)/1000,3)</f>
        <v>-9743.7559999999994</v>
      </c>
      <c r="Q91" s="154">
        <f>ROUND(VLOOKUP($B91,'Prior Historical'!$A$5:$U$500,COLUMNS($F91:Q91)+6,FALSE)/1000,3)</f>
        <v>-9700.152</v>
      </c>
      <c r="R91" s="154">
        <f>ROUND(VLOOKUP($B91,'Prior Historical'!$A$5:$U$500,COLUMNS($F91:R91)+6,FALSE)/1000,3)</f>
        <v>-9656.5490000000009</v>
      </c>
      <c r="S91" s="155">
        <f>(SUM(F91:R91)/13)</f>
        <v>-9688.6665384615371</v>
      </c>
      <c r="T91" s="144" t="s">
        <v>421</v>
      </c>
    </row>
    <row r="92" spans="1:20" ht="15" customHeight="1">
      <c r="A92" s="142">
        <v>28</v>
      </c>
      <c r="B92" s="35"/>
      <c r="C92" s="14"/>
      <c r="D92" s="142" t="s">
        <v>445</v>
      </c>
      <c r="E92" s="142"/>
      <c r="F92" s="27">
        <f t="shared" ref="F92:S92" si="11">SUM(F89:F91)</f>
        <v>2895255.7710000002</v>
      </c>
      <c r="G92" s="27">
        <f t="shared" si="11"/>
        <v>2895296.588</v>
      </c>
      <c r="H92" s="27">
        <f t="shared" si="11"/>
        <v>2895337.4040000001</v>
      </c>
      <c r="I92" s="27">
        <f t="shared" si="11"/>
        <v>2895378.22</v>
      </c>
      <c r="J92" s="27">
        <f t="shared" si="11"/>
        <v>2895419.037</v>
      </c>
      <c r="K92" s="27">
        <f t="shared" si="11"/>
        <v>2895459.8530000001</v>
      </c>
      <c r="L92" s="27">
        <f t="shared" si="11"/>
        <v>2895500.6690000002</v>
      </c>
      <c r="M92" s="27">
        <f t="shared" si="11"/>
        <v>3420120.8590000002</v>
      </c>
      <c r="N92" s="27">
        <f t="shared" si="11"/>
        <v>3420166.75</v>
      </c>
      <c r="O92" s="27">
        <f t="shared" si="11"/>
        <v>3195212.6409999998</v>
      </c>
      <c r="P92" s="27">
        <f t="shared" si="11"/>
        <v>3195256.2439999999</v>
      </c>
      <c r="Q92" s="27">
        <f t="shared" si="11"/>
        <v>3195299.8480000002</v>
      </c>
      <c r="R92" s="27">
        <f t="shared" si="11"/>
        <v>3195343.4509999999</v>
      </c>
      <c r="S92" s="27">
        <f t="shared" si="11"/>
        <v>3068388.2565384614</v>
      </c>
      <c r="T92" s="142"/>
    </row>
    <row r="93" spans="1:20" ht="15" customHeight="1">
      <c r="A93" s="142">
        <v>29</v>
      </c>
      <c r="B93" s="142"/>
      <c r="C93" s="142"/>
      <c r="D93" s="142"/>
      <c r="E93" s="142"/>
      <c r="F93" s="142"/>
      <c r="G93" s="142"/>
      <c r="H93" s="142"/>
      <c r="I93" s="142"/>
      <c r="J93" s="142"/>
      <c r="K93" s="142"/>
      <c r="L93" s="142"/>
      <c r="M93" s="142"/>
      <c r="N93" s="142"/>
      <c r="O93" s="142"/>
      <c r="P93" s="142"/>
      <c r="Q93" s="142"/>
      <c r="R93" s="142"/>
      <c r="S93" s="142"/>
      <c r="T93" s="142"/>
    </row>
    <row r="94" spans="1:20" ht="15" customHeight="1">
      <c r="A94" s="142">
        <v>30</v>
      </c>
      <c r="B94" s="35"/>
      <c r="C94" s="14"/>
      <c r="D94" s="142"/>
      <c r="E94" s="142"/>
      <c r="F94" s="27"/>
      <c r="G94" s="27"/>
      <c r="H94" s="27"/>
      <c r="I94" s="27"/>
      <c r="J94" s="27"/>
      <c r="K94" s="27"/>
      <c r="L94" s="27"/>
      <c r="M94" s="27"/>
      <c r="N94" s="27"/>
      <c r="O94" s="27"/>
      <c r="P94" s="27"/>
      <c r="Q94" s="27"/>
      <c r="R94" s="27"/>
      <c r="S94" s="27"/>
      <c r="T94" s="142"/>
    </row>
    <row r="95" spans="1:20" ht="15" customHeight="1">
      <c r="A95" s="142">
        <v>31</v>
      </c>
      <c r="B95" s="142"/>
      <c r="C95" s="142"/>
      <c r="D95" s="142"/>
      <c r="E95" s="142"/>
      <c r="F95" s="142"/>
      <c r="G95" s="142"/>
      <c r="H95" s="142"/>
      <c r="I95" s="142"/>
      <c r="J95" s="142"/>
      <c r="K95" s="142"/>
      <c r="L95" s="142"/>
      <c r="M95" s="142"/>
      <c r="N95" s="142"/>
      <c r="O95" s="142"/>
      <c r="P95" s="142"/>
      <c r="Q95" s="142"/>
      <c r="R95" s="142"/>
      <c r="S95" s="142"/>
      <c r="T95" s="142"/>
    </row>
    <row r="96" spans="1:20" ht="15" customHeight="1">
      <c r="A96" s="142">
        <v>32</v>
      </c>
      <c r="B96" s="142"/>
      <c r="C96" s="142"/>
      <c r="D96" s="142"/>
      <c r="E96" s="142"/>
      <c r="F96" s="142"/>
      <c r="G96" s="142"/>
      <c r="H96" s="142"/>
      <c r="I96" s="142"/>
      <c r="J96" s="142"/>
      <c r="K96" s="142"/>
      <c r="L96" s="142"/>
      <c r="M96" s="142"/>
      <c r="N96" s="142"/>
      <c r="O96" s="142"/>
      <c r="P96" s="142"/>
      <c r="Q96" s="142"/>
      <c r="R96" s="142"/>
      <c r="S96" s="142"/>
      <c r="T96" s="142"/>
    </row>
    <row r="97" spans="1:20" ht="15" customHeight="1">
      <c r="A97" s="142">
        <v>33</v>
      </c>
      <c r="B97" s="142"/>
      <c r="C97" s="142"/>
      <c r="D97" s="142"/>
      <c r="E97" s="142"/>
      <c r="F97" s="142"/>
      <c r="G97" s="142"/>
      <c r="H97" s="142"/>
      <c r="I97" s="142"/>
      <c r="J97" s="142"/>
      <c r="K97" s="142"/>
      <c r="L97" s="142"/>
      <c r="M97" s="142"/>
      <c r="N97" s="142"/>
      <c r="O97" s="142"/>
      <c r="P97" s="142"/>
      <c r="Q97" s="142"/>
      <c r="R97" s="142"/>
      <c r="S97" s="142"/>
      <c r="T97" s="142"/>
    </row>
    <row r="98" spans="1:20" ht="15" customHeight="1">
      <c r="A98" s="142">
        <v>34</v>
      </c>
      <c r="B98" s="142"/>
      <c r="C98" s="142"/>
      <c r="D98" s="142"/>
      <c r="E98" s="142"/>
      <c r="F98" s="142"/>
      <c r="G98" s="142"/>
      <c r="H98" s="142"/>
      <c r="I98" s="142"/>
      <c r="J98" s="142"/>
      <c r="K98" s="142"/>
      <c r="L98" s="142"/>
      <c r="M98" s="142"/>
      <c r="N98" s="142"/>
      <c r="O98" s="142"/>
      <c r="P98" s="142"/>
      <c r="Q98" s="142"/>
      <c r="R98" s="142"/>
      <c r="S98" s="142"/>
      <c r="T98" s="142"/>
    </row>
    <row r="99" spans="1:20" ht="15" customHeight="1">
      <c r="A99" s="142">
        <v>35</v>
      </c>
      <c r="B99" s="142"/>
      <c r="C99" s="142"/>
      <c r="D99" s="142"/>
      <c r="E99" s="142"/>
      <c r="F99" s="142"/>
      <c r="G99" s="142"/>
      <c r="H99" s="142"/>
      <c r="I99" s="142"/>
      <c r="J99" s="142"/>
      <c r="K99" s="142"/>
      <c r="L99" s="142"/>
      <c r="M99" s="142"/>
      <c r="N99" s="142"/>
      <c r="O99" s="142"/>
      <c r="P99" s="142"/>
      <c r="Q99" s="142"/>
      <c r="R99" s="142"/>
      <c r="S99" s="142"/>
      <c r="T99" s="142"/>
    </row>
    <row r="100" spans="1:20" ht="15" customHeight="1">
      <c r="A100" s="142">
        <v>36</v>
      </c>
      <c r="B100" s="142"/>
      <c r="C100" s="14"/>
      <c r="D100" s="142"/>
      <c r="E100" s="142"/>
      <c r="F100" s="27"/>
      <c r="G100" s="161"/>
      <c r="H100" s="161"/>
      <c r="I100" s="161"/>
      <c r="J100" s="161"/>
      <c r="K100" s="161"/>
      <c r="L100" s="161"/>
      <c r="M100" s="161"/>
      <c r="N100" s="161"/>
      <c r="O100" s="161"/>
      <c r="P100" s="161"/>
      <c r="Q100" s="161"/>
      <c r="R100" s="161"/>
      <c r="S100" s="161"/>
      <c r="T100" s="142"/>
    </row>
    <row r="101" spans="1:20" ht="15" customHeight="1">
      <c r="A101" s="142">
        <v>37</v>
      </c>
      <c r="B101" s="142"/>
      <c r="C101" s="14"/>
      <c r="D101" s="142"/>
      <c r="E101" s="142"/>
      <c r="F101" s="27"/>
      <c r="G101" s="161"/>
      <c r="H101" s="161"/>
      <c r="I101" s="161"/>
      <c r="J101" s="161"/>
      <c r="K101" s="161"/>
      <c r="L101" s="161"/>
      <c r="M101" s="161"/>
      <c r="N101" s="161"/>
      <c r="O101" s="161"/>
      <c r="P101" s="161"/>
      <c r="Q101" s="161"/>
      <c r="R101" s="161"/>
      <c r="S101" s="161"/>
      <c r="T101" s="142"/>
    </row>
    <row r="102" spans="1:20" ht="15" customHeight="1">
      <c r="A102" s="142">
        <v>38</v>
      </c>
      <c r="B102" s="142"/>
      <c r="C102" s="14"/>
      <c r="D102" s="142"/>
      <c r="E102" s="142"/>
      <c r="F102" s="27"/>
      <c r="G102" s="161"/>
      <c r="H102" s="161"/>
      <c r="I102" s="161"/>
      <c r="J102" s="161"/>
      <c r="K102" s="161"/>
      <c r="L102" s="161"/>
      <c r="M102" s="161"/>
      <c r="N102" s="161"/>
      <c r="O102" s="161"/>
      <c r="P102" s="161"/>
      <c r="Q102" s="161"/>
      <c r="R102" s="161"/>
      <c r="S102" s="161"/>
      <c r="T102" s="142"/>
    </row>
    <row r="103" spans="1:20" ht="15" customHeight="1">
      <c r="A103" s="142">
        <v>39</v>
      </c>
      <c r="B103" s="142"/>
      <c r="C103" s="14"/>
      <c r="D103" s="142"/>
      <c r="E103" s="142"/>
      <c r="F103" s="27"/>
      <c r="G103" s="161"/>
      <c r="H103" s="161"/>
      <c r="I103" s="161"/>
      <c r="J103" s="161"/>
      <c r="K103" s="161"/>
      <c r="L103" s="161"/>
      <c r="M103" s="161"/>
      <c r="N103" s="161"/>
      <c r="O103" s="161"/>
      <c r="P103" s="161"/>
      <c r="Q103" s="161"/>
      <c r="R103" s="161"/>
      <c r="S103" s="161"/>
      <c r="T103" s="142"/>
    </row>
    <row r="104" spans="1:20" ht="15" customHeight="1">
      <c r="A104" s="142">
        <v>40</v>
      </c>
      <c r="B104" s="142"/>
      <c r="C104" s="14"/>
      <c r="D104" s="142"/>
      <c r="E104" s="142"/>
      <c r="F104" s="27"/>
      <c r="G104" s="161"/>
      <c r="H104" s="161"/>
      <c r="I104" s="161"/>
      <c r="J104" s="161"/>
      <c r="K104" s="161"/>
      <c r="L104" s="161"/>
      <c r="M104" s="161"/>
      <c r="N104" s="161"/>
      <c r="O104" s="161"/>
      <c r="P104" s="161"/>
      <c r="Q104" s="161"/>
      <c r="R104" s="161"/>
      <c r="S104" s="161"/>
      <c r="T104" s="142"/>
    </row>
    <row r="105" spans="1:20" ht="15" customHeight="1">
      <c r="A105" s="142">
        <v>41</v>
      </c>
      <c r="B105" s="142"/>
      <c r="C105" s="142"/>
      <c r="D105" s="142"/>
      <c r="E105" s="142"/>
      <c r="F105" s="142"/>
      <c r="G105" s="142"/>
      <c r="H105" s="142"/>
      <c r="I105" s="142"/>
      <c r="J105" s="142"/>
      <c r="K105" s="142"/>
      <c r="L105" s="142"/>
      <c r="M105" s="142"/>
      <c r="N105" s="142"/>
      <c r="O105" s="142"/>
      <c r="P105" s="142"/>
      <c r="Q105" s="142"/>
      <c r="R105" s="142"/>
      <c r="S105" s="142"/>
      <c r="T105" s="142"/>
    </row>
    <row r="106" spans="1:20" ht="15" customHeight="1">
      <c r="A106" s="142">
        <v>42</v>
      </c>
      <c r="B106" s="142" t="s">
        <v>417</v>
      </c>
      <c r="C106" s="4"/>
      <c r="D106" s="4"/>
      <c r="E106" s="4"/>
      <c r="F106" s="37"/>
      <c r="G106" s="37"/>
      <c r="H106" s="37"/>
      <c r="I106" s="37"/>
      <c r="J106" s="37"/>
      <c r="K106" s="37"/>
      <c r="L106" s="37"/>
      <c r="M106" s="37"/>
      <c r="N106" s="37"/>
      <c r="O106" s="37"/>
      <c r="P106" s="37"/>
      <c r="Q106" s="37"/>
    </row>
    <row r="107" spans="1:20" ht="15" customHeight="1" thickBot="1">
      <c r="A107" s="145">
        <v>43</v>
      </c>
      <c r="B107" s="145" t="s">
        <v>67</v>
      </c>
      <c r="C107" s="1"/>
      <c r="D107" s="1"/>
      <c r="E107" s="1"/>
      <c r="F107" s="1"/>
      <c r="G107" s="1"/>
      <c r="H107" s="1"/>
      <c r="I107" s="1"/>
      <c r="J107" s="1"/>
      <c r="K107" s="1"/>
      <c r="L107" s="1"/>
      <c r="M107" s="1"/>
      <c r="N107" s="1"/>
      <c r="O107" s="1"/>
      <c r="P107" s="1"/>
      <c r="Q107" s="1"/>
      <c r="R107" s="1"/>
      <c r="S107" s="1"/>
      <c r="T107" s="100"/>
    </row>
    <row r="108" spans="1:20" ht="15" customHeight="1">
      <c r="A108" s="4" t="s">
        <v>180</v>
      </c>
      <c r="B108" s="5"/>
      <c r="C108" s="5"/>
      <c r="D108" s="5"/>
      <c r="E108" s="5"/>
      <c r="F108" s="5"/>
      <c r="G108" s="5"/>
      <c r="H108" s="5"/>
      <c r="I108" s="5"/>
      <c r="J108" s="5"/>
      <c r="K108" s="5"/>
      <c r="L108" s="5"/>
      <c r="M108" s="5"/>
      <c r="N108" s="5"/>
      <c r="O108" s="5"/>
      <c r="P108" s="5"/>
      <c r="Q108" s="5"/>
      <c r="R108" s="5" t="s">
        <v>181</v>
      </c>
      <c r="S108" s="5"/>
      <c r="T108" s="5"/>
    </row>
    <row r="109" spans="1:20" ht="15" customHeight="1" thickBot="1">
      <c r="A109" s="574" t="s">
        <v>340</v>
      </c>
      <c r="B109" s="574"/>
      <c r="C109" s="574"/>
      <c r="D109" s="574"/>
      <c r="E109" s="574"/>
      <c r="F109" s="574"/>
      <c r="G109" s="574"/>
      <c r="H109" s="574"/>
      <c r="I109" s="574" t="str">
        <f>+$I$1</f>
        <v>13 MONTH AVERAGE BALANCE SHEET - SYSTEM BASIS</v>
      </c>
      <c r="J109" s="574"/>
      <c r="K109" s="574"/>
      <c r="L109" s="574"/>
      <c r="M109" s="574"/>
      <c r="N109" s="574"/>
      <c r="O109" s="574"/>
      <c r="P109" s="574"/>
      <c r="Q109" s="574"/>
      <c r="R109" s="574"/>
      <c r="S109" s="574"/>
      <c r="T109" s="575" t="s">
        <v>72</v>
      </c>
    </row>
    <row r="110" spans="1:20" ht="15" customHeight="1">
      <c r="A110" s="4" t="s">
        <v>4</v>
      </c>
      <c r="B110" s="4"/>
      <c r="C110" s="4"/>
      <c r="D110" s="4"/>
      <c r="E110" s="4"/>
      <c r="F110" s="4" t="s">
        <v>343</v>
      </c>
      <c r="G110" s="4" t="str">
        <f>+$G$2</f>
        <v>Derive the 13-month average system balance sheet by primary account by month for the test year, the prior year</v>
      </c>
      <c r="H110" s="5"/>
      <c r="I110" s="5"/>
      <c r="J110" s="6"/>
      <c r="K110" s="6"/>
      <c r="L110" s="4"/>
      <c r="M110" s="6"/>
      <c r="N110" s="6"/>
      <c r="O110" s="6"/>
      <c r="P110" s="6"/>
      <c r="Q110" s="6" t="s">
        <v>7</v>
      </c>
      <c r="R110" s="4"/>
      <c r="S110" s="4"/>
      <c r="T110" s="7"/>
    </row>
    <row r="111" spans="1:20" ht="15" customHeight="1">
      <c r="A111" s="4"/>
      <c r="B111" s="4"/>
      <c r="C111" s="4"/>
      <c r="D111" s="4"/>
      <c r="E111" s="4"/>
      <c r="F111" s="4"/>
      <c r="G111" s="4" t="str">
        <f>+$G$3</f>
        <v>and the most recent historical year.  For accounts including non-electric utility amounts, show these</v>
      </c>
      <c r="H111" s="5"/>
      <c r="I111" s="5"/>
      <c r="J111" s="9"/>
      <c r="K111" s="7"/>
      <c r="L111" s="4"/>
      <c r="M111" s="4"/>
      <c r="N111" s="4"/>
      <c r="O111" s="4"/>
      <c r="P111" s="9"/>
      <c r="Q111" s="9"/>
      <c r="R111" s="7" t="str">
        <f>+$R$3</f>
        <v xml:space="preserve">Projected Test Year Ended </v>
      </c>
      <c r="S111" s="4"/>
      <c r="T111" s="9"/>
    </row>
    <row r="112" spans="1:20" ht="15" customHeight="1">
      <c r="A112" s="4" t="s">
        <v>10</v>
      </c>
      <c r="B112" s="4"/>
      <c r="C112" s="4"/>
      <c r="D112" s="4"/>
      <c r="E112" s="4"/>
      <c r="F112" s="4"/>
      <c r="G112" s="4" t="str">
        <f>+$G$4</f>
        <v>amounts as a separate sub-account.</v>
      </c>
      <c r="H112" s="4"/>
      <c r="I112" s="4"/>
      <c r="J112" s="9"/>
      <c r="K112" s="7"/>
      <c r="L112" s="9"/>
      <c r="M112" s="4"/>
      <c r="N112" s="4"/>
      <c r="O112" s="4"/>
      <c r="P112" s="4"/>
      <c r="Q112" s="9"/>
      <c r="R112" s="7" t="str">
        <f>+$R$4</f>
        <v xml:space="preserve">Projected Prior Year Ended </v>
      </c>
      <c r="S112" s="4"/>
      <c r="T112" s="9"/>
    </row>
    <row r="113" spans="1:20" ht="15" customHeight="1">
      <c r="A113" s="4"/>
      <c r="B113" s="4"/>
      <c r="C113" s="4"/>
      <c r="D113" s="4"/>
      <c r="E113" s="4"/>
      <c r="F113" s="4"/>
      <c r="G113" s="4"/>
      <c r="H113" s="4"/>
      <c r="I113" s="4"/>
      <c r="J113" s="9"/>
      <c r="K113" s="7"/>
      <c r="L113" s="9"/>
      <c r="M113" s="4"/>
      <c r="N113" s="4"/>
      <c r="O113" s="4"/>
      <c r="P113" s="4"/>
      <c r="Q113" s="9"/>
      <c r="R113" s="7" t="str">
        <f>+$R$5</f>
        <v xml:space="preserve">Historical Prior Year Ended </v>
      </c>
      <c r="S113" s="4"/>
      <c r="T113" s="9"/>
    </row>
    <row r="114" spans="1:20" ht="15" customHeight="1" thickBot="1">
      <c r="A114" s="2" t="s">
        <v>517</v>
      </c>
      <c r="B114" s="2"/>
      <c r="C114" s="1"/>
      <c r="D114" s="1"/>
      <c r="E114" s="1"/>
      <c r="F114" s="1"/>
      <c r="G114" s="1"/>
      <c r="H114" s="1"/>
      <c r="I114" s="2" t="s">
        <v>15</v>
      </c>
      <c r="J114" s="10"/>
      <c r="K114" s="1"/>
      <c r="L114" s="1"/>
      <c r="M114" s="1"/>
      <c r="N114" s="1"/>
      <c r="O114" s="1"/>
      <c r="P114" s="1"/>
      <c r="Q114" s="1"/>
      <c r="R114" s="2" t="str">
        <f>R60</f>
        <v>Witness:</v>
      </c>
      <c r="S114" s="1"/>
      <c r="T114" s="1"/>
    </row>
    <row r="115" spans="1:20" ht="15" customHeight="1">
      <c r="A115" s="142"/>
      <c r="B115" s="142"/>
      <c r="C115" s="143"/>
      <c r="D115" s="143"/>
      <c r="E115" s="143"/>
      <c r="F115" s="143" t="s">
        <v>17</v>
      </c>
      <c r="G115" s="143" t="s">
        <v>18</v>
      </c>
      <c r="H115" s="143" t="s">
        <v>19</v>
      </c>
      <c r="I115" s="143" t="s">
        <v>20</v>
      </c>
      <c r="J115" s="143" t="s">
        <v>21</v>
      </c>
      <c r="K115" s="143" t="s">
        <v>22</v>
      </c>
      <c r="L115" s="143" t="s">
        <v>23</v>
      </c>
      <c r="M115" s="143" t="s">
        <v>24</v>
      </c>
      <c r="N115" s="143" t="s">
        <v>25</v>
      </c>
      <c r="O115" s="143" t="s">
        <v>26</v>
      </c>
      <c r="P115" s="143" t="s">
        <v>348</v>
      </c>
      <c r="Q115" s="143" t="s">
        <v>349</v>
      </c>
      <c r="R115" s="143" t="s">
        <v>350</v>
      </c>
      <c r="S115" s="143" t="s">
        <v>351</v>
      </c>
      <c r="T115" s="143" t="s">
        <v>352</v>
      </c>
    </row>
    <row r="116" spans="1:20" ht="15" customHeight="1">
      <c r="A116" s="142"/>
      <c r="B116" s="142"/>
      <c r="C116" s="142"/>
      <c r="D116" s="142"/>
      <c r="E116" s="142"/>
      <c r="F116" s="144"/>
      <c r="G116" s="144"/>
      <c r="H116" s="144"/>
      <c r="I116" s="144"/>
      <c r="J116" s="144"/>
      <c r="K116" s="144"/>
      <c r="L116" s="144"/>
      <c r="M116" s="144"/>
      <c r="N116" s="144"/>
      <c r="O116" s="144"/>
      <c r="P116" s="144"/>
      <c r="Q116" s="144"/>
      <c r="R116" s="144"/>
      <c r="S116" s="144" t="s">
        <v>353</v>
      </c>
      <c r="T116" s="144" t="s">
        <v>354</v>
      </c>
    </row>
    <row r="117" spans="1:20" ht="15" customHeight="1">
      <c r="A117" s="142" t="s">
        <v>35</v>
      </c>
      <c r="B117" s="144" t="s">
        <v>355</v>
      </c>
      <c r="C117" s="144" t="s">
        <v>356</v>
      </c>
      <c r="D117" s="144"/>
      <c r="E117" s="144"/>
      <c r="F117" s="144" t="s">
        <v>357</v>
      </c>
      <c r="G117" s="144" t="s">
        <v>358</v>
      </c>
      <c r="H117" s="144" t="s">
        <v>359</v>
      </c>
      <c r="I117" s="144" t="s">
        <v>360</v>
      </c>
      <c r="J117" s="144" t="s">
        <v>361</v>
      </c>
      <c r="K117" s="144" t="s">
        <v>362</v>
      </c>
      <c r="L117" s="144" t="s">
        <v>363</v>
      </c>
      <c r="M117" s="144" t="s">
        <v>364</v>
      </c>
      <c r="N117" s="144" t="s">
        <v>365</v>
      </c>
      <c r="O117" s="144" t="s">
        <v>366</v>
      </c>
      <c r="P117" s="144" t="s">
        <v>367</v>
      </c>
      <c r="Q117" s="144" t="s">
        <v>368</v>
      </c>
      <c r="R117" s="144" t="s">
        <v>357</v>
      </c>
      <c r="S117" s="144" t="s">
        <v>369</v>
      </c>
      <c r="T117" s="144" t="s">
        <v>370</v>
      </c>
    </row>
    <row r="118" spans="1:20" ht="15" customHeight="1" thickBot="1">
      <c r="A118" s="145" t="s">
        <v>46</v>
      </c>
      <c r="B118" s="146" t="s">
        <v>371</v>
      </c>
      <c r="C118" s="146" t="s">
        <v>372</v>
      </c>
      <c r="D118" s="146"/>
      <c r="E118" s="146"/>
      <c r="F118" s="147">
        <v>2021</v>
      </c>
      <c r="G118" s="147">
        <v>2022</v>
      </c>
      <c r="H118" s="147">
        <v>2022</v>
      </c>
      <c r="I118" s="147">
        <v>2022</v>
      </c>
      <c r="J118" s="147">
        <v>2022</v>
      </c>
      <c r="K118" s="147">
        <v>2022</v>
      </c>
      <c r="L118" s="147">
        <v>2022</v>
      </c>
      <c r="M118" s="147">
        <v>2022</v>
      </c>
      <c r="N118" s="147">
        <v>2022</v>
      </c>
      <c r="O118" s="147">
        <v>2022</v>
      </c>
      <c r="P118" s="147">
        <v>2022</v>
      </c>
      <c r="Q118" s="147">
        <v>2022</v>
      </c>
      <c r="R118" s="147">
        <v>2022</v>
      </c>
      <c r="S118" s="147">
        <v>2022</v>
      </c>
      <c r="T118" s="146" t="s">
        <v>373</v>
      </c>
    </row>
    <row r="119" spans="1:20" ht="15" customHeight="1">
      <c r="A119" s="142">
        <v>1</v>
      </c>
      <c r="B119" s="142"/>
      <c r="C119" s="142" t="s">
        <v>337</v>
      </c>
      <c r="D119" s="142"/>
      <c r="E119" s="142"/>
      <c r="F119" s="142"/>
      <c r="G119" s="142"/>
      <c r="H119" s="142"/>
      <c r="I119" s="142"/>
      <c r="J119" s="142"/>
      <c r="K119" s="142"/>
      <c r="L119" s="142"/>
      <c r="M119" s="142"/>
      <c r="N119" s="142"/>
      <c r="O119" s="142"/>
      <c r="P119" s="142"/>
      <c r="Q119" s="142"/>
      <c r="R119" s="142"/>
      <c r="S119" s="142"/>
      <c r="T119" s="142"/>
    </row>
    <row r="120" spans="1:20" ht="15" customHeight="1">
      <c r="A120" s="142">
        <v>2</v>
      </c>
      <c r="B120" s="151" t="s">
        <v>453</v>
      </c>
      <c r="C120" s="14" t="s">
        <v>296</v>
      </c>
      <c r="D120" s="142"/>
      <c r="E120" s="142"/>
      <c r="F120" s="27">
        <f>ROUND(IF(ISNA(VLOOKUP($B120,'Prior Historical'!$A$5:$U$500,COLUMNS($F120:F120)+6,FALSE)),0,+(VLOOKUP($B120,'Prior Historical'!$A$5:$U$500,COLUMNS($F120:F120)+6,FALSE)))/1000,3)</f>
        <v>26519.71</v>
      </c>
      <c r="G120" s="27">
        <f>ROUND(IF(ISNA(VLOOKUP($B120,'Prior Historical'!$A$5:$U$500,COLUMNS($F120:G120)+6,FALSE)),0,+(VLOOKUP($B120,'Prior Historical'!$A$5:$U$500,COLUMNS($F120:G120)+6,FALSE)))/1000,3)</f>
        <v>26490.588</v>
      </c>
      <c r="H120" s="27">
        <f>ROUND(IF(ISNA(VLOOKUP($B120,'Prior Historical'!$A$5:$U$500,COLUMNS($F120:H120)+6,FALSE)),0,+(VLOOKUP($B120,'Prior Historical'!$A$5:$U$500,COLUMNS($F120:H120)+6,FALSE)))/1000,3)</f>
        <v>26461.412</v>
      </c>
      <c r="I120" s="27">
        <f>ROUND(IF(ISNA(VLOOKUP($B120,'Prior Historical'!$A$5:$U$500,COLUMNS($F120:I120)+6,FALSE)),0,+(VLOOKUP($B120,'Prior Historical'!$A$5:$U$500,COLUMNS($F120:I120)+6,FALSE)))/1000,3)</f>
        <v>25999.755000000001</v>
      </c>
      <c r="J120" s="27">
        <f>ROUND(IF(ISNA(VLOOKUP($B120,'Prior Historical'!$A$5:$U$500,COLUMNS($F120:J120)+6,FALSE)),0,+(VLOOKUP($B120,'Prior Historical'!$A$5:$U$500,COLUMNS($F120:J120)+6,FALSE)))/1000,3)</f>
        <v>25970.472000000002</v>
      </c>
      <c r="K120" s="27">
        <f>ROUND(IF(ISNA(VLOOKUP($B120,'Prior Historical'!$A$5:$U$500,COLUMNS($F120:K120)+6,FALSE)),0,+(VLOOKUP($B120,'Prior Historical'!$A$5:$U$500,COLUMNS($F120:K120)+6,FALSE)))/1000,3)</f>
        <v>25940.654999999999</v>
      </c>
      <c r="L120" s="27">
        <f>ROUND(IF(ISNA(VLOOKUP($B120,'Prior Historical'!$A$5:$U$500,COLUMNS($F120:L120)+6,FALSE)),0,+(VLOOKUP($B120,'Prior Historical'!$A$5:$U$500,COLUMNS($F120:L120)+6,FALSE)))/1000,3)</f>
        <v>25474.188999999998</v>
      </c>
      <c r="M120" s="27">
        <f>ROUND(IF(ISNA(VLOOKUP($B120,'Prior Historical'!$A$5:$U$500,COLUMNS($F120:M120)+6,FALSE)),0,+(VLOOKUP($B120,'Prior Historical'!$A$5:$U$500,COLUMNS($F120:M120)+6,FALSE)))/1000,3)</f>
        <v>25443.401999999998</v>
      </c>
      <c r="N120" s="27">
        <f>ROUND(IF(ISNA(VLOOKUP($B120,'Prior Historical'!$A$5:$U$500,COLUMNS($F120:N120)+6,FALSE)),0,+(VLOOKUP($B120,'Prior Historical'!$A$5:$U$500,COLUMNS($F120:N120)+6,FALSE)))/1000,3)</f>
        <v>25412.556</v>
      </c>
      <c r="O120" s="27">
        <f>ROUND(IF(ISNA(VLOOKUP($B120,'Prior Historical'!$A$5:$U$500,COLUMNS($F120:O120)+6,FALSE)),0,+(VLOOKUP($B120,'Prior Historical'!$A$5:$U$500,COLUMNS($F120:O120)+6,FALSE)))/1000,3)</f>
        <v>24940.93</v>
      </c>
      <c r="P120" s="27">
        <f>ROUND(IF(ISNA(VLOOKUP($B120,'Prior Historical'!$A$5:$U$500,COLUMNS($F120:P120)+6,FALSE)),0,+(VLOOKUP($B120,'Prior Historical'!$A$5:$U$500,COLUMNS($F120:P120)+6,FALSE)))/1000,3)</f>
        <v>24909.967000000001</v>
      </c>
      <c r="Q120" s="27">
        <f>ROUND(IF(ISNA(VLOOKUP($B120,'Prior Historical'!$A$5:$U$500,COLUMNS($F120:Q120)+6,FALSE)),0,+(VLOOKUP($B120,'Prior Historical'!$A$5:$U$500,COLUMNS($F120:Q120)+6,FALSE)))/1000,3)</f>
        <v>24878.947</v>
      </c>
      <c r="R120" s="27">
        <f>ROUND(IF(ISNA(VLOOKUP($B120,'Prior Historical'!$A$5:$U$500,COLUMNS($F120:R120)+6,FALSE)),0,+(VLOOKUP($B120,'Prior Historical'!$A$5:$U$500,COLUMNS($F120:R120)+6,FALSE)))/1000,3)</f>
        <v>24402.977999999999</v>
      </c>
      <c r="S120" s="150">
        <f t="shared" ref="S120:S126" si="12">(SUM(F120:R120)/13)</f>
        <v>25603.504692307692</v>
      </c>
      <c r="T120" s="144" t="s">
        <v>118</v>
      </c>
    </row>
    <row r="121" spans="1:20" ht="15" customHeight="1">
      <c r="A121" s="142">
        <v>3</v>
      </c>
      <c r="B121" s="151" t="s">
        <v>454</v>
      </c>
      <c r="C121" s="14" t="s">
        <v>338</v>
      </c>
      <c r="D121" s="142"/>
      <c r="E121" s="142"/>
      <c r="F121" s="27">
        <f>ROUND(VLOOKUP($B121,'Prior Historical'!$B$5:$U$500,COLUMNS($F121:F121)+5,FALSE)/1000,3)</f>
        <v>45575.529000000002</v>
      </c>
      <c r="G121" s="27">
        <f>ROUND(VLOOKUP($B121,'Prior Historical'!$B$5:$U$500,COLUMNS($F121:G121)+5,FALSE)/1000,3)</f>
        <v>45575.529000000002</v>
      </c>
      <c r="H121" s="27">
        <f>ROUND(VLOOKUP($B121,'Prior Historical'!$B$5:$U$500,COLUMNS($F121:H121)+5,FALSE)/1000,3)</f>
        <v>45575.529000000002</v>
      </c>
      <c r="I121" s="27">
        <f>ROUND(VLOOKUP($B121,'Prior Historical'!$B$5:$U$500,COLUMNS($F121:I121)+5,FALSE)/1000,3)</f>
        <v>45575.529000000002</v>
      </c>
      <c r="J121" s="27">
        <f>ROUND(VLOOKUP($B121,'Prior Historical'!$B$5:$U$500,COLUMNS($F121:J121)+5,FALSE)/1000,3)</f>
        <v>45575.529000000002</v>
      </c>
      <c r="K121" s="27">
        <f>ROUND(VLOOKUP($B121,'Prior Historical'!$B$5:$U$500,COLUMNS($F121:K121)+5,FALSE)/1000,3)</f>
        <v>45575.529000000002</v>
      </c>
      <c r="L121" s="27">
        <f>ROUND(VLOOKUP($B121,'Prior Historical'!$B$5:$U$500,COLUMNS($F121:L121)+5,FALSE)/1000,3)</f>
        <v>45575.529000000002</v>
      </c>
      <c r="M121" s="27">
        <f>ROUND(VLOOKUP($B121,'Prior Historical'!$B$5:$U$500,COLUMNS($F121:M121)+5,FALSE)/1000,3)</f>
        <v>45575.529000000002</v>
      </c>
      <c r="N121" s="27">
        <f>ROUND(VLOOKUP($B121,'Prior Historical'!$B$5:$U$500,COLUMNS($F121:N121)+5,FALSE)/1000,3)</f>
        <v>45504.828999999998</v>
      </c>
      <c r="O121" s="27">
        <f>ROUND(VLOOKUP($B121,'Prior Historical'!$B$5:$U$500,COLUMNS($F121:O121)+5,FALSE)/1000,3)</f>
        <v>-21305.170999999998</v>
      </c>
      <c r="P121" s="27">
        <f>ROUND(VLOOKUP($B121,'Prior Historical'!$B$5:$U$500,COLUMNS($F121:P121)+5,FALSE)/1000,3)</f>
        <v>-82895.171000000002</v>
      </c>
      <c r="Q121" s="27">
        <f>ROUND(VLOOKUP($B121,'Prior Historical'!$B$5:$U$500,COLUMNS($F121:Q121)+5,FALSE)/1000,3)</f>
        <v>-82426.194000000003</v>
      </c>
      <c r="R121" s="27">
        <f>ROUND(VLOOKUP($B121,'Prior Historical'!$B$5:$U$500,COLUMNS($F121:R121)+5,FALSE)/1000,3)</f>
        <v>0</v>
      </c>
      <c r="S121" s="150">
        <f t="shared" si="12"/>
        <v>17190.963461538464</v>
      </c>
      <c r="T121" s="144" t="s">
        <v>118</v>
      </c>
    </row>
    <row r="122" spans="1:20" ht="15" customHeight="1">
      <c r="A122" s="142">
        <v>4</v>
      </c>
      <c r="B122" s="151" t="s">
        <v>455</v>
      </c>
      <c r="C122" s="14" t="s">
        <v>456</v>
      </c>
      <c r="D122" s="142"/>
      <c r="E122" s="142"/>
      <c r="F122" s="27">
        <f>ROUND(VLOOKUP($B122,'Prior Historical'!$B$5:$U$500,COLUMNS($F122:F122)+5,FALSE)/1000,3)</f>
        <v>8860.8379999999997</v>
      </c>
      <c r="G122" s="27">
        <f>ROUND(VLOOKUP($B122,'Prior Historical'!$B$5:$U$500,COLUMNS($F122:G122)+5,FALSE)/1000,3)</f>
        <v>8901.125</v>
      </c>
      <c r="H122" s="27">
        <f>ROUND(VLOOKUP($B122,'Prior Historical'!$B$5:$U$500,COLUMNS($F122:H122)+5,FALSE)/1000,3)</f>
        <v>8663.4009999999998</v>
      </c>
      <c r="I122" s="27">
        <f>ROUND(VLOOKUP($B122,'Prior Historical'!$B$5:$U$500,COLUMNS($F122:I122)+5,FALSE)/1000,3)</f>
        <v>9256.4279999999999</v>
      </c>
      <c r="J122" s="27">
        <f>ROUND(VLOOKUP($B122,'Prior Historical'!$B$5:$U$500,COLUMNS($F122:J122)+5,FALSE)/1000,3)</f>
        <v>9318.61</v>
      </c>
      <c r="K122" s="27">
        <f>ROUND(VLOOKUP($B122,'Prior Historical'!$B$5:$U$500,COLUMNS($F122:K122)+5,FALSE)/1000,3)</f>
        <v>9428.48</v>
      </c>
      <c r="L122" s="27">
        <f>ROUND(VLOOKUP($B122,'Prior Historical'!$B$5:$U$500,COLUMNS($F122:L122)+5,FALSE)/1000,3)</f>
        <v>9102.2659999999996</v>
      </c>
      <c r="M122" s="27">
        <f>ROUND(VLOOKUP($B122,'Prior Historical'!$B$5:$U$500,COLUMNS($F122:M122)+5,FALSE)/1000,3)</f>
        <v>8972.5529999999999</v>
      </c>
      <c r="N122" s="27">
        <f>ROUND(VLOOKUP($B122,'Prior Historical'!$B$5:$U$500,COLUMNS($F122:N122)+5,FALSE)/1000,3)</f>
        <v>8672.8770000000004</v>
      </c>
      <c r="O122" s="27">
        <f>ROUND(VLOOKUP($B122,'Prior Historical'!$B$5:$U$500,COLUMNS($F122:O122)+5,FALSE)/1000,3)</f>
        <v>9112.4860000000008</v>
      </c>
      <c r="P122" s="27">
        <f>ROUND(VLOOKUP($B122,'Prior Historical'!$B$5:$U$500,COLUMNS($F122:P122)+5,FALSE)/1000,3)</f>
        <v>9127.98</v>
      </c>
      <c r="Q122" s="27">
        <f>ROUND(VLOOKUP($B122,'Prior Historical'!$B$5:$U$500,COLUMNS($F122:Q122)+5,FALSE)/1000,3)</f>
        <v>9079.8060000000005</v>
      </c>
      <c r="R122" s="27">
        <f>ROUND(VLOOKUP($B122,'Prior Historical'!$B$5:$U$500,COLUMNS($F122:R122)+5,FALSE)/1000,3)</f>
        <v>8188.9459999999999</v>
      </c>
      <c r="S122" s="150">
        <f t="shared" si="12"/>
        <v>8975.8304615384623</v>
      </c>
      <c r="T122" s="144" t="s">
        <v>118</v>
      </c>
    </row>
    <row r="123" spans="1:20" ht="15" customHeight="1">
      <c r="A123" s="142">
        <v>5</v>
      </c>
      <c r="B123" s="151" t="s">
        <v>457</v>
      </c>
      <c r="C123" s="14" t="s">
        <v>458</v>
      </c>
      <c r="D123" s="142"/>
      <c r="E123" s="142"/>
      <c r="F123" s="27">
        <f>ROUND(VLOOKUP($B123,'Prior Historical'!$B$5:$U$500,COLUMNS($F123:F123)+5,FALSE)/1000,3)</f>
        <v>108940.56</v>
      </c>
      <c r="G123" s="27">
        <f>ROUND(VLOOKUP($B123,'Prior Historical'!$B$5:$U$500,COLUMNS($F123:G123)+5,FALSE)/1000,3)</f>
        <v>106227.87</v>
      </c>
      <c r="H123" s="27">
        <f>ROUND(VLOOKUP($B123,'Prior Historical'!$B$5:$U$500,COLUMNS($F123:H123)+5,FALSE)/1000,3)</f>
        <v>106172.97</v>
      </c>
      <c r="I123" s="27">
        <f>ROUND(VLOOKUP($B123,'Prior Historical'!$B$5:$U$500,COLUMNS($F123:I123)+5,FALSE)/1000,3)</f>
        <v>102083.098</v>
      </c>
      <c r="J123" s="27">
        <f>ROUND(VLOOKUP($B123,'Prior Historical'!$B$5:$U$500,COLUMNS($F123:J123)+5,FALSE)/1000,3)</f>
        <v>99218.785000000003</v>
      </c>
      <c r="K123" s="27">
        <f>ROUND(VLOOKUP($B123,'Prior Historical'!$B$5:$U$500,COLUMNS($F123:K123)+5,FALSE)/1000,3)</f>
        <v>99031.854000000007</v>
      </c>
      <c r="L123" s="27">
        <f>ROUND(VLOOKUP($B123,'Prior Historical'!$B$5:$U$500,COLUMNS($F123:L123)+5,FALSE)/1000,3)</f>
        <v>93008.085000000006</v>
      </c>
      <c r="M123" s="27">
        <f>ROUND(VLOOKUP($B123,'Prior Historical'!$B$5:$U$500,COLUMNS($F123:M123)+5,FALSE)/1000,3)</f>
        <v>88805.255999999994</v>
      </c>
      <c r="N123" s="27">
        <f>ROUND(VLOOKUP($B123,'Prior Historical'!$B$5:$U$500,COLUMNS($F123:N123)+5,FALSE)/1000,3)</f>
        <v>88430.998000000007</v>
      </c>
      <c r="O123" s="27">
        <f>ROUND(VLOOKUP($B123,'Prior Historical'!$B$5:$U$500,COLUMNS($F123:O123)+5,FALSE)/1000,3)</f>
        <v>78602.932000000001</v>
      </c>
      <c r="P123" s="27">
        <f>ROUND(VLOOKUP($B123,'Prior Historical'!$B$5:$U$500,COLUMNS($F123:P123)+5,FALSE)/1000,3)</f>
        <v>78157.157999999996</v>
      </c>
      <c r="Q123" s="27">
        <f>ROUND(VLOOKUP($B123,'Prior Historical'!$B$5:$U$500,COLUMNS($F123:Q123)+5,FALSE)/1000,3)</f>
        <v>77365.224000000002</v>
      </c>
      <c r="R123" s="27">
        <f>ROUND(VLOOKUP($B123,'Prior Historical'!$B$5:$U$500,COLUMNS($F123:R123)+5,FALSE)/1000,3)</f>
        <v>123309.018</v>
      </c>
      <c r="S123" s="150">
        <f t="shared" si="12"/>
        <v>96104.139076923078</v>
      </c>
      <c r="T123" s="144" t="s">
        <v>118</v>
      </c>
    </row>
    <row r="124" spans="1:20" ht="15" customHeight="1">
      <c r="A124" s="142">
        <v>6</v>
      </c>
      <c r="B124" s="151" t="s">
        <v>459</v>
      </c>
      <c r="C124" s="14" t="s">
        <v>460</v>
      </c>
      <c r="D124" s="142"/>
      <c r="E124" s="142"/>
      <c r="F124" s="27">
        <f>ROUND(VLOOKUP($B124,'Prior Historical'!$B$5:$U$500,COLUMNS($F124:F124)+5,FALSE)/1000,3)</f>
        <v>979.97400000000005</v>
      </c>
      <c r="G124" s="27">
        <f>ROUND(VLOOKUP($B124,'Prior Historical'!$B$5:$U$500,COLUMNS($F124:G124)+5,FALSE)/1000,3)</f>
        <v>979.97400000000005</v>
      </c>
      <c r="H124" s="27">
        <f>ROUND(VLOOKUP($B124,'Prior Historical'!$B$5:$U$500,COLUMNS($F124:H124)+5,FALSE)/1000,3)</f>
        <v>979.97400000000005</v>
      </c>
      <c r="I124" s="27">
        <f>ROUND(VLOOKUP($B124,'Prior Historical'!$B$5:$U$500,COLUMNS($F124:I124)+5,FALSE)/1000,3)</f>
        <v>970.12800000000004</v>
      </c>
      <c r="J124" s="27">
        <f>ROUND(VLOOKUP($B124,'Prior Historical'!$B$5:$U$500,COLUMNS($F124:J124)+5,FALSE)/1000,3)</f>
        <v>970.12800000000004</v>
      </c>
      <c r="K124" s="27">
        <f>ROUND(VLOOKUP($B124,'Prior Historical'!$B$5:$U$500,COLUMNS($F124:K124)+5,FALSE)/1000,3)</f>
        <v>970.12800000000004</v>
      </c>
      <c r="L124" s="27">
        <f>ROUND(VLOOKUP($B124,'Prior Historical'!$B$5:$U$500,COLUMNS($F124:L124)+5,FALSE)/1000,3)</f>
        <v>1056.114</v>
      </c>
      <c r="M124" s="27">
        <f>ROUND(VLOOKUP($B124,'Prior Historical'!$B$5:$U$500,COLUMNS($F124:M124)+5,FALSE)/1000,3)</f>
        <v>1056.114</v>
      </c>
      <c r="N124" s="27">
        <f>ROUND(VLOOKUP($B124,'Prior Historical'!$B$5:$U$500,COLUMNS($F124:N124)+5,FALSE)/1000,3)</f>
        <v>556.11400000000003</v>
      </c>
      <c r="O124" s="27">
        <f>ROUND(VLOOKUP($B124,'Prior Historical'!$B$5:$U$500,COLUMNS($F124:O124)+5,FALSE)/1000,3)</f>
        <v>40.603000000000002</v>
      </c>
      <c r="P124" s="27">
        <f>ROUND(VLOOKUP($B124,'Prior Historical'!$B$5:$U$500,COLUMNS($F124:P124)+5,FALSE)/1000,3)</f>
        <v>40.603000000000002</v>
      </c>
      <c r="Q124" s="27">
        <f>ROUND(VLOOKUP($B124,'Prior Historical'!$B$5:$U$500,COLUMNS($F124:Q124)+5,FALSE)/1000,3)</f>
        <v>40.603000000000002</v>
      </c>
      <c r="R124" s="27">
        <f>ROUND(VLOOKUP($B124,'Prior Historical'!$B$5:$U$500,COLUMNS($F124:R124)+5,FALSE)/1000,3)</f>
        <v>33.652999999999999</v>
      </c>
      <c r="S124" s="150">
        <f t="shared" si="12"/>
        <v>667.23923076923052</v>
      </c>
      <c r="T124" s="144" t="s">
        <v>118</v>
      </c>
    </row>
    <row r="125" spans="1:20" ht="15" customHeight="1">
      <c r="A125" s="142">
        <v>7</v>
      </c>
      <c r="B125" s="151" t="s">
        <v>461</v>
      </c>
      <c r="C125" s="14" t="s">
        <v>462</v>
      </c>
      <c r="D125" s="142"/>
      <c r="E125" s="142"/>
      <c r="F125" s="27">
        <f>ROUND(IF(ISNA(VLOOKUP($B125,'Prior Historical'!$A$5:$U$500,COLUMNS($F125:F125)+6,FALSE)),0,+(VLOOKUP($B125,'Prior Historical'!$A$5:$U$500,COLUMNS($F125:F125)+6,FALSE)))/1000,3)</f>
        <v>0</v>
      </c>
      <c r="G125" s="27">
        <f>ROUND(IF(ISNA(VLOOKUP($B125,'Prior Historical'!$A$5:$U$500,COLUMNS($F125:G125)+6,FALSE)),0,+(VLOOKUP($B125,'Prior Historical'!$A$5:$U$500,COLUMNS($F125:G125)+6,FALSE)))/1000,3)</f>
        <v>0</v>
      </c>
      <c r="H125" s="27">
        <f>ROUND(IF(ISNA(VLOOKUP($B125,'Prior Historical'!$A$5:$U$500,COLUMNS($F125:H125)+6,FALSE)),0,+(VLOOKUP($B125,'Prior Historical'!$A$5:$U$500,COLUMNS($F125:H125)+6,FALSE)))/1000,3)</f>
        <v>0</v>
      </c>
      <c r="I125" s="27">
        <f>ROUND(IF(ISNA(VLOOKUP($B125,'Prior Historical'!$A$5:$U$500,COLUMNS($F125:I125)+6,FALSE)),0,+(VLOOKUP($B125,'Prior Historical'!$A$5:$U$500,COLUMNS($F125:I125)+6,FALSE)))/1000,3)</f>
        <v>0</v>
      </c>
      <c r="J125" s="27">
        <f>ROUND(IF(ISNA(VLOOKUP($B125,'Prior Historical'!$A$5:$U$500,COLUMNS($F125:J125)+6,FALSE)),0,+(VLOOKUP($B125,'Prior Historical'!$A$5:$U$500,COLUMNS($F125:J125)+6,FALSE)))/1000,3)</f>
        <v>0</v>
      </c>
      <c r="K125" s="27">
        <f>ROUND(IF(ISNA(VLOOKUP($B125,'Prior Historical'!$A$5:$U$500,COLUMNS($F125:K125)+6,FALSE)),0,+(VLOOKUP($B125,'Prior Historical'!$A$5:$U$500,COLUMNS($F125:K125)+6,FALSE)))/1000,3)</f>
        <v>0</v>
      </c>
      <c r="L125" s="27">
        <f>ROUND(IF(ISNA(VLOOKUP($B125,'Prior Historical'!$A$5:$U$500,COLUMNS($F125:L125)+6,FALSE)),0,+(VLOOKUP($B125,'Prior Historical'!$A$5:$U$500,COLUMNS($F125:L125)+6,FALSE)))/1000,3)</f>
        <v>0</v>
      </c>
      <c r="M125" s="27">
        <f>ROUND(IF(ISNA(VLOOKUP($B125,'Prior Historical'!$A$5:$U$500,COLUMNS($F125:M125)+6,FALSE)),0,+(VLOOKUP($B125,'Prior Historical'!$A$5:$U$500,COLUMNS($F125:M125)+6,FALSE)))/1000,3)</f>
        <v>0</v>
      </c>
      <c r="N125" s="27">
        <f>ROUND(IF(ISNA(VLOOKUP($B125,'Prior Historical'!$A$5:$U$500,COLUMNS($F125:N125)+6,FALSE)),0,+(VLOOKUP($B125,'Prior Historical'!$A$5:$U$500,COLUMNS($F125:N125)+6,FALSE)))/1000,3)</f>
        <v>0</v>
      </c>
      <c r="O125" s="27">
        <f>ROUND(IF(ISNA(VLOOKUP($B125,'Prior Historical'!$A$5:$U$500,COLUMNS($F125:O125)+6,FALSE)),0,+(VLOOKUP($B125,'Prior Historical'!$A$5:$U$500,COLUMNS($F125:O125)+6,FALSE)))/1000,3)</f>
        <v>0</v>
      </c>
      <c r="P125" s="27">
        <f>ROUND(IF(ISNA(VLOOKUP($B125,'Prior Historical'!$A$5:$U$500,COLUMNS($F125:P125)+6,FALSE)),0,+(VLOOKUP($B125,'Prior Historical'!$A$5:$U$500,COLUMNS($F125:P125)+6,FALSE)))/1000,3)</f>
        <v>0</v>
      </c>
      <c r="Q125" s="27">
        <f>ROUND(IF(ISNA(VLOOKUP($B125,'Prior Historical'!$A$5:$U$500,COLUMNS($F125:Q125)+6,FALSE)),0,+(VLOOKUP($B125,'Prior Historical'!$A$5:$U$500,COLUMNS($F125:Q125)+6,FALSE)))/1000,3)</f>
        <v>0</v>
      </c>
      <c r="R125" s="27">
        <f>ROUND(IF(ISNA(VLOOKUP($B125,'Prior Historical'!$A$5:$U$500,COLUMNS($F125:R125)+6,FALSE)),0,+(VLOOKUP($B125,'Prior Historical'!$A$5:$U$500,COLUMNS($F125:R125)+6,FALSE)))/1000,3)</f>
        <v>0</v>
      </c>
      <c r="S125" s="150">
        <f t="shared" si="12"/>
        <v>0</v>
      </c>
      <c r="T125" s="144" t="s">
        <v>118</v>
      </c>
    </row>
    <row r="126" spans="1:20" ht="15" customHeight="1">
      <c r="A126" s="142">
        <v>8</v>
      </c>
      <c r="B126" s="35" t="s">
        <v>463</v>
      </c>
      <c r="C126" s="14" t="s">
        <v>254</v>
      </c>
      <c r="D126" s="142"/>
      <c r="E126" s="142"/>
      <c r="F126" s="32">
        <f>ROUND(IF(ISNA(VLOOKUP($B126,'Prior Historical'!$A$5:$U$500,COLUMNS($F126:F126)+6,FALSE)),0,+(VLOOKUP($B126,'Prior Historical'!$A$5:$U$500,COLUMNS($F126:F126)+6,FALSE)))/1000,3)</f>
        <v>31342.394</v>
      </c>
      <c r="G126" s="32">
        <f>ROUND(IF(ISNA(VLOOKUP($B126,'Prior Historical'!$A$5:$U$500,COLUMNS($F126:G126)+6,FALSE)),0,+(VLOOKUP($B126,'Prior Historical'!$A$5:$U$500,COLUMNS($F126:G126)+6,FALSE)))/1000,3)</f>
        <v>31434.796999999999</v>
      </c>
      <c r="H126" s="32">
        <f>ROUND(IF(ISNA(VLOOKUP($B126,'Prior Historical'!$A$5:$U$500,COLUMNS($F126:H126)+6,FALSE)),0,+(VLOOKUP($B126,'Prior Historical'!$A$5:$U$500,COLUMNS($F126:H126)+6,FALSE)))/1000,3)</f>
        <v>31527.499</v>
      </c>
      <c r="I126" s="32">
        <f>ROUND(IF(ISNA(VLOOKUP($B126,'Prior Historical'!$A$5:$U$500,COLUMNS($F126:I126)+6,FALSE)),0,+(VLOOKUP($B126,'Prior Historical'!$A$5:$U$500,COLUMNS($F126:I126)+6,FALSE)))/1000,3)</f>
        <v>31420.5</v>
      </c>
      <c r="J126" s="32">
        <f>ROUND(IF(ISNA(VLOOKUP($B126,'Prior Historical'!$A$5:$U$500,COLUMNS($F126:J126)+6,FALSE)),0,+(VLOOKUP($B126,'Prior Historical'!$A$5:$U$500,COLUMNS($F126:J126)+6,FALSE)))/1000,3)</f>
        <v>31513.067999999999</v>
      </c>
      <c r="K126" s="32">
        <f>ROUND(IF(ISNA(VLOOKUP($B126,'Prior Historical'!$A$5:$U$500,COLUMNS($F126:K126)+6,FALSE)),0,+(VLOOKUP($B126,'Prior Historical'!$A$5:$U$500,COLUMNS($F126:K126)+6,FALSE)))/1000,3)</f>
        <v>31605.936000000002</v>
      </c>
      <c r="L126" s="32">
        <f>ROUND(IF(ISNA(VLOOKUP($B126,'Prior Historical'!$A$5:$U$500,COLUMNS($F126:L126)+6,FALSE)),0,+(VLOOKUP($B126,'Prior Historical'!$A$5:$U$500,COLUMNS($F126:L126)+6,FALSE)))/1000,3)</f>
        <v>34671.152000000002</v>
      </c>
      <c r="M126" s="32">
        <f>ROUND(IF(ISNA(VLOOKUP($B126,'Prior Historical'!$A$5:$U$500,COLUMNS($F126:M126)+6,FALSE)),0,+(VLOOKUP($B126,'Prior Historical'!$A$5:$U$500,COLUMNS($F126:M126)+6,FALSE)))/1000,3)</f>
        <v>34776.508999999998</v>
      </c>
      <c r="N126" s="32">
        <f>ROUND(IF(ISNA(VLOOKUP($B126,'Prior Historical'!$A$5:$U$500,COLUMNS($F126:N126)+6,FALSE)),0,+(VLOOKUP($B126,'Prior Historical'!$A$5:$U$500,COLUMNS($F126:N126)+6,FALSE)))/1000,3)</f>
        <v>34882.214999999997</v>
      </c>
      <c r="O126" s="32">
        <f>ROUND(IF(ISNA(VLOOKUP($B126,'Prior Historical'!$A$5:$U$500,COLUMNS($F126:O126)+6,FALSE)),0,+(VLOOKUP($B126,'Prior Historical'!$A$5:$U$500,COLUMNS($F126:O126)+6,FALSE)))/1000,3)</f>
        <v>34988.271999999997</v>
      </c>
      <c r="P126" s="32">
        <f>ROUND(IF(ISNA(VLOOKUP($B126,'Prior Historical'!$A$5:$U$500,COLUMNS($F126:P126)+6,FALSE)),0,+(VLOOKUP($B126,'Prior Historical'!$A$5:$U$500,COLUMNS($F126:P126)+6,FALSE)))/1000,3)</f>
        <v>35094.682000000001</v>
      </c>
      <c r="Q126" s="32">
        <f>ROUND(IF(ISNA(VLOOKUP($B126,'Prior Historical'!$A$5:$U$500,COLUMNS($F126:Q126)+6,FALSE)),0,+(VLOOKUP($B126,'Prior Historical'!$A$5:$U$500,COLUMNS($F126:Q126)+6,FALSE)))/1000,3)</f>
        <v>35201.445</v>
      </c>
      <c r="R126" s="32">
        <f>ROUND(IF(ISNA(VLOOKUP($B126,'Prior Historical'!$A$5:$U$500,COLUMNS($F126:R126)+6,FALSE)),0,+(VLOOKUP($B126,'Prior Historical'!$A$5:$U$500,COLUMNS($F126:R126)+6,FALSE)))/1000,3)</f>
        <v>35307.076999999997</v>
      </c>
      <c r="S126" s="155">
        <f t="shared" si="12"/>
        <v>33366.580461538462</v>
      </c>
      <c r="T126" s="144" t="s">
        <v>118</v>
      </c>
    </row>
    <row r="127" spans="1:20" ht="15" customHeight="1">
      <c r="A127" s="142">
        <v>9</v>
      </c>
      <c r="B127" s="35"/>
      <c r="C127" s="14"/>
      <c r="D127" s="142" t="s">
        <v>337</v>
      </c>
      <c r="E127" s="142"/>
      <c r="F127" s="27">
        <f t="shared" ref="F127:S127" si="13">SUM(F120:F126)</f>
        <v>222219.00499999998</v>
      </c>
      <c r="G127" s="27">
        <f t="shared" si="13"/>
        <v>219609.88299999997</v>
      </c>
      <c r="H127" s="27">
        <f t="shared" si="13"/>
        <v>219380.785</v>
      </c>
      <c r="I127" s="27">
        <f t="shared" si="13"/>
        <v>215305.43799999999</v>
      </c>
      <c r="J127" s="27">
        <f t="shared" si="13"/>
        <v>212566.592</v>
      </c>
      <c r="K127" s="27">
        <f t="shared" si="13"/>
        <v>212552.58199999999</v>
      </c>
      <c r="L127" s="27">
        <f t="shared" si="13"/>
        <v>208887.33500000002</v>
      </c>
      <c r="M127" s="27">
        <f t="shared" si="13"/>
        <v>204629.36299999998</v>
      </c>
      <c r="N127" s="27">
        <f t="shared" si="13"/>
        <v>203459.58900000001</v>
      </c>
      <c r="O127" s="27">
        <f t="shared" si="13"/>
        <v>126380.052</v>
      </c>
      <c r="P127" s="27">
        <f t="shared" si="13"/>
        <v>64435.218999999997</v>
      </c>
      <c r="Q127" s="27">
        <f t="shared" si="13"/>
        <v>64139.830999999991</v>
      </c>
      <c r="R127" s="27">
        <f t="shared" si="13"/>
        <v>191241.67199999996</v>
      </c>
      <c r="S127" s="27">
        <f t="shared" si="13"/>
        <v>181908.25738461537</v>
      </c>
      <c r="T127" s="142"/>
    </row>
    <row r="128" spans="1:20" ht="15" customHeight="1">
      <c r="A128" s="142">
        <v>10</v>
      </c>
      <c r="B128" s="142"/>
      <c r="C128" s="142"/>
      <c r="D128" s="142"/>
      <c r="E128" s="142"/>
      <c r="F128" s="142"/>
      <c r="G128" s="142"/>
      <c r="H128" s="142"/>
      <c r="I128" s="142"/>
      <c r="J128" s="142"/>
      <c r="K128" s="142"/>
      <c r="L128" s="142"/>
      <c r="M128" s="142"/>
      <c r="N128" s="142"/>
      <c r="O128" s="142"/>
      <c r="P128" s="142"/>
      <c r="Q128" s="142"/>
      <c r="R128" s="142"/>
      <c r="S128" s="142"/>
      <c r="T128" s="142"/>
    </row>
    <row r="129" spans="1:22" ht="15" customHeight="1">
      <c r="A129" s="142">
        <v>11</v>
      </c>
      <c r="B129" s="142"/>
      <c r="C129" s="142" t="s">
        <v>464</v>
      </c>
      <c r="D129" s="142"/>
      <c r="E129" s="14"/>
      <c r="F129" s="27"/>
      <c r="G129" s="27"/>
      <c r="H129" s="27"/>
      <c r="I129" s="27"/>
      <c r="J129" s="27"/>
      <c r="K129" s="27"/>
      <c r="L129" s="27"/>
      <c r="M129" s="27"/>
      <c r="N129" s="27"/>
      <c r="O129" s="27"/>
      <c r="P129" s="27"/>
      <c r="Q129" s="27"/>
      <c r="R129" s="27"/>
      <c r="S129" s="150"/>
      <c r="T129" s="142"/>
    </row>
    <row r="130" spans="1:22" ht="15" customHeight="1">
      <c r="A130" s="142">
        <v>12</v>
      </c>
      <c r="B130" s="86" t="s">
        <v>465</v>
      </c>
      <c r="C130" s="14" t="s">
        <v>466</v>
      </c>
      <c r="D130" s="14"/>
      <c r="E130" s="142"/>
      <c r="F130" s="27">
        <f>ROUND(IF(ISNA(VLOOKUP($B130,'Prior Historical'!$A$5:$U$500,COLUMNS($F130:F130)+6,FALSE)),0,+(VLOOKUP($B130,'Prior Historical'!$A$5:$U$500,COLUMNS($F130:F130)+6,FALSE)))/1000,3)</f>
        <v>555477.91599999997</v>
      </c>
      <c r="G130" s="27">
        <f>ROUND(IF(ISNA(VLOOKUP($B130,'Prior Historical'!$A$5:$U$500,COLUMNS($F130:G130)+6,FALSE)),0,+(VLOOKUP($B130,'Prior Historical'!$A$5:$U$500,COLUMNS($F130:G130)+6,FALSE)))/1000,3)</f>
        <v>524601.19999999995</v>
      </c>
      <c r="H130" s="27">
        <f>ROUND(IF(ISNA(VLOOKUP($B130,'Prior Historical'!$A$5:$U$500,COLUMNS($F130:H130)+6,FALSE)),0,+(VLOOKUP($B130,'Prior Historical'!$A$5:$U$500,COLUMNS($F130:H130)+6,FALSE)))/1000,3)</f>
        <v>611799.89800000004</v>
      </c>
      <c r="I130" s="27">
        <f>ROUND(IF(ISNA(VLOOKUP($B130,'Prior Historical'!$A$5:$U$500,COLUMNS($F130:I130)+6,FALSE)),0,+(VLOOKUP($B130,'Prior Historical'!$A$5:$U$500,COLUMNS($F130:I130)+6,FALSE)))/1000,3)</f>
        <v>646670.50800000003</v>
      </c>
      <c r="J130" s="27">
        <f>ROUND(IF(ISNA(VLOOKUP($B130,'Prior Historical'!$A$5:$U$500,COLUMNS($F130:J130)+6,FALSE)),0,+(VLOOKUP($B130,'Prior Historical'!$A$5:$U$500,COLUMNS($F130:J130)+6,FALSE)))/1000,3)</f>
        <v>668516.022</v>
      </c>
      <c r="K130" s="27">
        <f>ROUND(IF(ISNA(VLOOKUP($B130,'Prior Historical'!$A$5:$U$500,COLUMNS($F130:K130)+6,FALSE)),0,+(VLOOKUP($B130,'Prior Historical'!$A$5:$U$500,COLUMNS($F130:K130)+6,FALSE)))/1000,3)</f>
        <v>712282.15599999996</v>
      </c>
      <c r="L130" s="27">
        <f>ROUND(IF(ISNA(VLOOKUP($B130,'Prior Historical'!$A$5:$U$500,COLUMNS($F130:L130)+6,FALSE)),0,+(VLOOKUP($B130,'Prior Historical'!$A$5:$U$500,COLUMNS($F130:L130)+6,FALSE)))/1000,3)</f>
        <v>771655.09699999995</v>
      </c>
      <c r="M130" s="27">
        <f>ROUND(IF(ISNA(VLOOKUP($B130,'Prior Historical'!$A$5:$U$500,COLUMNS($F130:M130)+6,FALSE)),0,+(VLOOKUP($B130,'Prior Historical'!$A$5:$U$500,COLUMNS($F130:M130)+6,FALSE)))/1000,3)</f>
        <v>400000</v>
      </c>
      <c r="N130" s="27">
        <f>ROUND(IF(ISNA(VLOOKUP($B130,'Prior Historical'!$A$5:$U$500,COLUMNS($F130:N130)+6,FALSE)),0,+(VLOOKUP($B130,'Prior Historical'!$A$5:$U$500,COLUMNS($F130:N130)+6,FALSE)))/1000,3)</f>
        <v>400000</v>
      </c>
      <c r="O130" s="27">
        <f>ROUND(IF(ISNA(VLOOKUP($B130,'Prior Historical'!$A$5:$U$500,COLUMNS($F130:O130)+6,FALSE)),0,+(VLOOKUP($B130,'Prior Historical'!$A$5:$U$500,COLUMNS($F130:O130)+6,FALSE)))/1000,3)</f>
        <v>693616.32</v>
      </c>
      <c r="P130" s="27">
        <f>ROUND(IF(ISNA(VLOOKUP($B130,'Prior Historical'!$A$5:$U$500,COLUMNS($F130:P130)+6,FALSE)),0,+(VLOOKUP($B130,'Prior Historical'!$A$5:$U$500,COLUMNS($F130:P130)+6,FALSE)))/1000,3)</f>
        <v>665887.125</v>
      </c>
      <c r="Q130" s="27">
        <f>ROUND(IF(ISNA(VLOOKUP($B130,'Prior Historical'!$A$5:$U$500,COLUMNS($F130:Q130)+6,FALSE)),0,+(VLOOKUP($B130,'Prior Historical'!$A$5:$U$500,COLUMNS($F130:Q130)+6,FALSE)))/1000,3)</f>
        <v>948162.64300000004</v>
      </c>
      <c r="R130" s="27">
        <f>ROUND(IF(ISNA(VLOOKUP($B130,'Prior Historical'!$A$5:$U$500,COLUMNS($F130:R130)+6,FALSE)),0,+(VLOOKUP($B130,'Prior Historical'!$A$5:$U$500,COLUMNS($F130:R130)+6,FALSE)))/1000,3)</f>
        <v>853002.85</v>
      </c>
      <c r="S130" s="150">
        <f t="shared" ref="S130:S142" si="14">(SUM(F130:R130)/13)</f>
        <v>650128.59499999997</v>
      </c>
      <c r="T130" s="144" t="s">
        <v>421</v>
      </c>
      <c r="U130" s="86"/>
    </row>
    <row r="131" spans="1:22" ht="15" customHeight="1">
      <c r="A131" s="142">
        <v>13</v>
      </c>
      <c r="B131" s="151" t="s">
        <v>467</v>
      </c>
      <c r="C131" s="14" t="s">
        <v>301</v>
      </c>
      <c r="D131" s="142"/>
      <c r="E131" s="142"/>
      <c r="F131" s="27">
        <f>ROUND(IF(ISNA(VLOOKUP($B131,'Prior Historical'!$A$5:$U$500,COLUMNS($F131:F131)+6,FALSE)),0,+(VLOOKUP($B131,'Prior Historical'!$A$5:$U$500,COLUMNS($F131:F131)+6,FALSE)))/1000,3)</f>
        <v>283787.53700000001</v>
      </c>
      <c r="G131" s="27">
        <f>ROUND(IF(ISNA(VLOOKUP($B131,'Prior Historical'!$A$5:$U$500,COLUMNS($F131:G131)+6,FALSE)),0,+(VLOOKUP($B131,'Prior Historical'!$A$5:$U$500,COLUMNS($F131:G131)+6,FALSE)))/1000,3)</f>
        <v>223219.59</v>
      </c>
      <c r="H131" s="27">
        <f>ROUND(IF(ISNA(VLOOKUP($B131,'Prior Historical'!$A$5:$U$500,COLUMNS($F131:H131)+6,FALSE)),0,+(VLOOKUP($B131,'Prior Historical'!$A$5:$U$500,COLUMNS($F131:H131)+6,FALSE)))/1000,3)</f>
        <v>212268.73699999999</v>
      </c>
      <c r="I131" s="27">
        <f>ROUND(IF(ISNA(VLOOKUP($B131,'Prior Historical'!$A$5:$U$500,COLUMNS($F131:I131)+6,FALSE)),0,+(VLOOKUP($B131,'Prior Historical'!$A$5:$U$500,COLUMNS($F131:I131)+6,FALSE)))/1000,3)</f>
        <v>197741.75200000001</v>
      </c>
      <c r="J131" s="27">
        <f>ROUND(IF(ISNA(VLOOKUP($B131,'Prior Historical'!$A$5:$U$500,COLUMNS($F131:J131)+6,FALSE)),0,+(VLOOKUP($B131,'Prior Historical'!$A$5:$U$500,COLUMNS($F131:J131)+6,FALSE)))/1000,3)</f>
        <v>205177.77499999999</v>
      </c>
      <c r="K131" s="27">
        <f>ROUND(IF(ISNA(VLOOKUP($B131,'Prior Historical'!$A$5:$U$500,COLUMNS($F131:K131)+6,FALSE)),0,+(VLOOKUP($B131,'Prior Historical'!$A$5:$U$500,COLUMNS($F131:K131)+6,FALSE)))/1000,3)</f>
        <v>247536.93299999999</v>
      </c>
      <c r="L131" s="27">
        <f>ROUND(IF(ISNA(VLOOKUP($B131,'Prior Historical'!$A$5:$U$500,COLUMNS($F131:L131)+6,FALSE)),0,+(VLOOKUP($B131,'Prior Historical'!$A$5:$U$500,COLUMNS($F131:L131)+6,FALSE)))/1000,3)</f>
        <v>258004.69500000001</v>
      </c>
      <c r="M131" s="27">
        <f>ROUND(IF(ISNA(VLOOKUP($B131,'Prior Historical'!$A$5:$U$500,COLUMNS($F131:M131)+6,FALSE)),0,+(VLOOKUP($B131,'Prior Historical'!$A$5:$U$500,COLUMNS($F131:M131)+6,FALSE)))/1000,3)</f>
        <v>267495.462</v>
      </c>
      <c r="N131" s="27">
        <f>ROUND(IF(ISNA(VLOOKUP($B131,'Prior Historical'!$A$5:$U$500,COLUMNS($F131:N131)+6,FALSE)),0,+(VLOOKUP($B131,'Prior Historical'!$A$5:$U$500,COLUMNS($F131:N131)+6,FALSE)))/1000,3)</f>
        <v>323704.495</v>
      </c>
      <c r="O131" s="27">
        <f>ROUND(IF(ISNA(VLOOKUP($B131,'Prior Historical'!$A$5:$U$500,COLUMNS($F131:O131)+6,FALSE)),0,+(VLOOKUP($B131,'Prior Historical'!$A$5:$U$500,COLUMNS($F131:O131)+6,FALSE)))/1000,3)</f>
        <v>349894.53499999997</v>
      </c>
      <c r="P131" s="27">
        <f>ROUND(IF(ISNA(VLOOKUP($B131,'Prior Historical'!$A$5:$U$500,COLUMNS($F131:P131)+6,FALSE)),0,+(VLOOKUP($B131,'Prior Historical'!$A$5:$U$500,COLUMNS($F131:P131)+6,FALSE)))/1000,3)</f>
        <v>377238.69900000002</v>
      </c>
      <c r="Q131" s="27">
        <f>ROUND(IF(ISNA(VLOOKUP($B131,'Prior Historical'!$A$5:$U$500,COLUMNS($F131:Q131)+6,FALSE)),0,+(VLOOKUP($B131,'Prior Historical'!$A$5:$U$500,COLUMNS($F131:Q131)+6,FALSE)))/1000,3)</f>
        <v>376623.15</v>
      </c>
      <c r="R131" s="27">
        <f>ROUND(IF(ISNA(VLOOKUP($B131,'Prior Historical'!$A$5:$U$500,COLUMNS($F131:R131)+6,FALSE)),0,+(VLOOKUP($B131,'Prior Historical'!$A$5:$U$500,COLUMNS($F131:R131)+6,FALSE)))/1000,3)</f>
        <v>364873.68099999998</v>
      </c>
      <c r="S131" s="150">
        <f t="shared" si="14"/>
        <v>283659.00315384613</v>
      </c>
      <c r="T131" s="144" t="s">
        <v>118</v>
      </c>
      <c r="U131" s="151"/>
    </row>
    <row r="132" spans="1:22" ht="15" customHeight="1">
      <c r="A132" s="142">
        <v>14</v>
      </c>
      <c r="B132" s="151" t="s">
        <v>468</v>
      </c>
      <c r="C132" s="162" t="s">
        <v>302</v>
      </c>
      <c r="D132" s="142"/>
      <c r="E132" s="142"/>
      <c r="F132" s="27">
        <f>ROUND(IF(ISNA(VLOOKUP($B132,'Prior Historical'!$A$5:$U$500,COLUMNS($F132:F132)+6,FALSE)),0,+(VLOOKUP($B132,'Prior Historical'!$A$5:$U$500,COLUMNS($F132:F132)+6,FALSE)))/1000,3)</f>
        <v>0</v>
      </c>
      <c r="G132" s="27">
        <f>ROUND(IF(ISNA(VLOOKUP($B132,'Prior Historical'!$A$5:$U$500,COLUMNS($F132:G132)+6,FALSE)),0,+(VLOOKUP($B132,'Prior Historical'!$A$5:$U$500,COLUMNS($F132:G132)+6,FALSE)))/1000,3)</f>
        <v>0</v>
      </c>
      <c r="H132" s="27">
        <f>ROUND(IF(ISNA(VLOOKUP($B132,'Prior Historical'!$A$5:$U$500,COLUMNS($F132:H132)+6,FALSE)),0,+(VLOOKUP($B132,'Prior Historical'!$A$5:$U$500,COLUMNS($F132:H132)+6,FALSE)))/1000,3)</f>
        <v>0</v>
      </c>
      <c r="I132" s="27">
        <f>ROUND(IF(ISNA(VLOOKUP($B132,'Prior Historical'!$A$5:$U$500,COLUMNS($F132:I132)+6,FALSE)),0,+(VLOOKUP($B132,'Prior Historical'!$A$5:$U$500,COLUMNS($F132:I132)+6,FALSE)))/1000,3)</f>
        <v>0</v>
      </c>
      <c r="J132" s="27">
        <f>ROUND(IF(ISNA(VLOOKUP($B132,'Prior Historical'!$A$5:$U$500,COLUMNS($F132:J132)+6,FALSE)),0,+(VLOOKUP($B132,'Prior Historical'!$A$5:$U$500,COLUMNS($F132:J132)+6,FALSE)))/1000,3)</f>
        <v>0</v>
      </c>
      <c r="K132" s="27">
        <f>ROUND(IF(ISNA(VLOOKUP($B132,'Prior Historical'!$A$5:$U$500,COLUMNS($F132:K132)+6,FALSE)),0,+(VLOOKUP($B132,'Prior Historical'!$A$5:$U$500,COLUMNS($F132:K132)+6,FALSE)))/1000,3)</f>
        <v>0</v>
      </c>
      <c r="L132" s="27">
        <f>ROUND(IF(ISNA(VLOOKUP($B132,'Prior Historical'!$A$5:$U$500,COLUMNS($F132:L132)+6,FALSE)),0,+(VLOOKUP($B132,'Prior Historical'!$A$5:$U$500,COLUMNS($F132:L132)+6,FALSE)))/1000,3)</f>
        <v>0</v>
      </c>
      <c r="M132" s="27">
        <f>ROUND(IF(ISNA(VLOOKUP($B132,'Prior Historical'!$A$5:$U$500,COLUMNS($F132:M132)+6,FALSE)),0,+(VLOOKUP($B132,'Prior Historical'!$A$5:$U$500,COLUMNS($F132:M132)+6,FALSE)))/1000,3)</f>
        <v>0</v>
      </c>
      <c r="N132" s="27">
        <f>ROUND(IF(ISNA(VLOOKUP($B132,'Prior Historical'!$A$5:$U$500,COLUMNS($F132:N132)+6,FALSE)),0,+(VLOOKUP($B132,'Prior Historical'!$A$5:$U$500,COLUMNS($F132:N132)+6,FALSE)))/1000,3)</f>
        <v>0</v>
      </c>
      <c r="O132" s="27">
        <f>ROUND(IF(ISNA(VLOOKUP($B132,'Prior Historical'!$A$5:$U$500,COLUMNS($F132:O132)+6,FALSE)),0,+(VLOOKUP($B132,'Prior Historical'!$A$5:$U$500,COLUMNS($F132:O132)+6,FALSE)))/1000,3)</f>
        <v>0</v>
      </c>
      <c r="P132" s="27">
        <f>ROUND(IF(ISNA(VLOOKUP($B132,'Prior Historical'!$A$5:$U$500,COLUMNS($F132:P132)+6,FALSE)),0,+(VLOOKUP($B132,'Prior Historical'!$A$5:$U$500,COLUMNS($F132:P132)+6,FALSE)))/1000,3)</f>
        <v>0</v>
      </c>
      <c r="Q132" s="27">
        <f>ROUND(IF(ISNA(VLOOKUP($B132,'Prior Historical'!$A$5:$U$500,COLUMNS($F132:Q132)+6,FALSE)),0,+(VLOOKUP($B132,'Prior Historical'!$A$5:$U$500,COLUMNS($F132:Q132)+6,FALSE)))/1000,3)</f>
        <v>0</v>
      </c>
      <c r="R132" s="27">
        <f>ROUND(IF(ISNA(VLOOKUP($B132,'Prior Historical'!$A$5:$U$500,COLUMNS($F132:R132)+6,FALSE)),0,+(VLOOKUP($B132,'Prior Historical'!$A$5:$U$500,COLUMNS($F132:R132)+6,FALSE)))/1000,3)</f>
        <v>195000</v>
      </c>
      <c r="S132" s="150">
        <f t="shared" si="14"/>
        <v>15000</v>
      </c>
      <c r="T132" s="144" t="s">
        <v>118</v>
      </c>
      <c r="U132" s="151"/>
    </row>
    <row r="133" spans="1:22" ht="15" customHeight="1">
      <c r="A133" s="142">
        <v>15</v>
      </c>
      <c r="B133" s="86" t="s">
        <v>469</v>
      </c>
      <c r="C133" s="14" t="s">
        <v>303</v>
      </c>
      <c r="D133" s="142"/>
      <c r="E133" s="142"/>
      <c r="F133" s="27">
        <f>ROUND(IF(ISNA(VLOOKUP($B133,'Prior Historical'!$A$5:$U$500,COLUMNS($F133:F133)+6,FALSE)),0,+(VLOOKUP($B133,'Prior Historical'!$A$5:$U$500,COLUMNS($F133:F133)+6,FALSE)))/1000,3)</f>
        <v>31393.286</v>
      </c>
      <c r="G133" s="27">
        <f>ROUND(IF(ISNA(VLOOKUP($B133,'Prior Historical'!$A$5:$U$500,COLUMNS($F133:G133)+6,FALSE)),0,+(VLOOKUP($B133,'Prior Historical'!$A$5:$U$500,COLUMNS($F133:G133)+6,FALSE)))/1000,3)</f>
        <v>24327.553</v>
      </c>
      <c r="H133" s="27">
        <f>ROUND(IF(ISNA(VLOOKUP($B133,'Prior Historical'!$A$5:$U$500,COLUMNS($F133:H133)+6,FALSE)),0,+(VLOOKUP($B133,'Prior Historical'!$A$5:$U$500,COLUMNS($F133:H133)+6,FALSE)))/1000,3)</f>
        <v>25016.257000000001</v>
      </c>
      <c r="I133" s="27">
        <f>ROUND(IF(ISNA(VLOOKUP($B133,'Prior Historical'!$A$5:$U$500,COLUMNS($F133:I133)+6,FALSE)),0,+(VLOOKUP($B133,'Prior Historical'!$A$5:$U$500,COLUMNS($F133:I133)+6,FALSE)))/1000,3)</f>
        <v>27409.102999999999</v>
      </c>
      <c r="J133" s="27">
        <f>ROUND(IF(ISNA(VLOOKUP($B133,'Prior Historical'!$A$5:$U$500,COLUMNS($F133:J133)+6,FALSE)),0,+(VLOOKUP($B133,'Prior Historical'!$A$5:$U$500,COLUMNS($F133:J133)+6,FALSE)))/1000,3)</f>
        <v>19058.244999999999</v>
      </c>
      <c r="K133" s="27">
        <f>ROUND(IF(ISNA(VLOOKUP($B133,'Prior Historical'!$A$5:$U$500,COLUMNS($F133:K133)+6,FALSE)),0,+(VLOOKUP($B133,'Prior Historical'!$A$5:$U$500,COLUMNS($F133:K133)+6,FALSE)))/1000,3)</f>
        <v>25005.605</v>
      </c>
      <c r="L133" s="27">
        <f>ROUND(IF(ISNA(VLOOKUP($B133,'Prior Historical'!$A$5:$U$500,COLUMNS($F133:L133)+6,FALSE)),0,+(VLOOKUP($B133,'Prior Historical'!$A$5:$U$500,COLUMNS($F133:L133)+6,FALSE)))/1000,3)</f>
        <v>32188.038</v>
      </c>
      <c r="M133" s="27">
        <f>ROUND(IF(ISNA(VLOOKUP($B133,'Prior Historical'!$A$5:$U$500,COLUMNS($F133:M133)+6,FALSE)),0,+(VLOOKUP($B133,'Prior Historical'!$A$5:$U$500,COLUMNS($F133:M133)+6,FALSE)))/1000,3)</f>
        <v>25929.309000000001</v>
      </c>
      <c r="N133" s="27">
        <f>ROUND(IF(ISNA(VLOOKUP($B133,'Prior Historical'!$A$5:$U$500,COLUMNS($F133:N133)+6,FALSE)),0,+(VLOOKUP($B133,'Prior Historical'!$A$5:$U$500,COLUMNS($F133:N133)+6,FALSE)))/1000,3)</f>
        <v>41988.205000000002</v>
      </c>
      <c r="O133" s="27">
        <f>ROUND(IF(ISNA(VLOOKUP($B133,'Prior Historical'!$A$5:$U$500,COLUMNS($F133:O133)+6,FALSE)),0,+(VLOOKUP($B133,'Prior Historical'!$A$5:$U$500,COLUMNS($F133:O133)+6,FALSE)))/1000,3)</f>
        <v>31153.804</v>
      </c>
      <c r="P133" s="27">
        <f>ROUND(IF(ISNA(VLOOKUP($B133,'Prior Historical'!$A$5:$U$500,COLUMNS($F133:P133)+6,FALSE)),0,+(VLOOKUP($B133,'Prior Historical'!$A$5:$U$500,COLUMNS($F133:P133)+6,FALSE)))/1000,3)</f>
        <v>19785.138999999999</v>
      </c>
      <c r="Q133" s="27">
        <f>ROUND(IF(ISNA(VLOOKUP($B133,'Prior Historical'!$A$5:$U$500,COLUMNS($F133:Q133)+6,FALSE)),0,+(VLOOKUP($B133,'Prior Historical'!$A$5:$U$500,COLUMNS($F133:Q133)+6,FALSE)))/1000,3)</f>
        <v>18840.362000000001</v>
      </c>
      <c r="R133" s="27">
        <f>ROUND(IF(ISNA(VLOOKUP($B133,'Prior Historical'!$A$5:$U$500,COLUMNS($F133:R133)+6,FALSE)),0,+(VLOOKUP($B133,'Prior Historical'!$A$5:$U$500,COLUMNS($F133:R133)+6,FALSE)))/1000,3)</f>
        <v>20807.525000000001</v>
      </c>
      <c r="S133" s="150">
        <f t="shared" si="14"/>
        <v>26377.110076923083</v>
      </c>
      <c r="T133" s="144" t="s">
        <v>118</v>
      </c>
      <c r="U133" s="151"/>
    </row>
    <row r="134" spans="1:22" ht="15" customHeight="1">
      <c r="A134" s="142">
        <v>16</v>
      </c>
      <c r="B134" s="86" t="s">
        <v>470</v>
      </c>
      <c r="C134" s="14" t="s">
        <v>471</v>
      </c>
      <c r="D134" s="142"/>
      <c r="E134" s="142"/>
      <c r="F134" s="27">
        <f>ROUND(IF(ISNA(VLOOKUP($B134,'Prior Historical'!$A$5:$U$500,COLUMNS($F134:F134)+6,FALSE)),0,+(VLOOKUP($B134,'Prior Historical'!$A$5:$U$500,COLUMNS($F134:F134)+6,FALSE)))/1000,3)</f>
        <v>105221.42200000001</v>
      </c>
      <c r="G134" s="27">
        <f>ROUND(IF(ISNA(VLOOKUP($B134,'Prior Historical'!$A$5:$U$500,COLUMNS($F134:G134)+6,FALSE)),0,+(VLOOKUP($B134,'Prior Historical'!$A$5:$U$500,COLUMNS($F134:G134)+6,FALSE)))/1000,3)</f>
        <v>105734.62300000001</v>
      </c>
      <c r="H134" s="27">
        <f>ROUND(IF(ISNA(VLOOKUP($B134,'Prior Historical'!$A$5:$U$500,COLUMNS($F134:H134)+6,FALSE)),0,+(VLOOKUP($B134,'Prior Historical'!$A$5:$U$500,COLUMNS($F134:H134)+6,FALSE)))/1000,3)</f>
        <v>105941.787</v>
      </c>
      <c r="I134" s="27">
        <f>ROUND(IF(ISNA(VLOOKUP($B134,'Prior Historical'!$A$5:$U$500,COLUMNS($F134:I134)+6,FALSE)),0,+(VLOOKUP($B134,'Prior Historical'!$A$5:$U$500,COLUMNS($F134:I134)+6,FALSE)))/1000,3)</f>
        <v>106232.47</v>
      </c>
      <c r="J134" s="27">
        <f>ROUND(IF(ISNA(VLOOKUP($B134,'Prior Historical'!$A$5:$U$500,COLUMNS($F134:J134)+6,FALSE)),0,+(VLOOKUP($B134,'Prior Historical'!$A$5:$U$500,COLUMNS($F134:J134)+6,FALSE)))/1000,3)</f>
        <v>106826.42</v>
      </c>
      <c r="K134" s="27">
        <f>ROUND(IF(ISNA(VLOOKUP($B134,'Prior Historical'!$A$5:$U$500,COLUMNS($F134:K134)+6,FALSE)),0,+(VLOOKUP($B134,'Prior Historical'!$A$5:$U$500,COLUMNS($F134:K134)+6,FALSE)))/1000,3)</f>
        <v>107174.67200000001</v>
      </c>
      <c r="L134" s="27">
        <f>ROUND(IF(ISNA(VLOOKUP($B134,'Prior Historical'!$A$5:$U$500,COLUMNS($F134:L134)+6,FALSE)),0,+(VLOOKUP($B134,'Prior Historical'!$A$5:$U$500,COLUMNS($F134:L134)+6,FALSE)))/1000,3)</f>
        <v>108080.821</v>
      </c>
      <c r="M134" s="27">
        <f>ROUND(IF(ISNA(VLOOKUP($B134,'Prior Historical'!$A$5:$U$500,COLUMNS($F134:M134)+6,FALSE)),0,+(VLOOKUP($B134,'Prior Historical'!$A$5:$U$500,COLUMNS($F134:M134)+6,FALSE)))/1000,3)</f>
        <v>108757.152</v>
      </c>
      <c r="N134" s="27">
        <f>ROUND(IF(ISNA(VLOOKUP($B134,'Prior Historical'!$A$5:$U$500,COLUMNS($F134:N134)+6,FALSE)),0,+(VLOOKUP($B134,'Prior Historical'!$A$5:$U$500,COLUMNS($F134:N134)+6,FALSE)))/1000,3)</f>
        <v>109767.126</v>
      </c>
      <c r="O134" s="27">
        <f>ROUND(IF(ISNA(VLOOKUP($B134,'Prior Historical'!$A$5:$U$500,COLUMNS($F134:O134)+6,FALSE)),0,+(VLOOKUP($B134,'Prior Historical'!$A$5:$U$500,COLUMNS($F134:O134)+6,FALSE)))/1000,3)</f>
        <v>111332.965</v>
      </c>
      <c r="P134" s="27">
        <f>ROUND(IF(ISNA(VLOOKUP($B134,'Prior Historical'!$A$5:$U$500,COLUMNS($F134:P134)+6,FALSE)),0,+(VLOOKUP($B134,'Prior Historical'!$A$5:$U$500,COLUMNS($F134:P134)+6,FALSE)))/1000,3)</f>
        <v>112556.50900000001</v>
      </c>
      <c r="Q134" s="27">
        <f>ROUND(IF(ISNA(VLOOKUP($B134,'Prior Historical'!$A$5:$U$500,COLUMNS($F134:Q134)+6,FALSE)),0,+(VLOOKUP($B134,'Prior Historical'!$A$5:$U$500,COLUMNS($F134:Q134)+6,FALSE)))/1000,3)</f>
        <v>113583.814</v>
      </c>
      <c r="R134" s="27">
        <f>ROUND(IF(ISNA(VLOOKUP($B134,'Prior Historical'!$A$5:$U$500,COLUMNS($F134:R134)+6,FALSE)),0,+(VLOOKUP($B134,'Prior Historical'!$A$5:$U$500,COLUMNS($F134:R134)+6,FALSE)))/1000,3)</f>
        <v>114803.917</v>
      </c>
      <c r="S134" s="150">
        <f t="shared" si="14"/>
        <v>108924.13061538462</v>
      </c>
      <c r="T134" s="144" t="s">
        <v>421</v>
      </c>
      <c r="U134" s="35"/>
    </row>
    <row r="135" spans="1:22" ht="15" customHeight="1">
      <c r="A135" s="142">
        <v>17</v>
      </c>
      <c r="B135" s="86" t="s">
        <v>472</v>
      </c>
      <c r="C135" s="14" t="s">
        <v>304</v>
      </c>
      <c r="D135" s="142"/>
      <c r="E135" s="142"/>
      <c r="F135" s="27">
        <f>ROUND(VLOOKUP($B135,'Prior Historical'!$A$5:$U$500,COLUMNS($F135:F135)+6,FALSE)/1000,3)-F136</f>
        <v>29135.721999999998</v>
      </c>
      <c r="G135" s="27">
        <f>ROUND(VLOOKUP($B135,'Prior Historical'!$A$5:$U$500,COLUMNS($F135:G135)+6,FALSE)/1000,3)-G136</f>
        <v>33598.375999999997</v>
      </c>
      <c r="H135" s="27">
        <f>ROUND(VLOOKUP($B135,'Prior Historical'!$A$5:$U$500,COLUMNS($F135:H135)+6,FALSE)/1000,3)-H136</f>
        <v>36135.315000000002</v>
      </c>
      <c r="I135" s="27">
        <f>ROUND(VLOOKUP($B135,'Prior Historical'!$A$5:$U$500,COLUMNS($F135:I135)+6,FALSE)/1000,3)-I136</f>
        <v>28136.043999999998</v>
      </c>
      <c r="J135" s="27">
        <f>ROUND(VLOOKUP($B135,'Prior Historical'!$A$5:$U$500,COLUMNS($F135:J135)+6,FALSE)/1000,3)-J136</f>
        <v>11976.782000000001</v>
      </c>
      <c r="K135" s="27">
        <f>ROUND(VLOOKUP($B135,'Prior Historical'!$A$5:$U$500,COLUMNS($F135:K135)+6,FALSE)/1000,3)-K136</f>
        <v>15796.281999999999</v>
      </c>
      <c r="L135" s="27">
        <f>ROUND(VLOOKUP($B135,'Prior Historical'!$A$5:$U$500,COLUMNS($F135:L135)+6,FALSE)/1000,3)-L136</f>
        <v>28535.614999999998</v>
      </c>
      <c r="M135" s="27">
        <f>ROUND(VLOOKUP($B135,'Prior Historical'!$A$5:$U$500,COLUMNS($F135:M135)+6,FALSE)/1000,3)-M136</f>
        <v>33191.862999999998</v>
      </c>
      <c r="N135" s="27">
        <f>ROUND(VLOOKUP($B135,'Prior Historical'!$A$5:$U$500,COLUMNS($F135:N135)+6,FALSE)/1000,3)-N136</f>
        <v>41292.879000000001</v>
      </c>
      <c r="O135" s="27">
        <f>ROUND(VLOOKUP($B135,'Prior Historical'!$A$5:$U$500,COLUMNS($F135:O135)+6,FALSE)/1000,3)-O136</f>
        <v>74475.334000000003</v>
      </c>
      <c r="P135" s="27">
        <f>ROUND(VLOOKUP($B135,'Prior Historical'!$A$5:$U$500,COLUMNS($F135:P135)+6,FALSE)/1000,3)-P136</f>
        <v>77922.271999999997</v>
      </c>
      <c r="Q135" s="27">
        <f>ROUND(VLOOKUP($B135,'Prior Historical'!$A$5:$U$500,COLUMNS($F135:Q135)+6,FALSE)/1000,3)-Q136</f>
        <v>10738.319</v>
      </c>
      <c r="R135" s="27">
        <f>ROUND(VLOOKUP($B135,'Prior Historical'!$A$5:$U$500,COLUMNS($F135:R135)+6,FALSE)/1000,3)-R136</f>
        <v>9407.9279999999999</v>
      </c>
      <c r="S135" s="150">
        <f t="shared" si="14"/>
        <v>33103.287000000004</v>
      </c>
      <c r="T135" s="144" t="s">
        <v>118</v>
      </c>
      <c r="U135" s="375"/>
      <c r="V135" s="375"/>
    </row>
    <row r="136" spans="1:22" ht="15" customHeight="1">
      <c r="A136" s="142">
        <v>18</v>
      </c>
      <c r="B136" s="86" t="s">
        <v>472</v>
      </c>
      <c r="C136" s="14" t="s">
        <v>304</v>
      </c>
      <c r="D136" s="142"/>
      <c r="E136" s="142"/>
      <c r="F136" s="27">
        <f>-ROUND(VLOOKUP("236nu",'Prior Historical'!$B$5:$U$598,COLUMNS($F136:F136)+5,FALSE)/1000,3)</f>
        <v>-2934.855</v>
      </c>
      <c r="G136" s="27">
        <f>-ROUND(VLOOKUP("236nu",'Prior Historical'!$B$5:$U$598,COLUMNS($F136:G136)+5,FALSE)/1000,3)</f>
        <v>-2805.5189999999998</v>
      </c>
      <c r="H136" s="27">
        <f>-ROUND(VLOOKUP("236nu",'Prior Historical'!$B$5:$U$598,COLUMNS($F136:H136)+5,FALSE)/1000,3)</f>
        <v>-2685.7049999999999</v>
      </c>
      <c r="I136" s="27">
        <f>-ROUND(VLOOKUP("236nu",'Prior Historical'!$B$5:$U$598,COLUMNS($F136:I136)+5,FALSE)/1000,3)</f>
        <v>-1382.21</v>
      </c>
      <c r="J136" s="27">
        <f>-ROUND(VLOOKUP("236nu",'Prior Historical'!$B$5:$U$598,COLUMNS($F136:J136)+5,FALSE)/1000,3)</f>
        <v>-1280.3610000000001</v>
      </c>
      <c r="K136" s="27">
        <f>-ROUND(VLOOKUP("236nu",'Prior Historical'!$B$5:$U$598,COLUMNS($F136:K136)+5,FALSE)/1000,3)</f>
        <v>-1171.0340000000001</v>
      </c>
      <c r="L136" s="27">
        <f>-ROUND(VLOOKUP("236nu",'Prior Historical'!$B$5:$U$598,COLUMNS($F136:L136)+5,FALSE)/1000,3)</f>
        <v>-1350.19</v>
      </c>
      <c r="M136" s="27">
        <f>-ROUND(VLOOKUP("236nu",'Prior Historical'!$B$5:$U$598,COLUMNS($F136:M136)+5,FALSE)/1000,3)</f>
        <v>-1239.664</v>
      </c>
      <c r="N136" s="27">
        <f>-ROUND(VLOOKUP("236nu",'Prior Historical'!$B$5:$U$598,COLUMNS($F136:N136)+5,FALSE)/1000,3)</f>
        <v>-1141.271</v>
      </c>
      <c r="O136" s="27">
        <f>-ROUND(VLOOKUP("236nu",'Prior Historical'!$B$5:$U$598,COLUMNS($F136:O136)+5,FALSE)/1000,3)</f>
        <v>-1289.5119999999999</v>
      </c>
      <c r="P136" s="27">
        <f>-ROUND(VLOOKUP("236nu",'Prior Historical'!$B$5:$U$598,COLUMNS($F136:P136)+5,FALSE)/1000,3)</f>
        <v>-2458.6999999999998</v>
      </c>
      <c r="Q136" s="27">
        <f>-ROUND(VLOOKUP("236nu",'Prior Historical'!$B$5:$U$598,COLUMNS($F136:Q136)+5,FALSE)/1000,3)</f>
        <v>-2329.7420000000002</v>
      </c>
      <c r="R136" s="27">
        <f>-ROUND(VLOOKUP("236nu",'Prior Historical'!$B$5:$U$598,COLUMNS($F136:R136)+5,FALSE)/1000,3)</f>
        <v>310.358</v>
      </c>
      <c r="S136" s="150">
        <f t="shared" si="14"/>
        <v>-1673.7234615384621</v>
      </c>
      <c r="T136" s="144" t="s">
        <v>393</v>
      </c>
      <c r="U136" s="375"/>
      <c r="V136" s="375"/>
    </row>
    <row r="137" spans="1:22" ht="15" customHeight="1">
      <c r="A137" s="142">
        <v>19</v>
      </c>
      <c r="B137" s="86" t="s">
        <v>473</v>
      </c>
      <c r="C137" s="14" t="s">
        <v>306</v>
      </c>
      <c r="D137" s="142"/>
      <c r="E137" s="142"/>
      <c r="F137" s="27">
        <f>ROUND(IF(ISNA(VLOOKUP($B137,'Prior Historical'!$A$5:$U$500,COLUMNS($F137:F137)+6,FALSE)),0,+(VLOOKUP($B137,'Prior Historical'!$A$5:$U$500,COLUMNS($F137:F137)+6,FALSE)))/1000,3)</f>
        <v>15058.13</v>
      </c>
      <c r="G137" s="27">
        <f>ROUND(IF(ISNA(VLOOKUP($B137,'Prior Historical'!$A$5:$U$500,COLUMNS($F137:G137)+6,FALSE)),0,+(VLOOKUP($B137,'Prior Historical'!$A$5:$U$500,COLUMNS($F137:G137)+6,FALSE)))/1000,3)</f>
        <v>25296.397000000001</v>
      </c>
      <c r="H137" s="27">
        <f>ROUND(IF(ISNA(VLOOKUP($B137,'Prior Historical'!$A$5:$U$500,COLUMNS($F137:H137)+6,FALSE)),0,+(VLOOKUP($B137,'Prior Historical'!$A$5:$U$500,COLUMNS($F137:H137)+6,FALSE)))/1000,3)</f>
        <v>35526.538999999997</v>
      </c>
      <c r="I137" s="27">
        <f>ROUND(IF(ISNA(VLOOKUP($B137,'Prior Historical'!$A$5:$U$500,COLUMNS($F137:I137)+6,FALSE)),0,+(VLOOKUP($B137,'Prior Historical'!$A$5:$U$500,COLUMNS($F137:I137)+6,FALSE)))/1000,3)</f>
        <v>34601.334999999999</v>
      </c>
      <c r="J137" s="27">
        <f>ROUND(IF(ISNA(VLOOKUP($B137,'Prior Historical'!$A$5:$U$500,COLUMNS($F137:J137)+6,FALSE)),0,+(VLOOKUP($B137,'Prior Historical'!$A$5:$U$500,COLUMNS($F137:J137)+6,FALSE)))/1000,3)</f>
        <v>44826.188000000002</v>
      </c>
      <c r="K137" s="27">
        <f>ROUND(IF(ISNA(VLOOKUP($B137,'Prior Historical'!$A$5:$U$500,COLUMNS($F137:K137)+6,FALSE)),0,+(VLOOKUP($B137,'Prior Historical'!$A$5:$U$500,COLUMNS($F137:K137)+6,FALSE)))/1000,3)</f>
        <v>29978.751</v>
      </c>
      <c r="L137" s="27">
        <f>ROUND(IF(ISNA(VLOOKUP($B137,'Prior Historical'!$A$5:$U$500,COLUMNS($F137:L137)+6,FALSE)),0,+(VLOOKUP($B137,'Prior Historical'!$A$5:$U$500,COLUMNS($F137:L137)+6,FALSE)))/1000,3)</f>
        <v>16439.968000000001</v>
      </c>
      <c r="M137" s="27">
        <f>ROUND(IF(ISNA(VLOOKUP($B137,'Prior Historical'!$A$5:$U$500,COLUMNS($F137:M137)+6,FALSE)),0,+(VLOOKUP($B137,'Prior Historical'!$A$5:$U$500,COLUMNS($F137:M137)+6,FALSE)))/1000,3)</f>
        <v>27952.559000000001</v>
      </c>
      <c r="N137" s="27">
        <f>ROUND(IF(ISNA(VLOOKUP($B137,'Prior Historical'!$A$5:$U$500,COLUMNS($F137:N137)+6,FALSE)),0,+(VLOOKUP($B137,'Prior Historical'!$A$5:$U$500,COLUMNS($F137:N137)+6,FALSE)))/1000,3)</f>
        <v>40111.648000000001</v>
      </c>
      <c r="O137" s="27">
        <f>ROUND(IF(ISNA(VLOOKUP($B137,'Prior Historical'!$A$5:$U$500,COLUMNS($F137:O137)+6,FALSE)),0,+(VLOOKUP($B137,'Prior Historical'!$A$5:$U$500,COLUMNS($F137:O137)+6,FALSE)))/1000,3)</f>
        <v>40830.748</v>
      </c>
      <c r="P137" s="27">
        <f>ROUND(IF(ISNA(VLOOKUP($B137,'Prior Historical'!$A$5:$U$500,COLUMNS($F137:P137)+6,FALSE)),0,+(VLOOKUP($B137,'Prior Historical'!$A$5:$U$500,COLUMNS($F137:P137)+6,FALSE)))/1000,3)</f>
        <v>52529.203000000001</v>
      </c>
      <c r="Q137" s="27">
        <f>ROUND(IF(ISNA(VLOOKUP($B137,'Prior Historical'!$A$5:$U$500,COLUMNS($F137:Q137)+6,FALSE)),0,+(VLOOKUP($B137,'Prior Historical'!$A$5:$U$500,COLUMNS($F137:Q137)+6,FALSE)))/1000,3)</f>
        <v>38975.010999999999</v>
      </c>
      <c r="R137" s="27">
        <f>ROUND(IF(ISNA(VLOOKUP($B137,'Prior Historical'!$A$5:$U$500,COLUMNS($F137:R137)+6,FALSE)),0,+(VLOOKUP($B137,'Prior Historical'!$A$5:$U$500,COLUMNS($F137:R137)+6,FALSE)))/1000,3)</f>
        <v>25147.687000000002</v>
      </c>
      <c r="S137" s="150">
        <f t="shared" si="14"/>
        <v>32867.24338461538</v>
      </c>
      <c r="T137" s="144" t="s">
        <v>118</v>
      </c>
      <c r="U137" s="35"/>
    </row>
    <row r="138" spans="1:22" ht="15" customHeight="1">
      <c r="A138" s="142">
        <v>20</v>
      </c>
      <c r="B138" s="86" t="s">
        <v>474</v>
      </c>
      <c r="C138" s="14" t="s">
        <v>307</v>
      </c>
      <c r="D138" s="142"/>
      <c r="E138" s="142"/>
      <c r="F138" s="27">
        <f>ROUND(IF(ISNA(VLOOKUP($B138,'Prior Historical'!$A$5:$U$500,COLUMNS($F138:F138)+6,FALSE)),0,+(VLOOKUP($B138,'Prior Historical'!$A$5:$U$500,COLUMNS($F138:F138)+6,FALSE)))/1000,3)</f>
        <v>0</v>
      </c>
      <c r="G138" s="27">
        <f>ROUND(IF(ISNA(VLOOKUP($B138,'Prior Historical'!$A$5:$U$500,COLUMNS($F138:G138)+6,FALSE)),0,+(VLOOKUP($B138,'Prior Historical'!$A$5:$U$500,COLUMNS($F138:G138)+6,FALSE)))/1000,3)</f>
        <v>0</v>
      </c>
      <c r="H138" s="27">
        <f>ROUND(IF(ISNA(VLOOKUP($B138,'Prior Historical'!$A$5:$U$500,COLUMNS($F138:H138)+6,FALSE)),0,+(VLOOKUP($B138,'Prior Historical'!$A$5:$U$500,COLUMNS($F138:H138)+6,FALSE)))/1000,3)</f>
        <v>0</v>
      </c>
      <c r="I138" s="27">
        <f>ROUND(IF(ISNA(VLOOKUP($B138,'Prior Historical'!$A$5:$U$500,COLUMNS($F138:I138)+6,FALSE)),0,+(VLOOKUP($B138,'Prior Historical'!$A$5:$U$500,COLUMNS($F138:I138)+6,FALSE)))/1000,3)</f>
        <v>0</v>
      </c>
      <c r="J138" s="27">
        <f>ROUND(IF(ISNA(VLOOKUP($B138,'Prior Historical'!$A$5:$U$500,COLUMNS($F138:J138)+6,FALSE)),0,+(VLOOKUP($B138,'Prior Historical'!$A$5:$U$500,COLUMNS($F138:J138)+6,FALSE)))/1000,3)</f>
        <v>88264.347999999998</v>
      </c>
      <c r="K138" s="27">
        <f>ROUND(IF(ISNA(VLOOKUP($B138,'Prior Historical'!$A$5:$U$500,COLUMNS($F138:K138)+6,FALSE)),0,+(VLOOKUP($B138,'Prior Historical'!$A$5:$U$500,COLUMNS($F138:K138)+6,FALSE)))/1000,3)</f>
        <v>0</v>
      </c>
      <c r="L138" s="27">
        <f>ROUND(IF(ISNA(VLOOKUP($B138,'Prior Historical'!$A$5:$U$500,COLUMNS($F138:L138)+6,FALSE)),0,+(VLOOKUP($B138,'Prior Historical'!$A$5:$U$500,COLUMNS($F138:L138)+6,FALSE)))/1000,3)</f>
        <v>0</v>
      </c>
      <c r="M138" s="27">
        <f>ROUND(IF(ISNA(VLOOKUP($B138,'Prior Historical'!$A$5:$U$500,COLUMNS($F138:M138)+6,FALSE)),0,+(VLOOKUP($B138,'Prior Historical'!$A$5:$U$500,COLUMNS($F138:M138)+6,FALSE)))/1000,3)</f>
        <v>0</v>
      </c>
      <c r="N138" s="27">
        <f>ROUND(IF(ISNA(VLOOKUP($B138,'Prior Historical'!$A$5:$U$500,COLUMNS($F138:N138)+6,FALSE)),0,+(VLOOKUP($B138,'Prior Historical'!$A$5:$U$500,COLUMNS($F138:N138)+6,FALSE)))/1000,3)</f>
        <v>0</v>
      </c>
      <c r="O138" s="27">
        <f>ROUND(IF(ISNA(VLOOKUP($B138,'Prior Historical'!$A$5:$U$500,COLUMNS($F138:O138)+6,FALSE)),0,+(VLOOKUP($B138,'Prior Historical'!$A$5:$U$500,COLUMNS($F138:O138)+6,FALSE)))/1000,3)</f>
        <v>0</v>
      </c>
      <c r="P138" s="27">
        <f>ROUND(IF(ISNA(VLOOKUP($B138,'Prior Historical'!$A$5:$U$500,COLUMNS($F138:P138)+6,FALSE)),0,+(VLOOKUP($B138,'Prior Historical'!$A$5:$U$500,COLUMNS($F138:P138)+6,FALSE)))/1000,3)</f>
        <v>152433.96900000001</v>
      </c>
      <c r="Q138" s="27">
        <f>ROUND(IF(ISNA(VLOOKUP($B138,'Prior Historical'!$A$5:$U$500,COLUMNS($F138:Q138)+6,FALSE)),0,+(VLOOKUP($B138,'Prior Historical'!$A$5:$U$500,COLUMNS($F138:Q138)+6,FALSE)))/1000,3)</f>
        <v>0</v>
      </c>
      <c r="R138" s="27">
        <f>ROUND(IF(ISNA(VLOOKUP($B138,'Prior Historical'!$A$5:$U$500,COLUMNS($F138:R138)+6,FALSE)),0,+(VLOOKUP($B138,'Prior Historical'!$A$5:$U$500,COLUMNS($F138:R138)+6,FALSE)))/1000,3)</f>
        <v>0</v>
      </c>
      <c r="S138" s="150">
        <f t="shared" si="14"/>
        <v>18515.255153846156</v>
      </c>
      <c r="T138" s="144" t="s">
        <v>118</v>
      </c>
      <c r="U138" s="35"/>
    </row>
    <row r="139" spans="1:22" ht="15" customHeight="1">
      <c r="A139" s="142">
        <v>21</v>
      </c>
      <c r="B139" s="86" t="s">
        <v>475</v>
      </c>
      <c r="C139" s="14" t="s">
        <v>308</v>
      </c>
      <c r="D139" s="142"/>
      <c r="E139" s="142"/>
      <c r="F139" s="27">
        <f>ROUND(IF(ISNA(VLOOKUP($B139,'Prior Historical'!$A$5:$U$500,COLUMNS($F139:F139)+6,FALSE)),0,+(VLOOKUP($B139,'Prior Historical'!$A$5:$U$500,COLUMNS($F139:F139)+6,FALSE)))/1000,3)</f>
        <v>7757.6729999999998</v>
      </c>
      <c r="G139" s="27">
        <f>ROUND(IF(ISNA(VLOOKUP($B139,'Prior Historical'!$A$5:$U$500,COLUMNS($F139:G139)+6,FALSE)),0,+(VLOOKUP($B139,'Prior Historical'!$A$5:$U$500,COLUMNS($F139:G139)+6,FALSE)))/1000,3)</f>
        <v>6948.8090000000002</v>
      </c>
      <c r="H139" s="27">
        <f>ROUND(IF(ISNA(VLOOKUP($B139,'Prior Historical'!$A$5:$U$500,COLUMNS($F139:H139)+6,FALSE)),0,+(VLOOKUP($B139,'Prior Historical'!$A$5:$U$500,COLUMNS($F139:H139)+6,FALSE)))/1000,3)</f>
        <v>6578.5060000000003</v>
      </c>
      <c r="I139" s="27">
        <f>ROUND(IF(ISNA(VLOOKUP($B139,'Prior Historical'!$A$5:$U$500,COLUMNS($F139:I139)+6,FALSE)),0,+(VLOOKUP($B139,'Prior Historical'!$A$5:$U$500,COLUMNS($F139:I139)+6,FALSE)))/1000,3)</f>
        <v>6802.4679999999998</v>
      </c>
      <c r="J139" s="27">
        <f>ROUND(IF(ISNA(VLOOKUP($B139,'Prior Historical'!$A$5:$U$500,COLUMNS($F139:J139)+6,FALSE)),0,+(VLOOKUP($B139,'Prior Historical'!$A$5:$U$500,COLUMNS($F139:J139)+6,FALSE)))/1000,3)</f>
        <v>7451.3</v>
      </c>
      <c r="K139" s="27">
        <f>ROUND(IF(ISNA(VLOOKUP($B139,'Prior Historical'!$A$5:$U$500,COLUMNS($F139:K139)+6,FALSE)),0,+(VLOOKUP($B139,'Prior Historical'!$A$5:$U$500,COLUMNS($F139:K139)+6,FALSE)))/1000,3)</f>
        <v>8337.3269999999993</v>
      </c>
      <c r="L139" s="27">
        <f>ROUND(IF(ISNA(VLOOKUP($B139,'Prior Historical'!$A$5:$U$500,COLUMNS($F139:L139)+6,FALSE)),0,+(VLOOKUP($B139,'Prior Historical'!$A$5:$U$500,COLUMNS($F139:L139)+6,FALSE)))/1000,3)</f>
        <v>11368.083000000001</v>
      </c>
      <c r="M139" s="27">
        <f>ROUND(IF(ISNA(VLOOKUP($B139,'Prior Historical'!$A$5:$U$500,COLUMNS($F139:M139)+6,FALSE)),0,+(VLOOKUP($B139,'Prior Historical'!$A$5:$U$500,COLUMNS($F139:M139)+6,FALSE)))/1000,3)</f>
        <v>9961.6280000000006</v>
      </c>
      <c r="N139" s="27">
        <f>ROUND(IF(ISNA(VLOOKUP($B139,'Prior Historical'!$A$5:$U$500,COLUMNS($F139:N139)+6,FALSE)),0,+(VLOOKUP($B139,'Prior Historical'!$A$5:$U$500,COLUMNS($F139:N139)+6,FALSE)))/1000,3)</f>
        <v>10279.348</v>
      </c>
      <c r="O139" s="27">
        <f>ROUND(IF(ISNA(VLOOKUP($B139,'Prior Historical'!$A$5:$U$500,COLUMNS($F139:O139)+6,FALSE)),0,+(VLOOKUP($B139,'Prior Historical'!$A$5:$U$500,COLUMNS($F139:O139)+6,FALSE)))/1000,3)</f>
        <v>10037.076999999999</v>
      </c>
      <c r="P139" s="27">
        <f>ROUND(IF(ISNA(VLOOKUP($B139,'Prior Historical'!$A$5:$U$500,COLUMNS($F139:P139)+6,FALSE)),0,+(VLOOKUP($B139,'Prior Historical'!$A$5:$U$500,COLUMNS($F139:P139)+6,FALSE)))/1000,3)</f>
        <v>8652.7690000000002</v>
      </c>
      <c r="Q139" s="27">
        <f>ROUND(IF(ISNA(VLOOKUP($B139,'Prior Historical'!$A$5:$U$500,COLUMNS($F139:Q139)+6,FALSE)),0,+(VLOOKUP($B139,'Prior Historical'!$A$5:$U$500,COLUMNS($F139:Q139)+6,FALSE)))/1000,3)</f>
        <v>6673.6009999999997</v>
      </c>
      <c r="R139" s="27">
        <f>ROUND(IF(ISNA(VLOOKUP($B139,'Prior Historical'!$A$5:$U$500,COLUMNS($F139:R139)+6,FALSE)),0,+(VLOOKUP($B139,'Prior Historical'!$A$5:$U$500,COLUMNS($F139:R139)+6,FALSE)))/1000,3)</f>
        <v>8273.4629999999997</v>
      </c>
      <c r="S139" s="150">
        <f t="shared" si="14"/>
        <v>8394.003999999999</v>
      </c>
      <c r="T139" s="144" t="s">
        <v>118</v>
      </c>
      <c r="U139" s="35"/>
    </row>
    <row r="140" spans="1:22" ht="15" customHeight="1">
      <c r="A140" s="142">
        <v>22</v>
      </c>
      <c r="B140" s="86" t="s">
        <v>476</v>
      </c>
      <c r="C140" s="14" t="s">
        <v>309</v>
      </c>
      <c r="D140" s="142"/>
      <c r="E140" s="142"/>
      <c r="F140" s="27">
        <f>ROUND(IF(ISNA(VLOOKUP($B140,'Prior Historical'!$A$5:$U$500,COLUMNS($F140:F140)+6,FALSE)),0,+(VLOOKUP($B140,'Prior Historical'!$A$5:$U$500,COLUMNS($F140:F140)+6,FALSE)))/1000,3)</f>
        <v>41638.544000000002</v>
      </c>
      <c r="G140" s="27">
        <f>ROUND(IF(ISNA(VLOOKUP($B140,'Prior Historical'!$A$5:$U$500,COLUMNS($F140:G140)+6,FALSE)),0,+(VLOOKUP($B140,'Prior Historical'!$A$5:$U$500,COLUMNS($F140:G140)+6,FALSE)))/1000,3)</f>
        <v>41563.180999999997</v>
      </c>
      <c r="H140" s="27">
        <f>ROUND(IF(ISNA(VLOOKUP($B140,'Prior Historical'!$A$5:$U$500,COLUMNS($F140:H140)+6,FALSE)),0,+(VLOOKUP($B140,'Prior Historical'!$A$5:$U$500,COLUMNS($F140:H140)+6,FALSE)))/1000,3)</f>
        <v>41649.762000000002</v>
      </c>
      <c r="I140" s="27">
        <f>ROUND(IF(ISNA(VLOOKUP($B140,'Prior Historical'!$A$5:$U$500,COLUMNS($F140:I140)+6,FALSE)),0,+(VLOOKUP($B140,'Prior Historical'!$A$5:$U$500,COLUMNS($F140:I140)+6,FALSE)))/1000,3)</f>
        <v>40268.394</v>
      </c>
      <c r="J140" s="27">
        <f>ROUND(IF(ISNA(VLOOKUP($B140,'Prior Historical'!$A$5:$U$500,COLUMNS($F140:J140)+6,FALSE)),0,+(VLOOKUP($B140,'Prior Historical'!$A$5:$U$500,COLUMNS($F140:J140)+6,FALSE)))/1000,3)</f>
        <v>40307.292999999998</v>
      </c>
      <c r="K140" s="27">
        <f>ROUND(IF(ISNA(VLOOKUP($B140,'Prior Historical'!$A$5:$U$500,COLUMNS($F140:K140)+6,FALSE)),0,+(VLOOKUP($B140,'Prior Historical'!$A$5:$U$500,COLUMNS($F140:K140)+6,FALSE)))/1000,3)</f>
        <v>40362.296000000002</v>
      </c>
      <c r="L140" s="27">
        <f>ROUND(IF(ISNA(VLOOKUP($B140,'Prior Historical'!$A$5:$U$500,COLUMNS($F140:L140)+6,FALSE)),0,+(VLOOKUP($B140,'Prior Historical'!$A$5:$U$500,COLUMNS($F140:L140)+6,FALSE)))/1000,3)</f>
        <v>43460.006000000001</v>
      </c>
      <c r="M140" s="27">
        <f>ROUND(IF(ISNA(VLOOKUP($B140,'Prior Historical'!$A$5:$U$500,COLUMNS($F140:M140)+6,FALSE)),0,+(VLOOKUP($B140,'Prior Historical'!$A$5:$U$500,COLUMNS($F140:M140)+6,FALSE)))/1000,3)</f>
        <v>43504.330999999998</v>
      </c>
      <c r="N140" s="27">
        <f>ROUND(IF(ISNA(VLOOKUP($B140,'Prior Historical'!$A$5:$U$500,COLUMNS($F140:N140)+6,FALSE)),0,+(VLOOKUP($B140,'Prior Historical'!$A$5:$U$500,COLUMNS($F140:N140)+6,FALSE)))/1000,3)</f>
        <v>43572.328000000001</v>
      </c>
      <c r="O140" s="27">
        <f>ROUND(IF(ISNA(VLOOKUP($B140,'Prior Historical'!$A$5:$U$500,COLUMNS($F140:O140)+6,FALSE)),0,+(VLOOKUP($B140,'Prior Historical'!$A$5:$U$500,COLUMNS($F140:O140)+6,FALSE)))/1000,3)</f>
        <v>43969.695</v>
      </c>
      <c r="P140" s="27">
        <f>ROUND(IF(ISNA(VLOOKUP($B140,'Prior Historical'!$A$5:$U$500,COLUMNS($F140:P140)+6,FALSE)),0,+(VLOOKUP($B140,'Prior Historical'!$A$5:$U$500,COLUMNS($F140:P140)+6,FALSE)))/1000,3)</f>
        <v>42215.103000000003</v>
      </c>
      <c r="Q140" s="27">
        <f>ROUND(IF(ISNA(VLOOKUP($B140,'Prior Historical'!$A$5:$U$500,COLUMNS($F140:Q140)+6,FALSE)),0,+(VLOOKUP($B140,'Prior Historical'!$A$5:$U$500,COLUMNS($F140:Q140)+6,FALSE)))/1000,3)</f>
        <v>42284.466</v>
      </c>
      <c r="R140" s="27">
        <f>ROUND(IF(ISNA(VLOOKUP($B140,'Prior Historical'!$A$5:$U$500,COLUMNS($F140:R140)+6,FALSE)),0,+(VLOOKUP($B140,'Prior Historical'!$A$5:$U$500,COLUMNS($F140:R140)+6,FALSE)))/1000,3)</f>
        <v>46244.546000000002</v>
      </c>
      <c r="S140" s="150">
        <f t="shared" si="14"/>
        <v>42387.688076923085</v>
      </c>
      <c r="T140" s="144" t="s">
        <v>118</v>
      </c>
      <c r="U140" s="35"/>
    </row>
    <row r="141" spans="1:22" ht="15" customHeight="1">
      <c r="A141" s="142">
        <v>23</v>
      </c>
      <c r="B141" s="86" t="s">
        <v>477</v>
      </c>
      <c r="C141" s="14" t="s">
        <v>310</v>
      </c>
      <c r="D141" s="142"/>
      <c r="E141" s="142"/>
      <c r="F141" s="27">
        <f>ROUND(IF(ISNA(VLOOKUP($B141,'Prior Historical'!$A$5:$U$500,COLUMNS($F141:F141)+6,FALSE)),0,+(VLOOKUP($B141,'Prior Historical'!$A$5:$U$500,COLUMNS($F141:F141)+6,FALSE)))/1000,3)</f>
        <v>2020.6410000000001</v>
      </c>
      <c r="G141" s="27">
        <f>ROUND(IF(ISNA(VLOOKUP($B141,'Prior Historical'!$A$5:$U$500,COLUMNS($F141:G141)+6,FALSE)),0,+(VLOOKUP($B141,'Prior Historical'!$A$5:$U$500,COLUMNS($F141:G141)+6,FALSE)))/1000,3)</f>
        <v>2020.6410000000001</v>
      </c>
      <c r="H141" s="27">
        <f>ROUND(IF(ISNA(VLOOKUP($B141,'Prior Historical'!$A$5:$U$500,COLUMNS($F141:H141)+6,FALSE)),0,+(VLOOKUP($B141,'Prior Historical'!$A$5:$U$500,COLUMNS($F141:H141)+6,FALSE)))/1000,3)</f>
        <v>2020.6410000000001</v>
      </c>
      <c r="I141" s="27">
        <f>ROUND(IF(ISNA(VLOOKUP($B141,'Prior Historical'!$A$5:$U$500,COLUMNS($F141:I141)+6,FALSE)),0,+(VLOOKUP($B141,'Prior Historical'!$A$5:$U$500,COLUMNS($F141:I141)+6,FALSE)))/1000,3)</f>
        <v>2048.7240000000002</v>
      </c>
      <c r="J141" s="27">
        <f>ROUND(IF(ISNA(VLOOKUP($B141,'Prior Historical'!$A$5:$U$500,COLUMNS($F141:J141)+6,FALSE)),0,+(VLOOKUP($B141,'Prior Historical'!$A$5:$U$500,COLUMNS($F141:J141)+6,FALSE)))/1000,3)</f>
        <v>2048.7240000000002</v>
      </c>
      <c r="K141" s="27">
        <f>ROUND(IF(ISNA(VLOOKUP($B141,'Prior Historical'!$A$5:$U$500,COLUMNS($F141:K141)+6,FALSE)),0,+(VLOOKUP($B141,'Prior Historical'!$A$5:$U$500,COLUMNS($F141:K141)+6,FALSE)))/1000,3)</f>
        <v>2048.7240000000002</v>
      </c>
      <c r="L141" s="27">
        <f>ROUND(IF(ISNA(VLOOKUP($B141,'Prior Historical'!$A$5:$U$500,COLUMNS($F141:L141)+6,FALSE)),0,+(VLOOKUP($B141,'Prior Historical'!$A$5:$U$500,COLUMNS($F141:L141)+6,FALSE)))/1000,3)</f>
        <v>2071.1509999999998</v>
      </c>
      <c r="M141" s="27">
        <f>ROUND(IF(ISNA(VLOOKUP($B141,'Prior Historical'!$A$5:$U$500,COLUMNS($F141:M141)+6,FALSE)),0,+(VLOOKUP($B141,'Prior Historical'!$A$5:$U$500,COLUMNS($F141:M141)+6,FALSE)))/1000,3)</f>
        <v>2071.1509999999998</v>
      </c>
      <c r="N141" s="27">
        <f>ROUND(IF(ISNA(VLOOKUP($B141,'Prior Historical'!$A$5:$U$500,COLUMNS($F141:N141)+6,FALSE)),0,+(VLOOKUP($B141,'Prior Historical'!$A$5:$U$500,COLUMNS($F141:N141)+6,FALSE)))/1000,3)</f>
        <v>2071.1509999999998</v>
      </c>
      <c r="O141" s="27">
        <f>ROUND(IF(ISNA(VLOOKUP($B141,'Prior Historical'!$A$5:$U$500,COLUMNS($F141:O141)+6,FALSE)),0,+(VLOOKUP($B141,'Prior Historical'!$A$5:$U$500,COLUMNS($F141:O141)+6,FALSE)))/1000,3)</f>
        <v>2093.8389999999999</v>
      </c>
      <c r="P141" s="27">
        <f>ROUND(IF(ISNA(VLOOKUP($B141,'Prior Historical'!$A$5:$U$500,COLUMNS($F141:P141)+6,FALSE)),0,+(VLOOKUP($B141,'Prior Historical'!$A$5:$U$500,COLUMNS($F141:P141)+6,FALSE)))/1000,3)</f>
        <v>2093.8389999999999</v>
      </c>
      <c r="Q141" s="27">
        <f>ROUND(IF(ISNA(VLOOKUP($B141,'Prior Historical'!$A$5:$U$500,COLUMNS($F141:Q141)+6,FALSE)),0,+(VLOOKUP($B141,'Prior Historical'!$A$5:$U$500,COLUMNS($F141:Q141)+6,FALSE)))/1000,3)</f>
        <v>2093.8389999999999</v>
      </c>
      <c r="R141" s="27">
        <f>ROUND(IF(ISNA(VLOOKUP($B141,'Prior Historical'!$A$5:$U$500,COLUMNS($F141:R141)+6,FALSE)),0,+(VLOOKUP($B141,'Prior Historical'!$A$5:$U$500,COLUMNS($F141:R141)+6,FALSE)))/1000,3)</f>
        <v>2116.732</v>
      </c>
      <c r="S141" s="150">
        <f t="shared" si="14"/>
        <v>2063.0613076923078</v>
      </c>
      <c r="T141" s="144" t="s">
        <v>118</v>
      </c>
      <c r="U141" s="35"/>
    </row>
    <row r="142" spans="1:22" ht="15" customHeight="1">
      <c r="A142" s="142">
        <v>24</v>
      </c>
      <c r="B142" s="86" t="s">
        <v>478</v>
      </c>
      <c r="C142" s="14" t="s">
        <v>286</v>
      </c>
      <c r="D142" s="142"/>
      <c r="E142" s="142"/>
      <c r="F142" s="32">
        <f>ROUND(IF(ISNA(VLOOKUP($B142,'Prior Historical'!$A$5:$U$500,COLUMNS($F142:F142)+6,FALSE)),0,+(VLOOKUP($B142,'Prior Historical'!$A$5:$U$500,COLUMNS($F142:F142)+6,FALSE)))/1000,3)</f>
        <v>0</v>
      </c>
      <c r="G142" s="32">
        <f>ROUND(IF(ISNA(VLOOKUP($B142,'Prior Historical'!$A$5:$U$500,COLUMNS($F142:G142)+6,FALSE)),0,+(VLOOKUP($B142,'Prior Historical'!$A$5:$U$500,COLUMNS($F142:G142)+6,FALSE)))/1000,3)</f>
        <v>0</v>
      </c>
      <c r="H142" s="32">
        <f>ROUND(IF(ISNA(VLOOKUP($B142,'Prior Historical'!$A$5:$U$500,COLUMNS($F142:H142)+6,FALSE)),0,+(VLOOKUP($B142,'Prior Historical'!$A$5:$U$500,COLUMNS($F142:H142)+6,FALSE)))/1000,3)</f>
        <v>0</v>
      </c>
      <c r="I142" s="32">
        <f>ROUND(IF(ISNA(VLOOKUP($B142,'Prior Historical'!$A$5:$U$500,COLUMNS($F142:I142)+6,FALSE)),0,+(VLOOKUP($B142,'Prior Historical'!$A$5:$U$500,COLUMNS($F142:I142)+6,FALSE)))/1000,3)</f>
        <v>0</v>
      </c>
      <c r="J142" s="32">
        <f>ROUND(IF(ISNA(VLOOKUP($B142,'Prior Historical'!$A$5:$U$500,COLUMNS($F142:J142)+6,FALSE)),0,+(VLOOKUP($B142,'Prior Historical'!$A$5:$U$500,COLUMNS($F142:J142)+6,FALSE)))/1000,3)</f>
        <v>0</v>
      </c>
      <c r="K142" s="32">
        <f>ROUND(IF(ISNA(VLOOKUP($B142,'Prior Historical'!$A$5:$U$500,COLUMNS($F142:K142)+6,FALSE)),0,+(VLOOKUP($B142,'Prior Historical'!$A$5:$U$500,COLUMNS($F142:K142)+6,FALSE)))/1000,3)</f>
        <v>0</v>
      </c>
      <c r="L142" s="32">
        <f>ROUND(IF(ISNA(VLOOKUP($B142,'Prior Historical'!$A$5:$U$500,COLUMNS($F142:L142)+6,FALSE)),0,+(VLOOKUP($B142,'Prior Historical'!$A$5:$U$500,COLUMNS($F142:L142)+6,FALSE)))/1000,3)</f>
        <v>0</v>
      </c>
      <c r="M142" s="32">
        <f>ROUND(IF(ISNA(VLOOKUP($B142,'Prior Historical'!$A$5:$U$500,COLUMNS($F142:M142)+6,FALSE)),0,+(VLOOKUP($B142,'Prior Historical'!$A$5:$U$500,COLUMNS($F142:M142)+6,FALSE)))/1000,3)</f>
        <v>0</v>
      </c>
      <c r="N142" s="32">
        <f>ROUND(IF(ISNA(VLOOKUP($B142,'Prior Historical'!$A$5:$U$500,COLUMNS($F142:N142)+6,FALSE)),0,+(VLOOKUP($B142,'Prior Historical'!$A$5:$U$500,COLUMNS($F142:N142)+6,FALSE)))/1000,3)</f>
        <v>0</v>
      </c>
      <c r="O142" s="32">
        <f>ROUND(IF(ISNA(VLOOKUP($B142,'Prior Historical'!$A$5:$U$500,COLUMNS($F142:O142)+6,FALSE)),0,+(VLOOKUP($B142,'Prior Historical'!$A$5:$U$500,COLUMNS($F142:O142)+6,FALSE)))/1000,3)</f>
        <v>0</v>
      </c>
      <c r="P142" s="32">
        <f>ROUND(IF(ISNA(VLOOKUP($B142,'Prior Historical'!$A$5:$U$500,COLUMNS($F142:P142)+6,FALSE)),0,+(VLOOKUP($B142,'Prior Historical'!$A$5:$U$500,COLUMNS($F142:P142)+6,FALSE)))/1000,3)</f>
        <v>0</v>
      </c>
      <c r="Q142" s="32">
        <f>ROUND(IF(ISNA(VLOOKUP($B142,'Prior Historical'!$A$5:$U$500,COLUMNS($F142:Q142)+6,FALSE)),0,+(VLOOKUP($B142,'Prior Historical'!$A$5:$U$500,COLUMNS($F142:Q142)+6,FALSE)))/1000,3)</f>
        <v>0</v>
      </c>
      <c r="R142" s="32">
        <f>ROUND(IF(ISNA(VLOOKUP($B142,'Prior Historical'!$A$5:$U$500,COLUMNS($F142:R142)+6,FALSE)),0,+(VLOOKUP($B142,'Prior Historical'!$A$5:$U$500,COLUMNS($F142:R142)+6,FALSE)))/1000,3)</f>
        <v>1490.1189999999999</v>
      </c>
      <c r="S142" s="155">
        <f t="shared" si="14"/>
        <v>114.62453846153845</v>
      </c>
      <c r="T142" s="144" t="s">
        <v>118</v>
      </c>
      <c r="U142" s="35"/>
    </row>
    <row r="143" spans="1:22" ht="15" customHeight="1">
      <c r="A143" s="142">
        <v>25</v>
      </c>
      <c r="B143" s="35"/>
      <c r="C143" s="14"/>
      <c r="D143" s="142" t="s">
        <v>464</v>
      </c>
      <c r="E143" s="142"/>
      <c r="F143" s="27">
        <f t="shared" ref="F143:S143" si="15">SUM(F130:F142)</f>
        <v>1068556.0160000001</v>
      </c>
      <c r="G143" s="27">
        <f t="shared" si="15"/>
        <v>984504.85099999991</v>
      </c>
      <c r="H143" s="27">
        <f t="shared" si="15"/>
        <v>1074251.7370000002</v>
      </c>
      <c r="I143" s="27">
        <f t="shared" si="15"/>
        <v>1088528.588</v>
      </c>
      <c r="J143" s="27">
        <f t="shared" si="15"/>
        <v>1193172.736</v>
      </c>
      <c r="K143" s="27">
        <f t="shared" si="15"/>
        <v>1187351.7119999998</v>
      </c>
      <c r="L143" s="27">
        <f t="shared" si="15"/>
        <v>1270453.2840000002</v>
      </c>
      <c r="M143" s="27">
        <f t="shared" si="15"/>
        <v>917623.79100000008</v>
      </c>
      <c r="N143" s="27">
        <f t="shared" si="15"/>
        <v>1011645.909</v>
      </c>
      <c r="O143" s="27">
        <f t="shared" si="15"/>
        <v>1356114.8049999999</v>
      </c>
      <c r="P143" s="27">
        <f t="shared" si="15"/>
        <v>1508855.9269999999</v>
      </c>
      <c r="Q143" s="27">
        <f t="shared" si="15"/>
        <v>1555645.4629999998</v>
      </c>
      <c r="R143" s="27">
        <f t="shared" si="15"/>
        <v>1641478.8059999999</v>
      </c>
      <c r="S143" s="27">
        <f t="shared" si="15"/>
        <v>1219860.2788461535</v>
      </c>
      <c r="T143" s="142"/>
      <c r="U143" s="35"/>
    </row>
    <row r="144" spans="1:22" ht="15" customHeight="1">
      <c r="A144" s="142">
        <v>26</v>
      </c>
      <c r="B144" s="35"/>
      <c r="C144" s="14"/>
      <c r="D144" s="142"/>
      <c r="E144" s="142"/>
      <c r="F144" s="27"/>
      <c r="G144" s="27"/>
      <c r="H144" s="27"/>
      <c r="I144" s="27"/>
      <c r="J144" s="27"/>
      <c r="K144" s="27"/>
      <c r="L144" s="27"/>
      <c r="M144" s="27"/>
      <c r="N144" s="27"/>
      <c r="O144" s="27"/>
      <c r="P144" s="27"/>
      <c r="Q144" s="27"/>
      <c r="R144" s="27"/>
      <c r="S144" s="27"/>
      <c r="T144" s="142"/>
    </row>
    <row r="145" spans="1:21" ht="15" customHeight="1">
      <c r="A145" s="142">
        <v>27</v>
      </c>
      <c r="B145" s="35"/>
      <c r="C145" s="142" t="s">
        <v>479</v>
      </c>
      <c r="D145" s="142"/>
      <c r="E145" s="142"/>
      <c r="F145" s="27"/>
      <c r="G145" s="27"/>
      <c r="H145" s="27"/>
      <c r="I145" s="27"/>
      <c r="J145" s="27"/>
      <c r="K145" s="27"/>
      <c r="L145" s="27"/>
      <c r="M145" s="27"/>
      <c r="N145" s="27"/>
      <c r="O145" s="27"/>
      <c r="P145" s="27"/>
      <c r="Q145" s="27"/>
      <c r="R145" s="27"/>
      <c r="S145" s="150"/>
      <c r="T145" s="142"/>
    </row>
    <row r="146" spans="1:21" ht="15" customHeight="1">
      <c r="A146" s="142">
        <v>28</v>
      </c>
      <c r="B146" s="86" t="s">
        <v>480</v>
      </c>
      <c r="C146" s="14" t="s">
        <v>313</v>
      </c>
      <c r="D146" s="142"/>
      <c r="E146" s="142"/>
      <c r="F146" s="27">
        <f>ROUND(VLOOKUP($B146,'Prior Historical'!$A$5:$U$500,COLUMNS($F146:F146)+6,FALSE)/1000,3)-F147</f>
        <v>26171.155000000002</v>
      </c>
      <c r="G146" s="27">
        <f>ROUND(VLOOKUP($B146,'Prior Historical'!$A$5:$U$500,COLUMNS($F146:G146)+6,FALSE)/1000,3)-G147</f>
        <v>31205.038</v>
      </c>
      <c r="H146" s="27">
        <f>ROUND(VLOOKUP($B146,'Prior Historical'!$A$5:$U$500,COLUMNS($F146:H146)+6,FALSE)/1000,3)-H147</f>
        <v>33065.476999999999</v>
      </c>
      <c r="I146" s="27">
        <f>ROUND(VLOOKUP($B146,'Prior Historical'!$A$5:$U$500,COLUMNS($F146:I146)+6,FALSE)/1000,3)-I147</f>
        <v>30799.598000000002</v>
      </c>
      <c r="J146" s="27">
        <f>ROUND(VLOOKUP($B146,'Prior Historical'!$A$5:$U$500,COLUMNS($F146:J146)+6,FALSE)/1000,3)-J147</f>
        <v>32224.364999999998</v>
      </c>
      <c r="K146" s="27">
        <f>ROUND(VLOOKUP($B146,'Prior Historical'!$A$5:$U$500,COLUMNS($F146:K146)+6,FALSE)/1000,3)-K147</f>
        <v>32878.824999999997</v>
      </c>
      <c r="L146" s="27">
        <f>ROUND(VLOOKUP($B146,'Prior Historical'!$A$5:$U$500,COLUMNS($F146:L146)+6,FALSE)/1000,3)-L147</f>
        <v>30236.298000000003</v>
      </c>
      <c r="M146" s="27">
        <f>ROUND(VLOOKUP($B146,'Prior Historical'!$A$5:$U$500,COLUMNS($F146:M146)+6,FALSE)/1000,3)-M147</f>
        <v>28267.675999999999</v>
      </c>
      <c r="N146" s="27">
        <f>ROUND(VLOOKUP($B146,'Prior Historical'!$A$5:$U$500,COLUMNS($F146:N146)+6,FALSE)/1000,3)-N147</f>
        <v>28756.968000000001</v>
      </c>
      <c r="O146" s="27">
        <f>ROUND(VLOOKUP($B146,'Prior Historical'!$A$5:$U$500,COLUMNS($F146:O146)+6,FALSE)/1000,3)-O147</f>
        <v>28014.415999999997</v>
      </c>
      <c r="P146" s="27">
        <f>ROUND(VLOOKUP($B146,'Prior Historical'!$A$5:$U$500,COLUMNS($F146:P146)+6,FALSE)/1000,3)-P147</f>
        <v>28761.397000000001</v>
      </c>
      <c r="Q146" s="27">
        <f>ROUND(VLOOKUP($B146,'Prior Historical'!$A$5:$U$500,COLUMNS($F146:Q146)+6,FALSE)/1000,3)-Q147</f>
        <v>28220.800999999999</v>
      </c>
      <c r="R146" s="27">
        <f>ROUND(VLOOKUP($B146,'Prior Historical'!$A$5:$U$500,COLUMNS($F146:R146)+6,FALSE)/1000,3)-R147</f>
        <v>15528.172999999999</v>
      </c>
      <c r="S146" s="150">
        <f t="shared" ref="S146:S155" si="16">(SUM(F146:R146)/13)</f>
        <v>28779.245153846154</v>
      </c>
      <c r="T146" s="144" t="s">
        <v>118</v>
      </c>
      <c r="U146" s="375"/>
    </row>
    <row r="147" spans="1:21" ht="15" customHeight="1">
      <c r="A147" s="142">
        <v>29</v>
      </c>
      <c r="B147" s="86" t="s">
        <v>480</v>
      </c>
      <c r="C147" s="14" t="s">
        <v>313</v>
      </c>
      <c r="D147" s="142"/>
      <c r="E147" s="142"/>
      <c r="F147" s="27">
        <f>-ROUND(VLOOKUP("253nu",'Prior Historical'!$B$5:$U$598,COLUMNS($F147:F147)+5,FALSE)/1000,3)</f>
        <v>-80.558000000000007</v>
      </c>
      <c r="G147" s="27">
        <f>-ROUND(VLOOKUP("253nu",'Prior Historical'!$B$5:$U$598,COLUMNS($F147:G147)+5,FALSE)/1000,3)</f>
        <v>-148.119</v>
      </c>
      <c r="H147" s="27">
        <f>-ROUND(VLOOKUP("253nu",'Prior Historical'!$B$5:$U$598,COLUMNS($F147:H147)+5,FALSE)/1000,3)</f>
        <v>-214.989</v>
      </c>
      <c r="I147" s="27">
        <f>-ROUND(VLOOKUP("253nu",'Prior Historical'!$B$5:$U$598,COLUMNS($F147:I147)+5,FALSE)/1000,3)</f>
        <v>-281.86</v>
      </c>
      <c r="J147" s="27">
        <f>-ROUND(VLOOKUP("253nu",'Prior Historical'!$B$5:$U$598,COLUMNS($F147:J147)+5,FALSE)/1000,3)</f>
        <v>-348.73</v>
      </c>
      <c r="K147" s="27">
        <f>-ROUND(VLOOKUP("253nu",'Prior Historical'!$B$5:$U$598,COLUMNS($F147:K147)+5,FALSE)/1000,3)</f>
        <v>-415.601</v>
      </c>
      <c r="L147" s="27">
        <f>-ROUND(VLOOKUP("253nu",'Prior Historical'!$B$5:$U$598,COLUMNS($F147:L147)+5,FALSE)/1000,3)</f>
        <v>-482.471</v>
      </c>
      <c r="M147" s="27">
        <f>-ROUND(VLOOKUP("253nu",'Prior Historical'!$B$5:$U$598,COLUMNS($F147:M147)+5,FALSE)/1000,3)</f>
        <v>-549.34199999999998</v>
      </c>
      <c r="N147" s="27">
        <f>-ROUND(VLOOKUP("253nu",'Prior Historical'!$B$5:$U$598,COLUMNS($F147:N147)+5,FALSE)/1000,3)</f>
        <v>-616.21199999999999</v>
      </c>
      <c r="O147" s="27">
        <f>-ROUND(VLOOKUP("253nu",'Prior Historical'!$B$5:$U$598,COLUMNS($F147:O147)+5,FALSE)/1000,3)</f>
        <v>-683.08199999999999</v>
      </c>
      <c r="P147" s="27">
        <f>-ROUND(VLOOKUP("253nu",'Prior Historical'!$B$5:$U$598,COLUMNS($F147:P147)+5,FALSE)/1000,3)</f>
        <v>-749.95299999999997</v>
      </c>
      <c r="Q147" s="27">
        <f>-ROUND(VLOOKUP("253nu",'Prior Historical'!$B$5:$U$598,COLUMNS($F147:Q147)+5,FALSE)/1000,3)</f>
        <v>-816.82299999999998</v>
      </c>
      <c r="R147" s="27">
        <f>-ROUND(VLOOKUP("253nu",'Prior Historical'!$B$5:$U$598,COLUMNS($F147:R147)+5,FALSE)/1000,3)</f>
        <v>-883.69399999999996</v>
      </c>
      <c r="S147" s="150">
        <f t="shared" si="16"/>
        <v>-482.41799999999995</v>
      </c>
      <c r="T147" s="144" t="s">
        <v>393</v>
      </c>
      <c r="U147" s="375"/>
    </row>
    <row r="148" spans="1:21" ht="15" customHeight="1">
      <c r="A148" s="142">
        <v>30</v>
      </c>
      <c r="B148" s="151" t="s">
        <v>481</v>
      </c>
      <c r="C148" s="14" t="s">
        <v>314</v>
      </c>
      <c r="D148" s="142"/>
      <c r="E148" s="142"/>
      <c r="F148" s="27">
        <f>ROUND(VLOOKUP($B148,'Prior Historical'!$A$5:$U$500,COLUMNS($F148:F148)+6,FALSE)/1000,3)-F149</f>
        <v>16529.390000000014</v>
      </c>
      <c r="G148" s="27">
        <f>ROUND(VLOOKUP($B148,'Prior Historical'!$A$5:$U$500,COLUMNS($F148:G148)+6,FALSE)/1000,3)-G149</f>
        <v>18133.322000000044</v>
      </c>
      <c r="H148" s="27">
        <f>ROUND(VLOOKUP($B148,'Prior Historical'!$A$5:$U$500,COLUMNS($F148:H148)+6,FALSE)/1000,3)-H149</f>
        <v>17885.28899999999</v>
      </c>
      <c r="I148" s="27">
        <f>ROUND(VLOOKUP($B148,'Prior Historical'!$A$5:$U$500,COLUMNS($F148:I148)+6,FALSE)/1000,3)-I149</f>
        <v>20802.861000000034</v>
      </c>
      <c r="J148" s="27">
        <f>ROUND(VLOOKUP($B148,'Prior Historical'!$A$5:$U$500,COLUMNS($F148:J148)+6,FALSE)/1000,3)-J149</f>
        <v>22268.909999999916</v>
      </c>
      <c r="K148" s="27">
        <f>ROUND(VLOOKUP($B148,'Prior Historical'!$A$5:$U$500,COLUMNS($F148:K148)+6,FALSE)/1000,3)-K149</f>
        <v>24954.101000000024</v>
      </c>
      <c r="L148" s="27">
        <f>ROUND(VLOOKUP($B148,'Prior Historical'!$A$5:$U$500,COLUMNS($F148:L148)+6,FALSE)/1000,3)-L149</f>
        <v>22701.314999999944</v>
      </c>
      <c r="M148" s="27">
        <f>ROUND(VLOOKUP($B148,'Prior Historical'!$A$5:$U$500,COLUMNS($F148:M148)+6,FALSE)/1000,3)-M149</f>
        <v>29816.731000000029</v>
      </c>
      <c r="N148" s="27">
        <f>ROUND(VLOOKUP($B148,'Prior Historical'!$A$5:$U$500,COLUMNS($F148:N148)+6,FALSE)/1000,3)-N149</f>
        <v>33715.68200000003</v>
      </c>
      <c r="O148" s="27">
        <f>ROUND(VLOOKUP($B148,'Prior Historical'!$A$5:$U$500,COLUMNS($F148:O148)+6,FALSE)/1000,3)-O149</f>
        <v>33530.490999999922</v>
      </c>
      <c r="P148" s="27">
        <f>ROUND(VLOOKUP($B148,'Prior Historical'!$A$5:$U$500,COLUMNS($F148:P148)+6,FALSE)/1000,3)-P149</f>
        <v>35587.074999999953</v>
      </c>
      <c r="Q148" s="27">
        <f>ROUND(VLOOKUP($B148,'Prior Historical'!$A$5:$U$500,COLUMNS($F148:Q148)+6,FALSE)/1000,3)-Q149</f>
        <v>34024.599999999977</v>
      </c>
      <c r="R148" s="27">
        <f>ROUND(VLOOKUP($B148,'Prior Historical'!$A$5:$U$500,COLUMNS($F148:R148)+6,FALSE)/1000,3)-R149</f>
        <v>37221.888000000035</v>
      </c>
      <c r="S148" s="150">
        <f t="shared" si="16"/>
        <v>26705.511923076916</v>
      </c>
      <c r="T148" s="144" t="s">
        <v>118</v>
      </c>
      <c r="U148" s="375"/>
    </row>
    <row r="149" spans="1:21" ht="15" customHeight="1">
      <c r="A149" s="142">
        <v>31</v>
      </c>
      <c r="B149" s="151" t="s">
        <v>481</v>
      </c>
      <c r="C149" s="14" t="s">
        <v>482</v>
      </c>
      <c r="D149" s="142"/>
      <c r="E149" s="142"/>
      <c r="F149" s="27">
        <f>ROUND(VLOOKUP("2540610",'Prior Historical'!$B$5:$U$598,COLUMNS($F149:F149)+5,FALSE)/1000,3)</f>
        <v>549974.375</v>
      </c>
      <c r="G149" s="27">
        <f>ROUND(VLOOKUP("2540610",'Prior Historical'!$B$5:$U$598,COLUMNS($F149:G149)+5,FALSE)/1000,3)</f>
        <v>546804.48199999996</v>
      </c>
      <c r="H149" s="27">
        <f>ROUND(VLOOKUP("2540610",'Prior Historical'!$B$5:$U$598,COLUMNS($F149:H149)+5,FALSE)/1000,3)</f>
        <v>546734.76199999999</v>
      </c>
      <c r="I149" s="27">
        <f>ROUND(VLOOKUP("2540610",'Prior Historical'!$B$5:$U$598,COLUMNS($F149:I149)+5,FALSE)/1000,3)</f>
        <v>553031.29700000002</v>
      </c>
      <c r="J149" s="27">
        <f>ROUND(VLOOKUP("2540610",'Prior Historical'!$B$5:$U$598,COLUMNS($F149:J149)+5,FALSE)/1000,3)</f>
        <v>554840.77800000005</v>
      </c>
      <c r="K149" s="27">
        <f>ROUND(VLOOKUP("2540610",'Prior Historical'!$B$5:$U$598,COLUMNS($F149:K149)+5,FALSE)/1000,3)</f>
        <v>551768.85199999996</v>
      </c>
      <c r="L149" s="27">
        <f>ROUND(VLOOKUP("2540610",'Prior Historical'!$B$5:$U$598,COLUMNS($F149:L149)+5,FALSE)/1000,3)</f>
        <v>549609.223</v>
      </c>
      <c r="M149" s="27">
        <f>ROUND(VLOOKUP("2540610",'Prior Historical'!$B$5:$U$598,COLUMNS($F149:M149)+5,FALSE)/1000,3)</f>
        <v>542078.99399999995</v>
      </c>
      <c r="N149" s="27">
        <f>ROUND(VLOOKUP("2540610",'Prior Historical'!$B$5:$U$598,COLUMNS($F149:N149)+5,FALSE)/1000,3)</f>
        <v>539026.402</v>
      </c>
      <c r="O149" s="27">
        <f>ROUND(VLOOKUP("2540610",'Prior Historical'!$B$5:$U$598,COLUMNS($F149:O149)+5,FALSE)/1000,3)</f>
        <v>536415.47400000005</v>
      </c>
      <c r="P149" s="27">
        <f>ROUND(VLOOKUP("2540610",'Prior Historical'!$B$5:$U$598,COLUMNS($F149:P149)+5,FALSE)/1000,3)</f>
        <v>533391.38600000006</v>
      </c>
      <c r="Q149" s="27">
        <f>ROUND(VLOOKUP("2540610",'Prior Historical'!$B$5:$U$598,COLUMNS($F149:Q149)+5,FALSE)/1000,3)</f>
        <v>530367.299</v>
      </c>
      <c r="R149" s="27">
        <f>ROUND(VLOOKUP("2540610",'Prior Historical'!$B$5:$U$598,COLUMNS($F149:R149)+5,FALSE)/1000,3)</f>
        <v>512586.44400000002</v>
      </c>
      <c r="S149" s="150">
        <f t="shared" si="16"/>
        <v>542048.44369230769</v>
      </c>
      <c r="T149" s="144" t="s">
        <v>421</v>
      </c>
      <c r="U149" s="375"/>
    </row>
    <row r="150" spans="1:21" ht="15" customHeight="1">
      <c r="A150" s="142">
        <v>32</v>
      </c>
      <c r="B150" s="86" t="s">
        <v>483</v>
      </c>
      <c r="C150" s="14" t="s">
        <v>484</v>
      </c>
      <c r="D150" s="142"/>
      <c r="E150" s="142"/>
      <c r="F150" s="27">
        <f>ROUND(IF(ISNA(VLOOKUP($B150,'Prior Historical'!$A$5:$U$500,COLUMNS($F150:F150)+6,FALSE)),0,+(VLOOKUP($B150,'Prior Historical'!$A$5:$U$500,COLUMNS($F150:F150)+6,FALSE)))/1000,3)</f>
        <v>248706.739</v>
      </c>
      <c r="G150" s="27">
        <f>ROUND(IF(ISNA(VLOOKUP($B150,'Prior Historical'!$A$5:$U$500,COLUMNS($F150:G150)+6,FALSE)),0,+(VLOOKUP($B150,'Prior Historical'!$A$5:$U$500,COLUMNS($F150:G150)+6,FALSE)))/1000,3)</f>
        <v>247927.77100000001</v>
      </c>
      <c r="H150" s="27">
        <f>ROUND(IF(ISNA(VLOOKUP($B150,'Prior Historical'!$A$5:$U$500,COLUMNS($F150:H150)+6,FALSE)),0,+(VLOOKUP($B150,'Prior Historical'!$A$5:$U$500,COLUMNS($F150:H150)+6,FALSE)))/1000,3)</f>
        <v>257547.66899999999</v>
      </c>
      <c r="I150" s="27">
        <f>ROUND(IF(ISNA(VLOOKUP($B150,'Prior Historical'!$A$5:$U$500,COLUMNS($F150:I150)+6,FALSE)),0,+(VLOOKUP($B150,'Prior Historical'!$A$5:$U$500,COLUMNS($F150:I150)+6,FALSE)))/1000,3)</f>
        <v>279511.99800000002</v>
      </c>
      <c r="J150" s="27">
        <f>ROUND(IF(ISNA(VLOOKUP($B150,'Prior Historical'!$A$5:$U$500,COLUMNS($F150:J150)+6,FALSE)),0,+(VLOOKUP($B150,'Prior Historical'!$A$5:$U$500,COLUMNS($F150:J150)+6,FALSE)))/1000,3)</f>
        <v>296112.79200000002</v>
      </c>
      <c r="K150" s="27">
        <f>ROUND(IF(ISNA(VLOOKUP($B150,'Prior Historical'!$A$5:$U$500,COLUMNS($F150:K150)+6,FALSE)),0,+(VLOOKUP($B150,'Prior Historical'!$A$5:$U$500,COLUMNS($F150:K150)+6,FALSE)))/1000,3)</f>
        <v>295360.185</v>
      </c>
      <c r="L150" s="27">
        <f>ROUND(IF(ISNA(VLOOKUP($B150,'Prior Historical'!$A$5:$U$500,COLUMNS($F150:L150)+6,FALSE)),0,+(VLOOKUP($B150,'Prior Historical'!$A$5:$U$500,COLUMNS($F150:L150)+6,FALSE)))/1000,3)</f>
        <v>297913.39299999998</v>
      </c>
      <c r="M150" s="27">
        <f>ROUND(IF(ISNA(VLOOKUP($B150,'Prior Historical'!$A$5:$U$500,COLUMNS($F150:M150)+6,FALSE)),0,+(VLOOKUP($B150,'Prior Historical'!$A$5:$U$500,COLUMNS($F150:M150)+6,FALSE)))/1000,3)</f>
        <v>297267.005</v>
      </c>
      <c r="N150" s="27">
        <f>ROUND(IF(ISNA(VLOOKUP($B150,'Prior Historical'!$A$5:$U$500,COLUMNS($F150:N150)+6,FALSE)),0,+(VLOOKUP($B150,'Prior Historical'!$A$5:$U$500,COLUMNS($F150:N150)+6,FALSE)))/1000,3)</f>
        <v>296448.54200000002</v>
      </c>
      <c r="O150" s="27">
        <f>ROUND(IF(ISNA(VLOOKUP($B150,'Prior Historical'!$A$5:$U$500,COLUMNS($F150:O150)+6,FALSE)),0,+(VLOOKUP($B150,'Prior Historical'!$A$5:$U$500,COLUMNS($F150:O150)+6,FALSE)))/1000,3)</f>
        <v>304235.158</v>
      </c>
      <c r="P150" s="27">
        <f>ROUND(IF(ISNA(VLOOKUP($B150,'Prior Historical'!$A$5:$U$500,COLUMNS($F150:P150)+6,FALSE)),0,+(VLOOKUP($B150,'Prior Historical'!$A$5:$U$500,COLUMNS($F150:P150)+6,FALSE)))/1000,3)</f>
        <v>303588.77</v>
      </c>
      <c r="Q150" s="27">
        <f>ROUND(IF(ISNA(VLOOKUP($B150,'Prior Historical'!$A$5:$U$500,COLUMNS($F150:Q150)+6,FALSE)),0,+(VLOOKUP($B150,'Prior Historical'!$A$5:$U$500,COLUMNS($F150:Q150)+6,FALSE)))/1000,3)</f>
        <v>302942.38199999998</v>
      </c>
      <c r="R150" s="27">
        <f>ROUND(IF(ISNA(VLOOKUP($B150,'Prior Historical'!$A$5:$U$500,COLUMNS($F150:R150)+6,FALSE)),0,+(VLOOKUP($B150,'Prior Historical'!$A$5:$U$500,COLUMNS($F150:R150)+6,FALSE)))/1000,3)</f>
        <v>243216.489</v>
      </c>
      <c r="S150" s="150">
        <f t="shared" si="16"/>
        <v>282367.60715384618</v>
      </c>
      <c r="T150" s="144" t="s">
        <v>421</v>
      </c>
      <c r="U150" s="375"/>
    </row>
    <row r="151" spans="1:21" ht="15" customHeight="1">
      <c r="A151" s="142">
        <v>33</v>
      </c>
      <c r="B151" s="86" t="s">
        <v>485</v>
      </c>
      <c r="C151" s="14" t="s">
        <v>486</v>
      </c>
      <c r="D151" s="142"/>
      <c r="E151" s="142"/>
      <c r="F151" s="27">
        <f>ROUND(IF(ISNA(VLOOKUP($B151,'Prior Historical'!$A$5:$U$500,COLUMNS($F151:F151)+6,FALSE)),0,+(VLOOKUP($B151,'Prior Historical'!$A$5:$U$500,COLUMNS($F151:F151)+6,FALSE)))/1000,3)</f>
        <v>-7.8760000000000003</v>
      </c>
      <c r="G151" s="27">
        <f>ROUND(IF(ISNA(VLOOKUP($B151,'Prior Historical'!$A$5:$U$500,COLUMNS($F151:G151)+6,FALSE)),0,+(VLOOKUP($B151,'Prior Historical'!$A$5:$U$500,COLUMNS($F151:G151)+6,FALSE)))/1000,3)</f>
        <v>-7.8760000000000003</v>
      </c>
      <c r="H151" s="27">
        <f>ROUND(IF(ISNA(VLOOKUP($B151,'Prior Historical'!$A$5:$U$500,COLUMNS($F151:H151)+6,FALSE)),0,+(VLOOKUP($B151,'Prior Historical'!$A$5:$U$500,COLUMNS($F151:H151)+6,FALSE)))/1000,3)</f>
        <v>-7.8760000000000003</v>
      </c>
      <c r="I151" s="27">
        <f>ROUND(IF(ISNA(VLOOKUP($B151,'Prior Historical'!$A$5:$U$500,COLUMNS($F151:I151)+6,FALSE)),0,+(VLOOKUP($B151,'Prior Historical'!$A$5:$U$500,COLUMNS($F151:I151)+6,FALSE)))/1000,3)</f>
        <v>-7.8760000000000003</v>
      </c>
      <c r="J151" s="27">
        <f>ROUND(IF(ISNA(VLOOKUP($B151,'Prior Historical'!$A$5:$U$500,COLUMNS($F151:J151)+6,FALSE)),0,+(VLOOKUP($B151,'Prior Historical'!$A$5:$U$500,COLUMNS($F151:J151)+6,FALSE)))/1000,3)</f>
        <v>-7.8760000000000003</v>
      </c>
      <c r="K151" s="27">
        <f>ROUND(IF(ISNA(VLOOKUP($B151,'Prior Historical'!$A$5:$U$500,COLUMNS($F151:K151)+6,FALSE)),0,+(VLOOKUP($B151,'Prior Historical'!$A$5:$U$500,COLUMNS($F151:K151)+6,FALSE)))/1000,3)</f>
        <v>-7.8760000000000003</v>
      </c>
      <c r="L151" s="27">
        <f>ROUND(IF(ISNA(VLOOKUP($B151,'Prior Historical'!$A$5:$U$500,COLUMNS($F151:L151)+6,FALSE)),0,+(VLOOKUP($B151,'Prior Historical'!$A$5:$U$500,COLUMNS($F151:L151)+6,FALSE)))/1000,3)</f>
        <v>-7.8760000000000003</v>
      </c>
      <c r="M151" s="27">
        <f>ROUND(IF(ISNA(VLOOKUP($B151,'Prior Historical'!$A$5:$U$500,COLUMNS($F151:M151)+6,FALSE)),0,+(VLOOKUP($B151,'Prior Historical'!$A$5:$U$500,COLUMNS($F151:M151)+6,FALSE)))/1000,3)</f>
        <v>-7.8760000000000003</v>
      </c>
      <c r="N151" s="27">
        <f>ROUND(IF(ISNA(VLOOKUP($B151,'Prior Historical'!$A$5:$U$500,COLUMNS($F151:N151)+6,FALSE)),0,+(VLOOKUP($B151,'Prior Historical'!$A$5:$U$500,COLUMNS($F151:N151)+6,FALSE)))/1000,3)</f>
        <v>-7.8760000000000003</v>
      </c>
      <c r="O151" s="27">
        <f>ROUND(IF(ISNA(VLOOKUP($B151,'Prior Historical'!$A$5:$U$500,COLUMNS($F151:O151)+6,FALSE)),0,+(VLOOKUP($B151,'Prior Historical'!$A$5:$U$500,COLUMNS($F151:O151)+6,FALSE)))/1000,3)</f>
        <v>-7.8760000000000003</v>
      </c>
      <c r="P151" s="27">
        <f>ROUND(IF(ISNA(VLOOKUP($B151,'Prior Historical'!$A$5:$U$500,COLUMNS($F151:P151)+6,FALSE)),0,+(VLOOKUP($B151,'Prior Historical'!$A$5:$U$500,COLUMNS($F151:P151)+6,FALSE)))/1000,3)</f>
        <v>-7.8760000000000003</v>
      </c>
      <c r="Q151" s="27">
        <f>ROUND(IF(ISNA(VLOOKUP($B151,'Prior Historical'!$A$5:$U$500,COLUMNS($F151:Q151)+6,FALSE)),0,+(VLOOKUP($B151,'Prior Historical'!$A$5:$U$500,COLUMNS($F151:Q151)+6,FALSE)))/1000,3)</f>
        <v>-7.8760000000000003</v>
      </c>
      <c r="R151" s="27">
        <f>ROUND(IF(ISNA(VLOOKUP($B151,'Prior Historical'!$A$5:$U$500,COLUMNS($F151:R151)+6,FALSE)),0,+(VLOOKUP($B151,'Prior Historical'!$A$5:$U$500,COLUMNS($F151:R151)+6,FALSE)))/1000,3)</f>
        <v>-7.8760000000000003</v>
      </c>
      <c r="S151" s="150">
        <f t="shared" si="16"/>
        <v>-7.8760000000000012</v>
      </c>
      <c r="T151" s="144" t="s">
        <v>118</v>
      </c>
    </row>
    <row r="152" spans="1:21" ht="15" customHeight="1">
      <c r="A152" s="142">
        <v>34</v>
      </c>
      <c r="B152" s="86" t="s">
        <v>487</v>
      </c>
      <c r="C152" s="14" t="s">
        <v>488</v>
      </c>
      <c r="D152" s="142"/>
      <c r="E152" s="142"/>
      <c r="F152" s="27">
        <f>ROUND(IF(ISNA(VLOOKUP($B152,'Prior Historical'!$A$5:$U$500,COLUMNS($F152:F152)+6,FALSE)),0,+(VLOOKUP($B152,'Prior Historical'!$A$5:$U$500,COLUMNS($F152:F152)+6,FALSE)))/1000,3)</f>
        <v>0</v>
      </c>
      <c r="G152" s="27">
        <f>ROUND(IF(ISNA(VLOOKUP($B152,'Prior Historical'!$A$5:$U$500,COLUMNS($F152:G152)+6,FALSE)),0,+(VLOOKUP($B152,'Prior Historical'!$A$5:$U$500,COLUMNS($F152:G152)+6,FALSE)))/1000,3)</f>
        <v>0</v>
      </c>
      <c r="H152" s="27">
        <f>ROUND(IF(ISNA(VLOOKUP($B152,'Prior Historical'!$A$5:$U$500,COLUMNS($F152:H152)+6,FALSE)),0,+(VLOOKUP($B152,'Prior Historical'!$A$5:$U$500,COLUMNS($F152:H152)+6,FALSE)))/1000,3)</f>
        <v>0</v>
      </c>
      <c r="I152" s="27">
        <f>ROUND(IF(ISNA(VLOOKUP($B152,'Prior Historical'!$A$5:$U$500,COLUMNS($F152:I152)+6,FALSE)),0,+(VLOOKUP($B152,'Prior Historical'!$A$5:$U$500,COLUMNS($F152:I152)+6,FALSE)))/1000,3)</f>
        <v>0</v>
      </c>
      <c r="J152" s="27">
        <f>ROUND(IF(ISNA(VLOOKUP($B152,'Prior Historical'!$A$5:$U$500,COLUMNS($F152:J152)+6,FALSE)),0,+(VLOOKUP($B152,'Prior Historical'!$A$5:$U$500,COLUMNS($F152:J152)+6,FALSE)))/1000,3)</f>
        <v>0</v>
      </c>
      <c r="K152" s="27">
        <f>ROUND(IF(ISNA(VLOOKUP($B152,'Prior Historical'!$A$5:$U$500,COLUMNS($F152:K152)+6,FALSE)),0,+(VLOOKUP($B152,'Prior Historical'!$A$5:$U$500,COLUMNS($F152:K152)+6,FALSE)))/1000,3)</f>
        <v>0</v>
      </c>
      <c r="L152" s="27">
        <f>ROUND(IF(ISNA(VLOOKUP($B152,'Prior Historical'!$A$5:$U$500,COLUMNS($F152:L152)+6,FALSE)),0,+(VLOOKUP($B152,'Prior Historical'!$A$5:$U$500,COLUMNS($F152:L152)+6,FALSE)))/1000,3)</f>
        <v>0</v>
      </c>
      <c r="M152" s="27">
        <f>ROUND(IF(ISNA(VLOOKUP($B152,'Prior Historical'!$A$5:$U$500,COLUMNS($F152:M152)+6,FALSE)),0,+(VLOOKUP($B152,'Prior Historical'!$A$5:$U$500,COLUMNS($F152:M152)+6,FALSE)))/1000,3)</f>
        <v>0</v>
      </c>
      <c r="N152" s="27">
        <f>ROUND(IF(ISNA(VLOOKUP($B152,'Prior Historical'!$A$5:$U$500,COLUMNS($F152:N152)+6,FALSE)),0,+(VLOOKUP($B152,'Prior Historical'!$A$5:$U$500,COLUMNS($F152:N152)+6,FALSE)))/1000,3)</f>
        <v>0</v>
      </c>
      <c r="O152" s="27">
        <f>ROUND(IF(ISNA(VLOOKUP($B152,'Prior Historical'!$A$5:$U$500,COLUMNS($F152:O152)+6,FALSE)),0,+(VLOOKUP($B152,'Prior Historical'!$A$5:$U$500,COLUMNS($F152:O152)+6,FALSE)))/1000,3)</f>
        <v>0</v>
      </c>
      <c r="P152" s="27">
        <f>ROUND(IF(ISNA(VLOOKUP($B152,'Prior Historical'!$A$5:$U$500,COLUMNS($F152:P152)+6,FALSE)),0,+(VLOOKUP($B152,'Prior Historical'!$A$5:$U$500,COLUMNS($F152:P152)+6,FALSE)))/1000,3)</f>
        <v>0</v>
      </c>
      <c r="Q152" s="27">
        <f>ROUND(IF(ISNA(VLOOKUP($B152,'Prior Historical'!$A$5:$U$500,COLUMNS($F152:Q152)+6,FALSE)),0,+(VLOOKUP($B152,'Prior Historical'!$A$5:$U$500,COLUMNS($F152:Q152)+6,FALSE)))/1000,3)</f>
        <v>0</v>
      </c>
      <c r="R152" s="27">
        <f>ROUND(IF(ISNA(VLOOKUP($B152,'Prior Historical'!$A$5:$U$500,COLUMNS($F152:R152)+6,FALSE)),0,+(VLOOKUP($B152,'Prior Historical'!$A$5:$U$500,COLUMNS($F152:R152)+6,FALSE)))/1000,3)</f>
        <v>0</v>
      </c>
      <c r="S152" s="150">
        <f t="shared" si="16"/>
        <v>0</v>
      </c>
      <c r="T152" s="144" t="s">
        <v>118</v>
      </c>
    </row>
    <row r="153" spans="1:21" ht="15" customHeight="1">
      <c r="A153" s="142">
        <v>35</v>
      </c>
      <c r="B153" s="86" t="s">
        <v>489</v>
      </c>
      <c r="C153" s="14" t="s">
        <v>490</v>
      </c>
      <c r="D153" s="142"/>
      <c r="E153" s="142"/>
      <c r="F153" s="27">
        <f>ROUND(IF(ISNA(VLOOKUP($B153,'Prior Historical'!$A$5:$U$500,COLUMNS($F153:F153)+6,FALSE)),0,+(VLOOKUP($B153,'Prior Historical'!$A$5:$U$500,COLUMNS($F153:F153)+6,FALSE)))/1000,3)</f>
        <v>43604.756000000001</v>
      </c>
      <c r="G153" s="27">
        <f>ROUND(IF(ISNA(VLOOKUP($B153,'Prior Historical'!$A$5:$U$500,COLUMNS($F153:G153)+6,FALSE)),0,+(VLOOKUP($B153,'Prior Historical'!$A$5:$U$500,COLUMNS($F153:G153)+6,FALSE)))/1000,3)</f>
        <v>43574.834999999999</v>
      </c>
      <c r="H153" s="27">
        <f>ROUND(IF(ISNA(VLOOKUP($B153,'Prior Historical'!$A$5:$U$500,COLUMNS($F153:H153)+6,FALSE)),0,+(VLOOKUP($B153,'Prior Historical'!$A$5:$U$500,COLUMNS($F153:H153)+6,FALSE)))/1000,3)</f>
        <v>43358.476999999999</v>
      </c>
      <c r="I153" s="27">
        <f>ROUND(IF(ISNA(VLOOKUP($B153,'Prior Historical'!$A$5:$U$500,COLUMNS($F153:I153)+6,FALSE)),0,+(VLOOKUP($B153,'Prior Historical'!$A$5:$U$500,COLUMNS($F153:I153)+6,FALSE)))/1000,3)</f>
        <v>43235.690999999999</v>
      </c>
      <c r="J153" s="27">
        <f>ROUND(IF(ISNA(VLOOKUP($B153,'Prior Historical'!$A$5:$U$500,COLUMNS($F153:J153)+6,FALSE)),0,+(VLOOKUP($B153,'Prior Historical'!$A$5:$U$500,COLUMNS($F153:J153)+6,FALSE)))/1000,3)</f>
        <v>43112.669000000002</v>
      </c>
      <c r="K153" s="27">
        <f>ROUND(IF(ISNA(VLOOKUP($B153,'Prior Historical'!$A$5:$U$500,COLUMNS($F153:K153)+6,FALSE)),0,+(VLOOKUP($B153,'Prior Historical'!$A$5:$U$500,COLUMNS($F153:K153)+6,FALSE)))/1000,3)</f>
        <v>42989.646999999997</v>
      </c>
      <c r="L153" s="27">
        <f>ROUND(IF(ISNA(VLOOKUP($B153,'Prior Historical'!$A$5:$U$500,COLUMNS($F153:L153)+6,FALSE)),0,+(VLOOKUP($B153,'Prior Historical'!$A$5:$U$500,COLUMNS($F153:L153)+6,FALSE)))/1000,3)</f>
        <v>42874.805999999997</v>
      </c>
      <c r="M153" s="27">
        <f>ROUND(IF(ISNA(VLOOKUP($B153,'Prior Historical'!$A$5:$U$500,COLUMNS($F153:M153)+6,FALSE)),0,+(VLOOKUP($B153,'Prior Historical'!$A$5:$U$500,COLUMNS($F153:M153)+6,FALSE)))/1000,3)</f>
        <v>42753.148000000001</v>
      </c>
      <c r="N153" s="27">
        <f>ROUND(IF(ISNA(VLOOKUP($B153,'Prior Historical'!$A$5:$U$500,COLUMNS($F153:N153)+6,FALSE)),0,+(VLOOKUP($B153,'Prior Historical'!$A$5:$U$500,COLUMNS($F153:N153)+6,FALSE)))/1000,3)</f>
        <v>42633.555</v>
      </c>
      <c r="O153" s="27">
        <f>ROUND(IF(ISNA(VLOOKUP($B153,'Prior Historical'!$A$5:$U$500,COLUMNS($F153:O153)+6,FALSE)),0,+(VLOOKUP($B153,'Prior Historical'!$A$5:$U$500,COLUMNS($F153:O153)+6,FALSE)))/1000,3)</f>
        <v>42512.351000000002</v>
      </c>
      <c r="P153" s="27">
        <f>ROUND(IF(ISNA(VLOOKUP($B153,'Prior Historical'!$A$5:$U$500,COLUMNS($F153:P153)+6,FALSE)),0,+(VLOOKUP($B153,'Prior Historical'!$A$5:$U$500,COLUMNS($F153:P153)+6,FALSE)))/1000,3)</f>
        <v>42390.972999999998</v>
      </c>
      <c r="Q153" s="27">
        <f>ROUND(IF(ISNA(VLOOKUP($B153,'Prior Historical'!$A$5:$U$500,COLUMNS($F153:Q153)+6,FALSE)),0,+(VLOOKUP($B153,'Prior Historical'!$A$5:$U$500,COLUMNS($F153:Q153)+6,FALSE)))/1000,3)</f>
        <v>42269.595000000001</v>
      </c>
      <c r="R153" s="27">
        <f>ROUND(IF(ISNA(VLOOKUP($B153,'Prior Historical'!$A$5:$U$500,COLUMNS($F153:R153)+6,FALSE)),0,+(VLOOKUP($B153,'Prior Historical'!$A$5:$U$500,COLUMNS($F153:R153)+6,FALSE)))/1000,3)</f>
        <v>52270.667999999998</v>
      </c>
      <c r="S153" s="150">
        <f t="shared" si="16"/>
        <v>43660.090076923072</v>
      </c>
      <c r="T153" s="144" t="s">
        <v>421</v>
      </c>
    </row>
    <row r="154" spans="1:21" ht="15" customHeight="1">
      <c r="A154" s="142">
        <v>36</v>
      </c>
      <c r="B154" s="86" t="s">
        <v>491</v>
      </c>
      <c r="C154" s="14" t="s">
        <v>490</v>
      </c>
      <c r="D154" s="142"/>
      <c r="E154" s="142"/>
      <c r="F154" s="27">
        <f>ROUND(IF(ISNA(VLOOKUP($B154,'Prior Historical'!$A$5:$U$500,COLUMNS($F154:F154)+6,FALSE)),0,+(VLOOKUP($B154,'Prior Historical'!$A$5:$U$500,COLUMNS($F154:F154)+6,FALSE)))/1000,3)</f>
        <v>1304486.702</v>
      </c>
      <c r="G154" s="27">
        <f>ROUND(IF(ISNA(VLOOKUP($B154,'Prior Historical'!$A$5:$U$500,COLUMNS($F154:G154)+6,FALSE)),0,+(VLOOKUP($B154,'Prior Historical'!$A$5:$U$500,COLUMNS($F154:G154)+6,FALSE)))/1000,3)</f>
        <v>1313128.818</v>
      </c>
      <c r="H154" s="27">
        <f>ROUND(IF(ISNA(VLOOKUP($B154,'Prior Historical'!$A$5:$U$500,COLUMNS($F154:H154)+6,FALSE)),0,+(VLOOKUP($B154,'Prior Historical'!$A$5:$U$500,COLUMNS($F154:H154)+6,FALSE)))/1000,3)</f>
        <v>1319134.625</v>
      </c>
      <c r="I154" s="27">
        <f>ROUND(IF(ISNA(VLOOKUP($B154,'Prior Historical'!$A$5:$U$500,COLUMNS($F154:I154)+6,FALSE)),0,+(VLOOKUP($B154,'Prior Historical'!$A$5:$U$500,COLUMNS($F154:I154)+6,FALSE)))/1000,3)</f>
        <v>1324651.2490000001</v>
      </c>
      <c r="J154" s="27">
        <f>ROUND(IF(ISNA(VLOOKUP($B154,'Prior Historical'!$A$5:$U$500,COLUMNS($F154:J154)+6,FALSE)),0,+(VLOOKUP($B154,'Prior Historical'!$A$5:$U$500,COLUMNS($F154:J154)+6,FALSE)))/1000,3)</f>
        <v>1332226.044</v>
      </c>
      <c r="K154" s="27">
        <f>ROUND(IF(ISNA(VLOOKUP($B154,'Prior Historical'!$A$5:$U$500,COLUMNS($F154:K154)+6,FALSE)),0,+(VLOOKUP($B154,'Prior Historical'!$A$5:$U$500,COLUMNS($F154:K154)+6,FALSE)))/1000,3)</f>
        <v>1340140.175</v>
      </c>
      <c r="L154" s="27">
        <f>ROUND(IF(ISNA(VLOOKUP($B154,'Prior Historical'!$A$5:$U$500,COLUMNS($F154:L154)+6,FALSE)),0,+(VLOOKUP($B154,'Prior Historical'!$A$5:$U$500,COLUMNS($F154:L154)+6,FALSE)))/1000,3)</f>
        <v>1352265.905</v>
      </c>
      <c r="M154" s="27">
        <f>ROUND(IF(ISNA(VLOOKUP($B154,'Prior Historical'!$A$5:$U$500,COLUMNS($F154:M154)+6,FALSE)),0,+(VLOOKUP($B154,'Prior Historical'!$A$5:$U$500,COLUMNS($F154:M154)+6,FALSE)))/1000,3)</f>
        <v>1363271.1189999999</v>
      </c>
      <c r="N154" s="27">
        <f>ROUND(IF(ISNA(VLOOKUP($B154,'Prior Historical'!$A$5:$U$500,COLUMNS($F154:N154)+6,FALSE)),0,+(VLOOKUP($B154,'Prior Historical'!$A$5:$U$500,COLUMNS($F154:N154)+6,FALSE)))/1000,3)</f>
        <v>1364325.6640000001</v>
      </c>
      <c r="O154" s="27">
        <f>ROUND(IF(ISNA(VLOOKUP($B154,'Prior Historical'!$A$5:$U$500,COLUMNS($F154:O154)+6,FALSE)),0,+(VLOOKUP($B154,'Prior Historical'!$A$5:$U$500,COLUMNS($F154:O154)+6,FALSE)))/1000,3)</f>
        <v>1375128.5249999999</v>
      </c>
      <c r="P154" s="27">
        <f>ROUND(IF(ISNA(VLOOKUP($B154,'Prior Historical'!$A$5:$U$500,COLUMNS($F154:P154)+6,FALSE)),0,+(VLOOKUP($B154,'Prior Historical'!$A$5:$U$500,COLUMNS($F154:P154)+6,FALSE)))/1000,3)</f>
        <v>1382293.639</v>
      </c>
      <c r="Q154" s="27">
        <f>ROUND(IF(ISNA(VLOOKUP($B154,'Prior Historical'!$A$5:$U$500,COLUMNS($F154:Q154)+6,FALSE)),0,+(VLOOKUP($B154,'Prior Historical'!$A$5:$U$500,COLUMNS($F154:Q154)+6,FALSE)))/1000,3)</f>
        <v>1389944.4790000001</v>
      </c>
      <c r="R154" s="27">
        <f>ROUND(IF(ISNA(VLOOKUP($B154,'Prior Historical'!$A$5:$U$500,COLUMNS($F154:R154)+6,FALSE)),0,+(VLOOKUP($B154,'Prior Historical'!$A$5:$U$500,COLUMNS($F154:R154)+6,FALSE)))/1000,3)</f>
        <v>1383921.0959999999</v>
      </c>
      <c r="S154" s="150">
        <f t="shared" si="16"/>
        <v>1349609.0799999998</v>
      </c>
      <c r="T154" s="144" t="s">
        <v>421</v>
      </c>
    </row>
    <row r="155" spans="1:21" ht="15" customHeight="1">
      <c r="A155" s="142">
        <v>37</v>
      </c>
      <c r="B155" s="86" t="s">
        <v>492</v>
      </c>
      <c r="C155" s="14" t="s">
        <v>490</v>
      </c>
      <c r="D155" s="142"/>
      <c r="E155" s="142"/>
      <c r="F155" s="27">
        <f>ROUND(IF(ISNA(VLOOKUP($B155,'Prior Historical'!$A$5:$U$500,COLUMNS($F155:F155)+6,FALSE)),0,+(VLOOKUP($B155,'Prior Historical'!$A$5:$U$500,COLUMNS($F155:F155)+6,FALSE)))/1000,3)</f>
        <v>14533.764999999999</v>
      </c>
      <c r="G155" s="27">
        <f>ROUND(IF(ISNA(VLOOKUP($B155,'Prior Historical'!$A$5:$U$500,COLUMNS($F155:G155)+6,FALSE)),0,+(VLOOKUP($B155,'Prior Historical'!$A$5:$U$500,COLUMNS($F155:G155)+6,FALSE)))/1000,3)</f>
        <v>19159.738000000001</v>
      </c>
      <c r="H155" s="27">
        <f>ROUND(IF(ISNA(VLOOKUP($B155,'Prior Historical'!$A$5:$U$500,COLUMNS($F155:H155)+6,FALSE)),0,+(VLOOKUP($B155,'Prior Historical'!$A$5:$U$500,COLUMNS($F155:H155)+6,FALSE)))/1000,3)</f>
        <v>26411.629000000001</v>
      </c>
      <c r="I155" s="27">
        <f>ROUND(IF(ISNA(VLOOKUP($B155,'Prior Historical'!$A$5:$U$500,COLUMNS($F155:I155)+6,FALSE)),0,+(VLOOKUP($B155,'Prior Historical'!$A$5:$U$500,COLUMNS($F155:I155)+6,FALSE)))/1000,3)</f>
        <v>40450.680999999997</v>
      </c>
      <c r="J155" s="27">
        <f>ROUND(IF(ISNA(VLOOKUP($B155,'Prior Historical'!$A$5:$U$500,COLUMNS($F155:J155)+6,FALSE)),0,+(VLOOKUP($B155,'Prior Historical'!$A$5:$U$500,COLUMNS($F155:J155)+6,FALSE)))/1000,3)</f>
        <v>43890.436999999998</v>
      </c>
      <c r="K155" s="27">
        <f>ROUND(IF(ISNA(VLOOKUP($B155,'Prior Historical'!$A$5:$U$500,COLUMNS($F155:K155)+6,FALSE)),0,+(VLOOKUP($B155,'Prior Historical'!$A$5:$U$500,COLUMNS($F155:K155)+6,FALSE)))/1000,3)</f>
        <v>55733.402000000002</v>
      </c>
      <c r="L155" s="27">
        <f>ROUND(IF(ISNA(VLOOKUP($B155,'Prior Historical'!$A$5:$U$500,COLUMNS($F155:L155)+6,FALSE)),0,+(VLOOKUP($B155,'Prior Historical'!$A$5:$U$500,COLUMNS($F155:L155)+6,FALSE)))/1000,3)</f>
        <v>70818.038</v>
      </c>
      <c r="M155" s="27">
        <f>ROUND(IF(ISNA(VLOOKUP($B155,'Prior Historical'!$A$5:$U$500,COLUMNS($F155:M155)+6,FALSE)),0,+(VLOOKUP($B155,'Prior Historical'!$A$5:$U$500,COLUMNS($F155:M155)+6,FALSE)))/1000,3)</f>
        <v>82384.645999999993</v>
      </c>
      <c r="N155" s="27">
        <f>ROUND(IF(ISNA(VLOOKUP($B155,'Prior Historical'!$A$5:$U$500,COLUMNS($F155:N155)+6,FALSE)),0,+(VLOOKUP($B155,'Prior Historical'!$A$5:$U$500,COLUMNS($F155:N155)+6,FALSE)))/1000,3)</f>
        <v>106063.155</v>
      </c>
      <c r="O155" s="27">
        <f>ROUND(IF(ISNA(VLOOKUP($B155,'Prior Historical'!$A$5:$U$500,COLUMNS($F155:O155)+6,FALSE)),0,+(VLOOKUP($B155,'Prior Historical'!$A$5:$U$500,COLUMNS($F155:O155)+6,FALSE)))/1000,3)</f>
        <v>116861.829</v>
      </c>
      <c r="P155" s="27">
        <f>ROUND(IF(ISNA(VLOOKUP($B155,'Prior Historical'!$A$5:$U$500,COLUMNS($F155:P155)+6,FALSE)),0,+(VLOOKUP($B155,'Prior Historical'!$A$5:$U$500,COLUMNS($F155:P155)+6,FALSE)))/1000,3)</f>
        <v>127946.13099999999</v>
      </c>
      <c r="Q155" s="27">
        <f>ROUND(IF(ISNA(VLOOKUP($B155,'Prior Historical'!$A$5:$U$500,COLUMNS($F155:Q155)+6,FALSE)),0,+(VLOOKUP($B155,'Prior Historical'!$A$5:$U$500,COLUMNS($F155:Q155)+6,FALSE)))/1000,3)</f>
        <v>134216.747</v>
      </c>
      <c r="R155" s="27">
        <f>ROUND(IF(ISNA(VLOOKUP($B155,'Prior Historical'!$A$5:$U$500,COLUMNS($F155:R155)+6,FALSE)),0,+(VLOOKUP($B155,'Prior Historical'!$A$5:$U$500,COLUMNS($F155:R155)+6,FALSE)))/1000,3)</f>
        <v>153945.03899999999</v>
      </c>
      <c r="S155" s="150">
        <f t="shared" si="16"/>
        <v>76339.63361538462</v>
      </c>
      <c r="T155" s="144" t="s">
        <v>421</v>
      </c>
    </row>
    <row r="156" spans="1:21" ht="15" customHeight="1">
      <c r="A156" s="142">
        <v>38</v>
      </c>
      <c r="B156" s="35"/>
      <c r="C156" s="14"/>
      <c r="D156" s="142" t="s">
        <v>479</v>
      </c>
      <c r="E156" s="142"/>
      <c r="F156" s="163">
        <f t="shared" ref="F156:S156" si="17">SUM(F146:F155)</f>
        <v>2203918.4480000003</v>
      </c>
      <c r="G156" s="163">
        <f t="shared" si="17"/>
        <v>2219778.0089999996</v>
      </c>
      <c r="H156" s="163">
        <f t="shared" si="17"/>
        <v>2243915.0630000001</v>
      </c>
      <c r="I156" s="163">
        <f t="shared" si="17"/>
        <v>2292193.639</v>
      </c>
      <c r="J156" s="163">
        <f t="shared" si="17"/>
        <v>2324319.389</v>
      </c>
      <c r="K156" s="163">
        <f t="shared" si="17"/>
        <v>2343401.71</v>
      </c>
      <c r="L156" s="163">
        <f t="shared" si="17"/>
        <v>2365928.6310000001</v>
      </c>
      <c r="M156" s="163">
        <f t="shared" si="17"/>
        <v>2385282.1010000003</v>
      </c>
      <c r="N156" s="163">
        <f t="shared" si="17"/>
        <v>2410345.88</v>
      </c>
      <c r="O156" s="163">
        <f t="shared" si="17"/>
        <v>2436007.2859999998</v>
      </c>
      <c r="P156" s="163">
        <f t="shared" si="17"/>
        <v>2453201.5419999999</v>
      </c>
      <c r="Q156" s="163">
        <f t="shared" si="17"/>
        <v>2461161.2039999999</v>
      </c>
      <c r="R156" s="163">
        <f t="shared" si="17"/>
        <v>2397798.227</v>
      </c>
      <c r="S156" s="163">
        <f t="shared" si="17"/>
        <v>2349019.3176153847</v>
      </c>
      <c r="T156" s="142"/>
    </row>
    <row r="157" spans="1:21" ht="15" customHeight="1">
      <c r="A157" s="142">
        <v>39</v>
      </c>
      <c r="B157" s="35"/>
      <c r="C157" s="14"/>
      <c r="D157" s="142"/>
      <c r="E157" s="142"/>
      <c r="F157" s="27"/>
      <c r="G157" s="27"/>
      <c r="H157" s="27"/>
      <c r="I157" s="27"/>
      <c r="J157" s="27"/>
      <c r="K157" s="27"/>
      <c r="L157" s="27"/>
      <c r="M157" s="27"/>
      <c r="N157" s="27"/>
      <c r="O157" s="27"/>
      <c r="P157" s="27"/>
      <c r="Q157" s="27"/>
      <c r="R157" s="27"/>
      <c r="S157" s="27"/>
      <c r="T157" s="142"/>
    </row>
    <row r="158" spans="1:21" ht="15" customHeight="1" thickBot="1">
      <c r="A158" s="142">
        <v>40</v>
      </c>
      <c r="B158" s="35"/>
      <c r="C158" s="14" t="s">
        <v>493</v>
      </c>
      <c r="D158" s="142"/>
      <c r="E158" s="142"/>
      <c r="F158" s="164">
        <f t="shared" ref="F158:S158" si="18">F85+F92+F127+F143+F156</f>
        <v>10395566.870000001</v>
      </c>
      <c r="G158" s="164">
        <f t="shared" si="18"/>
        <v>10461957.677999999</v>
      </c>
      <c r="H158" s="164">
        <f t="shared" si="18"/>
        <v>10534562.243000001</v>
      </c>
      <c r="I158" s="164">
        <f t="shared" si="18"/>
        <v>10617753.174000001</v>
      </c>
      <c r="J158" s="164">
        <f t="shared" si="18"/>
        <v>10695325.638</v>
      </c>
      <c r="K158" s="164">
        <f t="shared" si="18"/>
        <v>10829710.131000001</v>
      </c>
      <c r="L158" s="164">
        <f t="shared" si="18"/>
        <v>10979783.212000001</v>
      </c>
      <c r="M158" s="164">
        <f t="shared" si="18"/>
        <v>11223105.066</v>
      </c>
      <c r="N158" s="164">
        <f t="shared" si="18"/>
        <v>11412796.097999997</v>
      </c>
      <c r="O158" s="164">
        <f t="shared" si="18"/>
        <v>11529268.286</v>
      </c>
      <c r="P158" s="164">
        <f t="shared" si="18"/>
        <v>11523219.455999998</v>
      </c>
      <c r="Q158" s="164">
        <f t="shared" si="18"/>
        <v>11609276.663000001</v>
      </c>
      <c r="R158" s="164">
        <f t="shared" si="18"/>
        <v>11855260.227</v>
      </c>
      <c r="S158" s="164">
        <f t="shared" si="18"/>
        <v>11051352.672461538</v>
      </c>
      <c r="T158" s="142"/>
    </row>
    <row r="159" spans="1:21" ht="15" customHeight="1" thickTop="1">
      <c r="A159" s="142">
        <v>41</v>
      </c>
      <c r="B159" s="142"/>
      <c r="C159" s="142"/>
      <c r="D159" s="142"/>
      <c r="E159" s="142"/>
      <c r="F159" s="142"/>
      <c r="G159" s="142"/>
      <c r="H159" s="142"/>
      <c r="I159" s="142"/>
      <c r="J159" s="142"/>
      <c r="K159" s="142"/>
      <c r="L159" s="142"/>
      <c r="M159" s="142"/>
      <c r="N159" s="142"/>
      <c r="O159" s="142"/>
      <c r="P159" s="142"/>
      <c r="Q159" s="142"/>
      <c r="R159" s="142"/>
      <c r="S159" s="142"/>
      <c r="T159" s="142"/>
    </row>
    <row r="160" spans="1:21" ht="15" customHeight="1">
      <c r="A160" s="142">
        <v>42</v>
      </c>
      <c r="B160" s="142" t="s">
        <v>417</v>
      </c>
      <c r="C160" s="4"/>
      <c r="D160" s="4"/>
      <c r="E160" s="4"/>
      <c r="F160" s="4"/>
      <c r="G160" s="4"/>
      <c r="H160" s="4"/>
      <c r="I160" s="4"/>
      <c r="J160" s="4"/>
      <c r="K160" s="4"/>
      <c r="L160" s="4"/>
      <c r="M160" s="4"/>
      <c r="N160" s="4"/>
      <c r="O160" s="4"/>
      <c r="P160" s="4"/>
      <c r="Q160" s="4"/>
      <c r="R160" s="4"/>
      <c r="S160" s="4"/>
      <c r="T160" s="4"/>
    </row>
    <row r="161" spans="1:20" ht="15" customHeight="1" thickBot="1">
      <c r="A161" s="145">
        <v>43</v>
      </c>
      <c r="B161" s="145" t="s">
        <v>67</v>
      </c>
      <c r="C161" s="1"/>
      <c r="D161" s="1"/>
      <c r="E161" s="1"/>
      <c r="F161" s="165"/>
      <c r="G161" s="165"/>
      <c r="H161" s="165"/>
      <c r="I161" s="165"/>
      <c r="J161" s="165"/>
      <c r="K161" s="165"/>
      <c r="L161" s="165"/>
      <c r="M161" s="165"/>
      <c r="N161" s="165"/>
      <c r="O161" s="165"/>
      <c r="P161" s="165"/>
      <c r="Q161" s="165"/>
      <c r="R161" s="165"/>
      <c r="S161" s="165"/>
      <c r="T161" s="100"/>
    </row>
    <row r="163" spans="1:20" ht="15" customHeight="1">
      <c r="E163" s="9" t="s">
        <v>509</v>
      </c>
      <c r="F163" s="56">
        <f>F76-('Prior Historical'!G1)/1000</f>
        <v>-5.5000185966491699E-4</v>
      </c>
      <c r="G163" s="56">
        <f>G76-('Prior Historical'!H1)/1000</f>
        <v>-7.4999779462814331E-4</v>
      </c>
      <c r="H163" s="56">
        <f>H76-('Prior Historical'!I1)/1000</f>
        <v>-3.4800004214048386E-3</v>
      </c>
      <c r="I163" s="56">
        <f>I76-('Prior Historical'!J1)/1000</f>
        <v>-1.8700025975704193E-3</v>
      </c>
      <c r="J163" s="56">
        <f>J76-('Prior Historical'!K1)/1000</f>
        <v>6.9000013172626495E-4</v>
      </c>
      <c r="K163" s="56">
        <f>K76-('Prior Historical'!L1)/1000</f>
        <v>1.2500043958425522E-3</v>
      </c>
      <c r="L163" s="56">
        <f>L76-('Prior Historical'!M1)/1000</f>
        <v>-1.9199978560209274E-3</v>
      </c>
      <c r="M163" s="56">
        <f>M76-('Prior Historical'!N1)/1000</f>
        <v>-2.3499969393014908E-3</v>
      </c>
      <c r="N163" s="56">
        <f>N76-('Prior Historical'!O1)/1000</f>
        <v>1.3000015169382095E-3</v>
      </c>
      <c r="O163" s="56">
        <f>O76-('Prior Historical'!P1)/1000</f>
        <v>-1.2599974870681763E-3</v>
      </c>
      <c r="P163" s="56">
        <f>P76-('Prior Historical'!Q1)/1000</f>
        <v>1.2500006705522537E-3</v>
      </c>
      <c r="Q163" s="56">
        <f>Q76-('Prior Historical'!R1)/1000</f>
        <v>9.6000358462333679E-4</v>
      </c>
      <c r="R163" s="56">
        <f>R76-('Prior Historical'!S1)/1000</f>
        <v>2.129996195435524E-3</v>
      </c>
      <c r="S163" s="56">
        <f>S76-('Prior Historical'!U1)/1000</f>
        <v>-3.5384483635425568E-4</v>
      </c>
    </row>
    <row r="164" spans="1:20" ht="15" customHeight="1">
      <c r="E164" s="9" t="s">
        <v>510</v>
      </c>
      <c r="F164" s="56">
        <f>F158-('Prior Historical'!G2)/1000</f>
        <v>-3.8199946284294128E-3</v>
      </c>
      <c r="G164" s="56">
        <f>G158-('Prior Historical'!H2)/1000</f>
        <v>-2.7499981224536896E-3</v>
      </c>
      <c r="H164" s="56">
        <f>H158-('Prior Historical'!I2)/1000</f>
        <v>-1.789996400475502E-3</v>
      </c>
      <c r="I164" s="56">
        <f>I158-('Prior Historical'!J2)/1000</f>
        <v>1.3999827206134796E-4</v>
      </c>
      <c r="J164" s="56">
        <f>J158-('Prior Historical'!K2)/1000</f>
        <v>-3.7300009280443192E-3</v>
      </c>
      <c r="K164" s="56">
        <f>K158-('Prior Historical'!L2)/1000</f>
        <v>1.1800006031990051E-3</v>
      </c>
      <c r="L164" s="56">
        <f>L158-('Prior Historical'!M2)/1000</f>
        <v>-1.3999957591295242E-3</v>
      </c>
      <c r="M164" s="56">
        <f>M158-('Prior Historical'!N2)/1000</f>
        <v>6.6000036895275116E-4</v>
      </c>
      <c r="N164" s="56">
        <f>N158-('Prior Historical'!O2)/1000</f>
        <v>-3.2500009983778E-3</v>
      </c>
      <c r="O164" s="56">
        <f>O158-('Prior Historical'!P2)/1000</f>
        <v>-1.7999671399593353E-4</v>
      </c>
      <c r="P164" s="56">
        <f>P158-('Prior Historical'!Q2)/1000</f>
        <v>-2.7300044894218445E-3</v>
      </c>
      <c r="Q164" s="56">
        <f>Q158-('Prior Historical'!R2)/1000</f>
        <v>-2.6999972760677338E-4</v>
      </c>
      <c r="R164" s="56">
        <f>R158-('Prior Historical'!S2)/1000</f>
        <v>-3.3299941569566727E-3</v>
      </c>
      <c r="S164" s="56">
        <f>S158-('Prior Historical'!U2)/1000</f>
        <v>-1.6361530870199203E-3</v>
      </c>
    </row>
    <row r="165" spans="1:20" ht="15" customHeight="1">
      <c r="E165" s="9"/>
      <c r="F165" s="4"/>
      <c r="G165" s="4"/>
      <c r="H165" s="4"/>
      <c r="I165" s="4"/>
      <c r="J165" s="4"/>
      <c r="K165" s="4"/>
      <c r="L165" s="4"/>
      <c r="M165" s="4"/>
      <c r="N165" s="4"/>
      <c r="O165" s="4"/>
      <c r="P165" s="4"/>
      <c r="Q165" s="4"/>
      <c r="R165" s="4"/>
      <c r="S165" s="4"/>
    </row>
    <row r="166" spans="1:20" ht="15" customHeight="1">
      <c r="E166" s="9" t="s">
        <v>501</v>
      </c>
      <c r="F166" s="173">
        <f>F76-F158</f>
        <v>3.2699983566999435E-3</v>
      </c>
      <c r="G166" s="173">
        <f>G76-G158</f>
        <v>2.0000003278255463E-3</v>
      </c>
      <c r="H166" s="173">
        <f t="shared" ref="H166:S166" si="19">H76-H158</f>
        <v>-1.6900002956390381E-3</v>
      </c>
      <c r="I166" s="173">
        <f t="shared" si="19"/>
        <v>-2.0100008696317673E-3</v>
      </c>
      <c r="J166" s="173">
        <f t="shared" si="19"/>
        <v>4.4199991971254349E-3</v>
      </c>
      <c r="K166" s="173">
        <f t="shared" si="19"/>
        <v>7.0001929998397827E-5</v>
      </c>
      <c r="L166" s="173">
        <f t="shared" si="19"/>
        <v>-5.2000023424625397E-4</v>
      </c>
      <c r="M166" s="173">
        <f t="shared" si="19"/>
        <v>-3.0099991708993912E-3</v>
      </c>
      <c r="N166" s="173">
        <f t="shared" si="19"/>
        <v>4.5500043779611588E-3</v>
      </c>
      <c r="O166" s="173">
        <f t="shared" si="19"/>
        <v>-1.0799989104270935E-3</v>
      </c>
      <c r="P166" s="173">
        <f t="shared" si="19"/>
        <v>3.980003297328949E-3</v>
      </c>
      <c r="Q166" s="173">
        <f t="shared" si="19"/>
        <v>1.2299995869398117E-3</v>
      </c>
      <c r="R166" s="173">
        <f t="shared" si="19"/>
        <v>5.4599996656179428E-3</v>
      </c>
      <c r="S166" s="173">
        <f t="shared" si="19"/>
        <v>1.2823101133108139E-3</v>
      </c>
    </row>
    <row r="167" spans="1:20" ht="15" customHeight="1">
      <c r="B167" s="82"/>
    </row>
    <row r="173" spans="1:20" ht="15" customHeight="1">
      <c r="S173" s="92"/>
    </row>
  </sheetData>
  <sheetProtection selectLockedCells="1" selectUnlockedCells="1"/>
  <pageMargins left="1" right="0" top="1" bottom="0" header="0" footer="0"/>
  <pageSetup paperSize="9" scale="60" fitToHeight="9" orientation="landscape" r:id="rId1"/>
  <rowBreaks count="2" manualBreakCount="2">
    <brk id="54" max="19" man="1"/>
    <brk id="108" max="19" man="1"/>
  </rowBreaks>
  <customProperties>
    <customPr name="EpmWorksheetKeyString_GUID" r:id="rId2"/>
  </customProperties>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85013-3C18-4A1C-B536-2FCDD0AEE809}">
  <sheetPr codeName="Sheet2">
    <tabColor rgb="FF00FFFF"/>
    <pageSetUpPr fitToPage="1"/>
  </sheetPr>
  <dimension ref="A1:AJ160"/>
  <sheetViews>
    <sheetView topLeftCell="A47" zoomScaleNormal="100" zoomScaleSheetLayoutView="85" zoomScalePageLayoutView="55" workbookViewId="0">
      <selection activeCell="Z60" sqref="Z60"/>
    </sheetView>
  </sheetViews>
  <sheetFormatPr defaultColWidth="9.109375" defaultRowHeight="15" customHeight="1"/>
  <cols>
    <col min="1" max="1" width="4.6640625" style="81" customWidth="1"/>
    <col min="2" max="2" width="8.88671875" style="81" customWidth="1"/>
    <col min="3" max="13" width="10.6640625" style="81" customWidth="1"/>
    <col min="14" max="14" width="10.88671875" style="81" customWidth="1"/>
    <col min="15" max="15" width="5.5546875" style="81" customWidth="1"/>
    <col min="16" max="16" width="15.33203125" style="81" customWidth="1"/>
    <col min="17" max="17" width="13.33203125" style="81" customWidth="1"/>
    <col min="18" max="18" width="22.44140625" style="81" customWidth="1"/>
    <col min="19" max="20" width="6.88671875" style="81" customWidth="1"/>
    <col min="21" max="21" width="6.44140625" style="81" customWidth="1"/>
    <col min="22" max="22" width="9.44140625" style="81" customWidth="1"/>
    <col min="23" max="23" width="12.88671875" style="81" bestFit="1" customWidth="1"/>
    <col min="24" max="24" width="29.5546875" style="81" bestFit="1" customWidth="1"/>
    <col min="25" max="25" width="2.6640625" style="81" customWidth="1"/>
    <col min="26" max="26" width="17.5546875" style="81" bestFit="1" customWidth="1"/>
    <col min="27" max="27" width="2.6640625" style="81" customWidth="1"/>
    <col min="28" max="28" width="17.5546875" style="81" bestFit="1" customWidth="1"/>
    <col min="29" max="29" width="4.5546875" style="81" customWidth="1"/>
    <col min="30" max="30" width="33.109375" style="81" customWidth="1"/>
    <col min="31" max="31" width="2.6640625" style="81" customWidth="1"/>
    <col min="32" max="32" width="17.33203125" style="81" bestFit="1" customWidth="1"/>
    <col min="33" max="33" width="2.6640625" style="81" customWidth="1"/>
    <col min="34" max="34" width="17.109375" style="81" bestFit="1" customWidth="1"/>
    <col min="35" max="36" width="9.109375" style="81" customWidth="1"/>
    <col min="37" max="72" width="9.109375" style="81"/>
    <col min="73" max="73" width="9.109375" style="81" customWidth="1"/>
    <col min="74" max="16384" width="9.109375" style="81"/>
  </cols>
  <sheetData>
    <row r="1" spans="1:34" ht="15" customHeight="1" thickBot="1">
      <c r="A1" s="1" t="s">
        <v>75</v>
      </c>
      <c r="B1" s="1"/>
      <c r="C1" s="1"/>
      <c r="D1" s="1"/>
      <c r="E1" s="1"/>
      <c r="F1" s="1"/>
      <c r="G1" s="1"/>
      <c r="H1" s="1"/>
      <c r="I1" s="1" t="s">
        <v>76</v>
      </c>
      <c r="J1" s="1"/>
      <c r="K1" s="1"/>
      <c r="L1" s="1"/>
      <c r="M1" s="1"/>
      <c r="N1" s="1"/>
      <c r="O1" s="1"/>
      <c r="P1" s="1"/>
      <c r="Q1" s="1"/>
      <c r="R1" s="3" t="s">
        <v>2</v>
      </c>
      <c r="S1" s="82" t="s">
        <v>3</v>
      </c>
    </row>
    <row r="2" spans="1:34" ht="15" customHeight="1">
      <c r="A2" s="4" t="s">
        <v>4</v>
      </c>
      <c r="B2" s="4"/>
      <c r="C2" s="4"/>
      <c r="D2" s="4"/>
      <c r="E2" s="4" t="s">
        <v>5</v>
      </c>
      <c r="F2" s="4"/>
      <c r="G2" s="4" t="s">
        <v>77</v>
      </c>
      <c r="H2" s="5"/>
      <c r="I2" s="5"/>
      <c r="J2" s="6"/>
      <c r="K2" s="6"/>
      <c r="L2" s="4"/>
      <c r="M2" s="6"/>
      <c r="N2" s="6"/>
      <c r="O2" s="6"/>
      <c r="P2" s="6" t="s">
        <v>7</v>
      </c>
      <c r="Q2" s="4"/>
      <c r="R2" s="4"/>
      <c r="S2" s="7"/>
      <c r="X2" s="775" t="s">
        <v>78</v>
      </c>
      <c r="Y2" s="775"/>
      <c r="Z2" s="775"/>
      <c r="AA2" s="775"/>
      <c r="AB2" s="775"/>
      <c r="AC2" s="775"/>
      <c r="AD2" s="775"/>
      <c r="AE2" s="775"/>
      <c r="AF2" s="775"/>
      <c r="AG2" s="775"/>
      <c r="AH2" s="775"/>
    </row>
    <row r="3" spans="1:34" ht="15" customHeight="1">
      <c r="A3" s="4"/>
      <c r="B3" s="4"/>
      <c r="C3" s="4"/>
      <c r="D3" s="4"/>
      <c r="E3" s="4"/>
      <c r="F3" s="4"/>
      <c r="G3" s="4" t="s">
        <v>79</v>
      </c>
      <c r="H3" s="5"/>
      <c r="I3" s="5"/>
      <c r="J3" s="9"/>
      <c r="K3" s="7"/>
      <c r="L3" s="4"/>
      <c r="M3" s="4"/>
      <c r="N3" s="4"/>
      <c r="O3" s="9"/>
      <c r="P3" s="9"/>
      <c r="Q3" s="7" t="s">
        <v>80</v>
      </c>
      <c r="R3" s="4"/>
      <c r="S3" s="9"/>
      <c r="X3" s="81" t="s">
        <v>81</v>
      </c>
      <c r="Z3" s="81" t="s">
        <v>82</v>
      </c>
      <c r="AB3" s="81" t="s">
        <v>83</v>
      </c>
      <c r="AD3" s="81" t="s">
        <v>84</v>
      </c>
      <c r="AF3" s="81" t="s">
        <v>82</v>
      </c>
      <c r="AH3" s="81" t="s">
        <v>83</v>
      </c>
    </row>
    <row r="4" spans="1:34" ht="15" customHeight="1">
      <c r="A4" s="4" t="s">
        <v>10</v>
      </c>
      <c r="B4" s="4"/>
      <c r="C4" s="4"/>
      <c r="D4" s="4"/>
      <c r="E4" s="4"/>
      <c r="F4" s="4"/>
      <c r="G4" s="4" t="s">
        <v>85</v>
      </c>
      <c r="H4" s="4"/>
      <c r="I4" s="4"/>
      <c r="J4" s="9"/>
      <c r="K4" s="7"/>
      <c r="L4" s="9"/>
      <c r="M4" s="4"/>
      <c r="N4" s="4"/>
      <c r="O4" s="4"/>
      <c r="P4" s="9"/>
      <c r="Q4" s="7" t="s">
        <v>86</v>
      </c>
      <c r="R4" s="4"/>
      <c r="S4" s="9"/>
      <c r="X4" s="68" t="s">
        <v>87</v>
      </c>
      <c r="Z4" s="68" t="s">
        <v>87</v>
      </c>
      <c r="AB4" s="68" t="s">
        <v>87</v>
      </c>
      <c r="AF4" s="68" t="s">
        <v>87</v>
      </c>
      <c r="AH4" s="68" t="s">
        <v>87</v>
      </c>
    </row>
    <row r="5" spans="1:34" ht="15" customHeight="1">
      <c r="A5" s="4"/>
      <c r="B5" s="4"/>
      <c r="C5" s="4"/>
      <c r="D5" s="4"/>
      <c r="E5" s="4"/>
      <c r="F5" s="4"/>
      <c r="G5" s="4"/>
      <c r="H5" s="4"/>
      <c r="I5" s="4"/>
      <c r="J5" s="9"/>
      <c r="K5" s="7"/>
      <c r="L5" s="9"/>
      <c r="M5" s="4"/>
      <c r="N5" s="4"/>
      <c r="O5" s="4"/>
      <c r="P5" s="9" t="s">
        <v>12</v>
      </c>
      <c r="Q5" s="7" t="s">
        <v>88</v>
      </c>
      <c r="R5" s="4"/>
      <c r="S5" s="9"/>
      <c r="X5" s="340" t="s">
        <v>89</v>
      </c>
      <c r="Y5" s="340" t="s">
        <v>90</v>
      </c>
      <c r="Z5" s="342">
        <v>-327316602.75846153</v>
      </c>
      <c r="AA5" s="340" t="s">
        <v>90</v>
      </c>
      <c r="AB5" s="342">
        <v>-325523076</v>
      </c>
      <c r="AD5" s="340" t="s">
        <v>91</v>
      </c>
      <c r="AE5" s="340" t="s">
        <v>90</v>
      </c>
      <c r="AF5" s="342">
        <v>-208874424</v>
      </c>
      <c r="AG5" s="340" t="s">
        <v>90</v>
      </c>
      <c r="AH5" s="342">
        <v>-207570336.53739437</v>
      </c>
    </row>
    <row r="6" spans="1:34" ht="15" customHeight="1" thickBot="1">
      <c r="A6" s="2" t="s">
        <v>14</v>
      </c>
      <c r="B6" s="2"/>
      <c r="C6" s="1"/>
      <c r="D6" s="1"/>
      <c r="E6" s="1"/>
      <c r="F6" s="1"/>
      <c r="G6" s="1"/>
      <c r="H6" s="1"/>
      <c r="I6" s="2" t="s">
        <v>15</v>
      </c>
      <c r="J6" s="10"/>
      <c r="K6" s="1"/>
      <c r="L6" s="1"/>
      <c r="M6" s="1"/>
      <c r="N6" s="1"/>
      <c r="O6" s="1"/>
      <c r="P6" s="1"/>
      <c r="Q6" s="2" t="s">
        <v>16</v>
      </c>
      <c r="R6" s="1"/>
      <c r="S6" s="4"/>
      <c r="X6" s="340" t="s">
        <v>92</v>
      </c>
      <c r="Y6" s="340" t="s">
        <v>90</v>
      </c>
      <c r="Z6" s="342">
        <v>-1808644.9361538461</v>
      </c>
      <c r="AA6" s="340" t="s">
        <v>90</v>
      </c>
      <c r="AB6" s="342">
        <v>-1798734</v>
      </c>
      <c r="AD6" s="340" t="s">
        <v>93</v>
      </c>
      <c r="AE6" s="340"/>
      <c r="AF6" s="342">
        <v>96417298</v>
      </c>
      <c r="AG6" s="340"/>
      <c r="AH6" s="342">
        <v>95911065.985211536</v>
      </c>
    </row>
    <row r="7" spans="1:34" ht="15" customHeight="1">
      <c r="A7" s="4"/>
      <c r="B7" s="4"/>
      <c r="C7" s="83"/>
      <c r="D7" s="83"/>
      <c r="E7" s="83"/>
      <c r="F7" s="83"/>
      <c r="G7" s="83"/>
      <c r="H7" s="83"/>
      <c r="I7" s="83"/>
      <c r="J7" s="83"/>
      <c r="K7" s="83"/>
      <c r="L7" s="83"/>
      <c r="M7" s="4"/>
      <c r="N7" s="4"/>
      <c r="O7" s="4"/>
      <c r="P7" s="83" t="s">
        <v>17</v>
      </c>
      <c r="Q7" s="83" t="s">
        <v>18</v>
      </c>
      <c r="R7" s="83" t="s">
        <v>19</v>
      </c>
      <c r="S7" s="4"/>
      <c r="X7" s="340" t="s">
        <v>94</v>
      </c>
      <c r="Y7" s="340" t="s">
        <v>90</v>
      </c>
      <c r="Z7" s="342">
        <v>0</v>
      </c>
      <c r="AA7" s="340" t="s">
        <v>90</v>
      </c>
      <c r="AB7" s="342">
        <v>0</v>
      </c>
      <c r="AD7" s="340" t="s">
        <v>95</v>
      </c>
      <c r="AE7" s="340"/>
      <c r="AF7" s="342">
        <v>-110278512</v>
      </c>
      <c r="AG7" s="340"/>
      <c r="AH7" s="342">
        <v>-109589998.67156108</v>
      </c>
    </row>
    <row r="8" spans="1:34" ht="15" customHeight="1">
      <c r="A8" s="4"/>
      <c r="B8" s="4"/>
      <c r="C8" s="4"/>
      <c r="D8" s="4"/>
      <c r="E8" s="4"/>
      <c r="F8" s="4"/>
      <c r="G8" s="4"/>
      <c r="H8" s="4"/>
      <c r="I8" s="84"/>
      <c r="J8" s="84"/>
      <c r="K8" s="85"/>
      <c r="L8" s="84"/>
      <c r="M8" s="4"/>
      <c r="N8" s="4"/>
      <c r="O8" s="4"/>
      <c r="P8" s="84"/>
      <c r="Q8" s="84"/>
      <c r="R8" s="4"/>
      <c r="S8" s="4"/>
      <c r="X8" s="340" t="s">
        <v>96</v>
      </c>
      <c r="Y8" s="340" t="s">
        <v>90</v>
      </c>
      <c r="Z8" s="342">
        <v>0</v>
      </c>
      <c r="AA8" s="340" t="s">
        <v>90</v>
      </c>
      <c r="AB8" s="342">
        <v>0</v>
      </c>
      <c r="AD8" s="340" t="s">
        <v>97</v>
      </c>
      <c r="AE8" s="340"/>
      <c r="AF8" s="342">
        <v>2133916</v>
      </c>
      <c r="AG8" s="340"/>
      <c r="AH8" s="342">
        <v>2122712.0291516432</v>
      </c>
    </row>
    <row r="9" spans="1:34" ht="15" customHeight="1">
      <c r="A9" s="4"/>
      <c r="B9" s="84"/>
      <c r="C9" s="84"/>
      <c r="D9" s="84"/>
      <c r="E9" s="84"/>
      <c r="F9" s="84"/>
      <c r="G9" s="83"/>
      <c r="H9" s="83"/>
      <c r="I9" s="83"/>
      <c r="J9" s="83"/>
      <c r="K9" s="83"/>
      <c r="L9" s="83"/>
      <c r="M9" s="4"/>
      <c r="N9" s="4"/>
      <c r="O9" s="4"/>
      <c r="P9" s="83"/>
      <c r="Q9" s="83"/>
      <c r="R9" s="84" t="s">
        <v>98</v>
      </c>
      <c r="S9" s="4"/>
      <c r="X9" s="340" t="s">
        <v>99</v>
      </c>
      <c r="Y9" s="340" t="s">
        <v>90</v>
      </c>
      <c r="Z9" s="342">
        <v>-496954123.8238461</v>
      </c>
      <c r="AA9" s="340"/>
      <c r="AB9" s="342">
        <v>-494231070</v>
      </c>
      <c r="AD9" s="340" t="s">
        <v>100</v>
      </c>
      <c r="AE9" s="340"/>
      <c r="AF9" s="342">
        <v>-4188533</v>
      </c>
      <c r="AG9" s="340"/>
      <c r="AH9" s="342">
        <v>-4162382.2953449874</v>
      </c>
    </row>
    <row r="10" spans="1:34" ht="15" customHeight="1">
      <c r="A10" s="4"/>
      <c r="B10" s="84"/>
      <c r="C10" s="84"/>
      <c r="D10" s="84"/>
      <c r="E10" s="84"/>
      <c r="F10" s="84"/>
      <c r="G10" s="83"/>
      <c r="H10" s="83"/>
      <c r="I10" s="83"/>
      <c r="J10" s="83"/>
      <c r="K10" s="83"/>
      <c r="L10" s="84"/>
      <c r="M10" s="4"/>
      <c r="N10" s="4"/>
      <c r="O10" s="4"/>
      <c r="P10" s="4"/>
      <c r="Q10" s="83"/>
      <c r="R10" s="83" t="s">
        <v>101</v>
      </c>
      <c r="S10" s="4"/>
      <c r="X10" s="340"/>
      <c r="Y10" s="340"/>
      <c r="Z10" s="341" t="s">
        <v>87</v>
      </c>
      <c r="AA10" s="340"/>
      <c r="AB10" s="341" t="s">
        <v>87</v>
      </c>
      <c r="AD10" s="340" t="s">
        <v>102</v>
      </c>
      <c r="AE10" s="340"/>
      <c r="AF10" s="342">
        <v>1736674</v>
      </c>
      <c r="AG10" s="340"/>
      <c r="AH10" s="342">
        <v>1727555.7193979991</v>
      </c>
    </row>
    <row r="11" spans="1:34" ht="15" customHeight="1">
      <c r="A11" s="84" t="s">
        <v>35</v>
      </c>
      <c r="B11" s="86"/>
      <c r="C11" s="14"/>
      <c r="D11" s="14"/>
      <c r="E11" s="14"/>
      <c r="F11" s="14"/>
      <c r="G11" s="83"/>
      <c r="H11" s="83"/>
      <c r="I11" s="83" t="s">
        <v>103</v>
      </c>
      <c r="J11" s="14"/>
      <c r="K11" s="14"/>
      <c r="L11" s="83"/>
      <c r="M11" s="4"/>
      <c r="N11" s="4"/>
      <c r="O11" s="4"/>
      <c r="P11" s="84" t="s">
        <v>104</v>
      </c>
      <c r="Q11" s="83" t="s">
        <v>98</v>
      </c>
      <c r="R11" s="83" t="s">
        <v>104</v>
      </c>
      <c r="S11" s="4"/>
      <c r="X11" s="340" t="s">
        <v>105</v>
      </c>
      <c r="Y11" s="340"/>
      <c r="Z11" s="340"/>
      <c r="AA11" s="340"/>
      <c r="AB11" s="340"/>
      <c r="AD11" s="340" t="s">
        <v>106</v>
      </c>
      <c r="AE11" s="340"/>
      <c r="AF11" s="342">
        <v>-1098847305.3484614</v>
      </c>
      <c r="AG11" s="340"/>
      <c r="AH11" s="342">
        <v>-1089320417</v>
      </c>
    </row>
    <row r="12" spans="1:34" ht="15" customHeight="1" thickBot="1">
      <c r="A12" s="10" t="s">
        <v>46</v>
      </c>
      <c r="B12" s="87"/>
      <c r="C12" s="10" t="s">
        <v>107</v>
      </c>
      <c r="D12" s="10"/>
      <c r="E12" s="88"/>
      <c r="F12" s="88"/>
      <c r="G12" s="89"/>
      <c r="H12" s="89"/>
      <c r="I12" s="89" t="s">
        <v>108</v>
      </c>
      <c r="J12" s="88"/>
      <c r="K12" s="88"/>
      <c r="L12" s="89"/>
      <c r="M12" s="1"/>
      <c r="N12" s="1"/>
      <c r="O12" s="1"/>
      <c r="P12" s="89" t="s">
        <v>109</v>
      </c>
      <c r="Q12" s="89" t="s">
        <v>110</v>
      </c>
      <c r="R12" s="90" t="s">
        <v>111</v>
      </c>
      <c r="S12" s="4"/>
      <c r="X12" s="340" t="s">
        <v>112</v>
      </c>
      <c r="Y12" s="340"/>
      <c r="Z12" s="342">
        <v>-7888082.6315385103</v>
      </c>
      <c r="AA12" s="340"/>
      <c r="AB12" s="342">
        <v>-7844860</v>
      </c>
      <c r="AD12" s="340" t="s">
        <v>113</v>
      </c>
      <c r="AE12" s="340"/>
      <c r="AF12" s="342">
        <v>382013638</v>
      </c>
      <c r="AG12" s="340"/>
      <c r="AH12" s="342">
        <v>378701620.99990797</v>
      </c>
    </row>
    <row r="13" spans="1:34" ht="15" customHeight="1">
      <c r="A13" s="4">
        <v>1</v>
      </c>
      <c r="B13" s="102" t="s">
        <v>62</v>
      </c>
      <c r="C13" s="103"/>
      <c r="D13" s="104"/>
      <c r="E13" s="105"/>
      <c r="F13" s="105"/>
      <c r="G13" s="105"/>
      <c r="H13" s="105"/>
      <c r="I13" s="105"/>
      <c r="J13" s="105"/>
      <c r="K13" s="105"/>
      <c r="L13" s="105"/>
      <c r="M13" s="104"/>
      <c r="N13" s="104"/>
      <c r="O13" s="104"/>
      <c r="P13" s="105"/>
      <c r="Q13" s="105"/>
      <c r="R13" s="105"/>
      <c r="S13" s="23"/>
      <c r="X13" s="340" t="s">
        <v>114</v>
      </c>
      <c r="Y13" s="340"/>
      <c r="Z13" s="342">
        <v>-12219164.056153849</v>
      </c>
      <c r="AA13" s="340"/>
      <c r="AB13" s="342">
        <v>-12152209</v>
      </c>
      <c r="AD13" s="340" t="s">
        <v>115</v>
      </c>
      <c r="AE13" s="340"/>
      <c r="AF13" s="342">
        <v>0</v>
      </c>
      <c r="AG13" s="340"/>
      <c r="AH13" s="342">
        <v>0</v>
      </c>
    </row>
    <row r="14" spans="1:34" ht="15" customHeight="1">
      <c r="A14" s="4">
        <v>2</v>
      </c>
      <c r="B14" s="458" t="s">
        <v>116</v>
      </c>
      <c r="C14" s="106"/>
      <c r="D14" s="104"/>
      <c r="E14" s="104"/>
      <c r="F14" s="104" t="s">
        <v>117</v>
      </c>
      <c r="G14" s="104"/>
      <c r="H14" s="107"/>
      <c r="I14" s="107"/>
      <c r="J14" s="107"/>
      <c r="K14" s="107"/>
      <c r="L14" s="104"/>
      <c r="M14" s="104"/>
      <c r="N14" s="104"/>
      <c r="O14" s="104"/>
      <c r="P14" s="134">
        <f>SUM(Z5,Z6,Z7,Z8)/1000</f>
        <v>-329125.24769461539</v>
      </c>
      <c r="Q14" s="108">
        <f>'Separation Factors'!$B$13</f>
        <v>0.99452051267692876</v>
      </c>
      <c r="R14" s="109">
        <f>+P14*Q14</f>
        <v>-327321.81007217005</v>
      </c>
      <c r="S14" s="51"/>
      <c r="T14" s="91"/>
      <c r="U14" s="400" t="s">
        <v>118</v>
      </c>
      <c r="X14" s="340" t="s">
        <v>119</v>
      </c>
      <c r="Y14" s="340"/>
      <c r="Z14" s="342">
        <v>13074242</v>
      </c>
      <c r="AA14" s="340"/>
      <c r="AB14" s="342">
        <v>13002602</v>
      </c>
      <c r="AD14" s="340" t="s">
        <v>120</v>
      </c>
      <c r="AE14" s="340"/>
      <c r="AF14" s="342">
        <v>0</v>
      </c>
      <c r="AG14" s="340"/>
      <c r="AH14" s="342">
        <v>0</v>
      </c>
    </row>
    <row r="15" spans="1:34" ht="15" customHeight="1">
      <c r="A15" s="4">
        <v>3</v>
      </c>
      <c r="B15" s="594" t="s">
        <v>121</v>
      </c>
      <c r="C15" s="110"/>
      <c r="D15" s="110"/>
      <c r="E15" s="110"/>
      <c r="F15" s="399" t="s">
        <v>122</v>
      </c>
      <c r="P15" s="159"/>
      <c r="X15" s="340" t="s">
        <v>123</v>
      </c>
      <c r="Y15" s="340"/>
      <c r="Z15" s="342">
        <v>-1150290</v>
      </c>
      <c r="AA15" s="340"/>
      <c r="AB15" s="342">
        <v>-1143987</v>
      </c>
      <c r="AD15" s="340" t="s">
        <v>124</v>
      </c>
      <c r="AE15" s="340"/>
      <c r="AF15" s="342">
        <v>-7484822.5899999999</v>
      </c>
      <c r="AG15" s="340"/>
      <c r="AH15" s="342">
        <v>-7438091.8169712909</v>
      </c>
    </row>
    <row r="16" spans="1:34" ht="15" customHeight="1">
      <c r="A16" s="4">
        <v>4</v>
      </c>
      <c r="B16" s="399" t="s">
        <v>125</v>
      </c>
      <c r="C16" s="110"/>
      <c r="D16" s="110"/>
      <c r="E16" s="110"/>
      <c r="F16" s="104" t="s">
        <v>126</v>
      </c>
      <c r="G16" s="110"/>
      <c r="H16" s="104"/>
      <c r="I16" s="104"/>
      <c r="J16" s="104"/>
      <c r="K16" s="104"/>
      <c r="L16" s="104"/>
      <c r="M16" s="104"/>
      <c r="N16" s="104"/>
      <c r="O16" s="104"/>
      <c r="P16" s="601">
        <f>Z9/1000</f>
        <v>-496954.12382384611</v>
      </c>
      <c r="Q16" s="108">
        <f>$Q$14</f>
        <v>0.99452051267692876</v>
      </c>
      <c r="R16" s="109">
        <f>+P16*Q16</f>
        <v>-494231.07000220538</v>
      </c>
      <c r="S16" s="595"/>
      <c r="T16" s="598"/>
      <c r="U16" s="599" t="s">
        <v>118</v>
      </c>
      <c r="X16" s="340"/>
      <c r="Y16" s="340"/>
      <c r="Z16" s="341" t="s">
        <v>87</v>
      </c>
      <c r="AA16" s="340"/>
      <c r="AB16" s="341" t="s">
        <v>87</v>
      </c>
      <c r="AD16" s="340" t="s">
        <v>127</v>
      </c>
      <c r="AE16" s="340"/>
      <c r="AF16" s="342">
        <v>6528303.5899999999</v>
      </c>
      <c r="AG16" s="340"/>
      <c r="AH16" s="342">
        <v>6494027.2065286813</v>
      </c>
    </row>
    <row r="17" spans="1:34" ht="15" customHeight="1">
      <c r="A17" s="4">
        <v>5</v>
      </c>
      <c r="B17" s="399" t="s">
        <v>128</v>
      </c>
      <c r="C17" s="110"/>
      <c r="D17" s="110"/>
      <c r="E17" s="110"/>
      <c r="F17" s="104" t="s">
        <v>129</v>
      </c>
      <c r="G17" s="110"/>
      <c r="H17" s="104"/>
      <c r="I17" s="104"/>
      <c r="J17" s="104"/>
      <c r="K17" s="104"/>
      <c r="L17" s="104"/>
      <c r="M17" s="104"/>
      <c r="N17" s="104"/>
      <c r="O17" s="104"/>
      <c r="P17" s="602">
        <v>0</v>
      </c>
      <c r="Q17" s="108">
        <f>'Separation Factors'!$B$11</f>
        <v>0.99375659576873032</v>
      </c>
      <c r="R17" s="109">
        <f t="shared" ref="R17:R21" si="0">+P17*Q17</f>
        <v>0</v>
      </c>
      <c r="S17" s="596"/>
      <c r="T17" s="598"/>
      <c r="U17" s="599" t="s">
        <v>130</v>
      </c>
      <c r="X17" s="340"/>
      <c r="Y17" s="340" t="s">
        <v>90</v>
      </c>
      <c r="Z17" s="342">
        <v>-8183294.6876923591</v>
      </c>
      <c r="AA17" s="340" t="s">
        <v>90</v>
      </c>
      <c r="AB17" s="342">
        <v>-8138454</v>
      </c>
      <c r="AD17" s="340" t="s">
        <v>131</v>
      </c>
      <c r="AE17" s="340"/>
      <c r="AF17" s="342">
        <v>-25225595.570769228</v>
      </c>
      <c r="AG17" s="340"/>
      <c r="AH17" s="342">
        <v>-25068101.98064639</v>
      </c>
    </row>
    <row r="18" spans="1:34" ht="15" customHeight="1">
      <c r="A18" s="4">
        <v>6</v>
      </c>
      <c r="B18" s="458" t="s">
        <v>132</v>
      </c>
      <c r="C18" s="106"/>
      <c r="D18" s="104"/>
      <c r="E18" s="104"/>
      <c r="F18" s="104" t="s">
        <v>133</v>
      </c>
      <c r="G18" s="104"/>
      <c r="H18" s="104"/>
      <c r="I18" s="104"/>
      <c r="J18" s="104"/>
      <c r="K18" s="104"/>
      <c r="L18" s="104"/>
      <c r="M18" s="104"/>
      <c r="N18" s="104"/>
      <c r="O18" s="104"/>
      <c r="P18" s="601">
        <v>0</v>
      </c>
      <c r="Q18" s="108">
        <f>'Separation Factors'!$B$15</f>
        <v>0.9947495726877924</v>
      </c>
      <c r="R18" s="109">
        <f t="shared" si="0"/>
        <v>0</v>
      </c>
      <c r="S18" s="596"/>
      <c r="T18" s="598"/>
      <c r="U18" s="599" t="s">
        <v>134</v>
      </c>
      <c r="X18" s="340"/>
      <c r="Y18" s="340"/>
      <c r="Z18" s="341" t="s">
        <v>135</v>
      </c>
      <c r="AA18" s="340"/>
      <c r="AB18" s="341" t="s">
        <v>135</v>
      </c>
      <c r="AF18" s="68" t="s">
        <v>87</v>
      </c>
      <c r="AH18" s="68" t="s">
        <v>87</v>
      </c>
    </row>
    <row r="19" spans="1:34" ht="15" customHeight="1">
      <c r="A19" s="4">
        <v>7</v>
      </c>
      <c r="B19" s="458" t="s">
        <v>136</v>
      </c>
      <c r="C19" s="104"/>
      <c r="D19" s="104"/>
      <c r="E19" s="104"/>
      <c r="F19" s="104" t="s">
        <v>137</v>
      </c>
      <c r="G19" s="104"/>
      <c r="H19" s="107"/>
      <c r="I19" s="107"/>
      <c r="J19" s="107"/>
      <c r="K19" s="107"/>
      <c r="L19" s="104"/>
      <c r="M19" s="104"/>
      <c r="N19" s="104"/>
      <c r="O19" s="104"/>
      <c r="P19" s="601">
        <f>Z12/1000</f>
        <v>-7888.0826315385102</v>
      </c>
      <c r="Q19" s="108">
        <f>$Q$14</f>
        <v>0.99452051267692876</v>
      </c>
      <c r="R19" s="109">
        <f t="shared" si="0"/>
        <v>-7844.8599827556563</v>
      </c>
      <c r="S19" s="596"/>
      <c r="T19" s="598"/>
      <c r="U19" s="599" t="s">
        <v>118</v>
      </c>
      <c r="X19" s="340" t="s">
        <v>138</v>
      </c>
      <c r="Y19" s="340" t="s">
        <v>90</v>
      </c>
      <c r="Z19" s="342">
        <v>0</v>
      </c>
      <c r="AA19" s="340" t="s">
        <v>90</v>
      </c>
      <c r="AB19" s="342">
        <v>0</v>
      </c>
      <c r="AD19" s="81" t="s">
        <v>65</v>
      </c>
      <c r="AE19" s="81" t="s">
        <v>90</v>
      </c>
      <c r="AF19" s="343">
        <f>SUM(AF5:AF17)</f>
        <v>-966069362.91923058</v>
      </c>
      <c r="AG19" s="81" t="s">
        <v>90</v>
      </c>
      <c r="AH19" s="343">
        <f>SUM(AH5:AH17)</f>
        <v>-958192346.36172032</v>
      </c>
    </row>
    <row r="20" spans="1:34" ht="15" customHeight="1">
      <c r="A20" s="4">
        <v>8</v>
      </c>
      <c r="B20" s="458" t="s">
        <v>139</v>
      </c>
      <c r="C20" s="106"/>
      <c r="D20" s="104"/>
      <c r="E20" s="104"/>
      <c r="F20" s="104" t="s">
        <v>140</v>
      </c>
      <c r="G20" s="104"/>
      <c r="H20" s="107"/>
      <c r="I20" s="107"/>
      <c r="J20" s="107"/>
      <c r="K20" s="107"/>
      <c r="L20" s="104"/>
      <c r="M20" s="104"/>
      <c r="N20" s="104"/>
      <c r="O20" s="104"/>
      <c r="P20" s="601">
        <f>Z14/1000</f>
        <v>13074.242</v>
      </c>
      <c r="Q20" s="108">
        <f>$Q$14</f>
        <v>0.99452051267692876</v>
      </c>
      <c r="R20" s="109">
        <f t="shared" si="0"/>
        <v>13002.601856702235</v>
      </c>
      <c r="S20" s="596"/>
      <c r="T20" s="598"/>
      <c r="U20" s="599" t="s">
        <v>118</v>
      </c>
      <c r="V20" s="92"/>
      <c r="X20" s="340"/>
      <c r="Y20" s="340"/>
      <c r="Z20" s="341"/>
      <c r="AA20" s="340"/>
      <c r="AB20" s="341"/>
      <c r="AF20" s="68" t="s">
        <v>135</v>
      </c>
      <c r="AH20" s="68" t="s">
        <v>135</v>
      </c>
    </row>
    <row r="21" spans="1:34" ht="15" customHeight="1">
      <c r="A21" s="4">
        <v>9</v>
      </c>
      <c r="B21" s="458" t="s">
        <v>141</v>
      </c>
      <c r="C21" s="104"/>
      <c r="D21" s="104"/>
      <c r="E21" s="104"/>
      <c r="F21" s="104" t="s">
        <v>142</v>
      </c>
      <c r="G21" s="104"/>
      <c r="H21" s="110"/>
      <c r="I21" s="110"/>
      <c r="J21" s="110"/>
      <c r="K21" s="110"/>
      <c r="L21" s="110"/>
      <c r="M21" s="110"/>
      <c r="N21" s="110"/>
      <c r="O21" s="110"/>
      <c r="P21" s="601">
        <f>Z15/1000</f>
        <v>-1150.29</v>
      </c>
      <c r="Q21" s="108">
        <f>$Q$14</f>
        <v>0.99452051267692876</v>
      </c>
      <c r="R21" s="109">
        <f t="shared" si="0"/>
        <v>-1143.9870005271443</v>
      </c>
      <c r="S21" s="596"/>
      <c r="T21" s="598"/>
      <c r="U21" s="599" t="s">
        <v>118</v>
      </c>
      <c r="X21" s="340" t="s">
        <v>143</v>
      </c>
      <c r="Y21" s="340" t="s">
        <v>90</v>
      </c>
      <c r="Z21" s="342">
        <v>-721170103.79999995</v>
      </c>
      <c r="AA21" s="340"/>
      <c r="AB21" s="342">
        <v>-717218461</v>
      </c>
    </row>
    <row r="22" spans="1:34" ht="15" customHeight="1">
      <c r="A22" s="4">
        <v>10</v>
      </c>
      <c r="B22" s="458" t="s">
        <v>144</v>
      </c>
      <c r="C22" s="110"/>
      <c r="D22" s="110"/>
      <c r="E22" s="110"/>
      <c r="F22" s="581" t="s">
        <v>145</v>
      </c>
      <c r="G22" s="110"/>
      <c r="H22" s="107"/>
      <c r="I22" s="107"/>
      <c r="J22" s="107"/>
      <c r="K22" s="107"/>
      <c r="L22" s="104"/>
      <c r="M22" s="104"/>
      <c r="N22" s="104"/>
      <c r="O22" s="104"/>
      <c r="P22" s="601">
        <f>AF5/1000</f>
        <v>-208874.424</v>
      </c>
      <c r="Q22" s="108">
        <f>$Q$17</f>
        <v>0.99375659576873032</v>
      </c>
      <c r="R22" s="109">
        <f>+P22*Q22</f>
        <v>-207570.33653739438</v>
      </c>
      <c r="S22" s="596"/>
      <c r="T22" s="598"/>
      <c r="U22" s="599" t="s">
        <v>130</v>
      </c>
      <c r="X22" s="340"/>
      <c r="Y22" s="340"/>
      <c r="Z22" s="341"/>
      <c r="AA22" s="340"/>
      <c r="AB22" s="341"/>
    </row>
    <row r="23" spans="1:34" ht="15" customHeight="1">
      <c r="A23" s="4">
        <v>11</v>
      </c>
      <c r="B23" s="458"/>
      <c r="C23" s="106"/>
      <c r="D23" s="104"/>
      <c r="E23" s="104"/>
      <c r="F23" s="399" t="s">
        <v>146</v>
      </c>
      <c r="G23" s="104"/>
      <c r="H23" s="104"/>
      <c r="I23" s="104"/>
      <c r="J23" s="104"/>
      <c r="K23" s="104"/>
      <c r="L23" s="104"/>
      <c r="M23" s="104"/>
      <c r="N23" s="104"/>
      <c r="O23" s="104"/>
      <c r="P23" s="602"/>
      <c r="Q23" s="110"/>
      <c r="R23" s="110"/>
      <c r="S23" s="110"/>
      <c r="T23" s="110"/>
      <c r="U23" s="110"/>
      <c r="X23" s="340" t="s">
        <v>131</v>
      </c>
      <c r="Y23" s="340" t="s">
        <v>90</v>
      </c>
      <c r="Z23" s="342">
        <v>26339676.777692307</v>
      </c>
      <c r="AA23" s="340" t="s">
        <v>90</v>
      </c>
      <c r="AB23" s="342">
        <v>26195349</v>
      </c>
    </row>
    <row r="24" spans="1:34" ht="15" customHeight="1">
      <c r="A24" s="4">
        <v>12</v>
      </c>
      <c r="B24" s="458" t="s">
        <v>147</v>
      </c>
      <c r="C24" s="104"/>
      <c r="D24" s="104"/>
      <c r="E24" s="104"/>
      <c r="F24" s="581" t="s">
        <v>148</v>
      </c>
      <c r="G24" s="104"/>
      <c r="H24" s="107"/>
      <c r="I24" s="107"/>
      <c r="J24" s="107"/>
      <c r="K24" s="107"/>
      <c r="L24" s="104"/>
      <c r="M24" s="104"/>
      <c r="N24" s="104"/>
      <c r="O24" s="104"/>
      <c r="P24" s="601">
        <f>AF6/1000</f>
        <v>96417.297999999995</v>
      </c>
      <c r="Q24" s="108">
        <f>$Q$18</f>
        <v>0.9947495726877924</v>
      </c>
      <c r="R24" s="109">
        <f>+P24*Q24</f>
        <v>95911.065985211535</v>
      </c>
      <c r="S24" s="596"/>
      <c r="T24" s="598"/>
      <c r="U24" s="599" t="s">
        <v>134</v>
      </c>
      <c r="X24" s="340"/>
      <c r="Y24" s="340"/>
      <c r="Z24" s="341" t="s">
        <v>87</v>
      </c>
      <c r="AA24" s="340"/>
      <c r="AB24" s="341" t="s">
        <v>87</v>
      </c>
      <c r="AF24" s="91"/>
    </row>
    <row r="25" spans="1:34" ht="15" customHeight="1">
      <c r="A25" s="4">
        <v>13</v>
      </c>
      <c r="B25" s="458"/>
      <c r="C25" s="106"/>
      <c r="D25" s="104"/>
      <c r="E25" s="104"/>
      <c r="F25" s="399" t="s">
        <v>149</v>
      </c>
      <c r="G25" s="104"/>
      <c r="H25" s="104"/>
      <c r="I25" s="104"/>
      <c r="J25" s="104"/>
      <c r="K25" s="104"/>
      <c r="L25" s="104"/>
      <c r="M25" s="104"/>
      <c r="N25" s="104"/>
      <c r="O25" s="104"/>
      <c r="P25" s="602"/>
      <c r="Q25" s="110"/>
      <c r="R25" s="110"/>
      <c r="S25" s="110"/>
      <c r="T25" s="110"/>
      <c r="U25" s="110"/>
      <c r="X25" s="81" t="s">
        <v>65</v>
      </c>
      <c r="Y25" s="81" t="s">
        <v>90</v>
      </c>
      <c r="Z25" s="343">
        <f>SUM(Z5:Z9,Z17,Z19,Z21,Z23)</f>
        <v>-1529093093.2284615</v>
      </c>
      <c r="AA25" s="81" t="s">
        <v>90</v>
      </c>
      <c r="AB25" s="343">
        <f>SUM(AB5:AB9,AB17,AB19,AB21,AB23)</f>
        <v>-1520714446</v>
      </c>
    </row>
    <row r="26" spans="1:34" ht="15" customHeight="1">
      <c r="A26" s="4">
        <v>14</v>
      </c>
      <c r="B26" s="458" t="s">
        <v>150</v>
      </c>
      <c r="C26" s="110"/>
      <c r="D26" s="110"/>
      <c r="E26" s="110"/>
      <c r="F26" s="581" t="s">
        <v>151</v>
      </c>
      <c r="G26" s="110"/>
      <c r="H26" s="110"/>
      <c r="I26" s="110"/>
      <c r="J26" s="110"/>
      <c r="K26" s="110"/>
      <c r="L26" s="110"/>
      <c r="M26" s="110"/>
      <c r="N26" s="110"/>
      <c r="O26" s="110"/>
      <c r="P26" s="601">
        <f>R26/Q26</f>
        <v>-34366.002</v>
      </c>
      <c r="Q26" s="108">
        <f>'Separation Factors'!$B$14</f>
        <v>0.99133010795784193</v>
      </c>
      <c r="R26" s="109">
        <f>'2023A Sch 1of3'!L23/1000</f>
        <v>-34068.052472739415</v>
      </c>
      <c r="S26" s="110"/>
      <c r="T26" s="110"/>
      <c r="U26" s="599" t="s">
        <v>106</v>
      </c>
      <c r="Z26" s="68" t="s">
        <v>135</v>
      </c>
      <c r="AB26" s="68" t="s">
        <v>135</v>
      </c>
    </row>
    <row r="27" spans="1:34" ht="15" customHeight="1">
      <c r="A27" s="4">
        <v>15</v>
      </c>
      <c r="B27" s="110"/>
      <c r="C27" s="110"/>
      <c r="D27" s="110"/>
      <c r="E27" s="110"/>
      <c r="F27" s="399" t="s">
        <v>149</v>
      </c>
      <c r="G27" s="110"/>
      <c r="H27" s="110"/>
      <c r="I27" s="110"/>
      <c r="J27" s="110"/>
      <c r="K27" s="110"/>
      <c r="L27" s="110"/>
      <c r="M27" s="110"/>
      <c r="N27" s="110"/>
      <c r="O27" s="110"/>
      <c r="P27" s="601"/>
      <c r="Q27" s="110"/>
      <c r="R27" s="110"/>
      <c r="S27" s="110"/>
      <c r="T27" s="110"/>
      <c r="U27" s="110"/>
    </row>
    <row r="28" spans="1:34" ht="15" customHeight="1">
      <c r="A28" s="4">
        <v>16</v>
      </c>
      <c r="B28" s="458" t="s">
        <v>152</v>
      </c>
      <c r="C28" s="106"/>
      <c r="D28" s="104"/>
      <c r="E28" s="104"/>
      <c r="F28" s="581" t="s">
        <v>153</v>
      </c>
      <c r="G28" s="104"/>
      <c r="H28" s="107"/>
      <c r="I28" s="107"/>
      <c r="J28" s="107"/>
      <c r="K28" s="107"/>
      <c r="L28" s="104"/>
      <c r="M28" s="104"/>
      <c r="N28" s="104"/>
      <c r="O28" s="104"/>
      <c r="P28" s="601">
        <f>AF7/1000</f>
        <v>-110278.512</v>
      </c>
      <c r="Q28" s="108">
        <f>$Q$17</f>
        <v>0.99375659576873032</v>
      </c>
      <c r="R28" s="109">
        <f>+P28*Q28</f>
        <v>-109589.99867156107</v>
      </c>
      <c r="S28" s="596"/>
      <c r="T28" s="598"/>
      <c r="U28" s="599" t="s">
        <v>130</v>
      </c>
      <c r="Z28" s="91">
        <f>SUM(Z25,AF19)</f>
        <v>-2495162456.1476922</v>
      </c>
      <c r="AA28"/>
      <c r="AB28" s="91">
        <f>SUM(AB25,AH19)</f>
        <v>-2478906792.3617201</v>
      </c>
    </row>
    <row r="29" spans="1:34" ht="15" customHeight="1">
      <c r="A29" s="4">
        <v>17</v>
      </c>
      <c r="B29" s="458"/>
      <c r="C29" s="106"/>
      <c r="D29" s="104"/>
      <c r="E29" s="104"/>
      <c r="F29" s="399" t="s">
        <v>154</v>
      </c>
      <c r="G29" s="104"/>
      <c r="H29" s="104"/>
      <c r="I29" s="104"/>
      <c r="J29" s="104"/>
      <c r="K29" s="104"/>
      <c r="L29" s="104"/>
      <c r="M29" s="104"/>
      <c r="N29" s="104"/>
      <c r="O29" s="104"/>
      <c r="P29" s="601"/>
      <c r="Q29" s="110"/>
      <c r="R29" s="110"/>
      <c r="S29" s="110"/>
      <c r="T29" s="110"/>
      <c r="U29" s="110"/>
    </row>
    <row r="30" spans="1:34" ht="15" customHeight="1">
      <c r="A30" s="4">
        <v>18</v>
      </c>
      <c r="B30" s="458" t="s">
        <v>155</v>
      </c>
      <c r="C30" s="104"/>
      <c r="D30" s="104"/>
      <c r="E30" s="104"/>
      <c r="F30" s="581" t="s">
        <v>156</v>
      </c>
      <c r="G30" s="104"/>
      <c r="H30" s="107"/>
      <c r="I30" s="107"/>
      <c r="J30" s="107"/>
      <c r="K30" s="107"/>
      <c r="L30" s="104"/>
      <c r="M30" s="104"/>
      <c r="N30" s="104"/>
      <c r="O30" s="104"/>
      <c r="P30" s="601">
        <f>AF8/1000</f>
        <v>2133.9160000000002</v>
      </c>
      <c r="Q30" s="108">
        <f>$Q$18</f>
        <v>0.9947495726877924</v>
      </c>
      <c r="R30" s="109">
        <f>+P30*Q30</f>
        <v>2122.7120291516435</v>
      </c>
      <c r="S30" s="596"/>
      <c r="T30" s="598"/>
      <c r="U30" s="599" t="s">
        <v>134</v>
      </c>
    </row>
    <row r="31" spans="1:34" ht="15" customHeight="1">
      <c r="A31" s="4">
        <v>19</v>
      </c>
      <c r="B31" s="458"/>
      <c r="C31" s="106"/>
      <c r="D31" s="104"/>
      <c r="E31" s="104"/>
      <c r="F31" s="399" t="s">
        <v>157</v>
      </c>
      <c r="G31" s="104"/>
      <c r="H31" s="104"/>
      <c r="I31" s="104"/>
      <c r="J31" s="104"/>
      <c r="K31" s="104"/>
      <c r="L31" s="104"/>
      <c r="M31" s="104"/>
      <c r="N31" s="104"/>
      <c r="O31" s="104"/>
      <c r="P31" s="601"/>
      <c r="Q31" s="110"/>
      <c r="R31" s="110"/>
      <c r="S31" s="110"/>
      <c r="T31" s="110"/>
      <c r="U31" s="110"/>
    </row>
    <row r="32" spans="1:34" ht="15" customHeight="1">
      <c r="A32" s="4">
        <v>20</v>
      </c>
      <c r="B32" s="458" t="s">
        <v>158</v>
      </c>
      <c r="C32" s="110"/>
      <c r="D32" s="110"/>
      <c r="E32" s="110"/>
      <c r="F32" s="581" t="s">
        <v>159</v>
      </c>
      <c r="G32" s="110"/>
      <c r="H32" s="110"/>
      <c r="I32" s="110"/>
      <c r="J32" s="110"/>
      <c r="K32" s="110"/>
      <c r="L32" s="110"/>
      <c r="M32" s="110"/>
      <c r="N32" s="110"/>
      <c r="O32" s="110"/>
      <c r="P32" s="601">
        <f>R32/Q32</f>
        <v>-264521.58799999999</v>
      </c>
      <c r="Q32" s="108">
        <f>$Q$26</f>
        <v>0.99133010795784193</v>
      </c>
      <c r="R32" s="109">
        <f>'2023A Sch 1of3'!L24/1000</f>
        <v>-262228.21438921976</v>
      </c>
      <c r="S32" s="110"/>
      <c r="T32" s="110"/>
      <c r="U32" s="599" t="s">
        <v>106</v>
      </c>
    </row>
    <row r="33" spans="1:24" ht="15" customHeight="1">
      <c r="A33" s="4">
        <v>21</v>
      </c>
      <c r="B33" s="110"/>
      <c r="C33" s="110"/>
      <c r="D33" s="110"/>
      <c r="E33" s="110"/>
      <c r="F33" s="399" t="s">
        <v>157</v>
      </c>
      <c r="G33" s="110"/>
      <c r="H33" s="110"/>
      <c r="I33" s="110"/>
      <c r="J33" s="110"/>
      <c r="K33" s="110"/>
      <c r="L33" s="110"/>
      <c r="M33" s="110"/>
      <c r="N33" s="600"/>
      <c r="O33" s="110"/>
      <c r="P33" s="601"/>
      <c r="Q33" s="110"/>
      <c r="R33" s="110"/>
      <c r="S33" s="110"/>
      <c r="T33" s="110"/>
      <c r="U33" s="110"/>
    </row>
    <row r="34" spans="1:24" ht="15" customHeight="1">
      <c r="A34" s="4">
        <v>22</v>
      </c>
      <c r="B34" s="458" t="s">
        <v>160</v>
      </c>
      <c r="C34" s="110"/>
      <c r="D34" s="110"/>
      <c r="E34" s="110"/>
      <c r="F34" s="104" t="s">
        <v>161</v>
      </c>
      <c r="G34" s="110"/>
      <c r="H34" s="110"/>
      <c r="I34" s="110"/>
      <c r="J34" s="110"/>
      <c r="K34" s="110"/>
      <c r="L34" s="110"/>
      <c r="M34" s="110"/>
      <c r="N34" s="110"/>
      <c r="O34" s="110"/>
      <c r="P34" s="601">
        <f>AF9/1000</f>
        <v>-4188.5330000000004</v>
      </c>
      <c r="Q34" s="108">
        <f>$Q$17</f>
        <v>0.99375659576873032</v>
      </c>
      <c r="R34" s="109">
        <f>+P34*Q34</f>
        <v>-4162.3822953449881</v>
      </c>
      <c r="S34" s="596"/>
      <c r="T34" s="598"/>
      <c r="U34" s="599" t="s">
        <v>130</v>
      </c>
    </row>
    <row r="35" spans="1:24" ht="15" customHeight="1">
      <c r="A35" s="4">
        <v>23</v>
      </c>
      <c r="B35" s="458"/>
      <c r="C35" s="110"/>
      <c r="D35" s="110"/>
      <c r="E35" s="110"/>
      <c r="F35" s="399" t="s">
        <v>162</v>
      </c>
      <c r="G35" s="110"/>
      <c r="H35" s="110"/>
      <c r="I35" s="110"/>
      <c r="J35" s="110"/>
      <c r="K35" s="110"/>
      <c r="L35" s="110"/>
      <c r="M35" s="110"/>
      <c r="N35" s="110"/>
      <c r="O35" s="110"/>
      <c r="P35" s="601"/>
      <c r="Q35" s="110"/>
      <c r="R35" s="110"/>
      <c r="S35" s="110"/>
      <c r="T35" s="110"/>
      <c r="U35" s="110"/>
    </row>
    <row r="36" spans="1:24" ht="15" customHeight="1">
      <c r="A36" s="4">
        <v>24</v>
      </c>
      <c r="B36" s="458" t="s">
        <v>163</v>
      </c>
      <c r="C36" s="110"/>
      <c r="D36" s="110"/>
      <c r="E36" s="110"/>
      <c r="F36" s="581" t="s">
        <v>164</v>
      </c>
      <c r="G36" s="110"/>
      <c r="H36" s="110"/>
      <c r="I36" s="110"/>
      <c r="J36" s="110"/>
      <c r="K36" s="110"/>
      <c r="L36" s="110"/>
      <c r="M36" s="110"/>
      <c r="N36" s="110"/>
      <c r="O36" s="110"/>
      <c r="P36" s="601">
        <f>AF10/1000</f>
        <v>1736.674</v>
      </c>
      <c r="Q36" s="108">
        <f>$Q$18</f>
        <v>0.9947495726877924</v>
      </c>
      <c r="R36" s="109">
        <f>+P36*Q36</f>
        <v>1727.5557193979992</v>
      </c>
      <c r="S36" s="596"/>
      <c r="T36" s="598"/>
      <c r="U36" s="599" t="s">
        <v>134</v>
      </c>
    </row>
    <row r="37" spans="1:24" ht="15" customHeight="1">
      <c r="A37" s="4">
        <v>25</v>
      </c>
      <c r="B37" s="458"/>
      <c r="C37" s="110"/>
      <c r="D37" s="110"/>
      <c r="E37" s="110"/>
      <c r="F37" s="399" t="s">
        <v>165</v>
      </c>
      <c r="G37" s="110"/>
      <c r="H37" s="110"/>
      <c r="I37" s="110"/>
      <c r="J37" s="110"/>
      <c r="K37" s="110"/>
      <c r="L37" s="110"/>
      <c r="M37" s="110"/>
      <c r="N37" s="110"/>
      <c r="O37" s="110"/>
      <c r="P37" s="601"/>
      <c r="Q37" s="110"/>
      <c r="R37" s="110"/>
      <c r="S37" s="110"/>
      <c r="T37" s="110"/>
      <c r="U37" s="110"/>
    </row>
    <row r="38" spans="1:24" ht="15" customHeight="1">
      <c r="A38" s="4">
        <v>26</v>
      </c>
      <c r="B38" s="458" t="s">
        <v>166</v>
      </c>
      <c r="C38" s="106"/>
      <c r="D38" s="104"/>
      <c r="E38" s="104"/>
      <c r="F38" s="104" t="s">
        <v>167</v>
      </c>
      <c r="G38" s="104"/>
      <c r="H38" s="114"/>
      <c r="I38" s="105"/>
      <c r="J38" s="105"/>
      <c r="K38" s="105"/>
      <c r="L38" s="104"/>
      <c r="M38" s="104"/>
      <c r="N38" s="104"/>
      <c r="O38" s="104"/>
      <c r="P38" s="601">
        <f>R38/Q38</f>
        <v>-417946.07650083874</v>
      </c>
      <c r="Q38" s="108">
        <f>$Q$26</f>
        <v>0.99133010795784193</v>
      </c>
      <c r="R38" s="109">
        <f>SUM(AH11:AH12)/1000-R26-R32</f>
        <v>-414322.52913813293</v>
      </c>
      <c r="S38" s="596"/>
      <c r="T38" s="598"/>
      <c r="U38" s="599" t="s">
        <v>106</v>
      </c>
    </row>
    <row r="39" spans="1:24" ht="15" customHeight="1">
      <c r="A39" s="4">
        <v>27</v>
      </c>
      <c r="B39" s="399" t="s">
        <v>138</v>
      </c>
      <c r="C39" s="110"/>
      <c r="D39" s="110"/>
      <c r="E39" s="110"/>
      <c r="F39" s="104" t="s">
        <v>168</v>
      </c>
      <c r="G39" s="110"/>
      <c r="H39" s="104"/>
      <c r="I39" s="104"/>
      <c r="J39" s="104"/>
      <c r="K39" s="104"/>
      <c r="L39" s="104"/>
      <c r="M39" s="104"/>
      <c r="N39" s="104"/>
      <c r="O39" s="104"/>
      <c r="P39" s="602">
        <f>Z19/1000</f>
        <v>0</v>
      </c>
      <c r="Q39" s="108">
        <f>$Q$14</f>
        <v>0.99452051267692876</v>
      </c>
      <c r="R39" s="109">
        <f t="shared" ref="R39:R45" si="1">+P39*Q39</f>
        <v>0</v>
      </c>
      <c r="S39" s="595"/>
      <c r="T39" s="598"/>
      <c r="U39" s="599" t="s">
        <v>118</v>
      </c>
    </row>
    <row r="40" spans="1:24" ht="15" customHeight="1">
      <c r="A40" s="4">
        <v>28</v>
      </c>
      <c r="B40" s="458" t="s">
        <v>169</v>
      </c>
      <c r="C40" s="106"/>
      <c r="D40" s="104"/>
      <c r="E40" s="104"/>
      <c r="F40" s="104" t="s">
        <v>170</v>
      </c>
      <c r="G40" s="105"/>
      <c r="H40" s="105"/>
      <c r="I40" s="105"/>
      <c r="J40" s="105"/>
      <c r="K40" s="105"/>
      <c r="L40" s="104"/>
      <c r="M40" s="104"/>
      <c r="N40" s="104"/>
      <c r="O40" s="104"/>
      <c r="P40" s="603">
        <f>AF15/1000</f>
        <v>-7484.8225899999998</v>
      </c>
      <c r="Q40" s="108">
        <f>$Q$17</f>
        <v>0.99375659576873032</v>
      </c>
      <c r="R40" s="109">
        <f t="shared" si="1"/>
        <v>-7438.0918169712913</v>
      </c>
      <c r="S40" s="595"/>
      <c r="T40" s="598"/>
      <c r="U40" s="599" t="s">
        <v>130</v>
      </c>
    </row>
    <row r="41" spans="1:24" ht="15" customHeight="1">
      <c r="A41" s="4">
        <v>29</v>
      </c>
      <c r="B41" s="458" t="s">
        <v>169</v>
      </c>
      <c r="C41" s="104"/>
      <c r="D41" s="104"/>
      <c r="E41" s="104"/>
      <c r="F41" s="104" t="s">
        <v>171</v>
      </c>
      <c r="G41" s="104"/>
      <c r="H41" s="105"/>
      <c r="I41" s="105"/>
      <c r="J41" s="105"/>
      <c r="K41" s="105"/>
      <c r="L41" s="104"/>
      <c r="M41" s="104"/>
      <c r="N41" s="104"/>
      <c r="O41" s="104"/>
      <c r="P41" s="603">
        <f>AF16/1000</f>
        <v>6528.3035899999995</v>
      </c>
      <c r="Q41" s="108">
        <f>$Q$18</f>
        <v>0.9947495726877924</v>
      </c>
      <c r="R41" s="109">
        <f t="shared" si="1"/>
        <v>6494.0272065286808</v>
      </c>
      <c r="S41" s="595"/>
      <c r="T41" s="598"/>
      <c r="U41" s="599" t="s">
        <v>134</v>
      </c>
    </row>
    <row r="42" spans="1:24" ht="15" customHeight="1">
      <c r="A42" s="4">
        <v>30</v>
      </c>
      <c r="B42" s="458" t="s">
        <v>172</v>
      </c>
      <c r="C42" s="106"/>
      <c r="D42" s="104"/>
      <c r="E42" s="104"/>
      <c r="F42" s="104" t="s">
        <v>173</v>
      </c>
      <c r="G42" s="105"/>
      <c r="H42" s="105"/>
      <c r="I42" s="105"/>
      <c r="J42" s="105"/>
      <c r="K42" s="105"/>
      <c r="L42" s="105"/>
      <c r="M42" s="105"/>
      <c r="N42" s="105"/>
      <c r="O42" s="104"/>
      <c r="P42" s="601">
        <f>AF17/1000</f>
        <v>-25225.595570769226</v>
      </c>
      <c r="Q42" s="108">
        <f>$Q$17</f>
        <v>0.99375659576873032</v>
      </c>
      <c r="R42" s="109">
        <f t="shared" si="1"/>
        <v>-25068.101980646388</v>
      </c>
      <c r="S42" s="595"/>
      <c r="T42" s="598"/>
      <c r="U42" s="599" t="s">
        <v>130</v>
      </c>
    </row>
    <row r="43" spans="1:24" ht="15" customHeight="1">
      <c r="A43" s="4">
        <v>31</v>
      </c>
      <c r="B43" s="458" t="s">
        <v>131</v>
      </c>
      <c r="C43" s="106"/>
      <c r="D43" s="104"/>
      <c r="E43" s="104"/>
      <c r="F43" s="104" t="s">
        <v>174</v>
      </c>
      <c r="G43" s="105"/>
      <c r="H43" s="110"/>
      <c r="I43" s="110"/>
      <c r="J43" s="110"/>
      <c r="K43" s="110"/>
      <c r="L43" s="110"/>
      <c r="M43" s="110"/>
      <c r="N43" s="110"/>
      <c r="O43" s="110"/>
      <c r="P43" s="601">
        <f>Z23/1000</f>
        <v>26339.676777692308</v>
      </c>
      <c r="Q43" s="108">
        <f>$Q$14</f>
        <v>0.99452051267692876</v>
      </c>
      <c r="R43" s="109">
        <f t="shared" si="1"/>
        <v>26195.348852695148</v>
      </c>
      <c r="S43" s="595"/>
      <c r="T43" s="598"/>
      <c r="U43" s="599" t="s">
        <v>118</v>
      </c>
    </row>
    <row r="44" spans="1:24" ht="15" customHeight="1">
      <c r="A44" s="4">
        <v>32</v>
      </c>
      <c r="B44" s="458" t="s">
        <v>175</v>
      </c>
      <c r="C44" s="110"/>
      <c r="D44" s="110"/>
      <c r="E44" s="110"/>
      <c r="F44" s="104" t="s">
        <v>176</v>
      </c>
      <c r="G44" s="110"/>
      <c r="H44" s="110"/>
      <c r="I44" s="110"/>
      <c r="J44" s="110"/>
      <c r="K44" s="110"/>
      <c r="L44" s="110"/>
      <c r="M44" s="110"/>
      <c r="N44" s="110"/>
      <c r="O44" s="110"/>
      <c r="P44" s="601">
        <f>Z13/1000</f>
        <v>-12219.164056153848</v>
      </c>
      <c r="Q44" s="108">
        <f>$Q$14</f>
        <v>0.99452051267692876</v>
      </c>
      <c r="R44" s="109">
        <f t="shared" si="1"/>
        <v>-12152.209301609626</v>
      </c>
      <c r="S44" s="597"/>
      <c r="T44" s="110"/>
      <c r="U44" s="599" t="s">
        <v>118</v>
      </c>
      <c r="V44" s="347" t="s">
        <v>56</v>
      </c>
      <c r="W44" s="129"/>
      <c r="X44" s="130"/>
    </row>
    <row r="45" spans="1:24" ht="15" customHeight="1">
      <c r="A45" s="4">
        <v>33</v>
      </c>
      <c r="B45" s="399" t="s">
        <v>143</v>
      </c>
      <c r="C45" s="110"/>
      <c r="D45" s="110"/>
      <c r="E45" s="110"/>
      <c r="F45" s="104" t="s">
        <v>177</v>
      </c>
      <c r="G45" s="110"/>
      <c r="H45" s="110"/>
      <c r="I45" s="110"/>
      <c r="J45" s="110"/>
      <c r="K45" s="110"/>
      <c r="L45" s="110"/>
      <c r="M45" s="110"/>
      <c r="N45" s="110"/>
      <c r="O45" s="110"/>
      <c r="P45" s="601">
        <f>Z21/1000</f>
        <v>-721170.10379999992</v>
      </c>
      <c r="Q45" s="108">
        <f>$Q$14</f>
        <v>0.99452051267692876</v>
      </c>
      <c r="R45" s="109">
        <f t="shared" si="1"/>
        <v>-717218.46135844989</v>
      </c>
      <c r="S45" s="597"/>
      <c r="T45" s="110"/>
      <c r="U45" s="599" t="s">
        <v>118</v>
      </c>
      <c r="V45" s="346"/>
      <c r="W45" s="348" t="s">
        <v>178</v>
      </c>
      <c r="X45" s="349" t="s">
        <v>98</v>
      </c>
    </row>
    <row r="46" spans="1:24" ht="15" customHeight="1">
      <c r="A46" s="4">
        <v>34</v>
      </c>
      <c r="V46" s="346" t="s">
        <v>57</v>
      </c>
      <c r="W46" s="20">
        <f>SUM(Z25,AF19)/1000</f>
        <v>-2495162.4561476922</v>
      </c>
      <c r="X46" s="350">
        <f>SUM(AB25,AH19)/1000</f>
        <v>-2478906.79236172</v>
      </c>
    </row>
    <row r="47" spans="1:24" ht="15" customHeight="1">
      <c r="A47" s="4">
        <v>35</v>
      </c>
      <c r="T47" s="93"/>
      <c r="V47" s="346" t="s">
        <v>64</v>
      </c>
      <c r="W47" s="25">
        <f>+P48</f>
        <v>-2495162.4553000694</v>
      </c>
      <c r="X47" s="351">
        <f>+R48</f>
        <v>-2478906.7933700406</v>
      </c>
    </row>
    <row r="48" spans="1:24" ht="15" customHeight="1" thickBot="1">
      <c r="A48" s="4">
        <v>36</v>
      </c>
      <c r="B48" s="98" t="s">
        <v>179</v>
      </c>
      <c r="C48" s="14"/>
      <c r="D48" s="4"/>
      <c r="E48" s="4"/>
      <c r="F48" s="27"/>
      <c r="G48" s="27"/>
      <c r="H48" s="27"/>
      <c r="I48" s="27"/>
      <c r="J48" s="27"/>
      <c r="K48" s="27"/>
      <c r="L48" s="27"/>
      <c r="M48" s="27"/>
      <c r="N48" s="27"/>
      <c r="O48" s="4"/>
      <c r="P48" s="33">
        <f>SUM(P14:P45)</f>
        <v>-2495162.4553000694</v>
      </c>
      <c r="Q48" s="14"/>
      <c r="R48" s="33">
        <f>SUM(R14:R45)</f>
        <v>-2478906.7933700406</v>
      </c>
      <c r="V48" s="346" t="s">
        <v>60</v>
      </c>
      <c r="W48" s="101">
        <f>+W46-W47</f>
        <v>-8.4762275218963623E-4</v>
      </c>
      <c r="X48" s="352">
        <f>+X46-X47</f>
        <v>1.0083205997943878E-3</v>
      </c>
    </row>
    <row r="49" spans="1:36" ht="15" customHeight="1" thickTop="1">
      <c r="A49" s="4">
        <v>37</v>
      </c>
      <c r="B49" s="4"/>
      <c r="C49" s="4"/>
      <c r="D49" s="4"/>
      <c r="E49" s="4"/>
      <c r="F49" s="37"/>
      <c r="G49" s="37"/>
      <c r="H49" s="37"/>
      <c r="I49" s="37"/>
      <c r="J49" s="37"/>
      <c r="K49" s="37"/>
      <c r="L49" s="37"/>
      <c r="M49" s="37"/>
      <c r="N49" s="37"/>
      <c r="O49" s="37"/>
      <c r="P49" s="37"/>
      <c r="Q49" s="37"/>
      <c r="V49" s="131"/>
      <c r="W49" s="125"/>
      <c r="X49" s="132"/>
    </row>
    <row r="50" spans="1:36" ht="15" customHeight="1">
      <c r="A50" s="4">
        <v>38</v>
      </c>
      <c r="B50" s="4"/>
      <c r="C50" s="4"/>
      <c r="D50" s="4"/>
      <c r="E50" s="4"/>
      <c r="F50" s="37"/>
      <c r="G50" s="37"/>
      <c r="H50" s="37"/>
      <c r="I50" s="37"/>
      <c r="J50" s="37"/>
      <c r="K50" s="37"/>
      <c r="L50" s="37"/>
      <c r="M50" s="37"/>
      <c r="N50" s="37"/>
      <c r="O50" s="37"/>
      <c r="P50" s="37"/>
      <c r="Q50" s="37"/>
      <c r="S50" s="4"/>
    </row>
    <row r="51" spans="1:36" ht="15" customHeight="1" thickBot="1">
      <c r="A51" s="1">
        <v>39</v>
      </c>
      <c r="B51" s="57" t="s">
        <v>67</v>
      </c>
      <c r="C51" s="1"/>
      <c r="D51" s="1"/>
      <c r="E51" s="1"/>
      <c r="F51" s="99"/>
      <c r="G51" s="99"/>
      <c r="H51" s="99"/>
      <c r="I51" s="99"/>
      <c r="J51" s="99"/>
      <c r="K51" s="99"/>
      <c r="L51" s="99"/>
      <c r="M51" s="99"/>
      <c r="N51" s="99"/>
      <c r="O51" s="99"/>
      <c r="P51" s="99"/>
      <c r="Q51" s="99"/>
      <c r="R51" s="100"/>
      <c r="S51" s="7"/>
    </row>
    <row r="52" spans="1:36" ht="12" customHeight="1">
      <c r="A52" s="4" t="s">
        <v>180</v>
      </c>
      <c r="B52" s="26"/>
      <c r="C52" s="4"/>
      <c r="D52" s="4"/>
      <c r="E52" s="4"/>
      <c r="F52" s="37"/>
      <c r="G52" s="37"/>
      <c r="H52" s="37"/>
      <c r="I52" s="37"/>
      <c r="J52" s="37"/>
      <c r="K52" s="37"/>
      <c r="L52" s="37"/>
      <c r="M52" s="37"/>
      <c r="N52" s="37"/>
      <c r="O52" s="37"/>
      <c r="P52" s="4" t="s">
        <v>181</v>
      </c>
      <c r="Q52" s="37"/>
      <c r="S52" s="7"/>
    </row>
    <row r="53" spans="1:36" s="140" customFormat="1" ht="15" customHeight="1" thickBot="1">
      <c r="A53" s="135"/>
      <c r="B53" s="136"/>
      <c r="C53" s="135"/>
      <c r="D53" s="135"/>
      <c r="E53" s="135"/>
      <c r="F53" s="137"/>
      <c r="G53" s="137"/>
      <c r="H53" s="137"/>
      <c r="I53" s="137"/>
      <c r="J53" s="137"/>
      <c r="K53" s="137"/>
      <c r="L53" s="137"/>
      <c r="M53" s="137"/>
      <c r="N53" s="137"/>
      <c r="O53" s="137"/>
      <c r="P53" s="137"/>
      <c r="Q53" s="137"/>
      <c r="R53" s="138"/>
      <c r="S53" s="139"/>
    </row>
    <row r="54" spans="1:36" ht="15" customHeight="1" thickBot="1">
      <c r="A54" s="1" t="s">
        <v>75</v>
      </c>
      <c r="B54" s="1"/>
      <c r="C54" s="1"/>
      <c r="D54" s="1"/>
      <c r="E54" s="1"/>
      <c r="F54" s="1"/>
      <c r="G54" s="1"/>
      <c r="H54" s="1"/>
      <c r="I54" s="1" t="s">
        <v>76</v>
      </c>
      <c r="J54" s="1"/>
      <c r="K54" s="1"/>
      <c r="L54" s="1"/>
      <c r="M54" s="1"/>
      <c r="N54" s="1"/>
      <c r="O54" s="1"/>
      <c r="P54" s="1"/>
      <c r="Q54" s="1"/>
      <c r="R54" s="3" t="s">
        <v>70</v>
      </c>
      <c r="S54" s="82" t="s">
        <v>71</v>
      </c>
    </row>
    <row r="55" spans="1:36" ht="15" customHeight="1">
      <c r="A55" s="4" t="s">
        <v>4</v>
      </c>
      <c r="B55" s="4"/>
      <c r="C55" s="4"/>
      <c r="D55" s="4"/>
      <c r="E55" s="4" t="s">
        <v>5</v>
      </c>
      <c r="F55" s="4"/>
      <c r="G55" s="4" t="s">
        <v>77</v>
      </c>
      <c r="H55" s="5"/>
      <c r="I55" s="5"/>
      <c r="J55" s="6"/>
      <c r="K55" s="6"/>
      <c r="L55" s="4"/>
      <c r="M55" s="6"/>
      <c r="N55" s="6"/>
      <c r="O55" s="6"/>
      <c r="P55" s="6" t="s">
        <v>7</v>
      </c>
      <c r="Q55" s="4"/>
      <c r="R55" s="4"/>
      <c r="S55" s="4"/>
      <c r="W55"/>
      <c r="X55" s="775" t="s">
        <v>182</v>
      </c>
      <c r="Y55" s="775"/>
      <c r="Z55" s="775"/>
      <c r="AA55" s="775"/>
      <c r="AB55" s="775"/>
      <c r="AC55" s="775"/>
      <c r="AD55" s="775"/>
      <c r="AE55" s="775"/>
      <c r="AF55" s="775"/>
      <c r="AG55" s="775"/>
      <c r="AH55" s="775"/>
      <c r="AI55"/>
      <c r="AJ55"/>
    </row>
    <row r="56" spans="1:36" ht="15" customHeight="1">
      <c r="A56" s="4"/>
      <c r="B56" s="4"/>
      <c r="C56" s="4"/>
      <c r="D56" s="4"/>
      <c r="E56" s="4"/>
      <c r="F56" s="4"/>
      <c r="G56" s="4" t="s">
        <v>79</v>
      </c>
      <c r="H56" s="5"/>
      <c r="I56" s="5"/>
      <c r="J56" s="9"/>
      <c r="K56" s="7"/>
      <c r="L56" s="4"/>
      <c r="M56" s="4"/>
      <c r="N56" s="4"/>
      <c r="O56" s="9"/>
      <c r="P56" s="9"/>
      <c r="Q56" s="7" t="s">
        <v>9</v>
      </c>
      <c r="R56" s="4"/>
      <c r="S56" s="4"/>
      <c r="W56"/>
      <c r="X56" s="81" t="s">
        <v>81</v>
      </c>
      <c r="Z56" s="81" t="s">
        <v>82</v>
      </c>
      <c r="AB56" s="81" t="s">
        <v>83</v>
      </c>
      <c r="AD56" s="81" t="s">
        <v>84</v>
      </c>
      <c r="AF56" s="81" t="s">
        <v>82</v>
      </c>
      <c r="AH56" s="81" t="s">
        <v>83</v>
      </c>
    </row>
    <row r="57" spans="1:36" ht="15" customHeight="1">
      <c r="A57" s="4" t="s">
        <v>10</v>
      </c>
      <c r="B57" s="4"/>
      <c r="C57" s="4"/>
      <c r="D57" s="4"/>
      <c r="E57" s="4"/>
      <c r="F57" s="4"/>
      <c r="G57" s="4" t="s">
        <v>85</v>
      </c>
      <c r="H57" s="4"/>
      <c r="I57" s="4"/>
      <c r="J57" s="9"/>
      <c r="K57" s="7"/>
      <c r="L57" s="9"/>
      <c r="M57" s="4"/>
      <c r="N57" s="4"/>
      <c r="O57" s="4"/>
      <c r="P57" s="9" t="s">
        <v>12</v>
      </c>
      <c r="Q57" s="7" t="s">
        <v>11</v>
      </c>
      <c r="R57" s="4"/>
      <c r="S57" s="4"/>
      <c r="W57"/>
      <c r="X57" s="68" t="s">
        <v>87</v>
      </c>
      <c r="Z57" s="68" t="s">
        <v>87</v>
      </c>
      <c r="AB57" s="68" t="s">
        <v>87</v>
      </c>
      <c r="AF57" s="68" t="s">
        <v>87</v>
      </c>
      <c r="AH57" s="68" t="s">
        <v>87</v>
      </c>
    </row>
    <row r="58" spans="1:36" ht="15" customHeight="1">
      <c r="A58" s="4"/>
      <c r="B58" s="4"/>
      <c r="C58" s="4"/>
      <c r="D58" s="4"/>
      <c r="E58" s="4"/>
      <c r="F58" s="4"/>
      <c r="G58" s="4"/>
      <c r="H58" s="4"/>
      <c r="I58" s="4"/>
      <c r="J58" s="9"/>
      <c r="K58" s="7"/>
      <c r="L58" s="9"/>
      <c r="M58" s="4"/>
      <c r="N58" s="4"/>
      <c r="O58" s="4"/>
      <c r="Q58" s="7" t="s">
        <v>13</v>
      </c>
      <c r="R58" s="4"/>
      <c r="S58" s="4"/>
      <c r="W58"/>
      <c r="X58" s="340" t="s">
        <v>183</v>
      </c>
      <c r="Y58" s="340" t="s">
        <v>90</v>
      </c>
      <c r="Z58" s="342">
        <v>-7489619.2296336228</v>
      </c>
      <c r="AA58" s="340" t="s">
        <v>90</v>
      </c>
      <c r="AB58" s="342">
        <v>-7448580</v>
      </c>
      <c r="AD58" s="340" t="s">
        <v>91</v>
      </c>
      <c r="AE58" s="340" t="s">
        <v>90</v>
      </c>
      <c r="AF58" s="342">
        <v>-257062743</v>
      </c>
      <c r="AG58" s="340" t="s">
        <v>90</v>
      </c>
      <c r="AH58" s="342">
        <v>-255457796.38265201</v>
      </c>
    </row>
    <row r="59" spans="1:36" ht="15" customHeight="1" thickBot="1">
      <c r="A59" s="2" t="s">
        <v>14</v>
      </c>
      <c r="B59" s="2"/>
      <c r="C59" s="1"/>
      <c r="D59" s="1"/>
      <c r="E59" s="1"/>
      <c r="F59" s="1"/>
      <c r="G59" s="1"/>
      <c r="H59" s="1"/>
      <c r="I59" s="2" t="s">
        <v>15</v>
      </c>
      <c r="J59" s="10"/>
      <c r="K59" s="1"/>
      <c r="L59" s="1"/>
      <c r="M59" s="1"/>
      <c r="N59" s="1"/>
      <c r="O59" s="1"/>
      <c r="P59" s="1"/>
      <c r="Q59" s="2" t="s">
        <v>16</v>
      </c>
      <c r="R59" s="1"/>
      <c r="S59" s="4"/>
      <c r="W59"/>
      <c r="X59" s="340" t="s">
        <v>92</v>
      </c>
      <c r="Y59" s="340" t="s">
        <v>90</v>
      </c>
      <c r="Z59" s="342">
        <v>-2720047.0692307698</v>
      </c>
      <c r="AA59" s="340" t="s">
        <v>90</v>
      </c>
      <c r="AB59" s="342">
        <v>-2705143</v>
      </c>
      <c r="AD59" s="340" t="s">
        <v>93</v>
      </c>
      <c r="AE59" s="340"/>
      <c r="AF59" s="342">
        <v>104290819</v>
      </c>
      <c r="AG59" s="340"/>
      <c r="AH59" s="342">
        <v>103743247.63550991</v>
      </c>
    </row>
    <row r="60" spans="1:36" ht="15" customHeight="1">
      <c r="A60" s="4"/>
      <c r="B60" s="4"/>
      <c r="C60" s="83"/>
      <c r="D60" s="83"/>
      <c r="E60" s="83"/>
      <c r="F60" s="83"/>
      <c r="G60" s="83"/>
      <c r="H60" s="83"/>
      <c r="I60" s="83"/>
      <c r="J60" s="83"/>
      <c r="K60" s="83"/>
      <c r="L60" s="83"/>
      <c r="M60" s="4"/>
      <c r="N60" s="4"/>
      <c r="O60" s="4"/>
      <c r="P60" s="83" t="s">
        <v>17</v>
      </c>
      <c r="Q60" s="83" t="s">
        <v>18</v>
      </c>
      <c r="R60" s="83" t="s">
        <v>19</v>
      </c>
      <c r="S60" s="4"/>
      <c r="W60"/>
      <c r="X60" s="340" t="s">
        <v>94</v>
      </c>
      <c r="Y60" s="340" t="s">
        <v>90</v>
      </c>
      <c r="Z60" s="342">
        <v>-304497.46153846162</v>
      </c>
      <c r="AA60" s="340" t="s">
        <v>90</v>
      </c>
      <c r="AB60" s="342">
        <v>-302829</v>
      </c>
      <c r="AD60" s="340" t="s">
        <v>95</v>
      </c>
      <c r="AE60" s="340"/>
      <c r="AF60" s="342">
        <v>-422008679</v>
      </c>
      <c r="AG60" s="340"/>
      <c r="AH60" s="342">
        <v>-419373908.2278989</v>
      </c>
    </row>
    <row r="61" spans="1:36" ht="15" customHeight="1">
      <c r="A61" s="4"/>
      <c r="B61" s="4"/>
      <c r="C61" s="4"/>
      <c r="D61" s="4"/>
      <c r="E61" s="4"/>
      <c r="F61" s="4"/>
      <c r="G61" s="4"/>
      <c r="H61" s="4"/>
      <c r="I61" s="84"/>
      <c r="J61" s="84"/>
      <c r="K61" s="85"/>
      <c r="L61" s="84"/>
      <c r="M61" s="4"/>
      <c r="N61" s="4"/>
      <c r="O61" s="4"/>
      <c r="P61" s="84"/>
      <c r="Q61" s="84"/>
      <c r="R61" s="4"/>
      <c r="S61" s="4"/>
      <c r="W61"/>
      <c r="X61" s="340" t="s">
        <v>96</v>
      </c>
      <c r="Y61" s="340" t="s">
        <v>90</v>
      </c>
      <c r="Z61" s="342">
        <v>0</v>
      </c>
      <c r="AA61" s="340" t="s">
        <v>90</v>
      </c>
      <c r="AB61" s="342">
        <v>0</v>
      </c>
      <c r="AD61" s="340" t="s">
        <v>97</v>
      </c>
      <c r="AE61" s="340"/>
      <c r="AF61" s="342">
        <v>7791965</v>
      </c>
      <c r="AG61" s="340"/>
      <c r="AH61" s="342">
        <v>7751053.8541482342</v>
      </c>
    </row>
    <row r="62" spans="1:36" ht="15" customHeight="1">
      <c r="A62" s="4"/>
      <c r="B62" s="84"/>
      <c r="C62" s="84"/>
      <c r="D62" s="84"/>
      <c r="E62" s="84"/>
      <c r="F62" s="84"/>
      <c r="G62" s="83"/>
      <c r="H62" s="83"/>
      <c r="I62" s="83"/>
      <c r="J62" s="83"/>
      <c r="K62" s="83"/>
      <c r="L62" s="83"/>
      <c r="M62" s="4"/>
      <c r="N62" s="4"/>
      <c r="O62" s="4"/>
      <c r="P62" s="83"/>
      <c r="Q62" s="83"/>
      <c r="R62" s="84" t="s">
        <v>98</v>
      </c>
      <c r="S62" s="4"/>
      <c r="W62"/>
      <c r="X62" s="340" t="s">
        <v>184</v>
      </c>
      <c r="Y62" s="340" t="s">
        <v>90</v>
      </c>
      <c r="Z62" s="342">
        <v>-513023711.99692273</v>
      </c>
      <c r="AA62" s="340" t="s">
        <v>90</v>
      </c>
      <c r="AB62" s="342">
        <v>-510212605</v>
      </c>
      <c r="AD62" s="340" t="s">
        <v>100</v>
      </c>
      <c r="AE62" s="340"/>
      <c r="AF62" s="342">
        <v>-4188533</v>
      </c>
      <c r="AG62" s="340"/>
      <c r="AH62" s="342">
        <v>-4162382.2953449874</v>
      </c>
    </row>
    <row r="63" spans="1:36" ht="15" customHeight="1">
      <c r="A63" s="4"/>
      <c r="B63" s="84"/>
      <c r="C63" s="84"/>
      <c r="D63" s="84"/>
      <c r="E63" s="84"/>
      <c r="F63" s="84"/>
      <c r="G63" s="83"/>
      <c r="H63" s="83"/>
      <c r="I63" s="83"/>
      <c r="J63" s="83"/>
      <c r="K63" s="83"/>
      <c r="L63" s="84"/>
      <c r="M63" s="4"/>
      <c r="N63" s="4"/>
      <c r="O63" s="4"/>
      <c r="P63" s="4"/>
      <c r="Q63" s="83"/>
      <c r="R63" s="83" t="s">
        <v>101</v>
      </c>
      <c r="S63" s="4"/>
      <c r="W63"/>
      <c r="X63" s="340"/>
      <c r="Y63" s="340"/>
      <c r="Z63" s="341" t="s">
        <v>87</v>
      </c>
      <c r="AA63" s="340"/>
      <c r="AB63" s="341" t="s">
        <v>87</v>
      </c>
      <c r="AD63" s="340" t="s">
        <v>102</v>
      </c>
      <c r="AE63" s="340"/>
      <c r="AF63" s="342">
        <v>2574382</v>
      </c>
      <c r="AG63" s="340"/>
      <c r="AH63" s="342">
        <v>2560865.3944351445</v>
      </c>
    </row>
    <row r="64" spans="1:36" ht="15" customHeight="1">
      <c r="A64" s="84" t="s">
        <v>35</v>
      </c>
      <c r="B64" s="86"/>
      <c r="C64" s="14"/>
      <c r="D64" s="14"/>
      <c r="E64" s="14"/>
      <c r="F64" s="14"/>
      <c r="G64" s="83"/>
      <c r="H64" s="83"/>
      <c r="I64" s="83" t="s">
        <v>103</v>
      </c>
      <c r="J64" s="14"/>
      <c r="K64" s="14"/>
      <c r="L64" s="83"/>
      <c r="M64" s="4"/>
      <c r="N64" s="4"/>
      <c r="O64" s="4"/>
      <c r="P64" s="84" t="s">
        <v>104</v>
      </c>
      <c r="Q64" s="83" t="s">
        <v>98</v>
      </c>
      <c r="R64" s="83" t="s">
        <v>104</v>
      </c>
      <c r="S64" s="4"/>
      <c r="W64"/>
      <c r="X64" s="340" t="s">
        <v>105</v>
      </c>
      <c r="Y64" s="340"/>
      <c r="Z64" s="340"/>
      <c r="AA64" s="340"/>
      <c r="AB64" s="340"/>
      <c r="AD64" s="340" t="s">
        <v>106</v>
      </c>
      <c r="AE64" s="340"/>
      <c r="AF64" s="342">
        <v>-1066830879.7276922</v>
      </c>
      <c r="AG64" s="340"/>
      <c r="AH64" s="342">
        <v>-1057581571</v>
      </c>
    </row>
    <row r="65" spans="1:36" ht="15" customHeight="1" thickBot="1">
      <c r="A65" s="10" t="s">
        <v>46</v>
      </c>
      <c r="B65" s="87"/>
      <c r="C65" s="10" t="s">
        <v>107</v>
      </c>
      <c r="D65" s="10"/>
      <c r="E65" s="88"/>
      <c r="F65" s="88"/>
      <c r="G65" s="89"/>
      <c r="H65" s="89"/>
      <c r="I65" s="89" t="s">
        <v>108</v>
      </c>
      <c r="J65" s="88"/>
      <c r="K65" s="88"/>
      <c r="L65" s="89"/>
      <c r="M65" s="1"/>
      <c r="N65" s="1"/>
      <c r="O65" s="1"/>
      <c r="P65" s="89" t="s">
        <v>109</v>
      </c>
      <c r="Q65" s="89" t="s">
        <v>110</v>
      </c>
      <c r="R65" s="90" t="s">
        <v>111</v>
      </c>
      <c r="S65" s="4"/>
      <c r="W65"/>
      <c r="X65" s="340" t="s">
        <v>112</v>
      </c>
      <c r="Y65" s="340"/>
      <c r="Z65" s="342">
        <v>-1289770.0915384616</v>
      </c>
      <c r="AA65" s="340"/>
      <c r="AB65" s="342">
        <v>-1282703</v>
      </c>
      <c r="AD65" s="340" t="s">
        <v>113</v>
      </c>
      <c r="AE65" s="340"/>
      <c r="AF65" s="342">
        <v>237333270.61538461</v>
      </c>
      <c r="AG65" s="340"/>
      <c r="AH65" s="342">
        <v>235275616.78113693</v>
      </c>
    </row>
    <row r="66" spans="1:36" ht="15" customHeight="1">
      <c r="A66" s="4">
        <v>1</v>
      </c>
      <c r="B66" s="102" t="s">
        <v>62</v>
      </c>
      <c r="C66" s="103"/>
      <c r="D66" s="104"/>
      <c r="E66" s="105"/>
      <c r="F66" s="105"/>
      <c r="G66" s="105"/>
      <c r="H66" s="105"/>
      <c r="I66" s="105"/>
      <c r="J66" s="105"/>
      <c r="K66" s="105"/>
      <c r="L66" s="105"/>
      <c r="M66" s="104"/>
      <c r="N66" s="104"/>
      <c r="O66" s="104"/>
      <c r="P66" s="104"/>
      <c r="Q66" s="104"/>
      <c r="R66" s="104"/>
      <c r="X66" s="340" t="s">
        <v>114</v>
      </c>
      <c r="Y66" s="340"/>
      <c r="Z66" s="342">
        <v>-8831865.3599999994</v>
      </c>
      <c r="AA66" s="340"/>
      <c r="AB66" s="342">
        <v>-8783471</v>
      </c>
      <c r="AD66" s="340" t="s">
        <v>115</v>
      </c>
      <c r="AE66" s="340"/>
      <c r="AF66" s="342">
        <v>0</v>
      </c>
      <c r="AG66" s="340"/>
      <c r="AH66" s="342">
        <v>0</v>
      </c>
    </row>
    <row r="67" spans="1:36" ht="15" customHeight="1">
      <c r="A67" s="4">
        <v>2</v>
      </c>
      <c r="B67" s="587" t="s">
        <v>116</v>
      </c>
      <c r="C67" s="106"/>
      <c r="D67" s="104"/>
      <c r="E67" s="104"/>
      <c r="F67" s="586" t="s">
        <v>185</v>
      </c>
      <c r="G67" s="104"/>
      <c r="H67" s="107"/>
      <c r="I67" s="107"/>
      <c r="J67" s="107"/>
      <c r="K67" s="107"/>
      <c r="L67" s="104"/>
      <c r="M67" s="104"/>
      <c r="N67" s="104"/>
      <c r="O67" s="104"/>
      <c r="P67" s="134">
        <f>SUM(Z58,Z59,Z60,Z61,)/1000</f>
        <v>-10514.163760402855</v>
      </c>
      <c r="Q67" s="108">
        <f>'Separation Factors'!$B$31</f>
        <v>0.99473037840779521</v>
      </c>
      <c r="R67" s="109">
        <f>+P67*Q67</f>
        <v>-10458.758096027059</v>
      </c>
      <c r="U67" s="400" t="s">
        <v>118</v>
      </c>
      <c r="X67" s="340" t="s">
        <v>119</v>
      </c>
      <c r="Y67" s="340"/>
      <c r="Z67" s="342">
        <v>0</v>
      </c>
      <c r="AA67" s="340"/>
      <c r="AB67" s="342">
        <v>0</v>
      </c>
      <c r="AD67" s="340" t="s">
        <v>120</v>
      </c>
      <c r="AE67" s="340"/>
      <c r="AF67" s="342">
        <v>0</v>
      </c>
      <c r="AG67" s="340"/>
      <c r="AH67" s="342">
        <v>0</v>
      </c>
    </row>
    <row r="68" spans="1:36" ht="15" customHeight="1">
      <c r="A68" s="4">
        <v>3</v>
      </c>
      <c r="B68" s="588" t="s">
        <v>121</v>
      </c>
      <c r="F68" s="585" t="s">
        <v>186</v>
      </c>
      <c r="X68" s="340" t="s">
        <v>123</v>
      </c>
      <c r="Y68" s="340"/>
      <c r="Z68" s="342">
        <v>-690174</v>
      </c>
      <c r="AA68" s="340"/>
      <c r="AB68" s="342">
        <v>-686392</v>
      </c>
      <c r="AD68" s="340" t="s">
        <v>124</v>
      </c>
      <c r="AE68" s="340"/>
      <c r="AF68" s="342">
        <v>-7484822.5899999999</v>
      </c>
      <c r="AG68" s="340"/>
      <c r="AH68" s="342">
        <v>-7438091.8169712909</v>
      </c>
    </row>
    <row r="69" spans="1:36" ht="15" customHeight="1">
      <c r="A69" s="4">
        <v>4</v>
      </c>
      <c r="B69" s="458" t="s">
        <v>125</v>
      </c>
      <c r="C69" s="106"/>
      <c r="D69" s="104"/>
      <c r="E69" s="104"/>
      <c r="F69" s="104" t="s">
        <v>126</v>
      </c>
      <c r="G69" s="104"/>
      <c r="H69" s="104"/>
      <c r="I69" s="104"/>
      <c r="J69" s="104"/>
      <c r="K69" s="104"/>
      <c r="L69" s="104"/>
      <c r="M69" s="104"/>
      <c r="N69" s="104"/>
      <c r="O69" s="104"/>
      <c r="P69" s="109">
        <f>Z62/1000</f>
        <v>-513023.71199692274</v>
      </c>
      <c r="Q69" s="108">
        <f>$Q$67</f>
        <v>0.99473037840779521</v>
      </c>
      <c r="R69" s="109">
        <f>+P69*Q69</f>
        <v>-510320.27116687072</v>
      </c>
      <c r="U69" s="400" t="s">
        <v>118</v>
      </c>
      <c r="X69" s="340"/>
      <c r="Y69" s="340"/>
      <c r="Z69" s="341" t="s">
        <v>87</v>
      </c>
      <c r="AA69" s="340"/>
      <c r="AB69" s="341" t="s">
        <v>87</v>
      </c>
      <c r="AD69" s="340" t="s">
        <v>127</v>
      </c>
      <c r="AE69" s="340"/>
      <c r="AF69" s="342">
        <v>6765010.5899999999</v>
      </c>
      <c r="AG69" s="340"/>
      <c r="AH69" s="342">
        <v>6729491.3936308902</v>
      </c>
    </row>
    <row r="70" spans="1:36" ht="15" customHeight="1">
      <c r="A70" s="4">
        <v>5</v>
      </c>
      <c r="B70" s="589" t="s">
        <v>128</v>
      </c>
      <c r="C70" s="172"/>
      <c r="D70" s="172"/>
      <c r="E70" s="172"/>
      <c r="F70" s="590" t="s">
        <v>129</v>
      </c>
      <c r="G70" s="172"/>
      <c r="H70" s="590"/>
      <c r="I70" s="590"/>
      <c r="J70" s="590"/>
      <c r="K70" s="590"/>
      <c r="L70" s="590"/>
      <c r="M70" s="590"/>
      <c r="N70" s="590"/>
      <c r="O70" s="590"/>
      <c r="P70" s="591">
        <v>0</v>
      </c>
      <c r="Q70" s="592">
        <f>'Separation Factors'!$B$29</f>
        <v>0.99359794138244795</v>
      </c>
      <c r="R70" s="593">
        <v>0</v>
      </c>
      <c r="U70" s="400" t="s">
        <v>130</v>
      </c>
      <c r="X70" s="340"/>
      <c r="Y70" s="340" t="s">
        <v>90</v>
      </c>
      <c r="Z70" s="342">
        <f>SUM(Z65:Z68)</f>
        <v>-10811809.45153846</v>
      </c>
      <c r="AA70" s="340" t="s">
        <v>90</v>
      </c>
      <c r="AB70" s="342">
        <f>SUM(AB65:AB68)</f>
        <v>-10752566</v>
      </c>
      <c r="AD70" s="340" t="s">
        <v>131</v>
      </c>
      <c r="AE70" s="340"/>
      <c r="AF70" s="342">
        <v>-33177229.138600871</v>
      </c>
      <c r="AG70" s="340"/>
      <c r="AH70" s="342">
        <v>-32970090.285815127</v>
      </c>
    </row>
    <row r="71" spans="1:36" ht="15" customHeight="1">
      <c r="A71" s="4">
        <v>6</v>
      </c>
      <c r="B71" s="589" t="s">
        <v>132</v>
      </c>
      <c r="C71" s="172"/>
      <c r="D71" s="172"/>
      <c r="E71" s="172"/>
      <c r="F71" s="590" t="s">
        <v>187</v>
      </c>
      <c r="G71" s="172"/>
      <c r="H71" s="590"/>
      <c r="I71" s="590"/>
      <c r="J71" s="590"/>
      <c r="K71" s="590"/>
      <c r="L71" s="590"/>
      <c r="M71" s="590"/>
      <c r="N71" s="590"/>
      <c r="O71" s="590"/>
      <c r="P71" s="591">
        <v>0</v>
      </c>
      <c r="Q71" s="592">
        <f>'Separation Factors'!$B$33</f>
        <v>0.99460837539996072</v>
      </c>
      <c r="R71" s="593">
        <v>0</v>
      </c>
      <c r="U71" s="400" t="s">
        <v>134</v>
      </c>
      <c r="X71" s="340"/>
      <c r="Y71" s="340"/>
      <c r="Z71" s="341" t="s">
        <v>135</v>
      </c>
      <c r="AA71" s="340"/>
      <c r="AB71" s="341" t="s">
        <v>135</v>
      </c>
      <c r="AF71" s="68" t="s">
        <v>87</v>
      </c>
      <c r="AH71" s="68" t="s">
        <v>87</v>
      </c>
    </row>
    <row r="72" spans="1:36" ht="15" customHeight="1">
      <c r="A72" s="4">
        <v>7</v>
      </c>
      <c r="B72" s="458" t="s">
        <v>136</v>
      </c>
      <c r="C72" s="104"/>
      <c r="D72" s="104"/>
      <c r="E72" s="104"/>
      <c r="F72" s="104" t="s">
        <v>137</v>
      </c>
      <c r="G72" s="104"/>
      <c r="H72" s="107"/>
      <c r="I72" s="107"/>
      <c r="J72" s="107"/>
      <c r="K72" s="107"/>
      <c r="L72" s="104"/>
      <c r="M72" s="104"/>
      <c r="N72" s="104"/>
      <c r="O72" s="104"/>
      <c r="P72" s="109">
        <f>Z65/1000</f>
        <v>-1289.7700915384617</v>
      </c>
      <c r="Q72" s="108">
        <f>$Q$67</f>
        <v>0.99473037840779521</v>
      </c>
      <c r="R72" s="109">
        <f t="shared" ref="R72:R74" si="2">+P72*Q72</f>
        <v>-1282.9734912151107</v>
      </c>
      <c r="U72" s="400" t="s">
        <v>118</v>
      </c>
      <c r="X72" s="340" t="s">
        <v>138</v>
      </c>
      <c r="Y72" s="340" t="s">
        <v>90</v>
      </c>
      <c r="Z72" s="342">
        <v>0</v>
      </c>
      <c r="AA72" s="340" t="s">
        <v>90</v>
      </c>
      <c r="AB72" s="342">
        <v>0</v>
      </c>
      <c r="AD72" s="81" t="s">
        <v>65</v>
      </c>
      <c r="AE72" s="81" t="s">
        <v>90</v>
      </c>
      <c r="AF72" s="343">
        <f>SUM(AF58:AF70)</f>
        <v>-1431997439.2509084</v>
      </c>
      <c r="AG72" s="81" t="s">
        <v>90</v>
      </c>
      <c r="AH72" s="343">
        <f>SUM(AH58:AH70)</f>
        <v>-1420923564.949821</v>
      </c>
    </row>
    <row r="73" spans="1:36" ht="15" customHeight="1">
      <c r="A73" s="4">
        <v>8</v>
      </c>
      <c r="B73" s="458" t="s">
        <v>139</v>
      </c>
      <c r="C73" s="106"/>
      <c r="D73" s="104"/>
      <c r="E73" s="104"/>
      <c r="F73" s="104" t="s">
        <v>140</v>
      </c>
      <c r="G73" s="104"/>
      <c r="H73" s="107"/>
      <c r="I73" s="107"/>
      <c r="J73" s="107"/>
      <c r="K73" s="107"/>
      <c r="L73" s="104"/>
      <c r="M73" s="104"/>
      <c r="N73" s="104"/>
      <c r="O73" s="104"/>
      <c r="P73" s="109">
        <f>Z67/1000</f>
        <v>0</v>
      </c>
      <c r="Q73" s="108">
        <f t="shared" ref="Q73:Q74" si="3">$Q$67</f>
        <v>0.99473037840779521</v>
      </c>
      <c r="R73" s="109">
        <f t="shared" si="2"/>
        <v>0</v>
      </c>
      <c r="U73" s="400" t="s">
        <v>118</v>
      </c>
      <c r="X73" s="340"/>
      <c r="Y73" s="340"/>
      <c r="Z73" s="341"/>
      <c r="AA73" s="340"/>
      <c r="AB73" s="341"/>
      <c r="AF73" s="68" t="s">
        <v>135</v>
      </c>
      <c r="AH73" s="68" t="s">
        <v>135</v>
      </c>
    </row>
    <row r="74" spans="1:36" ht="15" customHeight="1">
      <c r="A74" s="4">
        <v>9</v>
      </c>
      <c r="B74" s="458" t="s">
        <v>141</v>
      </c>
      <c r="C74" s="104"/>
      <c r="D74" s="104"/>
      <c r="E74" s="104"/>
      <c r="F74" s="104" t="s">
        <v>188</v>
      </c>
      <c r="G74" s="104"/>
      <c r="H74" s="110"/>
      <c r="I74" s="110"/>
      <c r="J74" s="110"/>
      <c r="K74" s="110"/>
      <c r="L74" s="110"/>
      <c r="M74" s="110"/>
      <c r="N74" s="110"/>
      <c r="O74" s="110"/>
      <c r="P74" s="109">
        <f>Z68/1000</f>
        <v>-690.17399999999998</v>
      </c>
      <c r="Q74" s="108">
        <f t="shared" si="3"/>
        <v>0.99473037840779521</v>
      </c>
      <c r="R74" s="109">
        <f t="shared" si="2"/>
        <v>-686.53704418722168</v>
      </c>
      <c r="U74" s="400" t="s">
        <v>118</v>
      </c>
      <c r="X74" s="340" t="s">
        <v>143</v>
      </c>
      <c r="Y74" s="340" t="s">
        <v>90</v>
      </c>
      <c r="Z74" s="342">
        <v>0</v>
      </c>
      <c r="AA74" s="340"/>
      <c r="AB74" s="342">
        <v>0</v>
      </c>
    </row>
    <row r="75" spans="1:36" ht="13.8">
      <c r="A75" s="4">
        <v>10</v>
      </c>
      <c r="B75" s="458" t="s">
        <v>160</v>
      </c>
      <c r="C75" s="110"/>
      <c r="D75" s="110"/>
      <c r="E75" s="110"/>
      <c r="F75" s="104" t="s">
        <v>161</v>
      </c>
      <c r="G75" s="110"/>
      <c r="H75" s="110"/>
      <c r="I75" s="110"/>
      <c r="J75" s="110"/>
      <c r="K75" s="110"/>
      <c r="L75" s="110"/>
      <c r="M75" s="110"/>
      <c r="N75" s="110"/>
      <c r="O75" s="110"/>
      <c r="P75" s="109">
        <f>AF62/1000</f>
        <v>-4188.5330000000004</v>
      </c>
      <c r="Q75" s="108">
        <f>$Q$70</f>
        <v>0.99359794138244795</v>
      </c>
      <c r="R75" s="109">
        <f>+P75*Q75</f>
        <v>-4161.7177662124495</v>
      </c>
      <c r="U75" s="400" t="s">
        <v>130</v>
      </c>
      <c r="X75" s="340" t="s">
        <v>131</v>
      </c>
      <c r="Y75" s="340" t="s">
        <v>90</v>
      </c>
      <c r="Z75" s="342">
        <v>34597947.412448108</v>
      </c>
      <c r="AA75" s="340" t="s">
        <v>90</v>
      </c>
      <c r="AB75" s="342">
        <v>34408368</v>
      </c>
    </row>
    <row r="76" spans="1:36" ht="15" customHeight="1">
      <c r="A76" s="4">
        <v>11</v>
      </c>
      <c r="B76" s="458"/>
      <c r="C76" s="110"/>
      <c r="D76" s="110"/>
      <c r="E76" s="110"/>
      <c r="F76" s="399" t="s">
        <v>162</v>
      </c>
      <c r="G76" s="110"/>
      <c r="H76" s="110"/>
      <c r="I76" s="110"/>
      <c r="J76" s="110"/>
      <c r="K76" s="110"/>
      <c r="L76" s="110"/>
      <c r="M76" s="110"/>
      <c r="N76" s="110"/>
      <c r="O76" s="110"/>
      <c r="P76" s="109"/>
      <c r="Q76" s="108"/>
      <c r="R76" s="109"/>
      <c r="X76" s="340"/>
      <c r="Y76" s="340"/>
      <c r="Z76" s="341" t="s">
        <v>87</v>
      </c>
      <c r="AA76" s="340"/>
      <c r="AB76" s="341" t="s">
        <v>87</v>
      </c>
    </row>
    <row r="77" spans="1:36" ht="15" customHeight="1">
      <c r="A77" s="4">
        <v>12</v>
      </c>
      <c r="B77" s="458" t="s">
        <v>163</v>
      </c>
      <c r="C77" s="110"/>
      <c r="D77" s="110"/>
      <c r="E77" s="110"/>
      <c r="F77" s="581" t="s">
        <v>164</v>
      </c>
      <c r="G77" s="110"/>
      <c r="H77" s="110"/>
      <c r="I77" s="110"/>
      <c r="J77" s="110"/>
      <c r="K77" s="110"/>
      <c r="L77" s="110"/>
      <c r="M77" s="110"/>
      <c r="N77" s="110"/>
      <c r="O77" s="110"/>
      <c r="P77" s="109">
        <f>AF63/1000</f>
        <v>2574.3820000000001</v>
      </c>
      <c r="Q77" s="108">
        <f>$Q$71</f>
        <v>0.99460837539996072</v>
      </c>
      <c r="R77" s="109">
        <f>+P77*Q77</f>
        <v>2560.5018986789019</v>
      </c>
      <c r="U77" s="400" t="s">
        <v>134</v>
      </c>
      <c r="X77" s="81" t="s">
        <v>65</v>
      </c>
      <c r="Y77" s="81" t="s">
        <v>90</v>
      </c>
      <c r="Z77" s="343">
        <f>SUM(Z58:Z62,Z70,Z72:Z75)</f>
        <v>-499751737.79641593</v>
      </c>
      <c r="AA77" s="81" t="s">
        <v>90</v>
      </c>
      <c r="AB77" s="343">
        <f>SUM(AB58:AB62,AB70,AB72:AB75)</f>
        <v>-497013355</v>
      </c>
      <c r="AF77" s="91"/>
    </row>
    <row r="78" spans="1:36" ht="15" customHeight="1">
      <c r="A78" s="4">
        <v>13</v>
      </c>
      <c r="B78" s="458"/>
      <c r="C78" s="110"/>
      <c r="D78" s="110"/>
      <c r="E78" s="110"/>
      <c r="F78" s="399" t="s">
        <v>165</v>
      </c>
      <c r="G78" s="110"/>
      <c r="H78" s="110"/>
      <c r="I78" s="110"/>
      <c r="J78" s="110"/>
      <c r="K78" s="110"/>
      <c r="L78" s="110"/>
      <c r="M78" s="110"/>
      <c r="N78" s="110"/>
      <c r="O78" s="110"/>
      <c r="P78" s="109"/>
      <c r="Q78" s="108"/>
      <c r="R78" s="109"/>
      <c r="Z78" s="68" t="s">
        <v>135</v>
      </c>
      <c r="AB78" s="68" t="s">
        <v>135</v>
      </c>
      <c r="AD78" s="343"/>
      <c r="AI78"/>
      <c r="AJ78"/>
    </row>
    <row r="79" spans="1:36" ht="15" customHeight="1">
      <c r="A79" s="4">
        <v>14</v>
      </c>
      <c r="B79" s="458" t="s">
        <v>144</v>
      </c>
      <c r="C79" s="104"/>
      <c r="D79" s="104"/>
      <c r="E79" s="104"/>
      <c r="F79" s="581" t="s">
        <v>145</v>
      </c>
      <c r="G79" s="104"/>
      <c r="H79" s="107"/>
      <c r="I79" s="107"/>
      <c r="J79" s="107"/>
      <c r="K79" s="107"/>
      <c r="L79" s="104"/>
      <c r="M79" s="104"/>
      <c r="N79" s="104"/>
      <c r="O79" s="104"/>
      <c r="P79" s="109">
        <f>AF58/1000</f>
        <v>-257062.74299999999</v>
      </c>
      <c r="Q79" s="108">
        <f>$Q$70</f>
        <v>0.99359794138244795</v>
      </c>
      <c r="R79" s="109">
        <f>+P79*Q79</f>
        <v>-255417.01225092527</v>
      </c>
      <c r="U79" s="400" t="s">
        <v>130</v>
      </c>
      <c r="AA79"/>
      <c r="AB79"/>
      <c r="AD79" s="343"/>
      <c r="AE79"/>
      <c r="AF79"/>
      <c r="AG79"/>
      <c r="AH79"/>
      <c r="AI79"/>
      <c r="AJ79"/>
    </row>
    <row r="80" spans="1:36" ht="15" customHeight="1">
      <c r="A80" s="4">
        <v>15</v>
      </c>
      <c r="B80" s="458"/>
      <c r="C80" s="106"/>
      <c r="D80" s="104"/>
      <c r="E80" s="104"/>
      <c r="F80" s="399" t="s">
        <v>146</v>
      </c>
      <c r="G80" s="104"/>
      <c r="H80" s="104"/>
      <c r="I80" s="104"/>
      <c r="J80" s="104"/>
      <c r="K80" s="104"/>
      <c r="L80" s="104"/>
      <c r="M80" s="104"/>
      <c r="N80" s="104"/>
      <c r="O80" s="104"/>
      <c r="P80" s="109"/>
      <c r="Q80" s="108"/>
      <c r="R80" s="109"/>
      <c r="Z80" s="91">
        <f>SUM(Z77,AF72)</f>
        <v>-1931749177.0473242</v>
      </c>
      <c r="AA80"/>
      <c r="AB80" s="91">
        <f>SUM(AB77,AH72)</f>
        <v>-1917936919.949821</v>
      </c>
      <c r="AC80"/>
      <c r="AD80" s="343"/>
      <c r="AE80"/>
      <c r="AF80"/>
      <c r="AG80"/>
      <c r="AH80"/>
      <c r="AI80"/>
      <c r="AJ80"/>
    </row>
    <row r="81" spans="1:36" ht="15" customHeight="1">
      <c r="A81" s="4">
        <v>16</v>
      </c>
      <c r="B81" s="458" t="s">
        <v>147</v>
      </c>
      <c r="C81" s="104"/>
      <c r="D81" s="104"/>
      <c r="E81" s="104"/>
      <c r="F81" s="581" t="s">
        <v>148</v>
      </c>
      <c r="G81" s="104"/>
      <c r="H81" s="107"/>
      <c r="I81" s="107"/>
      <c r="J81" s="107"/>
      <c r="K81" s="107"/>
      <c r="L81" s="104"/>
      <c r="M81" s="104"/>
      <c r="N81" s="104"/>
      <c r="O81" s="104"/>
      <c r="P81" s="109">
        <f>AF59/1000</f>
        <v>104290.819</v>
      </c>
      <c r="Q81" s="108">
        <f>$Q$71</f>
        <v>0.99460837539996072</v>
      </c>
      <c r="R81" s="109">
        <f>+P81*Q81</f>
        <v>103728.52205472135</v>
      </c>
      <c r="U81" s="400" t="s">
        <v>134</v>
      </c>
      <c r="AC81"/>
      <c r="AD81"/>
      <c r="AE81"/>
      <c r="AF81"/>
      <c r="AG81"/>
      <c r="AH81"/>
      <c r="AI81"/>
      <c r="AJ81"/>
    </row>
    <row r="82" spans="1:36" ht="15" customHeight="1">
      <c r="A82" s="4">
        <v>17</v>
      </c>
      <c r="B82" s="458"/>
      <c r="C82" s="106"/>
      <c r="D82" s="104"/>
      <c r="E82" s="104"/>
      <c r="F82" s="399" t="s">
        <v>149</v>
      </c>
      <c r="G82" s="104"/>
      <c r="H82" s="104"/>
      <c r="I82" s="104"/>
      <c r="J82" s="104"/>
      <c r="K82" s="104"/>
      <c r="L82" s="104"/>
      <c r="M82" s="104"/>
      <c r="N82" s="104"/>
      <c r="O82" s="104"/>
      <c r="P82" s="109"/>
      <c r="Q82" s="108"/>
      <c r="R82" s="109"/>
      <c r="AA82"/>
      <c r="AB82"/>
      <c r="AC82"/>
      <c r="AD82"/>
      <c r="AE82"/>
      <c r="AF82"/>
      <c r="AG82"/>
      <c r="AH82"/>
      <c r="AI82"/>
      <c r="AJ82"/>
    </row>
    <row r="83" spans="1:36" ht="15" customHeight="1">
      <c r="A83" s="4">
        <v>18</v>
      </c>
      <c r="B83" s="582" t="s">
        <v>150</v>
      </c>
      <c r="C83" s="583"/>
      <c r="D83" s="583"/>
      <c r="E83" s="583"/>
      <c r="F83" s="584" t="s">
        <v>189</v>
      </c>
      <c r="G83" s="583"/>
      <c r="H83" s="583"/>
      <c r="I83" s="583"/>
      <c r="J83" s="583"/>
      <c r="K83" s="583"/>
      <c r="L83" s="583"/>
      <c r="M83" s="583"/>
      <c r="N83" s="583"/>
      <c r="O83" s="583"/>
      <c r="P83" s="454">
        <f>'2024B Sch 1of3'!L24/1000</f>
        <v>-4084.0897094055808</v>
      </c>
      <c r="Q83" s="455"/>
      <c r="R83" s="454"/>
      <c r="U83" s="400"/>
      <c r="AA83"/>
      <c r="AB83"/>
      <c r="AC83"/>
      <c r="AD83"/>
      <c r="AI83"/>
      <c r="AJ83"/>
    </row>
    <row r="84" spans="1:36" ht="15" customHeight="1">
      <c r="A84" s="4">
        <v>19</v>
      </c>
      <c r="F84" s="460" t="s">
        <v>149</v>
      </c>
      <c r="G84" s="583"/>
      <c r="H84" s="583"/>
      <c r="P84" s="109"/>
      <c r="Q84" s="108"/>
      <c r="R84" s="109"/>
      <c r="AA84"/>
      <c r="AB84"/>
      <c r="AC84"/>
      <c r="AD84"/>
      <c r="AI84"/>
      <c r="AJ84"/>
    </row>
    <row r="85" spans="1:36" ht="14.4">
      <c r="A85" s="4">
        <v>20</v>
      </c>
      <c r="B85" s="458" t="s">
        <v>152</v>
      </c>
      <c r="C85" s="106"/>
      <c r="D85" s="104"/>
      <c r="E85" s="104"/>
      <c r="F85" s="104" t="s">
        <v>153</v>
      </c>
      <c r="G85" s="104"/>
      <c r="H85" s="107"/>
      <c r="I85" s="107"/>
      <c r="J85" s="107"/>
      <c r="K85" s="107"/>
      <c r="L85" s="104"/>
      <c r="M85" s="104"/>
      <c r="N85" s="104"/>
      <c r="O85" s="104"/>
      <c r="P85" s="109">
        <f>AF60/1000</f>
        <v>-422008.679</v>
      </c>
      <c r="Q85" s="108">
        <f>$Q$70</f>
        <v>0.99359794138244795</v>
      </c>
      <c r="R85" s="109">
        <f>+P85*Q85</f>
        <v>-419306.95469992631</v>
      </c>
      <c r="U85" s="400" t="s">
        <v>130</v>
      </c>
      <c r="X85"/>
      <c r="Y85"/>
      <c r="Z85"/>
      <c r="AA85"/>
      <c r="AB85"/>
      <c r="AC85"/>
      <c r="AD85"/>
    </row>
    <row r="86" spans="1:36" ht="14.4">
      <c r="A86" s="4">
        <v>21</v>
      </c>
      <c r="B86" s="458"/>
      <c r="C86" s="104"/>
      <c r="D86" s="104"/>
      <c r="E86" s="104"/>
      <c r="F86" s="399" t="s">
        <v>154</v>
      </c>
      <c r="G86" s="104"/>
      <c r="H86" s="104"/>
      <c r="I86" s="104"/>
      <c r="J86" s="104"/>
      <c r="K86" s="104"/>
      <c r="L86" s="104"/>
      <c r="M86" s="104"/>
      <c r="N86" s="104"/>
      <c r="O86" s="104"/>
      <c r="P86" s="109"/>
      <c r="Q86" s="108"/>
      <c r="R86" s="109"/>
      <c r="X86"/>
      <c r="Y86"/>
      <c r="Z86"/>
      <c r="AA86"/>
      <c r="AB86"/>
      <c r="AC86"/>
      <c r="AD86"/>
    </row>
    <row r="87" spans="1:36" ht="14.4">
      <c r="A87" s="4">
        <v>22</v>
      </c>
      <c r="B87" s="458" t="s">
        <v>155</v>
      </c>
      <c r="C87" s="106"/>
      <c r="D87" s="104"/>
      <c r="E87" s="104"/>
      <c r="F87" s="104" t="s">
        <v>156</v>
      </c>
      <c r="G87" s="104"/>
      <c r="H87" s="107"/>
      <c r="I87" s="107"/>
      <c r="J87" s="107"/>
      <c r="K87" s="107"/>
      <c r="L87" s="104"/>
      <c r="M87" s="104"/>
      <c r="N87" s="104"/>
      <c r="O87" s="104"/>
      <c r="P87" s="109">
        <f>AF61/1000</f>
        <v>7791.9650000000001</v>
      </c>
      <c r="Q87" s="108">
        <f>$Q$71</f>
        <v>0.99460837539996072</v>
      </c>
      <c r="R87" s="109">
        <f>+P87*Q87</f>
        <v>7749.9536498233547</v>
      </c>
      <c r="U87" s="400" t="s">
        <v>134</v>
      </c>
      <c r="W87"/>
      <c r="X87"/>
      <c r="Y87"/>
      <c r="Z87"/>
      <c r="AA87"/>
      <c r="AB87"/>
      <c r="AC87"/>
      <c r="AD87"/>
    </row>
    <row r="88" spans="1:36" ht="14.4">
      <c r="A88" s="4">
        <v>23</v>
      </c>
      <c r="B88" s="458"/>
      <c r="C88" s="106"/>
      <c r="D88" s="104"/>
      <c r="E88" s="104"/>
      <c r="F88" s="399" t="s">
        <v>157</v>
      </c>
      <c r="G88" s="104"/>
      <c r="H88" s="104"/>
      <c r="I88" s="104"/>
      <c r="J88" s="104"/>
      <c r="K88" s="104"/>
      <c r="L88" s="104"/>
      <c r="M88" s="104"/>
      <c r="N88" s="104"/>
      <c r="O88" s="104"/>
      <c r="P88" s="109"/>
      <c r="Q88" s="108"/>
      <c r="R88" s="109"/>
      <c r="W88"/>
      <c r="X88"/>
      <c r="Y88"/>
      <c r="Z88"/>
      <c r="AA88"/>
      <c r="AB88"/>
      <c r="AC88"/>
      <c r="AD88"/>
    </row>
    <row r="89" spans="1:36" ht="14.4">
      <c r="A89" s="4">
        <v>24</v>
      </c>
      <c r="B89" s="582" t="s">
        <v>190</v>
      </c>
      <c r="C89" s="583"/>
      <c r="D89" s="583"/>
      <c r="E89" s="583"/>
      <c r="F89" s="584" t="s">
        <v>191</v>
      </c>
      <c r="G89" s="583"/>
      <c r="H89" s="583"/>
      <c r="I89" s="583"/>
      <c r="J89" s="583"/>
      <c r="K89" s="583"/>
      <c r="L89" s="583"/>
      <c r="M89" s="583"/>
      <c r="N89" s="583"/>
      <c r="O89" s="583"/>
      <c r="P89" s="454">
        <f>'2024B Sch 1of3'!L25/1000</f>
        <v>-122385.17694358183</v>
      </c>
      <c r="Q89" s="455"/>
      <c r="R89" s="454"/>
      <c r="W89"/>
      <c r="X89"/>
      <c r="Y89"/>
      <c r="Z89"/>
      <c r="AA89"/>
      <c r="AB89"/>
      <c r="AC89"/>
      <c r="AD89"/>
    </row>
    <row r="90" spans="1:36" ht="14.4">
      <c r="A90" s="4">
        <v>25</v>
      </c>
      <c r="F90" s="460" t="s">
        <v>157</v>
      </c>
      <c r="G90" s="583"/>
      <c r="H90" s="583"/>
      <c r="N90" s="92"/>
      <c r="P90" s="109"/>
      <c r="Q90" s="108"/>
      <c r="R90" s="109"/>
      <c r="W90"/>
      <c r="X90"/>
      <c r="Y90"/>
      <c r="Z90"/>
      <c r="AA90"/>
      <c r="AB90"/>
      <c r="AC90"/>
      <c r="AD90"/>
    </row>
    <row r="91" spans="1:36" ht="14.4">
      <c r="A91" s="4">
        <v>26</v>
      </c>
      <c r="B91" s="458" t="s">
        <v>166</v>
      </c>
      <c r="C91" s="106"/>
      <c r="D91" s="104"/>
      <c r="E91" s="104"/>
      <c r="F91" s="586" t="s">
        <v>192</v>
      </c>
      <c r="G91" s="104"/>
      <c r="H91" s="114"/>
      <c r="I91" s="105"/>
      <c r="J91" s="105"/>
      <c r="K91" s="105"/>
      <c r="L91" s="104"/>
      <c r="M91" s="104"/>
      <c r="N91" s="104"/>
      <c r="O91" s="104"/>
      <c r="P91" s="109">
        <f>SUM(AF64:AF65)/1000-P83-P89</f>
        <v>-703028.34245932032</v>
      </c>
      <c r="Q91" s="108">
        <f>'Separation Factors'!$B$32</f>
        <v>0.99686119589968791</v>
      </c>
      <c r="R91" s="109">
        <f t="shared" ref="R91:R97" si="4">+P91*Q91</f>
        <v>-700821.67421537335</v>
      </c>
      <c r="U91" s="400" t="s">
        <v>106</v>
      </c>
      <c r="X91"/>
      <c r="Z91"/>
      <c r="AA91"/>
      <c r="AB91"/>
      <c r="AC91"/>
      <c r="AD91"/>
    </row>
    <row r="92" spans="1:36" ht="14.4">
      <c r="A92" s="4">
        <v>27</v>
      </c>
      <c r="B92" s="589" t="s">
        <v>138</v>
      </c>
      <c r="C92" s="172"/>
      <c r="D92" s="172"/>
      <c r="E92" s="172"/>
      <c r="F92" s="590" t="s">
        <v>168</v>
      </c>
      <c r="G92" s="172"/>
      <c r="H92" s="590"/>
      <c r="I92" s="590"/>
      <c r="J92" s="590"/>
      <c r="K92" s="590"/>
      <c r="L92" s="590"/>
      <c r="M92" s="590"/>
      <c r="N92" s="590"/>
      <c r="O92" s="590"/>
      <c r="P92" s="591">
        <f>Z72/1000</f>
        <v>0</v>
      </c>
      <c r="Q92" s="592">
        <f>'Separation Factors'!$B$34</f>
        <v>1</v>
      </c>
      <c r="R92" s="593">
        <f t="shared" si="4"/>
        <v>0</v>
      </c>
      <c r="U92" s="400" t="s">
        <v>193</v>
      </c>
      <c r="X92"/>
      <c r="Z92"/>
      <c r="AA92"/>
      <c r="AB92"/>
      <c r="AC92"/>
      <c r="AD92"/>
    </row>
    <row r="93" spans="1:36" ht="14.4">
      <c r="A93" s="4">
        <v>28</v>
      </c>
      <c r="B93" s="458" t="s">
        <v>169</v>
      </c>
      <c r="C93" s="106"/>
      <c r="D93" s="104"/>
      <c r="E93" s="104"/>
      <c r="F93" s="104" t="s">
        <v>194</v>
      </c>
      <c r="G93" s="105"/>
      <c r="H93" s="105"/>
      <c r="I93" s="105"/>
      <c r="J93" s="105"/>
      <c r="K93" s="105"/>
      <c r="L93" s="104"/>
      <c r="M93" s="104"/>
      <c r="N93" s="104"/>
      <c r="O93" s="104"/>
      <c r="P93" s="355">
        <f>AF68/1000</f>
        <v>-7484.8225899999998</v>
      </c>
      <c r="Q93" s="108">
        <f>$Q$70</f>
        <v>0.99359794138244795</v>
      </c>
      <c r="R93" s="109">
        <f t="shared" si="4"/>
        <v>-7436.9043170368423</v>
      </c>
      <c r="U93" s="400" t="s">
        <v>130</v>
      </c>
      <c r="X93"/>
      <c r="Z93"/>
      <c r="AA93"/>
      <c r="AB93"/>
      <c r="AC93"/>
      <c r="AD93"/>
    </row>
    <row r="94" spans="1:36" ht="14.4">
      <c r="A94" s="4">
        <v>29</v>
      </c>
      <c r="B94" s="458" t="s">
        <v>169</v>
      </c>
      <c r="C94" s="104"/>
      <c r="D94" s="104"/>
      <c r="E94" s="104"/>
      <c r="F94" s="104" t="s">
        <v>171</v>
      </c>
      <c r="G94" s="104"/>
      <c r="H94" s="105"/>
      <c r="I94" s="105"/>
      <c r="J94" s="105"/>
      <c r="K94" s="105"/>
      <c r="L94" s="104"/>
      <c r="M94" s="104"/>
      <c r="N94" s="104"/>
      <c r="O94" s="104"/>
      <c r="P94" s="355">
        <f>AF69/1000</f>
        <v>6765.0105899999999</v>
      </c>
      <c r="Q94" s="108">
        <f>$Q$71</f>
        <v>0.99460837539996072</v>
      </c>
      <c r="R94" s="109">
        <f t="shared" si="4"/>
        <v>6728.5361924834297</v>
      </c>
      <c r="U94" s="400" t="s">
        <v>134</v>
      </c>
      <c r="X94"/>
      <c r="Z94"/>
      <c r="AA94"/>
      <c r="AB94"/>
      <c r="AC94"/>
      <c r="AD94"/>
    </row>
    <row r="95" spans="1:36" ht="14.4">
      <c r="A95" s="4">
        <v>30</v>
      </c>
      <c r="B95" s="458" t="s">
        <v>172</v>
      </c>
      <c r="C95" s="106"/>
      <c r="D95" s="104"/>
      <c r="E95" s="104"/>
      <c r="F95" s="104" t="s">
        <v>173</v>
      </c>
      <c r="G95" s="105"/>
      <c r="H95" s="105"/>
      <c r="I95" s="105"/>
      <c r="J95" s="105"/>
      <c r="K95" s="105"/>
      <c r="L95" s="105"/>
      <c r="M95" s="105"/>
      <c r="N95" s="105"/>
      <c r="O95" s="104"/>
      <c r="P95" s="109">
        <f>AF70/1000</f>
        <v>-33177.229138600873</v>
      </c>
      <c r="Q95" s="108">
        <f>$Q$70</f>
        <v>0.99359794138244795</v>
      </c>
      <c r="R95" s="109">
        <f t="shared" si="4"/>
        <v>-32964.826572887592</v>
      </c>
      <c r="U95" s="400" t="s">
        <v>130</v>
      </c>
      <c r="X95"/>
      <c r="Z95"/>
      <c r="AA95"/>
      <c r="AB95"/>
      <c r="AC95"/>
      <c r="AD95"/>
    </row>
    <row r="96" spans="1:36" ht="15" customHeight="1">
      <c r="A96" s="4">
        <v>31</v>
      </c>
      <c r="B96" s="458" t="s">
        <v>131</v>
      </c>
      <c r="C96" s="106"/>
      <c r="D96" s="104"/>
      <c r="E96" s="104"/>
      <c r="F96" s="104" t="s">
        <v>174</v>
      </c>
      <c r="G96" s="105"/>
      <c r="H96" s="110"/>
      <c r="I96" s="110"/>
      <c r="J96" s="110"/>
      <c r="K96" s="110"/>
      <c r="L96" s="110"/>
      <c r="M96" s="110"/>
      <c r="N96" s="110"/>
      <c r="O96" s="110"/>
      <c r="P96" s="109">
        <f>Z75/1000</f>
        <v>34597.947412448106</v>
      </c>
      <c r="Q96" s="108">
        <f t="shared" ref="Q96:Q97" si="5">$Q$67</f>
        <v>0.99473037840779521</v>
      </c>
      <c r="R96" s="109">
        <f t="shared" si="4"/>
        <v>34415.629321717504</v>
      </c>
      <c r="U96" s="400" t="s">
        <v>118</v>
      </c>
      <c r="X96"/>
      <c r="Z96"/>
      <c r="AA96"/>
      <c r="AB96"/>
      <c r="AC96"/>
      <c r="AD96"/>
    </row>
    <row r="97" spans="1:34" ht="15" customHeight="1">
      <c r="A97" s="4">
        <v>32</v>
      </c>
      <c r="B97" s="458" t="s">
        <v>175</v>
      </c>
      <c r="C97" s="110"/>
      <c r="D97" s="110"/>
      <c r="E97" s="110"/>
      <c r="F97" s="104" t="s">
        <v>195</v>
      </c>
      <c r="G97" s="110"/>
      <c r="H97" s="110"/>
      <c r="I97" s="110"/>
      <c r="J97" s="110"/>
      <c r="K97" s="110"/>
      <c r="L97" s="110"/>
      <c r="M97" s="110"/>
      <c r="N97" s="110"/>
      <c r="O97" s="110"/>
      <c r="P97" s="109">
        <f>Z66/1000</f>
        <v>-8831.8653599999998</v>
      </c>
      <c r="Q97" s="108">
        <f t="shared" si="5"/>
        <v>0.99473037840779521</v>
      </c>
      <c r="R97" s="109">
        <f t="shared" si="4"/>
        <v>-8785.3247715994985</v>
      </c>
      <c r="U97" s="400" t="s">
        <v>118</v>
      </c>
      <c r="V97"/>
      <c r="W97"/>
      <c r="X97"/>
      <c r="Y97"/>
      <c r="Z97"/>
      <c r="AA97"/>
      <c r="AB97"/>
      <c r="AC97"/>
    </row>
    <row r="98" spans="1:34" ht="15" customHeight="1">
      <c r="A98" s="4">
        <v>33</v>
      </c>
      <c r="S98" s="127"/>
      <c r="X98"/>
      <c r="Y98"/>
      <c r="AA98"/>
      <c r="AB98"/>
      <c r="AC98"/>
    </row>
    <row r="99" spans="1:34" ht="15" customHeight="1" thickBot="1">
      <c r="A99" s="4">
        <v>34</v>
      </c>
      <c r="B99" s="98" t="s">
        <v>179</v>
      </c>
      <c r="C99" s="14"/>
      <c r="D99" s="4"/>
      <c r="E99" s="4"/>
      <c r="F99" s="27"/>
      <c r="G99" s="27"/>
      <c r="H99" s="27"/>
      <c r="I99" s="27"/>
      <c r="J99" s="27"/>
      <c r="K99" s="27"/>
      <c r="L99" s="27"/>
      <c r="M99" s="27"/>
      <c r="N99" s="27"/>
      <c r="O99" s="4"/>
      <c r="P99" s="33">
        <f>SUM(P67:P98)</f>
        <v>-1931749.1770473246</v>
      </c>
      <c r="Q99" s="14"/>
      <c r="R99" s="33">
        <f>SUM(R67:R98)</f>
        <v>-1796459.811274837</v>
      </c>
      <c r="V99" s="347" t="s">
        <v>56</v>
      </c>
      <c r="W99" s="129"/>
      <c r="X99" s="130"/>
    </row>
    <row r="100" spans="1:34" ht="15" customHeight="1" thickTop="1">
      <c r="A100" s="4">
        <v>35</v>
      </c>
      <c r="B100" s="35"/>
      <c r="C100" s="14"/>
      <c r="D100" s="4"/>
      <c r="E100" s="4"/>
      <c r="F100" s="27"/>
      <c r="G100" s="27"/>
      <c r="H100" s="27"/>
      <c r="I100" s="27"/>
      <c r="J100" s="27"/>
      <c r="K100" s="27"/>
      <c r="L100" s="27"/>
      <c r="M100" s="27"/>
      <c r="N100" s="27"/>
      <c r="O100" s="27"/>
      <c r="P100" s="27"/>
      <c r="Q100" s="27"/>
      <c r="T100" s="91"/>
      <c r="V100" s="346"/>
      <c r="W100" s="348" t="s">
        <v>178</v>
      </c>
      <c r="X100" s="349" t="s">
        <v>98</v>
      </c>
    </row>
    <row r="101" spans="1:34" ht="15" customHeight="1">
      <c r="A101" s="4">
        <v>36</v>
      </c>
      <c r="B101" s="35"/>
      <c r="C101" s="14"/>
      <c r="D101" s="4"/>
      <c r="E101" s="4"/>
      <c r="F101" s="27"/>
      <c r="G101" s="27"/>
      <c r="H101" s="27"/>
      <c r="I101" s="27"/>
      <c r="J101" s="27"/>
      <c r="K101" s="27"/>
      <c r="L101" s="27"/>
      <c r="M101" s="27"/>
      <c r="N101" s="27"/>
      <c r="O101" s="27"/>
      <c r="P101" s="91"/>
      <c r="Q101" s="27"/>
      <c r="V101" s="346" t="s">
        <v>57</v>
      </c>
      <c r="W101" s="20">
        <f>SUM(Z77,AF72)/1000</f>
        <v>-1931749.1770473241</v>
      </c>
      <c r="X101" s="350">
        <f>SUM(AB77,AH72)/1000</f>
        <v>-1917936.919949821</v>
      </c>
    </row>
    <row r="102" spans="1:34" ht="15" customHeight="1">
      <c r="A102" s="4">
        <v>37</v>
      </c>
      <c r="B102" s="4"/>
      <c r="C102" s="4"/>
      <c r="D102" s="4"/>
      <c r="E102" s="4"/>
      <c r="F102" s="37"/>
      <c r="G102" s="37"/>
      <c r="H102" s="37"/>
      <c r="I102" s="37"/>
      <c r="J102" s="37"/>
      <c r="K102" s="37"/>
      <c r="L102" s="37"/>
      <c r="M102" s="37"/>
      <c r="N102" s="37"/>
      <c r="O102" s="37"/>
      <c r="P102" s="37"/>
      <c r="Q102" s="37"/>
      <c r="V102" s="346" t="s">
        <v>64</v>
      </c>
      <c r="W102" s="25">
        <f>+P99</f>
        <v>-1931749.1770473246</v>
      </c>
      <c r="X102" s="351">
        <f>+R99</f>
        <v>-1796459.811274837</v>
      </c>
    </row>
    <row r="103" spans="1:34" ht="15" customHeight="1">
      <c r="A103" s="4">
        <v>38</v>
      </c>
      <c r="B103" s="4"/>
      <c r="C103" s="4"/>
      <c r="D103" s="4"/>
      <c r="E103" s="4"/>
      <c r="F103" s="37"/>
      <c r="G103" s="37"/>
      <c r="H103" s="37"/>
      <c r="I103" s="37"/>
      <c r="J103" s="37"/>
      <c r="K103" s="37"/>
      <c r="L103" s="37"/>
      <c r="M103" s="37"/>
      <c r="N103" s="37"/>
      <c r="O103" s="37"/>
      <c r="P103" s="37"/>
      <c r="Q103" s="37"/>
      <c r="V103" s="346" t="s">
        <v>60</v>
      </c>
      <c r="W103" s="353">
        <f>+W101-W102</f>
        <v>0</v>
      </c>
      <c r="X103" s="354">
        <f>+X101-X102</f>
        <v>-121477.10867498396</v>
      </c>
    </row>
    <row r="104" spans="1:34" ht="15" customHeight="1">
      <c r="A104" s="4">
        <v>39</v>
      </c>
      <c r="B104" s="4"/>
      <c r="C104" s="4"/>
      <c r="D104" s="4"/>
      <c r="E104" s="4"/>
      <c r="F104" s="37"/>
      <c r="G104" s="37"/>
      <c r="H104" s="37"/>
      <c r="I104" s="37"/>
      <c r="J104" s="37"/>
      <c r="K104" s="37"/>
      <c r="L104" s="37"/>
      <c r="M104" s="37"/>
      <c r="N104" s="37"/>
      <c r="O104" s="37"/>
      <c r="P104" s="37"/>
      <c r="Q104" s="37"/>
      <c r="S104" s="4"/>
      <c r="V104" s="131"/>
      <c r="W104" s="125"/>
      <c r="X104" s="132"/>
    </row>
    <row r="105" spans="1:34" ht="15" customHeight="1" thickBot="1">
      <c r="A105" s="126">
        <v>40</v>
      </c>
      <c r="B105" s="57" t="s">
        <v>67</v>
      </c>
      <c r="C105" s="1"/>
      <c r="D105" s="1"/>
      <c r="E105" s="1"/>
      <c r="F105" s="99"/>
      <c r="G105" s="99"/>
      <c r="H105" s="99"/>
      <c r="I105" s="99"/>
      <c r="J105" s="99"/>
      <c r="K105" s="99"/>
      <c r="L105" s="99"/>
      <c r="M105" s="99"/>
      <c r="N105" s="99"/>
      <c r="O105" s="99"/>
      <c r="P105" s="99"/>
      <c r="Q105" s="99"/>
      <c r="R105" s="100"/>
      <c r="S105" s="4"/>
    </row>
    <row r="106" spans="1:34" ht="15" customHeight="1">
      <c r="A106" s="4" t="str">
        <f>$A$52</f>
        <v>Supporting Schedules:</v>
      </c>
      <c r="B106" s="26"/>
      <c r="C106" s="4"/>
      <c r="D106" s="4"/>
      <c r="E106" s="4"/>
      <c r="F106" s="37"/>
      <c r="G106" s="37"/>
      <c r="H106" s="37"/>
      <c r="I106" s="37"/>
      <c r="J106" s="37"/>
      <c r="K106" s="37"/>
      <c r="L106" s="37"/>
      <c r="M106" s="37"/>
      <c r="N106" s="37"/>
      <c r="O106" s="37"/>
      <c r="P106" s="37" t="str">
        <f>$P$52</f>
        <v>Recap Schedules: B-1</v>
      </c>
      <c r="Q106" s="37"/>
      <c r="S106" s="4"/>
    </row>
    <row r="107" spans="1:34" s="140" customFormat="1" ht="15" customHeight="1"/>
    <row r="108" spans="1:34" ht="15" customHeight="1" thickBot="1">
      <c r="A108" s="1" t="s">
        <v>75</v>
      </c>
      <c r="B108" s="1"/>
      <c r="C108" s="1"/>
      <c r="D108" s="1"/>
      <c r="E108" s="1"/>
      <c r="F108" s="1"/>
      <c r="G108" s="1"/>
      <c r="H108" s="1"/>
      <c r="I108" s="1" t="s">
        <v>76</v>
      </c>
      <c r="J108" s="1"/>
      <c r="K108" s="1"/>
      <c r="L108" s="1"/>
      <c r="M108" s="1"/>
      <c r="N108" s="1"/>
      <c r="O108" s="1"/>
      <c r="P108" s="1"/>
      <c r="Q108" s="1"/>
      <c r="R108" s="3" t="s">
        <v>72</v>
      </c>
      <c r="S108" s="82" t="s">
        <v>73</v>
      </c>
    </row>
    <row r="109" spans="1:34" ht="15" customHeight="1">
      <c r="A109" s="4" t="s">
        <v>4</v>
      </c>
      <c r="B109" s="4"/>
      <c r="C109" s="4"/>
      <c r="D109" s="4"/>
      <c r="E109" s="4" t="s">
        <v>5</v>
      </c>
      <c r="F109" s="4"/>
      <c r="G109" s="4" t="s">
        <v>77</v>
      </c>
      <c r="H109" s="5"/>
      <c r="I109" s="5"/>
      <c r="J109" s="6"/>
      <c r="K109" s="6"/>
      <c r="L109" s="4"/>
      <c r="M109" s="6"/>
      <c r="N109" s="6"/>
      <c r="O109" s="6"/>
      <c r="P109" s="6" t="s">
        <v>7</v>
      </c>
      <c r="Q109" s="4"/>
      <c r="R109" s="4"/>
      <c r="S109" s="4"/>
      <c r="W109"/>
      <c r="X109" s="82" t="s">
        <v>196</v>
      </c>
    </row>
    <row r="110" spans="1:34" ht="15" customHeight="1">
      <c r="A110" s="4"/>
      <c r="B110" s="4"/>
      <c r="C110" s="4"/>
      <c r="D110" s="4"/>
      <c r="E110" s="4"/>
      <c r="F110" s="4"/>
      <c r="G110" s="4" t="s">
        <v>79</v>
      </c>
      <c r="H110" s="5"/>
      <c r="I110" s="5"/>
      <c r="J110" s="9"/>
      <c r="K110" s="7"/>
      <c r="L110" s="4"/>
      <c r="M110" s="4"/>
      <c r="N110" s="4"/>
      <c r="O110" s="9"/>
      <c r="P110" s="9" t="s">
        <v>12</v>
      </c>
      <c r="Q110" s="7" t="str">
        <f>Q56</f>
        <v>Projected Test Year Ended 12/31/2025</v>
      </c>
      <c r="R110" s="4"/>
      <c r="S110" s="4"/>
      <c r="W110"/>
      <c r="X110" s="81" t="s">
        <v>81</v>
      </c>
      <c r="Z110" s="81" t="s">
        <v>82</v>
      </c>
      <c r="AB110" s="81" t="s">
        <v>83</v>
      </c>
      <c r="AD110" s="81" t="s">
        <v>84</v>
      </c>
      <c r="AF110" s="81" t="s">
        <v>82</v>
      </c>
      <c r="AH110" s="81" t="s">
        <v>83</v>
      </c>
    </row>
    <row r="111" spans="1:34" ht="15" customHeight="1">
      <c r="A111" s="4" t="s">
        <v>10</v>
      </c>
      <c r="B111" s="4"/>
      <c r="C111" s="4"/>
      <c r="D111" s="4"/>
      <c r="E111" s="4"/>
      <c r="F111" s="4"/>
      <c r="G111" s="4" t="s">
        <v>85</v>
      </c>
      <c r="H111" s="4"/>
      <c r="I111" s="4"/>
      <c r="J111" s="9"/>
      <c r="K111" s="7"/>
      <c r="L111" s="9"/>
      <c r="M111" s="4"/>
      <c r="N111" s="4"/>
      <c r="O111" s="4"/>
      <c r="Q111" s="7" t="str">
        <f>Q57</f>
        <v>Projected Prior Year Ended 12/31/2024</v>
      </c>
      <c r="R111" s="4"/>
      <c r="S111" s="4"/>
      <c r="W111"/>
      <c r="X111" s="68" t="s">
        <v>87</v>
      </c>
      <c r="Z111" s="68" t="s">
        <v>87</v>
      </c>
      <c r="AB111" s="68" t="s">
        <v>87</v>
      </c>
      <c r="AF111" s="68" t="s">
        <v>87</v>
      </c>
      <c r="AH111" s="68" t="s">
        <v>87</v>
      </c>
    </row>
    <row r="112" spans="1:34" ht="15" customHeight="1">
      <c r="A112" s="4"/>
      <c r="B112" s="4"/>
      <c r="C112" s="4"/>
      <c r="D112" s="4"/>
      <c r="E112" s="4"/>
      <c r="F112" s="4"/>
      <c r="G112" s="4"/>
      <c r="H112" s="4"/>
      <c r="I112" s="4"/>
      <c r="J112" s="9"/>
      <c r="K112" s="7"/>
      <c r="L112" s="9"/>
      <c r="M112" s="4"/>
      <c r="N112" s="4"/>
      <c r="O112" s="4"/>
      <c r="Q112" s="7" t="str">
        <f>Q58</f>
        <v>Historical Prior Year Ended 12/31/2023</v>
      </c>
      <c r="R112" s="4"/>
      <c r="S112" s="4"/>
      <c r="W112"/>
      <c r="X112" s="340" t="s">
        <v>183</v>
      </c>
      <c r="Y112" s="340" t="s">
        <v>90</v>
      </c>
      <c r="Z112" s="342">
        <v>-4744427.4797703158</v>
      </c>
      <c r="AA112" s="340" t="s">
        <v>90</v>
      </c>
      <c r="AB112" s="342">
        <v>-4718430</v>
      </c>
      <c r="AD112" s="340" t="s">
        <v>91</v>
      </c>
      <c r="AE112" s="340" t="s">
        <v>90</v>
      </c>
      <c r="AF112" s="342">
        <v>-262359646</v>
      </c>
      <c r="AG112" s="340" t="s">
        <v>90</v>
      </c>
      <c r="AH112" s="342">
        <v>-260721628.67604917</v>
      </c>
    </row>
    <row r="113" spans="1:34" ht="15" customHeight="1" thickBot="1">
      <c r="A113" s="2" t="s">
        <v>14</v>
      </c>
      <c r="B113" s="2"/>
      <c r="C113" s="1"/>
      <c r="D113" s="1"/>
      <c r="E113" s="1"/>
      <c r="F113" s="1"/>
      <c r="G113" s="1"/>
      <c r="H113" s="1"/>
      <c r="I113" s="2" t="s">
        <v>15</v>
      </c>
      <c r="J113" s="10"/>
      <c r="K113" s="1"/>
      <c r="L113" s="1"/>
      <c r="M113" s="1"/>
      <c r="N113" s="1"/>
      <c r="O113" s="1"/>
      <c r="P113" s="1"/>
      <c r="Q113" s="1" t="str">
        <f>Q59</f>
        <v>Witness:</v>
      </c>
      <c r="R113" s="1"/>
      <c r="S113" s="4"/>
      <c r="W113"/>
      <c r="X113" s="340" t="s">
        <v>92</v>
      </c>
      <c r="Y113" s="340" t="s">
        <v>90</v>
      </c>
      <c r="Z113" s="342">
        <v>-3795196.384615385</v>
      </c>
      <c r="AA113" s="340" t="s">
        <v>90</v>
      </c>
      <c r="AB113" s="342">
        <v>-3774401</v>
      </c>
      <c r="AD113" s="340" t="s">
        <v>93</v>
      </c>
      <c r="AE113" s="340"/>
      <c r="AF113" s="342">
        <v>114523153</v>
      </c>
      <c r="AG113" s="340"/>
      <c r="AH113" s="342">
        <v>113921857.50960867</v>
      </c>
    </row>
    <row r="114" spans="1:34" ht="15" customHeight="1">
      <c r="A114" s="4"/>
      <c r="B114" s="4"/>
      <c r="C114" s="83"/>
      <c r="D114" s="83"/>
      <c r="E114" s="83"/>
      <c r="F114" s="83"/>
      <c r="G114" s="83"/>
      <c r="H114" s="83"/>
      <c r="I114" s="83"/>
      <c r="J114" s="83"/>
      <c r="K114" s="83"/>
      <c r="L114" s="83"/>
      <c r="M114" s="4"/>
      <c r="N114" s="4"/>
      <c r="O114" s="4"/>
      <c r="P114" s="83" t="s">
        <v>17</v>
      </c>
      <c r="Q114" s="83" t="s">
        <v>18</v>
      </c>
      <c r="R114" s="83" t="s">
        <v>19</v>
      </c>
      <c r="S114" s="4"/>
      <c r="W114"/>
      <c r="X114" s="340" t="s">
        <v>94</v>
      </c>
      <c r="Y114" s="340" t="s">
        <v>90</v>
      </c>
      <c r="Z114" s="342">
        <v>-5414873.769230769</v>
      </c>
      <c r="AA114" s="340" t="s">
        <v>90</v>
      </c>
      <c r="AB114" s="342">
        <v>-5385203</v>
      </c>
      <c r="AD114" s="340" t="s">
        <v>95</v>
      </c>
      <c r="AE114" s="340"/>
      <c r="AF114" s="342">
        <v>-696680106</v>
      </c>
      <c r="AG114" s="340"/>
      <c r="AH114" s="342">
        <v>-692330450.47835815</v>
      </c>
    </row>
    <row r="115" spans="1:34" ht="15" customHeight="1">
      <c r="A115" s="4"/>
      <c r="B115" s="4"/>
      <c r="C115" s="4"/>
      <c r="D115" s="4"/>
      <c r="E115" s="4"/>
      <c r="F115" s="4"/>
      <c r="G115" s="4"/>
      <c r="H115" s="4"/>
      <c r="I115" s="84"/>
      <c r="J115" s="84"/>
      <c r="K115" s="85"/>
      <c r="L115" s="84"/>
      <c r="M115" s="4"/>
      <c r="N115" s="4"/>
      <c r="O115" s="4"/>
      <c r="P115" s="84"/>
      <c r="Q115" s="84"/>
      <c r="R115" s="4"/>
      <c r="S115" s="4"/>
      <c r="W115"/>
      <c r="X115" s="340" t="s">
        <v>96</v>
      </c>
      <c r="Y115" s="340" t="s">
        <v>90</v>
      </c>
      <c r="Z115" s="342">
        <v>0</v>
      </c>
      <c r="AA115" s="340" t="s">
        <v>90</v>
      </c>
      <c r="AB115" s="342">
        <v>0</v>
      </c>
      <c r="AD115" s="340" t="s">
        <v>97</v>
      </c>
      <c r="AE115" s="340"/>
      <c r="AF115" s="342">
        <v>22302391</v>
      </c>
      <c r="AG115" s="340"/>
      <c r="AH115" s="342">
        <v>22185293.917166065</v>
      </c>
    </row>
    <row r="116" spans="1:34" ht="15" customHeight="1">
      <c r="A116" s="4"/>
      <c r="B116" s="84"/>
      <c r="C116" s="84"/>
      <c r="D116" s="84"/>
      <c r="E116" s="84"/>
      <c r="F116" s="84"/>
      <c r="G116" s="83"/>
      <c r="H116" s="83"/>
      <c r="I116" s="83"/>
      <c r="J116" s="83"/>
      <c r="K116" s="83"/>
      <c r="L116" s="83"/>
      <c r="M116" s="4"/>
      <c r="N116" s="4"/>
      <c r="O116" s="4"/>
      <c r="P116" s="83"/>
      <c r="Q116" s="83"/>
      <c r="R116" s="84" t="s">
        <v>98</v>
      </c>
      <c r="S116" s="4"/>
      <c r="W116"/>
      <c r="X116" s="340" t="s">
        <v>184</v>
      </c>
      <c r="Y116" s="340" t="s">
        <v>90</v>
      </c>
      <c r="Z116" s="342">
        <v>-518167502.24846125</v>
      </c>
      <c r="AA116" s="340" t="s">
        <v>90</v>
      </c>
      <c r="AB116" s="342">
        <v>-515328210</v>
      </c>
      <c r="AD116" s="340" t="s">
        <v>100</v>
      </c>
      <c r="AE116" s="340"/>
      <c r="AF116" s="342">
        <v>-4188533</v>
      </c>
      <c r="AG116" s="340"/>
      <c r="AH116" s="342">
        <v>-4162382.2953449874</v>
      </c>
    </row>
    <row r="117" spans="1:34" ht="15" customHeight="1">
      <c r="A117" s="4"/>
      <c r="B117" s="84"/>
      <c r="C117" s="84"/>
      <c r="D117" s="84"/>
      <c r="E117" s="84"/>
      <c r="F117" s="84"/>
      <c r="G117" s="83"/>
      <c r="H117" s="83"/>
      <c r="I117" s="83"/>
      <c r="J117" s="83"/>
      <c r="K117" s="83"/>
      <c r="L117" s="84"/>
      <c r="M117" s="4"/>
      <c r="N117" s="4"/>
      <c r="O117" s="4"/>
      <c r="P117" s="4"/>
      <c r="Q117" s="83"/>
      <c r="R117" s="83" t="s">
        <v>101</v>
      </c>
      <c r="S117" s="4"/>
      <c r="W117"/>
      <c r="X117" s="340"/>
      <c r="Y117" s="340"/>
      <c r="Z117" s="341" t="s">
        <v>87</v>
      </c>
      <c r="AA117" s="340"/>
      <c r="AB117" s="341" t="s">
        <v>87</v>
      </c>
      <c r="AD117" s="340" t="s">
        <v>102</v>
      </c>
      <c r="AE117" s="340"/>
      <c r="AF117" s="342">
        <v>3412090</v>
      </c>
      <c r="AG117" s="340"/>
      <c r="AH117" s="342">
        <v>3394175.0694722896</v>
      </c>
    </row>
    <row r="118" spans="1:34" ht="15" customHeight="1">
      <c r="A118" s="84" t="s">
        <v>35</v>
      </c>
      <c r="B118" s="86"/>
      <c r="C118" s="14"/>
      <c r="D118" s="14"/>
      <c r="E118" s="14"/>
      <c r="F118" s="14"/>
      <c r="G118" s="83"/>
      <c r="H118" s="83"/>
      <c r="I118" s="83" t="s">
        <v>103</v>
      </c>
      <c r="J118" s="14"/>
      <c r="K118" s="14"/>
      <c r="L118" s="83"/>
      <c r="M118" s="4"/>
      <c r="N118" s="4"/>
      <c r="O118" s="4"/>
      <c r="P118" s="84" t="s">
        <v>104</v>
      </c>
      <c r="Q118" s="83" t="s">
        <v>98</v>
      </c>
      <c r="R118" s="83" t="s">
        <v>104</v>
      </c>
      <c r="S118" s="4"/>
      <c r="W118"/>
      <c r="X118" s="340" t="s">
        <v>105</v>
      </c>
      <c r="Y118" s="340"/>
      <c r="Z118" s="340"/>
      <c r="AA118" s="340"/>
      <c r="AB118" s="340"/>
      <c r="AD118" s="340" t="s">
        <v>106</v>
      </c>
      <c r="AE118" s="340"/>
      <c r="AF118" s="342">
        <v>-959940142.71769226</v>
      </c>
      <c r="AG118" s="340"/>
      <c r="AH118" s="342">
        <v>-951617566</v>
      </c>
    </row>
    <row r="119" spans="1:34" ht="15" customHeight="1" thickBot="1">
      <c r="A119" s="10" t="s">
        <v>46</v>
      </c>
      <c r="B119" s="87"/>
      <c r="C119" s="10" t="s">
        <v>107</v>
      </c>
      <c r="D119" s="10"/>
      <c r="E119" s="88"/>
      <c r="F119" s="88"/>
      <c r="G119" s="89"/>
      <c r="H119" s="89"/>
      <c r="I119" s="89" t="s">
        <v>108</v>
      </c>
      <c r="J119" s="88"/>
      <c r="K119" s="88"/>
      <c r="L119" s="89"/>
      <c r="M119" s="1"/>
      <c r="N119" s="1"/>
      <c r="O119" s="1"/>
      <c r="P119" s="89" t="s">
        <v>109</v>
      </c>
      <c r="Q119" s="89" t="s">
        <v>110</v>
      </c>
      <c r="R119" s="90" t="s">
        <v>111</v>
      </c>
      <c r="S119" s="4"/>
      <c r="W119"/>
      <c r="X119" s="340" t="s">
        <v>112</v>
      </c>
      <c r="Y119" s="340"/>
      <c r="Z119" s="342">
        <v>-1000000</v>
      </c>
      <c r="AA119" s="340"/>
      <c r="AB119" s="342">
        <v>-994521</v>
      </c>
      <c r="AD119" s="340" t="s">
        <v>113</v>
      </c>
      <c r="AE119" s="340"/>
      <c r="AF119" s="342">
        <v>251781517.53846154</v>
      </c>
      <c r="AG119" s="340"/>
      <c r="AH119" s="342">
        <v>249598598.96319234</v>
      </c>
    </row>
    <row r="120" spans="1:34" ht="15" customHeight="1">
      <c r="A120" s="4">
        <v>1</v>
      </c>
      <c r="B120" s="102" t="s">
        <v>62</v>
      </c>
      <c r="C120" s="103"/>
      <c r="D120" s="104"/>
      <c r="E120" s="105"/>
      <c r="F120" s="105"/>
      <c r="G120" s="105"/>
      <c r="H120" s="105"/>
      <c r="I120" s="105"/>
      <c r="J120" s="105"/>
      <c r="K120" s="105"/>
      <c r="L120" s="105"/>
      <c r="M120" s="104"/>
      <c r="N120" s="104"/>
      <c r="O120" s="104"/>
      <c r="P120" s="104"/>
      <c r="Q120" s="104"/>
      <c r="R120" s="104"/>
      <c r="X120" s="340" t="s">
        <v>114</v>
      </c>
      <c r="Y120" s="340"/>
      <c r="Z120" s="342">
        <v>-23213120.210000005</v>
      </c>
      <c r="AA120" s="340"/>
      <c r="AB120" s="342">
        <v>-23085924</v>
      </c>
      <c r="AD120" s="340" t="s">
        <v>115</v>
      </c>
      <c r="AE120" s="340"/>
      <c r="AF120" s="342">
        <v>0</v>
      </c>
      <c r="AG120" s="340"/>
      <c r="AH120" s="342">
        <v>0</v>
      </c>
    </row>
    <row r="121" spans="1:34" ht="15" customHeight="1">
      <c r="A121" s="4">
        <v>2</v>
      </c>
      <c r="B121" s="458" t="s">
        <v>197</v>
      </c>
      <c r="C121" s="106"/>
      <c r="D121" s="104"/>
      <c r="E121" s="104"/>
      <c r="F121" s="104" t="s">
        <v>198</v>
      </c>
      <c r="G121" s="104"/>
      <c r="H121" s="107"/>
      <c r="I121" s="107"/>
      <c r="J121" s="107"/>
      <c r="K121" s="107"/>
      <c r="L121" s="104"/>
      <c r="M121" s="104"/>
      <c r="N121" s="104"/>
      <c r="O121" s="104"/>
      <c r="P121" s="109">
        <f>Z112/1000</f>
        <v>-4744.4274797703156</v>
      </c>
      <c r="Q121" s="108">
        <f>'Separation Factors'!$B$31</f>
        <v>0.99473037840779521</v>
      </c>
      <c r="R121" s="109">
        <f>+P121*Q121</f>
        <v>-4719.4261422802683</v>
      </c>
      <c r="U121" s="400" t="s">
        <v>118</v>
      </c>
      <c r="X121" s="340" t="s">
        <v>119</v>
      </c>
      <c r="Y121" s="340"/>
      <c r="Z121" s="342">
        <v>0</v>
      </c>
      <c r="AA121" s="340"/>
      <c r="AB121" s="342">
        <v>0</v>
      </c>
      <c r="AD121" s="340" t="s">
        <v>120</v>
      </c>
      <c r="AE121" s="340"/>
      <c r="AF121" s="342">
        <v>0</v>
      </c>
      <c r="AG121" s="340"/>
      <c r="AH121" s="342">
        <v>0</v>
      </c>
    </row>
    <row r="122" spans="1:34" ht="15" customHeight="1">
      <c r="A122" s="4">
        <v>3</v>
      </c>
      <c r="B122" s="458" t="s">
        <v>199</v>
      </c>
      <c r="C122" s="106"/>
      <c r="D122" s="104"/>
      <c r="E122" s="104"/>
      <c r="F122" s="104" t="s">
        <v>200</v>
      </c>
      <c r="G122" s="104"/>
      <c r="H122" s="107"/>
      <c r="I122" s="107"/>
      <c r="J122" s="107"/>
      <c r="K122" s="107"/>
      <c r="L122" s="104"/>
      <c r="M122" s="104"/>
      <c r="N122" s="104"/>
      <c r="O122" s="104"/>
      <c r="P122" s="109">
        <f>Z113/1000</f>
        <v>-3795.1963846153849</v>
      </c>
      <c r="Q122" s="108">
        <f>$Q$121</f>
        <v>0.99473037840779521</v>
      </c>
      <c r="R122" s="109">
        <f>+P122*Q122</f>
        <v>-3775.197135800358</v>
      </c>
      <c r="U122" s="400" t="s">
        <v>118</v>
      </c>
      <c r="X122" s="340" t="s">
        <v>123</v>
      </c>
      <c r="Y122" s="340"/>
      <c r="Z122" s="342">
        <v>-1778891.2051282381</v>
      </c>
      <c r="AA122" s="340"/>
      <c r="AB122" s="342">
        <v>-1769144</v>
      </c>
      <c r="AD122" s="340" t="s">
        <v>124</v>
      </c>
      <c r="AE122" s="340"/>
      <c r="AF122" s="342">
        <v>-7484822.5899999999</v>
      </c>
      <c r="AG122" s="340"/>
      <c r="AH122" s="342">
        <v>-7438091.8169712909</v>
      </c>
    </row>
    <row r="123" spans="1:34" ht="15" customHeight="1">
      <c r="A123" s="4">
        <v>4</v>
      </c>
      <c r="B123" s="458" t="s">
        <v>128</v>
      </c>
      <c r="C123" s="106"/>
      <c r="D123" s="104"/>
      <c r="E123" s="104"/>
      <c r="F123" s="104" t="s">
        <v>129</v>
      </c>
      <c r="G123" s="104"/>
      <c r="H123" s="107"/>
      <c r="I123" s="107"/>
      <c r="J123" s="107"/>
      <c r="K123" s="107"/>
      <c r="L123" s="104"/>
      <c r="M123" s="104"/>
      <c r="N123" s="104"/>
      <c r="O123" s="104"/>
      <c r="P123" s="109">
        <v>0</v>
      </c>
      <c r="Q123" s="108">
        <f>'Separation Factors'!$B$47</f>
        <v>0.99451296220285568</v>
      </c>
      <c r="R123" s="109">
        <v>0</v>
      </c>
      <c r="U123" s="400" t="s">
        <v>130</v>
      </c>
      <c r="X123" s="340"/>
      <c r="Y123" s="340"/>
      <c r="Z123" s="341" t="s">
        <v>87</v>
      </c>
      <c r="AA123" s="340"/>
      <c r="AB123" s="341" t="s">
        <v>87</v>
      </c>
      <c r="AD123" s="340" t="s">
        <v>127</v>
      </c>
      <c r="AE123" s="340"/>
      <c r="AF123" s="342">
        <v>7001719.5899999999</v>
      </c>
      <c r="AG123" s="340"/>
      <c r="AH123" s="342">
        <v>6964957.5702322451</v>
      </c>
    </row>
    <row r="124" spans="1:34" ht="15" customHeight="1">
      <c r="A124" s="4">
        <v>5</v>
      </c>
      <c r="B124" s="458" t="s">
        <v>132</v>
      </c>
      <c r="C124" s="104"/>
      <c r="D124" s="104"/>
      <c r="E124" s="104"/>
      <c r="F124" s="104" t="s">
        <v>187</v>
      </c>
      <c r="G124" s="104"/>
      <c r="H124" s="104"/>
      <c r="I124" s="104"/>
      <c r="J124" s="104"/>
      <c r="K124" s="104"/>
      <c r="L124" s="104"/>
      <c r="M124" s="104"/>
      <c r="N124" s="104"/>
      <c r="O124" s="104"/>
      <c r="P124" s="109">
        <v>0</v>
      </c>
      <c r="Q124" s="108">
        <f>'Separation Factors'!$B$51</f>
        <v>0.99533018792854322</v>
      </c>
      <c r="R124" s="109">
        <v>0</v>
      </c>
      <c r="U124" s="400" t="s">
        <v>134</v>
      </c>
      <c r="X124" s="340"/>
      <c r="Y124" s="340" t="s">
        <v>90</v>
      </c>
      <c r="Z124" s="342">
        <f>SUM(Z119:Z122)</f>
        <v>-25992011.415128242</v>
      </c>
      <c r="AA124" s="340" t="s">
        <v>90</v>
      </c>
      <c r="AB124" s="342">
        <f>SUM(AB119:AB122)</f>
        <v>-25849589</v>
      </c>
      <c r="AD124" s="340" t="s">
        <v>131</v>
      </c>
      <c r="AE124" s="340"/>
      <c r="AF124" s="342">
        <v>-31496686.774761379</v>
      </c>
      <c r="AG124" s="340"/>
      <c r="AH124" s="342">
        <v>-31300040.227280859</v>
      </c>
    </row>
    <row r="125" spans="1:34" ht="15" customHeight="1">
      <c r="A125" s="4">
        <v>6</v>
      </c>
      <c r="B125" s="458" t="s">
        <v>136</v>
      </c>
      <c r="C125" s="106"/>
      <c r="D125" s="104"/>
      <c r="E125" s="104"/>
      <c r="F125" s="104" t="s">
        <v>137</v>
      </c>
      <c r="G125" s="104"/>
      <c r="H125" s="107"/>
      <c r="I125" s="107"/>
      <c r="J125" s="107"/>
      <c r="K125" s="107"/>
      <c r="L125" s="104"/>
      <c r="M125" s="104"/>
      <c r="N125" s="104"/>
      <c r="O125" s="104"/>
      <c r="P125" s="109">
        <f>Z119/1000</f>
        <v>-1000</v>
      </c>
      <c r="Q125" s="108">
        <f>$Q$121</f>
        <v>0.99473037840779521</v>
      </c>
      <c r="R125" s="109">
        <f t="shared" ref="R125:R127" si="6">+P125*Q125</f>
        <v>-994.73037840779523</v>
      </c>
      <c r="U125" s="400" t="s">
        <v>118</v>
      </c>
      <c r="X125" s="340"/>
      <c r="Y125" s="340"/>
      <c r="Z125" s="341" t="s">
        <v>135</v>
      </c>
      <c r="AA125" s="340"/>
      <c r="AB125" s="341" t="s">
        <v>135</v>
      </c>
      <c r="AF125" s="68" t="s">
        <v>87</v>
      </c>
      <c r="AH125" s="68" t="s">
        <v>87</v>
      </c>
    </row>
    <row r="126" spans="1:34" ht="15" customHeight="1">
      <c r="A126" s="4">
        <v>7</v>
      </c>
      <c r="B126" s="458" t="s">
        <v>139</v>
      </c>
      <c r="C126" s="104"/>
      <c r="D126" s="104"/>
      <c r="E126" s="104"/>
      <c r="F126" s="104" t="s">
        <v>140</v>
      </c>
      <c r="G126" s="104"/>
      <c r="H126" s="107"/>
      <c r="I126" s="107"/>
      <c r="J126" s="107"/>
      <c r="K126" s="107"/>
      <c r="L126" s="104"/>
      <c r="M126" s="104"/>
      <c r="N126" s="104"/>
      <c r="O126" s="104"/>
      <c r="P126" s="109">
        <f>Z121/1000</f>
        <v>0</v>
      </c>
      <c r="Q126" s="108">
        <f>$Q$121</f>
        <v>0.99473037840779521</v>
      </c>
      <c r="R126" s="109">
        <f t="shared" si="6"/>
        <v>0</v>
      </c>
      <c r="U126" s="400" t="s">
        <v>118</v>
      </c>
      <c r="X126" s="340" t="s">
        <v>138</v>
      </c>
      <c r="Y126" s="340" t="s">
        <v>90</v>
      </c>
      <c r="Z126" s="342">
        <v>0</v>
      </c>
      <c r="AA126" s="340" t="s">
        <v>90</v>
      </c>
      <c r="AB126" s="342">
        <v>0</v>
      </c>
      <c r="AD126" s="81" t="s">
        <v>65</v>
      </c>
      <c r="AE126" s="81" t="s">
        <v>90</v>
      </c>
      <c r="AF126" s="343">
        <f>SUM(AF112:AF124)</f>
        <v>-1563129065.9539924</v>
      </c>
      <c r="AG126" s="81" t="s">
        <v>90</v>
      </c>
      <c r="AH126" s="343">
        <f>SUM(AH112:AH124)</f>
        <v>-1551505276.4643326</v>
      </c>
    </row>
    <row r="127" spans="1:34" ht="15" customHeight="1">
      <c r="A127" s="4">
        <v>8</v>
      </c>
      <c r="B127" s="458" t="s">
        <v>141</v>
      </c>
      <c r="C127" s="110"/>
      <c r="D127" s="110"/>
      <c r="E127" s="110"/>
      <c r="F127" s="104" t="s">
        <v>188</v>
      </c>
      <c r="G127" s="110"/>
      <c r="H127" s="110"/>
      <c r="I127" s="110"/>
      <c r="J127" s="110"/>
      <c r="K127" s="110"/>
      <c r="L127" s="110"/>
      <c r="M127" s="110"/>
      <c r="N127" s="110"/>
      <c r="O127" s="110"/>
      <c r="P127" s="109">
        <f>Z122/1000</f>
        <v>-1778.891205128238</v>
      </c>
      <c r="Q127" s="108">
        <f>$Q$121</f>
        <v>0.99473037840779521</v>
      </c>
      <c r="R127" s="109">
        <f t="shared" si="6"/>
        <v>-1769.517121623511</v>
      </c>
      <c r="U127" s="400" t="s">
        <v>118</v>
      </c>
      <c r="X127" s="340"/>
      <c r="Y127" s="340"/>
      <c r="Z127" s="341"/>
      <c r="AA127" s="340"/>
      <c r="AB127" s="341"/>
      <c r="AF127" s="68" t="s">
        <v>135</v>
      </c>
      <c r="AH127" s="68" t="s">
        <v>135</v>
      </c>
    </row>
    <row r="128" spans="1:34" ht="15" customHeight="1">
      <c r="A128" s="4">
        <v>9</v>
      </c>
      <c r="B128" s="458" t="s">
        <v>160</v>
      </c>
      <c r="C128" s="110"/>
      <c r="D128" s="110"/>
      <c r="E128" s="110"/>
      <c r="F128" s="104" t="s">
        <v>161</v>
      </c>
      <c r="G128" s="110"/>
      <c r="H128" s="110"/>
      <c r="I128" s="110"/>
      <c r="J128" s="110"/>
      <c r="K128" s="110"/>
      <c r="L128" s="110"/>
      <c r="M128" s="110"/>
      <c r="N128" s="110"/>
      <c r="O128" s="110"/>
      <c r="P128" s="109"/>
      <c r="Q128" s="108"/>
      <c r="R128" s="109"/>
      <c r="U128" s="400"/>
      <c r="X128" s="340" t="s">
        <v>143</v>
      </c>
      <c r="Y128" s="340" t="s">
        <v>90</v>
      </c>
      <c r="Z128" s="342">
        <v>0</v>
      </c>
      <c r="AA128" s="340"/>
      <c r="AB128" s="342">
        <v>0</v>
      </c>
    </row>
    <row r="129" spans="1:34" ht="15" customHeight="1">
      <c r="A129" s="4">
        <v>10</v>
      </c>
      <c r="B129" s="458"/>
      <c r="C129" s="110"/>
      <c r="D129" s="110"/>
      <c r="E129" s="110"/>
      <c r="F129" s="399" t="s">
        <v>162</v>
      </c>
      <c r="G129" s="110"/>
      <c r="H129" s="110"/>
      <c r="I129" s="110"/>
      <c r="J129" s="110"/>
      <c r="K129" s="110"/>
      <c r="L129" s="110"/>
      <c r="M129" s="110"/>
      <c r="N129" s="110"/>
      <c r="O129" s="110"/>
      <c r="P129" s="109">
        <f>AF116/1000</f>
        <v>-4188.5330000000004</v>
      </c>
      <c r="Q129" s="108">
        <f>$Q$123</f>
        <v>0.99451296220285568</v>
      </c>
      <c r="R129" s="109">
        <f t="shared" ref="R129" si="7">+P129*Q129</f>
        <v>-4165.550361114414</v>
      </c>
      <c r="U129" s="400" t="s">
        <v>130</v>
      </c>
      <c r="X129" s="340" t="s">
        <v>131</v>
      </c>
      <c r="Y129" s="340" t="s">
        <v>90</v>
      </c>
      <c r="Z129" s="342">
        <v>33124850.296184726</v>
      </c>
      <c r="AA129" s="340" t="s">
        <v>90</v>
      </c>
      <c r="AB129" s="342">
        <v>32943343</v>
      </c>
      <c r="AF129" s="91"/>
      <c r="AH129" s="91"/>
    </row>
    <row r="130" spans="1:34" ht="15" customHeight="1">
      <c r="A130" s="4">
        <v>11</v>
      </c>
      <c r="B130" s="458" t="s">
        <v>163</v>
      </c>
      <c r="C130" s="110"/>
      <c r="D130" s="110"/>
      <c r="E130" s="110"/>
      <c r="F130" s="104" t="s">
        <v>164</v>
      </c>
      <c r="G130" s="110"/>
      <c r="H130" s="110"/>
      <c r="I130" s="110"/>
      <c r="J130" s="110"/>
      <c r="K130" s="110"/>
      <c r="L130" s="110"/>
      <c r="M130" s="110"/>
      <c r="N130" s="110"/>
      <c r="O130" s="110"/>
      <c r="P130" s="109"/>
      <c r="Q130" s="108"/>
      <c r="R130" s="109"/>
      <c r="U130" s="400"/>
      <c r="X130" s="340"/>
      <c r="Y130" s="340"/>
      <c r="Z130" s="341" t="s">
        <v>87</v>
      </c>
      <c r="AA130" s="340"/>
      <c r="AB130" s="341" t="s">
        <v>87</v>
      </c>
      <c r="AF130" s="91"/>
    </row>
    <row r="131" spans="1:34" ht="15" customHeight="1">
      <c r="A131" s="4">
        <v>12</v>
      </c>
      <c r="B131" s="458"/>
      <c r="C131" s="110"/>
      <c r="D131" s="110"/>
      <c r="E131" s="110"/>
      <c r="F131" s="399" t="s">
        <v>165</v>
      </c>
      <c r="G131" s="110"/>
      <c r="H131" s="110"/>
      <c r="I131" s="110"/>
      <c r="J131" s="110"/>
      <c r="K131" s="110"/>
      <c r="L131" s="110"/>
      <c r="M131" s="110"/>
      <c r="N131" s="110"/>
      <c r="O131" s="110"/>
      <c r="P131" s="109">
        <f>AF117/1000</f>
        <v>3412.09</v>
      </c>
      <c r="Q131" s="108">
        <f>$Q$124</f>
        <v>0.99533018792854322</v>
      </c>
      <c r="R131" s="109">
        <f t="shared" ref="R131" si="8">+P131*Q131</f>
        <v>3396.1561809291034</v>
      </c>
      <c r="U131" s="400" t="s">
        <v>134</v>
      </c>
      <c r="X131" s="81" t="s">
        <v>65</v>
      </c>
      <c r="Y131" s="81" t="s">
        <v>90</v>
      </c>
      <c r="Z131" s="343">
        <f>SUM(Z112:Z116,Z124,Z126:Z129)</f>
        <v>-524989161.00102121</v>
      </c>
      <c r="AA131" s="81" t="s">
        <v>90</v>
      </c>
      <c r="AB131" s="343">
        <f>SUM(AB112:AB116,AB124,AB126:AB129)</f>
        <v>-522112490</v>
      </c>
      <c r="AD131" s="343"/>
    </row>
    <row r="132" spans="1:34" ht="15" customHeight="1">
      <c r="A132" s="4">
        <v>13</v>
      </c>
      <c r="B132" s="458" t="s">
        <v>144</v>
      </c>
      <c r="C132" s="106"/>
      <c r="D132" s="104"/>
      <c r="E132" s="104"/>
      <c r="F132" s="104" t="s">
        <v>145</v>
      </c>
      <c r="G132" s="104"/>
      <c r="H132" s="107"/>
      <c r="I132" s="107"/>
      <c r="J132" s="107"/>
      <c r="K132" s="107"/>
      <c r="L132" s="104"/>
      <c r="M132" s="104"/>
      <c r="N132" s="104"/>
      <c r="O132" s="104"/>
      <c r="P132" s="111"/>
      <c r="Q132" s="112"/>
      <c r="R132" s="109"/>
      <c r="U132" s="400"/>
      <c r="Z132" s="68" t="s">
        <v>135</v>
      </c>
      <c r="AB132" s="68" t="s">
        <v>135</v>
      </c>
      <c r="AD132" s="343"/>
      <c r="AE132"/>
      <c r="AF132"/>
      <c r="AG132"/>
      <c r="AH132"/>
    </row>
    <row r="133" spans="1:34" ht="15" customHeight="1">
      <c r="A133" s="4">
        <v>14</v>
      </c>
      <c r="B133" s="458"/>
      <c r="C133" s="104"/>
      <c r="D133" s="104"/>
      <c r="E133" s="104"/>
      <c r="F133" s="399" t="s">
        <v>146</v>
      </c>
      <c r="G133" s="104"/>
      <c r="H133" s="104"/>
      <c r="I133" s="104"/>
      <c r="J133" s="104"/>
      <c r="K133" s="104"/>
      <c r="L133" s="104"/>
      <c r="M133" s="104"/>
      <c r="N133" s="104"/>
      <c r="O133" s="104"/>
      <c r="P133" s="109">
        <f>AF112/1000</f>
        <v>-262359.64600000001</v>
      </c>
      <c r="Q133" s="108">
        <f>$Q$123</f>
        <v>0.99451296220285568</v>
      </c>
      <c r="R133" s="109">
        <f t="shared" ref="R133" si="9">+P133*Q133</f>
        <v>-260920.06870595261</v>
      </c>
      <c r="U133" s="400" t="s">
        <v>130</v>
      </c>
      <c r="Z133" s="91"/>
      <c r="AA133"/>
      <c r="AB133" s="91"/>
      <c r="AC133"/>
      <c r="AD133" s="343"/>
      <c r="AE133"/>
      <c r="AF133"/>
      <c r="AG133"/>
      <c r="AH133"/>
    </row>
    <row r="134" spans="1:34" ht="15" customHeight="1">
      <c r="A134" s="4">
        <v>15</v>
      </c>
      <c r="B134" s="458" t="s">
        <v>147</v>
      </c>
      <c r="C134" s="106"/>
      <c r="D134" s="104"/>
      <c r="E134" s="104"/>
      <c r="F134" s="104" t="s">
        <v>148</v>
      </c>
      <c r="G134" s="104"/>
      <c r="H134" s="107"/>
      <c r="I134" s="107"/>
      <c r="J134" s="107"/>
      <c r="K134" s="107"/>
      <c r="L134" s="104"/>
      <c r="M134" s="104"/>
      <c r="N134" s="104"/>
      <c r="O134" s="104"/>
      <c r="P134" s="111"/>
      <c r="Q134" s="112"/>
      <c r="R134" s="109"/>
      <c r="U134" s="400"/>
      <c r="Z134" s="91">
        <f>SUM(Z131,AF126)</f>
        <v>-2088118226.9550135</v>
      </c>
      <c r="AA134"/>
      <c r="AB134" s="91">
        <f>SUM(AB131,AH126)</f>
        <v>-2073617766.4643326</v>
      </c>
      <c r="AC134"/>
      <c r="AD134"/>
      <c r="AE134"/>
      <c r="AF134"/>
      <c r="AG134"/>
      <c r="AH134"/>
    </row>
    <row r="135" spans="1:34" ht="15" customHeight="1">
      <c r="A135" s="4">
        <v>16</v>
      </c>
      <c r="B135" s="458"/>
      <c r="C135" s="104"/>
      <c r="D135" s="104"/>
      <c r="E135" s="104"/>
      <c r="F135" s="399" t="s">
        <v>149</v>
      </c>
      <c r="G135" s="104"/>
      <c r="H135" s="104"/>
      <c r="I135" s="104"/>
      <c r="J135" s="104"/>
      <c r="K135" s="104"/>
      <c r="L135" s="104"/>
      <c r="M135" s="104"/>
      <c r="N135" s="104"/>
      <c r="O135" s="104"/>
      <c r="P135" s="109">
        <f>AF113/1000</f>
        <v>114523.15300000001</v>
      </c>
      <c r="Q135" s="108">
        <f>$Q$124</f>
        <v>0.99533018792854322</v>
      </c>
      <c r="R135" s="109">
        <f t="shared" ref="R135:R136" si="10">+P135*Q135</f>
        <v>113988.35139765931</v>
      </c>
      <c r="U135" s="400" t="s">
        <v>134</v>
      </c>
      <c r="AA135"/>
      <c r="AB135"/>
      <c r="AC135"/>
      <c r="AD135"/>
      <c r="AE135"/>
      <c r="AF135"/>
      <c r="AG135"/>
      <c r="AH135"/>
    </row>
    <row r="136" spans="1:34" ht="15" customHeight="1">
      <c r="A136" s="4">
        <v>17</v>
      </c>
      <c r="B136" s="458" t="s">
        <v>201</v>
      </c>
      <c r="C136" s="106"/>
      <c r="D136" s="104"/>
      <c r="E136" s="104"/>
      <c r="F136" s="104" t="s">
        <v>202</v>
      </c>
      <c r="G136" s="104"/>
      <c r="H136" s="107"/>
      <c r="I136" s="107"/>
      <c r="J136" s="107"/>
      <c r="K136" s="107"/>
      <c r="L136" s="104"/>
      <c r="M136" s="104"/>
      <c r="N136" s="104"/>
      <c r="O136" s="104"/>
      <c r="P136" s="109">
        <f>Z115/1000</f>
        <v>0</v>
      </c>
      <c r="Q136" s="108">
        <f>$Q$121</f>
        <v>0.99473037840779521</v>
      </c>
      <c r="R136" s="109">
        <f t="shared" si="10"/>
        <v>0</v>
      </c>
      <c r="U136" s="400" t="s">
        <v>118</v>
      </c>
      <c r="AA136"/>
      <c r="AB136"/>
      <c r="AC136"/>
      <c r="AD136"/>
    </row>
    <row r="137" spans="1:34" ht="15" customHeight="1">
      <c r="A137" s="4">
        <v>18</v>
      </c>
      <c r="B137" s="458" t="s">
        <v>152</v>
      </c>
      <c r="C137" s="106"/>
      <c r="D137" s="104"/>
      <c r="E137" s="104"/>
      <c r="F137" s="104" t="s">
        <v>153</v>
      </c>
      <c r="G137" s="104"/>
      <c r="H137" s="107"/>
      <c r="I137" s="107"/>
      <c r="J137" s="107"/>
      <c r="K137" s="107"/>
      <c r="L137" s="104"/>
      <c r="M137" s="104"/>
      <c r="N137" s="104"/>
      <c r="O137" s="104"/>
      <c r="P137" s="111"/>
      <c r="Q137" s="112"/>
      <c r="R137" s="109"/>
      <c r="U137" s="400"/>
      <c r="AA137"/>
      <c r="AB137"/>
      <c r="AC137"/>
      <c r="AD137"/>
    </row>
    <row r="138" spans="1:34" ht="15" customHeight="1">
      <c r="A138" s="4">
        <v>19</v>
      </c>
      <c r="B138" s="458"/>
      <c r="C138" s="104"/>
      <c r="D138" s="104"/>
      <c r="E138" s="104"/>
      <c r="F138" s="399" t="s">
        <v>154</v>
      </c>
      <c r="G138" s="104"/>
      <c r="H138" s="104"/>
      <c r="I138" s="104"/>
      <c r="J138" s="104"/>
      <c r="K138" s="104"/>
      <c r="L138" s="104"/>
      <c r="M138" s="104"/>
      <c r="N138" s="104"/>
      <c r="O138" s="104"/>
      <c r="P138" s="109">
        <f>AF114/1000</f>
        <v>-696680.10600000003</v>
      </c>
      <c r="Q138" s="108">
        <f>$Q$123</f>
        <v>0.99451296220285568</v>
      </c>
      <c r="R138" s="109">
        <f t="shared" ref="R138" si="11">+P138*Q138</f>
        <v>-692857.39592585957</v>
      </c>
      <c r="U138" s="400" t="s">
        <v>130</v>
      </c>
      <c r="X138"/>
      <c r="Y138"/>
      <c r="Z138"/>
      <c r="AA138"/>
      <c r="AB138"/>
      <c r="AC138"/>
      <c r="AD138"/>
    </row>
    <row r="139" spans="1:34" ht="15" customHeight="1">
      <c r="A139" s="4">
        <v>20</v>
      </c>
      <c r="B139" s="458" t="s">
        <v>155</v>
      </c>
      <c r="C139" s="106"/>
      <c r="D139" s="104"/>
      <c r="E139" s="104"/>
      <c r="F139" s="104" t="s">
        <v>156</v>
      </c>
      <c r="G139" s="104"/>
      <c r="H139" s="107"/>
      <c r="I139" s="107"/>
      <c r="J139" s="107"/>
      <c r="K139" s="107"/>
      <c r="L139" s="104"/>
      <c r="M139" s="104"/>
      <c r="N139" s="104"/>
      <c r="O139" s="104"/>
      <c r="P139" s="111"/>
      <c r="Q139" s="112"/>
      <c r="R139" s="109"/>
      <c r="U139" s="400"/>
      <c r="X139"/>
      <c r="Y139"/>
      <c r="Z139"/>
      <c r="AA139"/>
      <c r="AB139"/>
      <c r="AC139"/>
      <c r="AD139"/>
    </row>
    <row r="140" spans="1:34" ht="15" customHeight="1">
      <c r="A140" s="4">
        <v>21</v>
      </c>
      <c r="B140" s="458"/>
      <c r="C140" s="104"/>
      <c r="D140" s="104"/>
      <c r="E140" s="104"/>
      <c r="F140" s="399" t="s">
        <v>157</v>
      </c>
      <c r="G140" s="104"/>
      <c r="H140" s="104"/>
      <c r="I140" s="104"/>
      <c r="J140" s="104"/>
      <c r="K140" s="104"/>
      <c r="L140" s="104"/>
      <c r="M140" s="104"/>
      <c r="N140" s="104"/>
      <c r="O140" s="104"/>
      <c r="P140" s="109">
        <f>AF115/1000</f>
        <v>22302.391</v>
      </c>
      <c r="Q140" s="108">
        <f>$Q$124</f>
        <v>0.99533018792854322</v>
      </c>
      <c r="R140" s="109">
        <f t="shared" ref="R140:R141" si="12">+P140*Q140</f>
        <v>22198.24302528585</v>
      </c>
      <c r="U140" s="400" t="s">
        <v>134</v>
      </c>
      <c r="W140"/>
      <c r="X140"/>
      <c r="Y140"/>
      <c r="Z140"/>
      <c r="AA140"/>
      <c r="AB140"/>
      <c r="AC140"/>
      <c r="AD140"/>
    </row>
    <row r="141" spans="1:34" ht="15" customHeight="1">
      <c r="A141" s="4">
        <v>22</v>
      </c>
      <c r="B141" s="458" t="s">
        <v>203</v>
      </c>
      <c r="C141" s="106"/>
      <c r="D141" s="104"/>
      <c r="E141" s="104"/>
      <c r="F141" s="104" t="s">
        <v>204</v>
      </c>
      <c r="G141" s="104"/>
      <c r="H141" s="107"/>
      <c r="I141" s="107"/>
      <c r="J141" s="107"/>
      <c r="K141" s="107"/>
      <c r="L141" s="104"/>
      <c r="M141" s="104"/>
      <c r="N141" s="104"/>
      <c r="O141" s="104"/>
      <c r="P141" s="109">
        <f>Z114/1000</f>
        <v>-5414.8737692307686</v>
      </c>
      <c r="Q141" s="108">
        <f>$Q$121</f>
        <v>0.99473037840779521</v>
      </c>
      <c r="R141" s="109">
        <f t="shared" si="12"/>
        <v>-5386.3394334973673</v>
      </c>
      <c r="U141" s="400" t="s">
        <v>118</v>
      </c>
      <c r="W141"/>
      <c r="X141"/>
      <c r="Y141"/>
      <c r="Z141"/>
      <c r="AA141"/>
      <c r="AB141"/>
      <c r="AC141"/>
      <c r="AD141"/>
    </row>
    <row r="142" spans="1:34" ht="15" customHeight="1">
      <c r="A142" s="4">
        <v>23</v>
      </c>
      <c r="B142" s="399" t="s">
        <v>125</v>
      </c>
      <c r="C142" s="110"/>
      <c r="D142" s="110"/>
      <c r="E142" s="110"/>
      <c r="F142" s="104" t="s">
        <v>126</v>
      </c>
      <c r="G142" s="110"/>
      <c r="H142" s="110"/>
      <c r="I142" s="110"/>
      <c r="J142" s="110"/>
      <c r="K142" s="110"/>
      <c r="L142" s="110"/>
      <c r="M142" s="110"/>
      <c r="N142" s="110"/>
      <c r="O142" s="110"/>
      <c r="P142" s="109">
        <f>Z116/1000</f>
        <v>-518167.50224846124</v>
      </c>
      <c r="Q142" s="108">
        <f>$Q$121</f>
        <v>0.99473037840779521</v>
      </c>
      <c r="R142" s="109">
        <f>+P142*Q142</f>
        <v>-515436.95559023391</v>
      </c>
      <c r="U142" s="400" t="s">
        <v>118</v>
      </c>
      <c r="W142"/>
      <c r="X142"/>
      <c r="Y142"/>
      <c r="Z142"/>
      <c r="AA142"/>
      <c r="AB142"/>
      <c r="AC142"/>
      <c r="AD142"/>
    </row>
    <row r="143" spans="1:34" ht="15" customHeight="1">
      <c r="A143" s="4">
        <v>24</v>
      </c>
      <c r="B143" s="458" t="s">
        <v>166</v>
      </c>
      <c r="C143" s="106"/>
      <c r="D143" s="104"/>
      <c r="E143" s="104"/>
      <c r="F143" s="104" t="s">
        <v>205</v>
      </c>
      <c r="G143" s="105"/>
      <c r="H143" s="114"/>
      <c r="I143" s="105"/>
      <c r="J143" s="105"/>
      <c r="K143" s="105"/>
      <c r="L143" s="104"/>
      <c r="M143" s="104"/>
      <c r="N143" s="104"/>
      <c r="O143" s="104"/>
      <c r="P143" s="109">
        <f>SUM(AF118:AF119)/1000</f>
        <v>-708158.6251792307</v>
      </c>
      <c r="Q143" s="108">
        <f>'Separation Factors'!$B$50</f>
        <v>0.99378663145800572</v>
      </c>
      <c r="R143" s="109">
        <f t="shared" ref="R143:R149" si="13">+P143*Q143</f>
        <v>-703758.57465480012</v>
      </c>
      <c r="U143" s="400" t="s">
        <v>106</v>
      </c>
      <c r="W143"/>
      <c r="X143"/>
      <c r="Y143"/>
      <c r="Z143"/>
      <c r="AA143"/>
      <c r="AB143"/>
      <c r="AC143"/>
      <c r="AD143"/>
    </row>
    <row r="144" spans="1:34" ht="15" customHeight="1">
      <c r="A144" s="4">
        <v>25</v>
      </c>
      <c r="B144" s="458" t="s">
        <v>138</v>
      </c>
      <c r="C144" s="104"/>
      <c r="D144" s="104"/>
      <c r="E144" s="104"/>
      <c r="F144" s="104" t="s">
        <v>168</v>
      </c>
      <c r="G144" s="104"/>
      <c r="H144" s="104"/>
      <c r="I144" s="104"/>
      <c r="J144" s="104"/>
      <c r="K144" s="104"/>
      <c r="L144" s="104"/>
      <c r="M144" s="104"/>
      <c r="N144" s="104"/>
      <c r="O144" s="104"/>
      <c r="P144" s="109">
        <f>Z126/1000</f>
        <v>0</v>
      </c>
      <c r="Q144" s="115">
        <f>'Separation Factors'!$B$52</f>
        <v>1</v>
      </c>
      <c r="R144" s="109">
        <f t="shared" si="13"/>
        <v>0</v>
      </c>
      <c r="U144" s="400" t="s">
        <v>193</v>
      </c>
      <c r="X144"/>
      <c r="Z144"/>
      <c r="AA144"/>
      <c r="AB144"/>
      <c r="AC144"/>
      <c r="AD144"/>
    </row>
    <row r="145" spans="1:30" ht="15" customHeight="1">
      <c r="A145" s="4">
        <v>26</v>
      </c>
      <c r="B145" s="458" t="s">
        <v>169</v>
      </c>
      <c r="C145" s="106"/>
      <c r="D145" s="104"/>
      <c r="E145" s="104"/>
      <c r="F145" s="104" t="s">
        <v>194</v>
      </c>
      <c r="G145" s="105"/>
      <c r="H145" s="105"/>
      <c r="I145" s="105"/>
      <c r="J145" s="105"/>
      <c r="K145" s="105"/>
      <c r="L145" s="104"/>
      <c r="M145" s="104"/>
      <c r="N145" s="104"/>
      <c r="O145" s="104"/>
      <c r="P145" s="109">
        <f>AF122/1000</f>
        <v>-7484.8225899999998</v>
      </c>
      <c r="Q145" s="108">
        <f>$Q$123</f>
        <v>0.99451296220285568</v>
      </c>
      <c r="R145" s="109">
        <f t="shared" si="13"/>
        <v>-7443.7530855437499</v>
      </c>
      <c r="U145" s="400" t="s">
        <v>130</v>
      </c>
      <c r="X145"/>
      <c r="Z145"/>
      <c r="AA145"/>
      <c r="AB145"/>
      <c r="AC145"/>
      <c r="AD145"/>
    </row>
    <row r="146" spans="1:30" ht="15" customHeight="1">
      <c r="A146" s="4">
        <v>27</v>
      </c>
      <c r="B146" s="458" t="s">
        <v>169</v>
      </c>
      <c r="C146" s="106"/>
      <c r="D146" s="104"/>
      <c r="E146" s="104"/>
      <c r="F146" s="104" t="s">
        <v>171</v>
      </c>
      <c r="G146" s="105"/>
      <c r="H146" s="105"/>
      <c r="I146" s="105"/>
      <c r="J146" s="105"/>
      <c r="K146" s="105"/>
      <c r="L146" s="104"/>
      <c r="M146" s="104"/>
      <c r="N146" s="104"/>
      <c r="O146" s="104"/>
      <c r="P146" s="109">
        <f>AF123/1000</f>
        <v>7001.7195899999997</v>
      </c>
      <c r="Q146" s="108">
        <f>$Q$124</f>
        <v>0.99533018792854322</v>
      </c>
      <c r="R146" s="109">
        <f t="shared" si="13"/>
        <v>6969.0228753376623</v>
      </c>
      <c r="U146" s="400" t="s">
        <v>134</v>
      </c>
      <c r="X146"/>
      <c r="Z146"/>
      <c r="AA146"/>
      <c r="AB146"/>
      <c r="AC146"/>
      <c r="AD146"/>
    </row>
    <row r="147" spans="1:30" ht="15" customHeight="1">
      <c r="A147" s="4">
        <v>28</v>
      </c>
      <c r="B147" s="458" t="s">
        <v>172</v>
      </c>
      <c r="C147" s="103"/>
      <c r="D147" s="104"/>
      <c r="E147" s="104"/>
      <c r="F147" s="104" t="s">
        <v>173</v>
      </c>
      <c r="G147" s="105"/>
      <c r="H147" s="105"/>
      <c r="I147" s="105"/>
      <c r="J147" s="105"/>
      <c r="K147" s="105"/>
      <c r="L147" s="105"/>
      <c r="M147" s="105"/>
      <c r="N147" s="105"/>
      <c r="O147" s="105"/>
      <c r="P147" s="109">
        <f>AF124/1000</f>
        <v>-31496.68677476138</v>
      </c>
      <c r="Q147" s="108">
        <f>$Q$123</f>
        <v>0.99451296220285568</v>
      </c>
      <c r="R147" s="109">
        <f t="shared" si="13"/>
        <v>-31323.863263943447</v>
      </c>
      <c r="U147" s="400" t="s">
        <v>130</v>
      </c>
      <c r="X147"/>
      <c r="Z147"/>
      <c r="AA147"/>
      <c r="AB147"/>
      <c r="AC147"/>
      <c r="AD147"/>
    </row>
    <row r="148" spans="1:30" ht="15" customHeight="1">
      <c r="A148" s="4">
        <v>29</v>
      </c>
      <c r="B148" s="458" t="s">
        <v>131</v>
      </c>
      <c r="C148" s="110"/>
      <c r="D148" s="110"/>
      <c r="E148" s="110"/>
      <c r="F148" s="104" t="s">
        <v>174</v>
      </c>
      <c r="G148" s="110"/>
      <c r="H148" s="110"/>
      <c r="I148" s="110"/>
      <c r="J148" s="110"/>
      <c r="K148" s="110"/>
      <c r="L148" s="110"/>
      <c r="M148" s="110"/>
      <c r="N148" s="110"/>
      <c r="O148" s="110"/>
      <c r="P148" s="109">
        <f>Z129/1000</f>
        <v>33124.850296184726</v>
      </c>
      <c r="Q148" s="108">
        <f>$Q$121</f>
        <v>0.99473037840779521</v>
      </c>
      <c r="R148" s="109">
        <f t="shared" si="13"/>
        <v>32950.294869825397</v>
      </c>
      <c r="U148" s="400" t="s">
        <v>118</v>
      </c>
      <c r="X148"/>
      <c r="Z148"/>
      <c r="AA148"/>
      <c r="AB148"/>
      <c r="AC148"/>
      <c r="AD148"/>
    </row>
    <row r="149" spans="1:30" ht="15" customHeight="1">
      <c r="A149" s="4">
        <v>30</v>
      </c>
      <c r="B149" s="399" t="s">
        <v>175</v>
      </c>
      <c r="C149" s="110"/>
      <c r="D149" s="110"/>
      <c r="E149" s="110"/>
      <c r="F149" s="104" t="s">
        <v>195</v>
      </c>
      <c r="G149" s="110"/>
      <c r="H149" s="110"/>
      <c r="I149" s="110"/>
      <c r="J149" s="110"/>
      <c r="K149" s="110"/>
      <c r="L149" s="110"/>
      <c r="M149" s="110"/>
      <c r="N149" s="110"/>
      <c r="O149" s="110"/>
      <c r="P149" s="109">
        <f>Z120/1000</f>
        <v>-23213.120210000005</v>
      </c>
      <c r="Q149" s="108">
        <f>$Q$121</f>
        <v>0.99473037840779521</v>
      </c>
      <c r="R149" s="109">
        <f t="shared" si="13"/>
        <v>-23090.795850518942</v>
      </c>
      <c r="U149" s="400" t="s">
        <v>118</v>
      </c>
      <c r="X149"/>
      <c r="Z149"/>
      <c r="AA149"/>
      <c r="AB149"/>
      <c r="AC149"/>
      <c r="AD149"/>
    </row>
    <row r="150" spans="1:30" ht="15" customHeight="1">
      <c r="A150" s="4">
        <v>31</v>
      </c>
      <c r="U150" s="400"/>
      <c r="V150"/>
      <c r="W150"/>
      <c r="X150"/>
      <c r="Y150"/>
      <c r="Z150"/>
      <c r="AA150"/>
      <c r="AB150"/>
      <c r="AC150"/>
    </row>
    <row r="151" spans="1:30" ht="15" customHeight="1" thickBot="1">
      <c r="A151" s="4">
        <v>32</v>
      </c>
      <c r="B151" s="98" t="s">
        <v>179</v>
      </c>
      <c r="C151" s="14"/>
      <c r="D151" s="4"/>
      <c r="E151" s="4"/>
      <c r="F151" s="27"/>
      <c r="G151" s="27"/>
      <c r="H151" s="27"/>
      <c r="I151" s="27"/>
      <c r="J151" s="27"/>
      <c r="K151" s="27"/>
      <c r="L151" s="27"/>
      <c r="M151" s="27"/>
      <c r="N151" s="27"/>
      <c r="O151" s="4"/>
      <c r="P151" s="33">
        <f>SUM(P121:P150)</f>
        <v>-2088118.2269550133</v>
      </c>
      <c r="Q151" s="14"/>
      <c r="R151" s="33">
        <f>SUM(R121:R150)</f>
        <v>-2076140.0993005387</v>
      </c>
      <c r="S151" s="127"/>
      <c r="U151" s="400"/>
      <c r="X151"/>
      <c r="Y151"/>
      <c r="AA151"/>
      <c r="AB151"/>
      <c r="AC151"/>
    </row>
    <row r="152" spans="1:30" ht="15" customHeight="1" thickTop="1">
      <c r="A152" s="4">
        <v>33</v>
      </c>
      <c r="B152" s="35"/>
      <c r="C152" s="14"/>
      <c r="D152" s="4"/>
      <c r="E152" s="4"/>
      <c r="F152" s="27"/>
      <c r="G152" s="27"/>
      <c r="H152" s="27"/>
      <c r="I152" s="27"/>
      <c r="J152" s="27"/>
      <c r="K152" s="27"/>
      <c r="L152" s="27"/>
      <c r="M152" s="27"/>
      <c r="N152" s="27"/>
      <c r="O152" s="27"/>
      <c r="P152" s="4"/>
      <c r="Q152" s="27"/>
      <c r="T152" s="93"/>
      <c r="U152" s="347" t="s">
        <v>56</v>
      </c>
      <c r="V152" s="129"/>
      <c r="W152" s="130"/>
    </row>
    <row r="153" spans="1:30" ht="15" customHeight="1">
      <c r="A153" s="4">
        <v>34</v>
      </c>
      <c r="B153" s="35"/>
      <c r="C153" s="14"/>
      <c r="D153" s="4"/>
      <c r="E153" s="4"/>
      <c r="F153" s="27"/>
      <c r="G153" s="27"/>
      <c r="H153" s="27"/>
      <c r="I153" s="27"/>
      <c r="J153" s="27"/>
      <c r="K153" s="27"/>
      <c r="L153" s="27"/>
      <c r="M153" s="27"/>
      <c r="N153" s="27"/>
      <c r="O153" s="27"/>
      <c r="P153" s="27"/>
      <c r="Q153" s="27"/>
      <c r="U153" s="346"/>
      <c r="V153" s="348" t="s">
        <v>178</v>
      </c>
      <c r="W153" s="349" t="s">
        <v>98</v>
      </c>
    </row>
    <row r="154" spans="1:30" ht="15" customHeight="1">
      <c r="A154" s="4">
        <v>35</v>
      </c>
      <c r="B154" s="35"/>
      <c r="C154" s="14"/>
      <c r="D154" s="4"/>
      <c r="E154" s="4"/>
      <c r="F154" s="27"/>
      <c r="G154" s="27"/>
      <c r="H154" s="27"/>
      <c r="I154" s="27"/>
      <c r="J154" s="27"/>
      <c r="K154" s="27"/>
      <c r="L154" s="27"/>
      <c r="M154" s="27"/>
      <c r="N154" s="27"/>
      <c r="O154" s="27"/>
      <c r="P154" s="27"/>
      <c r="Q154" s="27"/>
      <c r="R154" s="27"/>
      <c r="T154" s="91"/>
      <c r="U154" s="346" t="s">
        <v>57</v>
      </c>
      <c r="V154" s="20">
        <f>SUM(Z131,AF126)/1000</f>
        <v>-2088118.2269550136</v>
      </c>
      <c r="W154" s="350">
        <f>SUM(AB131,AH126)/1000</f>
        <v>-2073617.7664643326</v>
      </c>
    </row>
    <row r="155" spans="1:30" ht="15" customHeight="1">
      <c r="A155" s="4">
        <v>36</v>
      </c>
      <c r="B155" s="35"/>
      <c r="C155" s="14"/>
      <c r="D155" s="4"/>
      <c r="E155" s="4"/>
      <c r="F155" s="27"/>
      <c r="G155" s="27"/>
      <c r="H155" s="27"/>
      <c r="I155" s="27"/>
      <c r="J155" s="27"/>
      <c r="K155" s="27"/>
      <c r="L155" s="27"/>
      <c r="M155" s="27"/>
      <c r="N155" s="27"/>
      <c r="O155" s="27"/>
      <c r="P155" s="91"/>
      <c r="Q155" s="27"/>
      <c r="U155" s="346" t="s">
        <v>64</v>
      </c>
      <c r="V155" s="25">
        <f>+P151</f>
        <v>-2088118.2269550133</v>
      </c>
      <c r="W155" s="351">
        <f>+R151</f>
        <v>-2076140.0993005387</v>
      </c>
    </row>
    <row r="156" spans="1:30" ht="15" customHeight="1">
      <c r="A156" s="4">
        <v>37</v>
      </c>
      <c r="B156" s="35"/>
      <c r="C156" s="14"/>
      <c r="D156" s="4"/>
      <c r="E156" s="4"/>
      <c r="F156" s="27"/>
      <c r="G156" s="27"/>
      <c r="H156" s="27"/>
      <c r="I156" s="27"/>
      <c r="J156" s="27"/>
      <c r="K156" s="27"/>
      <c r="L156" s="27"/>
      <c r="M156" s="27"/>
      <c r="N156" s="27"/>
      <c r="O156" s="27"/>
      <c r="P156" s="27"/>
      <c r="Q156" s="27"/>
      <c r="U156" s="346" t="s">
        <v>60</v>
      </c>
      <c r="V156" s="353">
        <f>+V154-V155</f>
        <v>0</v>
      </c>
      <c r="W156" s="354">
        <f>+W154-W155</f>
        <v>2522.3328362060711</v>
      </c>
    </row>
    <row r="157" spans="1:30" ht="15" customHeight="1">
      <c r="A157" s="4">
        <v>38</v>
      </c>
      <c r="B157" s="4"/>
      <c r="C157" s="4"/>
      <c r="D157" s="4"/>
      <c r="E157" s="4"/>
      <c r="F157" s="37"/>
      <c r="G157" s="37"/>
      <c r="H157" s="37"/>
      <c r="I157" s="37"/>
      <c r="J157" s="37"/>
      <c r="K157" s="37"/>
      <c r="L157" s="37"/>
      <c r="M157" s="37"/>
      <c r="N157" s="37"/>
      <c r="O157" s="37"/>
      <c r="P157" s="37"/>
      <c r="Q157" s="37"/>
      <c r="U157" s="131"/>
      <c r="V157" s="125"/>
      <c r="W157" s="132"/>
    </row>
    <row r="158" spans="1:30" ht="15" customHeight="1">
      <c r="A158" s="4">
        <v>39</v>
      </c>
      <c r="B158" s="4"/>
      <c r="C158" s="4"/>
      <c r="D158" s="4"/>
      <c r="E158" s="4"/>
      <c r="F158" s="37"/>
      <c r="G158" s="37"/>
      <c r="H158" s="37"/>
      <c r="I158" s="37"/>
      <c r="J158" s="37"/>
      <c r="K158" s="37"/>
      <c r="L158" s="37"/>
      <c r="M158" s="37"/>
      <c r="N158" s="37"/>
      <c r="O158" s="37"/>
      <c r="P158" s="37"/>
      <c r="Q158" s="37"/>
      <c r="S158" s="4"/>
    </row>
    <row r="159" spans="1:30" ht="15" customHeight="1" thickBot="1">
      <c r="A159" s="126">
        <v>40</v>
      </c>
      <c r="B159" s="57" t="s">
        <v>67</v>
      </c>
      <c r="C159" s="1"/>
      <c r="D159" s="1"/>
      <c r="E159" s="1"/>
      <c r="F159" s="99"/>
      <c r="G159" s="99"/>
      <c r="H159" s="99"/>
      <c r="I159" s="99"/>
      <c r="J159" s="99"/>
      <c r="K159" s="99"/>
      <c r="L159" s="99"/>
      <c r="M159" s="99"/>
      <c r="N159" s="99"/>
      <c r="O159" s="99"/>
      <c r="P159" s="99"/>
      <c r="Q159" s="99"/>
      <c r="R159" s="100"/>
      <c r="S159" s="4"/>
    </row>
    <row r="160" spans="1:30" ht="15" customHeight="1">
      <c r="A160" s="4" t="str">
        <f>$A$52</f>
        <v>Supporting Schedules:</v>
      </c>
      <c r="P160" s="37" t="str">
        <f>$P$52</f>
        <v>Recap Schedules: B-1</v>
      </c>
    </row>
  </sheetData>
  <mergeCells count="2">
    <mergeCell ref="X2:AH2"/>
    <mergeCell ref="X55:AH55"/>
  </mergeCells>
  <printOptions horizontalCentered="1"/>
  <pageMargins left="0.7" right="0.7" top="0.75" bottom="0.75" header="0.3" footer="0.3"/>
  <pageSetup paperSize="9" scale="65" orientation="landscape" r:id="rId1"/>
  <customProperties>
    <customPr name="EpmWorksheetKeyString_GUID" r:id="rId2"/>
    <customPr name="FPMExcelClientCellBasedFunctionStatus"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845E-DFA0-45E5-B7CD-5534130D9DD6}">
  <sheetPr>
    <tabColor theme="5" tint="0.39997558519241921"/>
  </sheetPr>
  <dimension ref="A1:D53"/>
  <sheetViews>
    <sheetView workbookViewId="0">
      <selection activeCell="B42" sqref="B42"/>
    </sheetView>
  </sheetViews>
  <sheetFormatPr defaultRowHeight="14.4"/>
  <cols>
    <col min="1" max="1" width="33.44140625" bestFit="1" customWidth="1"/>
    <col min="2" max="2" width="18" bestFit="1" customWidth="1"/>
    <col min="3" max="3" width="15.5546875" bestFit="1" customWidth="1"/>
  </cols>
  <sheetData>
    <row r="1" spans="1:4" ht="18">
      <c r="A1" s="786" t="s">
        <v>2261</v>
      </c>
      <c r="B1" s="786"/>
      <c r="C1" s="786"/>
      <c r="D1" s="133"/>
    </row>
    <row r="2" spans="1:4">
      <c r="A2" s="123" t="s">
        <v>2262</v>
      </c>
      <c r="B2">
        <v>0</v>
      </c>
      <c r="C2">
        <v>0</v>
      </c>
    </row>
    <row r="3" spans="1:4">
      <c r="A3" s="124" t="s">
        <v>2263</v>
      </c>
      <c r="B3" s="124" t="s">
        <v>2264</v>
      </c>
      <c r="C3" s="124" t="s">
        <v>2265</v>
      </c>
    </row>
    <row r="4" spans="1:4">
      <c r="A4" s="123" t="s">
        <v>2266</v>
      </c>
      <c r="B4">
        <v>1</v>
      </c>
      <c r="C4">
        <v>0</v>
      </c>
    </row>
    <row r="5" spans="1:4">
      <c r="A5" s="123" t="s">
        <v>2267</v>
      </c>
      <c r="B5">
        <v>0.99596900085169471</v>
      </c>
      <c r="C5">
        <v>4.030999148305292E-3</v>
      </c>
    </row>
    <row r="6" spans="1:4">
      <c r="A6" s="123" t="s">
        <v>1113</v>
      </c>
      <c r="B6">
        <v>0.99521215556035614</v>
      </c>
      <c r="C6">
        <v>4.7878444396438624E-3</v>
      </c>
    </row>
    <row r="7" spans="1:4">
      <c r="A7" s="123" t="s">
        <v>2268</v>
      </c>
      <c r="B7">
        <v>0.99393052372635127</v>
      </c>
      <c r="C7">
        <v>6.0694762736487329E-3</v>
      </c>
    </row>
    <row r="8" spans="1:4">
      <c r="A8" s="123" t="s">
        <v>2269</v>
      </c>
      <c r="B8">
        <v>0.99362001589380045</v>
      </c>
      <c r="C8">
        <v>6.3799841061995544E-3</v>
      </c>
    </row>
    <row r="9" spans="1:4">
      <c r="A9" s="123" t="s">
        <v>2270</v>
      </c>
      <c r="B9">
        <v>0.99375659576873066</v>
      </c>
      <c r="C9">
        <v>6.243404231269345E-3</v>
      </c>
    </row>
    <row r="10" spans="1:4">
      <c r="A10" s="124" t="s">
        <v>2271</v>
      </c>
      <c r="B10" s="125"/>
      <c r="C10" s="125"/>
    </row>
    <row r="11" spans="1:4">
      <c r="A11" s="123" t="s">
        <v>2272</v>
      </c>
      <c r="B11">
        <v>0.99375659576873032</v>
      </c>
      <c r="C11">
        <v>6.243404231269678E-3</v>
      </c>
    </row>
    <row r="12" spans="1:4">
      <c r="A12" s="123" t="s">
        <v>917</v>
      </c>
      <c r="B12">
        <v>0.97308399905836007</v>
      </c>
      <c r="C12">
        <v>2.6916000941639928E-2</v>
      </c>
    </row>
    <row r="13" spans="1:4">
      <c r="A13" s="123" t="s">
        <v>2273</v>
      </c>
      <c r="B13">
        <v>0.99452051267692876</v>
      </c>
      <c r="C13">
        <v>5.4794873230712415E-3</v>
      </c>
    </row>
    <row r="14" spans="1:4">
      <c r="A14" s="123" t="s">
        <v>106</v>
      </c>
      <c r="B14">
        <v>0.99133010795784193</v>
      </c>
      <c r="C14">
        <v>8.6698920421580672E-3</v>
      </c>
    </row>
    <row r="15" spans="1:4">
      <c r="A15" s="123" t="s">
        <v>2274</v>
      </c>
      <c r="B15">
        <v>0.9947495726877924</v>
      </c>
      <c r="C15">
        <v>5.2504273122075951E-3</v>
      </c>
    </row>
    <row r="16" spans="1:4">
      <c r="A16" s="123" t="s">
        <v>138</v>
      </c>
      <c r="B16">
        <v>1</v>
      </c>
      <c r="C16">
        <v>0</v>
      </c>
    </row>
    <row r="17" spans="1:3">
      <c r="A17" s="123" t="s">
        <v>2275</v>
      </c>
      <c r="B17">
        <v>0.52029999999999998</v>
      </c>
      <c r="C17">
        <v>0</v>
      </c>
    </row>
    <row r="19" spans="1:3" ht="18">
      <c r="A19" s="786" t="s">
        <v>2276</v>
      </c>
      <c r="B19" s="786"/>
      <c r="C19" s="786"/>
    </row>
    <row r="20" spans="1:3">
      <c r="A20" s="123" t="s">
        <v>2262</v>
      </c>
      <c r="B20">
        <v>0</v>
      </c>
      <c r="C20">
        <v>0</v>
      </c>
    </row>
    <row r="21" spans="1:3">
      <c r="A21" s="124" t="s">
        <v>2263</v>
      </c>
      <c r="B21" s="124" t="s">
        <v>2264</v>
      </c>
      <c r="C21" s="124" t="s">
        <v>2265</v>
      </c>
    </row>
    <row r="22" spans="1:3">
      <c r="A22" s="123" t="s">
        <v>2266</v>
      </c>
      <c r="B22">
        <v>1</v>
      </c>
      <c r="C22">
        <v>0</v>
      </c>
    </row>
    <row r="23" spans="1:3">
      <c r="A23" s="123" t="s">
        <v>2267</v>
      </c>
      <c r="B23">
        <v>0.99652172734565003</v>
      </c>
      <c r="C23">
        <v>0</v>
      </c>
    </row>
    <row r="24" spans="1:3">
      <c r="A24" s="123" t="s">
        <v>1113</v>
      </c>
      <c r="B24">
        <v>0.99507560535919914</v>
      </c>
      <c r="C24">
        <v>0</v>
      </c>
    </row>
    <row r="25" spans="1:3">
      <c r="A25" s="123" t="s">
        <v>2268</v>
      </c>
      <c r="B25">
        <v>0.9939399236163432</v>
      </c>
      <c r="C25">
        <v>0</v>
      </c>
    </row>
    <row r="26" spans="1:3">
      <c r="A26" s="123" t="s">
        <v>2269</v>
      </c>
      <c r="B26">
        <v>0.99278109503320833</v>
      </c>
      <c r="C26">
        <v>0</v>
      </c>
    </row>
    <row r="27" spans="1:3">
      <c r="A27" s="123" t="s">
        <v>2270</v>
      </c>
      <c r="B27">
        <v>0</v>
      </c>
      <c r="C27">
        <v>0</v>
      </c>
    </row>
    <row r="28" spans="1:3">
      <c r="A28" s="124" t="s">
        <v>2271</v>
      </c>
      <c r="B28" s="125"/>
      <c r="C28" s="125"/>
    </row>
    <row r="29" spans="1:3">
      <c r="A29" s="123" t="s">
        <v>2272</v>
      </c>
      <c r="B29">
        <v>0.99359794138244795</v>
      </c>
      <c r="C29">
        <v>0</v>
      </c>
    </row>
    <row r="30" spans="1:3">
      <c r="A30" s="123" t="s">
        <v>917</v>
      </c>
      <c r="B30">
        <v>0.97449817681201212</v>
      </c>
      <c r="C30">
        <v>0</v>
      </c>
    </row>
    <row r="31" spans="1:3">
      <c r="A31" s="123" t="s">
        <v>2273</v>
      </c>
      <c r="B31">
        <v>0.99473037840779521</v>
      </c>
      <c r="C31">
        <v>0</v>
      </c>
    </row>
    <row r="32" spans="1:3">
      <c r="A32" s="123" t="s">
        <v>106</v>
      </c>
      <c r="B32">
        <v>0.99686119589968791</v>
      </c>
      <c r="C32">
        <v>0</v>
      </c>
    </row>
    <row r="33" spans="1:3">
      <c r="A33" s="123" t="s">
        <v>2274</v>
      </c>
      <c r="B33">
        <v>0.99460837539996072</v>
      </c>
      <c r="C33">
        <v>0</v>
      </c>
    </row>
    <row r="34" spans="1:3">
      <c r="A34" s="123" t="s">
        <v>138</v>
      </c>
      <c r="B34">
        <v>1</v>
      </c>
      <c r="C34">
        <v>0</v>
      </c>
    </row>
    <row r="35" spans="1:3">
      <c r="A35" s="123" t="s">
        <v>2275</v>
      </c>
      <c r="B35">
        <v>0.53979999999999995</v>
      </c>
      <c r="C35">
        <v>0</v>
      </c>
    </row>
    <row r="37" spans="1:3" ht="18">
      <c r="A37" s="786" t="s">
        <v>2277</v>
      </c>
      <c r="B37" s="786"/>
      <c r="C37" s="786"/>
    </row>
    <row r="38" spans="1:3">
      <c r="A38" s="123" t="s">
        <v>2262</v>
      </c>
      <c r="B38">
        <v>0</v>
      </c>
      <c r="C38">
        <v>0</v>
      </c>
    </row>
    <row r="39" spans="1:3">
      <c r="A39" s="124" t="s">
        <v>2263</v>
      </c>
      <c r="B39" s="124" t="s">
        <v>2264</v>
      </c>
      <c r="C39" s="124" t="s">
        <v>2265</v>
      </c>
    </row>
    <row r="40" spans="1:3">
      <c r="A40" s="123" t="s">
        <v>2266</v>
      </c>
      <c r="B40">
        <v>1</v>
      </c>
      <c r="C40">
        <v>0</v>
      </c>
    </row>
    <row r="41" spans="1:3">
      <c r="A41" s="123" t="s">
        <v>2267</v>
      </c>
      <c r="B41">
        <v>0.99729032490967606</v>
      </c>
      <c r="C41">
        <v>0</v>
      </c>
    </row>
    <row r="42" spans="1:3">
      <c r="A42" s="123" t="s">
        <v>1113</v>
      </c>
      <c r="B42">
        <v>0.99607960060513745</v>
      </c>
      <c r="C42">
        <v>0</v>
      </c>
    </row>
    <row r="43" spans="1:3">
      <c r="A43" s="123" t="s">
        <v>2268</v>
      </c>
      <c r="B43">
        <v>0.99482743406556395</v>
      </c>
      <c r="C43">
        <v>0</v>
      </c>
    </row>
    <row r="44" spans="1:3">
      <c r="A44" s="123" t="s">
        <v>2269</v>
      </c>
      <c r="B44">
        <v>0.98034565409783847</v>
      </c>
      <c r="C44">
        <v>0</v>
      </c>
    </row>
    <row r="45" spans="1:3">
      <c r="A45" s="123" t="s">
        <v>2270</v>
      </c>
      <c r="B45">
        <v>0</v>
      </c>
      <c r="C45">
        <v>0</v>
      </c>
    </row>
    <row r="46" spans="1:3">
      <c r="A46" s="124" t="s">
        <v>2271</v>
      </c>
      <c r="B46" s="125"/>
      <c r="C46" s="125"/>
    </row>
    <row r="47" spans="1:3">
      <c r="A47" s="123" t="s">
        <v>2272</v>
      </c>
      <c r="B47">
        <v>0.99451296220285568</v>
      </c>
      <c r="C47">
        <v>0</v>
      </c>
    </row>
    <row r="48" spans="1:3">
      <c r="A48" s="123" t="s">
        <v>917</v>
      </c>
      <c r="B48">
        <v>0.97897700849918134</v>
      </c>
      <c r="C48">
        <v>0</v>
      </c>
    </row>
    <row r="49" spans="1:3">
      <c r="A49" s="123" t="s">
        <v>2273</v>
      </c>
      <c r="B49" s="666">
        <v>0.99655866997400888</v>
      </c>
      <c r="C49">
        <v>0</v>
      </c>
    </row>
    <row r="50" spans="1:3">
      <c r="A50" s="123" t="s">
        <v>106</v>
      </c>
      <c r="B50">
        <v>0.99378663145800572</v>
      </c>
      <c r="C50">
        <v>0</v>
      </c>
    </row>
    <row r="51" spans="1:3">
      <c r="A51" s="123" t="s">
        <v>2274</v>
      </c>
      <c r="B51">
        <v>0.99533018792854322</v>
      </c>
      <c r="C51">
        <v>0</v>
      </c>
    </row>
    <row r="52" spans="1:3">
      <c r="A52" s="123" t="s">
        <v>138</v>
      </c>
      <c r="B52">
        <v>1</v>
      </c>
      <c r="C52">
        <v>0</v>
      </c>
    </row>
    <row r="53" spans="1:3">
      <c r="A53" s="123" t="s">
        <v>2275</v>
      </c>
      <c r="B53">
        <v>0.54010000000000002</v>
      </c>
      <c r="C53">
        <v>0</v>
      </c>
    </row>
  </sheetData>
  <mergeCells count="3">
    <mergeCell ref="A19:C19"/>
    <mergeCell ref="A1:C1"/>
    <mergeCell ref="A37:C37"/>
  </mergeCells>
  <pageMargins left="0.7" right="0.7" top="0.75" bottom="0.75" header="0.3" footer="0.3"/>
  <customProperties>
    <customPr name="EpmWorksheetKeyString_GUID" r:id="rId1"/>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AACF4-1F46-45BD-936E-DB0B07CFE0F7}">
  <sheetPr>
    <tabColor rgb="FFE1FFE1"/>
  </sheetPr>
  <dimension ref="A2:R51"/>
  <sheetViews>
    <sheetView zoomScale="80" zoomScaleNormal="80" workbookViewId="0">
      <selection activeCell="E28" sqref="E28"/>
    </sheetView>
  </sheetViews>
  <sheetFormatPr defaultRowHeight="14.4"/>
  <cols>
    <col min="1" max="1" width="15.5546875" customWidth="1"/>
    <col min="2" max="2" width="17.44140625" style="198" customWidth="1"/>
    <col min="3" max="3" width="19" style="198" customWidth="1"/>
    <col min="4" max="6" width="14.88671875" style="198" customWidth="1"/>
    <col min="7" max="7" width="14.88671875" customWidth="1"/>
    <col min="8" max="8" width="15.44140625" bestFit="1" customWidth="1"/>
    <col min="9" max="9" width="16.44140625" bestFit="1" customWidth="1"/>
    <col min="11" max="11" width="13.44140625" customWidth="1"/>
    <col min="12" max="14" width="16.109375" customWidth="1"/>
    <col min="15" max="17" width="19.44140625" customWidth="1"/>
    <col min="18" max="18" width="3.44140625" style="569" customWidth="1"/>
  </cols>
  <sheetData>
    <row r="2" spans="1:18">
      <c r="C2" s="512">
        <v>9409200</v>
      </c>
      <c r="L2" s="512">
        <v>9408200</v>
      </c>
    </row>
    <row r="3" spans="1:18">
      <c r="B3" s="787" t="s">
        <v>2278</v>
      </c>
      <c r="C3" s="198" t="s">
        <v>2279</v>
      </c>
      <c r="K3" s="787" t="s">
        <v>2278</v>
      </c>
      <c r="L3" s="198" t="s">
        <v>2279</v>
      </c>
    </row>
    <row r="4" spans="1:18" ht="14.4" customHeight="1">
      <c r="B4" s="788"/>
      <c r="C4" s="514" t="s">
        <v>2280</v>
      </c>
      <c r="D4" s="514" t="s">
        <v>178</v>
      </c>
      <c r="E4" s="514" t="s">
        <v>2281</v>
      </c>
      <c r="F4" s="514" t="s">
        <v>2282</v>
      </c>
      <c r="G4" s="125" t="s">
        <v>2283</v>
      </c>
      <c r="H4" s="514" t="s">
        <v>2284</v>
      </c>
      <c r="I4" s="514" t="s">
        <v>2285</v>
      </c>
      <c r="K4" s="788"/>
      <c r="L4" s="514">
        <v>6900065</v>
      </c>
      <c r="M4" s="514" t="s">
        <v>2286</v>
      </c>
      <c r="N4" s="125" t="s">
        <v>2283</v>
      </c>
      <c r="O4" s="514" t="s">
        <v>2284</v>
      </c>
      <c r="P4" s="514" t="s">
        <v>2285</v>
      </c>
      <c r="Q4" s="198"/>
    </row>
    <row r="5" spans="1:18">
      <c r="Q5" s="199" t="s">
        <v>2287</v>
      </c>
    </row>
    <row r="6" spans="1:18" ht="14.4" customHeight="1">
      <c r="A6" s="212">
        <v>44558</v>
      </c>
      <c r="B6" s="570">
        <v>1837735.3600000024</v>
      </c>
      <c r="C6" s="570">
        <v>876736.84000000008</v>
      </c>
      <c r="D6" s="570"/>
      <c r="E6" s="570">
        <v>172559</v>
      </c>
      <c r="F6" s="570">
        <v>47824</v>
      </c>
      <c r="G6" s="216">
        <v>2934855.2000000025</v>
      </c>
      <c r="H6" s="216">
        <v>2386295.2800000026</v>
      </c>
      <c r="I6" s="216">
        <v>1683169.0992307714</v>
      </c>
      <c r="J6" s="216"/>
      <c r="K6" s="520">
        <v>8999.5600000000122</v>
      </c>
      <c r="L6" s="520">
        <v>-9000</v>
      </c>
      <c r="M6" s="520"/>
      <c r="N6" s="520">
        <v>-0.43999999998777639</v>
      </c>
      <c r="O6" s="520">
        <v>4499.5600000000122</v>
      </c>
      <c r="P6" s="520">
        <v>-37385.055384615378</v>
      </c>
      <c r="Q6" s="572">
        <v>2934854.7600000026</v>
      </c>
      <c r="R6" s="569">
        <v>3</v>
      </c>
    </row>
    <row r="7" spans="1:18" ht="14.4" customHeight="1">
      <c r="A7" s="212">
        <v>44592</v>
      </c>
      <c r="B7" s="242">
        <v>2934855.2000000025</v>
      </c>
      <c r="C7" s="499">
        <v>-120335.49</v>
      </c>
      <c r="D7" s="242"/>
      <c r="E7" s="242">
        <v>0</v>
      </c>
      <c r="F7" s="242">
        <v>0</v>
      </c>
      <c r="G7" s="216">
        <v>2814519.7100000023</v>
      </c>
      <c r="H7" s="216">
        <v>2874687.4550000024</v>
      </c>
      <c r="I7" s="216">
        <v>1795022.1884615407</v>
      </c>
      <c r="J7" s="216"/>
      <c r="K7" s="216">
        <v>-0.43999999998777639</v>
      </c>
      <c r="L7" s="215">
        <v>-9000</v>
      </c>
      <c r="M7" s="216"/>
      <c r="N7" s="216">
        <v>-9000.4399999999878</v>
      </c>
      <c r="O7" s="216">
        <v>-4500.4399999999878</v>
      </c>
      <c r="P7" s="216">
        <v>-38077.363076923073</v>
      </c>
      <c r="Q7" s="573">
        <v>2805519.2700000023</v>
      </c>
      <c r="R7" s="569">
        <v>4</v>
      </c>
    </row>
    <row r="8" spans="1:18" ht="14.4" customHeight="1">
      <c r="A8" s="212">
        <v>44620</v>
      </c>
      <c r="B8" s="478">
        <v>2814519.7100000023</v>
      </c>
      <c r="C8" s="478">
        <v>-110813.98</v>
      </c>
      <c r="D8" s="244"/>
      <c r="E8" s="244">
        <v>0</v>
      </c>
      <c r="F8" s="244">
        <v>0</v>
      </c>
      <c r="G8" s="215">
        <v>2703705.7300000023</v>
      </c>
      <c r="H8" s="215">
        <v>2759112.7200000025</v>
      </c>
      <c r="I8" s="215">
        <v>1885466.2584615408</v>
      </c>
      <c r="J8" s="215"/>
      <c r="K8" s="500">
        <v>-9000.4399999999878</v>
      </c>
      <c r="L8" s="215">
        <v>-9000</v>
      </c>
      <c r="M8" s="215"/>
      <c r="N8" s="216">
        <v>-18000.439999999988</v>
      </c>
      <c r="O8" s="216">
        <v>-13500.439999999988</v>
      </c>
      <c r="P8" s="216">
        <v>-38769.670769230768</v>
      </c>
      <c r="Q8" s="573">
        <v>2685705.2900000024</v>
      </c>
      <c r="R8" s="569">
        <v>5</v>
      </c>
    </row>
    <row r="9" spans="1:18" ht="14.4" customHeight="1">
      <c r="A9" s="212">
        <v>44650</v>
      </c>
      <c r="B9" s="478">
        <v>2703705.7300000023</v>
      </c>
      <c r="C9" s="478">
        <v>-37332.68</v>
      </c>
      <c r="D9" s="244"/>
      <c r="E9" s="244">
        <v>-1257163</v>
      </c>
      <c r="F9" s="244">
        <v>0</v>
      </c>
      <c r="G9" s="215">
        <v>1409210.0500000021</v>
      </c>
      <c r="H9" s="215">
        <v>2056457.8900000022</v>
      </c>
      <c r="I9" s="215">
        <v>1903584.0707692329</v>
      </c>
      <c r="J9" s="215"/>
      <c r="K9" s="500">
        <v>-18000.439999999988</v>
      </c>
      <c r="L9" s="215">
        <v>-9000</v>
      </c>
      <c r="M9" s="215"/>
      <c r="N9" s="216">
        <v>-27000.439999999988</v>
      </c>
      <c r="O9" s="216">
        <v>-22500.439999999988</v>
      </c>
      <c r="P9" s="216">
        <v>-39461.978461538456</v>
      </c>
      <c r="Q9" s="573">
        <v>1382209.6100000022</v>
      </c>
      <c r="R9" s="569">
        <v>6</v>
      </c>
    </row>
    <row r="10" spans="1:18" ht="14.4" customHeight="1">
      <c r="A10" s="212">
        <v>44681</v>
      </c>
      <c r="B10" s="478">
        <v>1409210.0500000021</v>
      </c>
      <c r="C10" s="478">
        <v>-115415.57999999999</v>
      </c>
      <c r="D10" s="244"/>
      <c r="E10" s="244">
        <v>231272</v>
      </c>
      <c r="F10" s="244">
        <v>-208705</v>
      </c>
      <c r="G10" s="215">
        <v>1316361.4700000021</v>
      </c>
      <c r="H10" s="215">
        <v>1362785.7600000021</v>
      </c>
      <c r="I10" s="215">
        <v>1903145.6092307717</v>
      </c>
      <c r="J10" s="215"/>
      <c r="K10" s="500">
        <v>-27000.439999999988</v>
      </c>
      <c r="L10" s="215">
        <v>-9000</v>
      </c>
      <c r="M10" s="215"/>
      <c r="N10" s="216">
        <v>-36000.439999999988</v>
      </c>
      <c r="O10" s="216">
        <v>-31500.439999999988</v>
      </c>
      <c r="P10" s="216">
        <v>-40154.286153846151</v>
      </c>
      <c r="Q10" s="573">
        <v>1280361.0300000021</v>
      </c>
      <c r="R10" s="569">
        <v>7</v>
      </c>
    </row>
    <row r="11" spans="1:18" ht="14.4" customHeight="1">
      <c r="A11" s="212">
        <v>44711</v>
      </c>
      <c r="B11" s="478">
        <v>1316361.4700000021</v>
      </c>
      <c r="C11" s="478">
        <v>-100327.48999999999</v>
      </c>
      <c r="D11" s="244"/>
      <c r="E11" s="244">
        <v>0</v>
      </c>
      <c r="F11" s="244">
        <v>0</v>
      </c>
      <c r="G11" s="215">
        <v>1216033.9800000021</v>
      </c>
      <c r="H11" s="215">
        <v>1266197.725000002</v>
      </c>
      <c r="I11" s="215">
        <v>1864504.7353846175</v>
      </c>
      <c r="J11" s="215"/>
      <c r="K11" s="500">
        <v>-36000.439999999988</v>
      </c>
      <c r="L11" s="215">
        <v>-9000</v>
      </c>
      <c r="M11" s="215"/>
      <c r="N11" s="216">
        <v>-45000.439999999988</v>
      </c>
      <c r="O11" s="216">
        <v>-40500.439999999988</v>
      </c>
      <c r="P11" s="216">
        <v>-40846.593846153846</v>
      </c>
      <c r="Q11" s="573">
        <v>1171033.5400000021</v>
      </c>
      <c r="R11" s="569">
        <v>9</v>
      </c>
    </row>
    <row r="12" spans="1:18" ht="14.4" customHeight="1">
      <c r="A12" s="212">
        <v>44742</v>
      </c>
      <c r="B12" s="571">
        <v>1216033.9800000021</v>
      </c>
      <c r="C12" s="475">
        <v>-53438.850000000006</v>
      </c>
      <c r="D12" s="242"/>
      <c r="E12" s="242">
        <v>189167</v>
      </c>
      <c r="F12" s="242">
        <v>52428</v>
      </c>
      <c r="G12" s="216">
        <v>1404190.130000002</v>
      </c>
      <c r="H12" s="216">
        <v>1310112.055000002</v>
      </c>
      <c r="I12" s="216">
        <v>1837996.436923079</v>
      </c>
      <c r="J12" s="216"/>
      <c r="K12" s="476">
        <v>-45000.439999999988</v>
      </c>
      <c r="L12" s="218">
        <v>-9000</v>
      </c>
      <c r="M12" s="216"/>
      <c r="N12" s="216">
        <v>-54000.439999999988</v>
      </c>
      <c r="O12" s="216">
        <v>-49500.439999999988</v>
      </c>
      <c r="P12" s="216">
        <v>-41538.901538461534</v>
      </c>
      <c r="Q12" s="573">
        <v>1350189.690000002</v>
      </c>
      <c r="R12" s="569">
        <v>9</v>
      </c>
    </row>
    <row r="13" spans="1:18" ht="14.4" customHeight="1">
      <c r="A13" s="212">
        <v>44772</v>
      </c>
      <c r="B13" s="571">
        <v>1404190.130000002</v>
      </c>
      <c r="C13" s="475">
        <v>-101525.68000000001</v>
      </c>
      <c r="D13" s="242"/>
      <c r="E13" s="242">
        <v>0</v>
      </c>
      <c r="F13" s="242">
        <v>0</v>
      </c>
      <c r="G13" s="216">
        <v>1302664.450000002</v>
      </c>
      <c r="H13" s="216">
        <v>1353427.2900000019</v>
      </c>
      <c r="I13" s="216">
        <v>1804497.7992307714</v>
      </c>
      <c r="J13" s="216"/>
      <c r="K13" s="502">
        <v>-54000.439999999988</v>
      </c>
      <c r="L13" s="218">
        <v>-9000</v>
      </c>
      <c r="M13" s="216"/>
      <c r="N13" s="216">
        <v>-63000.439999999988</v>
      </c>
      <c r="O13" s="216">
        <v>-58500.439999999988</v>
      </c>
      <c r="P13" s="216">
        <v>-42231.209230769229</v>
      </c>
      <c r="Q13" s="573">
        <v>1239664.0100000021</v>
      </c>
      <c r="R13" s="569">
        <v>10</v>
      </c>
    </row>
    <row r="14" spans="1:18" ht="14.4" customHeight="1">
      <c r="A14" s="212">
        <v>44803</v>
      </c>
      <c r="B14" s="571">
        <v>1302664.450000002</v>
      </c>
      <c r="C14" s="475">
        <v>-89393.34</v>
      </c>
      <c r="D14" s="242"/>
      <c r="E14" s="242">
        <v>0</v>
      </c>
      <c r="F14" s="242">
        <v>0</v>
      </c>
      <c r="G14" s="216">
        <v>1213271.110000002</v>
      </c>
      <c r="H14" s="216">
        <v>1257967.7800000021</v>
      </c>
      <c r="I14" s="216">
        <v>1773302.6738461563</v>
      </c>
      <c r="J14" s="216"/>
      <c r="K14" s="502">
        <v>-63000.439999999988</v>
      </c>
      <c r="L14" s="218">
        <v>-9000</v>
      </c>
      <c r="M14" s="216"/>
      <c r="N14" s="216">
        <v>-72000.439999999988</v>
      </c>
      <c r="O14" s="216">
        <v>-67500.439999999988</v>
      </c>
      <c r="P14" s="216">
        <v>-42923.516923076924</v>
      </c>
      <c r="Q14" s="573">
        <v>1141270.670000002</v>
      </c>
      <c r="R14" s="569">
        <v>11</v>
      </c>
    </row>
    <row r="15" spans="1:18" ht="14.4" customHeight="1">
      <c r="A15" s="212">
        <v>44834</v>
      </c>
      <c r="B15" s="571">
        <v>1213271.110000002</v>
      </c>
      <c r="C15" s="475">
        <v>-112289.26999999999</v>
      </c>
      <c r="D15" s="242"/>
      <c r="E15" s="242">
        <v>211042</v>
      </c>
      <c r="F15" s="242">
        <v>58489</v>
      </c>
      <c r="G15" s="216">
        <v>1370512.8400000019</v>
      </c>
      <c r="H15" s="216">
        <v>1291891.975000002</v>
      </c>
      <c r="I15" s="216">
        <v>1757864.5007692336</v>
      </c>
      <c r="J15" s="216"/>
      <c r="K15" s="502">
        <v>-72000.439999999988</v>
      </c>
      <c r="L15" s="218">
        <v>-9000</v>
      </c>
      <c r="M15" s="216"/>
      <c r="N15" s="216">
        <v>-81000.439999999988</v>
      </c>
      <c r="O15" s="216">
        <v>-76500.439999999988</v>
      </c>
      <c r="P15" s="216">
        <v>-43615.824615384612</v>
      </c>
      <c r="Q15" s="573">
        <v>1289512.400000002</v>
      </c>
      <c r="R15" s="569">
        <v>12</v>
      </c>
    </row>
    <row r="16" spans="1:18" ht="14.4" customHeight="1">
      <c r="A16" s="212">
        <v>44864</v>
      </c>
      <c r="B16" s="571">
        <v>1370512.8400000019</v>
      </c>
      <c r="C16" s="475">
        <v>1178187.3699999999</v>
      </c>
      <c r="D16" s="242"/>
      <c r="E16" s="242">
        <v>0</v>
      </c>
      <c r="F16" s="242">
        <v>0</v>
      </c>
      <c r="G16" s="216">
        <v>2548700.2100000018</v>
      </c>
      <c r="H16" s="216">
        <v>1959606.5250000018</v>
      </c>
      <c r="I16" s="216">
        <v>1820948.7715384639</v>
      </c>
      <c r="J16" s="216"/>
      <c r="K16" s="502">
        <v>-81000.439999999988</v>
      </c>
      <c r="L16" s="218">
        <v>-9000</v>
      </c>
      <c r="M16" s="216"/>
      <c r="N16" s="216">
        <v>-90000.439999999988</v>
      </c>
      <c r="O16" s="216">
        <v>-85500.439999999988</v>
      </c>
      <c r="P16" s="216">
        <v>-44308.1323076923</v>
      </c>
      <c r="Q16" s="573">
        <v>2458699.7700000019</v>
      </c>
      <c r="R16" s="569">
        <v>14</v>
      </c>
    </row>
    <row r="17" spans="1:18" ht="14.4" customHeight="1">
      <c r="A17" s="212">
        <v>44895</v>
      </c>
      <c r="B17" s="571">
        <v>2548700.2100000018</v>
      </c>
      <c r="C17" s="475">
        <v>-119957.78</v>
      </c>
      <c r="D17" s="242"/>
      <c r="E17" s="242">
        <v>0</v>
      </c>
      <c r="F17" s="242">
        <v>0</v>
      </c>
      <c r="G17" s="216">
        <v>2428742.430000002</v>
      </c>
      <c r="H17" s="216">
        <v>2488721.3200000022</v>
      </c>
      <c r="I17" s="216">
        <v>1884654.0515384639</v>
      </c>
      <c r="J17" s="216"/>
      <c r="K17" s="502">
        <v>-90000.439999999988</v>
      </c>
      <c r="L17" s="218">
        <v>-9000</v>
      </c>
      <c r="M17" s="216"/>
      <c r="N17" s="216">
        <v>-99000.439999999988</v>
      </c>
      <c r="O17" s="216">
        <v>-94500.439999999988</v>
      </c>
      <c r="P17" s="216">
        <v>-45000.439999999988</v>
      </c>
      <c r="Q17" s="573">
        <v>2329741.9900000021</v>
      </c>
      <c r="R17" s="569">
        <v>13</v>
      </c>
    </row>
    <row r="18" spans="1:18">
      <c r="A18" s="212">
        <v>44925</v>
      </c>
      <c r="B18" s="571">
        <v>2428742.430000002</v>
      </c>
      <c r="C18" s="475">
        <v>-2938727.19</v>
      </c>
      <c r="D18" s="242"/>
      <c r="E18" s="242">
        <v>240870</v>
      </c>
      <c r="F18" s="242">
        <v>66757</v>
      </c>
      <c r="G18" s="216">
        <v>-202357.75999999791</v>
      </c>
      <c r="H18" s="216">
        <v>1113192.3350000021</v>
      </c>
      <c r="I18" s="216">
        <v>1727723.8115384639</v>
      </c>
      <c r="J18" s="216"/>
      <c r="K18" s="502">
        <v>-99000.439999999988</v>
      </c>
      <c r="L18" s="218">
        <v>-9000</v>
      </c>
      <c r="M18" s="216"/>
      <c r="N18" s="216">
        <v>-108000.43999999999</v>
      </c>
      <c r="O18" s="216">
        <v>-103500.43999999999</v>
      </c>
      <c r="P18" s="216">
        <v>-54000.439999999988</v>
      </c>
      <c r="Q18" s="573">
        <v>-310358.19999999792</v>
      </c>
      <c r="R18" s="569">
        <v>14</v>
      </c>
    </row>
    <row r="19" spans="1:18">
      <c r="R19" s="569">
        <v>1</v>
      </c>
    </row>
    <row r="25" spans="1:18">
      <c r="A25" s="184" t="s">
        <v>2288</v>
      </c>
    </row>
    <row r="26" spans="1:18">
      <c r="A26" s="184" t="s">
        <v>2289</v>
      </c>
    </row>
    <row r="27" spans="1:18">
      <c r="A27" s="184" t="s">
        <v>2290</v>
      </c>
    </row>
    <row r="29" spans="1:18">
      <c r="A29" s="789" t="s">
        <v>2291</v>
      </c>
      <c r="B29" s="790"/>
      <c r="C29" s="791"/>
    </row>
    <row r="30" spans="1:18">
      <c r="A30" s="792" t="s">
        <v>2292</v>
      </c>
      <c r="B30" s="793"/>
      <c r="C30" s="794"/>
      <c r="D30" s="528"/>
    </row>
    <row r="31" spans="1:18">
      <c r="A31" s="226" t="s">
        <v>2293</v>
      </c>
      <c r="B31" s="227"/>
      <c r="C31" s="231">
        <v>-54000.439999999988</v>
      </c>
    </row>
    <row r="32" spans="1:18">
      <c r="A32" s="226" t="s">
        <v>2294</v>
      </c>
      <c r="B32" s="227"/>
      <c r="C32" s="238">
        <v>-103500.43999999999</v>
      </c>
    </row>
    <row r="33" spans="1:3">
      <c r="A33" s="226" t="s">
        <v>2295</v>
      </c>
      <c r="B33" s="227"/>
      <c r="C33" s="239">
        <v>-108000.43999999999</v>
      </c>
    </row>
    <row r="34" spans="1:3">
      <c r="A34" s="226" t="s">
        <v>2296</v>
      </c>
      <c r="B34" s="227"/>
      <c r="C34" s="239">
        <v>-202357.75999999791</v>
      </c>
    </row>
    <row r="35" spans="1:3">
      <c r="A35" s="226" t="s">
        <v>2297</v>
      </c>
      <c r="B35" s="227"/>
      <c r="C35" s="239">
        <v>1113192.3350000021</v>
      </c>
    </row>
    <row r="36" spans="1:3">
      <c r="A36" s="236" t="s">
        <v>2298</v>
      </c>
      <c r="B36" s="237"/>
      <c r="C36" s="231">
        <v>1727723.8115384639</v>
      </c>
    </row>
    <row r="44" spans="1:3" ht="14.4" hidden="1" customHeight="1"/>
    <row r="45" spans="1:3" ht="14.4" hidden="1" customHeight="1"/>
    <row r="46" spans="1:3" ht="14.4" hidden="1" customHeight="1"/>
    <row r="47" spans="1:3" ht="14.4" hidden="1" customHeight="1"/>
    <row r="48" spans="1:3" ht="14.4" hidden="1" customHeight="1"/>
    <row r="49" ht="14.4" hidden="1" customHeight="1"/>
    <row r="50" ht="14.4" hidden="1" customHeight="1"/>
    <row r="51" ht="14.4" hidden="1" customHeight="1"/>
  </sheetData>
  <mergeCells count="4">
    <mergeCell ref="B3:B4"/>
    <mergeCell ref="K3:K4"/>
    <mergeCell ref="A29:C29"/>
    <mergeCell ref="A30:C30"/>
  </mergeCells>
  <pageMargins left="0.7" right="0.7" top="0.75" bottom="0.75" header="0.3" footer="0.3"/>
  <pageSetup orientation="portrait" r:id="rId1"/>
  <customProperties>
    <customPr name="EpmWorksheetKeyString_GU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C16C3-6C5E-49A9-B8C3-05A6070C069F}">
  <sheetPr>
    <tabColor rgb="FFE1FFE1"/>
  </sheetPr>
  <dimension ref="A2:R58"/>
  <sheetViews>
    <sheetView zoomScale="80" zoomScaleNormal="80" workbookViewId="0">
      <selection activeCell="Q6" sqref="Q6:Q18"/>
    </sheetView>
  </sheetViews>
  <sheetFormatPr defaultRowHeight="14.4"/>
  <cols>
    <col min="1" max="1" width="15.5546875" customWidth="1"/>
    <col min="2" max="2" width="17.44140625" style="198" customWidth="1"/>
    <col min="3" max="3" width="19" style="198" customWidth="1"/>
    <col min="4" max="6" width="14.88671875" style="198" customWidth="1"/>
    <col min="7" max="7" width="15.5546875" bestFit="1" customWidth="1"/>
    <col min="8" max="8" width="16.88671875" bestFit="1" customWidth="1"/>
    <col min="9" max="9" width="18" bestFit="1" customWidth="1"/>
    <col min="11" max="11" width="13.44140625" customWidth="1"/>
    <col min="12" max="14" width="16.109375" customWidth="1"/>
    <col min="15" max="17" width="19.44140625" customWidth="1"/>
    <col min="18" max="18" width="3.44140625" style="513" customWidth="1"/>
  </cols>
  <sheetData>
    <row r="2" spans="1:17">
      <c r="C2" s="512">
        <v>9409200</v>
      </c>
      <c r="L2" s="512">
        <v>9408200</v>
      </c>
    </row>
    <row r="3" spans="1:17">
      <c r="B3" s="787" t="s">
        <v>2278</v>
      </c>
      <c r="C3" s="198" t="s">
        <v>2279</v>
      </c>
      <c r="K3" s="787" t="s">
        <v>2278</v>
      </c>
      <c r="L3" s="198" t="s">
        <v>2279</v>
      </c>
    </row>
    <row r="4" spans="1:17" ht="14.4" customHeight="1">
      <c r="B4" s="788"/>
      <c r="C4" s="514" t="s">
        <v>2280</v>
      </c>
      <c r="D4" s="514" t="s">
        <v>178</v>
      </c>
      <c r="E4" s="514" t="s">
        <v>2281</v>
      </c>
      <c r="F4" s="514" t="s">
        <v>2282</v>
      </c>
      <c r="G4" s="125" t="s">
        <v>2283</v>
      </c>
      <c r="H4" s="514" t="s">
        <v>2284</v>
      </c>
      <c r="I4" s="514" t="s">
        <v>2285</v>
      </c>
      <c r="K4" s="788"/>
      <c r="L4" s="514">
        <v>6900065</v>
      </c>
      <c r="M4" s="514" t="s">
        <v>2286</v>
      </c>
      <c r="N4" s="125" t="s">
        <v>2283</v>
      </c>
      <c r="O4" s="514" t="s">
        <v>2284</v>
      </c>
      <c r="P4" s="514" t="s">
        <v>2285</v>
      </c>
      <c r="Q4" s="198"/>
    </row>
    <row r="5" spans="1:17">
      <c r="Q5" s="199" t="s">
        <v>2287</v>
      </c>
    </row>
    <row r="6" spans="1:17" hidden="1">
      <c r="A6" s="212">
        <v>44197</v>
      </c>
      <c r="B6" s="515">
        <v>1360429.5500000021</v>
      </c>
      <c r="C6" s="516">
        <v>167503.27000000002</v>
      </c>
      <c r="D6" s="242"/>
      <c r="E6" s="242"/>
      <c r="F6" s="242"/>
      <c r="G6" s="216">
        <v>1527932.8200000022</v>
      </c>
      <c r="H6" s="216">
        <v>1444181.1850000022</v>
      </c>
      <c r="I6" s="216">
        <v>390906.75153846381</v>
      </c>
      <c r="J6" s="216"/>
      <c r="K6" s="517">
        <v>-0.43999999998777639</v>
      </c>
      <c r="L6" s="218">
        <v>-9000</v>
      </c>
      <c r="M6" s="216"/>
      <c r="N6" s="216">
        <v>-9000.4399999999878</v>
      </c>
      <c r="O6" s="216">
        <v>-4500.4399999999878</v>
      </c>
      <c r="P6" s="216">
        <v>-38077.363076923073</v>
      </c>
      <c r="Q6" s="205">
        <f>SUM(G6,N6)</f>
        <v>1518932.3800000022</v>
      </c>
    </row>
    <row r="7" spans="1:17" hidden="1">
      <c r="A7" s="212">
        <v>44228</v>
      </c>
      <c r="B7" s="515">
        <v>1527932.8200000022</v>
      </c>
      <c r="C7" s="516">
        <v>-354254.32999999996</v>
      </c>
      <c r="G7" s="216">
        <v>1173678.4900000021</v>
      </c>
      <c r="H7" s="216">
        <v>1350805.6550000021</v>
      </c>
      <c r="I7" s="216">
        <v>439345.66153846373</v>
      </c>
      <c r="K7" s="517">
        <v>-9000.4399999999878</v>
      </c>
      <c r="L7" s="218">
        <v>-9000</v>
      </c>
      <c r="N7" s="216">
        <v>-18000.439999999988</v>
      </c>
      <c r="O7" s="216">
        <v>-13500.439999999988</v>
      </c>
      <c r="P7" s="216">
        <v>-38769.670769230768</v>
      </c>
      <c r="Q7" s="205">
        <f t="shared" ref="Q7:Q41" si="0">SUM(G7,N7)</f>
        <v>1155678.0500000021</v>
      </c>
    </row>
    <row r="8" spans="1:17" hidden="1">
      <c r="A8" s="212">
        <v>44256</v>
      </c>
      <c r="B8" s="515">
        <v>1173678.4900000021</v>
      </c>
      <c r="C8" s="516">
        <v>-86453.01999999999</v>
      </c>
      <c r="E8" s="518">
        <v>234836</v>
      </c>
      <c r="G8" s="216">
        <v>1322061.4700000021</v>
      </c>
      <c r="H8" s="216">
        <v>1247869.9800000021</v>
      </c>
      <c r="I8" s="216">
        <v>500850.51230769447</v>
      </c>
      <c r="K8" s="517">
        <v>-18000.439999999988</v>
      </c>
      <c r="L8" s="218">
        <v>-9000</v>
      </c>
      <c r="N8" s="216">
        <v>-27000.439999999988</v>
      </c>
      <c r="O8" s="216">
        <v>-22500.439999999988</v>
      </c>
      <c r="P8" s="216">
        <v>-39461.978461538456</v>
      </c>
      <c r="Q8" s="205">
        <f t="shared" si="0"/>
        <v>1295061.0300000021</v>
      </c>
    </row>
    <row r="9" spans="1:17" hidden="1">
      <c r="A9" s="212">
        <v>44287</v>
      </c>
      <c r="B9" s="515">
        <v>1322061.4700000021</v>
      </c>
      <c r="C9" s="516">
        <v>-85734.12999999999</v>
      </c>
      <c r="E9" s="519">
        <v>326472</v>
      </c>
      <c r="F9" s="519">
        <v>155566</v>
      </c>
      <c r="G9" s="216">
        <v>1718365.3400000022</v>
      </c>
      <c r="H9" s="216">
        <v>1520213.4050000021</v>
      </c>
      <c r="I9" s="216">
        <v>625402.71769230987</v>
      </c>
      <c r="K9" s="517">
        <v>-27000.439999999988</v>
      </c>
      <c r="L9" s="218">
        <v>-9000</v>
      </c>
      <c r="N9" s="216">
        <v>-36000.439999999988</v>
      </c>
      <c r="O9" s="216">
        <v>-31500.439999999988</v>
      </c>
      <c r="P9" s="216">
        <v>-40154.286153846151</v>
      </c>
      <c r="Q9" s="205">
        <f t="shared" si="0"/>
        <v>1682364.9000000022</v>
      </c>
    </row>
    <row r="10" spans="1:17" hidden="1">
      <c r="A10" s="212">
        <v>44317</v>
      </c>
      <c r="B10" s="515">
        <v>1718365.3400000022</v>
      </c>
      <c r="C10" s="516">
        <v>30432.67</v>
      </c>
      <c r="E10" s="519"/>
      <c r="F10" s="519"/>
      <c r="G10" s="216">
        <v>1748798.0100000021</v>
      </c>
      <c r="H10" s="216">
        <v>1733581.6750000021</v>
      </c>
      <c r="I10" s="216">
        <v>748087.02153846365</v>
      </c>
      <c r="K10" s="517">
        <v>-36000.439999999988</v>
      </c>
      <c r="L10" s="218">
        <v>-9000</v>
      </c>
      <c r="N10" s="216">
        <v>-45000.439999999988</v>
      </c>
      <c r="O10" s="216">
        <v>-40500.439999999988</v>
      </c>
      <c r="P10" s="216">
        <v>-40846.593846153846</v>
      </c>
      <c r="Q10" s="205">
        <f t="shared" si="0"/>
        <v>1703797.5700000022</v>
      </c>
    </row>
    <row r="11" spans="1:17" hidden="1">
      <c r="A11" s="212">
        <v>44348</v>
      </c>
      <c r="B11" s="515">
        <v>1748798.0100000021</v>
      </c>
      <c r="C11" s="516">
        <v>-158447.27000000002</v>
      </c>
      <c r="E11" s="519">
        <v>115723</v>
      </c>
      <c r="F11" s="519">
        <v>32073</v>
      </c>
      <c r="G11" s="216">
        <v>1738146.7400000021</v>
      </c>
      <c r="H11" s="216">
        <v>1743472.3750000021</v>
      </c>
      <c r="I11" s="216">
        <v>870356.94384615601</v>
      </c>
      <c r="K11" s="517">
        <v>-45000.439999999988</v>
      </c>
      <c r="L11" s="218">
        <v>-9000</v>
      </c>
      <c r="N11" s="216">
        <v>-54000.439999999988</v>
      </c>
      <c r="O11" s="216">
        <v>-49500.439999999988</v>
      </c>
      <c r="P11" s="216">
        <v>-41538.901538461534</v>
      </c>
      <c r="Q11" s="205">
        <f t="shared" si="0"/>
        <v>1684146.3000000021</v>
      </c>
    </row>
    <row r="12" spans="1:17" hidden="1">
      <c r="A12" s="212">
        <v>44378</v>
      </c>
      <c r="B12" s="515">
        <v>1738146.7400000021</v>
      </c>
      <c r="C12" s="516">
        <v>-119339</v>
      </c>
      <c r="E12" s="519"/>
      <c r="F12" s="519"/>
      <c r="G12" s="216">
        <v>1618807.7400000021</v>
      </c>
      <c r="H12" s="216">
        <v>1678477.2400000021</v>
      </c>
      <c r="I12" s="216">
        <v>979157.55230769445</v>
      </c>
      <c r="K12" s="517">
        <v>-54000.439999999988</v>
      </c>
      <c r="L12" s="218">
        <v>-9000</v>
      </c>
      <c r="N12" s="216">
        <v>-63000.439999999988</v>
      </c>
      <c r="O12" s="216">
        <v>-58500.439999999988</v>
      </c>
      <c r="P12" s="216">
        <v>-42231.209230769229</v>
      </c>
      <c r="Q12" s="205">
        <f t="shared" si="0"/>
        <v>1555807.3000000021</v>
      </c>
    </row>
    <row r="13" spans="1:17" hidden="1">
      <c r="A13" s="212">
        <v>44409</v>
      </c>
      <c r="B13" s="515">
        <v>1618807.7400000021</v>
      </c>
      <c r="C13" s="516">
        <v>-47598.649999999994</v>
      </c>
      <c r="E13" s="519"/>
      <c r="F13" s="519"/>
      <c r="G13" s="216">
        <v>1571209.0900000022</v>
      </c>
      <c r="H13" s="216">
        <v>1595008.4150000021</v>
      </c>
      <c r="I13" s="216">
        <v>1089871.7384615405</v>
      </c>
      <c r="K13" s="517">
        <v>-63000.439999999988</v>
      </c>
      <c r="L13" s="218">
        <v>-9000</v>
      </c>
      <c r="N13" s="216">
        <v>-72000.439999999988</v>
      </c>
      <c r="O13" s="216">
        <v>-67500.439999999988</v>
      </c>
      <c r="P13" s="216">
        <v>-42923.516923076924</v>
      </c>
      <c r="Q13" s="205">
        <f t="shared" si="0"/>
        <v>1499208.6500000022</v>
      </c>
    </row>
    <row r="14" spans="1:17" hidden="1">
      <c r="A14" s="212">
        <v>44440</v>
      </c>
      <c r="B14" s="515">
        <v>1571209.0900000022</v>
      </c>
      <c r="C14" s="516">
        <v>-32804.400000000001</v>
      </c>
      <c r="E14" s="519">
        <v>148926</v>
      </c>
      <c r="F14" s="519">
        <v>41274</v>
      </c>
      <c r="G14" s="216">
        <v>1728604.6900000023</v>
      </c>
      <c r="H14" s="216">
        <v>1649906.8900000022</v>
      </c>
      <c r="I14" s="216">
        <v>1217319.3315384637</v>
      </c>
      <c r="K14" s="517">
        <v>-72000.439999999988</v>
      </c>
      <c r="L14" s="218">
        <v>-9000</v>
      </c>
      <c r="N14" s="216">
        <v>-81000.439999999988</v>
      </c>
      <c r="O14" s="216">
        <v>-76500.439999999988</v>
      </c>
      <c r="P14" s="216">
        <v>-43615.824615384612</v>
      </c>
      <c r="Q14" s="205">
        <f t="shared" si="0"/>
        <v>1647604.2500000023</v>
      </c>
    </row>
    <row r="15" spans="1:17" hidden="1">
      <c r="A15" s="212">
        <v>44470</v>
      </c>
      <c r="B15" s="515">
        <v>1728604.6900000023</v>
      </c>
      <c r="C15" s="516">
        <v>-128030.9</v>
      </c>
      <c r="E15" s="519"/>
      <c r="F15" s="519"/>
      <c r="G15" s="216">
        <v>1600573.7900000024</v>
      </c>
      <c r="H15" s="216">
        <v>1664589.2400000023</v>
      </c>
      <c r="I15" s="216">
        <v>1336872.9092307712</v>
      </c>
      <c r="K15" s="517">
        <v>-81000.439999999988</v>
      </c>
      <c r="L15" s="218">
        <v>-9000</v>
      </c>
      <c r="N15" s="216">
        <v>-90000.439999999988</v>
      </c>
      <c r="O15" s="216">
        <v>-85500.439999999988</v>
      </c>
      <c r="P15" s="216">
        <v>-44308.1323076923</v>
      </c>
      <c r="Q15" s="205">
        <f t="shared" si="0"/>
        <v>1510573.3500000024</v>
      </c>
    </row>
    <row r="16" spans="1:17" hidden="1">
      <c r="A16" s="212">
        <v>44501</v>
      </c>
      <c r="B16" s="515">
        <v>1600573.7900000024</v>
      </c>
      <c r="C16" s="516">
        <v>237161.57</v>
      </c>
      <c r="E16" s="519"/>
      <c r="F16" s="519"/>
      <c r="G16" s="216">
        <v>1837735.3600000024</v>
      </c>
      <c r="H16" s="216">
        <v>1719154.5750000025</v>
      </c>
      <c r="I16" s="216">
        <v>1464796.5115384636</v>
      </c>
      <c r="K16" s="517">
        <v>-90000.439999999988</v>
      </c>
      <c r="L16" s="218">
        <v>-9000</v>
      </c>
      <c r="M16" s="520">
        <v>108000</v>
      </c>
      <c r="N16" s="216">
        <v>8999.5600000000122</v>
      </c>
      <c r="O16" s="216">
        <v>-40500.439999999988</v>
      </c>
      <c r="P16" s="216">
        <v>-36692.747692307683</v>
      </c>
      <c r="Q16" s="205">
        <f t="shared" si="0"/>
        <v>1846734.9200000025</v>
      </c>
    </row>
    <row r="17" spans="1:18" s="525" customFormat="1" hidden="1">
      <c r="A17" s="503">
        <v>44531</v>
      </c>
      <c r="B17" s="521">
        <v>1837735.3600000024</v>
      </c>
      <c r="C17" s="522">
        <v>876736.84000000008</v>
      </c>
      <c r="D17" s="523"/>
      <c r="E17" s="524">
        <v>172559</v>
      </c>
      <c r="F17" s="524">
        <v>47824</v>
      </c>
      <c r="G17" s="507">
        <v>2934855.2000000025</v>
      </c>
      <c r="H17" s="507">
        <v>2386295.2800000026</v>
      </c>
      <c r="I17" s="507">
        <v>1683169.0992307714</v>
      </c>
      <c r="K17" s="526">
        <v>8999.5600000000122</v>
      </c>
      <c r="L17" s="509">
        <v>-9000</v>
      </c>
      <c r="M17" s="526"/>
      <c r="N17" s="507">
        <v>-0.43999999998777639</v>
      </c>
      <c r="O17" s="507">
        <v>4499.5600000000122</v>
      </c>
      <c r="P17" s="507">
        <v>-37385.055384615378</v>
      </c>
      <c r="Q17" s="529">
        <f t="shared" si="0"/>
        <v>2934854.7600000026</v>
      </c>
      <c r="R17" s="525">
        <v>3</v>
      </c>
    </row>
    <row r="18" spans="1:18">
      <c r="A18" s="212">
        <v>44592</v>
      </c>
      <c r="B18" s="242">
        <v>2934855.2000000025</v>
      </c>
      <c r="C18" s="499">
        <v>-120335.49</v>
      </c>
      <c r="D18" s="242"/>
      <c r="E18" s="242">
        <v>0</v>
      </c>
      <c r="F18" s="242">
        <v>0</v>
      </c>
      <c r="G18" s="216">
        <v>2814519.7100000023</v>
      </c>
      <c r="H18" s="216">
        <v>2874687.4550000024</v>
      </c>
      <c r="I18" s="216">
        <v>1795022.1884615407</v>
      </c>
      <c r="J18" s="216"/>
      <c r="K18" s="216">
        <v>-0.43999999998777639</v>
      </c>
      <c r="L18" s="215">
        <v>-9000</v>
      </c>
      <c r="M18" s="216"/>
      <c r="N18" s="216">
        <v>-9000.4399999999878</v>
      </c>
      <c r="O18" s="216">
        <v>-4500.4399999999878</v>
      </c>
      <c r="P18" s="216">
        <v>-38077.363076923073</v>
      </c>
      <c r="Q18" s="205">
        <f t="shared" si="0"/>
        <v>2805519.2700000023</v>
      </c>
      <c r="R18" s="513">
        <v>4</v>
      </c>
    </row>
    <row r="19" spans="1:18">
      <c r="A19" s="212">
        <v>44620</v>
      </c>
      <c r="B19" s="478">
        <v>2814519.7100000023</v>
      </c>
      <c r="C19" s="478">
        <v>-110813.98</v>
      </c>
      <c r="D19" s="244"/>
      <c r="E19" s="244">
        <v>0</v>
      </c>
      <c r="F19" s="244">
        <v>0</v>
      </c>
      <c r="G19" s="216">
        <v>2703705.7300000023</v>
      </c>
      <c r="H19" s="216">
        <v>2759112.7200000025</v>
      </c>
      <c r="I19" s="216">
        <v>1885466.2584615408</v>
      </c>
      <c r="J19" s="215"/>
      <c r="K19" s="500">
        <v>-9000.4399999999878</v>
      </c>
      <c r="L19" s="215">
        <v>-9000</v>
      </c>
      <c r="M19" s="215"/>
      <c r="N19" s="216">
        <v>-18000.439999999988</v>
      </c>
      <c r="O19" s="216">
        <v>-13500.439999999988</v>
      </c>
      <c r="P19" s="216">
        <v>-38769.670769230768</v>
      </c>
      <c r="Q19" s="205">
        <f t="shared" si="0"/>
        <v>2685705.2900000024</v>
      </c>
      <c r="R19" s="513">
        <v>5</v>
      </c>
    </row>
    <row r="20" spans="1:18">
      <c r="A20" s="212">
        <v>44650</v>
      </c>
      <c r="B20" s="478">
        <v>2703705.7300000023</v>
      </c>
      <c r="C20" s="478">
        <v>-37332.68</v>
      </c>
      <c r="D20" s="244"/>
      <c r="E20" s="501">
        <v>-1018403</v>
      </c>
      <c r="F20" s="244">
        <v>0</v>
      </c>
      <c r="G20" s="216">
        <v>1647970.0500000021</v>
      </c>
      <c r="H20" s="216">
        <v>2175837.8900000025</v>
      </c>
      <c r="I20" s="216">
        <v>1921950.2246153867</v>
      </c>
      <c r="J20" s="215"/>
      <c r="K20" s="500">
        <v>-18000.439999999988</v>
      </c>
      <c r="L20" s="215">
        <v>-9000</v>
      </c>
      <c r="M20" s="215"/>
      <c r="N20" s="216">
        <v>-27000.439999999988</v>
      </c>
      <c r="O20" s="216">
        <v>-22500.439999999988</v>
      </c>
      <c r="P20" s="216">
        <v>-39461.978461538456</v>
      </c>
      <c r="Q20" s="205">
        <f t="shared" si="0"/>
        <v>1620969.6100000022</v>
      </c>
      <c r="R20" s="513">
        <v>6</v>
      </c>
    </row>
    <row r="21" spans="1:18">
      <c r="A21" s="212">
        <v>44681</v>
      </c>
      <c r="B21" s="478">
        <v>1647970.0500000021</v>
      </c>
      <c r="C21" s="478">
        <v>-115415.57999999999</v>
      </c>
      <c r="D21" s="244"/>
      <c r="E21" s="244">
        <v>231272</v>
      </c>
      <c r="F21" s="501">
        <v>-116387</v>
      </c>
      <c r="G21" s="216">
        <v>1647439.4700000021</v>
      </c>
      <c r="H21" s="216">
        <v>1647704.7600000021</v>
      </c>
      <c r="I21" s="216">
        <v>1946979.3015384639</v>
      </c>
      <c r="J21" s="215"/>
      <c r="K21" s="500">
        <v>-27000.439999999988</v>
      </c>
      <c r="L21" s="215">
        <v>-9000</v>
      </c>
      <c r="M21" s="215"/>
      <c r="N21" s="216">
        <v>-36000.439999999988</v>
      </c>
      <c r="O21" s="216">
        <v>-31500.439999999988</v>
      </c>
      <c r="P21" s="216">
        <v>-40154.286153846151</v>
      </c>
      <c r="Q21" s="205">
        <f t="shared" si="0"/>
        <v>1611439.0300000021</v>
      </c>
      <c r="R21" s="513">
        <v>7</v>
      </c>
    </row>
    <row r="22" spans="1:18">
      <c r="A22" s="212">
        <v>44711</v>
      </c>
      <c r="B22" s="478">
        <v>1647439.4700000021</v>
      </c>
      <c r="C22" s="478">
        <v>-100327.48999999999</v>
      </c>
      <c r="D22" s="244"/>
      <c r="E22" s="244">
        <v>0</v>
      </c>
      <c r="F22" s="244">
        <v>0</v>
      </c>
      <c r="G22" s="216">
        <v>1547111.9800000021</v>
      </c>
      <c r="H22" s="216">
        <v>1597275.725000002</v>
      </c>
      <c r="I22" s="216">
        <v>1933805.9661538485</v>
      </c>
      <c r="J22" s="215"/>
      <c r="K22" s="500">
        <v>-36000.439999999988</v>
      </c>
      <c r="L22" s="215">
        <v>-9000</v>
      </c>
      <c r="M22" s="215"/>
      <c r="N22" s="216">
        <v>-45000.439999999988</v>
      </c>
      <c r="O22" s="216">
        <v>-40500.439999999988</v>
      </c>
      <c r="P22" s="216">
        <v>-40846.593846153846</v>
      </c>
      <c r="Q22" s="205">
        <f t="shared" si="0"/>
        <v>1502111.5400000021</v>
      </c>
      <c r="R22" s="513">
        <v>9</v>
      </c>
    </row>
    <row r="23" spans="1:18">
      <c r="A23" s="212">
        <v>44742</v>
      </c>
      <c r="B23" s="478">
        <v>1547111.9800000021</v>
      </c>
      <c r="C23" s="475">
        <v>-53438.850000000006</v>
      </c>
      <c r="D23" s="242"/>
      <c r="E23" s="242">
        <v>189167</v>
      </c>
      <c r="F23" s="242">
        <v>52428</v>
      </c>
      <c r="G23" s="216">
        <v>1735268.130000002</v>
      </c>
      <c r="H23" s="216">
        <v>1641190.055000002</v>
      </c>
      <c r="I23" s="216">
        <v>1932765.2061538482</v>
      </c>
      <c r="J23" s="216"/>
      <c r="K23" s="476">
        <v>-45000.439999999988</v>
      </c>
      <c r="L23" s="218">
        <v>-9000</v>
      </c>
      <c r="M23" s="216"/>
      <c r="N23" s="216">
        <v>-54000.439999999988</v>
      </c>
      <c r="O23" s="216">
        <v>-49500.439999999988</v>
      </c>
      <c r="P23" s="216">
        <v>-41538.901538461534</v>
      </c>
      <c r="Q23" s="205">
        <f t="shared" si="0"/>
        <v>1681267.690000002</v>
      </c>
      <c r="R23" s="513">
        <v>9</v>
      </c>
    </row>
    <row r="24" spans="1:18">
      <c r="A24" s="212">
        <v>44772</v>
      </c>
      <c r="B24" s="478">
        <v>1735268.130000002</v>
      </c>
      <c r="C24" s="475">
        <v>-101525.68000000001</v>
      </c>
      <c r="D24" s="242"/>
      <c r="E24" s="242">
        <v>0</v>
      </c>
      <c r="F24" s="242">
        <v>0</v>
      </c>
      <c r="G24" s="216">
        <v>1633742.450000002</v>
      </c>
      <c r="H24" s="216">
        <v>1684505.2900000019</v>
      </c>
      <c r="I24" s="216">
        <v>1924734.1069230789</v>
      </c>
      <c r="J24" s="216"/>
      <c r="K24" s="502">
        <v>-54000.439999999988</v>
      </c>
      <c r="L24" s="218">
        <v>-9000</v>
      </c>
      <c r="M24" s="216"/>
      <c r="N24" s="216">
        <v>-63000.439999999988</v>
      </c>
      <c r="O24" s="216">
        <v>-58500.439999999988</v>
      </c>
      <c r="P24" s="216">
        <v>-42231.209230769229</v>
      </c>
      <c r="Q24" s="205">
        <f t="shared" si="0"/>
        <v>1570742.0100000021</v>
      </c>
      <c r="R24" s="513">
        <v>10</v>
      </c>
    </row>
    <row r="25" spans="1:18">
      <c r="A25" s="212">
        <v>44803</v>
      </c>
      <c r="B25" s="478">
        <v>1633742.450000002</v>
      </c>
      <c r="C25" s="475">
        <v>-89393.34</v>
      </c>
      <c r="D25" s="242"/>
      <c r="E25" s="242">
        <v>0</v>
      </c>
      <c r="F25" s="242">
        <v>0</v>
      </c>
      <c r="G25" s="216">
        <v>1544349.110000002</v>
      </c>
      <c r="H25" s="216">
        <v>1589045.7800000021</v>
      </c>
      <c r="I25" s="216">
        <v>1919006.5200000023</v>
      </c>
      <c r="J25" s="216"/>
      <c r="K25" s="502">
        <v>-63000.439999999988</v>
      </c>
      <c r="L25" s="218">
        <v>-9000</v>
      </c>
      <c r="M25" s="216"/>
      <c r="N25" s="216">
        <v>-72000.439999999988</v>
      </c>
      <c r="O25" s="216">
        <v>-67500.439999999988</v>
      </c>
      <c r="P25" s="216">
        <v>-42923.516923076924</v>
      </c>
      <c r="Q25" s="205">
        <f t="shared" si="0"/>
        <v>1472348.670000002</v>
      </c>
      <c r="R25" s="513">
        <v>11</v>
      </c>
    </row>
    <row r="26" spans="1:18">
      <c r="A26" s="212">
        <v>44834</v>
      </c>
      <c r="B26" s="478">
        <v>1544349.110000002</v>
      </c>
      <c r="C26" s="475">
        <v>-112289.26999999999</v>
      </c>
      <c r="D26" s="242"/>
      <c r="E26" s="242">
        <v>211042</v>
      </c>
      <c r="F26" s="242">
        <v>58489</v>
      </c>
      <c r="G26" s="216">
        <v>1701590.8400000019</v>
      </c>
      <c r="H26" s="216">
        <v>1622969.975000002</v>
      </c>
      <c r="I26" s="216">
        <v>1929035.8853846178</v>
      </c>
      <c r="J26" s="216"/>
      <c r="K26" s="502">
        <v>-72000.439999999988</v>
      </c>
      <c r="L26" s="218">
        <v>-9000</v>
      </c>
      <c r="M26" s="216"/>
      <c r="N26" s="216">
        <v>-81000.439999999988</v>
      </c>
      <c r="O26" s="216">
        <v>-76500.439999999988</v>
      </c>
      <c r="P26" s="216">
        <v>-43615.824615384612</v>
      </c>
      <c r="Q26" s="205">
        <f t="shared" si="0"/>
        <v>1620590.400000002</v>
      </c>
      <c r="R26" s="513">
        <v>12</v>
      </c>
    </row>
    <row r="27" spans="1:18">
      <c r="A27" s="212">
        <v>44864</v>
      </c>
      <c r="B27" s="478">
        <v>1701590.8400000019</v>
      </c>
      <c r="C27" s="475">
        <v>1178187.3699999999</v>
      </c>
      <c r="D27" s="242"/>
      <c r="E27" s="242">
        <v>0</v>
      </c>
      <c r="F27" s="242">
        <v>0</v>
      </c>
      <c r="G27" s="216">
        <v>2879778.2100000018</v>
      </c>
      <c r="H27" s="216">
        <v>2290684.5250000018</v>
      </c>
      <c r="I27" s="216">
        <v>2017587.6946153869</v>
      </c>
      <c r="J27" s="216"/>
      <c r="K27" s="502">
        <v>-81000.439999999988</v>
      </c>
      <c r="L27" s="218">
        <v>-9000</v>
      </c>
      <c r="M27" s="216"/>
      <c r="N27" s="216">
        <v>-90000.439999999988</v>
      </c>
      <c r="O27" s="216">
        <v>-85500.439999999988</v>
      </c>
      <c r="P27" s="216">
        <v>-44308.1323076923</v>
      </c>
      <c r="Q27" s="205">
        <f t="shared" si="0"/>
        <v>2789777.7700000019</v>
      </c>
      <c r="R27" s="513">
        <v>14</v>
      </c>
    </row>
    <row r="28" spans="1:18">
      <c r="A28" s="212">
        <v>44895</v>
      </c>
      <c r="B28" s="478">
        <v>2879778.2100000018</v>
      </c>
      <c r="C28" s="475">
        <v>-119957.78</v>
      </c>
      <c r="D28" s="242"/>
      <c r="E28" s="242">
        <v>0</v>
      </c>
      <c r="F28" s="242">
        <v>0</v>
      </c>
      <c r="G28" s="216">
        <v>2759820.430000002</v>
      </c>
      <c r="H28" s="216">
        <v>2819799.3200000022</v>
      </c>
      <c r="I28" s="216">
        <v>2106760.5130769257</v>
      </c>
      <c r="J28" s="216"/>
      <c r="K28" s="502">
        <v>-90000.439999999988</v>
      </c>
      <c r="L28" s="218">
        <v>-9000</v>
      </c>
      <c r="M28" s="216"/>
      <c r="N28" s="216">
        <v>-99000.439999999988</v>
      </c>
      <c r="O28" s="216">
        <v>-94500.439999999988</v>
      </c>
      <c r="P28" s="216">
        <v>-45000.439999999988</v>
      </c>
      <c r="Q28" s="205">
        <f t="shared" si="0"/>
        <v>2660819.9900000021</v>
      </c>
      <c r="R28" s="513">
        <v>13</v>
      </c>
    </row>
    <row r="29" spans="1:18" s="525" customFormat="1">
      <c r="A29" s="503">
        <v>44925</v>
      </c>
      <c r="B29" s="504">
        <v>2759820.430000002</v>
      </c>
      <c r="C29" s="505">
        <v>-2938727.19</v>
      </c>
      <c r="D29" s="506"/>
      <c r="E29" s="506">
        <v>240870</v>
      </c>
      <c r="F29" s="506">
        <v>66757</v>
      </c>
      <c r="G29" s="507">
        <v>128720.24000000209</v>
      </c>
      <c r="H29" s="507">
        <v>1444270.3350000021</v>
      </c>
      <c r="I29" s="507">
        <v>1975297.8115384642</v>
      </c>
      <c r="J29" s="507"/>
      <c r="K29" s="508">
        <v>-99000.439999999988</v>
      </c>
      <c r="L29" s="509">
        <v>-9000</v>
      </c>
      <c r="M29" s="507">
        <v>108000</v>
      </c>
      <c r="N29" s="507">
        <v>-0.43999999998777639</v>
      </c>
      <c r="O29" s="507">
        <v>-49500.439999999988</v>
      </c>
      <c r="P29" s="507">
        <v>-45692.747692307683</v>
      </c>
      <c r="Q29" s="211">
        <f t="shared" si="0"/>
        <v>128719.8000000021</v>
      </c>
      <c r="R29" s="525">
        <v>14</v>
      </c>
    </row>
    <row r="30" spans="1:18">
      <c r="A30" s="212">
        <v>44956</v>
      </c>
      <c r="B30" s="478">
        <v>128720.24000000209</v>
      </c>
      <c r="C30" s="475">
        <v>-124007.94</v>
      </c>
      <c r="D30" s="242"/>
      <c r="E30" s="242">
        <v>0</v>
      </c>
      <c r="F30" s="242">
        <v>0</v>
      </c>
      <c r="G30" s="216">
        <v>4712.3000000020838</v>
      </c>
      <c r="H30" s="216">
        <v>66716.270000002085</v>
      </c>
      <c r="I30" s="216">
        <v>1749902.2038461561</v>
      </c>
      <c r="J30" s="216"/>
      <c r="K30" s="502">
        <v>-0.43999999998777639</v>
      </c>
      <c r="L30" s="218">
        <v>-9000</v>
      </c>
      <c r="M30" s="216"/>
      <c r="N30" s="216">
        <v>-9000.4399999999878</v>
      </c>
      <c r="O30" s="216">
        <v>-4500.4399999999878</v>
      </c>
      <c r="P30" s="216">
        <v>-46385.055384615371</v>
      </c>
      <c r="Q30" s="211">
        <f t="shared" si="0"/>
        <v>-4288.1399999979039</v>
      </c>
      <c r="R30" s="513">
        <v>3</v>
      </c>
    </row>
    <row r="31" spans="1:18">
      <c r="A31" s="212">
        <v>44985</v>
      </c>
      <c r="B31" s="478">
        <v>4712.3000000020838</v>
      </c>
      <c r="C31" s="475">
        <v>-133273.89000000001</v>
      </c>
      <c r="D31" s="242"/>
      <c r="E31" s="242">
        <v>0</v>
      </c>
      <c r="F31" s="242">
        <v>0</v>
      </c>
      <c r="G31" s="216">
        <v>-128561.58999999793</v>
      </c>
      <c r="H31" s="216">
        <v>-61924.644999997923</v>
      </c>
      <c r="I31" s="216">
        <v>1523511.3346153868</v>
      </c>
      <c r="J31" s="216"/>
      <c r="K31" s="502">
        <v>-9000.4399999999878</v>
      </c>
      <c r="L31" s="218">
        <v>-9000</v>
      </c>
      <c r="M31" s="216"/>
      <c r="N31" s="216">
        <v>-18000.439999999988</v>
      </c>
      <c r="O31" s="216">
        <v>-13500.439999999988</v>
      </c>
      <c r="P31" s="216">
        <v>-47077.363076923059</v>
      </c>
      <c r="Q31" s="211">
        <f t="shared" si="0"/>
        <v>-146562.02999999793</v>
      </c>
      <c r="R31" s="513">
        <v>4</v>
      </c>
    </row>
    <row r="32" spans="1:18">
      <c r="A32" s="212">
        <v>45015</v>
      </c>
      <c r="B32" s="478">
        <v>-128561.58999999793</v>
      </c>
      <c r="C32" s="475">
        <v>-153672.82</v>
      </c>
      <c r="D32" s="242"/>
      <c r="E32" s="510">
        <v>1258467</v>
      </c>
      <c r="F32" s="242">
        <v>0</v>
      </c>
      <c r="G32" s="216">
        <v>976232.59000000206</v>
      </c>
      <c r="H32" s="216">
        <v>423835.5000000021</v>
      </c>
      <c r="I32" s="216">
        <v>1390628.7853846177</v>
      </c>
      <c r="J32" s="216"/>
      <c r="K32" s="502">
        <v>-18000.439999999988</v>
      </c>
      <c r="L32" s="218">
        <v>-9000</v>
      </c>
      <c r="M32" s="216"/>
      <c r="N32" s="216">
        <v>-27000.439999999988</v>
      </c>
      <c r="O32" s="216">
        <v>-22500.439999999988</v>
      </c>
      <c r="P32" s="216">
        <v>-47769.670769230746</v>
      </c>
      <c r="Q32" s="211">
        <f t="shared" si="0"/>
        <v>949232.15000000212</v>
      </c>
      <c r="R32" s="513">
        <v>5</v>
      </c>
    </row>
    <row r="33" spans="1:18">
      <c r="A33" s="212">
        <v>45046</v>
      </c>
      <c r="B33" s="478">
        <v>976232.59000000206</v>
      </c>
      <c r="C33" s="475">
        <v>-134592.29999999999</v>
      </c>
      <c r="D33" s="242"/>
      <c r="E33" s="242">
        <v>314364</v>
      </c>
      <c r="F33" s="510">
        <v>435907</v>
      </c>
      <c r="G33" s="216">
        <v>1591911.2900000021</v>
      </c>
      <c r="H33" s="216">
        <v>1284071.940000002</v>
      </c>
      <c r="I33" s="216">
        <v>1386316.573076925</v>
      </c>
      <c r="J33" s="216"/>
      <c r="K33" s="502">
        <v>-27000.439999999988</v>
      </c>
      <c r="L33" s="218">
        <v>-9000</v>
      </c>
      <c r="M33" s="216"/>
      <c r="N33" s="216">
        <v>-36000.439999999988</v>
      </c>
      <c r="O33" s="216">
        <v>-31500.439999999988</v>
      </c>
      <c r="P33" s="216">
        <v>-48461.978461538434</v>
      </c>
      <c r="Q33" s="211">
        <f t="shared" si="0"/>
        <v>1555910.8500000022</v>
      </c>
      <c r="R33" s="513">
        <v>6</v>
      </c>
    </row>
    <row r="34" spans="1:18">
      <c r="A34" s="212">
        <v>45076</v>
      </c>
      <c r="B34" s="478">
        <v>1591911.2900000021</v>
      </c>
      <c r="C34" s="475">
        <v>-103494.93</v>
      </c>
      <c r="D34" s="242"/>
      <c r="E34" s="242">
        <v>0</v>
      </c>
      <c r="F34" s="242">
        <v>0</v>
      </c>
      <c r="G34" s="216">
        <v>1488416.3600000022</v>
      </c>
      <c r="H34" s="216">
        <v>1540163.825000002</v>
      </c>
      <c r="I34" s="216">
        <v>1374084.026153848</v>
      </c>
      <c r="J34" s="216"/>
      <c r="K34" s="502">
        <v>-36000.439999999988</v>
      </c>
      <c r="L34" s="218">
        <v>-9000</v>
      </c>
      <c r="M34" s="216"/>
      <c r="N34" s="216">
        <v>-45000.439999999988</v>
      </c>
      <c r="O34" s="216">
        <v>-40500.439999999988</v>
      </c>
      <c r="P34" s="216">
        <v>-49154.286153846137</v>
      </c>
      <c r="Q34" s="211">
        <f t="shared" si="0"/>
        <v>1443415.9200000023</v>
      </c>
      <c r="R34" s="513">
        <v>7</v>
      </c>
    </row>
    <row r="35" spans="1:18">
      <c r="A35" s="212">
        <v>45107</v>
      </c>
      <c r="B35" s="478">
        <v>1488416.3600000022</v>
      </c>
      <c r="C35" s="475">
        <v>-176809.04</v>
      </c>
      <c r="D35" s="242"/>
      <c r="E35" s="242">
        <v>304379</v>
      </c>
      <c r="F35" s="242">
        <v>84358</v>
      </c>
      <c r="G35" s="216">
        <v>1700344.3200000022</v>
      </c>
      <c r="H35" s="216">
        <v>1594380.3400000022</v>
      </c>
      <c r="I35" s="216">
        <v>1385871.1292307714</v>
      </c>
      <c r="J35" s="216"/>
      <c r="K35" s="502">
        <v>-45000.439999999988</v>
      </c>
      <c r="L35" s="218">
        <v>-9000</v>
      </c>
      <c r="M35" s="216"/>
      <c r="N35" s="216">
        <v>-54000.439999999988</v>
      </c>
      <c r="O35" s="216">
        <v>-49500.439999999988</v>
      </c>
      <c r="P35" s="216">
        <v>-49846.593846153832</v>
      </c>
      <c r="Q35" s="211">
        <f t="shared" si="0"/>
        <v>1646343.8800000022</v>
      </c>
      <c r="R35" s="513">
        <v>8</v>
      </c>
    </row>
    <row r="36" spans="1:18">
      <c r="A36" s="212">
        <v>45137</v>
      </c>
      <c r="B36" s="478">
        <v>1700344.3200000022</v>
      </c>
      <c r="C36" s="475">
        <v>-114134.25</v>
      </c>
      <c r="D36" s="242"/>
      <c r="E36" s="242">
        <v>0</v>
      </c>
      <c r="F36" s="242">
        <v>0</v>
      </c>
      <c r="G36" s="216">
        <v>1586210.0700000022</v>
      </c>
      <c r="H36" s="216">
        <v>1643277.1950000022</v>
      </c>
      <c r="I36" s="216">
        <v>1374405.1246153866</v>
      </c>
      <c r="J36" s="216"/>
      <c r="K36" s="502">
        <v>-54000.439999999988</v>
      </c>
      <c r="L36" s="218">
        <v>-9000</v>
      </c>
      <c r="M36" s="216"/>
      <c r="N36" s="216">
        <v>-63000.439999999988</v>
      </c>
      <c r="O36" s="216">
        <v>-58500.439999999988</v>
      </c>
      <c r="P36" s="216">
        <v>-50538.901538461527</v>
      </c>
      <c r="Q36" s="211">
        <f t="shared" si="0"/>
        <v>1523209.6300000022</v>
      </c>
      <c r="R36" s="513">
        <v>9</v>
      </c>
    </row>
    <row r="37" spans="1:18">
      <c r="A37" s="212">
        <v>45168</v>
      </c>
      <c r="B37" s="478">
        <v>1586210.0700000022</v>
      </c>
      <c r="C37" s="475">
        <v>159263.24</v>
      </c>
      <c r="D37" s="242"/>
      <c r="E37" s="242">
        <v>0</v>
      </c>
      <c r="F37" s="242">
        <v>0</v>
      </c>
      <c r="G37" s="216">
        <v>1745473.3100000022</v>
      </c>
      <c r="H37" s="216">
        <v>1665841.6900000023</v>
      </c>
      <c r="I37" s="216">
        <v>1382999.8061538483</v>
      </c>
      <c r="J37" s="216"/>
      <c r="K37" s="502">
        <v>-63000.439999999988</v>
      </c>
      <c r="L37" s="218">
        <v>-9000</v>
      </c>
      <c r="M37" s="216"/>
      <c r="N37" s="216">
        <v>-72000.439999999988</v>
      </c>
      <c r="O37" s="216">
        <v>-67500.439999999988</v>
      </c>
      <c r="P37" s="216">
        <v>-51231.209230769222</v>
      </c>
      <c r="Q37" s="211">
        <f t="shared" si="0"/>
        <v>1673472.8700000022</v>
      </c>
      <c r="R37" s="513">
        <v>10</v>
      </c>
    </row>
    <row r="38" spans="1:18">
      <c r="A38" s="212">
        <v>45199</v>
      </c>
      <c r="B38" s="478">
        <v>1745473.3100000022</v>
      </c>
      <c r="C38" s="475">
        <v>-405060.07</v>
      </c>
      <c r="D38" s="242"/>
      <c r="E38" s="242">
        <v>314002</v>
      </c>
      <c r="F38" s="242">
        <v>87024</v>
      </c>
      <c r="G38" s="216">
        <v>1741439.2400000021</v>
      </c>
      <c r="H38" s="216">
        <v>1743456.2750000022</v>
      </c>
      <c r="I38" s="216">
        <v>1398160.5853846173</v>
      </c>
      <c r="J38" s="216"/>
      <c r="K38" s="502">
        <v>-72000.439999999988</v>
      </c>
      <c r="L38" s="218">
        <v>-9000</v>
      </c>
      <c r="M38" s="216"/>
      <c r="N38" s="216">
        <v>-81000.439999999988</v>
      </c>
      <c r="O38" s="216">
        <v>-76500.439999999988</v>
      </c>
      <c r="P38" s="216">
        <v>-51923.51692307691</v>
      </c>
      <c r="Q38" s="211">
        <f t="shared" si="0"/>
        <v>1660438.8000000021</v>
      </c>
      <c r="R38" s="513">
        <v>11</v>
      </c>
    </row>
    <row r="39" spans="1:18">
      <c r="A39" s="212">
        <v>45229</v>
      </c>
      <c r="B39" s="478">
        <v>1741439.2400000021</v>
      </c>
      <c r="C39" s="475">
        <v>-19011.71</v>
      </c>
      <c r="D39" s="242"/>
      <c r="E39" s="242">
        <v>0</v>
      </c>
      <c r="F39" s="242">
        <v>0</v>
      </c>
      <c r="G39" s="216">
        <v>1722427.5300000021</v>
      </c>
      <c r="H39" s="216">
        <v>1731933.3850000021</v>
      </c>
      <c r="I39" s="216">
        <v>1399763.4076923097</v>
      </c>
      <c r="J39" s="216"/>
      <c r="K39" s="502">
        <v>-81000.439999999988</v>
      </c>
      <c r="L39" s="218">
        <v>-9000</v>
      </c>
      <c r="M39" s="216"/>
      <c r="N39" s="216">
        <v>-90000.439999999988</v>
      </c>
      <c r="O39" s="216">
        <v>-85500.439999999988</v>
      </c>
      <c r="P39" s="216">
        <v>-52615.824615384605</v>
      </c>
      <c r="Q39" s="211">
        <f t="shared" si="0"/>
        <v>1632427.0900000022</v>
      </c>
      <c r="R39" s="513">
        <v>12</v>
      </c>
    </row>
    <row r="40" spans="1:18">
      <c r="A40" s="212">
        <v>45260</v>
      </c>
      <c r="B40" s="478">
        <v>1722427.5300000021</v>
      </c>
      <c r="C40" s="475">
        <v>-96882.28</v>
      </c>
      <c r="D40" s="242">
        <v>-1938526</v>
      </c>
      <c r="E40" s="242">
        <v>0</v>
      </c>
      <c r="F40" s="242">
        <v>0</v>
      </c>
      <c r="G40" s="216">
        <v>-312980.7499999979</v>
      </c>
      <c r="H40" s="216">
        <v>704723.39000000211</v>
      </c>
      <c r="I40" s="216">
        <v>1154166.5646153868</v>
      </c>
      <c r="J40" s="216"/>
      <c r="K40" s="502">
        <v>-90000.439999999988</v>
      </c>
      <c r="L40" s="218">
        <v>-9000</v>
      </c>
      <c r="M40" s="216"/>
      <c r="N40" s="216">
        <v>-99000.439999999988</v>
      </c>
      <c r="O40" s="216">
        <v>-94500.439999999988</v>
      </c>
      <c r="P40" s="216">
        <v>-53308.1323076923</v>
      </c>
      <c r="Q40" s="211">
        <f t="shared" si="0"/>
        <v>-411981.18999999791</v>
      </c>
      <c r="R40" s="513">
        <v>13</v>
      </c>
    </row>
    <row r="41" spans="1:18">
      <c r="A41" s="212">
        <v>45290</v>
      </c>
      <c r="B41" s="478">
        <v>-312980.7499999979</v>
      </c>
      <c r="C41" s="475">
        <v>-14645575.530000001</v>
      </c>
      <c r="D41" s="242"/>
      <c r="E41" s="511">
        <v>267993</v>
      </c>
      <c r="F41" s="511">
        <v>74274</v>
      </c>
      <c r="G41" s="216">
        <v>-14616289.279999999</v>
      </c>
      <c r="H41" s="216">
        <v>-7464635.0149999987</v>
      </c>
      <c r="I41" s="216">
        <v>-182457.25923076732</v>
      </c>
      <c r="J41" s="216"/>
      <c r="K41" s="502">
        <v>-99000.439999999988</v>
      </c>
      <c r="L41" s="218">
        <v>-9000</v>
      </c>
      <c r="M41" s="216">
        <v>108000</v>
      </c>
      <c r="N41" s="216">
        <v>-0.43999999998777639</v>
      </c>
      <c r="O41" s="216">
        <v>-49500.439999999988</v>
      </c>
      <c r="P41" s="216">
        <v>-45692.747692307683</v>
      </c>
      <c r="Q41" s="211">
        <f t="shared" si="0"/>
        <v>-14616289.719999999</v>
      </c>
      <c r="R41" s="513">
        <v>14</v>
      </c>
    </row>
    <row r="42" spans="1:18">
      <c r="R42" s="513">
        <v>14</v>
      </c>
    </row>
    <row r="44" spans="1:18">
      <c r="F44" s="527" t="s">
        <v>2299</v>
      </c>
      <c r="M44" t="s">
        <v>2300</v>
      </c>
    </row>
    <row r="45" spans="1:18" ht="14.4" hidden="1" customHeight="1"/>
    <row r="46" spans="1:18" ht="14.4" hidden="1" customHeight="1">
      <c r="F46" s="527" t="s">
        <v>2299</v>
      </c>
      <c r="M46" t="s">
        <v>2300</v>
      </c>
    </row>
    <row r="47" spans="1:18" ht="14.4" hidden="1" customHeight="1">
      <c r="A47" s="184" t="s">
        <v>2288</v>
      </c>
    </row>
    <row r="48" spans="1:18" ht="14.4" hidden="1" customHeight="1">
      <c r="A48" s="184" t="s">
        <v>2289</v>
      </c>
    </row>
    <row r="49" spans="1:4" ht="14.4" hidden="1" customHeight="1">
      <c r="A49" s="184" t="s">
        <v>2290</v>
      </c>
    </row>
    <row r="50" spans="1:4" ht="14.4" hidden="1" customHeight="1"/>
    <row r="51" spans="1:4" ht="14.4" hidden="1" customHeight="1">
      <c r="A51" s="789" t="s">
        <v>2291</v>
      </c>
      <c r="B51" s="790"/>
      <c r="C51" s="791"/>
    </row>
    <row r="52" spans="1:4" ht="14.4" hidden="1" customHeight="1">
      <c r="A52" s="792" t="s">
        <v>2292</v>
      </c>
      <c r="B52" s="793"/>
      <c r="C52" s="794"/>
      <c r="D52" s="528"/>
    </row>
    <row r="53" spans="1:4">
      <c r="A53" s="226" t="s">
        <v>2293</v>
      </c>
      <c r="B53" s="227"/>
      <c r="C53" s="231">
        <v>-45692.747692307683</v>
      </c>
    </row>
    <row r="54" spans="1:4">
      <c r="A54" s="226" t="s">
        <v>2294</v>
      </c>
      <c r="B54" s="227"/>
      <c r="C54" s="238">
        <v>-49500.439999999988</v>
      </c>
    </row>
    <row r="55" spans="1:4">
      <c r="A55" s="226" t="s">
        <v>2295</v>
      </c>
      <c r="B55" s="227"/>
      <c r="C55" s="239">
        <v>-0.43999999998777639</v>
      </c>
    </row>
    <row r="56" spans="1:4">
      <c r="A56" s="226" t="s">
        <v>2296</v>
      </c>
      <c r="B56" s="227"/>
      <c r="C56" s="239">
        <v>-14616289.279999999</v>
      </c>
    </row>
    <row r="57" spans="1:4">
      <c r="A57" s="226" t="s">
        <v>2297</v>
      </c>
      <c r="B57" s="227"/>
      <c r="C57" s="239">
        <v>-7464635.0149999987</v>
      </c>
    </row>
    <row r="58" spans="1:4">
      <c r="A58" s="236" t="s">
        <v>2298</v>
      </c>
      <c r="B58" s="237"/>
      <c r="C58" s="231">
        <v>-182457.25923076732</v>
      </c>
    </row>
  </sheetData>
  <mergeCells count="4">
    <mergeCell ref="A51:C51"/>
    <mergeCell ref="A52:C52"/>
    <mergeCell ref="B3:B4"/>
    <mergeCell ref="K3:K4"/>
  </mergeCells>
  <pageMargins left="0.7" right="0.7" top="0.75" bottom="0.75" header="0.3" footer="0.3"/>
  <pageSetup orientation="portrait" r:id="rId1"/>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44492-954E-4B99-BEA1-ABB41EBE304F}">
  <sheetPr>
    <tabColor rgb="FFE1FFE1"/>
  </sheetPr>
  <dimension ref="A3:CF52"/>
  <sheetViews>
    <sheetView zoomScale="80" zoomScaleNormal="80" workbookViewId="0">
      <selection activeCell="Q29" sqref="Q29:Q41"/>
    </sheetView>
  </sheetViews>
  <sheetFormatPr defaultRowHeight="14.4"/>
  <cols>
    <col min="1" max="1" width="15.5546875" customWidth="1"/>
    <col min="2" max="2" width="17.44140625" style="198" customWidth="1"/>
    <col min="3" max="3" width="15.88671875" style="198" bestFit="1" customWidth="1"/>
    <col min="4" max="6" width="14.88671875" style="198" customWidth="1"/>
    <col min="7" max="7" width="14.88671875" customWidth="1"/>
    <col min="8" max="8" width="15.33203125" bestFit="1" customWidth="1"/>
    <col min="9" max="9" width="16.33203125" bestFit="1" customWidth="1"/>
    <col min="10" max="10" width="13.44140625" customWidth="1"/>
    <col min="11" max="11" width="13.33203125" customWidth="1"/>
    <col min="12" max="14" width="16.109375" customWidth="1"/>
    <col min="15" max="17" width="19.33203125" customWidth="1"/>
    <col min="18" max="18" width="3.44140625" customWidth="1"/>
    <col min="19" max="84" width="8.6640625" style="195"/>
  </cols>
  <sheetData>
    <row r="3" spans="1:18">
      <c r="B3" s="795" t="s">
        <v>2278</v>
      </c>
      <c r="C3" s="193" t="s">
        <v>2279</v>
      </c>
      <c r="D3" s="193"/>
      <c r="E3" s="193"/>
      <c r="F3" s="193"/>
      <c r="G3" s="194"/>
      <c r="H3" s="194"/>
      <c r="I3" s="194"/>
      <c r="J3" s="194"/>
      <c r="K3" s="795" t="s">
        <v>2278</v>
      </c>
      <c r="L3" s="193" t="s">
        <v>2279</v>
      </c>
      <c r="M3" s="194"/>
      <c r="N3" s="194"/>
      <c r="O3" s="194"/>
      <c r="P3" s="194"/>
    </row>
    <row r="4" spans="1:18" ht="14.4" customHeight="1">
      <c r="B4" s="796"/>
      <c r="C4" s="196" t="s">
        <v>2280</v>
      </c>
      <c r="D4" s="196" t="s">
        <v>178</v>
      </c>
      <c r="E4" s="196" t="s">
        <v>2281</v>
      </c>
      <c r="F4" s="196" t="s">
        <v>2282</v>
      </c>
      <c r="G4" s="197" t="s">
        <v>2283</v>
      </c>
      <c r="H4" s="196" t="s">
        <v>2284</v>
      </c>
      <c r="I4" s="196" t="s">
        <v>2285</v>
      </c>
      <c r="J4" s="197"/>
      <c r="K4" s="796"/>
      <c r="L4" s="196">
        <v>6900065</v>
      </c>
      <c r="M4" s="197" t="s">
        <v>2286</v>
      </c>
      <c r="N4" s="197" t="s">
        <v>2283</v>
      </c>
      <c r="O4" s="196" t="s">
        <v>2284</v>
      </c>
      <c r="P4" s="196" t="s">
        <v>2285</v>
      </c>
      <c r="Q4" s="198"/>
    </row>
    <row r="5" spans="1:18">
      <c r="Q5" s="199" t="s">
        <v>2287</v>
      </c>
    </row>
    <row r="6" spans="1:18">
      <c r="A6" s="200">
        <v>44927</v>
      </c>
      <c r="B6" s="201">
        <v>128720.24000000209</v>
      </c>
      <c r="C6" s="202">
        <v>-124007.94</v>
      </c>
      <c r="D6" s="201"/>
      <c r="E6" s="201">
        <v>0</v>
      </c>
      <c r="F6" s="201">
        <v>0</v>
      </c>
      <c r="G6" s="203">
        <v>4712.3000000020838</v>
      </c>
      <c r="H6" s="203">
        <v>66716.270000002085</v>
      </c>
      <c r="I6" s="203">
        <v>1749902.2038461561</v>
      </c>
      <c r="J6" s="203"/>
      <c r="K6" s="203">
        <v>-0.43999999998777639</v>
      </c>
      <c r="L6" s="204">
        <v>-9000</v>
      </c>
      <c r="M6" s="203"/>
      <c r="N6" s="203">
        <v>-9000.4399999999878</v>
      </c>
      <c r="O6" s="203">
        <v>-4500.4399999999878</v>
      </c>
      <c r="P6" s="203">
        <v>-46385.055384615371</v>
      </c>
      <c r="Q6" s="205">
        <f>SUM(G6,N6)</f>
        <v>-4288.1399999979039</v>
      </c>
      <c r="R6">
        <v>3</v>
      </c>
    </row>
    <row r="7" spans="1:18">
      <c r="A7" s="200">
        <v>44958</v>
      </c>
      <c r="B7" s="202">
        <v>4712.3000000020838</v>
      </c>
      <c r="C7" s="202">
        <v>-133273.89000000001</v>
      </c>
      <c r="D7" s="206"/>
      <c r="E7" s="206">
        <v>0</v>
      </c>
      <c r="F7" s="206">
        <v>0</v>
      </c>
      <c r="G7" s="204">
        <v>-128561.58999999793</v>
      </c>
      <c r="H7" s="204">
        <v>-61924.644999997923</v>
      </c>
      <c r="I7" s="204">
        <v>1523511.3346153868</v>
      </c>
      <c r="J7" s="204"/>
      <c r="K7" s="207">
        <v>-9000.4399999999878</v>
      </c>
      <c r="L7" s="204">
        <v>-9000</v>
      </c>
      <c r="M7" s="204"/>
      <c r="N7" s="203">
        <v>-18000.439999999988</v>
      </c>
      <c r="O7" s="203">
        <v>-13500.439999999988</v>
      </c>
      <c r="P7" s="203">
        <v>-47077.363076923059</v>
      </c>
      <c r="Q7" s="205">
        <f t="shared" ref="Q7:Q29" si="0">SUM(G7,N7)</f>
        <v>-146562.02999999793</v>
      </c>
      <c r="R7">
        <v>4</v>
      </c>
    </row>
    <row r="8" spans="1:18">
      <c r="A8" s="200">
        <v>44986</v>
      </c>
      <c r="B8" s="202">
        <v>-128561.58999999793</v>
      </c>
      <c r="C8" s="202">
        <v>-153672.82</v>
      </c>
      <c r="D8" s="206"/>
      <c r="E8" s="206">
        <v>1258467</v>
      </c>
      <c r="F8" s="206">
        <v>0</v>
      </c>
      <c r="G8" s="204">
        <v>976232.59000000206</v>
      </c>
      <c r="H8" s="204">
        <v>423835.5000000021</v>
      </c>
      <c r="I8" s="204">
        <v>1390628.7853846177</v>
      </c>
      <c r="J8" s="204"/>
      <c r="K8" s="207">
        <v>-18000.439999999988</v>
      </c>
      <c r="L8" s="204">
        <v>-9000</v>
      </c>
      <c r="M8" s="204"/>
      <c r="N8" s="203">
        <v>-27000.439999999988</v>
      </c>
      <c r="O8" s="203">
        <v>-22500.439999999988</v>
      </c>
      <c r="P8" s="203">
        <v>-47769.670769230746</v>
      </c>
      <c r="Q8" s="205">
        <f t="shared" si="0"/>
        <v>949232.15000000212</v>
      </c>
      <c r="R8">
        <v>5</v>
      </c>
    </row>
    <row r="9" spans="1:18">
      <c r="A9" s="200">
        <v>45017</v>
      </c>
      <c r="B9" s="202">
        <v>976232.59000000206</v>
      </c>
      <c r="C9" s="202">
        <v>-134592.29999999999</v>
      </c>
      <c r="D9" s="206"/>
      <c r="E9" s="206">
        <v>314364</v>
      </c>
      <c r="F9" s="206">
        <v>435907</v>
      </c>
      <c r="G9" s="204">
        <v>1591911.2900000021</v>
      </c>
      <c r="H9" s="204">
        <v>1284071.940000002</v>
      </c>
      <c r="I9" s="204">
        <v>1386316.573076925</v>
      </c>
      <c r="J9" s="204"/>
      <c r="K9" s="207">
        <v>-27000.439999999988</v>
      </c>
      <c r="L9" s="204">
        <v>-9000</v>
      </c>
      <c r="M9" s="204"/>
      <c r="N9" s="203">
        <v>-36000.439999999988</v>
      </c>
      <c r="O9" s="203">
        <v>-31500.439999999988</v>
      </c>
      <c r="P9" s="203">
        <v>-48461.978461538434</v>
      </c>
      <c r="Q9" s="205">
        <f t="shared" si="0"/>
        <v>1555910.8500000022</v>
      </c>
      <c r="R9">
        <v>6</v>
      </c>
    </row>
    <row r="10" spans="1:18">
      <c r="A10" s="200">
        <v>45047</v>
      </c>
      <c r="B10" s="202">
        <v>1591911.2900000021</v>
      </c>
      <c r="C10" s="202">
        <v>-103494.93</v>
      </c>
      <c r="D10" s="206"/>
      <c r="E10" s="206">
        <v>0</v>
      </c>
      <c r="F10" s="206">
        <v>0</v>
      </c>
      <c r="G10" s="204">
        <v>1488416.3600000022</v>
      </c>
      <c r="H10" s="204">
        <v>1540163.825000002</v>
      </c>
      <c r="I10" s="204">
        <v>1374084.026153848</v>
      </c>
      <c r="J10" s="204"/>
      <c r="K10" s="207">
        <v>-36000.439999999988</v>
      </c>
      <c r="L10" s="204">
        <v>-9000</v>
      </c>
      <c r="M10" s="204"/>
      <c r="N10" s="203">
        <v>-45000.439999999988</v>
      </c>
      <c r="O10" s="203">
        <v>-40500.439999999988</v>
      </c>
      <c r="P10" s="203">
        <v>-49154.286153846137</v>
      </c>
      <c r="Q10" s="205">
        <f t="shared" si="0"/>
        <v>1443415.9200000023</v>
      </c>
      <c r="R10">
        <v>7</v>
      </c>
    </row>
    <row r="11" spans="1:18">
      <c r="A11" s="200">
        <v>45078</v>
      </c>
      <c r="B11" s="208">
        <v>1488416.3600000022</v>
      </c>
      <c r="C11" s="202">
        <v>-176809.04</v>
      </c>
      <c r="D11" s="201"/>
      <c r="E11" s="201">
        <v>304379</v>
      </c>
      <c r="F11" s="201">
        <v>84358</v>
      </c>
      <c r="G11" s="203">
        <v>1700344.3200000022</v>
      </c>
      <c r="H11" s="203">
        <v>1594380.3400000022</v>
      </c>
      <c r="I11" s="203">
        <v>1385871.1292307714</v>
      </c>
      <c r="J11" s="203"/>
      <c r="K11" s="209">
        <v>-45000.439999999988</v>
      </c>
      <c r="L11" s="210">
        <v>-9000</v>
      </c>
      <c r="M11" s="203"/>
      <c r="N11" s="203">
        <v>-54000.439999999988</v>
      </c>
      <c r="O11" s="203">
        <v>-49500.439999999988</v>
      </c>
      <c r="P11" s="203">
        <v>-49846.593846153832</v>
      </c>
      <c r="Q11" s="205">
        <f t="shared" si="0"/>
        <v>1646343.8800000022</v>
      </c>
      <c r="R11">
        <v>8</v>
      </c>
    </row>
    <row r="12" spans="1:18">
      <c r="A12" s="200">
        <v>45108</v>
      </c>
      <c r="B12" s="208">
        <v>1700344.3200000022</v>
      </c>
      <c r="C12" s="202">
        <v>-114134.25</v>
      </c>
      <c r="D12" s="201"/>
      <c r="E12" s="201">
        <v>0</v>
      </c>
      <c r="F12" s="201">
        <v>0</v>
      </c>
      <c r="G12" s="203">
        <v>1586210.0700000022</v>
      </c>
      <c r="H12" s="203">
        <v>1643277.1950000022</v>
      </c>
      <c r="I12" s="203">
        <v>1374405.1246153866</v>
      </c>
      <c r="J12" s="203"/>
      <c r="K12" s="209">
        <v>-54000.439999999988</v>
      </c>
      <c r="L12" s="210">
        <v>-9000</v>
      </c>
      <c r="M12" s="203"/>
      <c r="N12" s="203">
        <v>-63000.439999999988</v>
      </c>
      <c r="O12" s="203">
        <v>-58500.439999999988</v>
      </c>
      <c r="P12" s="203">
        <v>-50538.901538461527</v>
      </c>
      <c r="Q12" s="205">
        <f t="shared" si="0"/>
        <v>1523209.6300000022</v>
      </c>
      <c r="R12">
        <v>9</v>
      </c>
    </row>
    <row r="13" spans="1:18">
      <c r="A13" s="200">
        <v>45139</v>
      </c>
      <c r="B13" s="208">
        <v>1586210.0700000022</v>
      </c>
      <c r="C13" s="202">
        <v>159263.24</v>
      </c>
      <c r="D13" s="201"/>
      <c r="E13" s="201">
        <v>0</v>
      </c>
      <c r="F13" s="201">
        <v>0</v>
      </c>
      <c r="G13" s="203">
        <v>1745473.3100000022</v>
      </c>
      <c r="H13" s="203">
        <v>1665841.6900000023</v>
      </c>
      <c r="I13" s="203">
        <v>1382999.8061538483</v>
      </c>
      <c r="J13" s="203"/>
      <c r="K13" s="209">
        <v>-63000.439999999988</v>
      </c>
      <c r="L13" s="210">
        <v>-9000</v>
      </c>
      <c r="M13" s="203"/>
      <c r="N13" s="203">
        <v>-72000.439999999988</v>
      </c>
      <c r="O13" s="203">
        <v>-67500.439999999988</v>
      </c>
      <c r="P13" s="203">
        <v>-51231.209230769222</v>
      </c>
      <c r="Q13" s="205">
        <f t="shared" si="0"/>
        <v>1673472.8700000022</v>
      </c>
      <c r="R13">
        <v>10</v>
      </c>
    </row>
    <row r="14" spans="1:18">
      <c r="A14" s="212">
        <v>45170</v>
      </c>
      <c r="B14" s="392">
        <v>1745473.3100000022</v>
      </c>
      <c r="C14" s="214">
        <v>-405060.07</v>
      </c>
      <c r="D14" s="242"/>
      <c r="E14" s="242">
        <v>314002</v>
      </c>
      <c r="F14" s="242">
        <v>87024</v>
      </c>
      <c r="G14" s="216">
        <v>1741439.2400000021</v>
      </c>
      <c r="H14" s="216">
        <v>1743456.2750000022</v>
      </c>
      <c r="I14" s="216">
        <v>1398160.5853846173</v>
      </c>
      <c r="J14" s="216"/>
      <c r="K14" s="245">
        <v>-72000.439999999988</v>
      </c>
      <c r="L14" s="218">
        <v>-9000</v>
      </c>
      <c r="M14" s="216"/>
      <c r="N14" s="216">
        <v>-81000.439999999988</v>
      </c>
      <c r="O14" s="216">
        <v>-76500.439999999988</v>
      </c>
      <c r="P14" s="216">
        <v>-51923.51692307691</v>
      </c>
      <c r="Q14" s="205">
        <f t="shared" si="0"/>
        <v>1660438.8000000021</v>
      </c>
      <c r="R14">
        <v>11</v>
      </c>
    </row>
    <row r="15" spans="1:18">
      <c r="A15" s="212">
        <v>45200</v>
      </c>
      <c r="B15" s="392">
        <v>1741439.2400000021</v>
      </c>
      <c r="C15" s="214">
        <v>-19011.71</v>
      </c>
      <c r="D15" s="242"/>
      <c r="E15" s="242">
        <v>0</v>
      </c>
      <c r="F15" s="242">
        <v>0</v>
      </c>
      <c r="G15" s="216">
        <v>1722427.5300000021</v>
      </c>
      <c r="H15" s="216">
        <v>1731933.3850000021</v>
      </c>
      <c r="I15" s="216">
        <v>1399763.4076923097</v>
      </c>
      <c r="J15" s="216"/>
      <c r="K15" s="245">
        <v>-81000.439999999988</v>
      </c>
      <c r="L15" s="218">
        <v>-9000</v>
      </c>
      <c r="M15" s="245"/>
      <c r="N15" s="216">
        <v>-90000.439999999988</v>
      </c>
      <c r="O15" s="216">
        <v>-85500.439999999988</v>
      </c>
      <c r="P15" s="216">
        <v>-52615.824615384605</v>
      </c>
      <c r="Q15" s="205">
        <f t="shared" si="0"/>
        <v>1632427.0900000022</v>
      </c>
      <c r="R15">
        <v>12</v>
      </c>
    </row>
    <row r="16" spans="1:18">
      <c r="A16" s="212">
        <v>45231</v>
      </c>
      <c r="B16" s="393">
        <v>1722427.5300000021</v>
      </c>
      <c r="C16" s="243">
        <v>-96882.28</v>
      </c>
      <c r="D16" s="244">
        <v>-1938526</v>
      </c>
      <c r="E16" s="244">
        <v>0</v>
      </c>
      <c r="F16" s="244">
        <v>0</v>
      </c>
      <c r="G16" s="215">
        <v>-312980.7499999979</v>
      </c>
      <c r="H16" s="216">
        <v>704723.39000000211</v>
      </c>
      <c r="I16" s="216">
        <v>1154166.5646153868</v>
      </c>
      <c r="J16" s="216"/>
      <c r="K16" s="394">
        <v>-90000.439999999988</v>
      </c>
      <c r="L16" s="218">
        <v>-9000</v>
      </c>
      <c r="M16" s="394"/>
      <c r="N16" s="216">
        <v>-99000.439999999988</v>
      </c>
      <c r="O16" s="216">
        <v>-94500.439999999988</v>
      </c>
      <c r="P16" s="216">
        <v>-53308.1323076923</v>
      </c>
      <c r="Q16" s="205">
        <f t="shared" si="0"/>
        <v>-411981.18999999791</v>
      </c>
      <c r="R16">
        <v>13</v>
      </c>
    </row>
    <row r="17" spans="1:18">
      <c r="A17" s="219">
        <v>45261</v>
      </c>
      <c r="B17" s="395">
        <v>-312980.7499999979</v>
      </c>
      <c r="C17" s="221">
        <v>-14645575.530000001</v>
      </c>
      <c r="D17" s="396"/>
      <c r="E17" s="396">
        <v>267993</v>
      </c>
      <c r="F17" s="396">
        <v>74274</v>
      </c>
      <c r="G17" s="222">
        <v>-14616289.279999999</v>
      </c>
      <c r="H17" s="223">
        <v>-7464635.0149999987</v>
      </c>
      <c r="I17" s="223">
        <v>-182457.25923076732</v>
      </c>
      <c r="J17" s="223"/>
      <c r="K17" s="397">
        <v>-99000.439999999988</v>
      </c>
      <c r="L17" s="398">
        <v>-9000</v>
      </c>
      <c r="M17" s="397">
        <v>108000</v>
      </c>
      <c r="N17" s="223">
        <v>-0.43999999998777639</v>
      </c>
      <c r="O17" s="223">
        <v>-49500.439999999988</v>
      </c>
      <c r="P17" s="223">
        <v>-45692.747692307683</v>
      </c>
      <c r="Q17" s="211">
        <f t="shared" si="0"/>
        <v>-14616289.719999999</v>
      </c>
      <c r="R17">
        <v>14</v>
      </c>
    </row>
    <row r="18" spans="1:18">
      <c r="A18" s="212">
        <v>45292</v>
      </c>
      <c r="B18" s="392">
        <v>-14616289.279999999</v>
      </c>
      <c r="C18" s="213">
        <v>-398631</v>
      </c>
      <c r="D18" s="244"/>
      <c r="E18" s="244"/>
      <c r="F18" s="244"/>
      <c r="G18" s="215">
        <v>-15014920.279999999</v>
      </c>
      <c r="H18" s="216">
        <v>-14815604.779999999</v>
      </c>
      <c r="I18" s="216">
        <v>-1347352.6838461522</v>
      </c>
      <c r="J18" s="216"/>
      <c r="K18" s="245">
        <v>-0.43999999998777639</v>
      </c>
      <c r="L18" s="218">
        <v>-10000</v>
      </c>
      <c r="M18" s="245"/>
      <c r="N18" s="216">
        <v>-10000.439999999988</v>
      </c>
      <c r="O18" s="216">
        <v>-5000.4399999999878</v>
      </c>
      <c r="P18" s="216">
        <v>-46461.978461538449</v>
      </c>
      <c r="Q18" s="211">
        <f t="shared" si="0"/>
        <v>-15024920.719999999</v>
      </c>
      <c r="R18">
        <v>3</v>
      </c>
    </row>
    <row r="19" spans="1:18">
      <c r="A19" s="212">
        <v>45323</v>
      </c>
      <c r="B19" s="392">
        <v>-15014920.279999999</v>
      </c>
      <c r="C19" s="213">
        <v>-355370</v>
      </c>
      <c r="D19" s="244"/>
      <c r="E19" s="244"/>
      <c r="F19" s="244"/>
      <c r="G19" s="215">
        <v>-15370290.279999999</v>
      </c>
      <c r="H19" s="216">
        <v>-15192605.279999999</v>
      </c>
      <c r="I19" s="216">
        <v>-2530045.1899999981</v>
      </c>
      <c r="J19" s="216"/>
      <c r="K19" s="245">
        <v>-10000.439999999988</v>
      </c>
      <c r="L19" s="218">
        <v>-10000</v>
      </c>
      <c r="M19" s="245"/>
      <c r="N19" s="216">
        <v>-20000.439999999988</v>
      </c>
      <c r="O19" s="216">
        <v>-15000.439999999988</v>
      </c>
      <c r="P19" s="216">
        <v>-47308.132307692285</v>
      </c>
      <c r="Q19" s="211">
        <f t="shared" si="0"/>
        <v>-15390290.719999999</v>
      </c>
      <c r="R19">
        <v>4</v>
      </c>
    </row>
    <row r="20" spans="1:18">
      <c r="A20" s="212">
        <v>45352</v>
      </c>
      <c r="B20" s="392">
        <v>-15370290.279999999</v>
      </c>
      <c r="C20" s="213">
        <v>-840119</v>
      </c>
      <c r="D20" s="244"/>
      <c r="E20" s="244"/>
      <c r="F20" s="244"/>
      <c r="G20" s="215">
        <v>-16210409.279999999</v>
      </c>
      <c r="H20" s="216">
        <v>-15790349.779999999</v>
      </c>
      <c r="I20" s="216">
        <v>-3767110.3969230754</v>
      </c>
      <c r="J20" s="216"/>
      <c r="K20" s="245">
        <v>-20000.439999999988</v>
      </c>
      <c r="L20" s="218">
        <v>-10000</v>
      </c>
      <c r="M20" s="245"/>
      <c r="N20" s="216">
        <v>-30000.439999999988</v>
      </c>
      <c r="O20" s="216">
        <v>-25000.439999999988</v>
      </c>
      <c r="P20" s="216">
        <v>-48231.209230769207</v>
      </c>
      <c r="Q20" s="211">
        <f t="shared" si="0"/>
        <v>-16240409.719999999</v>
      </c>
      <c r="R20">
        <v>5</v>
      </c>
    </row>
    <row r="21" spans="1:18">
      <c r="A21" s="212">
        <v>45383</v>
      </c>
      <c r="B21" s="392">
        <v>-16210409.279999999</v>
      </c>
      <c r="C21" s="213">
        <v>-318798</v>
      </c>
      <c r="D21" s="244"/>
      <c r="E21" s="244">
        <v>11288000</v>
      </c>
      <c r="F21" s="244">
        <v>3128446</v>
      </c>
      <c r="G21" s="215">
        <v>-2112761.2799999993</v>
      </c>
      <c r="H21" s="216">
        <v>-9161585.2799999993</v>
      </c>
      <c r="I21" s="216">
        <v>-4004725.3099999991</v>
      </c>
      <c r="J21" s="216"/>
      <c r="K21" s="245">
        <v>-30000.439999999988</v>
      </c>
      <c r="L21" s="218">
        <v>-10000</v>
      </c>
      <c r="M21" s="245"/>
      <c r="N21" s="216">
        <v>-40000.439999999988</v>
      </c>
      <c r="O21" s="216">
        <v>-35000.439999999988</v>
      </c>
      <c r="P21" s="216">
        <v>-49231.2092307692</v>
      </c>
      <c r="Q21" s="211">
        <f t="shared" si="0"/>
        <v>-2152761.7199999993</v>
      </c>
      <c r="R21">
        <v>6</v>
      </c>
    </row>
    <row r="22" spans="1:18">
      <c r="A22" s="212">
        <v>45413</v>
      </c>
      <c r="B22" s="392">
        <v>-2112761.2799999993</v>
      </c>
      <c r="C22" s="213">
        <v>-292464</v>
      </c>
      <c r="D22" s="244"/>
      <c r="E22" s="244"/>
      <c r="F22" s="244"/>
      <c r="G22" s="215">
        <v>-2405225.2799999993</v>
      </c>
      <c r="H22" s="216">
        <v>-2258993.2799999993</v>
      </c>
      <c r="I22" s="216">
        <v>-4312197.3538461532</v>
      </c>
      <c r="J22" s="216"/>
      <c r="K22" s="245">
        <v>-40000.439999999988</v>
      </c>
      <c r="L22" s="218">
        <v>-10000</v>
      </c>
      <c r="M22" s="245"/>
      <c r="N22" s="216">
        <v>-50000.439999999988</v>
      </c>
      <c r="O22" s="216">
        <v>-45000.439999999988</v>
      </c>
      <c r="P22" s="216">
        <v>-50308.132307692285</v>
      </c>
      <c r="Q22" s="211">
        <f t="shared" si="0"/>
        <v>-2455225.7199999993</v>
      </c>
      <c r="R22">
        <v>7</v>
      </c>
    </row>
    <row r="23" spans="1:18">
      <c r="A23" s="212">
        <v>45444</v>
      </c>
      <c r="B23" s="392">
        <v>-2405225.2799999993</v>
      </c>
      <c r="C23" s="213">
        <v>-280274</v>
      </c>
      <c r="D23" s="244"/>
      <c r="E23" s="244">
        <v>1248187</v>
      </c>
      <c r="F23" s="244">
        <v>345933</v>
      </c>
      <c r="G23" s="215">
        <v>-1091379.2799999993</v>
      </c>
      <c r="H23" s="216">
        <v>-1748302.2799999993</v>
      </c>
      <c r="I23" s="216">
        <v>-4510643.1723076915</v>
      </c>
      <c r="J23" s="216"/>
      <c r="K23" s="245">
        <v>-50000.439999999988</v>
      </c>
      <c r="L23" s="218">
        <v>-10000</v>
      </c>
      <c r="M23" s="245"/>
      <c r="N23" s="216">
        <v>-60000.439999999988</v>
      </c>
      <c r="O23" s="216">
        <v>-55000.439999999988</v>
      </c>
      <c r="P23" s="216">
        <v>-51461.978461538449</v>
      </c>
      <c r="Q23" s="211">
        <f t="shared" si="0"/>
        <v>-1151379.7199999993</v>
      </c>
      <c r="R23">
        <v>8</v>
      </c>
    </row>
    <row r="24" spans="1:18">
      <c r="A24" s="212">
        <v>45474</v>
      </c>
      <c r="B24" s="392">
        <v>-1091379.2799999993</v>
      </c>
      <c r="C24" s="213">
        <v>-981215</v>
      </c>
      <c r="D24" s="244"/>
      <c r="E24" s="244"/>
      <c r="F24" s="244"/>
      <c r="G24" s="215">
        <v>-2072594.2799999993</v>
      </c>
      <c r="H24" s="216">
        <v>-1581986.7799999993</v>
      </c>
      <c r="I24" s="216">
        <v>-4800869.2184615377</v>
      </c>
      <c r="J24" s="216"/>
      <c r="K24" s="245">
        <v>-60000.439999999988</v>
      </c>
      <c r="L24" s="218">
        <v>-10000</v>
      </c>
      <c r="M24" s="245"/>
      <c r="N24" s="216">
        <v>-70000.439999999988</v>
      </c>
      <c r="O24" s="216">
        <v>-65000.439999999988</v>
      </c>
      <c r="P24" s="216">
        <v>-52692.747692307683</v>
      </c>
      <c r="Q24" s="211">
        <f t="shared" si="0"/>
        <v>-2142594.7199999993</v>
      </c>
      <c r="R24">
        <v>9</v>
      </c>
    </row>
    <row r="25" spans="1:18">
      <c r="A25" s="212">
        <v>45505</v>
      </c>
      <c r="B25" s="392">
        <v>-2072594.2799999993</v>
      </c>
      <c r="C25" s="213">
        <v>-724876</v>
      </c>
      <c r="D25" s="214"/>
      <c r="E25" s="214"/>
      <c r="F25" s="214"/>
      <c r="G25" s="215">
        <v>-2797470.2799999993</v>
      </c>
      <c r="H25" s="216">
        <v>-2435032.2799999993</v>
      </c>
      <c r="I25" s="216">
        <v>-5138075.3992307689</v>
      </c>
      <c r="J25" s="216"/>
      <c r="K25" s="245">
        <v>-70000.439999999988</v>
      </c>
      <c r="L25" s="218">
        <v>-10000</v>
      </c>
      <c r="M25" s="245"/>
      <c r="N25" s="216">
        <v>-80000.439999999988</v>
      </c>
      <c r="O25" s="216">
        <v>-75000.439999999988</v>
      </c>
      <c r="P25" s="216">
        <v>-54000.439999999988</v>
      </c>
      <c r="Q25" s="211">
        <f t="shared" si="0"/>
        <v>-2877470.7199999993</v>
      </c>
      <c r="R25">
        <v>10</v>
      </c>
    </row>
    <row r="26" spans="1:18">
      <c r="A26" s="212">
        <v>45536</v>
      </c>
      <c r="B26" s="392">
        <v>-2797470.2799999993</v>
      </c>
      <c r="C26" s="213">
        <v>-239797</v>
      </c>
      <c r="D26" s="214"/>
      <c r="E26" s="214">
        <v>423008</v>
      </c>
      <c r="F26" s="214">
        <v>117236</v>
      </c>
      <c r="G26" s="215">
        <v>-2497023.2799999993</v>
      </c>
      <c r="H26" s="216">
        <v>-2647246.7799999993</v>
      </c>
      <c r="I26" s="216">
        <v>-5464421.2907692306</v>
      </c>
      <c r="J26" s="216"/>
      <c r="K26" s="245">
        <v>-80000.439999999988</v>
      </c>
      <c r="L26" s="218">
        <v>-10000</v>
      </c>
      <c r="M26" s="245"/>
      <c r="N26" s="216">
        <v>-90000.439999999988</v>
      </c>
      <c r="O26" s="216">
        <v>-85000.439999999988</v>
      </c>
      <c r="P26" s="216">
        <v>-55385.055384615371</v>
      </c>
      <c r="Q26" s="211">
        <f t="shared" si="0"/>
        <v>-2587023.7199999993</v>
      </c>
      <c r="R26">
        <v>11</v>
      </c>
    </row>
    <row r="27" spans="1:18">
      <c r="A27" s="212">
        <v>45566</v>
      </c>
      <c r="B27" s="392">
        <v>-2497023.2799999993</v>
      </c>
      <c r="C27" s="213">
        <v>-251405</v>
      </c>
      <c r="D27" s="214"/>
      <c r="E27" s="214"/>
      <c r="F27" s="214"/>
      <c r="G27" s="215">
        <v>-2748428.2799999993</v>
      </c>
      <c r="H27" s="216">
        <v>-2622725.7799999993</v>
      </c>
      <c r="I27" s="216">
        <v>-5809795.7153846156</v>
      </c>
      <c r="J27" s="216"/>
      <c r="K27" s="245">
        <v>-90000.439999999988</v>
      </c>
      <c r="L27" s="218">
        <v>-10000</v>
      </c>
      <c r="M27" s="245"/>
      <c r="N27" s="216">
        <v>-100000.43999999999</v>
      </c>
      <c r="O27" s="216">
        <v>-95000.439999999988</v>
      </c>
      <c r="P27" s="216">
        <v>-56846.593846153832</v>
      </c>
      <c r="Q27" s="211">
        <f t="shared" si="0"/>
        <v>-2848428.7199999993</v>
      </c>
      <c r="R27">
        <v>12</v>
      </c>
    </row>
    <row r="28" spans="1:18">
      <c r="A28" s="212">
        <v>45597</v>
      </c>
      <c r="B28" s="392">
        <v>-2748428.2799999993</v>
      </c>
      <c r="C28" s="213">
        <v>-237820</v>
      </c>
      <c r="D28" s="214"/>
      <c r="E28" s="214"/>
      <c r="F28" s="214"/>
      <c r="G28" s="215">
        <v>-2986248.2799999993</v>
      </c>
      <c r="H28" s="216">
        <v>-2867338.2799999993</v>
      </c>
      <c r="I28" s="216">
        <v>-6172001.5469230767</v>
      </c>
      <c r="K28" s="245">
        <v>-100000.43999999999</v>
      </c>
      <c r="L28" s="218">
        <v>-10000</v>
      </c>
      <c r="M28" s="245"/>
      <c r="N28" s="216">
        <v>-110000.43999999999</v>
      </c>
      <c r="O28" s="216">
        <v>-105000.43999999999</v>
      </c>
      <c r="P28" s="216">
        <v>-58385.055384615371</v>
      </c>
      <c r="Q28" s="211">
        <f t="shared" si="0"/>
        <v>-3096248.7199999993</v>
      </c>
      <c r="R28">
        <v>13</v>
      </c>
    </row>
    <row r="29" spans="1:18">
      <c r="A29" s="212">
        <v>45627</v>
      </c>
      <c r="B29" s="395">
        <v>-2986248.2799999993</v>
      </c>
      <c r="C29" s="220">
        <v>-246007</v>
      </c>
      <c r="D29" s="221"/>
      <c r="E29" s="221">
        <v>1707117</v>
      </c>
      <c r="F29" s="221">
        <v>473124</v>
      </c>
      <c r="G29" s="222">
        <v>-1052014.2799999993</v>
      </c>
      <c r="H29" s="223">
        <v>-2019131.2799999993</v>
      </c>
      <c r="I29" s="223">
        <v>-6228850.2800000003</v>
      </c>
      <c r="J29" s="125"/>
      <c r="K29" s="397">
        <v>-110000.43999999999</v>
      </c>
      <c r="L29" s="398">
        <v>-10000</v>
      </c>
      <c r="M29" s="397">
        <v>120000</v>
      </c>
      <c r="N29" s="223">
        <v>-0.43999999998777639</v>
      </c>
      <c r="O29" s="223">
        <v>-55000.439999999988</v>
      </c>
      <c r="P29" s="223">
        <v>-50769.670769230746</v>
      </c>
      <c r="Q29" s="211">
        <f t="shared" si="0"/>
        <v>-1052014.7199999993</v>
      </c>
      <c r="R29">
        <v>14</v>
      </c>
    </row>
    <row r="30" spans="1:18">
      <c r="D30" s="94"/>
      <c r="E30" s="94"/>
      <c r="F30" s="94"/>
      <c r="G30" s="59"/>
      <c r="M30" s="217"/>
    </row>
    <row r="31" spans="1:18">
      <c r="D31" s="94"/>
      <c r="E31" s="94"/>
      <c r="F31" s="94"/>
      <c r="G31" s="59"/>
      <c r="M31" s="217"/>
    </row>
    <row r="32" spans="1:18">
      <c r="D32" s="94"/>
      <c r="E32" s="94"/>
      <c r="F32" s="94"/>
      <c r="G32" s="59"/>
      <c r="M32" s="217"/>
    </row>
    <row r="33" spans="1:15">
      <c r="A33" s="184" t="s">
        <v>2288</v>
      </c>
      <c r="D33" s="94"/>
      <c r="E33" s="94"/>
      <c r="F33" s="94"/>
      <c r="G33" s="59"/>
    </row>
    <row r="34" spans="1:15">
      <c r="A34" s="184" t="s">
        <v>2289</v>
      </c>
      <c r="D34" s="94"/>
      <c r="E34" s="94"/>
      <c r="F34" s="94"/>
      <c r="G34" s="59"/>
    </row>
    <row r="35" spans="1:15">
      <c r="A35" s="184" t="s">
        <v>2290</v>
      </c>
      <c r="B35" s="224"/>
    </row>
    <row r="37" spans="1:15">
      <c r="A37" s="789" t="s">
        <v>2291</v>
      </c>
      <c r="B37" s="790"/>
      <c r="C37" s="791"/>
      <c r="D37" s="225" t="s">
        <v>2301</v>
      </c>
      <c r="E37" s="225" t="s">
        <v>2301</v>
      </c>
      <c r="F37" s="225" t="s">
        <v>2301</v>
      </c>
      <c r="G37" s="225" t="s">
        <v>2301</v>
      </c>
      <c r="H37" s="225" t="s">
        <v>2301</v>
      </c>
      <c r="I37" s="225" t="s">
        <v>2301</v>
      </c>
      <c r="J37" s="225" t="s">
        <v>2301</v>
      </c>
      <c r="K37" s="225" t="s">
        <v>2301</v>
      </c>
      <c r="L37" s="225" t="s">
        <v>2301</v>
      </c>
      <c r="M37" s="225" t="s">
        <v>2301</v>
      </c>
      <c r="N37" s="225" t="s">
        <v>2301</v>
      </c>
      <c r="O37" s="225" t="s">
        <v>2301</v>
      </c>
    </row>
    <row r="38" spans="1:15">
      <c r="A38" s="792" t="s">
        <v>2292</v>
      </c>
      <c r="B38" s="793"/>
      <c r="C38" s="797"/>
      <c r="D38" s="225" t="s">
        <v>2302</v>
      </c>
      <c r="E38" s="225" t="s">
        <v>2303</v>
      </c>
      <c r="F38" s="225" t="s">
        <v>2304</v>
      </c>
      <c r="G38" s="225" t="s">
        <v>2305</v>
      </c>
      <c r="H38" s="225" t="s">
        <v>362</v>
      </c>
      <c r="I38" s="225" t="s">
        <v>2306</v>
      </c>
      <c r="J38" s="225" t="s">
        <v>2307</v>
      </c>
      <c r="K38" s="225" t="s">
        <v>2308</v>
      </c>
      <c r="L38" s="225" t="s">
        <v>2309</v>
      </c>
      <c r="M38" s="225" t="s">
        <v>2310</v>
      </c>
      <c r="N38" s="225" t="s">
        <v>2311</v>
      </c>
      <c r="O38" s="225" t="s">
        <v>2312</v>
      </c>
    </row>
    <row r="39" spans="1:15">
      <c r="A39" s="226" t="s">
        <v>2293</v>
      </c>
      <c r="B39" s="227"/>
      <c r="C39" s="228"/>
      <c r="D39" s="229">
        <v>-46461.978461538449</v>
      </c>
      <c r="E39" s="230">
        <v>-47308.132307692285</v>
      </c>
      <c r="F39" s="230">
        <v>-48231.209230769207</v>
      </c>
      <c r="G39" s="229">
        <v>-49231.2092307692</v>
      </c>
      <c r="H39" s="229">
        <v>-50308.132307692285</v>
      </c>
      <c r="I39" s="229">
        <v>-51461.978461538449</v>
      </c>
      <c r="J39" s="229">
        <v>-52692.747692307683</v>
      </c>
      <c r="K39" s="229">
        <v>-54000.439999999988</v>
      </c>
      <c r="L39" s="229">
        <v>-55385.055384615371</v>
      </c>
      <c r="M39" s="229">
        <v>-56846.593846153832</v>
      </c>
      <c r="N39" s="229">
        <v>-58385.055384615371</v>
      </c>
      <c r="O39" s="231">
        <v>-50769.670769230746</v>
      </c>
    </row>
    <row r="40" spans="1:15">
      <c r="A40" s="226" t="s">
        <v>2294</v>
      </c>
      <c r="B40" s="227"/>
      <c r="C40" s="228"/>
      <c r="D40" s="232">
        <v>-5000.4399999999878</v>
      </c>
      <c r="E40" s="232">
        <v>-15000.439999999988</v>
      </c>
      <c r="F40" s="232">
        <v>-25000.439999999988</v>
      </c>
      <c r="G40" s="233">
        <v>-35000.439999999988</v>
      </c>
      <c r="H40" s="233">
        <v>-45000.439999999988</v>
      </c>
      <c r="I40" s="233">
        <v>-55000.439999999988</v>
      </c>
      <c r="J40" s="233">
        <v>-65000.439999999988</v>
      </c>
      <c r="K40" s="233">
        <v>-75000.439999999988</v>
      </c>
      <c r="L40" s="233">
        <v>-85000.439999999988</v>
      </c>
      <c r="M40" s="233">
        <v>-95000.439999999988</v>
      </c>
      <c r="N40" s="233">
        <v>-105000.43999999999</v>
      </c>
      <c r="O40" s="231">
        <v>-55000.439999999988</v>
      </c>
    </row>
    <row r="41" spans="1:15">
      <c r="A41" s="226" t="s">
        <v>2295</v>
      </c>
      <c r="B41" s="227"/>
      <c r="C41" s="228"/>
      <c r="D41" s="234"/>
      <c r="E41" s="234"/>
      <c r="F41" s="234"/>
      <c r="G41" s="235"/>
      <c r="H41" s="235"/>
      <c r="I41" s="235"/>
      <c r="J41" s="235"/>
      <c r="K41" s="235"/>
      <c r="L41" s="235"/>
      <c r="M41" s="235"/>
      <c r="N41" s="235"/>
      <c r="O41" s="231">
        <v>-0.43999999998777639</v>
      </c>
    </row>
    <row r="42" spans="1:15">
      <c r="A42" s="226" t="s">
        <v>2296</v>
      </c>
      <c r="B42" s="227"/>
      <c r="C42" s="228"/>
      <c r="D42" s="232">
        <v>-15014920.279999999</v>
      </c>
      <c r="E42" s="232">
        <v>-15370290.279999999</v>
      </c>
      <c r="F42" s="232">
        <v>-16210409.279999999</v>
      </c>
      <c r="G42" s="233">
        <v>-2112761.2799999993</v>
      </c>
      <c r="H42" s="233">
        <v>-2405225.2799999993</v>
      </c>
      <c r="I42" s="233">
        <v>-1091379.2799999993</v>
      </c>
      <c r="J42" s="233">
        <v>-2072594.2799999993</v>
      </c>
      <c r="K42" s="233">
        <v>-2797470.2799999993</v>
      </c>
      <c r="L42" s="233">
        <v>-2497023.2799999993</v>
      </c>
      <c r="M42" s="233">
        <v>-2748428.2799999993</v>
      </c>
      <c r="N42" s="233">
        <v>-2986248.2799999993</v>
      </c>
      <c r="O42" s="231">
        <v>-1052014.2799999993</v>
      </c>
    </row>
    <row r="43" spans="1:15">
      <c r="A43" s="226" t="s">
        <v>2297</v>
      </c>
      <c r="B43" s="227"/>
      <c r="C43" s="228"/>
      <c r="D43" s="234"/>
      <c r="E43" s="234"/>
      <c r="F43" s="234"/>
      <c r="G43" s="235"/>
      <c r="H43" s="235"/>
      <c r="I43" s="235"/>
      <c r="J43" s="235"/>
      <c r="K43" s="235"/>
      <c r="L43" s="235"/>
      <c r="M43" s="235"/>
      <c r="N43" s="235"/>
      <c r="O43" s="231">
        <v>-2019131.2799999993</v>
      </c>
    </row>
    <row r="44" spans="1:15">
      <c r="A44" s="236" t="s">
        <v>2298</v>
      </c>
      <c r="B44" s="237"/>
      <c r="C44" s="228"/>
      <c r="D44" s="232">
        <v>-1347352.6838461522</v>
      </c>
      <c r="E44" s="232">
        <v>-2530045.1899999981</v>
      </c>
      <c r="F44" s="232">
        <v>-3767110.3969230754</v>
      </c>
      <c r="G44" s="233">
        <v>-4004725.3099999991</v>
      </c>
      <c r="H44" s="233">
        <v>-4312197.3538461532</v>
      </c>
      <c r="I44" s="233">
        <v>-4510643.1723076915</v>
      </c>
      <c r="J44" s="233">
        <v>-4800869.2184615377</v>
      </c>
      <c r="K44" s="233">
        <v>-5138075.3992307689</v>
      </c>
      <c r="L44" s="233">
        <v>-5464421.2907692306</v>
      </c>
      <c r="M44" s="233">
        <v>-5809795.7153846156</v>
      </c>
      <c r="N44" s="233">
        <v>-6172001.5469230767</v>
      </c>
      <c r="O44" s="231">
        <v>-6228850.2800000003</v>
      </c>
    </row>
    <row r="45" spans="1:15" hidden="1">
      <c r="A45" s="792" t="s">
        <v>2313</v>
      </c>
      <c r="B45" s="793"/>
      <c r="C45" s="798"/>
    </row>
    <row r="46" spans="1:15" hidden="1">
      <c r="A46" s="226" t="s">
        <v>2293</v>
      </c>
      <c r="B46" s="227"/>
      <c r="C46" s="231" t="e">
        <v>#REF!</v>
      </c>
    </row>
    <row r="47" spans="1:15" hidden="1">
      <c r="A47" s="226" t="s">
        <v>2294</v>
      </c>
      <c r="B47" s="227"/>
      <c r="C47" s="238" t="e">
        <v>#REF!</v>
      </c>
    </row>
    <row r="48" spans="1:15" hidden="1">
      <c r="A48" s="226" t="s">
        <v>2295</v>
      </c>
      <c r="B48" s="227"/>
      <c r="C48" s="239" t="e">
        <v>#REF!</v>
      </c>
    </row>
    <row r="49" spans="1:3" hidden="1">
      <c r="A49" s="226" t="s">
        <v>2296</v>
      </c>
      <c r="B49" s="227"/>
      <c r="C49" s="239" t="e">
        <v>#REF!</v>
      </c>
    </row>
    <row r="50" spans="1:3" hidden="1">
      <c r="A50" s="226" t="s">
        <v>2297</v>
      </c>
      <c r="B50" s="227"/>
      <c r="C50" s="239" t="e">
        <v>#REF!</v>
      </c>
    </row>
    <row r="51" spans="1:3" hidden="1">
      <c r="A51" s="236" t="s">
        <v>2298</v>
      </c>
      <c r="B51" s="237"/>
      <c r="C51" s="231" t="e">
        <v>#REF!</v>
      </c>
    </row>
    <row r="52" spans="1:3" hidden="1"/>
  </sheetData>
  <mergeCells count="5">
    <mergeCell ref="B3:B4"/>
    <mergeCell ref="K3:K4"/>
    <mergeCell ref="A37:C37"/>
    <mergeCell ref="A38:C38"/>
    <mergeCell ref="A45:C45"/>
  </mergeCells>
  <pageMargins left="0.7" right="0.7" top="0.75" bottom="0.75" header="0.3" footer="0.3"/>
  <pageSetup orientation="portrait" r:id="rId1"/>
  <customProperties>
    <customPr name="EpmWorksheetKeyString_GU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3DD1D-F598-4722-A048-7A0F75258A81}">
  <sheetPr>
    <tabColor rgb="FFE1FFE1"/>
  </sheetPr>
  <dimension ref="A3:CF52"/>
  <sheetViews>
    <sheetView topLeftCell="A4" zoomScale="80" zoomScaleNormal="80" workbookViewId="0">
      <selection activeCell="Q29" sqref="Q29:Q41"/>
    </sheetView>
  </sheetViews>
  <sheetFormatPr defaultRowHeight="14.4"/>
  <cols>
    <col min="1" max="1" width="15.5546875" customWidth="1"/>
    <col min="2" max="2" width="17.44140625" style="198" customWidth="1"/>
    <col min="3" max="3" width="15.88671875" style="198" bestFit="1" customWidth="1"/>
    <col min="4" max="6" width="14.88671875" style="198" customWidth="1"/>
    <col min="7" max="7" width="16.109375" customWidth="1"/>
    <col min="8" max="8" width="17.109375" customWidth="1"/>
    <col min="9" max="9" width="16.33203125" bestFit="1" customWidth="1"/>
    <col min="10" max="10" width="13.44140625" customWidth="1"/>
    <col min="11" max="11" width="13.33203125" customWidth="1"/>
    <col min="12" max="14" width="16.109375" customWidth="1"/>
    <col min="15" max="17" width="19.33203125" customWidth="1"/>
    <col min="18" max="18" width="3.44140625" customWidth="1"/>
    <col min="19" max="84" width="8.6640625" style="195"/>
  </cols>
  <sheetData>
    <row r="3" spans="1:18">
      <c r="B3" s="795" t="s">
        <v>2278</v>
      </c>
      <c r="C3" s="193" t="s">
        <v>2279</v>
      </c>
      <c r="D3" s="193"/>
      <c r="E3" s="193"/>
      <c r="F3" s="193"/>
      <c r="G3" s="194"/>
      <c r="H3" s="194"/>
      <c r="I3" s="194"/>
      <c r="J3" s="194"/>
      <c r="K3" s="795" t="s">
        <v>2278</v>
      </c>
      <c r="L3" s="193" t="s">
        <v>2279</v>
      </c>
      <c r="M3" s="194"/>
      <c r="N3" s="194"/>
      <c r="O3" s="194"/>
      <c r="P3" s="194"/>
    </row>
    <row r="4" spans="1:18" ht="14.4" customHeight="1">
      <c r="B4" s="796"/>
      <c r="C4" s="196" t="s">
        <v>2280</v>
      </c>
      <c r="D4" s="196" t="s">
        <v>178</v>
      </c>
      <c r="E4" s="196" t="s">
        <v>2281</v>
      </c>
      <c r="F4" s="196" t="s">
        <v>2282</v>
      </c>
      <c r="G4" s="197" t="s">
        <v>2283</v>
      </c>
      <c r="H4" s="196" t="s">
        <v>2284</v>
      </c>
      <c r="I4" s="196" t="s">
        <v>2285</v>
      </c>
      <c r="J4" s="197"/>
      <c r="K4" s="796"/>
      <c r="L4" s="196">
        <v>6900065</v>
      </c>
      <c r="M4" s="197" t="s">
        <v>2286</v>
      </c>
      <c r="N4" s="197" t="s">
        <v>2283</v>
      </c>
      <c r="O4" s="196" t="s">
        <v>2284</v>
      </c>
      <c r="P4" s="196" t="s">
        <v>2285</v>
      </c>
      <c r="Q4" s="198"/>
    </row>
    <row r="5" spans="1:18">
      <c r="Q5" s="199" t="s">
        <v>2287</v>
      </c>
    </row>
    <row r="6" spans="1:18">
      <c r="A6" s="212">
        <v>45292</v>
      </c>
      <c r="B6" s="474">
        <v>-14616289.279999999</v>
      </c>
      <c r="C6" s="475">
        <v>-398631</v>
      </c>
      <c r="D6" s="244"/>
      <c r="E6" s="244"/>
      <c r="F6" s="244"/>
      <c r="G6" s="215">
        <v>-15014920.279999999</v>
      </c>
      <c r="H6" s="216">
        <v>-14815604.779999999</v>
      </c>
      <c r="I6" s="216">
        <v>-1347352.6838461522</v>
      </c>
      <c r="J6" s="216"/>
      <c r="K6" s="476">
        <v>-0.43999999998777639</v>
      </c>
      <c r="L6" s="218">
        <v>-10000</v>
      </c>
      <c r="M6" s="476"/>
      <c r="N6" s="216">
        <v>-10000.439999999988</v>
      </c>
      <c r="O6" s="216">
        <v>-5000.4399999999878</v>
      </c>
      <c r="P6" s="216">
        <v>-46461.978461538449</v>
      </c>
      <c r="Q6" s="205">
        <f>SUM(G6,N6)</f>
        <v>-15024920.719999999</v>
      </c>
      <c r="R6">
        <v>3</v>
      </c>
    </row>
    <row r="7" spans="1:18">
      <c r="A7" s="212">
        <v>45323</v>
      </c>
      <c r="B7" s="474">
        <v>-15014920.279999999</v>
      </c>
      <c r="C7" s="475">
        <v>-355370</v>
      </c>
      <c r="D7" s="244"/>
      <c r="E7" s="244"/>
      <c r="F7" s="244"/>
      <c r="G7" s="215">
        <v>-15370290.279999999</v>
      </c>
      <c r="H7" s="216">
        <v>-15192605.279999999</v>
      </c>
      <c r="I7" s="216">
        <v>-2530045.1899999981</v>
      </c>
      <c r="J7" s="216"/>
      <c r="K7" s="476">
        <v>-10000.439999999988</v>
      </c>
      <c r="L7" s="218">
        <v>-10000</v>
      </c>
      <c r="M7" s="476"/>
      <c r="N7" s="216">
        <v>-20000.439999999988</v>
      </c>
      <c r="O7" s="216">
        <v>-15000.439999999988</v>
      </c>
      <c r="P7" s="216">
        <v>-47308.132307692285</v>
      </c>
      <c r="Q7" s="205">
        <f t="shared" ref="Q7:Q29" si="0">SUM(G7,N7)</f>
        <v>-15390290.719999999</v>
      </c>
      <c r="R7">
        <v>4</v>
      </c>
    </row>
    <row r="8" spans="1:18">
      <c r="A8" s="212">
        <v>45352</v>
      </c>
      <c r="B8" s="474">
        <v>-15370290.279999999</v>
      </c>
      <c r="C8" s="475">
        <v>-840119</v>
      </c>
      <c r="D8" s="244"/>
      <c r="E8" s="244"/>
      <c r="F8" s="244"/>
      <c r="G8" s="215">
        <v>-16210409.279999999</v>
      </c>
      <c r="H8" s="216">
        <v>-15790349.779999999</v>
      </c>
      <c r="I8" s="216">
        <v>-3767110.3969230754</v>
      </c>
      <c r="J8" s="216"/>
      <c r="K8" s="476">
        <v>-20000.439999999988</v>
      </c>
      <c r="L8" s="218">
        <v>-10000</v>
      </c>
      <c r="M8" s="476"/>
      <c r="N8" s="216">
        <v>-30000.439999999988</v>
      </c>
      <c r="O8" s="216">
        <v>-25000.439999999988</v>
      </c>
      <c r="P8" s="216">
        <v>-48231.209230769207</v>
      </c>
      <c r="Q8" s="205">
        <f t="shared" si="0"/>
        <v>-16240409.719999999</v>
      </c>
      <c r="R8">
        <v>5</v>
      </c>
    </row>
    <row r="9" spans="1:18">
      <c r="A9" s="212">
        <v>45383</v>
      </c>
      <c r="B9" s="474">
        <v>-16210409.279999999</v>
      </c>
      <c r="C9" s="475">
        <v>-318798</v>
      </c>
      <c r="D9" s="244"/>
      <c r="E9" s="477">
        <v>11288000</v>
      </c>
      <c r="F9" s="477">
        <v>3128446</v>
      </c>
      <c r="G9" s="215">
        <v>-2112761.2799999993</v>
      </c>
      <c r="H9" s="216">
        <v>-9161585.2799999993</v>
      </c>
      <c r="I9" s="216">
        <v>-4004725.3099999991</v>
      </c>
      <c r="J9" s="216"/>
      <c r="K9" s="476">
        <v>-30000.439999999988</v>
      </c>
      <c r="L9" s="218">
        <v>-10000</v>
      </c>
      <c r="M9" s="476"/>
      <c r="N9" s="216">
        <v>-40000.439999999988</v>
      </c>
      <c r="O9" s="216">
        <v>-35000.439999999988</v>
      </c>
      <c r="P9" s="216">
        <v>-49231.2092307692</v>
      </c>
      <c r="Q9" s="205">
        <f t="shared" si="0"/>
        <v>-2152761.7199999993</v>
      </c>
      <c r="R9">
        <v>6</v>
      </c>
    </row>
    <row r="10" spans="1:18">
      <c r="A10" s="212">
        <v>45413</v>
      </c>
      <c r="B10" s="474">
        <v>-2112761.2799999993</v>
      </c>
      <c r="C10" s="475">
        <v>-292464</v>
      </c>
      <c r="D10" s="244"/>
      <c r="E10" s="244"/>
      <c r="F10" s="244"/>
      <c r="G10" s="215">
        <v>-2405225.2799999993</v>
      </c>
      <c r="H10" s="216">
        <v>-2258993.2799999993</v>
      </c>
      <c r="I10" s="216">
        <v>-4312197.3538461532</v>
      </c>
      <c r="J10" s="216"/>
      <c r="K10" s="476">
        <v>-40000.439999999988</v>
      </c>
      <c r="L10" s="218">
        <v>-10000</v>
      </c>
      <c r="M10" s="476"/>
      <c r="N10" s="216">
        <v>-50000.439999999988</v>
      </c>
      <c r="O10" s="216">
        <v>-45000.439999999988</v>
      </c>
      <c r="P10" s="216">
        <v>-50308.132307692285</v>
      </c>
      <c r="Q10" s="205">
        <f t="shared" si="0"/>
        <v>-2455225.7199999993</v>
      </c>
      <c r="R10">
        <v>7</v>
      </c>
    </row>
    <row r="11" spans="1:18">
      <c r="A11" s="212">
        <v>45444</v>
      </c>
      <c r="B11" s="474">
        <v>-2405225.2799999993</v>
      </c>
      <c r="C11" s="475">
        <v>-280274</v>
      </c>
      <c r="D11" s="244"/>
      <c r="E11" s="477">
        <v>1248187</v>
      </c>
      <c r="F11" s="477">
        <v>345933</v>
      </c>
      <c r="G11" s="215">
        <v>-1091379.2799999993</v>
      </c>
      <c r="H11" s="216">
        <v>-1748302.2799999993</v>
      </c>
      <c r="I11" s="216">
        <v>-4510643.1723076915</v>
      </c>
      <c r="J11" s="216"/>
      <c r="K11" s="476">
        <v>-50000.439999999988</v>
      </c>
      <c r="L11" s="218">
        <v>-10000</v>
      </c>
      <c r="M11" s="476"/>
      <c r="N11" s="216">
        <v>-60000.439999999988</v>
      </c>
      <c r="O11" s="216">
        <v>-55000.439999999988</v>
      </c>
      <c r="P11" s="216">
        <v>-51461.978461538449</v>
      </c>
      <c r="Q11" s="205">
        <f t="shared" si="0"/>
        <v>-1151379.7199999993</v>
      </c>
      <c r="R11">
        <v>8</v>
      </c>
    </row>
    <row r="12" spans="1:18">
      <c r="A12" s="212">
        <v>45474</v>
      </c>
      <c r="B12" s="474">
        <v>-1091379.2799999993</v>
      </c>
      <c r="C12" s="475">
        <v>-981215</v>
      </c>
      <c r="D12" s="244"/>
      <c r="E12" s="244"/>
      <c r="F12" s="244"/>
      <c r="G12" s="215">
        <v>-2072594.2799999993</v>
      </c>
      <c r="H12" s="216">
        <v>-1581986.7799999993</v>
      </c>
      <c r="I12" s="216">
        <v>-4800869.2184615377</v>
      </c>
      <c r="J12" s="216"/>
      <c r="K12" s="476">
        <v>-60000.439999999988</v>
      </c>
      <c r="L12" s="218">
        <v>-10000</v>
      </c>
      <c r="M12" s="476"/>
      <c r="N12" s="216">
        <v>-70000.439999999988</v>
      </c>
      <c r="O12" s="216">
        <v>-65000.439999999988</v>
      </c>
      <c r="P12" s="216">
        <v>-52692.747692307683</v>
      </c>
      <c r="Q12" s="205">
        <f t="shared" si="0"/>
        <v>-2142594.7199999993</v>
      </c>
      <c r="R12">
        <v>9</v>
      </c>
    </row>
    <row r="13" spans="1:18">
      <c r="A13" s="212">
        <v>45505</v>
      </c>
      <c r="B13" s="474">
        <v>-2072594.2799999993</v>
      </c>
      <c r="C13" s="475">
        <v>-724876</v>
      </c>
      <c r="D13" s="478"/>
      <c r="E13" s="478"/>
      <c r="F13" s="478"/>
      <c r="G13" s="215">
        <v>-2797470.2799999993</v>
      </c>
      <c r="H13" s="216">
        <v>-2435032.2799999993</v>
      </c>
      <c r="I13" s="216">
        <v>-5138075.3992307689</v>
      </c>
      <c r="J13" s="216"/>
      <c r="K13" s="476">
        <v>-70000.439999999988</v>
      </c>
      <c r="L13" s="218">
        <v>-10000</v>
      </c>
      <c r="M13" s="476"/>
      <c r="N13" s="216">
        <v>-80000.439999999988</v>
      </c>
      <c r="O13" s="216">
        <v>-75000.439999999988</v>
      </c>
      <c r="P13" s="216">
        <v>-54000.439999999988</v>
      </c>
      <c r="Q13" s="205">
        <f t="shared" si="0"/>
        <v>-2877470.7199999993</v>
      </c>
      <c r="R13">
        <v>10</v>
      </c>
    </row>
    <row r="14" spans="1:18">
      <c r="A14" s="212">
        <v>45536</v>
      </c>
      <c r="B14" s="474">
        <v>-2797470.2799999993</v>
      </c>
      <c r="C14" s="475">
        <v>-239797</v>
      </c>
      <c r="D14" s="478"/>
      <c r="E14" s="479">
        <v>423008</v>
      </c>
      <c r="F14" s="479">
        <v>117236</v>
      </c>
      <c r="G14" s="215">
        <v>-2497023.2799999993</v>
      </c>
      <c r="H14" s="216">
        <v>-2647246.7799999993</v>
      </c>
      <c r="I14" s="216">
        <v>-5464421.2907692306</v>
      </c>
      <c r="J14" s="216"/>
      <c r="K14" s="476">
        <v>-80000.439999999988</v>
      </c>
      <c r="L14" s="218">
        <v>-10000</v>
      </c>
      <c r="M14" s="476"/>
      <c r="N14" s="216">
        <v>-90000.439999999988</v>
      </c>
      <c r="O14" s="216">
        <v>-85000.439999999988</v>
      </c>
      <c r="P14" s="216">
        <v>-55385.055384615371</v>
      </c>
      <c r="Q14" s="205">
        <f t="shared" si="0"/>
        <v>-2587023.7199999993</v>
      </c>
      <c r="R14">
        <v>11</v>
      </c>
    </row>
    <row r="15" spans="1:18">
      <c r="A15" s="212">
        <v>45566</v>
      </c>
      <c r="B15" s="474">
        <v>-2497023.2799999993</v>
      </c>
      <c r="C15" s="475">
        <v>-251405</v>
      </c>
      <c r="D15" s="478"/>
      <c r="E15" s="478"/>
      <c r="F15" s="478"/>
      <c r="G15" s="215">
        <v>-2748428.2799999993</v>
      </c>
      <c r="H15" s="216">
        <v>-2622725.7799999993</v>
      </c>
      <c r="I15" s="216">
        <v>-5809795.7153846156</v>
      </c>
      <c r="J15" s="216"/>
      <c r="K15" s="476">
        <v>-90000.439999999988</v>
      </c>
      <c r="L15" s="218">
        <v>-10000</v>
      </c>
      <c r="M15" s="476"/>
      <c r="N15" s="216">
        <v>-100000.43999999999</v>
      </c>
      <c r="O15" s="216">
        <v>-95000.439999999988</v>
      </c>
      <c r="P15" s="216">
        <v>-56846.593846153832</v>
      </c>
      <c r="Q15" s="205">
        <f t="shared" si="0"/>
        <v>-2848428.7199999993</v>
      </c>
      <c r="R15">
        <v>12</v>
      </c>
    </row>
    <row r="16" spans="1:18">
      <c r="A16" s="212">
        <v>45597</v>
      </c>
      <c r="B16" s="474">
        <v>-2748428.2799999993</v>
      </c>
      <c r="C16" s="475">
        <v>-237820</v>
      </c>
      <c r="D16" s="478"/>
      <c r="E16" s="478"/>
      <c r="F16" s="478"/>
      <c r="G16" s="215">
        <v>-2986248.2799999993</v>
      </c>
      <c r="H16" s="216">
        <v>-2867338.2799999993</v>
      </c>
      <c r="I16" s="216">
        <v>-6172001.5469230767</v>
      </c>
      <c r="K16" s="476">
        <v>-100000.43999999999</v>
      </c>
      <c r="L16" s="218">
        <v>-10000</v>
      </c>
      <c r="M16" s="476"/>
      <c r="N16" s="216">
        <v>-110000.43999999999</v>
      </c>
      <c r="O16" s="216">
        <v>-105000.43999999999</v>
      </c>
      <c r="P16" s="216">
        <v>-58385.055384615371</v>
      </c>
      <c r="Q16" s="205">
        <f t="shared" si="0"/>
        <v>-3096248.7199999993</v>
      </c>
      <c r="R16">
        <v>13</v>
      </c>
    </row>
    <row r="17" spans="1:18">
      <c r="A17" s="212">
        <v>45627</v>
      </c>
      <c r="B17" s="480">
        <v>-2986248.2799999993</v>
      </c>
      <c r="C17" s="481">
        <v>-246007</v>
      </c>
      <c r="D17" s="482"/>
      <c r="E17" s="483">
        <v>1707117</v>
      </c>
      <c r="F17" s="483">
        <v>473124</v>
      </c>
      <c r="G17" s="222">
        <v>-1052014.2799999993</v>
      </c>
      <c r="H17" s="223">
        <v>-2019131.2799999993</v>
      </c>
      <c r="I17" s="223">
        <v>-6228850.2800000003</v>
      </c>
      <c r="J17" s="125"/>
      <c r="K17" s="484">
        <v>-110000.43999999999</v>
      </c>
      <c r="L17" s="398">
        <v>-10000</v>
      </c>
      <c r="M17" s="484">
        <v>120000</v>
      </c>
      <c r="N17" s="223">
        <v>-0.43999999998777639</v>
      </c>
      <c r="O17" s="223">
        <v>-55000.439999999988</v>
      </c>
      <c r="P17" s="223">
        <v>-50769.670769230746</v>
      </c>
      <c r="Q17" s="211">
        <f t="shared" si="0"/>
        <v>-1052014.7199999993</v>
      </c>
      <c r="R17">
        <v>14</v>
      </c>
    </row>
    <row r="18" spans="1:18">
      <c r="A18" s="212">
        <v>45658</v>
      </c>
      <c r="B18" s="485">
        <v>-1052014.2799999993</v>
      </c>
      <c r="C18" s="486">
        <v>-360157</v>
      </c>
      <c r="D18" s="485"/>
      <c r="E18" s="485"/>
      <c r="F18" s="485"/>
      <c r="G18" s="487">
        <v>-1412171.2799999993</v>
      </c>
      <c r="H18" s="488">
        <v>-1232092.7799999993</v>
      </c>
      <c r="I18" s="488">
        <v>-5213148.8953846153</v>
      </c>
      <c r="J18" s="489"/>
      <c r="K18" s="490">
        <v>-0.43999999998777639</v>
      </c>
      <c r="L18" s="491">
        <v>-10000</v>
      </c>
      <c r="M18" s="490"/>
      <c r="N18" s="488">
        <v>-10000.439999999988</v>
      </c>
      <c r="O18" s="488">
        <v>-5000.4399999999878</v>
      </c>
      <c r="P18" s="488">
        <v>-51538.90153846152</v>
      </c>
      <c r="Q18" s="211">
        <f t="shared" si="0"/>
        <v>-1422171.7199999993</v>
      </c>
      <c r="R18">
        <v>3</v>
      </c>
    </row>
    <row r="19" spans="1:18">
      <c r="A19" s="212">
        <v>45689</v>
      </c>
      <c r="B19" s="485">
        <v>-1412171.2799999993</v>
      </c>
      <c r="C19" s="486">
        <v>-337882</v>
      </c>
      <c r="D19" s="485"/>
      <c r="E19" s="485"/>
      <c r="F19" s="485"/>
      <c r="G19" s="487">
        <v>-1750053.2799999993</v>
      </c>
      <c r="H19" s="488">
        <v>-1581112.2799999993</v>
      </c>
      <c r="I19" s="488">
        <v>-4192774.5107692312</v>
      </c>
      <c r="J19" s="489"/>
      <c r="K19" s="490">
        <v>-10000.439999999988</v>
      </c>
      <c r="L19" s="491">
        <v>-10000</v>
      </c>
      <c r="M19" s="490"/>
      <c r="N19" s="488">
        <v>-20000.439999999988</v>
      </c>
      <c r="O19" s="488">
        <v>-15000.439999999988</v>
      </c>
      <c r="P19" s="488">
        <v>-52308.132307692285</v>
      </c>
      <c r="Q19" s="211">
        <f t="shared" si="0"/>
        <v>-1770053.7199999993</v>
      </c>
      <c r="R19">
        <v>4</v>
      </c>
    </row>
    <row r="20" spans="1:18">
      <c r="A20" s="212">
        <v>45717</v>
      </c>
      <c r="B20" s="485">
        <v>-1750053.2799999993</v>
      </c>
      <c r="C20" s="486">
        <v>-336260</v>
      </c>
      <c r="D20" s="485"/>
      <c r="E20" s="485">
        <v>-580941</v>
      </c>
      <c r="F20" s="485"/>
      <c r="G20" s="487">
        <v>-2667254.2799999993</v>
      </c>
      <c r="H20" s="488">
        <v>-2208653.7799999993</v>
      </c>
      <c r="I20" s="488">
        <v>-3215617.8953846162</v>
      </c>
      <c r="J20" s="489"/>
      <c r="K20" s="490">
        <v>-20000.439999999988</v>
      </c>
      <c r="L20" s="491">
        <v>-10000</v>
      </c>
      <c r="M20" s="490"/>
      <c r="N20" s="488">
        <v>-30000.439999999988</v>
      </c>
      <c r="O20" s="488">
        <v>-25000.439999999988</v>
      </c>
      <c r="P20" s="488">
        <v>-53077.363076923059</v>
      </c>
      <c r="Q20" s="211">
        <f t="shared" si="0"/>
        <v>-2697254.7199999993</v>
      </c>
      <c r="R20">
        <v>5</v>
      </c>
    </row>
    <row r="21" spans="1:18">
      <c r="A21" s="212">
        <v>45748</v>
      </c>
      <c r="B21" s="485">
        <v>-2667254.2799999993</v>
      </c>
      <c r="C21" s="486">
        <v>-344042</v>
      </c>
      <c r="D21" s="485"/>
      <c r="E21" s="485">
        <v>809851</v>
      </c>
      <c r="F21" s="485">
        <v>63442</v>
      </c>
      <c r="G21" s="487">
        <v>-2138003.2799999993</v>
      </c>
      <c r="H21" s="488">
        <v>-2402628.7799999993</v>
      </c>
      <c r="I21" s="488">
        <v>-2133125.1261538463</v>
      </c>
      <c r="J21" s="489"/>
      <c r="K21" s="490">
        <v>-30000.439999999988</v>
      </c>
      <c r="L21" s="491">
        <v>-10000</v>
      </c>
      <c r="M21" s="490"/>
      <c r="N21" s="488">
        <v>-40000.439999999988</v>
      </c>
      <c r="O21" s="488">
        <v>-35000.439999999988</v>
      </c>
      <c r="P21" s="488">
        <v>-53846.593846153817</v>
      </c>
      <c r="Q21" s="211">
        <f t="shared" si="0"/>
        <v>-2178003.7199999993</v>
      </c>
      <c r="R21">
        <v>6</v>
      </c>
    </row>
    <row r="22" spans="1:18">
      <c r="A22" s="212">
        <v>45778</v>
      </c>
      <c r="B22" s="485">
        <v>-2138003.2799999993</v>
      </c>
      <c r="C22" s="486">
        <v>-334993</v>
      </c>
      <c r="D22" s="485"/>
      <c r="E22" s="485"/>
      <c r="F22" s="485"/>
      <c r="G22" s="487">
        <v>-2472996.2799999993</v>
      </c>
      <c r="H22" s="488">
        <v>-2305499.7799999993</v>
      </c>
      <c r="I22" s="488">
        <v>-2160835.5107692308</v>
      </c>
      <c r="J22" s="489"/>
      <c r="K22" s="490">
        <v>-40000.439999999988</v>
      </c>
      <c r="L22" s="491">
        <v>-10000</v>
      </c>
      <c r="M22" s="490"/>
      <c r="N22" s="488">
        <v>-50000.439999999988</v>
      </c>
      <c r="O22" s="488">
        <v>-45000.439999999988</v>
      </c>
      <c r="P22" s="488">
        <v>-54615.824615384583</v>
      </c>
      <c r="Q22" s="211">
        <f t="shared" si="0"/>
        <v>-2522996.7199999993</v>
      </c>
      <c r="R22">
        <v>7</v>
      </c>
    </row>
    <row r="23" spans="1:18">
      <c r="A23" s="212">
        <v>45809</v>
      </c>
      <c r="B23" s="485">
        <v>-2472996.2799999993</v>
      </c>
      <c r="C23" s="486">
        <v>-334233</v>
      </c>
      <c r="D23" s="485"/>
      <c r="E23" s="485">
        <v>809851</v>
      </c>
      <c r="F23" s="485">
        <v>224449</v>
      </c>
      <c r="G23" s="487">
        <v>-1772929.2799999993</v>
      </c>
      <c r="H23" s="488">
        <v>-2122962.7799999993</v>
      </c>
      <c r="I23" s="488">
        <v>-2112197.3569230768</v>
      </c>
      <c r="J23" s="489"/>
      <c r="K23" s="490">
        <v>-50000.439999999988</v>
      </c>
      <c r="L23" s="491">
        <v>-10000</v>
      </c>
      <c r="M23" s="490"/>
      <c r="N23" s="488">
        <v>-60000.439999999988</v>
      </c>
      <c r="O23" s="488">
        <v>-55000.439999999988</v>
      </c>
      <c r="P23" s="488">
        <v>-55385.055384615363</v>
      </c>
      <c r="Q23" s="211">
        <f t="shared" si="0"/>
        <v>-1832929.7199999993</v>
      </c>
      <c r="R23">
        <v>8</v>
      </c>
    </row>
    <row r="24" spans="1:18">
      <c r="A24" s="212">
        <v>45839</v>
      </c>
      <c r="B24" s="485">
        <v>-1772929.2799999993</v>
      </c>
      <c r="C24" s="486">
        <v>-1036822</v>
      </c>
      <c r="D24" s="485"/>
      <c r="E24" s="485"/>
      <c r="F24" s="485"/>
      <c r="G24" s="487">
        <v>-2809751.2799999993</v>
      </c>
      <c r="H24" s="488">
        <v>-2291340.2799999993</v>
      </c>
      <c r="I24" s="488">
        <v>-2244379.8184615383</v>
      </c>
      <c r="J24" s="489"/>
      <c r="K24" s="490">
        <v>-60000.439999999988</v>
      </c>
      <c r="L24" s="491">
        <v>-10000</v>
      </c>
      <c r="M24" s="490"/>
      <c r="N24" s="488">
        <v>-70000.439999999988</v>
      </c>
      <c r="O24" s="488">
        <v>-65000.439999999988</v>
      </c>
      <c r="P24" s="488">
        <v>-56154.286153846137</v>
      </c>
      <c r="Q24" s="211">
        <f t="shared" si="0"/>
        <v>-2879751.7199999993</v>
      </c>
      <c r="R24">
        <v>9</v>
      </c>
    </row>
    <row r="25" spans="1:18">
      <c r="A25" s="212">
        <v>45870</v>
      </c>
      <c r="B25" s="485">
        <v>-2809751.2799999993</v>
      </c>
      <c r="C25" s="486">
        <v>-779392</v>
      </c>
      <c r="D25" s="485"/>
      <c r="E25" s="485"/>
      <c r="F25" s="485"/>
      <c r="G25" s="487">
        <v>-3589143.2799999993</v>
      </c>
      <c r="H25" s="488">
        <v>-3199447.2799999993</v>
      </c>
      <c r="I25" s="488">
        <v>-2361037.4338461538</v>
      </c>
      <c r="J25" s="489"/>
      <c r="K25" s="490">
        <v>-70000.439999999988</v>
      </c>
      <c r="L25" s="491">
        <v>-10000</v>
      </c>
      <c r="M25" s="490"/>
      <c r="N25" s="488">
        <v>-80000.439999999988</v>
      </c>
      <c r="O25" s="488">
        <v>-75000.439999999988</v>
      </c>
      <c r="P25" s="488">
        <v>-56923.516923076902</v>
      </c>
      <c r="Q25" s="211">
        <f t="shared" si="0"/>
        <v>-3669143.7199999993</v>
      </c>
      <c r="R25">
        <v>10</v>
      </c>
    </row>
    <row r="26" spans="1:18">
      <c r="A26" s="212">
        <v>45901</v>
      </c>
      <c r="B26" s="485">
        <v>-3589143.2799999993</v>
      </c>
      <c r="C26" s="486">
        <v>-326503</v>
      </c>
      <c r="D26" s="485"/>
      <c r="E26" s="485">
        <v>785148</v>
      </c>
      <c r="F26" s="485">
        <v>217601</v>
      </c>
      <c r="G26" s="487">
        <v>-2912897.2799999993</v>
      </c>
      <c r="H26" s="488">
        <v>-3251020.2799999993</v>
      </c>
      <c r="I26" s="488">
        <v>-2369916.4338461538</v>
      </c>
      <c r="J26" s="489"/>
      <c r="K26" s="490">
        <v>-80000.439999999988</v>
      </c>
      <c r="L26" s="491">
        <v>-10000</v>
      </c>
      <c r="M26" s="490"/>
      <c r="N26" s="488">
        <v>-90000.439999999988</v>
      </c>
      <c r="O26" s="488">
        <v>-85000.439999999988</v>
      </c>
      <c r="P26" s="488">
        <v>-57692.747692307683</v>
      </c>
      <c r="Q26" s="211">
        <f t="shared" si="0"/>
        <v>-3002897.7199999993</v>
      </c>
      <c r="R26">
        <v>11</v>
      </c>
    </row>
    <row r="27" spans="1:18">
      <c r="A27" s="212">
        <v>45931</v>
      </c>
      <c r="B27" s="485">
        <v>-2912897.2799999993</v>
      </c>
      <c r="C27" s="486">
        <v>-333650</v>
      </c>
      <c r="D27" s="485"/>
      <c r="E27" s="485"/>
      <c r="F27" s="485"/>
      <c r="G27" s="487">
        <v>-3246547.2799999993</v>
      </c>
      <c r="H27" s="488">
        <v>-3079722.2799999993</v>
      </c>
      <c r="I27" s="488">
        <v>-2427572.1261538463</v>
      </c>
      <c r="J27" s="489"/>
      <c r="K27" s="490">
        <v>-90000.439999999988</v>
      </c>
      <c r="L27" s="491">
        <v>-10000</v>
      </c>
      <c r="M27" s="490"/>
      <c r="N27" s="488">
        <v>-100000.43999999999</v>
      </c>
      <c r="O27" s="488">
        <v>-95000.439999999988</v>
      </c>
      <c r="P27" s="488">
        <v>-58461.978461538449</v>
      </c>
      <c r="Q27" s="211">
        <f t="shared" si="0"/>
        <v>-3346547.7199999993</v>
      </c>
      <c r="R27">
        <v>12</v>
      </c>
    </row>
    <row r="28" spans="1:18">
      <c r="A28" s="212">
        <v>45962</v>
      </c>
      <c r="B28" s="485">
        <v>-3246547.2799999993</v>
      </c>
      <c r="C28" s="486">
        <v>-318393</v>
      </c>
      <c r="D28" s="485"/>
      <c r="E28" s="485"/>
      <c r="F28" s="485"/>
      <c r="G28" s="487">
        <v>-3564940.2799999993</v>
      </c>
      <c r="H28" s="488">
        <v>-3405743.7799999993</v>
      </c>
      <c r="I28" s="488">
        <v>-2490380.7415384618</v>
      </c>
      <c r="J28" s="489"/>
      <c r="K28" s="490">
        <v>-100000.43999999999</v>
      </c>
      <c r="L28" s="491">
        <v>-10000</v>
      </c>
      <c r="M28" s="490"/>
      <c r="N28" s="488">
        <v>-110000.43999999999</v>
      </c>
      <c r="O28" s="488">
        <v>-105000.43999999999</v>
      </c>
      <c r="P28" s="488">
        <v>-59231.209230769222</v>
      </c>
      <c r="Q28" s="211">
        <f t="shared" si="0"/>
        <v>-3674940.7199999993</v>
      </c>
      <c r="R28">
        <v>13</v>
      </c>
    </row>
    <row r="29" spans="1:18">
      <c r="A29" s="212">
        <v>45992</v>
      </c>
      <c r="B29" s="492">
        <v>-3564940.2799999993</v>
      </c>
      <c r="C29" s="493">
        <v>-330659</v>
      </c>
      <c r="D29" s="492"/>
      <c r="E29" s="492">
        <v>1969775</v>
      </c>
      <c r="F29" s="492">
        <v>545919</v>
      </c>
      <c r="G29" s="494">
        <v>-1379905.2799999993</v>
      </c>
      <c r="H29" s="495">
        <v>-2472422.7799999993</v>
      </c>
      <c r="I29" s="495">
        <v>-2366815.8953846153</v>
      </c>
      <c r="J29" s="496"/>
      <c r="K29" s="497">
        <v>-110000.43999999999</v>
      </c>
      <c r="L29" s="498">
        <v>-10000</v>
      </c>
      <c r="M29" s="497">
        <v>120000</v>
      </c>
      <c r="N29" s="495">
        <v>-0.43999999998777639</v>
      </c>
      <c r="O29" s="495">
        <v>-55000.439999999988</v>
      </c>
      <c r="P29" s="495">
        <v>-50769.670769230746</v>
      </c>
      <c r="Q29" s="211">
        <f t="shared" si="0"/>
        <v>-1379905.7199999993</v>
      </c>
      <c r="R29">
        <v>14</v>
      </c>
    </row>
    <row r="30" spans="1:18">
      <c r="D30" s="94"/>
      <c r="E30" s="94"/>
      <c r="F30" s="94"/>
      <c r="G30" s="59"/>
      <c r="M30" s="217"/>
    </row>
    <row r="31" spans="1:18">
      <c r="D31" s="94"/>
      <c r="E31" s="94"/>
      <c r="F31" s="94"/>
      <c r="G31" s="59"/>
      <c r="M31" s="217"/>
    </row>
    <row r="32" spans="1:18">
      <c r="D32" s="94"/>
      <c r="E32" s="94"/>
      <c r="F32" s="94"/>
      <c r="G32" s="59"/>
      <c r="M32" s="217"/>
    </row>
    <row r="33" spans="1:15">
      <c r="A33" s="184" t="s">
        <v>2288</v>
      </c>
      <c r="D33" s="94"/>
      <c r="E33" s="94"/>
      <c r="F33" s="94"/>
      <c r="G33" s="59"/>
    </row>
    <row r="34" spans="1:15">
      <c r="A34" s="184" t="s">
        <v>2289</v>
      </c>
      <c r="D34" s="94"/>
      <c r="E34" s="94"/>
      <c r="F34" s="94"/>
      <c r="G34" s="59"/>
    </row>
    <row r="35" spans="1:15">
      <c r="A35" s="184" t="s">
        <v>2290</v>
      </c>
      <c r="B35" s="224"/>
    </row>
    <row r="37" spans="1:15">
      <c r="A37" s="789" t="s">
        <v>2291</v>
      </c>
      <c r="B37" s="790"/>
      <c r="C37" s="791"/>
      <c r="D37" s="225" t="s">
        <v>2301</v>
      </c>
      <c r="E37" s="225" t="s">
        <v>2301</v>
      </c>
      <c r="F37" s="225" t="s">
        <v>2301</v>
      </c>
      <c r="G37" s="225" t="s">
        <v>2301</v>
      </c>
      <c r="H37" s="225" t="s">
        <v>2301</v>
      </c>
      <c r="I37" s="225" t="s">
        <v>2301</v>
      </c>
      <c r="J37" s="225" t="s">
        <v>2301</v>
      </c>
      <c r="K37" s="225" t="s">
        <v>2301</v>
      </c>
      <c r="L37" s="225" t="s">
        <v>2301</v>
      </c>
      <c r="M37" s="225" t="s">
        <v>2301</v>
      </c>
      <c r="N37" s="225" t="s">
        <v>2301</v>
      </c>
      <c r="O37" s="225" t="s">
        <v>2301</v>
      </c>
    </row>
    <row r="38" spans="1:15">
      <c r="A38" s="792" t="s">
        <v>2292</v>
      </c>
      <c r="B38" s="793"/>
      <c r="C38" s="797"/>
      <c r="D38" s="225" t="s">
        <v>2302</v>
      </c>
      <c r="E38" s="225" t="s">
        <v>2303</v>
      </c>
      <c r="F38" s="225" t="s">
        <v>2304</v>
      </c>
      <c r="G38" s="225" t="s">
        <v>2305</v>
      </c>
      <c r="H38" s="225" t="s">
        <v>362</v>
      </c>
      <c r="I38" s="225" t="s">
        <v>2306</v>
      </c>
      <c r="J38" s="225" t="s">
        <v>2307</v>
      </c>
      <c r="K38" s="225" t="s">
        <v>2308</v>
      </c>
      <c r="L38" s="225" t="s">
        <v>2309</v>
      </c>
      <c r="M38" s="225" t="s">
        <v>2310</v>
      </c>
      <c r="N38" s="225" t="s">
        <v>2311</v>
      </c>
      <c r="O38" s="225" t="s">
        <v>2312</v>
      </c>
    </row>
    <row r="39" spans="1:15">
      <c r="A39" s="226" t="s">
        <v>2293</v>
      </c>
      <c r="B39" s="227"/>
      <c r="C39" s="228"/>
      <c r="D39" s="229">
        <v>-51538.90153846152</v>
      </c>
      <c r="E39" s="230">
        <v>-52308.132307692285</v>
      </c>
      <c r="F39" s="230">
        <v>-53077.363076923059</v>
      </c>
      <c r="G39" s="229">
        <v>-53846.593846153817</v>
      </c>
      <c r="H39" s="229">
        <v>-54615.824615384583</v>
      </c>
      <c r="I39" s="229">
        <v>-55385.055384615363</v>
      </c>
      <c r="J39" s="229">
        <v>-56154.286153846137</v>
      </c>
      <c r="K39" s="229">
        <v>-56923.516923076902</v>
      </c>
      <c r="L39" s="229">
        <v>-57692.747692307683</v>
      </c>
      <c r="M39" s="229">
        <v>-58461.978461538449</v>
      </c>
      <c r="N39" s="229">
        <v>-59231.209230769222</v>
      </c>
      <c r="O39" s="231">
        <v>-50769.670769230746</v>
      </c>
    </row>
    <row r="40" spans="1:15">
      <c r="A40" s="226" t="s">
        <v>2294</v>
      </c>
      <c r="B40" s="227"/>
      <c r="C40" s="228"/>
      <c r="D40" s="232">
        <v>-5000.4399999999878</v>
      </c>
      <c r="E40" s="232">
        <v>-15000.439999999988</v>
      </c>
      <c r="F40" s="232">
        <v>-25000.439999999988</v>
      </c>
      <c r="G40" s="233">
        <v>-35000.439999999988</v>
      </c>
      <c r="H40" s="233">
        <v>-45000.439999999988</v>
      </c>
      <c r="I40" s="233">
        <v>-55000.439999999988</v>
      </c>
      <c r="J40" s="233">
        <v>-65000.439999999988</v>
      </c>
      <c r="K40" s="233">
        <v>-75000.439999999988</v>
      </c>
      <c r="L40" s="233">
        <v>-85000.439999999988</v>
      </c>
      <c r="M40" s="233">
        <v>-95000.439999999988</v>
      </c>
      <c r="N40" s="233">
        <v>-105000.43999999999</v>
      </c>
      <c r="O40" s="231">
        <v>-55000.439999999988</v>
      </c>
    </row>
    <row r="41" spans="1:15">
      <c r="A41" s="226" t="s">
        <v>2295</v>
      </c>
      <c r="B41" s="227"/>
      <c r="C41" s="228"/>
      <c r="D41" s="234"/>
      <c r="E41" s="234"/>
      <c r="F41" s="234"/>
      <c r="G41" s="235"/>
      <c r="H41" s="235"/>
      <c r="I41" s="235"/>
      <c r="J41" s="235"/>
      <c r="K41" s="235"/>
      <c r="L41" s="235"/>
      <c r="M41" s="235"/>
      <c r="N41" s="235"/>
      <c r="O41" s="231">
        <v>-0.43999999998777639</v>
      </c>
    </row>
    <row r="42" spans="1:15">
      <c r="A42" s="226" t="s">
        <v>2296</v>
      </c>
      <c r="B42" s="227"/>
      <c r="C42" s="228"/>
      <c r="D42" s="232">
        <v>-1412171.2799999993</v>
      </c>
      <c r="E42" s="232">
        <v>-1750053.2799999993</v>
      </c>
      <c r="F42" s="232">
        <v>-2667254.2799999993</v>
      </c>
      <c r="G42" s="233">
        <v>-2138003.2799999993</v>
      </c>
      <c r="H42" s="233">
        <v>-2472996.2799999993</v>
      </c>
      <c r="I42" s="233">
        <v>-1772929.2799999993</v>
      </c>
      <c r="J42" s="233">
        <v>-2809751.2799999993</v>
      </c>
      <c r="K42" s="233">
        <v>-3589143.2799999993</v>
      </c>
      <c r="L42" s="233">
        <v>-2912897.2799999993</v>
      </c>
      <c r="M42" s="233">
        <v>-3246547.2799999993</v>
      </c>
      <c r="N42" s="233">
        <v>-3564940.2799999993</v>
      </c>
      <c r="O42" s="231">
        <v>-1379905.2799999993</v>
      </c>
    </row>
    <row r="43" spans="1:15">
      <c r="A43" s="226" t="s">
        <v>2297</v>
      </c>
      <c r="B43" s="227"/>
      <c r="C43" s="228"/>
      <c r="D43" s="234"/>
      <c r="E43" s="234"/>
      <c r="F43" s="234"/>
      <c r="G43" s="235"/>
      <c r="H43" s="235"/>
      <c r="I43" s="235"/>
      <c r="J43" s="235"/>
      <c r="K43" s="235"/>
      <c r="L43" s="235"/>
      <c r="M43" s="235"/>
      <c r="N43" s="235"/>
      <c r="O43" s="231">
        <v>-2019131.2799999993</v>
      </c>
    </row>
    <row r="44" spans="1:15">
      <c r="A44" s="236" t="s">
        <v>2298</v>
      </c>
      <c r="B44" s="237"/>
      <c r="C44" s="228"/>
      <c r="D44" s="232">
        <v>-5213148.8953846153</v>
      </c>
      <c r="E44" s="232">
        <v>-4192774.5107692312</v>
      </c>
      <c r="F44" s="232">
        <v>-3215617.8953846162</v>
      </c>
      <c r="G44" s="233">
        <v>-2133125.1261538463</v>
      </c>
      <c r="H44" s="233">
        <v>-2160835.5107692308</v>
      </c>
      <c r="I44" s="233">
        <v>-2112197.3569230768</v>
      </c>
      <c r="J44" s="233">
        <v>-2244379.8184615383</v>
      </c>
      <c r="K44" s="233">
        <v>-2361037.4338461538</v>
      </c>
      <c r="L44" s="233">
        <v>-2369916.4338461538</v>
      </c>
      <c r="M44" s="233">
        <v>-2427572.1261538463</v>
      </c>
      <c r="N44" s="233">
        <v>-2490380.7415384618</v>
      </c>
      <c r="O44" s="231">
        <v>-2366815.8953846153</v>
      </c>
    </row>
    <row r="45" spans="1:15" hidden="1">
      <c r="A45" s="792" t="s">
        <v>2313</v>
      </c>
      <c r="B45" s="793"/>
      <c r="C45" s="798"/>
    </row>
    <row r="46" spans="1:15" hidden="1">
      <c r="A46" s="226" t="s">
        <v>2293</v>
      </c>
      <c r="B46" s="227"/>
      <c r="C46" s="231" t="e">
        <v>#REF!</v>
      </c>
    </row>
    <row r="47" spans="1:15" hidden="1">
      <c r="A47" s="226" t="s">
        <v>2294</v>
      </c>
      <c r="B47" s="227"/>
      <c r="C47" s="238" t="e">
        <v>#REF!</v>
      </c>
    </row>
    <row r="48" spans="1:15" hidden="1">
      <c r="A48" s="226" t="s">
        <v>2295</v>
      </c>
      <c r="B48" s="227"/>
      <c r="C48" s="239" t="e">
        <v>#REF!</v>
      </c>
    </row>
    <row r="49" spans="1:3" hidden="1">
      <c r="A49" s="226" t="s">
        <v>2296</v>
      </c>
      <c r="B49" s="227"/>
      <c r="C49" s="239" t="e">
        <v>#REF!</v>
      </c>
    </row>
    <row r="50" spans="1:3" hidden="1">
      <c r="A50" s="226" t="s">
        <v>2297</v>
      </c>
      <c r="B50" s="227"/>
      <c r="C50" s="239" t="e">
        <v>#REF!</v>
      </c>
    </row>
    <row r="51" spans="1:3" hidden="1">
      <c r="A51" s="236" t="s">
        <v>2298</v>
      </c>
      <c r="B51" s="237"/>
      <c r="C51" s="231" t="e">
        <v>#REF!</v>
      </c>
    </row>
    <row r="52" spans="1:3" hidden="1"/>
  </sheetData>
  <mergeCells count="5">
    <mergeCell ref="B3:B4"/>
    <mergeCell ref="K3:K4"/>
    <mergeCell ref="A37:C37"/>
    <mergeCell ref="A38:C38"/>
    <mergeCell ref="A45:C45"/>
  </mergeCells>
  <pageMargins left="0.7" right="0.7" top="0.75" bottom="0.75" header="0.3" footer="0.3"/>
  <pageSetup orientation="portrait" r:id="rId1"/>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5211F-6EFE-4151-A4BE-FAEABF4CE220}">
  <sheetPr>
    <tabColor rgb="FF00FFFF"/>
  </sheetPr>
  <dimension ref="A1:WWA817"/>
  <sheetViews>
    <sheetView tabSelected="1" view="pageBreakPreview" zoomScale="90" zoomScaleNormal="100" zoomScaleSheetLayoutView="90" workbookViewId="0">
      <selection activeCell="Q549" sqref="Q549"/>
    </sheetView>
  </sheetViews>
  <sheetFormatPr defaultColWidth="0" defaultRowHeight="14.4" customHeight="1" zeroHeight="1"/>
  <cols>
    <col min="1" max="1" width="3.44140625" style="745" customWidth="1"/>
    <col min="2" max="2" width="6.109375" style="745" customWidth="1"/>
    <col min="3" max="3" width="9.109375" style="745" customWidth="1"/>
    <col min="4" max="4" width="11.5546875" style="745" customWidth="1"/>
    <col min="5" max="5" width="9.109375" style="745" customWidth="1"/>
    <col min="6" max="6" width="10" style="745" customWidth="1"/>
    <col min="7" max="7" width="10.44140625" style="745" customWidth="1"/>
    <col min="8" max="9" width="9.109375" style="745" customWidth="1"/>
    <col min="10" max="10" width="12.5546875" style="745" bestFit="1" customWidth="1"/>
    <col min="11" max="12" width="9.109375" style="745" customWidth="1"/>
    <col min="13" max="13" width="10" style="745" bestFit="1" customWidth="1"/>
    <col min="14" max="14" width="7.44140625" style="745" customWidth="1"/>
    <col min="15" max="15" width="14.6640625" style="745" bestFit="1" customWidth="1"/>
    <col min="16" max="18" width="9.109375" style="745" customWidth="1"/>
    <col min="19" max="19" width="17.44140625" style="745" customWidth="1"/>
    <col min="20" max="52" width="8.109375" style="745" customWidth="1"/>
    <col min="53" max="256" width="0" style="745" hidden="1"/>
    <col min="257" max="257" width="3.44140625" style="745" hidden="1"/>
    <col min="258" max="258" width="6.109375" style="745" hidden="1"/>
    <col min="259" max="259" width="9.109375" style="745" hidden="1"/>
    <col min="260" max="260" width="11.5546875" style="745" hidden="1"/>
    <col min="261" max="261" width="9.109375" style="745" hidden="1"/>
    <col min="262" max="262" width="10" style="745" hidden="1"/>
    <col min="263" max="269" width="9.109375" style="745" hidden="1"/>
    <col min="270" max="270" width="7.44140625" style="745" hidden="1"/>
    <col min="271" max="275" width="9.109375" style="745" hidden="1"/>
    <col min="276" max="512" width="0" style="745" hidden="1"/>
    <col min="513" max="513" width="3.44140625" style="745" hidden="1"/>
    <col min="514" max="514" width="6.109375" style="745" hidden="1"/>
    <col min="515" max="515" width="9.109375" style="745" hidden="1"/>
    <col min="516" max="516" width="11.5546875" style="745" hidden="1"/>
    <col min="517" max="517" width="9.109375" style="745" hidden="1"/>
    <col min="518" max="518" width="10" style="745" hidden="1"/>
    <col min="519" max="525" width="9.109375" style="745" hidden="1"/>
    <col min="526" max="526" width="7.44140625" style="745" hidden="1"/>
    <col min="527" max="531" width="9.109375" style="745" hidden="1"/>
    <col min="532" max="768" width="0" style="745" hidden="1"/>
    <col min="769" max="769" width="3.44140625" style="745" hidden="1"/>
    <col min="770" max="770" width="6.109375" style="745" hidden="1"/>
    <col min="771" max="771" width="9.109375" style="745" hidden="1"/>
    <col min="772" max="772" width="11.5546875" style="745" hidden="1"/>
    <col min="773" max="773" width="9.109375" style="745" hidden="1"/>
    <col min="774" max="774" width="10" style="745" hidden="1"/>
    <col min="775" max="781" width="9.109375" style="745" hidden="1"/>
    <col min="782" max="782" width="7.44140625" style="745" hidden="1"/>
    <col min="783" max="787" width="9.109375" style="745" hidden="1"/>
    <col min="788" max="1024" width="0" style="745" hidden="1"/>
    <col min="1025" max="1025" width="3.44140625" style="745" hidden="1"/>
    <col min="1026" max="1026" width="6.109375" style="745" hidden="1"/>
    <col min="1027" max="1027" width="9.109375" style="745" hidden="1"/>
    <col min="1028" max="1028" width="11.5546875" style="745" hidden="1"/>
    <col min="1029" max="1029" width="9.109375" style="745" hidden="1"/>
    <col min="1030" max="1030" width="10" style="745" hidden="1"/>
    <col min="1031" max="1037" width="9.109375" style="745" hidden="1"/>
    <col min="1038" max="1038" width="7.44140625" style="745" hidden="1"/>
    <col min="1039" max="1043" width="9.109375" style="745" hidden="1"/>
    <col min="1044" max="1280" width="0" style="745" hidden="1"/>
    <col min="1281" max="1281" width="3.44140625" style="745" hidden="1"/>
    <col min="1282" max="1282" width="6.109375" style="745" hidden="1"/>
    <col min="1283" max="1283" width="9.109375" style="745" hidden="1"/>
    <col min="1284" max="1284" width="11.5546875" style="745" hidden="1"/>
    <col min="1285" max="1285" width="9.109375" style="745" hidden="1"/>
    <col min="1286" max="1286" width="10" style="745" hidden="1"/>
    <col min="1287" max="1293" width="9.109375" style="745" hidden="1"/>
    <col min="1294" max="1294" width="7.44140625" style="745" hidden="1"/>
    <col min="1295" max="1299" width="9.109375" style="745" hidden="1"/>
    <col min="1300" max="1536" width="0" style="745" hidden="1"/>
    <col min="1537" max="1537" width="3.44140625" style="745" hidden="1"/>
    <col min="1538" max="1538" width="6.109375" style="745" hidden="1"/>
    <col min="1539" max="1539" width="9.109375" style="745" hidden="1"/>
    <col min="1540" max="1540" width="11.5546875" style="745" hidden="1"/>
    <col min="1541" max="1541" width="9.109375" style="745" hidden="1"/>
    <col min="1542" max="1542" width="10" style="745" hidden="1"/>
    <col min="1543" max="1549" width="9.109375" style="745" hidden="1"/>
    <col min="1550" max="1550" width="7.44140625" style="745" hidden="1"/>
    <col min="1551" max="1555" width="9.109375" style="745" hidden="1"/>
    <col min="1556" max="1792" width="0" style="745" hidden="1"/>
    <col min="1793" max="1793" width="3.44140625" style="745" hidden="1"/>
    <col min="1794" max="1794" width="6.109375" style="745" hidden="1"/>
    <col min="1795" max="1795" width="9.109375" style="745" hidden="1"/>
    <col min="1796" max="1796" width="11.5546875" style="745" hidden="1"/>
    <col min="1797" max="1797" width="9.109375" style="745" hidden="1"/>
    <col min="1798" max="1798" width="10" style="745" hidden="1"/>
    <col min="1799" max="1805" width="9.109375" style="745" hidden="1"/>
    <col min="1806" max="1806" width="7.44140625" style="745" hidden="1"/>
    <col min="1807" max="1811" width="9.109375" style="745" hidden="1"/>
    <col min="1812" max="2048" width="0" style="745" hidden="1"/>
    <col min="2049" max="2049" width="3.44140625" style="745" hidden="1"/>
    <col min="2050" max="2050" width="6.109375" style="745" hidden="1"/>
    <col min="2051" max="2051" width="9.109375" style="745" hidden="1"/>
    <col min="2052" max="2052" width="11.5546875" style="745" hidden="1"/>
    <col min="2053" max="2053" width="9.109375" style="745" hidden="1"/>
    <col min="2054" max="2054" width="10" style="745" hidden="1"/>
    <col min="2055" max="2061" width="9.109375" style="745" hidden="1"/>
    <col min="2062" max="2062" width="7.44140625" style="745" hidden="1"/>
    <col min="2063" max="2067" width="9.109375" style="745" hidden="1"/>
    <col min="2068" max="2304" width="0" style="745" hidden="1"/>
    <col min="2305" max="2305" width="3.44140625" style="745" hidden="1"/>
    <col min="2306" max="2306" width="6.109375" style="745" hidden="1"/>
    <col min="2307" max="2307" width="9.109375" style="745" hidden="1"/>
    <col min="2308" max="2308" width="11.5546875" style="745" hidden="1"/>
    <col min="2309" max="2309" width="9.109375" style="745" hidden="1"/>
    <col min="2310" max="2310" width="10" style="745" hidden="1"/>
    <col min="2311" max="2317" width="9.109375" style="745" hidden="1"/>
    <col min="2318" max="2318" width="7.44140625" style="745" hidden="1"/>
    <col min="2319" max="2323" width="9.109375" style="745" hidden="1"/>
    <col min="2324" max="2560" width="0" style="745" hidden="1"/>
    <col min="2561" max="2561" width="3.44140625" style="745" hidden="1"/>
    <col min="2562" max="2562" width="6.109375" style="745" hidden="1"/>
    <col min="2563" max="2563" width="9.109375" style="745" hidden="1"/>
    <col min="2564" max="2564" width="11.5546875" style="745" hidden="1"/>
    <col min="2565" max="2565" width="9.109375" style="745" hidden="1"/>
    <col min="2566" max="2566" width="10" style="745" hidden="1"/>
    <col min="2567" max="2573" width="9.109375" style="745" hidden="1"/>
    <col min="2574" max="2574" width="7.44140625" style="745" hidden="1"/>
    <col min="2575" max="2579" width="9.109375" style="745" hidden="1"/>
    <col min="2580" max="2816" width="0" style="745" hidden="1"/>
    <col min="2817" max="2817" width="3.44140625" style="745" hidden="1"/>
    <col min="2818" max="2818" width="6.109375" style="745" hidden="1"/>
    <col min="2819" max="2819" width="9.109375" style="745" hidden="1"/>
    <col min="2820" max="2820" width="11.5546875" style="745" hidden="1"/>
    <col min="2821" max="2821" width="9.109375" style="745" hidden="1"/>
    <col min="2822" max="2822" width="10" style="745" hidden="1"/>
    <col min="2823" max="2829" width="9.109375" style="745" hidden="1"/>
    <col min="2830" max="2830" width="7.44140625" style="745" hidden="1"/>
    <col min="2831" max="2835" width="9.109375" style="745" hidden="1"/>
    <col min="2836" max="3072" width="0" style="745" hidden="1"/>
    <col min="3073" max="3073" width="3.44140625" style="745" hidden="1"/>
    <col min="3074" max="3074" width="6.109375" style="745" hidden="1"/>
    <col min="3075" max="3075" width="9.109375" style="745" hidden="1"/>
    <col min="3076" max="3076" width="11.5546875" style="745" hidden="1"/>
    <col min="3077" max="3077" width="9.109375" style="745" hidden="1"/>
    <col min="3078" max="3078" width="10" style="745" hidden="1"/>
    <col min="3079" max="3085" width="9.109375" style="745" hidden="1"/>
    <col min="3086" max="3086" width="7.44140625" style="745" hidden="1"/>
    <col min="3087" max="3091" width="9.109375" style="745" hidden="1"/>
    <col min="3092" max="3328" width="0" style="745" hidden="1"/>
    <col min="3329" max="3329" width="3.44140625" style="745" hidden="1"/>
    <col min="3330" max="3330" width="6.109375" style="745" hidden="1"/>
    <col min="3331" max="3331" width="9.109375" style="745" hidden="1"/>
    <col min="3332" max="3332" width="11.5546875" style="745" hidden="1"/>
    <col min="3333" max="3333" width="9.109375" style="745" hidden="1"/>
    <col min="3334" max="3334" width="10" style="745" hidden="1"/>
    <col min="3335" max="3341" width="9.109375" style="745" hidden="1"/>
    <col min="3342" max="3342" width="7.44140625" style="745" hidden="1"/>
    <col min="3343" max="3347" width="9.109375" style="745" hidden="1"/>
    <col min="3348" max="3584" width="0" style="745" hidden="1"/>
    <col min="3585" max="3585" width="3.44140625" style="745" hidden="1"/>
    <col min="3586" max="3586" width="6.109375" style="745" hidden="1"/>
    <col min="3587" max="3587" width="9.109375" style="745" hidden="1"/>
    <col min="3588" max="3588" width="11.5546875" style="745" hidden="1"/>
    <col min="3589" max="3589" width="9.109375" style="745" hidden="1"/>
    <col min="3590" max="3590" width="10" style="745" hidden="1"/>
    <col min="3591" max="3597" width="9.109375" style="745" hidden="1"/>
    <col min="3598" max="3598" width="7.44140625" style="745" hidden="1"/>
    <col min="3599" max="3603" width="9.109375" style="745" hidden="1"/>
    <col min="3604" max="3840" width="0" style="745" hidden="1"/>
    <col min="3841" max="3841" width="3.44140625" style="745" hidden="1"/>
    <col min="3842" max="3842" width="6.109375" style="745" hidden="1"/>
    <col min="3843" max="3843" width="9.109375" style="745" hidden="1"/>
    <col min="3844" max="3844" width="11.5546875" style="745" hidden="1"/>
    <col min="3845" max="3845" width="9.109375" style="745" hidden="1"/>
    <col min="3846" max="3846" width="10" style="745" hidden="1"/>
    <col min="3847" max="3853" width="9.109375" style="745" hidden="1"/>
    <col min="3854" max="3854" width="7.44140625" style="745" hidden="1"/>
    <col min="3855" max="3859" width="9.109375" style="745" hidden="1"/>
    <col min="3860" max="4096" width="0" style="745" hidden="1"/>
    <col min="4097" max="4097" width="3.44140625" style="745" hidden="1"/>
    <col min="4098" max="4098" width="6.109375" style="745" hidden="1"/>
    <col min="4099" max="4099" width="9.109375" style="745" hidden="1"/>
    <col min="4100" max="4100" width="11.5546875" style="745" hidden="1"/>
    <col min="4101" max="4101" width="9.109375" style="745" hidden="1"/>
    <col min="4102" max="4102" width="10" style="745" hidden="1"/>
    <col min="4103" max="4109" width="9.109375" style="745" hidden="1"/>
    <col min="4110" max="4110" width="7.44140625" style="745" hidden="1"/>
    <col min="4111" max="4115" width="9.109375" style="745" hidden="1"/>
    <col min="4116" max="4352" width="0" style="745" hidden="1"/>
    <col min="4353" max="4353" width="3.44140625" style="745" hidden="1"/>
    <col min="4354" max="4354" width="6.109375" style="745" hidden="1"/>
    <col min="4355" max="4355" width="9.109375" style="745" hidden="1"/>
    <col min="4356" max="4356" width="11.5546875" style="745" hidden="1"/>
    <col min="4357" max="4357" width="9.109375" style="745" hidden="1"/>
    <col min="4358" max="4358" width="10" style="745" hidden="1"/>
    <col min="4359" max="4365" width="9.109375" style="745" hidden="1"/>
    <col min="4366" max="4366" width="7.44140625" style="745" hidden="1"/>
    <col min="4367" max="4371" width="9.109375" style="745" hidden="1"/>
    <col min="4372" max="4608" width="0" style="745" hidden="1"/>
    <col min="4609" max="4609" width="3.44140625" style="745" hidden="1"/>
    <col min="4610" max="4610" width="6.109375" style="745" hidden="1"/>
    <col min="4611" max="4611" width="9.109375" style="745" hidden="1"/>
    <col min="4612" max="4612" width="11.5546875" style="745" hidden="1"/>
    <col min="4613" max="4613" width="9.109375" style="745" hidden="1"/>
    <col min="4614" max="4614" width="10" style="745" hidden="1"/>
    <col min="4615" max="4621" width="9.109375" style="745" hidden="1"/>
    <col min="4622" max="4622" width="7.44140625" style="745" hidden="1"/>
    <col min="4623" max="4627" width="9.109375" style="745" hidden="1"/>
    <col min="4628" max="4864" width="0" style="745" hidden="1"/>
    <col min="4865" max="4865" width="3.44140625" style="745" hidden="1"/>
    <col min="4866" max="4866" width="6.109375" style="745" hidden="1"/>
    <col min="4867" max="4867" width="9.109375" style="745" hidden="1"/>
    <col min="4868" max="4868" width="11.5546875" style="745" hidden="1"/>
    <col min="4869" max="4869" width="9.109375" style="745" hidden="1"/>
    <col min="4870" max="4870" width="10" style="745" hidden="1"/>
    <col min="4871" max="4877" width="9.109375" style="745" hidden="1"/>
    <col min="4878" max="4878" width="7.44140625" style="745" hidden="1"/>
    <col min="4879" max="4883" width="9.109375" style="745" hidden="1"/>
    <col min="4884" max="5120" width="0" style="745" hidden="1"/>
    <col min="5121" max="5121" width="3.44140625" style="745" hidden="1"/>
    <col min="5122" max="5122" width="6.109375" style="745" hidden="1"/>
    <col min="5123" max="5123" width="9.109375" style="745" hidden="1"/>
    <col min="5124" max="5124" width="11.5546875" style="745" hidden="1"/>
    <col min="5125" max="5125" width="9.109375" style="745" hidden="1"/>
    <col min="5126" max="5126" width="10" style="745" hidden="1"/>
    <col min="5127" max="5133" width="9.109375" style="745" hidden="1"/>
    <col min="5134" max="5134" width="7.44140625" style="745" hidden="1"/>
    <col min="5135" max="5139" width="9.109375" style="745" hidden="1"/>
    <col min="5140" max="5376" width="0" style="745" hidden="1"/>
    <col min="5377" max="5377" width="3.44140625" style="745" hidden="1"/>
    <col min="5378" max="5378" width="6.109375" style="745" hidden="1"/>
    <col min="5379" max="5379" width="9.109375" style="745" hidden="1"/>
    <col min="5380" max="5380" width="11.5546875" style="745" hidden="1"/>
    <col min="5381" max="5381" width="9.109375" style="745" hidden="1"/>
    <col min="5382" max="5382" width="10" style="745" hidden="1"/>
    <col min="5383" max="5389" width="9.109375" style="745" hidden="1"/>
    <col min="5390" max="5390" width="7.44140625" style="745" hidden="1"/>
    <col min="5391" max="5395" width="9.109375" style="745" hidden="1"/>
    <col min="5396" max="5632" width="0" style="745" hidden="1"/>
    <col min="5633" max="5633" width="3.44140625" style="745" hidden="1"/>
    <col min="5634" max="5634" width="6.109375" style="745" hidden="1"/>
    <col min="5635" max="5635" width="9.109375" style="745" hidden="1"/>
    <col min="5636" max="5636" width="11.5546875" style="745" hidden="1"/>
    <col min="5637" max="5637" width="9.109375" style="745" hidden="1"/>
    <col min="5638" max="5638" width="10" style="745" hidden="1"/>
    <col min="5639" max="5645" width="9.109375" style="745" hidden="1"/>
    <col min="5646" max="5646" width="7.44140625" style="745" hidden="1"/>
    <col min="5647" max="5651" width="9.109375" style="745" hidden="1"/>
    <col min="5652" max="5888" width="0" style="745" hidden="1"/>
    <col min="5889" max="5889" width="3.44140625" style="745" hidden="1"/>
    <col min="5890" max="5890" width="6.109375" style="745" hidden="1"/>
    <col min="5891" max="5891" width="9.109375" style="745" hidden="1"/>
    <col min="5892" max="5892" width="11.5546875" style="745" hidden="1"/>
    <col min="5893" max="5893" width="9.109375" style="745" hidden="1"/>
    <col min="5894" max="5894" width="10" style="745" hidden="1"/>
    <col min="5895" max="5901" width="9.109375" style="745" hidden="1"/>
    <col min="5902" max="5902" width="7.44140625" style="745" hidden="1"/>
    <col min="5903" max="5907" width="9.109375" style="745" hidden="1"/>
    <col min="5908" max="6144" width="0" style="745" hidden="1"/>
    <col min="6145" max="6145" width="3.44140625" style="745" hidden="1"/>
    <col min="6146" max="6146" width="6.109375" style="745" hidden="1"/>
    <col min="6147" max="6147" width="9.109375" style="745" hidden="1"/>
    <col min="6148" max="6148" width="11.5546875" style="745" hidden="1"/>
    <col min="6149" max="6149" width="9.109375" style="745" hidden="1"/>
    <col min="6150" max="6150" width="10" style="745" hidden="1"/>
    <col min="6151" max="6157" width="9.109375" style="745" hidden="1"/>
    <col min="6158" max="6158" width="7.44140625" style="745" hidden="1"/>
    <col min="6159" max="6163" width="9.109375" style="745" hidden="1"/>
    <col min="6164" max="6400" width="0" style="745" hidden="1"/>
    <col min="6401" max="6401" width="3.44140625" style="745" hidden="1"/>
    <col min="6402" max="6402" width="6.109375" style="745" hidden="1"/>
    <col min="6403" max="6403" width="9.109375" style="745" hidden="1"/>
    <col min="6404" max="6404" width="11.5546875" style="745" hidden="1"/>
    <col min="6405" max="6405" width="9.109375" style="745" hidden="1"/>
    <col min="6406" max="6406" width="10" style="745" hidden="1"/>
    <col min="6407" max="6413" width="9.109375" style="745" hidden="1"/>
    <col min="6414" max="6414" width="7.44140625" style="745" hidden="1"/>
    <col min="6415" max="6419" width="9.109375" style="745" hidden="1"/>
    <col min="6420" max="6656" width="0" style="745" hidden="1"/>
    <col min="6657" max="6657" width="3.44140625" style="745" hidden="1"/>
    <col min="6658" max="6658" width="6.109375" style="745" hidden="1"/>
    <col min="6659" max="6659" width="9.109375" style="745" hidden="1"/>
    <col min="6660" max="6660" width="11.5546875" style="745" hidden="1"/>
    <col min="6661" max="6661" width="9.109375" style="745" hidden="1"/>
    <col min="6662" max="6662" width="10" style="745" hidden="1"/>
    <col min="6663" max="6669" width="9.109375" style="745" hidden="1"/>
    <col min="6670" max="6670" width="7.44140625" style="745" hidden="1"/>
    <col min="6671" max="6675" width="9.109375" style="745" hidden="1"/>
    <col min="6676" max="6912" width="0" style="745" hidden="1"/>
    <col min="6913" max="6913" width="3.44140625" style="745" hidden="1"/>
    <col min="6914" max="6914" width="6.109375" style="745" hidden="1"/>
    <col min="6915" max="6915" width="9.109375" style="745" hidden="1"/>
    <col min="6916" max="6916" width="11.5546875" style="745" hidden="1"/>
    <col min="6917" max="6917" width="9.109375" style="745" hidden="1"/>
    <col min="6918" max="6918" width="10" style="745" hidden="1"/>
    <col min="6919" max="6925" width="9.109375" style="745" hidden="1"/>
    <col min="6926" max="6926" width="7.44140625" style="745" hidden="1"/>
    <col min="6927" max="6931" width="9.109375" style="745" hidden="1"/>
    <col min="6932" max="7168" width="0" style="745" hidden="1"/>
    <col min="7169" max="7169" width="3.44140625" style="745" hidden="1"/>
    <col min="7170" max="7170" width="6.109375" style="745" hidden="1"/>
    <col min="7171" max="7171" width="9.109375" style="745" hidden="1"/>
    <col min="7172" max="7172" width="11.5546875" style="745" hidden="1"/>
    <col min="7173" max="7173" width="9.109375" style="745" hidden="1"/>
    <col min="7174" max="7174" width="10" style="745" hidden="1"/>
    <col min="7175" max="7181" width="9.109375" style="745" hidden="1"/>
    <col min="7182" max="7182" width="7.44140625" style="745" hidden="1"/>
    <col min="7183" max="7187" width="9.109375" style="745" hidden="1"/>
    <col min="7188" max="7424" width="0" style="745" hidden="1"/>
    <col min="7425" max="7425" width="3.44140625" style="745" hidden="1"/>
    <col min="7426" max="7426" width="6.109375" style="745" hidden="1"/>
    <col min="7427" max="7427" width="9.109375" style="745" hidden="1"/>
    <col min="7428" max="7428" width="11.5546875" style="745" hidden="1"/>
    <col min="7429" max="7429" width="9.109375" style="745" hidden="1"/>
    <col min="7430" max="7430" width="10" style="745" hidden="1"/>
    <col min="7431" max="7437" width="9.109375" style="745" hidden="1"/>
    <col min="7438" max="7438" width="7.44140625" style="745" hidden="1"/>
    <col min="7439" max="7443" width="9.109375" style="745" hidden="1"/>
    <col min="7444" max="7680" width="0" style="745" hidden="1"/>
    <col min="7681" max="7681" width="3.44140625" style="745" hidden="1"/>
    <col min="7682" max="7682" width="6.109375" style="745" hidden="1"/>
    <col min="7683" max="7683" width="9.109375" style="745" hidden="1"/>
    <col min="7684" max="7684" width="11.5546875" style="745" hidden="1"/>
    <col min="7685" max="7685" width="9.109375" style="745" hidden="1"/>
    <col min="7686" max="7686" width="10" style="745" hidden="1"/>
    <col min="7687" max="7693" width="9.109375" style="745" hidden="1"/>
    <col min="7694" max="7694" width="7.44140625" style="745" hidden="1"/>
    <col min="7695" max="7699" width="9.109375" style="745" hidden="1"/>
    <col min="7700" max="7936" width="0" style="745" hidden="1"/>
    <col min="7937" max="7937" width="3.44140625" style="745" hidden="1"/>
    <col min="7938" max="7938" width="6.109375" style="745" hidden="1"/>
    <col min="7939" max="7939" width="9.109375" style="745" hidden="1"/>
    <col min="7940" max="7940" width="11.5546875" style="745" hidden="1"/>
    <col min="7941" max="7941" width="9.109375" style="745" hidden="1"/>
    <col min="7942" max="7942" width="10" style="745" hidden="1"/>
    <col min="7943" max="7949" width="9.109375" style="745" hidden="1"/>
    <col min="7950" max="7950" width="7.44140625" style="745" hidden="1"/>
    <col min="7951" max="7955" width="9.109375" style="745" hidden="1"/>
    <col min="7956" max="8192" width="0" style="745" hidden="1"/>
    <col min="8193" max="8193" width="3.44140625" style="745" hidden="1"/>
    <col min="8194" max="8194" width="6.109375" style="745" hidden="1"/>
    <col min="8195" max="8195" width="9.109375" style="745" hidden="1"/>
    <col min="8196" max="8196" width="11.5546875" style="745" hidden="1"/>
    <col min="8197" max="8197" width="9.109375" style="745" hidden="1"/>
    <col min="8198" max="8198" width="10" style="745" hidden="1"/>
    <col min="8199" max="8205" width="9.109375" style="745" hidden="1"/>
    <col min="8206" max="8206" width="7.44140625" style="745" hidden="1"/>
    <col min="8207" max="8211" width="9.109375" style="745" hidden="1"/>
    <col min="8212" max="8448" width="0" style="745" hidden="1"/>
    <col min="8449" max="8449" width="3.44140625" style="745" hidden="1"/>
    <col min="8450" max="8450" width="6.109375" style="745" hidden="1"/>
    <col min="8451" max="8451" width="9.109375" style="745" hidden="1"/>
    <col min="8452" max="8452" width="11.5546875" style="745" hidden="1"/>
    <col min="8453" max="8453" width="9.109375" style="745" hidden="1"/>
    <col min="8454" max="8454" width="10" style="745" hidden="1"/>
    <col min="8455" max="8461" width="9.109375" style="745" hidden="1"/>
    <col min="8462" max="8462" width="7.44140625" style="745" hidden="1"/>
    <col min="8463" max="8467" width="9.109375" style="745" hidden="1"/>
    <col min="8468" max="8704" width="0" style="745" hidden="1"/>
    <col min="8705" max="8705" width="3.44140625" style="745" hidden="1"/>
    <col min="8706" max="8706" width="6.109375" style="745" hidden="1"/>
    <col min="8707" max="8707" width="9.109375" style="745" hidden="1"/>
    <col min="8708" max="8708" width="11.5546875" style="745" hidden="1"/>
    <col min="8709" max="8709" width="9.109375" style="745" hidden="1"/>
    <col min="8710" max="8710" width="10" style="745" hidden="1"/>
    <col min="8711" max="8717" width="9.109375" style="745" hidden="1"/>
    <col min="8718" max="8718" width="7.44140625" style="745" hidden="1"/>
    <col min="8719" max="8723" width="9.109375" style="745" hidden="1"/>
    <col min="8724" max="8960" width="0" style="745" hidden="1"/>
    <col min="8961" max="8961" width="3.44140625" style="745" hidden="1"/>
    <col min="8962" max="8962" width="6.109375" style="745" hidden="1"/>
    <col min="8963" max="8963" width="9.109375" style="745" hidden="1"/>
    <col min="8964" max="8964" width="11.5546875" style="745" hidden="1"/>
    <col min="8965" max="8965" width="9.109375" style="745" hidden="1"/>
    <col min="8966" max="8966" width="10" style="745" hidden="1"/>
    <col min="8967" max="8973" width="9.109375" style="745" hidden="1"/>
    <col min="8974" max="8974" width="7.44140625" style="745" hidden="1"/>
    <col min="8975" max="8979" width="9.109375" style="745" hidden="1"/>
    <col min="8980" max="9216" width="0" style="745" hidden="1"/>
    <col min="9217" max="9217" width="3.44140625" style="745" hidden="1"/>
    <col min="9218" max="9218" width="6.109375" style="745" hidden="1"/>
    <col min="9219" max="9219" width="9.109375" style="745" hidden="1"/>
    <col min="9220" max="9220" width="11.5546875" style="745" hidden="1"/>
    <col min="9221" max="9221" width="9.109375" style="745" hidden="1"/>
    <col min="9222" max="9222" width="10" style="745" hidden="1"/>
    <col min="9223" max="9229" width="9.109375" style="745" hidden="1"/>
    <col min="9230" max="9230" width="7.44140625" style="745" hidden="1"/>
    <col min="9231" max="9235" width="9.109375" style="745" hidden="1"/>
    <col min="9236" max="9472" width="0" style="745" hidden="1"/>
    <col min="9473" max="9473" width="3.44140625" style="745" hidden="1"/>
    <col min="9474" max="9474" width="6.109375" style="745" hidden="1"/>
    <col min="9475" max="9475" width="9.109375" style="745" hidden="1"/>
    <col min="9476" max="9476" width="11.5546875" style="745" hidden="1"/>
    <col min="9477" max="9477" width="9.109375" style="745" hidden="1"/>
    <col min="9478" max="9478" width="10" style="745" hidden="1"/>
    <col min="9479" max="9485" width="9.109375" style="745" hidden="1"/>
    <col min="9486" max="9486" width="7.44140625" style="745" hidden="1"/>
    <col min="9487" max="9491" width="9.109375" style="745" hidden="1"/>
    <col min="9492" max="9728" width="0" style="745" hidden="1"/>
    <col min="9729" max="9729" width="3.44140625" style="745" hidden="1"/>
    <col min="9730" max="9730" width="6.109375" style="745" hidden="1"/>
    <col min="9731" max="9731" width="9.109375" style="745" hidden="1"/>
    <col min="9732" max="9732" width="11.5546875" style="745" hidden="1"/>
    <col min="9733" max="9733" width="9.109375" style="745" hidden="1"/>
    <col min="9734" max="9734" width="10" style="745" hidden="1"/>
    <col min="9735" max="9741" width="9.109375" style="745" hidden="1"/>
    <col min="9742" max="9742" width="7.44140625" style="745" hidden="1"/>
    <col min="9743" max="9747" width="9.109375" style="745" hidden="1"/>
    <col min="9748" max="9984" width="0" style="745" hidden="1"/>
    <col min="9985" max="9985" width="3.44140625" style="745" hidden="1"/>
    <col min="9986" max="9986" width="6.109375" style="745" hidden="1"/>
    <col min="9987" max="9987" width="9.109375" style="745" hidden="1"/>
    <col min="9988" max="9988" width="11.5546875" style="745" hidden="1"/>
    <col min="9989" max="9989" width="9.109375" style="745" hidden="1"/>
    <col min="9990" max="9990" width="10" style="745" hidden="1"/>
    <col min="9991" max="9997" width="9.109375" style="745" hidden="1"/>
    <col min="9998" max="9998" width="7.44140625" style="745" hidden="1"/>
    <col min="9999" max="10003" width="9.109375" style="745" hidden="1"/>
    <col min="10004" max="10240" width="0" style="745" hidden="1"/>
    <col min="10241" max="10241" width="3.44140625" style="745" hidden="1"/>
    <col min="10242" max="10242" width="6.109375" style="745" hidden="1"/>
    <col min="10243" max="10243" width="9.109375" style="745" hidden="1"/>
    <col min="10244" max="10244" width="11.5546875" style="745" hidden="1"/>
    <col min="10245" max="10245" width="9.109375" style="745" hidden="1"/>
    <col min="10246" max="10246" width="10" style="745" hidden="1"/>
    <col min="10247" max="10253" width="9.109375" style="745" hidden="1"/>
    <col min="10254" max="10254" width="7.44140625" style="745" hidden="1"/>
    <col min="10255" max="10259" width="9.109375" style="745" hidden="1"/>
    <col min="10260" max="10496" width="0" style="745" hidden="1"/>
    <col min="10497" max="10497" width="3.44140625" style="745" hidden="1"/>
    <col min="10498" max="10498" width="6.109375" style="745" hidden="1"/>
    <col min="10499" max="10499" width="9.109375" style="745" hidden="1"/>
    <col min="10500" max="10500" width="11.5546875" style="745" hidden="1"/>
    <col min="10501" max="10501" width="9.109375" style="745" hidden="1"/>
    <col min="10502" max="10502" width="10" style="745" hidden="1"/>
    <col min="10503" max="10509" width="9.109375" style="745" hidden="1"/>
    <col min="10510" max="10510" width="7.44140625" style="745" hidden="1"/>
    <col min="10511" max="10515" width="9.109375" style="745" hidden="1"/>
    <col min="10516" max="10752" width="0" style="745" hidden="1"/>
    <col min="10753" max="10753" width="3.44140625" style="745" hidden="1"/>
    <col min="10754" max="10754" width="6.109375" style="745" hidden="1"/>
    <col min="10755" max="10755" width="9.109375" style="745" hidden="1"/>
    <col min="10756" max="10756" width="11.5546875" style="745" hidden="1"/>
    <col min="10757" max="10757" width="9.109375" style="745" hidden="1"/>
    <col min="10758" max="10758" width="10" style="745" hidden="1"/>
    <col min="10759" max="10765" width="9.109375" style="745" hidden="1"/>
    <col min="10766" max="10766" width="7.44140625" style="745" hidden="1"/>
    <col min="10767" max="10771" width="9.109375" style="745" hidden="1"/>
    <col min="10772" max="11008" width="0" style="745" hidden="1"/>
    <col min="11009" max="11009" width="3.44140625" style="745" hidden="1"/>
    <col min="11010" max="11010" width="6.109375" style="745" hidden="1"/>
    <col min="11011" max="11011" width="9.109375" style="745" hidden="1"/>
    <col min="11012" max="11012" width="11.5546875" style="745" hidden="1"/>
    <col min="11013" max="11013" width="9.109375" style="745" hidden="1"/>
    <col min="11014" max="11014" width="10" style="745" hidden="1"/>
    <col min="11015" max="11021" width="9.109375" style="745" hidden="1"/>
    <col min="11022" max="11022" width="7.44140625" style="745" hidden="1"/>
    <col min="11023" max="11027" width="9.109375" style="745" hidden="1"/>
    <col min="11028" max="11264" width="0" style="745" hidden="1"/>
    <col min="11265" max="11265" width="3.44140625" style="745" hidden="1"/>
    <col min="11266" max="11266" width="6.109375" style="745" hidden="1"/>
    <col min="11267" max="11267" width="9.109375" style="745" hidden="1"/>
    <col min="11268" max="11268" width="11.5546875" style="745" hidden="1"/>
    <col min="11269" max="11269" width="9.109375" style="745" hidden="1"/>
    <col min="11270" max="11270" width="10" style="745" hidden="1"/>
    <col min="11271" max="11277" width="9.109375" style="745" hidden="1"/>
    <col min="11278" max="11278" width="7.44140625" style="745" hidden="1"/>
    <col min="11279" max="11283" width="9.109375" style="745" hidden="1"/>
    <col min="11284" max="11520" width="0" style="745" hidden="1"/>
    <col min="11521" max="11521" width="3.44140625" style="745" hidden="1"/>
    <col min="11522" max="11522" width="6.109375" style="745" hidden="1"/>
    <col min="11523" max="11523" width="9.109375" style="745" hidden="1"/>
    <col min="11524" max="11524" width="11.5546875" style="745" hidden="1"/>
    <col min="11525" max="11525" width="9.109375" style="745" hidden="1"/>
    <col min="11526" max="11526" width="10" style="745" hidden="1"/>
    <col min="11527" max="11533" width="9.109375" style="745" hidden="1"/>
    <col min="11534" max="11534" width="7.44140625" style="745" hidden="1"/>
    <col min="11535" max="11539" width="9.109375" style="745" hidden="1"/>
    <col min="11540" max="11776" width="0" style="745" hidden="1"/>
    <col min="11777" max="11777" width="3.44140625" style="745" hidden="1"/>
    <col min="11778" max="11778" width="6.109375" style="745" hidden="1"/>
    <col min="11779" max="11779" width="9.109375" style="745" hidden="1"/>
    <col min="11780" max="11780" width="11.5546875" style="745" hidden="1"/>
    <col min="11781" max="11781" width="9.109375" style="745" hidden="1"/>
    <col min="11782" max="11782" width="10" style="745" hidden="1"/>
    <col min="11783" max="11789" width="9.109375" style="745" hidden="1"/>
    <col min="11790" max="11790" width="7.44140625" style="745" hidden="1"/>
    <col min="11791" max="11795" width="9.109375" style="745" hidden="1"/>
    <col min="11796" max="12032" width="0" style="745" hidden="1"/>
    <col min="12033" max="12033" width="3.44140625" style="745" hidden="1"/>
    <col min="12034" max="12034" width="6.109375" style="745" hidden="1"/>
    <col min="12035" max="12035" width="9.109375" style="745" hidden="1"/>
    <col min="12036" max="12036" width="11.5546875" style="745" hidden="1"/>
    <col min="12037" max="12037" width="9.109375" style="745" hidden="1"/>
    <col min="12038" max="12038" width="10" style="745" hidden="1"/>
    <col min="12039" max="12045" width="9.109375" style="745" hidden="1"/>
    <col min="12046" max="12046" width="7.44140625" style="745" hidden="1"/>
    <col min="12047" max="12051" width="9.109375" style="745" hidden="1"/>
    <col min="12052" max="12288" width="0" style="745" hidden="1"/>
    <col min="12289" max="12289" width="3.44140625" style="745" hidden="1"/>
    <col min="12290" max="12290" width="6.109375" style="745" hidden="1"/>
    <col min="12291" max="12291" width="9.109375" style="745" hidden="1"/>
    <col min="12292" max="12292" width="11.5546875" style="745" hidden="1"/>
    <col min="12293" max="12293" width="9.109375" style="745" hidden="1"/>
    <col min="12294" max="12294" width="10" style="745" hidden="1"/>
    <col min="12295" max="12301" width="9.109375" style="745" hidden="1"/>
    <col min="12302" max="12302" width="7.44140625" style="745" hidden="1"/>
    <col min="12303" max="12307" width="9.109375" style="745" hidden="1"/>
    <col min="12308" max="12544" width="0" style="745" hidden="1"/>
    <col min="12545" max="12545" width="3.44140625" style="745" hidden="1"/>
    <col min="12546" max="12546" width="6.109375" style="745" hidden="1"/>
    <col min="12547" max="12547" width="9.109375" style="745" hidden="1"/>
    <col min="12548" max="12548" width="11.5546875" style="745" hidden="1"/>
    <col min="12549" max="12549" width="9.109375" style="745" hidden="1"/>
    <col min="12550" max="12550" width="10" style="745" hidden="1"/>
    <col min="12551" max="12557" width="9.109375" style="745" hidden="1"/>
    <col min="12558" max="12558" width="7.44140625" style="745" hidden="1"/>
    <col min="12559" max="12563" width="9.109375" style="745" hidden="1"/>
    <col min="12564" max="12800" width="0" style="745" hidden="1"/>
    <col min="12801" max="12801" width="3.44140625" style="745" hidden="1"/>
    <col min="12802" max="12802" width="6.109375" style="745" hidden="1"/>
    <col min="12803" max="12803" width="9.109375" style="745" hidden="1"/>
    <col min="12804" max="12804" width="11.5546875" style="745" hidden="1"/>
    <col min="12805" max="12805" width="9.109375" style="745" hidden="1"/>
    <col min="12806" max="12806" width="10" style="745" hidden="1"/>
    <col min="12807" max="12813" width="9.109375" style="745" hidden="1"/>
    <col min="12814" max="12814" width="7.44140625" style="745" hidden="1"/>
    <col min="12815" max="12819" width="9.109375" style="745" hidden="1"/>
    <col min="12820" max="13056" width="0" style="745" hidden="1"/>
    <col min="13057" max="13057" width="3.44140625" style="745" hidden="1"/>
    <col min="13058" max="13058" width="6.109375" style="745" hidden="1"/>
    <col min="13059" max="13059" width="9.109375" style="745" hidden="1"/>
    <col min="13060" max="13060" width="11.5546875" style="745" hidden="1"/>
    <col min="13061" max="13061" width="9.109375" style="745" hidden="1"/>
    <col min="13062" max="13062" width="10" style="745" hidden="1"/>
    <col min="13063" max="13069" width="9.109375" style="745" hidden="1"/>
    <col min="13070" max="13070" width="7.44140625" style="745" hidden="1"/>
    <col min="13071" max="13075" width="9.109375" style="745" hidden="1"/>
    <col min="13076" max="13312" width="0" style="745" hidden="1"/>
    <col min="13313" max="13313" width="3.44140625" style="745" hidden="1"/>
    <col min="13314" max="13314" width="6.109375" style="745" hidden="1"/>
    <col min="13315" max="13315" width="9.109375" style="745" hidden="1"/>
    <col min="13316" max="13316" width="11.5546875" style="745" hidden="1"/>
    <col min="13317" max="13317" width="9.109375" style="745" hidden="1"/>
    <col min="13318" max="13318" width="10" style="745" hidden="1"/>
    <col min="13319" max="13325" width="9.109375" style="745" hidden="1"/>
    <col min="13326" max="13326" width="7.44140625" style="745" hidden="1"/>
    <col min="13327" max="13331" width="9.109375" style="745" hidden="1"/>
    <col min="13332" max="13568" width="0" style="745" hidden="1"/>
    <col min="13569" max="13569" width="3.44140625" style="745" hidden="1"/>
    <col min="13570" max="13570" width="6.109375" style="745" hidden="1"/>
    <col min="13571" max="13571" width="9.109375" style="745" hidden="1"/>
    <col min="13572" max="13572" width="11.5546875" style="745" hidden="1"/>
    <col min="13573" max="13573" width="9.109375" style="745" hidden="1"/>
    <col min="13574" max="13574" width="10" style="745" hidden="1"/>
    <col min="13575" max="13581" width="9.109375" style="745" hidden="1"/>
    <col min="13582" max="13582" width="7.44140625" style="745" hidden="1"/>
    <col min="13583" max="13587" width="9.109375" style="745" hidden="1"/>
    <col min="13588" max="13824" width="0" style="745" hidden="1"/>
    <col min="13825" max="13825" width="3.44140625" style="745" hidden="1"/>
    <col min="13826" max="13826" width="6.109375" style="745" hidden="1"/>
    <col min="13827" max="13827" width="9.109375" style="745" hidden="1"/>
    <col min="13828" max="13828" width="11.5546875" style="745" hidden="1"/>
    <col min="13829" max="13829" width="9.109375" style="745" hidden="1"/>
    <col min="13830" max="13830" width="10" style="745" hidden="1"/>
    <col min="13831" max="13837" width="9.109375" style="745" hidden="1"/>
    <col min="13838" max="13838" width="7.44140625" style="745" hidden="1"/>
    <col min="13839" max="13843" width="9.109375" style="745" hidden="1"/>
    <col min="13844" max="14080" width="0" style="745" hidden="1"/>
    <col min="14081" max="14081" width="3.44140625" style="745" hidden="1"/>
    <col min="14082" max="14082" width="6.109375" style="745" hidden="1"/>
    <col min="14083" max="14083" width="9.109375" style="745" hidden="1"/>
    <col min="14084" max="14084" width="11.5546875" style="745" hidden="1"/>
    <col min="14085" max="14085" width="9.109375" style="745" hidden="1"/>
    <col min="14086" max="14086" width="10" style="745" hidden="1"/>
    <col min="14087" max="14093" width="9.109375" style="745" hidden="1"/>
    <col min="14094" max="14094" width="7.44140625" style="745" hidden="1"/>
    <col min="14095" max="14099" width="9.109375" style="745" hidden="1"/>
    <col min="14100" max="14336" width="0" style="745" hidden="1"/>
    <col min="14337" max="14337" width="3.44140625" style="745" hidden="1"/>
    <col min="14338" max="14338" width="6.109375" style="745" hidden="1"/>
    <col min="14339" max="14339" width="9.109375" style="745" hidden="1"/>
    <col min="14340" max="14340" width="11.5546875" style="745" hidden="1"/>
    <col min="14341" max="14341" width="9.109375" style="745" hidden="1"/>
    <col min="14342" max="14342" width="10" style="745" hidden="1"/>
    <col min="14343" max="14349" width="9.109375" style="745" hidden="1"/>
    <col min="14350" max="14350" width="7.44140625" style="745" hidden="1"/>
    <col min="14351" max="14355" width="9.109375" style="745" hidden="1"/>
    <col min="14356" max="14592" width="0" style="745" hidden="1"/>
    <col min="14593" max="14593" width="3.44140625" style="745" hidden="1"/>
    <col min="14594" max="14594" width="6.109375" style="745" hidden="1"/>
    <col min="14595" max="14595" width="9.109375" style="745" hidden="1"/>
    <col min="14596" max="14596" width="11.5546875" style="745" hidden="1"/>
    <col min="14597" max="14597" width="9.109375" style="745" hidden="1"/>
    <col min="14598" max="14598" width="10" style="745" hidden="1"/>
    <col min="14599" max="14605" width="9.109375" style="745" hidden="1"/>
    <col min="14606" max="14606" width="7.44140625" style="745" hidden="1"/>
    <col min="14607" max="14611" width="9.109375" style="745" hidden="1"/>
    <col min="14612" max="14848" width="0" style="745" hidden="1"/>
    <col min="14849" max="14849" width="3.44140625" style="745" hidden="1"/>
    <col min="14850" max="14850" width="6.109375" style="745" hidden="1"/>
    <col min="14851" max="14851" width="9.109375" style="745" hidden="1"/>
    <col min="14852" max="14852" width="11.5546875" style="745" hidden="1"/>
    <col min="14853" max="14853" width="9.109375" style="745" hidden="1"/>
    <col min="14854" max="14854" width="10" style="745" hidden="1"/>
    <col min="14855" max="14861" width="9.109375" style="745" hidden="1"/>
    <col min="14862" max="14862" width="7.44140625" style="745" hidden="1"/>
    <col min="14863" max="14867" width="9.109375" style="745" hidden="1"/>
    <col min="14868" max="15104" width="0" style="745" hidden="1"/>
    <col min="15105" max="15105" width="3.44140625" style="745" hidden="1"/>
    <col min="15106" max="15106" width="6.109375" style="745" hidden="1"/>
    <col min="15107" max="15107" width="9.109375" style="745" hidden="1"/>
    <col min="15108" max="15108" width="11.5546875" style="745" hidden="1"/>
    <col min="15109" max="15109" width="9.109375" style="745" hidden="1"/>
    <col min="15110" max="15110" width="10" style="745" hidden="1"/>
    <col min="15111" max="15117" width="9.109375" style="745" hidden="1"/>
    <col min="15118" max="15118" width="7.44140625" style="745" hidden="1"/>
    <col min="15119" max="15123" width="9.109375" style="745" hidden="1"/>
    <col min="15124" max="15360" width="0" style="745" hidden="1"/>
    <col min="15361" max="15361" width="3.44140625" style="745" hidden="1"/>
    <col min="15362" max="15362" width="6.109375" style="745" hidden="1"/>
    <col min="15363" max="15363" width="9.109375" style="745" hidden="1"/>
    <col min="15364" max="15364" width="11.5546875" style="745" hidden="1"/>
    <col min="15365" max="15365" width="9.109375" style="745" hidden="1"/>
    <col min="15366" max="15366" width="10" style="745" hidden="1"/>
    <col min="15367" max="15373" width="9.109375" style="745" hidden="1"/>
    <col min="15374" max="15374" width="7.44140625" style="745" hidden="1"/>
    <col min="15375" max="15379" width="9.109375" style="745" hidden="1"/>
    <col min="15380" max="15616" width="0" style="745" hidden="1"/>
    <col min="15617" max="15617" width="3.44140625" style="745" hidden="1"/>
    <col min="15618" max="15618" width="6.109375" style="745" hidden="1"/>
    <col min="15619" max="15619" width="9.109375" style="745" hidden="1"/>
    <col min="15620" max="15620" width="11.5546875" style="745" hidden="1"/>
    <col min="15621" max="15621" width="9.109375" style="745" hidden="1"/>
    <col min="15622" max="15622" width="10" style="745" hidden="1"/>
    <col min="15623" max="15629" width="9.109375" style="745" hidden="1"/>
    <col min="15630" max="15630" width="7.44140625" style="745" hidden="1"/>
    <col min="15631" max="15635" width="9.109375" style="745" hidden="1"/>
    <col min="15636" max="15872" width="0" style="745" hidden="1"/>
    <col min="15873" max="15873" width="3.44140625" style="745" hidden="1"/>
    <col min="15874" max="15874" width="6.109375" style="745" hidden="1"/>
    <col min="15875" max="15875" width="9.109375" style="745" hidden="1"/>
    <col min="15876" max="15876" width="11.5546875" style="745" hidden="1"/>
    <col min="15877" max="15877" width="9.109375" style="745" hidden="1"/>
    <col min="15878" max="15878" width="10" style="745" hidden="1"/>
    <col min="15879" max="15885" width="9.109375" style="745" hidden="1"/>
    <col min="15886" max="15886" width="7.44140625" style="745" hidden="1"/>
    <col min="15887" max="15891" width="9.109375" style="745" hidden="1"/>
    <col min="15892" max="16128" width="0" style="745" hidden="1"/>
    <col min="16129" max="16129" width="3.44140625" style="745" hidden="1"/>
    <col min="16130" max="16130" width="6.109375" style="745" hidden="1"/>
    <col min="16131" max="16131" width="9.109375" style="745" hidden="1"/>
    <col min="16132" max="16132" width="11.5546875" style="745" hidden="1"/>
    <col min="16133" max="16133" width="9.109375" style="745" hidden="1"/>
    <col min="16134" max="16134" width="10" style="745" hidden="1"/>
    <col min="16135" max="16141" width="9.109375" style="745" hidden="1"/>
    <col min="16142" max="16142" width="7.44140625" style="745" hidden="1"/>
    <col min="16143" max="16147" width="9.109375" style="745" hidden="1"/>
    <col min="16148" max="16384" width="0" style="745" hidden="1"/>
  </cols>
  <sheetData>
    <row r="1" spans="1:19" ht="14.4" customHeight="1" thickBot="1">
      <c r="A1" s="749" t="s">
        <v>206</v>
      </c>
      <c r="B1" s="750"/>
      <c r="C1" s="750"/>
      <c r="D1" s="750"/>
      <c r="E1" s="750"/>
      <c r="F1" s="750"/>
      <c r="G1" s="750"/>
      <c r="H1" s="750" t="s">
        <v>207</v>
      </c>
      <c r="I1" s="750"/>
      <c r="J1" s="750"/>
      <c r="K1" s="750"/>
      <c r="L1" s="750"/>
      <c r="M1" s="750"/>
      <c r="N1" s="750"/>
      <c r="O1" s="750"/>
      <c r="P1" s="750"/>
      <c r="Q1" s="750"/>
      <c r="R1" s="750"/>
      <c r="S1" s="751" t="s">
        <v>606</v>
      </c>
    </row>
    <row r="2" spans="1:19" ht="14.4" customHeight="1">
      <c r="A2" s="745" t="s">
        <v>4</v>
      </c>
      <c r="E2" s="745" t="s">
        <v>208</v>
      </c>
      <c r="G2" s="745" t="s">
        <v>209</v>
      </c>
      <c r="K2" s="752"/>
      <c r="L2" s="752"/>
      <c r="N2" s="752"/>
      <c r="O2" s="752"/>
      <c r="P2" s="752" t="s">
        <v>7</v>
      </c>
      <c r="S2" s="753"/>
    </row>
    <row r="3" spans="1:19" ht="14.4" customHeight="1">
      <c r="G3" s="745" t="s">
        <v>210</v>
      </c>
      <c r="K3" s="754"/>
      <c r="L3" s="753"/>
      <c r="O3" s="754"/>
      <c r="P3" s="754" t="s">
        <v>12</v>
      </c>
      <c r="Q3" s="753" t="s">
        <v>9</v>
      </c>
      <c r="S3" s="754"/>
    </row>
    <row r="4" spans="1:19" ht="14.4" customHeight="1">
      <c r="A4" s="745" t="s">
        <v>10</v>
      </c>
      <c r="G4" s="745" t="s">
        <v>211</v>
      </c>
      <c r="K4" s="754"/>
      <c r="L4" s="753"/>
      <c r="M4" s="754"/>
      <c r="P4" s="754"/>
      <c r="Q4" s="753" t="s">
        <v>11</v>
      </c>
      <c r="S4" s="754"/>
    </row>
    <row r="5" spans="1:19" ht="14.4" customHeight="1">
      <c r="G5" s="745" t="s">
        <v>211</v>
      </c>
      <c r="K5" s="754"/>
      <c r="L5" s="753"/>
      <c r="M5" s="754"/>
      <c r="Q5" s="753" t="s">
        <v>13</v>
      </c>
      <c r="S5" s="754"/>
    </row>
    <row r="6" spans="1:19" ht="14.4" customHeight="1">
      <c r="K6" s="754"/>
      <c r="L6" s="753"/>
      <c r="M6" s="754"/>
      <c r="Q6" s="753" t="str">
        <f>+$Q$279</f>
        <v>Witness: C. Aldazabal / J. Chronister /</v>
      </c>
      <c r="S6" s="754"/>
    </row>
    <row r="7" spans="1:19" ht="14.4" customHeight="1">
      <c r="K7" s="754"/>
      <c r="L7" s="753"/>
      <c r="M7" s="754"/>
      <c r="Q7" s="753" t="str">
        <f>+$Q$280</f>
        <v xml:space="preserve">                 R. Latta / C. Whitworth /</v>
      </c>
      <c r="S7" s="754"/>
    </row>
    <row r="8" spans="1:19" ht="14.4" customHeight="1" thickBot="1">
      <c r="A8" s="271" t="s">
        <v>14</v>
      </c>
      <c r="B8" s="750"/>
      <c r="C8" s="750"/>
      <c r="D8" s="750"/>
      <c r="E8" s="750"/>
      <c r="F8" s="750"/>
      <c r="G8" s="750"/>
      <c r="H8" s="750"/>
      <c r="I8" s="750"/>
      <c r="J8" s="750" t="s">
        <v>15</v>
      </c>
      <c r="K8" s="751"/>
      <c r="L8" s="755"/>
      <c r="M8" s="751"/>
      <c r="N8" s="750"/>
      <c r="O8" s="750"/>
      <c r="P8" s="751"/>
      <c r="Q8" s="755" t="str">
        <f>+$Q$281</f>
        <v xml:space="preserve">                 J. Williams</v>
      </c>
      <c r="R8" s="750"/>
      <c r="S8" s="751"/>
    </row>
    <row r="9" spans="1:19" ht="14.4" customHeight="1">
      <c r="C9" s="756"/>
      <c r="D9" s="756"/>
      <c r="E9" s="756"/>
      <c r="F9" s="756"/>
      <c r="G9" s="756"/>
      <c r="H9" s="756"/>
      <c r="I9" s="756"/>
      <c r="J9" s="756"/>
      <c r="K9" s="756"/>
      <c r="L9" s="756"/>
      <c r="M9" s="756"/>
      <c r="N9" s="756"/>
      <c r="O9" s="756"/>
      <c r="P9" s="756"/>
      <c r="Q9" s="756"/>
      <c r="R9" s="756"/>
      <c r="S9" s="756"/>
    </row>
    <row r="10" spans="1:19" ht="14.4" customHeight="1">
      <c r="C10" s="756"/>
      <c r="D10" s="756"/>
      <c r="E10" s="756"/>
      <c r="F10" s="756"/>
      <c r="G10" s="756"/>
      <c r="H10" s="756"/>
      <c r="I10" s="756"/>
      <c r="J10" s="756"/>
      <c r="K10" s="776"/>
      <c r="L10" s="776"/>
      <c r="M10" s="756"/>
      <c r="N10" s="756"/>
      <c r="O10" s="756"/>
      <c r="P10" s="756"/>
      <c r="Q10" s="756"/>
      <c r="R10" s="756"/>
      <c r="S10" s="756"/>
    </row>
    <row r="11" spans="1:19" ht="14.4" customHeight="1">
      <c r="E11" s="605"/>
      <c r="G11" s="756" t="s">
        <v>17</v>
      </c>
      <c r="H11" s="757"/>
      <c r="I11" s="756"/>
      <c r="J11" s="756" t="s">
        <v>18</v>
      </c>
      <c r="K11" s="756"/>
      <c r="L11" s="757"/>
      <c r="M11" s="756" t="s">
        <v>19</v>
      </c>
      <c r="N11" s="757"/>
      <c r="S11" s="757"/>
    </row>
    <row r="12" spans="1:19" ht="14.4" customHeight="1">
      <c r="A12" s="745" t="s">
        <v>35</v>
      </c>
      <c r="B12" s="757"/>
      <c r="C12" s="757"/>
      <c r="D12" s="757"/>
      <c r="E12" s="757"/>
      <c r="F12" s="756"/>
      <c r="G12" s="757" t="s">
        <v>45</v>
      </c>
      <c r="H12" s="757"/>
      <c r="I12" s="757"/>
      <c r="J12" s="757" t="s">
        <v>212</v>
      </c>
      <c r="K12" s="757"/>
      <c r="L12" s="756"/>
      <c r="M12" s="757" t="s">
        <v>98</v>
      </c>
      <c r="N12" s="753"/>
      <c r="O12" s="753"/>
      <c r="P12" s="756"/>
      <c r="Q12" s="756"/>
      <c r="R12" s="756"/>
      <c r="S12" s="757"/>
    </row>
    <row r="13" spans="1:19" ht="14.4" customHeight="1" thickBot="1">
      <c r="A13" s="750" t="s">
        <v>46</v>
      </c>
      <c r="B13" s="758"/>
      <c r="C13" s="758" t="s">
        <v>213</v>
      </c>
      <c r="D13" s="758"/>
      <c r="E13" s="758"/>
      <c r="F13" s="758"/>
      <c r="G13" s="759" t="s">
        <v>214</v>
      </c>
      <c r="H13" s="759"/>
      <c r="I13" s="759"/>
      <c r="J13" s="759" t="s">
        <v>98</v>
      </c>
      <c r="K13" s="759"/>
      <c r="L13" s="760"/>
      <c r="M13" s="759" t="s">
        <v>110</v>
      </c>
      <c r="N13" s="761"/>
      <c r="O13" s="761"/>
      <c r="P13" s="761"/>
      <c r="Q13" s="761"/>
      <c r="R13" s="761"/>
      <c r="S13" s="761"/>
    </row>
    <row r="14" spans="1:19" ht="14.4" customHeight="1">
      <c r="A14" s="745">
        <v>1</v>
      </c>
      <c r="B14" s="746"/>
      <c r="C14" s="604" t="s">
        <v>215</v>
      </c>
      <c r="D14" s="605"/>
      <c r="E14" s="606"/>
      <c r="F14" s="605"/>
      <c r="G14" s="607"/>
      <c r="H14" s="605"/>
      <c r="I14" s="607"/>
      <c r="J14" s="607"/>
      <c r="K14" s="608"/>
      <c r="L14" s="606"/>
      <c r="M14" s="608"/>
      <c r="N14" s="606"/>
      <c r="O14" s="605"/>
      <c r="P14" s="605"/>
      <c r="Q14" s="605"/>
      <c r="R14" s="605"/>
      <c r="S14" s="605"/>
    </row>
    <row r="15" spans="1:19" ht="14.4" customHeight="1">
      <c r="A15" s="745">
        <v>2</v>
      </c>
      <c r="B15" s="746"/>
      <c r="C15" s="606" t="s">
        <v>216</v>
      </c>
      <c r="F15" s="605"/>
      <c r="G15" s="605">
        <f>'B-7'!R1054</f>
        <v>601250</v>
      </c>
      <c r="H15" s="605"/>
      <c r="I15" s="607"/>
      <c r="J15" s="605">
        <f>G15*M15</f>
        <v>599193.72499999998</v>
      </c>
      <c r="K15" s="608"/>
      <c r="L15" s="609"/>
      <c r="M15" s="610">
        <v>0.99658000000000002</v>
      </c>
      <c r="N15" s="606"/>
      <c r="O15" s="605"/>
      <c r="P15" s="605"/>
      <c r="Q15" s="605"/>
      <c r="R15" s="605"/>
      <c r="S15" s="605"/>
    </row>
    <row r="16" spans="1:19" ht="14.4" customHeight="1">
      <c r="A16" s="745">
        <v>3</v>
      </c>
      <c r="B16" s="746"/>
      <c r="C16" s="606"/>
      <c r="F16" s="605"/>
      <c r="G16" s="607"/>
      <c r="H16" s="605"/>
      <c r="I16" s="607"/>
      <c r="J16" s="607"/>
      <c r="K16" s="608"/>
      <c r="L16" s="609"/>
      <c r="M16" s="611"/>
      <c r="N16" s="606"/>
      <c r="O16" s="605"/>
      <c r="P16" s="605"/>
      <c r="Q16" s="605"/>
      <c r="R16" s="605"/>
      <c r="S16" s="605"/>
    </row>
    <row r="17" spans="1:22" ht="14.4" customHeight="1">
      <c r="A17" s="745">
        <v>4</v>
      </c>
      <c r="B17" s="746"/>
      <c r="C17" s="604" t="s">
        <v>217</v>
      </c>
      <c r="F17" s="607"/>
      <c r="G17" s="607"/>
      <c r="H17" s="607"/>
      <c r="I17" s="607"/>
      <c r="J17" s="607"/>
      <c r="K17" s="608"/>
      <c r="L17" s="606"/>
      <c r="M17" s="610"/>
      <c r="N17" s="609"/>
      <c r="O17" s="605"/>
      <c r="P17" s="605"/>
      <c r="Q17" s="605"/>
      <c r="R17" s="605"/>
      <c r="S17" s="605"/>
    </row>
    <row r="18" spans="1:22" ht="14.4" customHeight="1">
      <c r="A18" s="745">
        <v>5</v>
      </c>
      <c r="B18" s="762"/>
      <c r="C18" s="727" t="s">
        <v>218</v>
      </c>
      <c r="F18" s="605"/>
      <c r="G18" s="607">
        <f>'B-7'!R705+'B-7'!R1043+'B-7'!R1057</f>
        <v>1489218</v>
      </c>
      <c r="H18" s="607"/>
      <c r="I18" s="605"/>
      <c r="J18" s="607">
        <f>G18*M18</f>
        <v>1489218</v>
      </c>
      <c r="K18" s="608"/>
      <c r="L18" s="609"/>
      <c r="M18" s="610">
        <v>1</v>
      </c>
      <c r="N18" s="605"/>
      <c r="O18" s="607"/>
      <c r="P18" s="607"/>
      <c r="Q18" s="607"/>
      <c r="R18" s="607"/>
      <c r="S18" s="607"/>
    </row>
    <row r="19" spans="1:22" ht="14.4" customHeight="1">
      <c r="A19" s="745">
        <v>6</v>
      </c>
      <c r="B19" s="762"/>
      <c r="C19" s="727" t="s">
        <v>219</v>
      </c>
      <c r="F19" s="605"/>
      <c r="G19" s="607">
        <v>0</v>
      </c>
      <c r="H19" s="607"/>
      <c r="I19" s="605"/>
      <c r="J19" s="607">
        <f>G19*M19</f>
        <v>0</v>
      </c>
      <c r="K19" s="608"/>
      <c r="L19" s="609"/>
      <c r="M19" s="610">
        <v>0</v>
      </c>
      <c r="N19" s="605"/>
      <c r="O19" s="607"/>
      <c r="P19" s="607"/>
      <c r="Q19" s="607"/>
      <c r="R19" s="607"/>
      <c r="S19" s="607"/>
    </row>
    <row r="20" spans="1:22" ht="14.4" customHeight="1">
      <c r="A20" s="745">
        <v>7</v>
      </c>
      <c r="B20" s="746"/>
      <c r="C20" s="727" t="s">
        <v>34</v>
      </c>
      <c r="F20" s="607"/>
      <c r="G20" s="607">
        <f>'B-7'!R951+'B-7'!R1044+'B-7'!R1058</f>
        <v>5923968</v>
      </c>
      <c r="H20" s="607"/>
      <c r="I20" s="607"/>
      <c r="J20" s="607">
        <f>G20*M20</f>
        <v>5923968</v>
      </c>
      <c r="K20" s="608"/>
      <c r="L20" s="607"/>
      <c r="M20" s="610">
        <v>1</v>
      </c>
      <c r="N20" s="607"/>
      <c r="O20" s="607"/>
      <c r="P20" s="607"/>
      <c r="Q20" s="607"/>
      <c r="R20" s="607"/>
      <c r="S20" s="607"/>
    </row>
    <row r="21" spans="1:22" ht="14.4" customHeight="1">
      <c r="A21" s="745">
        <v>8</v>
      </c>
      <c r="B21" s="746"/>
      <c r="C21" s="606" t="s">
        <v>220</v>
      </c>
      <c r="F21" s="607"/>
      <c r="G21" s="612">
        <f>SUM(G18:G20)</f>
        <v>7413186</v>
      </c>
      <c r="H21" s="607"/>
      <c r="I21" s="607"/>
      <c r="J21" s="612">
        <f>SUM(J18:J20)</f>
        <v>7413186</v>
      </c>
      <c r="K21" s="608"/>
      <c r="L21" s="607"/>
      <c r="M21" s="610">
        <f>J21/G21</f>
        <v>1</v>
      </c>
      <c r="N21" s="607"/>
      <c r="O21" s="607"/>
      <c r="P21" s="607"/>
      <c r="Q21" s="607"/>
      <c r="R21" s="607"/>
      <c r="S21" s="607"/>
    </row>
    <row r="22" spans="1:22" ht="14.4" customHeight="1">
      <c r="A22" s="745">
        <v>9</v>
      </c>
      <c r="B22" s="746"/>
      <c r="C22" s="606"/>
      <c r="F22" s="607"/>
      <c r="G22" s="607"/>
      <c r="H22" s="607"/>
      <c r="I22" s="607"/>
      <c r="J22" s="607"/>
      <c r="K22" s="608"/>
      <c r="L22" s="607"/>
      <c r="M22" s="610"/>
      <c r="N22" s="607"/>
      <c r="O22" s="607"/>
      <c r="P22" s="607"/>
      <c r="Q22" s="607"/>
      <c r="R22" s="607"/>
      <c r="S22" s="607"/>
    </row>
    <row r="23" spans="1:22" ht="14.4" customHeight="1">
      <c r="A23" s="745">
        <v>10</v>
      </c>
      <c r="B23" s="746"/>
      <c r="C23" s="604" t="s">
        <v>221</v>
      </c>
      <c r="F23" s="607"/>
      <c r="G23" s="607"/>
      <c r="H23" s="605"/>
      <c r="I23" s="607"/>
      <c r="J23" s="607"/>
      <c r="K23" s="608"/>
      <c r="L23" s="607"/>
      <c r="M23" s="610"/>
      <c r="N23" s="607"/>
      <c r="O23" s="607"/>
      <c r="P23" s="607"/>
      <c r="Q23" s="607"/>
      <c r="R23" s="607"/>
      <c r="S23" s="607"/>
    </row>
    <row r="24" spans="1:22" ht="14.4" customHeight="1">
      <c r="A24" s="745">
        <v>11</v>
      </c>
      <c r="B24" s="746"/>
      <c r="C24" s="727" t="s">
        <v>222</v>
      </c>
      <c r="F24" s="607"/>
      <c r="G24" s="607">
        <f>'B-7'!R956+'B-7'!R1045</f>
        <v>29962</v>
      </c>
      <c r="H24" s="605"/>
      <c r="I24" s="607"/>
      <c r="J24" s="607">
        <f t="shared" ref="J24" si="0">G24*M24</f>
        <v>28318.704148000001</v>
      </c>
      <c r="K24" s="608"/>
      <c r="L24" s="607"/>
      <c r="M24" s="774">
        <v>0.94515400000000005</v>
      </c>
      <c r="N24" s="607"/>
      <c r="O24" s="607"/>
      <c r="P24" s="607"/>
      <c r="Q24" s="607"/>
      <c r="R24" s="607"/>
      <c r="S24" s="607"/>
      <c r="V24" s="774"/>
    </row>
    <row r="25" spans="1:22" ht="14.4" customHeight="1">
      <c r="A25" s="745">
        <v>12</v>
      </c>
      <c r="B25" s="746"/>
      <c r="C25" s="727" t="s">
        <v>223</v>
      </c>
      <c r="F25" s="607"/>
      <c r="G25" s="607">
        <f>'B-7'!R958</f>
        <v>76277</v>
      </c>
      <c r="H25" s="605"/>
      <c r="I25" s="607"/>
      <c r="J25" s="607">
        <f t="shared" ref="J25:J33" si="1">G25*M25</f>
        <v>72093.511658000003</v>
      </c>
      <c r="K25" s="608"/>
      <c r="L25" s="607"/>
      <c r="M25" s="774">
        <v>0.94515400000000005</v>
      </c>
      <c r="N25" s="607"/>
      <c r="O25" s="607"/>
      <c r="P25" s="607"/>
      <c r="Q25" s="607"/>
      <c r="R25" s="607"/>
      <c r="S25" s="607"/>
    </row>
    <row r="26" spans="1:22" ht="14.4" customHeight="1">
      <c r="A26" s="745">
        <v>13</v>
      </c>
      <c r="B26" s="746"/>
      <c r="C26" s="727" t="s">
        <v>224</v>
      </c>
      <c r="F26" s="607"/>
      <c r="G26" s="607">
        <f>'B-7'!R959</f>
        <v>458450</v>
      </c>
      <c r="H26" s="605"/>
      <c r="I26" s="607"/>
      <c r="J26" s="607">
        <f t="shared" si="1"/>
        <v>433305.85130000004</v>
      </c>
      <c r="K26" s="608"/>
      <c r="L26" s="607"/>
      <c r="M26" s="774">
        <v>0.94515400000000005</v>
      </c>
      <c r="N26" s="607"/>
      <c r="O26" s="607"/>
      <c r="P26" s="607"/>
      <c r="Q26" s="607"/>
      <c r="R26" s="607"/>
      <c r="S26" s="607"/>
    </row>
    <row r="27" spans="1:22" ht="14.4" customHeight="1">
      <c r="A27" s="745">
        <v>14</v>
      </c>
      <c r="B27" s="746"/>
      <c r="C27" s="727" t="s">
        <v>225</v>
      </c>
      <c r="F27" s="607"/>
      <c r="G27" s="607">
        <f>'B-7'!R960</f>
        <v>5092</v>
      </c>
      <c r="H27" s="605"/>
      <c r="I27" s="607"/>
      <c r="J27" s="607">
        <f t="shared" si="1"/>
        <v>4812.7241680000006</v>
      </c>
      <c r="K27" s="608"/>
      <c r="L27" s="607"/>
      <c r="M27" s="774">
        <v>0.94515400000000005</v>
      </c>
      <c r="N27" s="607"/>
      <c r="O27" s="607"/>
      <c r="P27" s="607"/>
      <c r="Q27" s="607"/>
      <c r="R27" s="607"/>
      <c r="S27" s="607"/>
    </row>
    <row r="28" spans="1:22" ht="14.4" customHeight="1">
      <c r="A28" s="745">
        <v>15</v>
      </c>
      <c r="B28" s="746"/>
      <c r="C28" s="727" t="s">
        <v>226</v>
      </c>
      <c r="F28" s="607"/>
      <c r="G28" s="607">
        <f>'B-7'!R961</f>
        <v>534135</v>
      </c>
      <c r="H28" s="605"/>
      <c r="I28" s="607"/>
      <c r="J28" s="607">
        <f t="shared" si="1"/>
        <v>504839.83179000003</v>
      </c>
      <c r="K28" s="608"/>
      <c r="L28" s="607"/>
      <c r="M28" s="774">
        <v>0.94515400000000005</v>
      </c>
      <c r="N28" s="607"/>
      <c r="O28" s="607"/>
      <c r="P28" s="607"/>
      <c r="Q28" s="607"/>
      <c r="R28" s="607"/>
      <c r="S28" s="607"/>
    </row>
    <row r="29" spans="1:22" ht="14.4" customHeight="1">
      <c r="A29" s="745">
        <v>16</v>
      </c>
      <c r="B29" s="746"/>
      <c r="C29" s="727" t="s">
        <v>227</v>
      </c>
      <c r="F29" s="607"/>
      <c r="G29" s="607">
        <f>'B-7'!R962+'B-7'!R1074</f>
        <v>198848</v>
      </c>
      <c r="H29" s="605"/>
      <c r="I29" s="607"/>
      <c r="J29" s="607">
        <f t="shared" si="1"/>
        <v>187941.98259200001</v>
      </c>
      <c r="K29" s="608"/>
      <c r="L29" s="607"/>
      <c r="M29" s="774">
        <v>0.94515400000000005</v>
      </c>
      <c r="N29" s="607"/>
      <c r="O29" s="607"/>
      <c r="P29" s="607"/>
      <c r="Q29" s="607"/>
      <c r="R29" s="607"/>
      <c r="S29" s="607"/>
      <c r="U29" s="745" t="s">
        <v>321</v>
      </c>
    </row>
    <row r="30" spans="1:22" ht="14.4" customHeight="1">
      <c r="A30" s="745">
        <v>17</v>
      </c>
      <c r="B30" s="746"/>
      <c r="C30" s="727" t="s">
        <v>229</v>
      </c>
      <c r="F30" s="607"/>
      <c r="G30" s="607">
        <f>'B-7'!R963</f>
        <v>2111</v>
      </c>
      <c r="H30" s="605"/>
      <c r="I30" s="607"/>
      <c r="J30" s="607">
        <f t="shared" si="1"/>
        <v>1995.220094</v>
      </c>
      <c r="K30" s="608"/>
      <c r="L30" s="607"/>
      <c r="M30" s="774">
        <v>0.94515400000000005</v>
      </c>
      <c r="N30" s="607"/>
      <c r="O30" s="607"/>
      <c r="P30" s="607"/>
      <c r="Q30" s="607"/>
      <c r="R30" s="607"/>
      <c r="S30" s="607"/>
    </row>
    <row r="31" spans="1:22" ht="14.4" customHeight="1">
      <c r="A31" s="745">
        <v>18</v>
      </c>
      <c r="B31" s="746"/>
      <c r="C31" s="727" t="s">
        <v>230</v>
      </c>
      <c r="F31" s="607"/>
      <c r="G31" s="607">
        <f>'B-7'!R964</f>
        <v>4323</v>
      </c>
      <c r="H31" s="605"/>
      <c r="I31" s="607"/>
      <c r="J31" s="607">
        <f t="shared" si="1"/>
        <v>4085.9007420000003</v>
      </c>
      <c r="K31" s="608"/>
      <c r="L31" s="607"/>
      <c r="M31" s="774">
        <v>0.94515400000000005</v>
      </c>
      <c r="N31" s="607"/>
      <c r="O31" s="607"/>
      <c r="P31" s="607"/>
      <c r="Q31" s="607"/>
      <c r="R31" s="607"/>
      <c r="S31" s="607"/>
    </row>
    <row r="32" spans="1:22" ht="14.4" customHeight="1">
      <c r="A32" s="745">
        <v>19</v>
      </c>
      <c r="B32" s="746"/>
      <c r="C32" s="727" t="s">
        <v>231</v>
      </c>
      <c r="G32" s="607">
        <f>'B-7'!R965</f>
        <v>12363</v>
      </c>
      <c r="J32" s="607">
        <f t="shared" si="1"/>
        <v>11684.938902</v>
      </c>
      <c r="M32" s="774">
        <v>0.94515400000000005</v>
      </c>
      <c r="N32" s="607"/>
      <c r="O32" s="607"/>
      <c r="P32" s="607"/>
      <c r="Q32" s="607"/>
      <c r="R32" s="607"/>
      <c r="S32" s="607"/>
    </row>
    <row r="33" spans="1:22" ht="14.4" customHeight="1">
      <c r="A33" s="745">
        <v>20</v>
      </c>
      <c r="B33" s="746"/>
      <c r="C33" s="727" t="s">
        <v>232</v>
      </c>
      <c r="G33" s="607">
        <f>'B-7'!R966</f>
        <v>20219</v>
      </c>
      <c r="J33" s="607">
        <f t="shared" si="1"/>
        <v>19110.068726000001</v>
      </c>
      <c r="M33" s="774">
        <v>0.94515400000000005</v>
      </c>
      <c r="O33" s="607"/>
      <c r="P33" s="607"/>
      <c r="Q33" s="607"/>
      <c r="R33" s="607"/>
      <c r="S33" s="607"/>
    </row>
    <row r="34" spans="1:22" ht="14.4" customHeight="1">
      <c r="A34" s="745">
        <v>21</v>
      </c>
      <c r="B34" s="746"/>
      <c r="C34" s="606" t="s">
        <v>233</v>
      </c>
      <c r="F34" s="607"/>
      <c r="G34" s="612">
        <f>SUM(G24:G33)</f>
        <v>1341780</v>
      </c>
      <c r="H34" s="605"/>
      <c r="I34" s="607"/>
      <c r="J34" s="612">
        <f>SUM(J24:J33)</f>
        <v>1268188.7341199999</v>
      </c>
      <c r="K34" s="608"/>
      <c r="L34" s="607"/>
      <c r="M34" s="610">
        <f>J34/G34</f>
        <v>0.94515399999999994</v>
      </c>
      <c r="O34" s="607"/>
      <c r="P34" s="607"/>
      <c r="Q34" s="607"/>
      <c r="R34" s="607"/>
      <c r="S34" s="607"/>
    </row>
    <row r="35" spans="1:22" ht="14.4" customHeight="1">
      <c r="A35" s="745">
        <v>22</v>
      </c>
      <c r="B35" s="746"/>
      <c r="N35" s="607"/>
      <c r="O35" s="607"/>
      <c r="P35" s="607"/>
      <c r="Q35" s="607"/>
      <c r="R35" s="607"/>
      <c r="S35" s="607"/>
      <c r="V35" s="763"/>
    </row>
    <row r="36" spans="1:22" ht="14.4" customHeight="1">
      <c r="A36" s="745">
        <v>23</v>
      </c>
      <c r="B36" s="746"/>
      <c r="C36" s="605" t="s">
        <v>234</v>
      </c>
      <c r="F36" s="607"/>
      <c r="G36" s="607"/>
      <c r="H36" s="605"/>
      <c r="I36" s="607"/>
      <c r="J36" s="607"/>
      <c r="K36" s="608"/>
      <c r="L36" s="609"/>
      <c r="M36" s="611"/>
      <c r="N36" s="607"/>
      <c r="O36" s="607"/>
      <c r="P36" s="607"/>
      <c r="Q36" s="607"/>
      <c r="R36" s="607"/>
      <c r="S36" s="607"/>
    </row>
    <row r="37" spans="1:22" ht="14.4" customHeight="1">
      <c r="A37" s="745">
        <v>24</v>
      </c>
      <c r="B37" s="746"/>
      <c r="C37" s="727" t="s">
        <v>235</v>
      </c>
      <c r="F37" s="607"/>
      <c r="G37" s="607">
        <f>'B-7'!R986+'B-7'!R1046</f>
        <v>10120</v>
      </c>
      <c r="H37" s="605"/>
      <c r="I37" s="607"/>
      <c r="J37" s="607">
        <f t="shared" ref="J37" si="2">G37*M37</f>
        <v>10120</v>
      </c>
      <c r="K37" s="608"/>
      <c r="L37" s="609"/>
      <c r="M37" s="610">
        <v>1</v>
      </c>
      <c r="N37" s="607"/>
      <c r="O37" s="607"/>
      <c r="P37" s="607"/>
      <c r="Q37" s="607"/>
      <c r="R37" s="607"/>
      <c r="S37" s="607"/>
    </row>
    <row r="38" spans="1:22" ht="14.4" customHeight="1">
      <c r="A38" s="745">
        <v>25</v>
      </c>
      <c r="B38" s="746"/>
      <c r="C38" s="727" t="s">
        <v>223</v>
      </c>
      <c r="F38" s="607"/>
      <c r="G38" s="607">
        <f>'B-7'!R987</f>
        <v>34138</v>
      </c>
      <c r="H38" s="605"/>
      <c r="I38" s="607"/>
      <c r="J38" s="607">
        <f t="shared" ref="J38:J43" si="3">G38*M38</f>
        <v>34138</v>
      </c>
      <c r="K38" s="608"/>
      <c r="L38" s="609"/>
      <c r="M38" s="610">
        <v>1</v>
      </c>
      <c r="N38" s="607"/>
      <c r="O38" s="607"/>
      <c r="P38" s="607"/>
      <c r="Q38" s="607"/>
      <c r="R38" s="607"/>
      <c r="S38" s="607"/>
    </row>
    <row r="39" spans="1:22" ht="14.4" customHeight="1">
      <c r="A39" s="745">
        <v>26</v>
      </c>
      <c r="B39" s="746"/>
      <c r="C39" s="727" t="s">
        <v>224</v>
      </c>
      <c r="F39" s="607"/>
      <c r="G39" s="607">
        <f>'B-7'!R988</f>
        <v>331220</v>
      </c>
      <c r="H39" s="605"/>
      <c r="I39" s="607"/>
      <c r="J39" s="607">
        <f t="shared" si="3"/>
        <v>331220</v>
      </c>
      <c r="K39" s="608"/>
      <c r="L39" s="609"/>
      <c r="M39" s="610">
        <v>1</v>
      </c>
      <c r="N39" s="607"/>
      <c r="O39" s="607"/>
      <c r="P39" s="607"/>
      <c r="Q39" s="607"/>
      <c r="R39" s="607"/>
      <c r="S39" s="607"/>
    </row>
    <row r="40" spans="1:22" ht="14.4" customHeight="1">
      <c r="A40" s="745">
        <v>27</v>
      </c>
      <c r="B40" s="746"/>
      <c r="C40" s="727" t="s">
        <v>237</v>
      </c>
      <c r="F40" s="607"/>
      <c r="G40" s="607">
        <f>'B-7'!R990</f>
        <v>499219</v>
      </c>
      <c r="H40" s="605"/>
      <c r="I40" s="607"/>
      <c r="J40" s="607">
        <f t="shared" si="3"/>
        <v>499219</v>
      </c>
      <c r="K40" s="608"/>
      <c r="L40" s="609"/>
      <c r="M40" s="610">
        <v>1</v>
      </c>
      <c r="N40" s="607"/>
      <c r="O40" s="607"/>
      <c r="P40" s="607"/>
      <c r="Q40" s="607"/>
      <c r="R40" s="607"/>
      <c r="S40" s="607"/>
    </row>
    <row r="41" spans="1:22" ht="14.4" customHeight="1">
      <c r="A41" s="745">
        <v>28</v>
      </c>
      <c r="B41" s="746"/>
      <c r="C41" s="727" t="s">
        <v>238</v>
      </c>
      <c r="F41" s="607"/>
      <c r="G41" s="607">
        <f>'B-7'!R991</f>
        <v>303328</v>
      </c>
      <c r="H41" s="605"/>
      <c r="I41" s="607"/>
      <c r="J41" s="607">
        <f t="shared" si="3"/>
        <v>303328</v>
      </c>
      <c r="K41" s="608"/>
      <c r="L41" s="609"/>
      <c r="M41" s="610">
        <v>1</v>
      </c>
      <c r="N41" s="607"/>
      <c r="O41" s="607"/>
      <c r="P41" s="607"/>
      <c r="Q41" s="607"/>
      <c r="R41" s="607"/>
      <c r="S41" s="607"/>
    </row>
    <row r="42" spans="1:22" ht="14.4" customHeight="1">
      <c r="A42" s="745">
        <v>29</v>
      </c>
      <c r="B42" s="746"/>
      <c r="C42" s="727" t="s">
        <v>230</v>
      </c>
      <c r="F42" s="607"/>
      <c r="G42" s="607">
        <f>'B-7'!R992</f>
        <v>464182</v>
      </c>
      <c r="H42" s="605"/>
      <c r="I42" s="607"/>
      <c r="J42" s="607">
        <f t="shared" si="3"/>
        <v>464182</v>
      </c>
      <c r="K42" s="608"/>
      <c r="L42" s="609"/>
      <c r="M42" s="610">
        <v>1</v>
      </c>
      <c r="N42" s="607"/>
      <c r="O42" s="607"/>
      <c r="P42" s="607"/>
      <c r="Q42" s="607"/>
      <c r="R42" s="607"/>
      <c r="S42" s="607"/>
    </row>
    <row r="43" spans="1:22" ht="14.4" customHeight="1">
      <c r="A43" s="745">
        <v>30</v>
      </c>
      <c r="B43" s="746"/>
      <c r="C43" s="727" t="s">
        <v>239</v>
      </c>
      <c r="F43" s="607"/>
      <c r="G43" s="607">
        <f>'B-7'!R993</f>
        <v>784983</v>
      </c>
      <c r="H43" s="605"/>
      <c r="I43" s="607"/>
      <c r="J43" s="607">
        <f t="shared" si="3"/>
        <v>784983</v>
      </c>
      <c r="K43" s="608"/>
      <c r="L43" s="609"/>
      <c r="M43" s="610">
        <v>1</v>
      </c>
      <c r="N43" s="607"/>
      <c r="O43" s="607"/>
      <c r="P43" s="607"/>
      <c r="Q43" s="607"/>
      <c r="R43" s="607"/>
      <c r="S43" s="607"/>
    </row>
    <row r="44" spans="1:22" ht="14.4" customHeight="1">
      <c r="A44" s="745">
        <v>31</v>
      </c>
      <c r="B44" s="746"/>
      <c r="C44" s="727" t="s">
        <v>240</v>
      </c>
      <c r="F44" s="607"/>
      <c r="G44" s="607">
        <f>'B-7'!R994</f>
        <v>1040688</v>
      </c>
      <c r="H44" s="605"/>
      <c r="I44" s="607"/>
      <c r="J44" s="607">
        <f t="shared" ref="J44:J45" si="4">G44*M44</f>
        <v>1040688</v>
      </c>
      <c r="K44" s="608"/>
      <c r="L44" s="609"/>
      <c r="M44" s="610">
        <v>1</v>
      </c>
      <c r="N44" s="607"/>
      <c r="O44" s="607"/>
      <c r="P44" s="607"/>
      <c r="Q44" s="607"/>
      <c r="R44" s="607"/>
      <c r="S44" s="607"/>
    </row>
    <row r="45" spans="1:22" ht="14.4" customHeight="1">
      <c r="A45" s="745">
        <v>32</v>
      </c>
      <c r="B45" s="746"/>
      <c r="C45" s="727" t="s">
        <v>241</v>
      </c>
      <c r="F45" s="607"/>
      <c r="G45" s="607">
        <f>'B-7'!R995+'B-7'!R996</f>
        <v>239339</v>
      </c>
      <c r="H45" s="605"/>
      <c r="I45" s="607"/>
      <c r="J45" s="607">
        <f t="shared" si="4"/>
        <v>239339</v>
      </c>
      <c r="K45" s="608"/>
      <c r="L45" s="609"/>
      <c r="M45" s="610">
        <v>1</v>
      </c>
      <c r="N45" s="607"/>
      <c r="O45" s="607"/>
      <c r="P45" s="607"/>
      <c r="Q45" s="607"/>
      <c r="R45" s="607"/>
      <c r="S45" s="607"/>
    </row>
    <row r="46" spans="1:22" ht="14.4" customHeight="1">
      <c r="A46" s="745">
        <v>33</v>
      </c>
      <c r="B46" s="746"/>
      <c r="C46" s="727" t="s">
        <v>242</v>
      </c>
      <c r="G46" s="607">
        <f>'B-7'!R997+'B-7'!R998</f>
        <v>143279</v>
      </c>
      <c r="H46" s="605"/>
      <c r="I46" s="607"/>
      <c r="J46" s="607">
        <f>G46*M46</f>
        <v>143279</v>
      </c>
      <c r="K46" s="608"/>
      <c r="L46" s="609"/>
      <c r="M46" s="610">
        <v>1</v>
      </c>
      <c r="N46" s="607"/>
      <c r="O46" s="607"/>
      <c r="P46" s="607"/>
      <c r="Q46" s="607"/>
      <c r="R46" s="607"/>
      <c r="S46" s="607"/>
    </row>
    <row r="47" spans="1:22" ht="14.4" customHeight="1">
      <c r="A47" s="745">
        <v>34</v>
      </c>
      <c r="B47" s="746"/>
      <c r="C47" s="727" t="s">
        <v>243</v>
      </c>
      <c r="G47" s="764">
        <f>+'B-7'!R999</f>
        <v>6575</v>
      </c>
      <c r="J47" s="607">
        <f>G47*M47</f>
        <v>6575</v>
      </c>
      <c r="K47" s="608"/>
      <c r="L47" s="609"/>
      <c r="M47" s="610">
        <v>1</v>
      </c>
      <c r="N47" s="605"/>
      <c r="O47" s="607"/>
      <c r="P47" s="607"/>
      <c r="Q47" s="607"/>
      <c r="R47" s="607"/>
      <c r="S47" s="607"/>
    </row>
    <row r="48" spans="1:22" ht="14.4" customHeight="1">
      <c r="A48" s="745">
        <v>35</v>
      </c>
      <c r="B48" s="746"/>
      <c r="C48" s="727" t="s">
        <v>244</v>
      </c>
      <c r="G48" s="607">
        <f>'B-7'!R1000+'B-7'!R1001</f>
        <v>416298</v>
      </c>
      <c r="J48" s="607">
        <f>G48*M48</f>
        <v>416298</v>
      </c>
      <c r="M48" s="610">
        <v>1</v>
      </c>
      <c r="N48" s="605"/>
      <c r="O48" s="607"/>
      <c r="P48" s="607"/>
      <c r="Q48" s="607"/>
      <c r="R48" s="607"/>
      <c r="S48" s="607"/>
    </row>
    <row r="49" spans="1:21" ht="14.4" customHeight="1">
      <c r="A49" s="745">
        <v>36</v>
      </c>
      <c r="B49" s="746"/>
      <c r="C49" s="727" t="s">
        <v>254</v>
      </c>
      <c r="G49" s="764">
        <f>'B-7'!R1059</f>
        <v>7160</v>
      </c>
      <c r="I49" s="607"/>
      <c r="J49" s="607">
        <f>G49*M49</f>
        <v>7160</v>
      </c>
      <c r="K49" s="608"/>
      <c r="L49" s="609"/>
      <c r="M49" s="610">
        <v>1</v>
      </c>
      <c r="P49" s="607"/>
      <c r="Q49" s="607"/>
      <c r="R49" s="607"/>
      <c r="S49" s="607"/>
    </row>
    <row r="50" spans="1:21" ht="14.4" customHeight="1">
      <c r="A50" s="745">
        <v>37</v>
      </c>
      <c r="B50" s="765"/>
      <c r="C50" s="606" t="s">
        <v>245</v>
      </c>
      <c r="F50" s="607"/>
      <c r="G50" s="612">
        <f>SUM(G37:G49)</f>
        <v>4280529</v>
      </c>
      <c r="I50" s="607"/>
      <c r="J50" s="612">
        <f>SUM(J37:J49)</f>
        <v>4280529</v>
      </c>
      <c r="K50" s="608"/>
      <c r="L50" s="609"/>
      <c r="M50" s="610">
        <f>J50/G50</f>
        <v>1</v>
      </c>
      <c r="N50" s="607"/>
      <c r="O50" s="607"/>
      <c r="P50" s="607"/>
      <c r="Q50" s="607"/>
      <c r="R50" s="607"/>
      <c r="S50" s="607"/>
    </row>
    <row r="51" spans="1:21" ht="14.4" customHeight="1">
      <c r="A51" s="745">
        <v>38</v>
      </c>
      <c r="B51" s="746"/>
      <c r="N51" s="607"/>
      <c r="O51" s="607"/>
      <c r="P51" s="607"/>
      <c r="Q51" s="607"/>
      <c r="R51" s="607"/>
      <c r="S51" s="607"/>
    </row>
    <row r="52" spans="1:21" ht="14.4" customHeight="1">
      <c r="A52" s="745">
        <v>39</v>
      </c>
      <c r="B52" s="746"/>
      <c r="C52" s="605" t="s">
        <v>246</v>
      </c>
      <c r="F52" s="607"/>
      <c r="G52" s="607">
        <f>'B-7'!R1024+'B-7'!R1047+'B-7'!R1060</f>
        <v>803091</v>
      </c>
      <c r="H52" s="605"/>
      <c r="I52" s="607"/>
      <c r="J52" s="607">
        <f>J54-J53-J50-J34-J21-J15</f>
        <v>799336.17487999948</v>
      </c>
      <c r="K52" s="608"/>
      <c r="L52" s="609"/>
      <c r="M52" s="610">
        <f>J52/G52</f>
        <v>0.995324533433944</v>
      </c>
      <c r="O52" s="728"/>
      <c r="P52" s="747"/>
      <c r="Q52" s="607"/>
      <c r="R52" s="607"/>
      <c r="S52" s="607"/>
    </row>
    <row r="53" spans="1:21" ht="14.4" customHeight="1">
      <c r="A53" s="745">
        <v>40</v>
      </c>
      <c r="B53" s="746"/>
      <c r="C53" s="605" t="s">
        <v>322</v>
      </c>
      <c r="F53" s="607"/>
      <c r="G53" s="607">
        <f>'B-7'!R1066</f>
        <v>31497</v>
      </c>
      <c r="H53" s="607"/>
      <c r="I53" s="607"/>
      <c r="J53" s="607">
        <f>G53*M53</f>
        <v>31497</v>
      </c>
      <c r="K53" s="607"/>
      <c r="L53" s="607"/>
      <c r="M53" s="610">
        <v>1</v>
      </c>
      <c r="N53" s="607"/>
      <c r="O53" s="607"/>
      <c r="P53" s="747"/>
      <c r="Q53" s="607"/>
      <c r="R53" s="607"/>
      <c r="S53" s="607"/>
    </row>
    <row r="54" spans="1:21" ht="14.4" customHeight="1">
      <c r="A54" s="745">
        <v>41</v>
      </c>
      <c r="B54" s="746"/>
      <c r="C54" s="745" t="s">
        <v>247</v>
      </c>
      <c r="G54" s="612">
        <f>+G15+G21+G34+G50+G52+G53</f>
        <v>14471333</v>
      </c>
      <c r="J54" s="612">
        <v>14391930.634</v>
      </c>
      <c r="M54" s="610">
        <f>J54/G54</f>
        <v>0.99451312702153971</v>
      </c>
      <c r="O54" s="728"/>
      <c r="P54" s="747"/>
      <c r="Q54" s="607"/>
      <c r="R54" s="607"/>
      <c r="S54" s="607"/>
    </row>
    <row r="55" spans="1:21" ht="14.4" customHeight="1" thickBot="1">
      <c r="A55" s="750">
        <v>42</v>
      </c>
      <c r="B55" s="750" t="s">
        <v>67</v>
      </c>
      <c r="C55" s="750"/>
      <c r="D55" s="750"/>
      <c r="E55" s="750"/>
      <c r="F55" s="750"/>
      <c r="G55" s="750"/>
      <c r="H55" s="750"/>
      <c r="I55" s="750"/>
      <c r="J55" s="750"/>
      <c r="K55" s="750"/>
      <c r="L55" s="750"/>
      <c r="M55" s="750"/>
      <c r="N55" s="729"/>
      <c r="O55" s="729"/>
      <c r="P55" s="729"/>
      <c r="Q55" s="750"/>
      <c r="R55" s="750"/>
      <c r="S55" s="750"/>
    </row>
    <row r="56" spans="1:21" ht="14.4" customHeight="1">
      <c r="A56" s="745" t="s">
        <v>248</v>
      </c>
      <c r="Q56" s="745" t="s">
        <v>181</v>
      </c>
    </row>
    <row r="57" spans="1:21" ht="14.4" customHeight="1" thickBot="1">
      <c r="A57" s="750" t="s">
        <v>206</v>
      </c>
      <c r="B57" s="750"/>
      <c r="C57" s="750"/>
      <c r="D57" s="750"/>
      <c r="E57" s="750"/>
      <c r="F57" s="750"/>
      <c r="G57" s="750"/>
      <c r="H57" s="750" t="s">
        <v>207</v>
      </c>
      <c r="I57" s="750"/>
      <c r="J57" s="750"/>
      <c r="K57" s="750"/>
      <c r="L57" s="750"/>
      <c r="M57" s="750"/>
      <c r="N57" s="750"/>
      <c r="O57" s="750"/>
      <c r="P57" s="750"/>
      <c r="Q57" s="750"/>
      <c r="R57" s="750"/>
      <c r="S57" s="751" t="s">
        <v>645</v>
      </c>
      <c r="T57" s="745" t="s">
        <v>249</v>
      </c>
      <c r="U57" s="745" t="s">
        <v>249</v>
      </c>
    </row>
    <row r="58" spans="1:21" ht="14.4" customHeight="1">
      <c r="A58" s="745" t="s">
        <v>4</v>
      </c>
      <c r="E58" s="745" t="s">
        <v>208</v>
      </c>
      <c r="G58" s="745" t="s">
        <v>209</v>
      </c>
      <c r="K58" s="752"/>
      <c r="L58" s="752"/>
      <c r="N58" s="752"/>
      <c r="O58" s="752"/>
      <c r="P58" s="752" t="s">
        <v>7</v>
      </c>
      <c r="S58" s="753"/>
    </row>
    <row r="59" spans="1:21" ht="14.4" customHeight="1">
      <c r="G59" s="745" t="s">
        <v>210</v>
      </c>
      <c r="J59" s="745" t="str">
        <f>IF($BC$276&lt;&gt;0,$BC$276,"")</f>
        <v/>
      </c>
      <c r="K59" s="754"/>
      <c r="L59" s="753"/>
      <c r="O59" s="754"/>
      <c r="P59" s="754" t="str">
        <f>$P$3</f>
        <v>XX</v>
      </c>
      <c r="Q59" s="753" t="str">
        <f>$Q$3</f>
        <v>Projected Test Year Ended 12/31/2025</v>
      </c>
      <c r="S59" s="754"/>
    </row>
    <row r="60" spans="1:21" ht="14.4" customHeight="1">
      <c r="A60" s="745" t="s">
        <v>10</v>
      </c>
      <c r="G60" s="745" t="s">
        <v>211</v>
      </c>
      <c r="J60" s="745" t="str">
        <f>IF($BC$277&lt;&gt;0,$BC$277,"")</f>
        <v/>
      </c>
      <c r="K60" s="754"/>
      <c r="L60" s="753"/>
      <c r="M60" s="754"/>
      <c r="P60" s="754"/>
      <c r="Q60" s="753" t="str">
        <f>$Q$4</f>
        <v>Projected Prior Year Ended 12/31/2024</v>
      </c>
      <c r="S60" s="754"/>
    </row>
    <row r="61" spans="1:21" ht="14.4" customHeight="1">
      <c r="G61" s="745" t="str">
        <f>IF($G$278&lt;&gt;0,$G$278,"")</f>
        <v/>
      </c>
      <c r="J61" s="745" t="str">
        <f>IF($BC$278&lt;&gt;0,$BC$278,"")</f>
        <v/>
      </c>
      <c r="K61" s="754"/>
      <c r="L61" s="753"/>
      <c r="M61" s="754"/>
      <c r="P61" s="754"/>
      <c r="Q61" s="753" t="str">
        <f>$Q$5</f>
        <v>Historical Prior Year Ended 12/31/2023</v>
      </c>
      <c r="S61" s="754"/>
    </row>
    <row r="62" spans="1:21" ht="14.4" customHeight="1">
      <c r="K62" s="754"/>
      <c r="L62" s="753"/>
      <c r="M62" s="754"/>
      <c r="P62" s="754"/>
      <c r="Q62" s="753" t="str">
        <f>+$Q$279</f>
        <v>Witness: C. Aldazabal / J. Chronister /</v>
      </c>
      <c r="S62" s="754"/>
    </row>
    <row r="63" spans="1:21" ht="14.4" customHeight="1">
      <c r="K63" s="754"/>
      <c r="L63" s="753"/>
      <c r="M63" s="754"/>
      <c r="P63" s="754"/>
      <c r="Q63" s="753" t="str">
        <f>+$Q$280</f>
        <v xml:space="preserve">                 R. Latta / C. Whitworth /</v>
      </c>
      <c r="S63" s="754"/>
    </row>
    <row r="64" spans="1:21" ht="14.4" customHeight="1" thickBot="1">
      <c r="A64" s="750" t="str">
        <f>$A$281</f>
        <v>DOCKET No. 20240026-EI</v>
      </c>
      <c r="B64" s="750"/>
      <c r="C64" s="750"/>
      <c r="D64" s="750"/>
      <c r="E64" s="750"/>
      <c r="F64" s="750"/>
      <c r="G64" s="750" t="str">
        <f>IF($G$281&lt;&gt;0,$G$281,"")</f>
        <v/>
      </c>
      <c r="H64" s="750"/>
      <c r="I64" s="750"/>
      <c r="J64" s="750" t="str">
        <f>+$J$281</f>
        <v>(Dollars in 000's)</v>
      </c>
      <c r="K64" s="751"/>
      <c r="L64" s="755"/>
      <c r="M64" s="751"/>
      <c r="N64" s="750"/>
      <c r="O64" s="750"/>
      <c r="P64" s="751"/>
      <c r="Q64" s="755" t="str">
        <f>+$Q$281</f>
        <v xml:space="preserve">                 J. Williams</v>
      </c>
      <c r="R64" s="750"/>
      <c r="S64" s="751"/>
    </row>
    <row r="65" spans="1:21" ht="14.4" customHeight="1">
      <c r="C65" s="756"/>
      <c r="D65" s="756"/>
      <c r="E65" s="756"/>
      <c r="F65" s="756"/>
      <c r="G65" s="756"/>
      <c r="H65" s="756"/>
      <c r="I65" s="756"/>
      <c r="J65" s="756"/>
      <c r="K65" s="756"/>
      <c r="L65" s="756"/>
      <c r="M65" s="756"/>
      <c r="N65" s="756"/>
      <c r="O65" s="756"/>
      <c r="P65" s="756"/>
      <c r="Q65" s="756"/>
      <c r="R65" s="756"/>
      <c r="S65" s="756"/>
    </row>
    <row r="66" spans="1:21" ht="14.4" customHeight="1">
      <c r="C66" s="756"/>
      <c r="D66" s="756"/>
      <c r="E66" s="756"/>
      <c r="F66" s="756"/>
      <c r="G66" s="756"/>
      <c r="H66" s="756"/>
      <c r="I66" s="756"/>
      <c r="J66" s="756"/>
      <c r="K66" s="776"/>
      <c r="L66" s="776"/>
      <c r="M66" s="756"/>
      <c r="N66" s="756"/>
      <c r="O66" s="756"/>
      <c r="P66" s="756"/>
      <c r="Q66" s="756"/>
      <c r="R66" s="756"/>
      <c r="S66" s="756"/>
    </row>
    <row r="67" spans="1:21" ht="14.4" customHeight="1">
      <c r="G67" s="756" t="s">
        <v>17</v>
      </c>
      <c r="H67" s="757"/>
      <c r="I67" s="756"/>
      <c r="J67" s="756" t="s">
        <v>18</v>
      </c>
      <c r="K67" s="756"/>
      <c r="L67" s="757"/>
      <c r="M67" s="756" t="s">
        <v>19</v>
      </c>
      <c r="N67" s="757"/>
      <c r="S67" s="757"/>
    </row>
    <row r="68" spans="1:21" ht="14.4" customHeight="1">
      <c r="A68" s="745" t="s">
        <v>35</v>
      </c>
      <c r="B68" s="757"/>
      <c r="C68" s="757"/>
      <c r="D68" s="757"/>
      <c r="E68" s="757"/>
      <c r="F68" s="756"/>
      <c r="G68" s="757" t="s">
        <v>45</v>
      </c>
      <c r="H68" s="757"/>
      <c r="I68" s="757"/>
      <c r="J68" s="757" t="s">
        <v>212</v>
      </c>
      <c r="K68" s="757"/>
      <c r="L68" s="756"/>
      <c r="M68" s="757" t="s">
        <v>98</v>
      </c>
      <c r="N68" s="753"/>
      <c r="O68" s="753"/>
      <c r="P68" s="756"/>
      <c r="Q68" s="756"/>
      <c r="R68" s="756"/>
      <c r="S68" s="757"/>
    </row>
    <row r="69" spans="1:21" ht="14.4" customHeight="1" thickBot="1">
      <c r="A69" s="750" t="s">
        <v>46</v>
      </c>
      <c r="B69" s="758"/>
      <c r="C69" s="758" t="s">
        <v>213</v>
      </c>
      <c r="D69" s="758"/>
      <c r="E69" s="758"/>
      <c r="F69" s="758"/>
      <c r="G69" s="759" t="s">
        <v>214</v>
      </c>
      <c r="H69" s="759"/>
      <c r="I69" s="759"/>
      <c r="J69" s="759" t="s">
        <v>98</v>
      </c>
      <c r="K69" s="759"/>
      <c r="L69" s="760"/>
      <c r="M69" s="759" t="s">
        <v>110</v>
      </c>
      <c r="N69" s="761"/>
      <c r="O69" s="761"/>
      <c r="P69" s="761"/>
      <c r="Q69" s="761"/>
      <c r="R69" s="761"/>
      <c r="S69" s="761"/>
    </row>
    <row r="70" spans="1:21" ht="14.4" customHeight="1">
      <c r="A70" s="745">
        <v>1</v>
      </c>
      <c r="B70" s="768"/>
      <c r="C70" s="605" t="s">
        <v>250</v>
      </c>
      <c r="F70" s="605"/>
      <c r="G70" s="605"/>
      <c r="H70" s="605"/>
      <c r="I70" s="605"/>
      <c r="J70" s="605"/>
      <c r="K70" s="608"/>
      <c r="L70" s="605"/>
      <c r="M70" s="608"/>
      <c r="N70" s="605"/>
      <c r="O70" s="605"/>
      <c r="P70" s="605"/>
      <c r="Q70" s="605"/>
      <c r="R70" s="605"/>
      <c r="S70" s="605"/>
    </row>
    <row r="71" spans="1:21" ht="14.4" customHeight="1">
      <c r="A71" s="745">
        <v>2</v>
      </c>
      <c r="B71" s="746"/>
      <c r="C71" s="605" t="s">
        <v>216</v>
      </c>
      <c r="F71" s="605"/>
      <c r="G71" s="605">
        <f>'B-9'!T1053</f>
        <v>192471</v>
      </c>
      <c r="H71" s="605"/>
      <c r="I71" s="605"/>
      <c r="J71" s="605">
        <f>G71*M71</f>
        <v>191811.79581976583</v>
      </c>
      <c r="K71" s="608"/>
      <c r="L71" s="606"/>
      <c r="M71" s="610">
        <v>0.9965750467330966</v>
      </c>
      <c r="Q71" s="605"/>
      <c r="R71" s="605"/>
      <c r="S71" s="605"/>
    </row>
    <row r="72" spans="1:21" ht="14.4" customHeight="1">
      <c r="A72" s="745">
        <v>3</v>
      </c>
      <c r="B72" s="746"/>
      <c r="C72" s="605"/>
      <c r="F72" s="605"/>
      <c r="G72" s="605"/>
      <c r="H72" s="605"/>
      <c r="I72" s="605"/>
      <c r="J72" s="605"/>
      <c r="K72" s="608"/>
      <c r="L72" s="606"/>
      <c r="M72" s="611"/>
      <c r="Q72" s="605"/>
      <c r="R72" s="605"/>
      <c r="S72" s="605"/>
    </row>
    <row r="73" spans="1:21" ht="14.4" customHeight="1">
      <c r="A73" s="745">
        <v>4</v>
      </c>
      <c r="B73" s="746"/>
      <c r="C73" s="605" t="s">
        <v>217</v>
      </c>
      <c r="F73" s="607"/>
      <c r="G73" s="607"/>
      <c r="H73" s="607"/>
      <c r="I73" s="607"/>
      <c r="J73" s="607"/>
      <c r="K73" s="608"/>
      <c r="L73" s="609"/>
      <c r="M73" s="611"/>
      <c r="Q73" s="605"/>
      <c r="R73" s="605"/>
      <c r="S73" s="605"/>
    </row>
    <row r="74" spans="1:21" ht="14.4" customHeight="1">
      <c r="A74" s="745">
        <v>5</v>
      </c>
      <c r="B74" s="746"/>
      <c r="C74" s="605" t="s">
        <v>323</v>
      </c>
      <c r="F74" s="607"/>
      <c r="G74" s="607">
        <f>'B-9'!T704+'B-9'!T1056+'B-9'!T1078</f>
        <v>658390</v>
      </c>
      <c r="I74" s="605"/>
      <c r="J74" s="607">
        <f t="shared" ref="J74:J76" si="5">G74*M74</f>
        <v>658390</v>
      </c>
      <c r="K74" s="608"/>
      <c r="L74" s="609"/>
      <c r="M74" s="610">
        <v>1</v>
      </c>
      <c r="Q74" s="607"/>
      <c r="R74" s="607"/>
      <c r="S74" s="607"/>
      <c r="U74" s="745" t="s">
        <v>251</v>
      </c>
    </row>
    <row r="75" spans="1:21" ht="14.4" customHeight="1">
      <c r="A75" s="745">
        <v>6</v>
      </c>
      <c r="B75" s="746"/>
      <c r="C75" s="605" t="s">
        <v>324</v>
      </c>
      <c r="F75" s="607"/>
      <c r="G75" s="607">
        <v>0</v>
      </c>
      <c r="H75" s="605"/>
      <c r="I75" s="605"/>
      <c r="J75" s="607">
        <f t="shared" si="5"/>
        <v>0</v>
      </c>
      <c r="K75" s="608"/>
      <c r="L75" s="609"/>
      <c r="M75" s="610">
        <v>1</v>
      </c>
      <c r="N75" s="607"/>
      <c r="O75" s="607"/>
      <c r="P75" s="607"/>
      <c r="Q75" s="607"/>
      <c r="R75" s="607"/>
      <c r="S75" s="607"/>
    </row>
    <row r="76" spans="1:21" ht="14.4" customHeight="1">
      <c r="A76" s="745">
        <v>7</v>
      </c>
      <c r="B76" s="746"/>
      <c r="C76" s="605" t="s">
        <v>325</v>
      </c>
      <c r="F76" s="607"/>
      <c r="G76" s="607">
        <f>'B-9'!T950+'B-9'!T1057+'B-9'!T1079</f>
        <v>1519426</v>
      </c>
      <c r="H76" s="605"/>
      <c r="I76" s="605"/>
      <c r="J76" s="607">
        <f t="shared" si="5"/>
        <v>1519426</v>
      </c>
      <c r="K76" s="608"/>
      <c r="L76" s="609"/>
      <c r="M76" s="610">
        <v>1</v>
      </c>
      <c r="Q76" s="607"/>
      <c r="R76" s="607"/>
      <c r="S76" s="607"/>
      <c r="U76" s="745" t="s">
        <v>251</v>
      </c>
    </row>
    <row r="77" spans="1:21" ht="14.4" customHeight="1">
      <c r="A77" s="745">
        <v>8</v>
      </c>
      <c r="B77" s="746"/>
      <c r="C77" s="605" t="s">
        <v>220</v>
      </c>
      <c r="F77" s="607"/>
      <c r="G77" s="612">
        <f>SUM(G74:G76)</f>
        <v>2177816</v>
      </c>
      <c r="H77" s="605"/>
      <c r="I77" s="605"/>
      <c r="J77" s="612">
        <f>SUM(J74:J76)</f>
        <v>2177816</v>
      </c>
      <c r="K77" s="608"/>
      <c r="L77" s="607"/>
      <c r="M77" s="610">
        <f>J77/G77</f>
        <v>1</v>
      </c>
      <c r="Q77" s="607"/>
      <c r="R77" s="607"/>
      <c r="S77" s="607"/>
    </row>
    <row r="78" spans="1:21" ht="14.4" customHeight="1">
      <c r="A78" s="745">
        <v>9</v>
      </c>
      <c r="B78" s="746"/>
      <c r="H78" s="605"/>
      <c r="I78" s="605"/>
      <c r="Q78" s="607"/>
      <c r="R78" s="607"/>
      <c r="S78" s="607"/>
    </row>
    <row r="79" spans="1:21" ht="14.4" customHeight="1">
      <c r="A79" s="745">
        <v>10</v>
      </c>
      <c r="B79" s="746"/>
      <c r="C79" s="605" t="s">
        <v>221</v>
      </c>
      <c r="F79" s="607"/>
      <c r="G79" s="607"/>
      <c r="H79" s="607"/>
      <c r="I79" s="607"/>
      <c r="J79" s="607"/>
      <c r="K79" s="608"/>
      <c r="L79" s="607"/>
      <c r="M79" s="611"/>
      <c r="Q79" s="607"/>
      <c r="R79" s="607"/>
      <c r="S79" s="607"/>
    </row>
    <row r="80" spans="1:21" ht="14.4" customHeight="1">
      <c r="A80" s="745">
        <v>11</v>
      </c>
      <c r="B80" s="746"/>
      <c r="C80" s="606" t="s">
        <v>326</v>
      </c>
      <c r="F80" s="607"/>
      <c r="G80" s="607">
        <f>'B-9'!T955</f>
        <v>5183</v>
      </c>
      <c r="H80" s="605"/>
      <c r="I80" s="607"/>
      <c r="J80" s="607">
        <f t="shared" ref="J80:J89" si="6">G80*M80</f>
        <v>4896.7118120000005</v>
      </c>
      <c r="K80" s="608"/>
      <c r="L80" s="607"/>
      <c r="M80" s="610">
        <v>0.94476400000000005</v>
      </c>
      <c r="N80" s="607"/>
      <c r="O80" s="607"/>
      <c r="P80" s="607"/>
      <c r="Q80" s="607"/>
      <c r="R80" s="607"/>
      <c r="S80" s="607"/>
    </row>
    <row r="81" spans="1:21" ht="14.4" customHeight="1">
      <c r="A81" s="745">
        <v>12</v>
      </c>
      <c r="B81" s="746"/>
      <c r="C81" s="606" t="s">
        <v>327</v>
      </c>
      <c r="F81" s="607"/>
      <c r="G81" s="607">
        <f>'B-9'!T957</f>
        <v>16974</v>
      </c>
      <c r="H81" s="605"/>
      <c r="I81" s="607"/>
      <c r="J81" s="607">
        <f t="shared" si="6"/>
        <v>16036.424136000001</v>
      </c>
      <c r="K81" s="608"/>
      <c r="L81" s="607"/>
      <c r="M81" s="610">
        <v>0.94476400000000005</v>
      </c>
      <c r="N81" s="607"/>
      <c r="O81" s="607"/>
      <c r="P81" s="607"/>
      <c r="Q81" s="607"/>
      <c r="R81" s="607"/>
      <c r="S81" s="607"/>
    </row>
    <row r="82" spans="1:21" ht="14.4" customHeight="1">
      <c r="A82" s="745">
        <v>13</v>
      </c>
      <c r="B82" s="746"/>
      <c r="C82" s="606" t="s">
        <v>328</v>
      </c>
      <c r="F82" s="607"/>
      <c r="G82" s="607">
        <f>'B-9'!T958</f>
        <v>99557</v>
      </c>
      <c r="H82" s="605"/>
      <c r="I82" s="607"/>
      <c r="J82" s="607">
        <f t="shared" si="6"/>
        <v>94057.869548000002</v>
      </c>
      <c r="K82" s="608"/>
      <c r="L82" s="607"/>
      <c r="M82" s="610">
        <v>0.94476400000000005</v>
      </c>
      <c r="Q82" s="607"/>
      <c r="R82" s="607"/>
      <c r="S82" s="607"/>
    </row>
    <row r="83" spans="1:21" ht="14.4" customHeight="1">
      <c r="A83" s="745">
        <v>14</v>
      </c>
      <c r="B83" s="746"/>
      <c r="C83" s="606" t="s">
        <v>329</v>
      </c>
      <c r="F83" s="607"/>
      <c r="G83" s="607">
        <f>'B-9'!T959</f>
        <v>5314</v>
      </c>
      <c r="H83" s="605"/>
      <c r="I83" s="607"/>
      <c r="J83" s="607">
        <f t="shared" si="6"/>
        <v>5020.4758959999999</v>
      </c>
      <c r="K83" s="608"/>
      <c r="L83" s="607"/>
      <c r="M83" s="610">
        <v>0.94476400000000005</v>
      </c>
      <c r="Q83" s="607"/>
      <c r="R83" s="607"/>
      <c r="S83" s="607"/>
    </row>
    <row r="84" spans="1:21" ht="14.4" customHeight="1">
      <c r="A84" s="745">
        <v>15</v>
      </c>
      <c r="C84" s="606" t="s">
        <v>330</v>
      </c>
      <c r="F84" s="607"/>
      <c r="G84" s="607">
        <f>'B-9'!T960</f>
        <v>143297</v>
      </c>
      <c r="H84" s="605"/>
      <c r="I84" s="607"/>
      <c r="J84" s="607">
        <f t="shared" si="6"/>
        <v>135381.84690800001</v>
      </c>
      <c r="K84" s="608"/>
      <c r="L84" s="607"/>
      <c r="M84" s="610">
        <v>0.94476400000000005</v>
      </c>
      <c r="O84" s="607"/>
      <c r="P84" s="607"/>
      <c r="Q84" s="607"/>
      <c r="R84" s="607"/>
      <c r="S84" s="607"/>
    </row>
    <row r="85" spans="1:21" ht="14.4" customHeight="1">
      <c r="A85" s="745">
        <v>16</v>
      </c>
      <c r="B85" s="746"/>
      <c r="C85" s="606" t="s">
        <v>331</v>
      </c>
      <c r="F85" s="607"/>
      <c r="G85" s="607">
        <f>'B-9'!T961+'B-9'!T1073</f>
        <v>39780</v>
      </c>
      <c r="H85" s="605"/>
      <c r="I85" s="607"/>
      <c r="J85" s="607">
        <f t="shared" si="6"/>
        <v>37582.711920000002</v>
      </c>
      <c r="K85" s="608"/>
      <c r="L85" s="607"/>
      <c r="M85" s="610">
        <v>0.94476400000000005</v>
      </c>
      <c r="N85" s="607"/>
      <c r="O85" s="607"/>
      <c r="P85" s="607"/>
      <c r="Q85" s="607"/>
      <c r="R85" s="607"/>
      <c r="S85" s="607"/>
      <c r="U85" s="745" t="s">
        <v>252</v>
      </c>
    </row>
    <row r="86" spans="1:21" ht="14.4" customHeight="1">
      <c r="A86" s="745">
        <v>17</v>
      </c>
      <c r="B86" s="746"/>
      <c r="C86" s="748" t="s">
        <v>332</v>
      </c>
      <c r="G86" s="607">
        <f>'B-9'!T962</f>
        <v>1808</v>
      </c>
      <c r="J86" s="607">
        <f t="shared" si="6"/>
        <v>1708.1333120000002</v>
      </c>
      <c r="M86" s="610">
        <v>0.94476400000000005</v>
      </c>
      <c r="N86" s="607"/>
      <c r="O86" s="607"/>
      <c r="P86" s="607"/>
      <c r="Q86" s="607"/>
      <c r="R86" s="607"/>
      <c r="S86" s="607"/>
    </row>
    <row r="87" spans="1:21" ht="14.4" customHeight="1">
      <c r="A87" s="745">
        <v>18</v>
      </c>
      <c r="B87" s="746"/>
      <c r="C87" s="748" t="s">
        <v>333</v>
      </c>
      <c r="F87" s="607"/>
      <c r="G87" s="607">
        <f>'B-9'!T963</f>
        <v>1886</v>
      </c>
      <c r="H87" s="605"/>
      <c r="I87" s="607"/>
      <c r="J87" s="607">
        <f t="shared" si="6"/>
        <v>1781.8249040000001</v>
      </c>
      <c r="K87" s="608"/>
      <c r="L87" s="607"/>
      <c r="M87" s="610">
        <v>0.94476400000000005</v>
      </c>
      <c r="N87" s="607"/>
      <c r="O87" s="607"/>
      <c r="P87" s="607"/>
      <c r="Q87" s="607"/>
      <c r="R87" s="607"/>
      <c r="S87" s="607"/>
    </row>
    <row r="88" spans="1:21" ht="14.4" customHeight="1">
      <c r="A88" s="745">
        <v>19</v>
      </c>
      <c r="B88" s="746"/>
      <c r="C88" s="606" t="s">
        <v>334</v>
      </c>
      <c r="F88" s="607"/>
      <c r="G88" s="607">
        <f>'B-9'!T964</f>
        <v>4137</v>
      </c>
      <c r="H88" s="605"/>
      <c r="I88" s="607"/>
      <c r="J88" s="607">
        <f t="shared" si="6"/>
        <v>3908.4886680000004</v>
      </c>
      <c r="K88" s="608"/>
      <c r="L88" s="607"/>
      <c r="M88" s="610">
        <v>0.94476400000000005</v>
      </c>
      <c r="N88" s="607"/>
      <c r="O88" s="607"/>
      <c r="P88" s="607"/>
      <c r="Q88" s="607"/>
      <c r="R88" s="607"/>
      <c r="S88" s="607"/>
    </row>
    <row r="89" spans="1:21" ht="14.4" customHeight="1">
      <c r="A89" s="745">
        <v>20</v>
      </c>
      <c r="B89" s="746"/>
      <c r="C89" s="606" t="s">
        <v>335</v>
      </c>
      <c r="F89" s="607"/>
      <c r="G89" s="607">
        <f>'B-9'!T965</f>
        <v>3738</v>
      </c>
      <c r="H89" s="605"/>
      <c r="I89" s="607"/>
      <c r="J89" s="607">
        <f t="shared" si="6"/>
        <v>3531.5278320000002</v>
      </c>
      <c r="K89" s="608"/>
      <c r="L89" s="607"/>
      <c r="M89" s="610">
        <v>0.94476400000000005</v>
      </c>
      <c r="N89" s="607"/>
      <c r="O89" s="607"/>
      <c r="P89" s="607"/>
      <c r="Q89" s="607"/>
      <c r="R89" s="607"/>
      <c r="S89" s="607"/>
    </row>
    <row r="90" spans="1:21" ht="14.4" customHeight="1">
      <c r="A90" s="745">
        <v>21</v>
      </c>
      <c r="B90" s="746"/>
      <c r="C90" s="605" t="s">
        <v>233</v>
      </c>
      <c r="F90" s="607"/>
      <c r="G90" s="612">
        <f>SUM(G80:G89)</f>
        <v>321674</v>
      </c>
      <c r="H90" s="764"/>
      <c r="I90" s="607"/>
      <c r="J90" s="612">
        <f>SUM(J80:J89)</f>
        <v>303906.01493599993</v>
      </c>
      <c r="K90" s="608"/>
      <c r="L90" s="607"/>
      <c r="M90" s="610">
        <f>J90/G90</f>
        <v>0.94476399999999983</v>
      </c>
      <c r="N90" s="607"/>
      <c r="O90" s="607"/>
      <c r="P90" s="607"/>
      <c r="Q90" s="607"/>
      <c r="R90" s="607"/>
      <c r="S90" s="607"/>
    </row>
    <row r="91" spans="1:21" ht="14.4" customHeight="1">
      <c r="A91" s="745">
        <v>22</v>
      </c>
      <c r="B91" s="746"/>
      <c r="N91" s="607"/>
      <c r="O91" s="607"/>
      <c r="P91" s="607"/>
      <c r="Q91" s="607"/>
      <c r="R91" s="607"/>
      <c r="S91" s="607"/>
    </row>
    <row r="92" spans="1:21" ht="14.4" customHeight="1">
      <c r="A92" s="745">
        <v>23</v>
      </c>
      <c r="B92" s="746"/>
      <c r="C92" s="605" t="s">
        <v>234</v>
      </c>
      <c r="F92" s="607"/>
      <c r="G92" s="607"/>
      <c r="H92" s="607"/>
      <c r="I92" s="607"/>
      <c r="J92" s="607"/>
      <c r="K92" s="608"/>
      <c r="L92" s="607"/>
      <c r="M92" s="611"/>
      <c r="N92" s="605"/>
      <c r="O92" s="607"/>
      <c r="P92" s="607"/>
      <c r="Q92" s="607"/>
      <c r="R92" s="607"/>
      <c r="S92" s="607"/>
    </row>
    <row r="93" spans="1:21" ht="14.4" customHeight="1">
      <c r="A93" s="745">
        <v>24</v>
      </c>
      <c r="B93" s="746"/>
      <c r="C93" s="618" t="s">
        <v>235</v>
      </c>
      <c r="F93" s="607"/>
      <c r="G93" s="607">
        <f>'B-9'!T985</f>
        <v>0</v>
      </c>
      <c r="I93" s="607"/>
      <c r="J93" s="607">
        <f t="shared" ref="J93:J103" si="7">G93*M93</f>
        <v>0</v>
      </c>
      <c r="K93" s="608"/>
      <c r="L93" s="607"/>
      <c r="M93" s="610">
        <v>1</v>
      </c>
      <c r="N93" s="605"/>
      <c r="O93" s="607"/>
      <c r="P93" s="607"/>
      <c r="Q93" s="607"/>
      <c r="R93" s="607"/>
      <c r="S93" s="607"/>
    </row>
    <row r="94" spans="1:21" ht="14.4" customHeight="1">
      <c r="A94" s="745">
        <v>25</v>
      </c>
      <c r="B94" s="746"/>
      <c r="C94" s="618" t="s">
        <v>223</v>
      </c>
      <c r="F94" s="607"/>
      <c r="G94" s="607">
        <f>'B-9'!T986</f>
        <v>10297</v>
      </c>
      <c r="I94" s="607"/>
      <c r="J94" s="607">
        <f t="shared" si="7"/>
        <v>10297</v>
      </c>
      <c r="K94" s="608"/>
      <c r="L94" s="607"/>
      <c r="M94" s="610">
        <v>1</v>
      </c>
      <c r="N94" s="607"/>
      <c r="O94" s="607"/>
      <c r="P94" s="607"/>
      <c r="Q94" s="607"/>
      <c r="R94" s="607"/>
      <c r="S94" s="607"/>
    </row>
    <row r="95" spans="1:21" ht="14.4" customHeight="1">
      <c r="A95" s="745">
        <v>26</v>
      </c>
      <c r="B95" s="746"/>
      <c r="C95" s="618" t="s">
        <v>224</v>
      </c>
      <c r="F95" s="607"/>
      <c r="G95" s="607">
        <f>'B-9'!T987</f>
        <v>82677</v>
      </c>
      <c r="I95" s="607"/>
      <c r="J95" s="607">
        <f t="shared" si="7"/>
        <v>82677</v>
      </c>
      <c r="K95" s="608"/>
      <c r="L95" s="607"/>
      <c r="M95" s="610">
        <v>1</v>
      </c>
      <c r="N95" s="607"/>
      <c r="O95" s="607"/>
      <c r="P95" s="607"/>
      <c r="Q95" s="607"/>
      <c r="R95" s="607"/>
      <c r="S95" s="607"/>
    </row>
    <row r="96" spans="1:21" ht="14.4" customHeight="1">
      <c r="A96" s="745">
        <v>27</v>
      </c>
      <c r="B96" s="746"/>
      <c r="C96" s="618" t="s">
        <v>253</v>
      </c>
      <c r="F96" s="607"/>
      <c r="G96" s="607">
        <f>'B-9'!T989</f>
        <v>192986</v>
      </c>
      <c r="I96" s="607"/>
      <c r="J96" s="607">
        <f t="shared" si="7"/>
        <v>192986</v>
      </c>
      <c r="K96" s="608"/>
      <c r="L96" s="607"/>
      <c r="M96" s="610">
        <v>1</v>
      </c>
      <c r="N96" s="607"/>
      <c r="O96" s="607"/>
      <c r="P96" s="607"/>
      <c r="Q96" s="607"/>
      <c r="R96" s="607"/>
      <c r="S96" s="607"/>
    </row>
    <row r="97" spans="1:21" ht="14.4" customHeight="1">
      <c r="A97" s="745">
        <v>28</v>
      </c>
      <c r="B97" s="746"/>
      <c r="C97" s="618" t="s">
        <v>238</v>
      </c>
      <c r="F97" s="607"/>
      <c r="G97" s="607">
        <f>'B-9'!T990</f>
        <v>151439</v>
      </c>
      <c r="I97" s="607"/>
      <c r="J97" s="607">
        <f t="shared" si="7"/>
        <v>151439</v>
      </c>
      <c r="K97" s="608"/>
      <c r="L97" s="607"/>
      <c r="M97" s="610">
        <v>1</v>
      </c>
      <c r="N97" s="607"/>
      <c r="O97" s="607"/>
      <c r="P97" s="607"/>
      <c r="Q97" s="607"/>
      <c r="R97" s="607"/>
      <c r="S97" s="607"/>
    </row>
    <row r="98" spans="1:21" ht="14.4" customHeight="1">
      <c r="A98" s="745">
        <v>29</v>
      </c>
      <c r="B98" s="746"/>
      <c r="C98" s="618" t="s">
        <v>230</v>
      </c>
      <c r="F98" s="607"/>
      <c r="G98" s="607">
        <f>'B-9'!T991</f>
        <v>101457</v>
      </c>
      <c r="I98" s="607"/>
      <c r="J98" s="607">
        <f t="shared" si="7"/>
        <v>101457</v>
      </c>
      <c r="K98" s="608"/>
      <c r="L98" s="607"/>
      <c r="M98" s="610">
        <v>1</v>
      </c>
      <c r="N98" s="607"/>
      <c r="O98" s="607"/>
      <c r="P98" s="607"/>
      <c r="Q98" s="607"/>
      <c r="R98" s="607"/>
      <c r="S98" s="607"/>
    </row>
    <row r="99" spans="1:21" ht="14.4" customHeight="1">
      <c r="A99" s="745">
        <v>30</v>
      </c>
      <c r="B99" s="746"/>
      <c r="C99" s="618" t="s">
        <v>336</v>
      </c>
      <c r="F99" s="607"/>
      <c r="G99" s="607">
        <f>'B-9'!T992</f>
        <v>63380</v>
      </c>
      <c r="I99" s="607"/>
      <c r="J99" s="607">
        <f t="shared" si="7"/>
        <v>63380</v>
      </c>
      <c r="K99" s="608"/>
      <c r="L99" s="607"/>
      <c r="M99" s="610">
        <v>1</v>
      </c>
      <c r="N99" s="607"/>
      <c r="O99" s="607"/>
      <c r="P99" s="607"/>
      <c r="Q99" s="607"/>
      <c r="R99" s="607"/>
      <c r="S99" s="607"/>
    </row>
    <row r="100" spans="1:21" ht="14.4" customHeight="1">
      <c r="A100" s="745">
        <v>31</v>
      </c>
      <c r="B100" s="746"/>
      <c r="C100" s="618" t="s">
        <v>240</v>
      </c>
      <c r="F100" s="607"/>
      <c r="G100" s="607">
        <f>'B-9'!T993</f>
        <v>379252</v>
      </c>
      <c r="I100" s="607"/>
      <c r="J100" s="607">
        <f t="shared" si="7"/>
        <v>379252</v>
      </c>
      <c r="K100" s="608"/>
      <c r="L100" s="607"/>
      <c r="M100" s="610">
        <v>1</v>
      </c>
      <c r="N100" s="614"/>
      <c r="O100" s="607"/>
      <c r="P100" s="607"/>
      <c r="Q100" s="607"/>
      <c r="R100" s="607"/>
      <c r="S100" s="607"/>
    </row>
    <row r="101" spans="1:21" ht="14.4" customHeight="1">
      <c r="A101" s="745">
        <v>32</v>
      </c>
      <c r="B101" s="746"/>
      <c r="C101" s="618" t="s">
        <v>241</v>
      </c>
      <c r="F101" s="607"/>
      <c r="G101" s="607">
        <f>'B-9'!T994+'B-9'!T995</f>
        <v>144094</v>
      </c>
      <c r="I101" s="607"/>
      <c r="J101" s="607">
        <f t="shared" si="7"/>
        <v>144094</v>
      </c>
      <c r="K101" s="608"/>
      <c r="L101" s="607"/>
      <c r="M101" s="610">
        <v>1</v>
      </c>
      <c r="N101" s="607"/>
      <c r="O101" s="607"/>
      <c r="P101" s="607"/>
      <c r="Q101" s="607"/>
      <c r="R101" s="607"/>
      <c r="S101" s="607"/>
    </row>
    <row r="102" spans="1:21" ht="14.4" customHeight="1">
      <c r="A102" s="745">
        <v>33</v>
      </c>
      <c r="B102" s="746"/>
      <c r="C102" s="618" t="s">
        <v>242</v>
      </c>
      <c r="F102" s="607"/>
      <c r="G102" s="607">
        <f>'B-9'!T996+'B-9'!T997</f>
        <v>24676</v>
      </c>
      <c r="I102" s="607"/>
      <c r="J102" s="607">
        <f t="shared" si="7"/>
        <v>24676</v>
      </c>
      <c r="K102" s="608"/>
      <c r="L102" s="607"/>
      <c r="M102" s="610">
        <v>1</v>
      </c>
      <c r="N102" s="614"/>
      <c r="O102" s="607"/>
      <c r="P102" s="607"/>
      <c r="Q102" s="607"/>
      <c r="R102" s="607"/>
      <c r="S102" s="607"/>
    </row>
    <row r="103" spans="1:21" ht="14.4" customHeight="1">
      <c r="A103" s="745">
        <v>34</v>
      </c>
      <c r="B103" s="746"/>
      <c r="C103" s="727" t="s">
        <v>243</v>
      </c>
      <c r="F103" s="607"/>
      <c r="G103" s="607">
        <f>+'B-9'!T998</f>
        <v>705</v>
      </c>
      <c r="I103" s="607"/>
      <c r="J103" s="607">
        <f t="shared" si="7"/>
        <v>705</v>
      </c>
      <c r="K103" s="608"/>
      <c r="L103" s="607"/>
      <c r="M103" s="610">
        <v>1</v>
      </c>
      <c r="N103" s="614"/>
      <c r="O103" s="607"/>
      <c r="P103" s="607"/>
      <c r="Q103" s="607"/>
      <c r="R103" s="607"/>
      <c r="S103" s="607"/>
    </row>
    <row r="104" spans="1:21" ht="14.4" customHeight="1">
      <c r="A104" s="745">
        <v>35</v>
      </c>
      <c r="B104" s="746"/>
      <c r="C104" s="618" t="s">
        <v>244</v>
      </c>
      <c r="G104" s="607">
        <f>'B-9'!T999+'B-9'!T1000</f>
        <v>132217</v>
      </c>
      <c r="I104" s="607"/>
      <c r="J104" s="607">
        <f>G104*M104</f>
        <v>132217</v>
      </c>
      <c r="K104" s="608"/>
      <c r="L104" s="607"/>
      <c r="M104" s="610">
        <v>1</v>
      </c>
      <c r="N104" s="607"/>
      <c r="O104" s="607"/>
      <c r="P104" s="607"/>
      <c r="Q104" s="607"/>
      <c r="R104" s="607"/>
      <c r="S104" s="607"/>
    </row>
    <row r="105" spans="1:21" ht="14.4" customHeight="1">
      <c r="A105" s="745">
        <v>36</v>
      </c>
      <c r="C105" s="618" t="s">
        <v>254</v>
      </c>
      <c r="G105" s="764">
        <f>'B-9'!T1058</f>
        <v>1917</v>
      </c>
      <c r="J105" s="607">
        <f>G105*M105</f>
        <v>1917</v>
      </c>
      <c r="M105" s="610">
        <v>1</v>
      </c>
      <c r="P105" s="607"/>
      <c r="Q105" s="607"/>
      <c r="R105" s="607"/>
      <c r="S105" s="607"/>
    </row>
    <row r="106" spans="1:21" ht="14.4" customHeight="1">
      <c r="A106" s="745">
        <v>37</v>
      </c>
      <c r="C106" s="605" t="s">
        <v>245</v>
      </c>
      <c r="F106" s="607"/>
      <c r="G106" s="612">
        <f>SUM(G93:G105)</f>
        <v>1285097</v>
      </c>
      <c r="I106" s="607"/>
      <c r="J106" s="612">
        <f>SUM(J93:J105)</f>
        <v>1285097</v>
      </c>
      <c r="K106" s="608"/>
      <c r="L106" s="607"/>
      <c r="M106" s="610">
        <f>J106/G106</f>
        <v>1</v>
      </c>
      <c r="N106" s="607"/>
      <c r="O106" s="607"/>
      <c r="P106" s="763"/>
      <c r="Q106" s="763"/>
      <c r="R106" s="763"/>
      <c r="S106" s="763"/>
    </row>
    <row r="107" spans="1:21" ht="14.4" customHeight="1">
      <c r="A107" s="745">
        <v>38</v>
      </c>
      <c r="O107" s="763"/>
      <c r="P107" s="763"/>
      <c r="Q107" s="763"/>
      <c r="R107" s="763"/>
      <c r="S107" s="763"/>
    </row>
    <row r="108" spans="1:21" ht="14.4" customHeight="1">
      <c r="A108" s="745">
        <v>39</v>
      </c>
      <c r="C108" s="745" t="s">
        <v>246</v>
      </c>
      <c r="F108" s="763"/>
      <c r="G108" s="607">
        <f>'B-9'!T1023+'B-9'!T1059</f>
        <v>192592</v>
      </c>
      <c r="H108" s="605"/>
      <c r="I108" s="607"/>
      <c r="J108" s="607">
        <f>J109-J106-J90-J77-J71</f>
        <v>191548.075244234</v>
      </c>
      <c r="K108" s="608"/>
      <c r="L108" s="763"/>
      <c r="M108" s="610">
        <f>J108/G108</f>
        <v>0.99457960478230667</v>
      </c>
      <c r="N108" s="605"/>
      <c r="O108" s="763"/>
      <c r="P108" s="763"/>
      <c r="Q108" s="763"/>
      <c r="R108" s="763"/>
      <c r="S108" s="763"/>
    </row>
    <row r="109" spans="1:21" ht="14.4" customHeight="1">
      <c r="A109" s="745">
        <v>40</v>
      </c>
      <c r="C109" s="745" t="s">
        <v>255</v>
      </c>
      <c r="F109" s="763"/>
      <c r="G109" s="612">
        <f>+G71+G77+G90+G106+G108</f>
        <v>4169650</v>
      </c>
      <c r="H109" s="605"/>
      <c r="I109" s="607"/>
      <c r="J109" s="612">
        <v>4150178.8859999999</v>
      </c>
      <c r="K109" s="613"/>
      <c r="L109" s="763"/>
      <c r="M109" s="620">
        <f>J109/G109</f>
        <v>0.99533027616226777</v>
      </c>
      <c r="N109" s="607"/>
      <c r="O109" s="728"/>
      <c r="P109" s="747"/>
      <c r="Q109" s="763"/>
      <c r="R109" s="763"/>
      <c r="S109" s="763"/>
    </row>
    <row r="110" spans="1:21" ht="14.4" customHeight="1" thickBot="1">
      <c r="A110" s="750">
        <v>41</v>
      </c>
      <c r="B110" s="750" t="s">
        <v>67</v>
      </c>
      <c r="C110" s="750"/>
      <c r="D110" s="750"/>
      <c r="E110" s="750"/>
      <c r="F110" s="750"/>
      <c r="G110" s="750"/>
      <c r="H110" s="750"/>
      <c r="I110" s="750"/>
      <c r="J110" s="750"/>
      <c r="K110" s="750"/>
      <c r="L110" s="750"/>
      <c r="M110" s="750"/>
      <c r="N110" s="729"/>
      <c r="O110" s="729"/>
      <c r="P110" s="743"/>
      <c r="Q110" s="750"/>
      <c r="R110" s="750"/>
      <c r="S110" s="750"/>
    </row>
    <row r="111" spans="1:21" ht="14.4" customHeight="1">
      <c r="A111" s="745" t="str">
        <f>$A$56</f>
        <v>Supporting Schedules: B-3, B-5, B-7, B-9, B-15, B-16, B-17</v>
      </c>
      <c r="Q111" s="745" t="s">
        <v>181</v>
      </c>
    </row>
    <row r="112" spans="1:21" ht="14.4" customHeight="1" thickBot="1">
      <c r="A112" s="750" t="s">
        <v>206</v>
      </c>
      <c r="B112" s="750"/>
      <c r="C112" s="750"/>
      <c r="D112" s="750"/>
      <c r="E112" s="750"/>
      <c r="F112" s="750"/>
      <c r="G112" s="750"/>
      <c r="H112" s="750" t="s">
        <v>207</v>
      </c>
      <c r="I112" s="750"/>
      <c r="J112" s="750"/>
      <c r="K112" s="750"/>
      <c r="L112" s="750"/>
      <c r="M112" s="750"/>
      <c r="N112" s="750"/>
      <c r="O112" s="750"/>
      <c r="P112" s="750"/>
      <c r="Q112" s="750"/>
      <c r="R112" s="750"/>
      <c r="S112" s="751" t="s">
        <v>659</v>
      </c>
      <c r="T112" s="745" t="s">
        <v>249</v>
      </c>
      <c r="U112" s="745" t="s">
        <v>249</v>
      </c>
    </row>
    <row r="113" spans="1:19" ht="14.4" customHeight="1">
      <c r="A113" s="745" t="s">
        <v>4</v>
      </c>
      <c r="E113" s="745" t="s">
        <v>208</v>
      </c>
      <c r="G113" s="745" t="s">
        <v>209</v>
      </c>
      <c r="K113" s="752"/>
      <c r="L113" s="752"/>
      <c r="N113" s="752"/>
      <c r="O113" s="752"/>
      <c r="P113" s="752" t="s">
        <v>7</v>
      </c>
      <c r="S113" s="753"/>
    </row>
    <row r="114" spans="1:19" ht="14.4" customHeight="1">
      <c r="G114" s="745" t="s">
        <v>210</v>
      </c>
      <c r="J114" s="745" t="str">
        <f>IF($BC$276&lt;&gt;0,$BC$276,"")</f>
        <v/>
      </c>
      <c r="K114" s="754"/>
      <c r="L114" s="753"/>
      <c r="O114" s="754"/>
      <c r="P114" s="754" t="str">
        <f>$P$3</f>
        <v>XX</v>
      </c>
      <c r="Q114" s="753" t="str">
        <f>$Q$3</f>
        <v>Projected Test Year Ended 12/31/2025</v>
      </c>
      <c r="S114" s="754"/>
    </row>
    <row r="115" spans="1:19" ht="14.4" customHeight="1">
      <c r="A115" s="745" t="s">
        <v>10</v>
      </c>
      <c r="G115" s="745" t="s">
        <v>211</v>
      </c>
      <c r="J115" s="745" t="str">
        <f>IF($BC$277&lt;&gt;0,$BC$277,"")</f>
        <v/>
      </c>
      <c r="K115" s="754"/>
      <c r="L115" s="753"/>
      <c r="M115" s="754"/>
      <c r="P115" s="754"/>
      <c r="Q115" s="753" t="str">
        <f>$Q$4</f>
        <v>Projected Prior Year Ended 12/31/2024</v>
      </c>
      <c r="S115" s="754"/>
    </row>
    <row r="116" spans="1:19" ht="14.4" customHeight="1">
      <c r="G116" s="745" t="str">
        <f>IF($G$278&lt;&gt;0,$G$278,"")</f>
        <v/>
      </c>
      <c r="J116" s="745" t="str">
        <f>IF($BC$278&lt;&gt;0,$BC$278,"")</f>
        <v/>
      </c>
      <c r="K116" s="754"/>
      <c r="L116" s="753"/>
      <c r="M116" s="754"/>
      <c r="P116" s="754"/>
      <c r="Q116" s="753" t="str">
        <f>$Q$5</f>
        <v>Historical Prior Year Ended 12/31/2023</v>
      </c>
      <c r="S116" s="754"/>
    </row>
    <row r="117" spans="1:19" ht="14.4" customHeight="1">
      <c r="K117" s="754"/>
      <c r="L117" s="753"/>
      <c r="M117" s="754"/>
      <c r="P117" s="754"/>
      <c r="Q117" s="753" t="str">
        <f>+$Q$279</f>
        <v>Witness: C. Aldazabal / J. Chronister /</v>
      </c>
      <c r="S117" s="754"/>
    </row>
    <row r="118" spans="1:19" ht="14.4" customHeight="1">
      <c r="K118" s="754"/>
      <c r="L118" s="753"/>
      <c r="M118" s="754"/>
      <c r="P118" s="754"/>
      <c r="Q118" s="753" t="str">
        <f>+$Q$280</f>
        <v xml:space="preserve">                 R. Latta / C. Whitworth /</v>
      </c>
      <c r="S118" s="754"/>
    </row>
    <row r="119" spans="1:19" ht="14.4" customHeight="1" thickBot="1">
      <c r="A119" s="750" t="str">
        <f>$A$281</f>
        <v>DOCKET No. 20240026-EI</v>
      </c>
      <c r="B119" s="750"/>
      <c r="C119" s="750"/>
      <c r="D119" s="750"/>
      <c r="E119" s="750"/>
      <c r="F119" s="750"/>
      <c r="G119" s="750" t="str">
        <f>IF($G$281&lt;&gt;0,$G$281,"")</f>
        <v/>
      </c>
      <c r="H119" s="750"/>
      <c r="I119" s="750"/>
      <c r="J119" s="750" t="str">
        <f>+$J$281</f>
        <v>(Dollars in 000's)</v>
      </c>
      <c r="K119" s="751"/>
      <c r="L119" s="755"/>
      <c r="M119" s="751"/>
      <c r="N119" s="750"/>
      <c r="O119" s="750"/>
      <c r="P119" s="751"/>
      <c r="Q119" s="755" t="str">
        <f>+$Q$281</f>
        <v xml:space="preserve">                 J. Williams</v>
      </c>
      <c r="R119" s="750"/>
      <c r="S119" s="751"/>
    </row>
    <row r="120" spans="1:19" ht="14.4" customHeight="1">
      <c r="C120" s="756"/>
      <c r="D120" s="756"/>
      <c r="E120" s="756"/>
      <c r="F120" s="756"/>
      <c r="G120" s="756"/>
      <c r="H120" s="756"/>
      <c r="I120" s="756"/>
      <c r="J120" s="756"/>
      <c r="K120" s="756"/>
      <c r="L120" s="756"/>
      <c r="M120" s="756"/>
      <c r="N120" s="756"/>
      <c r="O120" s="756"/>
      <c r="P120" s="756"/>
      <c r="Q120" s="756"/>
      <c r="R120" s="756"/>
      <c r="S120" s="756"/>
    </row>
    <row r="121" spans="1:19" ht="14.4" customHeight="1">
      <c r="C121" s="756"/>
      <c r="D121" s="756"/>
      <c r="E121" s="756"/>
      <c r="F121" s="756"/>
      <c r="G121" s="756"/>
      <c r="H121" s="756"/>
      <c r="I121" s="756"/>
      <c r="J121" s="756"/>
      <c r="K121" s="776"/>
      <c r="L121" s="776"/>
      <c r="M121" s="756"/>
      <c r="N121" s="756"/>
      <c r="O121" s="756"/>
      <c r="P121" s="756"/>
      <c r="Q121" s="756"/>
      <c r="R121" s="756"/>
      <c r="S121" s="756"/>
    </row>
    <row r="122" spans="1:19" ht="14.4" customHeight="1">
      <c r="G122" s="756" t="s">
        <v>17</v>
      </c>
      <c r="H122" s="757"/>
      <c r="I122" s="756"/>
      <c r="J122" s="756" t="s">
        <v>18</v>
      </c>
      <c r="K122" s="756"/>
      <c r="L122" s="757"/>
      <c r="M122" s="756" t="s">
        <v>19</v>
      </c>
      <c r="N122" s="757"/>
      <c r="S122" s="757"/>
    </row>
    <row r="123" spans="1:19" ht="14.4" customHeight="1">
      <c r="A123" s="745" t="s">
        <v>35</v>
      </c>
      <c r="B123" s="757"/>
      <c r="C123" s="757"/>
      <c r="D123" s="757"/>
      <c r="E123" s="757"/>
      <c r="F123" s="756"/>
      <c r="G123" s="757" t="s">
        <v>45</v>
      </c>
      <c r="H123" s="757"/>
      <c r="I123" s="757"/>
      <c r="J123" s="757" t="s">
        <v>212</v>
      </c>
      <c r="K123" s="757"/>
      <c r="L123" s="756"/>
      <c r="M123" s="757" t="s">
        <v>98</v>
      </c>
      <c r="N123" s="753"/>
      <c r="O123" s="753"/>
      <c r="P123" s="756"/>
      <c r="Q123" s="756"/>
      <c r="R123" s="756"/>
      <c r="S123" s="757"/>
    </row>
    <row r="124" spans="1:19" ht="14.4" customHeight="1" thickBot="1">
      <c r="A124" s="750" t="s">
        <v>46</v>
      </c>
      <c r="B124" s="758"/>
      <c r="C124" s="758" t="s">
        <v>213</v>
      </c>
      <c r="D124" s="758"/>
      <c r="E124" s="758"/>
      <c r="F124" s="758"/>
      <c r="G124" s="759" t="s">
        <v>214</v>
      </c>
      <c r="H124" s="759"/>
      <c r="I124" s="759"/>
      <c r="J124" s="759" t="s">
        <v>98</v>
      </c>
      <c r="K124" s="759"/>
      <c r="L124" s="760"/>
      <c r="M124" s="759" t="s">
        <v>110</v>
      </c>
      <c r="N124" s="761"/>
      <c r="O124" s="761"/>
      <c r="P124" s="761"/>
      <c r="Q124" s="761"/>
      <c r="R124" s="761"/>
      <c r="S124" s="761"/>
    </row>
    <row r="125" spans="1:19" ht="14.4" customHeight="1">
      <c r="A125" s="745">
        <v>1</v>
      </c>
      <c r="B125" s="768"/>
      <c r="C125" s="721" t="s">
        <v>256</v>
      </c>
      <c r="F125" s="605"/>
      <c r="G125" s="616">
        <f>G54-G109</f>
        <v>10301683</v>
      </c>
      <c r="H125" s="605"/>
      <c r="I125" s="607"/>
      <c r="J125" s="616">
        <f>J54-J109</f>
        <v>10241751.748</v>
      </c>
      <c r="K125" s="608"/>
      <c r="L125" s="605"/>
      <c r="M125" s="610">
        <f>J125/G125</f>
        <v>0.99418238243207446</v>
      </c>
      <c r="N125" s="607"/>
      <c r="O125" s="607"/>
      <c r="P125" s="605"/>
      <c r="Q125" s="605"/>
      <c r="R125" s="605"/>
      <c r="S125" s="605"/>
    </row>
    <row r="126" spans="1:19" ht="14.4" customHeight="1">
      <c r="A126" s="745">
        <f t="shared" ref="A126:A162" si="8">A125+1</f>
        <v>2</v>
      </c>
      <c r="B126" s="746"/>
      <c r="C126" s="605"/>
      <c r="L126" s="606"/>
      <c r="M126" s="611"/>
      <c r="N126" s="607"/>
      <c r="O126" s="607"/>
      <c r="Q126" s="605"/>
      <c r="R126" s="605"/>
      <c r="S126" s="605"/>
    </row>
    <row r="127" spans="1:19" ht="14.4" customHeight="1">
      <c r="A127" s="745">
        <f t="shared" si="8"/>
        <v>3</v>
      </c>
      <c r="B127" s="746"/>
      <c r="C127" s="724" t="s">
        <v>106</v>
      </c>
      <c r="F127" s="607"/>
      <c r="G127" s="607"/>
      <c r="H127" s="605"/>
      <c r="I127" s="607"/>
      <c r="J127" s="607"/>
      <c r="K127" s="608"/>
      <c r="L127" s="609"/>
      <c r="M127" s="611"/>
      <c r="N127" s="607"/>
      <c r="O127" s="607"/>
      <c r="Q127" s="605"/>
      <c r="R127" s="605"/>
      <c r="S127" s="605"/>
    </row>
    <row r="128" spans="1:19" ht="14.4" customHeight="1">
      <c r="A128" s="745">
        <f t="shared" si="8"/>
        <v>4</v>
      </c>
      <c r="B128" s="746"/>
      <c r="C128" s="605" t="s">
        <v>257</v>
      </c>
      <c r="F128" s="607"/>
      <c r="G128" s="607">
        <f>('Seg of CWIP'!P26+'Seg of CWIP'!P27)/1000</f>
        <v>542505.73400000005</v>
      </c>
      <c r="H128" s="605"/>
      <c r="I128" s="607"/>
      <c r="J128" s="607">
        <f>G128*M128</f>
        <v>542505.73400000005</v>
      </c>
      <c r="K128" s="608"/>
      <c r="L128" s="609"/>
      <c r="M128" s="610">
        <f>M21</f>
        <v>1</v>
      </c>
      <c r="N128" s="607"/>
      <c r="O128" s="607"/>
      <c r="Q128" s="605"/>
      <c r="R128" s="607"/>
      <c r="S128" s="607"/>
    </row>
    <row r="129" spans="1:19" ht="14.4" customHeight="1">
      <c r="A129" s="745">
        <f t="shared" si="8"/>
        <v>5</v>
      </c>
      <c r="B129" s="746"/>
      <c r="C129" s="605" t="s">
        <v>258</v>
      </c>
      <c r="F129" s="607"/>
      <c r="G129" s="607">
        <f>'Seg of CWIP'!P28/1000</f>
        <v>62470.222000000002</v>
      </c>
      <c r="H129" s="605"/>
      <c r="I129" s="607"/>
      <c r="J129" s="607">
        <f t="shared" ref="J129:J131" si="9">G129*M129</f>
        <v>58422.972725011219</v>
      </c>
      <c r="K129" s="608"/>
      <c r="L129" s="609"/>
      <c r="M129" s="610">
        <v>0.93521314403222733</v>
      </c>
      <c r="N129" s="607"/>
      <c r="O129" s="607"/>
      <c r="Q129" s="605"/>
      <c r="R129" s="607"/>
      <c r="S129" s="607"/>
    </row>
    <row r="130" spans="1:19" ht="14.4" customHeight="1">
      <c r="A130" s="745">
        <f t="shared" si="8"/>
        <v>6</v>
      </c>
      <c r="B130" s="746"/>
      <c r="C130" s="605" t="s">
        <v>259</v>
      </c>
      <c r="F130" s="607"/>
      <c r="G130" s="607">
        <f>'Seg of CWIP'!P29/1000</f>
        <v>97901.517999999996</v>
      </c>
      <c r="H130" s="605"/>
      <c r="I130" s="607"/>
      <c r="J130" s="607">
        <f t="shared" si="9"/>
        <v>97901.517999999996</v>
      </c>
      <c r="K130" s="608"/>
      <c r="L130" s="607"/>
      <c r="M130" s="610">
        <f>M106</f>
        <v>1</v>
      </c>
      <c r="N130" s="607"/>
      <c r="O130" s="607"/>
      <c r="P130" s="605"/>
      <c r="Q130" s="605"/>
      <c r="R130" s="607"/>
      <c r="S130" s="607"/>
    </row>
    <row r="131" spans="1:19" ht="14.4" customHeight="1">
      <c r="A131" s="745">
        <f t="shared" si="8"/>
        <v>7</v>
      </c>
      <c r="B131" s="746"/>
      <c r="C131" s="605" t="s">
        <v>260</v>
      </c>
      <c r="F131" s="607"/>
      <c r="G131" s="607">
        <f>'Seg of CWIP'!P31/1000</f>
        <v>57230.362999999998</v>
      </c>
      <c r="H131" s="605"/>
      <c r="I131" s="607"/>
      <c r="J131" s="607">
        <f t="shared" si="9"/>
        <v>57034.351681277083</v>
      </c>
      <c r="K131" s="608"/>
      <c r="L131" s="607"/>
      <c r="M131" s="610">
        <v>0.9965750467330966</v>
      </c>
      <c r="O131" s="607"/>
      <c r="P131" s="607"/>
      <c r="Q131" s="605"/>
      <c r="R131" s="607"/>
      <c r="S131" s="607"/>
    </row>
    <row r="132" spans="1:19" ht="14.4" customHeight="1">
      <c r="A132" s="745">
        <f t="shared" si="8"/>
        <v>8</v>
      </c>
      <c r="B132" s="746"/>
      <c r="C132" s="605" t="s">
        <v>261</v>
      </c>
      <c r="F132" s="607"/>
      <c r="G132" s="607">
        <f>'Seg of CWIP'!P30/1000</f>
        <v>290397.99800000002</v>
      </c>
      <c r="H132" s="605"/>
      <c r="I132" s="607"/>
      <c r="J132" s="607">
        <f>J133-J128-J129-J130-J131</f>
        <v>288115.24859371159</v>
      </c>
      <c r="K132" s="608"/>
      <c r="L132" s="607"/>
      <c r="M132" s="610">
        <f>J132/G132</f>
        <v>0.99213923848645669</v>
      </c>
      <c r="O132" s="607"/>
      <c r="P132" s="607"/>
      <c r="Q132" s="605"/>
      <c r="R132" s="607"/>
      <c r="S132" s="607"/>
    </row>
    <row r="133" spans="1:19" ht="14.4" customHeight="1">
      <c r="A133" s="745">
        <f t="shared" si="8"/>
        <v>9</v>
      </c>
      <c r="B133" s="746"/>
      <c r="C133" s="605" t="s">
        <v>262</v>
      </c>
      <c r="F133" s="607"/>
      <c r="G133" s="612">
        <f>SUM(G128:G132)</f>
        <v>1050505.835</v>
      </c>
      <c r="H133" s="605"/>
      <c r="I133" s="607"/>
      <c r="J133" s="612">
        <v>1043979.825</v>
      </c>
      <c r="K133" s="608"/>
      <c r="L133" s="607"/>
      <c r="M133" s="610">
        <f>J133/G133</f>
        <v>0.99378774511994972</v>
      </c>
      <c r="N133" s="607"/>
      <c r="O133" s="607"/>
      <c r="P133" s="607"/>
      <c r="Q133" s="605"/>
      <c r="R133" s="607"/>
      <c r="S133" s="607"/>
    </row>
    <row r="134" spans="1:19" ht="14.4" customHeight="1">
      <c r="A134" s="745">
        <f t="shared" si="8"/>
        <v>10</v>
      </c>
      <c r="B134" s="746"/>
      <c r="C134" s="605"/>
      <c r="L134" s="607"/>
      <c r="M134" s="611"/>
      <c r="N134" s="607"/>
      <c r="O134" s="607"/>
      <c r="P134" s="607"/>
      <c r="Q134" s="605"/>
      <c r="R134" s="607"/>
      <c r="S134" s="607"/>
    </row>
    <row r="135" spans="1:19" ht="14.4" customHeight="1">
      <c r="A135" s="745">
        <f t="shared" si="8"/>
        <v>11</v>
      </c>
      <c r="B135" s="746"/>
      <c r="C135" s="721" t="s">
        <v>263</v>
      </c>
      <c r="F135" s="607"/>
      <c r="G135" s="612">
        <f>'B-3'!S338</f>
        <v>69494.543313076923</v>
      </c>
      <c r="H135" s="605"/>
      <c r="I135" s="607"/>
      <c r="J135" s="612">
        <f t="shared" ref="J135" si="10">G135*M135</f>
        <v>68033.56011965283</v>
      </c>
      <c r="K135" s="608"/>
      <c r="L135" s="607"/>
      <c r="M135" s="610">
        <v>0.97897700849918134</v>
      </c>
      <c r="N135" s="607"/>
      <c r="P135" s="605"/>
      <c r="Q135" s="605"/>
      <c r="R135" s="607"/>
      <c r="S135" s="607"/>
    </row>
    <row r="136" spans="1:19" ht="14.4" customHeight="1">
      <c r="A136" s="745">
        <f t="shared" si="8"/>
        <v>12</v>
      </c>
      <c r="B136" s="746"/>
      <c r="N136" s="607"/>
      <c r="P136" s="605"/>
      <c r="Q136" s="605"/>
      <c r="R136" s="607"/>
      <c r="S136" s="607"/>
    </row>
    <row r="137" spans="1:19" ht="14.4" customHeight="1">
      <c r="A137" s="745">
        <f t="shared" si="8"/>
        <v>13</v>
      </c>
      <c r="B137" s="746"/>
      <c r="C137" s="721" t="s">
        <v>264</v>
      </c>
      <c r="N137" s="607"/>
      <c r="P137" s="605"/>
      <c r="Q137" s="605"/>
      <c r="R137" s="607"/>
      <c r="S137" s="607"/>
    </row>
    <row r="138" spans="1:19" ht="14.4" customHeight="1">
      <c r="A138" s="745">
        <f t="shared" si="8"/>
        <v>14</v>
      </c>
      <c r="B138" s="746"/>
      <c r="C138" s="605" t="s">
        <v>265</v>
      </c>
      <c r="P138" s="605"/>
      <c r="Q138" s="605"/>
      <c r="R138" s="607"/>
      <c r="S138" s="607"/>
    </row>
    <row r="139" spans="1:19" ht="14.4" customHeight="1">
      <c r="A139" s="745">
        <f t="shared" si="8"/>
        <v>15</v>
      </c>
      <c r="B139" s="746"/>
      <c r="C139" s="618" t="s">
        <v>266</v>
      </c>
      <c r="G139" s="607">
        <f>'B-17'!J14</f>
        <v>24533.891339230773</v>
      </c>
      <c r="J139" s="607">
        <f t="shared" ref="J139:J140" si="11">G139*M139</f>
        <v>24449.462122310673</v>
      </c>
      <c r="M139" s="610">
        <v>0.99655866997400888</v>
      </c>
      <c r="P139" s="605"/>
      <c r="Q139" s="605"/>
      <c r="R139" s="607"/>
      <c r="S139" s="607"/>
    </row>
    <row r="140" spans="1:19" ht="14.4" customHeight="1">
      <c r="A140" s="745">
        <f t="shared" si="8"/>
        <v>16</v>
      </c>
      <c r="B140" s="746"/>
      <c r="C140" s="618" t="s">
        <v>267</v>
      </c>
      <c r="G140" s="607">
        <f>'B-17'!J15</f>
        <v>-8155.8566861538466</v>
      </c>
      <c r="J140" s="607">
        <f t="shared" si="11"/>
        <v>-8127.7896916521049</v>
      </c>
      <c r="M140" s="610">
        <v>0.99655866997400888</v>
      </c>
      <c r="P140" s="605"/>
      <c r="Q140" s="605"/>
      <c r="R140" s="607"/>
      <c r="S140" s="607"/>
    </row>
    <row r="141" spans="1:19" ht="14.4" customHeight="1">
      <c r="A141" s="745">
        <f t="shared" si="8"/>
        <v>17</v>
      </c>
      <c r="B141" s="746"/>
      <c r="C141" s="605" t="s">
        <v>268</v>
      </c>
      <c r="G141" s="612">
        <f>SUM(G139:G140)</f>
        <v>16378.034653076927</v>
      </c>
      <c r="J141" s="612">
        <f>SUM(J139:J140)</f>
        <v>16321.672430658567</v>
      </c>
      <c r="M141" s="610">
        <f>J141/G141</f>
        <v>0.99655866997400866</v>
      </c>
      <c r="Q141" s="605"/>
      <c r="R141" s="607"/>
      <c r="S141" s="607"/>
    </row>
    <row r="142" spans="1:19" ht="14.4" customHeight="1">
      <c r="A142" s="745">
        <f t="shared" si="8"/>
        <v>18</v>
      </c>
      <c r="B142" s="746"/>
      <c r="Q142" s="605"/>
      <c r="R142" s="607"/>
      <c r="S142" s="607"/>
    </row>
    <row r="143" spans="1:19" ht="14.4" customHeight="1">
      <c r="A143" s="745">
        <f t="shared" si="8"/>
        <v>19</v>
      </c>
      <c r="B143" s="746"/>
      <c r="C143" s="605" t="s">
        <v>269</v>
      </c>
      <c r="F143" s="605"/>
      <c r="G143" s="605"/>
      <c r="H143" s="605"/>
      <c r="I143" s="607"/>
      <c r="J143" s="605"/>
      <c r="K143" s="608"/>
      <c r="L143" s="605"/>
      <c r="M143" s="617"/>
      <c r="Q143" s="605"/>
      <c r="R143" s="607"/>
      <c r="S143" s="607"/>
    </row>
    <row r="144" spans="1:19" ht="14.4" customHeight="1">
      <c r="A144" s="745">
        <f t="shared" si="8"/>
        <v>20</v>
      </c>
      <c r="B144" s="746"/>
      <c r="C144" s="618" t="s">
        <v>270</v>
      </c>
      <c r="F144" s="605"/>
      <c r="G144" s="607">
        <f>'B-3'!S350</f>
        <v>1000</v>
      </c>
      <c r="H144" s="607"/>
      <c r="I144" s="607"/>
      <c r="J144" s="607">
        <f t="shared" ref="J144:J162" si="12">G144*M144</f>
        <v>996.55866997400892</v>
      </c>
      <c r="K144" s="608"/>
      <c r="L144" s="606"/>
      <c r="M144" s="610">
        <v>0.99655866997400888</v>
      </c>
      <c r="O144" s="607"/>
      <c r="Q144" s="605"/>
      <c r="R144" s="607"/>
      <c r="S144" s="607"/>
    </row>
    <row r="145" spans="1:19" ht="14.4" customHeight="1">
      <c r="A145" s="745">
        <f t="shared" si="8"/>
        <v>21</v>
      </c>
      <c r="B145" s="746"/>
      <c r="C145" s="618" t="s">
        <v>271</v>
      </c>
      <c r="F145" s="607"/>
      <c r="G145" s="607">
        <f>'B-3'!S351</f>
        <v>0</v>
      </c>
      <c r="H145" s="607"/>
      <c r="I145" s="607"/>
      <c r="J145" s="607">
        <f t="shared" si="12"/>
        <v>0</v>
      </c>
      <c r="K145" s="608"/>
      <c r="L145" s="609"/>
      <c r="M145" s="610">
        <v>0.99655866997400888</v>
      </c>
      <c r="O145" s="607"/>
      <c r="Q145" s="607"/>
      <c r="R145" s="607"/>
      <c r="S145" s="607"/>
    </row>
    <row r="146" spans="1:19" ht="14.4" customHeight="1">
      <c r="A146" s="745">
        <f t="shared" si="8"/>
        <v>22</v>
      </c>
      <c r="B146" s="746"/>
      <c r="C146" s="618" t="s">
        <v>272</v>
      </c>
      <c r="F146" s="607"/>
      <c r="G146" s="607">
        <f>'B-3'!S352</f>
        <v>52.665390000000002</v>
      </c>
      <c r="H146" s="607"/>
      <c r="I146" s="607"/>
      <c r="J146" s="607">
        <f t="shared" si="12"/>
        <v>52.484151012062469</v>
      </c>
      <c r="K146" s="608"/>
      <c r="L146" s="609"/>
      <c r="M146" s="610">
        <v>0.99655866997400888</v>
      </c>
      <c r="O146" s="607"/>
      <c r="Q146" s="607"/>
      <c r="R146" s="607"/>
      <c r="S146" s="607"/>
    </row>
    <row r="147" spans="1:19" ht="14.4" customHeight="1">
      <c r="A147" s="745">
        <f t="shared" si="8"/>
        <v>23</v>
      </c>
      <c r="B147" s="746"/>
      <c r="C147" s="618" t="s">
        <v>273</v>
      </c>
      <c r="F147" s="607"/>
      <c r="G147" s="607">
        <f>'B-3'!S353</f>
        <v>0</v>
      </c>
      <c r="H147" s="607"/>
      <c r="I147" s="607"/>
      <c r="J147" s="607">
        <f t="shared" si="12"/>
        <v>0</v>
      </c>
      <c r="K147" s="608"/>
      <c r="L147" s="609"/>
      <c r="M147" s="610">
        <v>0.99655866997400888</v>
      </c>
      <c r="O147" s="607"/>
      <c r="Q147" s="607"/>
      <c r="R147" s="607"/>
      <c r="S147" s="607"/>
    </row>
    <row r="148" spans="1:19" ht="14.4" customHeight="1">
      <c r="A148" s="745">
        <f t="shared" si="8"/>
        <v>24</v>
      </c>
      <c r="B148" s="746"/>
      <c r="C148" s="618" t="s">
        <v>274</v>
      </c>
      <c r="F148" s="607"/>
      <c r="G148" s="607">
        <f>'B-3'!S354</f>
        <v>0</v>
      </c>
      <c r="H148" s="607"/>
      <c r="I148" s="607"/>
      <c r="J148" s="607">
        <f t="shared" si="12"/>
        <v>0</v>
      </c>
      <c r="K148" s="608"/>
      <c r="L148" s="607"/>
      <c r="M148" s="610">
        <v>0.99655866997400888</v>
      </c>
      <c r="O148" s="607"/>
      <c r="Q148" s="607"/>
      <c r="R148" s="607"/>
      <c r="S148" s="607"/>
    </row>
    <row r="149" spans="1:19" ht="14.4" customHeight="1">
      <c r="A149" s="745">
        <f t="shared" si="8"/>
        <v>25</v>
      </c>
      <c r="B149" s="746"/>
      <c r="C149" s="618" t="s">
        <v>275</v>
      </c>
      <c r="F149" s="607"/>
      <c r="G149" s="607">
        <f>'B-3'!S355</f>
        <v>181510.05824442819</v>
      </c>
      <c r="H149" s="607"/>
      <c r="I149" s="607"/>
      <c r="J149" s="607">
        <f t="shared" si="12"/>
        <v>180885.42223097224</v>
      </c>
      <c r="K149" s="608"/>
      <c r="L149" s="607"/>
      <c r="M149" s="610">
        <v>0.99655866997400888</v>
      </c>
      <c r="Q149" s="607"/>
      <c r="R149" s="607"/>
      <c r="S149" s="607"/>
    </row>
    <row r="150" spans="1:19" ht="14.4" customHeight="1">
      <c r="A150" s="745">
        <f t="shared" si="8"/>
        <v>26</v>
      </c>
      <c r="B150" s="746"/>
      <c r="C150" s="618" t="s">
        <v>276</v>
      </c>
      <c r="F150" s="607"/>
      <c r="G150" s="607">
        <f>'B-3'!S356</f>
        <v>7359.1404307692301</v>
      </c>
      <c r="H150" s="607"/>
      <c r="I150" s="607"/>
      <c r="J150" s="607">
        <f t="shared" si="12"/>
        <v>7333.8151998393387</v>
      </c>
      <c r="K150" s="608"/>
      <c r="L150" s="607"/>
      <c r="M150" s="610">
        <v>0.99655866997400888</v>
      </c>
      <c r="P150" s="607"/>
      <c r="Q150" s="607"/>
      <c r="R150" s="607"/>
      <c r="S150" s="607"/>
    </row>
    <row r="151" spans="1:19" ht="14.4" customHeight="1">
      <c r="A151" s="745">
        <f t="shared" si="8"/>
        <v>27</v>
      </c>
      <c r="B151" s="746"/>
      <c r="C151" s="618" t="s">
        <v>277</v>
      </c>
      <c r="F151" s="607"/>
      <c r="G151" s="607">
        <f>'B-3'!S357</f>
        <v>-1650.9812270100153</v>
      </c>
      <c r="H151" s="607"/>
      <c r="I151" s="607"/>
      <c r="J151" s="607">
        <f t="shared" si="12"/>
        <v>-1645.2996557411582</v>
      </c>
      <c r="K151" s="608"/>
      <c r="L151" s="607"/>
      <c r="M151" s="610">
        <v>0.99655866997400888</v>
      </c>
      <c r="O151" s="607"/>
      <c r="P151" s="607"/>
      <c r="Q151" s="607"/>
      <c r="R151" s="607"/>
      <c r="S151" s="607"/>
    </row>
    <row r="152" spans="1:19" ht="14.4" customHeight="1">
      <c r="A152" s="745">
        <f t="shared" si="8"/>
        <v>28</v>
      </c>
      <c r="B152" s="746"/>
      <c r="C152" s="618" t="s">
        <v>274</v>
      </c>
      <c r="F152" s="607"/>
      <c r="G152" s="607">
        <f>'B-3'!S358</f>
        <v>0</v>
      </c>
      <c r="H152" s="607"/>
      <c r="I152" s="607"/>
      <c r="J152" s="607">
        <f t="shared" si="12"/>
        <v>0</v>
      </c>
      <c r="K152" s="608"/>
      <c r="L152" s="607"/>
      <c r="M152" s="610">
        <v>0.99655866997400888</v>
      </c>
      <c r="O152" s="607"/>
      <c r="P152" s="607"/>
      <c r="Q152" s="607"/>
      <c r="R152" s="607"/>
      <c r="S152" s="607"/>
    </row>
    <row r="153" spans="1:19" ht="14.4" customHeight="1">
      <c r="A153" s="745">
        <f t="shared" si="8"/>
        <v>29</v>
      </c>
      <c r="B153" s="746"/>
      <c r="C153" s="618" t="s">
        <v>278</v>
      </c>
      <c r="F153" s="607"/>
      <c r="G153" s="607">
        <f>'B-3'!S359</f>
        <v>13678.6061782578</v>
      </c>
      <c r="H153" s="607"/>
      <c r="I153" s="607"/>
      <c r="J153" s="607">
        <f t="shared" si="12"/>
        <v>13631.533580102854</v>
      </c>
      <c r="K153" s="608"/>
      <c r="L153" s="607"/>
      <c r="M153" s="610">
        <v>0.99655866997400888</v>
      </c>
      <c r="N153" s="607"/>
      <c r="P153" s="607"/>
      <c r="Q153" s="607"/>
      <c r="R153" s="607"/>
      <c r="S153" s="607"/>
    </row>
    <row r="154" spans="1:19" ht="14.4" customHeight="1">
      <c r="A154" s="745">
        <f t="shared" si="8"/>
        <v>30</v>
      </c>
      <c r="B154" s="746"/>
      <c r="C154" s="618" t="s">
        <v>279</v>
      </c>
      <c r="G154" s="607">
        <f>'B-17'!J29</f>
        <v>36634.692307692305</v>
      </c>
      <c r="H154" s="607"/>
      <c r="I154" s="607"/>
      <c r="J154" s="607">
        <f t="shared" si="12"/>
        <v>36508.620241060897</v>
      </c>
      <c r="K154" s="608"/>
      <c r="L154" s="607"/>
      <c r="M154" s="610">
        <v>0.99655866997400888</v>
      </c>
      <c r="N154" s="607"/>
      <c r="P154" s="607"/>
      <c r="Q154" s="607"/>
      <c r="R154" s="607"/>
      <c r="S154" s="607"/>
    </row>
    <row r="155" spans="1:19" ht="14.4" customHeight="1">
      <c r="A155" s="745">
        <f t="shared" si="8"/>
        <v>31</v>
      </c>
      <c r="B155" s="746"/>
      <c r="C155" s="618" t="s">
        <v>138</v>
      </c>
      <c r="F155" s="607"/>
      <c r="G155" s="607">
        <f>'B-17'!J30</f>
        <v>189</v>
      </c>
      <c r="H155" s="607"/>
      <c r="I155" s="607"/>
      <c r="J155" s="607">
        <f t="shared" si="12"/>
        <v>189</v>
      </c>
      <c r="K155" s="608"/>
      <c r="L155" s="607"/>
      <c r="M155" s="610">
        <v>1</v>
      </c>
      <c r="N155" s="607"/>
      <c r="P155" s="607"/>
      <c r="Q155" s="607"/>
      <c r="R155" s="607"/>
      <c r="S155" s="607"/>
    </row>
    <row r="156" spans="1:19" ht="14.4" customHeight="1">
      <c r="A156" s="745">
        <f t="shared" si="8"/>
        <v>32</v>
      </c>
      <c r="B156" s="746"/>
      <c r="C156" s="618" t="s">
        <v>280</v>
      </c>
      <c r="F156" s="607"/>
      <c r="G156" s="607">
        <f>'B-3'!S362</f>
        <v>162822.14999999997</v>
      </c>
      <c r="H156" s="607"/>
      <c r="I156" s="607"/>
      <c r="J156" s="607">
        <f t="shared" si="12"/>
        <v>162261.82524630852</v>
      </c>
      <c r="K156" s="608"/>
      <c r="L156" s="607"/>
      <c r="M156" s="610">
        <v>0.99655866997400888</v>
      </c>
      <c r="P156" s="607"/>
      <c r="Q156" s="607"/>
      <c r="R156" s="607"/>
      <c r="S156" s="607"/>
    </row>
    <row r="157" spans="1:19" ht="14.4" customHeight="1">
      <c r="A157" s="745">
        <f t="shared" si="8"/>
        <v>33</v>
      </c>
      <c r="B157" s="746"/>
      <c r="C157" s="618" t="s">
        <v>281</v>
      </c>
      <c r="F157" s="607"/>
      <c r="G157" s="607">
        <f>'B-3'!S363</f>
        <v>0</v>
      </c>
      <c r="H157" s="607"/>
      <c r="I157" s="607"/>
      <c r="J157" s="607">
        <f t="shared" si="12"/>
        <v>0</v>
      </c>
      <c r="K157" s="608"/>
      <c r="L157" s="607"/>
      <c r="M157" s="610">
        <v>0.99655866997400888</v>
      </c>
      <c r="P157" s="607"/>
      <c r="Q157" s="607"/>
      <c r="R157" s="607"/>
      <c r="S157" s="607"/>
    </row>
    <row r="158" spans="1:19" ht="14.4" customHeight="1">
      <c r="A158" s="745">
        <f t="shared" si="8"/>
        <v>34</v>
      </c>
      <c r="B158" s="746"/>
      <c r="C158" s="618" t="s">
        <v>282</v>
      </c>
      <c r="G158" s="607">
        <f>'B-3'!S364</f>
        <v>0</v>
      </c>
      <c r="H158" s="607"/>
      <c r="I158" s="607"/>
      <c r="J158" s="607">
        <f t="shared" si="12"/>
        <v>0</v>
      </c>
      <c r="M158" s="610">
        <v>0.99655866997400888</v>
      </c>
      <c r="N158" s="607"/>
      <c r="P158" s="607"/>
      <c r="Q158" s="607"/>
      <c r="R158" s="607"/>
      <c r="S158" s="607"/>
    </row>
    <row r="159" spans="1:19" ht="14.4" customHeight="1">
      <c r="A159" s="745">
        <f t="shared" si="8"/>
        <v>35</v>
      </c>
      <c r="B159" s="746"/>
      <c r="C159" s="618" t="s">
        <v>283</v>
      </c>
      <c r="G159" s="607">
        <f>'B-3'!S365</f>
        <v>30636.298079484692</v>
      </c>
      <c r="H159" s="607"/>
      <c r="I159" s="607"/>
      <c r="J159" s="607">
        <f t="shared" si="12"/>
        <v>30530.868467018547</v>
      </c>
      <c r="M159" s="610">
        <v>0.99655866997400888</v>
      </c>
      <c r="N159" s="607"/>
      <c r="O159" s="607"/>
      <c r="P159" s="607"/>
      <c r="Q159" s="607"/>
      <c r="R159" s="607"/>
      <c r="S159" s="607"/>
    </row>
    <row r="160" spans="1:19" ht="14.4" customHeight="1">
      <c r="A160" s="745">
        <f t="shared" si="8"/>
        <v>36</v>
      </c>
      <c r="B160" s="746"/>
      <c r="C160" s="618" t="s">
        <v>284</v>
      </c>
      <c r="F160" s="607"/>
      <c r="G160" s="607">
        <f>'B-3'!S366</f>
        <v>0</v>
      </c>
      <c r="H160" s="607"/>
      <c r="I160" s="607"/>
      <c r="J160" s="607">
        <f t="shared" si="12"/>
        <v>0</v>
      </c>
      <c r="K160" s="613"/>
      <c r="L160" s="607"/>
      <c r="M160" s="610">
        <v>0.99655866997400888</v>
      </c>
      <c r="N160" s="607"/>
      <c r="O160" s="607"/>
      <c r="P160" s="607"/>
      <c r="Q160" s="607"/>
      <c r="R160" s="607"/>
      <c r="S160" s="607"/>
    </row>
    <row r="161" spans="1:21" ht="14.4" customHeight="1">
      <c r="A161" s="745">
        <f t="shared" si="8"/>
        <v>37</v>
      </c>
      <c r="B161" s="746"/>
      <c r="C161" s="618" t="s">
        <v>285</v>
      </c>
      <c r="F161" s="607"/>
      <c r="G161" s="607">
        <f>'B-3'!S367</f>
        <v>79503.511410000021</v>
      </c>
      <c r="H161" s="607"/>
      <c r="I161" s="607"/>
      <c r="J161" s="607">
        <f t="shared" si="12"/>
        <v>79229.913589013056</v>
      </c>
      <c r="K161" s="608"/>
      <c r="L161" s="607"/>
      <c r="M161" s="610">
        <v>0.99655866997400888</v>
      </c>
      <c r="N161" s="607"/>
      <c r="O161" s="607"/>
      <c r="P161" s="607"/>
      <c r="Q161" s="607"/>
      <c r="R161" s="607"/>
      <c r="S161" s="607"/>
    </row>
    <row r="162" spans="1:21" ht="14.4" customHeight="1">
      <c r="A162" s="745">
        <f t="shared" si="8"/>
        <v>38</v>
      </c>
      <c r="B162" s="746"/>
      <c r="C162" s="618" t="s">
        <v>286</v>
      </c>
      <c r="F162" s="607"/>
      <c r="G162" s="607">
        <f>'B-3'!S368</f>
        <v>528</v>
      </c>
      <c r="H162" s="607"/>
      <c r="I162" s="607"/>
      <c r="J162" s="607">
        <f t="shared" si="12"/>
        <v>526.18297774627672</v>
      </c>
      <c r="L162" s="607"/>
      <c r="M162" s="610">
        <v>0.99655866997400888</v>
      </c>
      <c r="N162" s="607"/>
      <c r="O162" s="607"/>
      <c r="P162" s="607"/>
      <c r="Q162" s="607"/>
      <c r="R162" s="607"/>
      <c r="S162" s="607"/>
    </row>
    <row r="163" spans="1:21" ht="14.4" customHeight="1">
      <c r="A163" s="745">
        <v>39</v>
      </c>
      <c r="B163" s="746"/>
      <c r="C163" s="605" t="s">
        <v>287</v>
      </c>
      <c r="F163" s="607"/>
      <c r="G163" s="612">
        <f>SUM(G144:G162)</f>
        <v>512263.14081362222</v>
      </c>
      <c r="H163" s="607"/>
      <c r="I163" s="607"/>
      <c r="J163" s="612">
        <f>SUM(J144:J162)</f>
        <v>510500.92469730659</v>
      </c>
      <c r="K163" s="608"/>
      <c r="L163" s="607"/>
      <c r="M163" s="610">
        <f>J163/G163</f>
        <v>0.99655993965617606</v>
      </c>
      <c r="N163" s="607"/>
      <c r="O163" s="607"/>
      <c r="P163" s="607"/>
      <c r="Q163" s="607"/>
      <c r="R163" s="607"/>
      <c r="S163" s="607"/>
    </row>
    <row r="164" spans="1:21" ht="14.4" customHeight="1" thickBot="1">
      <c r="A164" s="750">
        <v>40</v>
      </c>
      <c r="B164" s="750" t="str">
        <f>B110</f>
        <v>Totals may be affected due to rounding.</v>
      </c>
      <c r="C164" s="750"/>
      <c r="D164" s="750"/>
      <c r="E164" s="750"/>
      <c r="F164" s="750"/>
      <c r="G164" s="750"/>
      <c r="H164" s="750"/>
      <c r="I164" s="750"/>
      <c r="J164" s="750"/>
      <c r="K164" s="769"/>
      <c r="L164" s="750"/>
      <c r="M164" s="615"/>
      <c r="N164" s="750"/>
      <c r="O164" s="750"/>
      <c r="P164" s="750"/>
      <c r="Q164" s="750"/>
      <c r="R164" s="750"/>
      <c r="S164" s="750"/>
    </row>
    <row r="165" spans="1:21" ht="14.4" customHeight="1">
      <c r="A165" s="745" t="str">
        <f>$A$56</f>
        <v>Supporting Schedules: B-3, B-5, B-7, B-9, B-15, B-16, B-17</v>
      </c>
      <c r="J165" s="757"/>
      <c r="Q165" s="745" t="s">
        <v>181</v>
      </c>
    </row>
    <row r="166" spans="1:21" ht="14.4" customHeight="1" thickBot="1">
      <c r="A166" s="750" t="s">
        <v>206</v>
      </c>
      <c r="B166" s="750"/>
      <c r="C166" s="750"/>
      <c r="D166" s="750"/>
      <c r="E166" s="750"/>
      <c r="F166" s="750"/>
      <c r="G166" s="750"/>
      <c r="H166" s="750" t="s">
        <v>207</v>
      </c>
      <c r="I166" s="750"/>
      <c r="J166" s="750"/>
      <c r="K166" s="750"/>
      <c r="L166" s="750"/>
      <c r="M166" s="750"/>
      <c r="N166" s="750"/>
      <c r="O166" s="750"/>
      <c r="P166" s="750"/>
      <c r="Q166" s="750"/>
      <c r="R166" s="750"/>
      <c r="S166" s="751" t="s">
        <v>675</v>
      </c>
      <c r="T166" s="745" t="s">
        <v>249</v>
      </c>
      <c r="U166" s="745" t="s">
        <v>249</v>
      </c>
    </row>
    <row r="167" spans="1:21" ht="14.4" customHeight="1">
      <c r="A167" s="745" t="s">
        <v>4</v>
      </c>
      <c r="E167" s="745" t="s">
        <v>208</v>
      </c>
      <c r="G167" s="745" t="s">
        <v>209</v>
      </c>
      <c r="K167" s="752"/>
      <c r="L167" s="752"/>
      <c r="N167" s="752"/>
      <c r="O167" s="752"/>
      <c r="P167" s="752" t="s">
        <v>7</v>
      </c>
      <c r="S167" s="753"/>
    </row>
    <row r="168" spans="1:21" ht="14.4" customHeight="1">
      <c r="G168" s="745" t="s">
        <v>210</v>
      </c>
      <c r="J168" s="745" t="str">
        <f>IF($BC$276&lt;&gt;0,$BC$276,"")</f>
        <v/>
      </c>
      <c r="K168" s="754"/>
      <c r="L168" s="753"/>
      <c r="O168" s="754"/>
      <c r="P168" s="754" t="str">
        <f>$P$3</f>
        <v>XX</v>
      </c>
      <c r="Q168" s="753" t="str">
        <f>$Q$3</f>
        <v>Projected Test Year Ended 12/31/2025</v>
      </c>
      <c r="S168" s="754"/>
    </row>
    <row r="169" spans="1:21" ht="14.4" customHeight="1">
      <c r="A169" s="745" t="s">
        <v>10</v>
      </c>
      <c r="G169" s="745" t="s">
        <v>211</v>
      </c>
      <c r="J169" s="745" t="str">
        <f>IF($BC$277&lt;&gt;0,$BC$277,"")</f>
        <v/>
      </c>
      <c r="K169" s="754"/>
      <c r="L169" s="753"/>
      <c r="M169" s="754"/>
      <c r="P169" s="754"/>
      <c r="Q169" s="753" t="str">
        <f>$Q$4</f>
        <v>Projected Prior Year Ended 12/31/2024</v>
      </c>
      <c r="S169" s="754"/>
    </row>
    <row r="170" spans="1:21" ht="14.4" customHeight="1">
      <c r="G170" s="745" t="str">
        <f>IF($G$278&lt;&gt;0,$G$278,"")</f>
        <v/>
      </c>
      <c r="J170" s="745" t="str">
        <f>IF($BC$278&lt;&gt;0,$BC$278,"")</f>
        <v/>
      </c>
      <c r="K170" s="754"/>
      <c r="L170" s="753"/>
      <c r="M170" s="754"/>
      <c r="P170" s="754"/>
      <c r="Q170" s="753" t="str">
        <f>$Q$5</f>
        <v>Historical Prior Year Ended 12/31/2023</v>
      </c>
      <c r="S170" s="754"/>
    </row>
    <row r="171" spans="1:21" ht="14.4" customHeight="1">
      <c r="K171" s="754"/>
      <c r="L171" s="753"/>
      <c r="M171" s="754"/>
      <c r="P171" s="754"/>
      <c r="Q171" s="753" t="str">
        <f>+$Q$279</f>
        <v>Witness: C. Aldazabal / J. Chronister /</v>
      </c>
      <c r="S171" s="754"/>
    </row>
    <row r="172" spans="1:21" ht="14.4" customHeight="1">
      <c r="K172" s="754"/>
      <c r="L172" s="753"/>
      <c r="M172" s="754"/>
      <c r="P172" s="754"/>
      <c r="Q172" s="753" t="str">
        <f>+$Q$280</f>
        <v xml:space="preserve">                 R. Latta / C. Whitworth /</v>
      </c>
      <c r="S172" s="754"/>
    </row>
    <row r="173" spans="1:21" ht="14.4" customHeight="1" thickBot="1">
      <c r="A173" s="750" t="str">
        <f>$A$281</f>
        <v>DOCKET No. 20240026-EI</v>
      </c>
      <c r="B173" s="750"/>
      <c r="C173" s="750"/>
      <c r="D173" s="750"/>
      <c r="E173" s="750"/>
      <c r="F173" s="750"/>
      <c r="G173" s="750" t="str">
        <f>IF($G$281&lt;&gt;0,$G$281,"")</f>
        <v/>
      </c>
      <c r="H173" s="750"/>
      <c r="I173" s="750"/>
      <c r="J173" s="750" t="str">
        <f>+$J$281</f>
        <v>(Dollars in 000's)</v>
      </c>
      <c r="K173" s="751"/>
      <c r="L173" s="755"/>
      <c r="M173" s="751"/>
      <c r="N173" s="750"/>
      <c r="O173" s="750"/>
      <c r="P173" s="751"/>
      <c r="Q173" s="755" t="str">
        <f>+$Q$281</f>
        <v xml:space="preserve">                 J. Williams</v>
      </c>
      <c r="R173" s="750"/>
      <c r="S173" s="751"/>
    </row>
    <row r="174" spans="1:21" ht="14.4" customHeight="1">
      <c r="C174" s="756"/>
      <c r="D174" s="756"/>
      <c r="E174" s="756"/>
      <c r="F174" s="756"/>
      <c r="G174" s="756"/>
      <c r="H174" s="756"/>
      <c r="I174" s="756"/>
      <c r="J174" s="756"/>
      <c r="K174" s="756"/>
      <c r="L174" s="756"/>
      <c r="M174" s="756"/>
      <c r="N174" s="756"/>
      <c r="O174" s="756"/>
      <c r="P174" s="756"/>
      <c r="Q174" s="756"/>
      <c r="R174" s="756"/>
      <c r="S174" s="756"/>
    </row>
    <row r="175" spans="1:21" ht="14.4" customHeight="1">
      <c r="C175" s="756"/>
      <c r="D175" s="756"/>
      <c r="E175" s="756"/>
      <c r="F175" s="756"/>
      <c r="G175" s="756"/>
      <c r="H175" s="756"/>
      <c r="I175" s="756"/>
      <c r="J175" s="756"/>
      <c r="K175" s="776"/>
      <c r="L175" s="776"/>
      <c r="M175" s="756"/>
      <c r="N175" s="756"/>
      <c r="O175" s="756"/>
      <c r="P175" s="756"/>
      <c r="Q175" s="756"/>
      <c r="R175" s="756"/>
      <c r="S175" s="756"/>
    </row>
    <row r="176" spans="1:21" ht="14.4" customHeight="1">
      <c r="G176" s="756" t="s">
        <v>17</v>
      </c>
      <c r="H176" s="757"/>
      <c r="I176" s="756"/>
      <c r="J176" s="756" t="s">
        <v>18</v>
      </c>
      <c r="K176" s="756"/>
      <c r="L176" s="757"/>
      <c r="M176" s="756" t="s">
        <v>19</v>
      </c>
      <c r="N176" s="757"/>
      <c r="S176" s="757"/>
    </row>
    <row r="177" spans="1:19" ht="14.4" customHeight="1">
      <c r="A177" s="745" t="s">
        <v>35</v>
      </c>
      <c r="B177" s="757"/>
      <c r="C177" s="757"/>
      <c r="D177" s="757"/>
      <c r="E177" s="757"/>
      <c r="F177" s="756"/>
      <c r="G177" s="757" t="s">
        <v>45</v>
      </c>
      <c r="H177" s="757"/>
      <c r="I177" s="757"/>
      <c r="J177" s="757" t="s">
        <v>212</v>
      </c>
      <c r="K177" s="757"/>
      <c r="L177" s="756"/>
      <c r="M177" s="757" t="s">
        <v>98</v>
      </c>
      <c r="N177" s="753"/>
      <c r="O177" s="753"/>
      <c r="P177" s="756"/>
      <c r="Q177" s="756"/>
      <c r="R177" s="756"/>
      <c r="S177" s="757"/>
    </row>
    <row r="178" spans="1:19" ht="14.4" customHeight="1" thickBot="1">
      <c r="A178" s="750" t="s">
        <v>46</v>
      </c>
      <c r="B178" s="758"/>
      <c r="C178" s="758" t="s">
        <v>213</v>
      </c>
      <c r="D178" s="758"/>
      <c r="E178" s="758"/>
      <c r="F178" s="758"/>
      <c r="G178" s="759" t="s">
        <v>214</v>
      </c>
      <c r="H178" s="759"/>
      <c r="I178" s="759"/>
      <c r="J178" s="759" t="s">
        <v>98</v>
      </c>
      <c r="K178" s="759"/>
      <c r="L178" s="760"/>
      <c r="M178" s="759" t="s">
        <v>110</v>
      </c>
      <c r="N178" s="761"/>
      <c r="O178" s="761"/>
      <c r="P178" s="761"/>
      <c r="Q178" s="761"/>
      <c r="R178" s="761"/>
      <c r="S178" s="761"/>
    </row>
    <row r="179" spans="1:19" ht="14.4" customHeight="1">
      <c r="A179" s="745">
        <v>1</v>
      </c>
      <c r="B179" s="768"/>
      <c r="C179" s="605"/>
      <c r="D179" s="605"/>
      <c r="E179" s="605"/>
      <c r="F179" s="605"/>
      <c r="G179" s="605"/>
      <c r="H179" s="605"/>
      <c r="I179" s="605"/>
      <c r="J179" s="605"/>
      <c r="K179" s="608"/>
      <c r="L179" s="605"/>
      <c r="M179" s="608"/>
      <c r="N179" s="605"/>
      <c r="O179" s="605"/>
      <c r="P179" s="605"/>
      <c r="Q179" s="605"/>
      <c r="R179" s="605"/>
      <c r="S179" s="605"/>
    </row>
    <row r="180" spans="1:19" ht="14.4" customHeight="1">
      <c r="A180" s="745">
        <f t="shared" ref="A180:A216" si="13">A179+1</f>
        <v>2</v>
      </c>
      <c r="B180" s="746"/>
      <c r="C180" s="605" t="s">
        <v>288</v>
      </c>
      <c r="F180" s="607"/>
      <c r="G180" s="609"/>
      <c r="H180" s="607"/>
      <c r="I180" s="607"/>
      <c r="K180" s="608"/>
      <c r="L180" s="607"/>
      <c r="M180" s="610"/>
      <c r="O180" s="607"/>
      <c r="R180" s="605"/>
      <c r="S180" s="605"/>
    </row>
    <row r="181" spans="1:19" ht="14.4" customHeight="1">
      <c r="A181" s="745">
        <f t="shared" si="13"/>
        <v>3</v>
      </c>
      <c r="B181" s="746"/>
      <c r="C181" s="618" t="s">
        <v>289</v>
      </c>
      <c r="F181" s="607"/>
      <c r="G181" s="607">
        <f>'B-3'!S392</f>
        <v>788092.49424105207</v>
      </c>
      <c r="H181" s="607"/>
      <c r="I181" s="770"/>
      <c r="J181" s="607">
        <f>G181*M181</f>
        <v>785380.40787736198</v>
      </c>
      <c r="K181" s="608"/>
      <c r="L181" s="607"/>
      <c r="M181" s="610">
        <v>0.99655866997400877</v>
      </c>
      <c r="O181" s="607"/>
      <c r="R181" s="605"/>
      <c r="S181" s="605"/>
    </row>
    <row r="182" spans="1:19" ht="14.4" customHeight="1">
      <c r="A182" s="745">
        <f t="shared" si="13"/>
        <v>4</v>
      </c>
      <c r="B182" s="746"/>
      <c r="C182" s="618" t="s">
        <v>290</v>
      </c>
      <c r="G182" s="607">
        <f>'B-3'!S394</f>
        <v>6566.744626923075</v>
      </c>
      <c r="J182" s="607">
        <f>G182*M182</f>
        <v>6544.1462914654285</v>
      </c>
      <c r="M182" s="610">
        <v>0.99655866997400877</v>
      </c>
      <c r="O182" s="607"/>
      <c r="R182" s="607"/>
      <c r="S182" s="607"/>
    </row>
    <row r="183" spans="1:19" ht="14.4" customHeight="1">
      <c r="A183" s="745">
        <f t="shared" si="13"/>
        <v>5</v>
      </c>
      <c r="B183" s="746"/>
      <c r="C183" s="618" t="s">
        <v>291</v>
      </c>
      <c r="G183" s="607">
        <f>'B-3'!S395</f>
        <v>0</v>
      </c>
      <c r="J183" s="607">
        <f>G183*M183</f>
        <v>0</v>
      </c>
      <c r="M183" s="610">
        <v>0.99655866997400877</v>
      </c>
      <c r="O183" s="607"/>
      <c r="R183" s="607"/>
      <c r="S183" s="607"/>
    </row>
    <row r="184" spans="1:19" ht="14.4" customHeight="1">
      <c r="A184" s="745">
        <f t="shared" si="13"/>
        <v>6</v>
      </c>
      <c r="B184" s="746"/>
      <c r="C184" s="618" t="s">
        <v>292</v>
      </c>
      <c r="G184" s="607">
        <f>'B-3'!S396</f>
        <v>4110.4833084615384</v>
      </c>
      <c r="J184" s="607">
        <f>G184*M184</f>
        <v>4096.3377788307944</v>
      </c>
      <c r="M184" s="610">
        <v>0.99655866997400877</v>
      </c>
      <c r="O184" s="607"/>
      <c r="R184" s="607"/>
      <c r="S184" s="607"/>
    </row>
    <row r="185" spans="1:19" ht="14.4" customHeight="1">
      <c r="A185" s="745">
        <f t="shared" si="13"/>
        <v>7</v>
      </c>
      <c r="C185" s="604" t="s">
        <v>293</v>
      </c>
      <c r="F185" s="607"/>
      <c r="G185" s="612">
        <f>SUM(G181:G184)</f>
        <v>798769.72217643668</v>
      </c>
      <c r="H185" s="607"/>
      <c r="I185" s="770"/>
      <c r="J185" s="612">
        <f>SUM(J181:J184)</f>
        <v>796020.89194765815</v>
      </c>
      <c r="K185" s="608"/>
      <c r="L185" s="607"/>
      <c r="M185" s="610">
        <f>J185/G185</f>
        <v>0.99655866997400866</v>
      </c>
      <c r="R185" s="607"/>
      <c r="S185" s="607"/>
    </row>
    <row r="186" spans="1:19" ht="14.4" customHeight="1">
      <c r="A186" s="745">
        <f t="shared" si="13"/>
        <v>8</v>
      </c>
      <c r="R186" s="607"/>
      <c r="S186" s="607"/>
    </row>
    <row r="187" spans="1:19" ht="14.4" customHeight="1">
      <c r="A187" s="745">
        <f t="shared" si="13"/>
        <v>9</v>
      </c>
      <c r="B187" s="746"/>
      <c r="C187" s="604" t="s">
        <v>294</v>
      </c>
      <c r="F187" s="607"/>
      <c r="G187" s="612">
        <f>G141+G185+G163</f>
        <v>1327410.8976431359</v>
      </c>
      <c r="H187" s="607"/>
      <c r="I187" s="607"/>
      <c r="J187" s="612">
        <f>J141+J185+J163</f>
        <v>1322843.4890756235</v>
      </c>
      <c r="K187" s="608"/>
      <c r="L187" s="607"/>
      <c r="M187" s="610">
        <f>J187/G187</f>
        <v>0.99655915995896827</v>
      </c>
      <c r="N187" s="605"/>
      <c r="R187" s="607"/>
      <c r="S187" s="607"/>
    </row>
    <row r="188" spans="1:19" ht="14.4" customHeight="1">
      <c r="A188" s="745">
        <f t="shared" si="13"/>
        <v>10</v>
      </c>
      <c r="B188" s="746"/>
      <c r="N188" s="605"/>
      <c r="R188" s="607"/>
      <c r="S188" s="607"/>
    </row>
    <row r="189" spans="1:19" ht="14.4" customHeight="1">
      <c r="A189" s="745">
        <f t="shared" si="13"/>
        <v>11</v>
      </c>
      <c r="B189" s="746"/>
      <c r="C189" s="605" t="s">
        <v>337</v>
      </c>
      <c r="N189" s="607"/>
      <c r="R189" s="607"/>
      <c r="S189" s="607"/>
    </row>
    <row r="190" spans="1:19" ht="14.4" customHeight="1">
      <c r="A190" s="745">
        <f t="shared" si="13"/>
        <v>12</v>
      </c>
      <c r="B190" s="746"/>
      <c r="C190" s="618" t="s">
        <v>296</v>
      </c>
      <c r="G190" s="607">
        <f>'B-17'!J65</f>
        <v>32180.446293427492</v>
      </c>
      <c r="J190" s="607">
        <f t="shared" ref="J190:J193" si="14">G190*M190</f>
        <v>32069.702757348117</v>
      </c>
      <c r="M190" s="610">
        <v>0.99655866997400866</v>
      </c>
      <c r="N190" s="607"/>
      <c r="R190" s="607"/>
      <c r="S190" s="607"/>
    </row>
    <row r="191" spans="1:19" ht="14.4" customHeight="1">
      <c r="A191" s="745">
        <f t="shared" si="13"/>
        <v>13</v>
      </c>
      <c r="B191" s="746"/>
      <c r="C191" s="618" t="s">
        <v>338</v>
      </c>
      <c r="D191" s="605"/>
      <c r="E191" s="605"/>
      <c r="F191" s="605"/>
      <c r="G191" s="607">
        <f>'B-17'!J66</f>
        <v>17835.4555666667</v>
      </c>
      <c r="H191" s="605"/>
      <c r="I191" s="605"/>
      <c r="J191" s="607">
        <f t="shared" si="14"/>
        <v>17774.077877897897</v>
      </c>
      <c r="K191" s="605"/>
      <c r="L191" s="605"/>
      <c r="M191" s="610">
        <v>0.99655866997400866</v>
      </c>
      <c r="N191" s="607"/>
      <c r="R191" s="607"/>
      <c r="S191" s="607"/>
    </row>
    <row r="192" spans="1:19" ht="14.4" customHeight="1">
      <c r="A192" s="745">
        <f t="shared" si="13"/>
        <v>14</v>
      </c>
      <c r="B192" s="746"/>
      <c r="C192" s="618" t="s">
        <v>297</v>
      </c>
      <c r="G192" s="607">
        <f>'B-17'!J67+'B-17'!J68+'B-17'!J69+'B-17'!J70</f>
        <v>84600.025623157082</v>
      </c>
      <c r="J192" s="607">
        <f t="shared" si="14"/>
        <v>84308.889014780478</v>
      </c>
      <c r="M192" s="610">
        <v>0.99655866997400866</v>
      </c>
      <c r="N192" s="607"/>
      <c r="R192" s="607"/>
      <c r="S192" s="607"/>
    </row>
    <row r="193" spans="1:19" ht="14.4" customHeight="1">
      <c r="A193" s="745">
        <f t="shared" si="13"/>
        <v>15</v>
      </c>
      <c r="B193" s="746"/>
      <c r="C193" s="618" t="s">
        <v>254</v>
      </c>
      <c r="G193" s="607">
        <f>'B-17'!J71</f>
        <v>34647.242676153845</v>
      </c>
      <c r="J193" s="607">
        <f t="shared" si="14"/>
        <v>34528.010079614585</v>
      </c>
      <c r="M193" s="610">
        <v>0.99655866997400866</v>
      </c>
      <c r="N193" s="607"/>
      <c r="R193" s="607"/>
      <c r="S193" s="607"/>
    </row>
    <row r="194" spans="1:19" ht="14.4" customHeight="1">
      <c r="A194" s="745">
        <f t="shared" si="13"/>
        <v>16</v>
      </c>
      <c r="B194" s="746"/>
      <c r="C194" s="604" t="s">
        <v>299</v>
      </c>
      <c r="G194" s="612">
        <f>SUM(G190:G193)</f>
        <v>169263.1701594051</v>
      </c>
      <c r="J194" s="612">
        <f>SUM(J190:J193)</f>
        <v>168680.67972964107</v>
      </c>
      <c r="M194" s="610">
        <f>J194/G194</f>
        <v>0.99655866997400877</v>
      </c>
      <c r="N194" s="607"/>
      <c r="O194" s="607"/>
      <c r="R194" s="607"/>
      <c r="S194" s="607"/>
    </row>
    <row r="195" spans="1:19" ht="14.4" customHeight="1">
      <c r="A195" s="745">
        <f t="shared" si="13"/>
        <v>17</v>
      </c>
      <c r="B195" s="746"/>
      <c r="R195" s="607"/>
      <c r="S195" s="607"/>
    </row>
    <row r="196" spans="1:19" ht="14.4" customHeight="1">
      <c r="A196" s="745">
        <f t="shared" si="13"/>
        <v>18</v>
      </c>
      <c r="B196" s="746"/>
      <c r="C196" s="605" t="s">
        <v>300</v>
      </c>
      <c r="F196" s="605"/>
      <c r="G196" s="605"/>
      <c r="H196" s="605"/>
      <c r="I196" s="605"/>
      <c r="J196" s="605"/>
      <c r="K196" s="605"/>
      <c r="L196" s="605"/>
      <c r="M196" s="605"/>
      <c r="R196" s="607"/>
      <c r="S196" s="607"/>
    </row>
    <row r="197" spans="1:19" ht="14.4" customHeight="1">
      <c r="A197" s="745">
        <f t="shared" si="13"/>
        <v>19</v>
      </c>
      <c r="B197" s="746"/>
      <c r="C197" s="618" t="s">
        <v>301</v>
      </c>
      <c r="F197" s="607"/>
      <c r="G197" s="607">
        <f>'B-3'!S456</f>
        <v>262287.35123794485</v>
      </c>
      <c r="H197" s="607"/>
      <c r="I197" s="607"/>
      <c r="J197" s="607">
        <f t="shared" ref="J197:J207" si="15">G197*M197</f>
        <v>261384.73390069196</v>
      </c>
      <c r="K197" s="607"/>
      <c r="L197" s="607"/>
      <c r="M197" s="610">
        <v>0.99655866997400866</v>
      </c>
      <c r="R197" s="607"/>
      <c r="S197" s="607"/>
    </row>
    <row r="198" spans="1:19" ht="14.4" customHeight="1">
      <c r="A198" s="745">
        <f t="shared" si="13"/>
        <v>20</v>
      </c>
      <c r="B198" s="746"/>
      <c r="C198" s="618" t="s">
        <v>302</v>
      </c>
      <c r="F198" s="607"/>
      <c r="G198" s="607">
        <f>'B-3'!S457</f>
        <v>0</v>
      </c>
      <c r="H198" s="607"/>
      <c r="I198" s="607"/>
      <c r="J198" s="607">
        <f t="shared" si="15"/>
        <v>0</v>
      </c>
      <c r="K198" s="607"/>
      <c r="L198" s="607"/>
      <c r="M198" s="610">
        <v>0.99655866997400866</v>
      </c>
      <c r="R198" s="607"/>
      <c r="S198" s="607"/>
    </row>
    <row r="199" spans="1:19" ht="14.4" customHeight="1">
      <c r="A199" s="745">
        <f t="shared" si="13"/>
        <v>21</v>
      </c>
      <c r="B199" s="746"/>
      <c r="C199" s="618" t="s">
        <v>303</v>
      </c>
      <c r="F199" s="607"/>
      <c r="G199" s="607">
        <f>'B-3'!S458</f>
        <v>11430.237184311907</v>
      </c>
      <c r="H199" s="607"/>
      <c r="I199" s="607"/>
      <c r="J199" s="607">
        <f t="shared" si="15"/>
        <v>11390.901965885332</v>
      </c>
      <c r="K199" s="607"/>
      <c r="L199" s="607"/>
      <c r="M199" s="610">
        <v>0.99655866997400866</v>
      </c>
      <c r="N199" s="607"/>
      <c r="P199" s="607"/>
      <c r="Q199" s="607"/>
      <c r="R199" s="607"/>
      <c r="S199" s="607"/>
    </row>
    <row r="200" spans="1:19" ht="14.4" customHeight="1">
      <c r="A200" s="745">
        <f t="shared" si="13"/>
        <v>22</v>
      </c>
      <c r="B200" s="746"/>
      <c r="C200" s="618" t="s">
        <v>304</v>
      </c>
      <c r="F200" s="607"/>
      <c r="G200" s="607">
        <f>'B-3'!S460</f>
        <v>43425.895166709408</v>
      </c>
      <c r="H200" s="607"/>
      <c r="I200" s="607"/>
      <c r="J200" s="607">
        <f t="shared" si="15"/>
        <v>43276.45232976666</v>
      </c>
      <c r="K200" s="607"/>
      <c r="L200" s="607"/>
      <c r="M200" s="610">
        <v>0.99655866997400866</v>
      </c>
      <c r="N200" s="607"/>
      <c r="P200" s="607"/>
      <c r="Q200" s="607"/>
      <c r="R200" s="607"/>
      <c r="S200" s="607"/>
    </row>
    <row r="201" spans="1:19" ht="14.4" customHeight="1">
      <c r="A201" s="745">
        <f t="shared" si="13"/>
        <v>23</v>
      </c>
      <c r="B201" s="746"/>
      <c r="C201" s="618" t="s">
        <v>305</v>
      </c>
      <c r="F201" s="607"/>
      <c r="G201" s="607">
        <f>'B-3'!S461</f>
        <v>894.78109538461445</v>
      </c>
      <c r="H201" s="607"/>
      <c r="I201" s="607"/>
      <c r="J201" s="607">
        <f t="shared" si="15"/>
        <v>891.7018583343779</v>
      </c>
      <c r="K201" s="607"/>
      <c r="L201" s="607"/>
      <c r="M201" s="610">
        <v>0.99655866997400866</v>
      </c>
      <c r="N201" s="607"/>
      <c r="P201" s="607"/>
      <c r="Q201" s="607"/>
      <c r="R201" s="607"/>
      <c r="S201" s="607"/>
    </row>
    <row r="202" spans="1:19" ht="14.4" customHeight="1">
      <c r="A202" s="745">
        <f t="shared" si="13"/>
        <v>24</v>
      </c>
      <c r="B202" s="746"/>
      <c r="C202" s="618" t="s">
        <v>306</v>
      </c>
      <c r="F202" s="607"/>
      <c r="G202" s="607">
        <f>'B-3'!S462</f>
        <v>46827.295570384485</v>
      </c>
      <c r="H202" s="607"/>
      <c r="I202" s="607"/>
      <c r="J202" s="607">
        <f t="shared" si="15"/>
        <v>46666.147392102153</v>
      </c>
      <c r="K202" s="607"/>
      <c r="L202" s="607"/>
      <c r="M202" s="610">
        <v>0.99655866997400866</v>
      </c>
      <c r="N202" s="607"/>
      <c r="P202" s="607"/>
      <c r="Q202" s="607"/>
      <c r="R202" s="607"/>
      <c r="S202" s="607"/>
    </row>
    <row r="203" spans="1:19" ht="14.4" customHeight="1">
      <c r="A203" s="745">
        <f t="shared" si="13"/>
        <v>25</v>
      </c>
      <c r="B203" s="746"/>
      <c r="C203" s="618" t="s">
        <v>307</v>
      </c>
      <c r="F203" s="607"/>
      <c r="G203" s="607">
        <f>'B-3'!S463</f>
        <v>0</v>
      </c>
      <c r="H203" s="607"/>
      <c r="I203" s="607"/>
      <c r="J203" s="607">
        <f t="shared" si="15"/>
        <v>0</v>
      </c>
      <c r="K203" s="607"/>
      <c r="L203" s="607"/>
      <c r="M203" s="610">
        <v>0.99655866997400866</v>
      </c>
      <c r="N203" s="607"/>
      <c r="P203" s="607"/>
      <c r="Q203" s="607"/>
      <c r="R203" s="607"/>
      <c r="S203" s="607"/>
    </row>
    <row r="204" spans="1:19" ht="14.4" customHeight="1">
      <c r="A204" s="745">
        <f t="shared" si="13"/>
        <v>26</v>
      </c>
      <c r="B204" s="746"/>
      <c r="C204" s="618" t="s">
        <v>308</v>
      </c>
      <c r="F204" s="607"/>
      <c r="G204" s="607">
        <f>'B-3'!S464</f>
        <v>14207.134949230762</v>
      </c>
      <c r="H204" s="607"/>
      <c r="I204" s="607"/>
      <c r="J204" s="607">
        <f t="shared" si="15"/>
        <v>14158.243509146663</v>
      </c>
      <c r="K204" s="607"/>
      <c r="L204" s="607"/>
      <c r="M204" s="610">
        <v>0.99655866997400866</v>
      </c>
      <c r="N204" s="607"/>
      <c r="P204" s="607"/>
      <c r="Q204" s="607"/>
      <c r="R204" s="607"/>
      <c r="S204" s="607"/>
    </row>
    <row r="205" spans="1:19" ht="14.4" customHeight="1">
      <c r="A205" s="745">
        <f t="shared" si="13"/>
        <v>27</v>
      </c>
      <c r="B205" s="746"/>
      <c r="C205" s="618" t="s">
        <v>309</v>
      </c>
      <c r="G205" s="607">
        <f>'B-3'!S465</f>
        <v>41537.637464034953</v>
      </c>
      <c r="H205" s="607"/>
      <c r="I205" s="607"/>
      <c r="J205" s="607">
        <f t="shared" si="15"/>
        <v>41394.692745021224</v>
      </c>
      <c r="K205" s="607"/>
      <c r="L205" s="607"/>
      <c r="M205" s="610">
        <v>0.99655866997400866</v>
      </c>
      <c r="P205" s="607"/>
      <c r="Q205" s="607"/>
      <c r="R205" s="607"/>
      <c r="S205" s="607"/>
    </row>
    <row r="206" spans="1:19" ht="14.4" customHeight="1">
      <c r="A206" s="745">
        <f t="shared" si="13"/>
        <v>28</v>
      </c>
      <c r="B206" s="746"/>
      <c r="C206" s="618" t="s">
        <v>310</v>
      </c>
      <c r="G206" s="607">
        <f>'B-3'!S466</f>
        <v>944.40400110644623</v>
      </c>
      <c r="H206" s="607"/>
      <c r="I206" s="607"/>
      <c r="J206" s="607">
        <f t="shared" si="15"/>
        <v>941.15399526077226</v>
      </c>
      <c r="K206" s="607"/>
      <c r="L206" s="607"/>
      <c r="M206" s="610">
        <v>0.99655866997400866</v>
      </c>
      <c r="P206" s="607"/>
      <c r="Q206" s="607"/>
      <c r="R206" s="607"/>
      <c r="S206" s="607"/>
    </row>
    <row r="207" spans="1:19" ht="14.4" customHeight="1">
      <c r="A207" s="745">
        <f t="shared" si="13"/>
        <v>29</v>
      </c>
      <c r="B207" s="746"/>
      <c r="C207" s="618" t="s">
        <v>286</v>
      </c>
      <c r="G207" s="607">
        <f>'B-3'!S467</f>
        <v>0</v>
      </c>
      <c r="J207" s="607">
        <f t="shared" si="15"/>
        <v>0</v>
      </c>
      <c r="M207" s="610">
        <v>0.99655866997400866</v>
      </c>
      <c r="N207" s="607"/>
      <c r="P207" s="607"/>
      <c r="Q207" s="607"/>
      <c r="R207" s="607"/>
      <c r="S207" s="607"/>
    </row>
    <row r="208" spans="1:19" ht="14.4" customHeight="1">
      <c r="A208" s="745">
        <f t="shared" si="13"/>
        <v>30</v>
      </c>
      <c r="B208" s="746"/>
      <c r="C208" s="745" t="s">
        <v>339</v>
      </c>
      <c r="G208" s="612">
        <f>SUM(G197:G207)</f>
        <v>421554.73666910746</v>
      </c>
      <c r="H208" s="607"/>
      <c r="I208" s="607"/>
      <c r="J208" s="612">
        <f>SUM(J197:J206)</f>
        <v>420104.02769620909</v>
      </c>
      <c r="M208" s="610">
        <f>J208/G208</f>
        <v>0.99655866997400844</v>
      </c>
      <c r="N208" s="607"/>
      <c r="P208" s="607"/>
      <c r="Q208" s="607"/>
      <c r="R208" s="607"/>
      <c r="S208" s="607"/>
    </row>
    <row r="209" spans="1:21" ht="14.4" customHeight="1">
      <c r="A209" s="745">
        <f t="shared" si="13"/>
        <v>31</v>
      </c>
      <c r="B209" s="746"/>
      <c r="N209" s="607"/>
      <c r="O209" s="607"/>
      <c r="P209" s="607"/>
      <c r="Q209" s="607"/>
      <c r="R209" s="607"/>
      <c r="S209" s="607"/>
    </row>
    <row r="210" spans="1:21" ht="14.4" customHeight="1">
      <c r="A210" s="745">
        <f t="shared" si="13"/>
        <v>32</v>
      </c>
      <c r="B210" s="746"/>
      <c r="C210" s="605" t="s">
        <v>312</v>
      </c>
      <c r="F210" s="607"/>
      <c r="G210" s="607"/>
      <c r="H210" s="607"/>
      <c r="I210" s="607"/>
      <c r="J210" s="607"/>
      <c r="K210" s="607"/>
      <c r="L210" s="607"/>
      <c r="M210" s="610"/>
      <c r="N210" s="607"/>
      <c r="O210" s="607"/>
      <c r="P210" s="607"/>
      <c r="Q210" s="607"/>
      <c r="R210" s="607"/>
      <c r="S210" s="607"/>
    </row>
    <row r="211" spans="1:21" ht="14.4" customHeight="1">
      <c r="A211" s="745">
        <f t="shared" si="13"/>
        <v>33</v>
      </c>
      <c r="B211" s="746"/>
      <c r="C211" s="618" t="s">
        <v>313</v>
      </c>
      <c r="F211" s="607"/>
      <c r="G211" s="607">
        <f>'B-3'!S471</f>
        <v>36211.952579107608</v>
      </c>
      <c r="H211" s="607"/>
      <c r="I211" s="607"/>
      <c r="J211" s="607">
        <f>G211*M211</f>
        <v>36087.33529939736</v>
      </c>
      <c r="K211" s="607"/>
      <c r="L211" s="607"/>
      <c r="M211" s="610">
        <f>'Separation Factors'!$B$49</f>
        <v>0.99655866997400888</v>
      </c>
      <c r="N211" s="607"/>
      <c r="P211" s="607"/>
      <c r="Q211" s="607"/>
      <c r="R211" s="607"/>
      <c r="S211" s="607"/>
    </row>
    <row r="212" spans="1:21" ht="14.4" customHeight="1">
      <c r="A212" s="745">
        <f t="shared" si="13"/>
        <v>34</v>
      </c>
      <c r="B212" s="746"/>
      <c r="C212" s="618" t="s">
        <v>314</v>
      </c>
      <c r="F212" s="607"/>
      <c r="G212" s="607">
        <f>'B-3'!S473</f>
        <v>93556.356676485768</v>
      </c>
      <c r="H212" s="607"/>
      <c r="I212" s="607"/>
      <c r="J212" s="607">
        <f>G212*M212</f>
        <v>93234.398377132646</v>
      </c>
      <c r="K212" s="607"/>
      <c r="L212" s="607"/>
      <c r="M212" s="610">
        <f>'Separation Factors'!$B$49</f>
        <v>0.99655866997400888</v>
      </c>
      <c r="N212" s="607"/>
      <c r="O212" s="607"/>
      <c r="P212" s="607"/>
      <c r="Q212" s="607"/>
      <c r="R212" s="607"/>
      <c r="S212" s="607"/>
    </row>
    <row r="213" spans="1:21" ht="14.4" customHeight="1">
      <c r="A213" s="745">
        <f t="shared" si="13"/>
        <v>35</v>
      </c>
      <c r="B213" s="746"/>
      <c r="C213" s="618" t="s">
        <v>315</v>
      </c>
      <c r="F213" s="607"/>
      <c r="G213" s="607">
        <f>'B-17'!O90</f>
        <v>-7.8490156717556907</v>
      </c>
      <c r="H213" s="607"/>
      <c r="I213" s="607"/>
      <c r="J213" s="607">
        <f>G213*M213</f>
        <v>-7.8220046184500029</v>
      </c>
      <c r="K213" s="607"/>
      <c r="L213" s="607"/>
      <c r="M213" s="610">
        <f>'Separation Factors'!$B$49</f>
        <v>0.99655866997400888</v>
      </c>
      <c r="O213" s="614"/>
      <c r="P213" s="607"/>
      <c r="Q213" s="607"/>
      <c r="R213" s="607"/>
      <c r="S213" s="607"/>
    </row>
    <row r="214" spans="1:21" ht="14.4" customHeight="1">
      <c r="A214" s="745">
        <f t="shared" si="13"/>
        <v>36</v>
      </c>
      <c r="B214" s="762"/>
      <c r="C214" s="618" t="s">
        <v>316</v>
      </c>
      <c r="F214" s="607"/>
      <c r="G214" s="771">
        <f>'B-17'!O91</f>
        <v>0</v>
      </c>
      <c r="H214" s="607"/>
      <c r="I214" s="607"/>
      <c r="J214" s="607">
        <f>G214*M214</f>
        <v>0</v>
      </c>
      <c r="K214" s="607"/>
      <c r="L214" s="607"/>
      <c r="M214" s="610">
        <f>'Separation Factors'!$B$49</f>
        <v>0.99655866997400888</v>
      </c>
      <c r="N214" s="605"/>
      <c r="O214" s="607"/>
      <c r="P214" s="607"/>
      <c r="Q214" s="607"/>
      <c r="R214" s="607"/>
      <c r="S214" s="607"/>
    </row>
    <row r="215" spans="1:21" ht="14.4" customHeight="1">
      <c r="A215" s="745">
        <f t="shared" si="13"/>
        <v>37</v>
      </c>
      <c r="B215" s="746"/>
      <c r="C215" s="605" t="s">
        <v>317</v>
      </c>
      <c r="F215" s="607"/>
      <c r="G215" s="612">
        <f>SUM(G211:G214)</f>
        <v>129760.46023992161</v>
      </c>
      <c r="H215" s="607"/>
      <c r="I215" s="607"/>
      <c r="J215" s="612">
        <f>SUM(J211:J214)</f>
        <v>129313.91167191157</v>
      </c>
      <c r="K215" s="607"/>
      <c r="L215" s="607"/>
      <c r="M215" s="610">
        <f>J215/G215</f>
        <v>0.9965586699740091</v>
      </c>
      <c r="N215" s="607"/>
      <c r="O215" s="607"/>
      <c r="P215" s="607"/>
      <c r="Q215" s="607"/>
      <c r="R215" s="607"/>
      <c r="S215" s="607"/>
    </row>
    <row r="216" spans="1:21" ht="14.4" customHeight="1">
      <c r="A216" s="745">
        <f t="shared" si="13"/>
        <v>38</v>
      </c>
      <c r="B216" s="746"/>
      <c r="P216" s="607"/>
      <c r="Q216" s="607"/>
      <c r="R216" s="607"/>
      <c r="S216" s="607"/>
    </row>
    <row r="217" spans="1:21" ht="14.4" customHeight="1">
      <c r="A217" s="745">
        <v>39</v>
      </c>
      <c r="B217" s="746"/>
      <c r="P217" s="607"/>
      <c r="Q217" s="607"/>
      <c r="R217" s="607"/>
      <c r="S217" s="607"/>
    </row>
    <row r="218" spans="1:21" ht="14.4" customHeight="1" thickBot="1">
      <c r="A218" s="750">
        <v>40</v>
      </c>
      <c r="B218" s="750" t="str">
        <f>B164</f>
        <v>Totals may be affected due to rounding.</v>
      </c>
      <c r="C218" s="750"/>
      <c r="D218" s="750"/>
      <c r="E218" s="750"/>
      <c r="F218" s="750"/>
      <c r="G218" s="750"/>
      <c r="H218" s="750"/>
      <c r="I218" s="750"/>
      <c r="J218" s="750"/>
      <c r="K218" s="769"/>
      <c r="L218" s="750"/>
      <c r="M218" s="615"/>
      <c r="N218" s="750"/>
      <c r="O218" s="750"/>
      <c r="P218" s="750"/>
      <c r="Q218" s="750"/>
      <c r="R218" s="750"/>
      <c r="S218" s="750"/>
    </row>
    <row r="219" spans="1:21" ht="14.4" customHeight="1">
      <c r="A219" s="745" t="str">
        <f>$A$56</f>
        <v>Supporting Schedules: B-3, B-5, B-7, B-9, B-15, B-16, B-17</v>
      </c>
      <c r="J219" s="757"/>
      <c r="Q219" s="745" t="s">
        <v>181</v>
      </c>
    </row>
    <row r="220" spans="1:21" ht="14.4" customHeight="1" thickBot="1">
      <c r="A220" s="749" t="s">
        <v>206</v>
      </c>
      <c r="B220" s="750"/>
      <c r="C220" s="750"/>
      <c r="D220" s="750"/>
      <c r="E220" s="750"/>
      <c r="F220" s="750"/>
      <c r="G220" s="750"/>
      <c r="H220" s="750" t="s">
        <v>207</v>
      </c>
      <c r="I220" s="750"/>
      <c r="J220" s="750"/>
      <c r="K220" s="750"/>
      <c r="L220" s="750"/>
      <c r="M220" s="750"/>
      <c r="N220" s="750"/>
      <c r="O220" s="750"/>
      <c r="P220" s="750"/>
      <c r="Q220" s="750"/>
      <c r="R220" s="750"/>
      <c r="S220" s="751" t="s">
        <v>687</v>
      </c>
      <c r="T220" s="745" t="s">
        <v>249</v>
      </c>
      <c r="U220" s="745" t="s">
        <v>249</v>
      </c>
    </row>
    <row r="221" spans="1:21" ht="14.4" customHeight="1">
      <c r="A221" s="745" t="s">
        <v>4</v>
      </c>
      <c r="E221" s="745" t="s">
        <v>208</v>
      </c>
      <c r="G221" s="745" t="s">
        <v>209</v>
      </c>
      <c r="K221" s="752"/>
      <c r="L221" s="752"/>
      <c r="N221" s="752"/>
      <c r="O221" s="752"/>
      <c r="P221" s="752" t="s">
        <v>7</v>
      </c>
      <c r="S221" s="753"/>
    </row>
    <row r="222" spans="1:21" ht="14.4" customHeight="1">
      <c r="G222" s="745" t="s">
        <v>210</v>
      </c>
      <c r="K222" s="754"/>
      <c r="L222" s="753"/>
      <c r="O222" s="754"/>
      <c r="P222" s="754" t="str">
        <f>$P$3</f>
        <v>XX</v>
      </c>
      <c r="Q222" s="753" t="str">
        <f>$Q$3</f>
        <v>Projected Test Year Ended 12/31/2025</v>
      </c>
      <c r="S222" s="754"/>
    </row>
    <row r="223" spans="1:21" ht="14.4" customHeight="1">
      <c r="A223" s="745" t="s">
        <v>10</v>
      </c>
      <c r="G223" s="745" t="s">
        <v>211</v>
      </c>
      <c r="K223" s="754"/>
      <c r="L223" s="753"/>
      <c r="M223" s="754"/>
      <c r="P223" s="754"/>
      <c r="Q223" s="753" t="str">
        <f>$Q$4</f>
        <v>Projected Prior Year Ended 12/31/2024</v>
      </c>
      <c r="S223" s="754"/>
    </row>
    <row r="224" spans="1:21" ht="14.4" customHeight="1">
      <c r="G224" s="745" t="s">
        <v>211</v>
      </c>
      <c r="K224" s="754"/>
      <c r="L224" s="753"/>
      <c r="M224" s="754"/>
      <c r="P224" s="754"/>
      <c r="Q224" s="753" t="str">
        <f>$Q$5</f>
        <v>Historical Prior Year Ended 12/31/2023</v>
      </c>
      <c r="S224" s="754"/>
    </row>
    <row r="225" spans="1:19" ht="14.4" customHeight="1">
      <c r="K225" s="754"/>
      <c r="L225" s="753"/>
      <c r="M225" s="754"/>
      <c r="P225" s="754"/>
      <c r="Q225" s="753" t="str">
        <f>+$Q$279</f>
        <v>Witness: C. Aldazabal / J. Chronister /</v>
      </c>
      <c r="S225" s="754"/>
    </row>
    <row r="226" spans="1:19" ht="14.4" customHeight="1">
      <c r="K226" s="754"/>
      <c r="L226" s="753"/>
      <c r="M226" s="754"/>
      <c r="P226" s="754"/>
      <c r="Q226" s="753" t="str">
        <f>+$Q$280</f>
        <v xml:space="preserve">                 R. Latta / C. Whitworth /</v>
      </c>
      <c r="S226" s="754"/>
    </row>
    <row r="227" spans="1:19" ht="14.4" customHeight="1" thickBot="1">
      <c r="A227" s="270" t="str">
        <f>A173</f>
        <v>DOCKET No. 20240026-EI</v>
      </c>
      <c r="B227" s="750"/>
      <c r="C227" s="750"/>
      <c r="D227" s="750"/>
      <c r="E227" s="750"/>
      <c r="F227" s="750"/>
      <c r="G227" s="750"/>
      <c r="H227" s="750"/>
      <c r="I227" s="750"/>
      <c r="J227" s="750" t="s">
        <v>15</v>
      </c>
      <c r="K227" s="751"/>
      <c r="L227" s="755"/>
      <c r="M227" s="751"/>
      <c r="N227" s="750"/>
      <c r="O227" s="750"/>
      <c r="P227" s="751"/>
      <c r="Q227" s="755" t="str">
        <f>+$Q$281</f>
        <v xml:space="preserve">                 J. Williams</v>
      </c>
      <c r="R227" s="750"/>
      <c r="S227" s="751"/>
    </row>
    <row r="228" spans="1:19" ht="14.4" customHeight="1">
      <c r="C228" s="756"/>
      <c r="D228" s="756"/>
      <c r="E228" s="756"/>
      <c r="F228" s="756"/>
      <c r="G228" s="756"/>
      <c r="H228" s="756"/>
      <c r="I228" s="756"/>
      <c r="J228" s="756"/>
      <c r="K228" s="756"/>
      <c r="L228" s="756"/>
      <c r="M228" s="756"/>
      <c r="N228" s="756"/>
      <c r="O228" s="756"/>
      <c r="P228" s="756"/>
      <c r="Q228" s="756"/>
      <c r="R228" s="756"/>
      <c r="S228" s="756"/>
    </row>
    <row r="229" spans="1:19" ht="14.4" customHeight="1">
      <c r="C229" s="756"/>
      <c r="D229" s="756"/>
      <c r="E229" s="756"/>
      <c r="F229" s="756"/>
      <c r="G229" s="756"/>
      <c r="H229" s="756"/>
      <c r="I229" s="756"/>
      <c r="J229" s="756"/>
      <c r="K229" s="776"/>
      <c r="L229" s="776"/>
      <c r="M229" s="756"/>
      <c r="N229" s="756"/>
      <c r="O229" s="756"/>
      <c r="P229" s="756"/>
      <c r="Q229" s="756"/>
      <c r="R229" s="756"/>
      <c r="S229" s="756"/>
    </row>
    <row r="230" spans="1:19" ht="14.4" customHeight="1">
      <c r="G230" s="756" t="s">
        <v>17</v>
      </c>
      <c r="H230" s="757"/>
      <c r="I230" s="756"/>
      <c r="J230" s="756" t="s">
        <v>18</v>
      </c>
      <c r="K230" s="756"/>
      <c r="L230" s="757"/>
      <c r="M230" s="756" t="s">
        <v>19</v>
      </c>
      <c r="N230" s="757"/>
      <c r="S230" s="757"/>
    </row>
    <row r="231" spans="1:19" ht="14.4" customHeight="1">
      <c r="A231" s="745" t="s">
        <v>35</v>
      </c>
      <c r="B231" s="757"/>
      <c r="C231" s="757"/>
      <c r="D231" s="757"/>
      <c r="E231" s="757"/>
      <c r="F231" s="756"/>
      <c r="G231" s="757" t="s">
        <v>45</v>
      </c>
      <c r="H231" s="757"/>
      <c r="I231" s="757"/>
      <c r="J231" s="757" t="s">
        <v>212</v>
      </c>
      <c r="K231" s="757"/>
      <c r="L231" s="756"/>
      <c r="M231" s="757" t="s">
        <v>98</v>
      </c>
      <c r="N231" s="753"/>
      <c r="O231" s="753"/>
      <c r="P231" s="756"/>
      <c r="Q231" s="756"/>
      <c r="R231" s="756"/>
      <c r="S231" s="757"/>
    </row>
    <row r="232" spans="1:19" ht="14.4" customHeight="1" thickBot="1">
      <c r="A232" s="750" t="s">
        <v>46</v>
      </c>
      <c r="B232" s="758"/>
      <c r="C232" s="758" t="s">
        <v>213</v>
      </c>
      <c r="D232" s="758"/>
      <c r="E232" s="758"/>
      <c r="F232" s="758"/>
      <c r="G232" s="759" t="s">
        <v>214</v>
      </c>
      <c r="H232" s="759"/>
      <c r="I232" s="759"/>
      <c r="J232" s="759" t="s">
        <v>98</v>
      </c>
      <c r="K232" s="759"/>
      <c r="L232" s="760"/>
      <c r="M232" s="759" t="s">
        <v>110</v>
      </c>
      <c r="N232" s="761"/>
      <c r="O232" s="761"/>
      <c r="P232" s="761"/>
      <c r="Q232" s="761"/>
      <c r="R232" s="761"/>
      <c r="S232" s="761"/>
    </row>
    <row r="233" spans="1:19" ht="14.4" customHeight="1">
      <c r="A233" s="745">
        <v>1</v>
      </c>
      <c r="B233" s="746"/>
      <c r="G233" s="607"/>
      <c r="N233" s="606"/>
      <c r="O233" s="605"/>
      <c r="P233" s="605"/>
      <c r="Q233" s="605"/>
      <c r="R233" s="605"/>
      <c r="S233" s="605"/>
    </row>
    <row r="234" spans="1:19" ht="14.4" customHeight="1">
      <c r="A234" s="745">
        <v>2</v>
      </c>
      <c r="C234" s="764" t="s">
        <v>318</v>
      </c>
      <c r="G234" s="612">
        <f>G194+G215+G208</f>
        <v>720578.36706843413</v>
      </c>
      <c r="H234" s="607"/>
      <c r="I234" s="607"/>
      <c r="J234" s="612">
        <f>J194+J215+J208</f>
        <v>718098.61909776181</v>
      </c>
      <c r="K234" s="607"/>
      <c r="L234" s="607"/>
      <c r="M234" s="610">
        <f>J234/G234</f>
        <v>0.99655866997400877</v>
      </c>
      <c r="N234" s="606"/>
      <c r="O234" s="605"/>
      <c r="P234" s="605"/>
      <c r="R234" s="605"/>
      <c r="S234" s="605"/>
    </row>
    <row r="235" spans="1:19" ht="14.4" customHeight="1">
      <c r="A235" s="745">
        <v>3</v>
      </c>
      <c r="B235" s="746"/>
      <c r="N235" s="607"/>
      <c r="O235" s="605"/>
      <c r="P235" s="605"/>
      <c r="R235" s="605"/>
      <c r="S235" s="605"/>
    </row>
    <row r="236" spans="1:19" ht="14.4" customHeight="1">
      <c r="A236" s="745">
        <v>4</v>
      </c>
      <c r="B236" s="605"/>
      <c r="C236" s="764" t="s">
        <v>319</v>
      </c>
      <c r="G236" s="612">
        <f>ROUND(G187-G234,0)</f>
        <v>606833</v>
      </c>
      <c r="H236" s="607"/>
      <c r="I236" s="607"/>
      <c r="J236" s="612">
        <f>ROUND(J187-J234,0)</f>
        <v>604745</v>
      </c>
      <c r="K236" s="607"/>
      <c r="L236" s="607"/>
      <c r="M236" s="610">
        <f>J236/G236</f>
        <v>0.99655918514649</v>
      </c>
      <c r="N236" s="605"/>
      <c r="O236" s="605"/>
      <c r="P236" s="605"/>
      <c r="R236" s="605"/>
      <c r="S236" s="605"/>
    </row>
    <row r="237" spans="1:19" ht="14.4" customHeight="1">
      <c r="A237" s="745">
        <v>5</v>
      </c>
      <c r="M237" s="611"/>
      <c r="O237" s="607"/>
      <c r="P237" s="607"/>
      <c r="R237" s="607"/>
      <c r="S237" s="607"/>
    </row>
    <row r="238" spans="1:19" ht="14.4" customHeight="1">
      <c r="A238" s="745">
        <v>6</v>
      </c>
      <c r="B238" s="762"/>
      <c r="N238" s="605"/>
      <c r="O238" s="607"/>
      <c r="P238" s="607"/>
      <c r="R238" s="607"/>
      <c r="S238" s="607"/>
    </row>
    <row r="239" spans="1:19" ht="14.4" customHeight="1" thickBot="1">
      <c r="A239" s="745">
        <v>7</v>
      </c>
      <c r="B239" s="746"/>
      <c r="C239" s="764" t="s">
        <v>320</v>
      </c>
      <c r="F239" s="607"/>
      <c r="G239" s="619">
        <f>G236+G135+G125+G133</f>
        <v>12028516.378313076</v>
      </c>
      <c r="H239" s="607"/>
      <c r="I239" s="607"/>
      <c r="J239" s="619">
        <f>J236+J135+J125+J133</f>
        <v>11958510.133119652</v>
      </c>
      <c r="K239" s="607"/>
      <c r="L239" s="607"/>
      <c r="M239" s="610">
        <f>J239/G239</f>
        <v>0.9941799767326549</v>
      </c>
      <c r="N239" s="607"/>
      <c r="O239" s="607"/>
      <c r="P239" s="607"/>
      <c r="R239" s="607"/>
      <c r="S239" s="607"/>
    </row>
    <row r="240" spans="1:19" ht="14.4" customHeight="1" thickTop="1">
      <c r="A240" s="745">
        <v>8</v>
      </c>
      <c r="C240" s="606"/>
      <c r="L240" s="607"/>
      <c r="M240" s="610"/>
      <c r="O240" s="607"/>
      <c r="P240" s="607"/>
      <c r="R240" s="607"/>
      <c r="S240" s="607"/>
    </row>
    <row r="241" spans="1:19" ht="14.4" customHeight="1">
      <c r="A241" s="745">
        <v>9</v>
      </c>
      <c r="B241" s="746"/>
      <c r="N241" s="607"/>
      <c r="O241" s="607"/>
      <c r="P241" s="607"/>
      <c r="Q241" s="607"/>
      <c r="R241" s="607"/>
      <c r="S241" s="607"/>
    </row>
    <row r="242" spans="1:19" ht="14.4" customHeight="1">
      <c r="A242" s="745">
        <v>10</v>
      </c>
      <c r="B242" s="746"/>
      <c r="N242" s="607"/>
      <c r="O242" s="607"/>
      <c r="P242" s="607"/>
      <c r="Q242" s="607"/>
      <c r="R242" s="607"/>
      <c r="S242" s="607"/>
    </row>
    <row r="243" spans="1:19" ht="14.4" customHeight="1">
      <c r="A243" s="745">
        <v>11</v>
      </c>
      <c r="B243" s="746"/>
      <c r="N243" s="607"/>
      <c r="O243" s="607"/>
      <c r="P243" s="607"/>
      <c r="Q243" s="607"/>
      <c r="R243" s="607"/>
      <c r="S243" s="607"/>
    </row>
    <row r="244" spans="1:19" ht="14.4" customHeight="1">
      <c r="A244" s="745">
        <v>12</v>
      </c>
      <c r="B244" s="746"/>
      <c r="N244" s="607"/>
      <c r="O244" s="607"/>
      <c r="P244" s="607"/>
      <c r="Q244" s="607"/>
      <c r="R244" s="607"/>
      <c r="S244" s="607"/>
    </row>
    <row r="245" spans="1:19" ht="14.4" customHeight="1">
      <c r="A245" s="745">
        <v>13</v>
      </c>
      <c r="B245" s="746"/>
      <c r="N245" s="607"/>
      <c r="O245" s="607"/>
      <c r="P245" s="607"/>
      <c r="Q245" s="607"/>
      <c r="R245" s="607"/>
      <c r="S245" s="607"/>
    </row>
    <row r="246" spans="1:19" ht="14.4" customHeight="1">
      <c r="A246" s="745">
        <v>14</v>
      </c>
      <c r="B246" s="746"/>
      <c r="N246" s="607"/>
      <c r="O246" s="607"/>
      <c r="P246" s="607"/>
      <c r="Q246" s="607"/>
      <c r="R246" s="607"/>
      <c r="S246" s="607"/>
    </row>
    <row r="247" spans="1:19" ht="14.4" customHeight="1">
      <c r="A247" s="745">
        <v>15</v>
      </c>
      <c r="B247" s="746"/>
      <c r="N247" s="607"/>
      <c r="O247" s="607"/>
      <c r="P247" s="607"/>
      <c r="Q247" s="607"/>
      <c r="R247" s="607"/>
      <c r="S247" s="607"/>
    </row>
    <row r="248" spans="1:19" ht="14.4" customHeight="1">
      <c r="A248" s="745">
        <v>16</v>
      </c>
      <c r="B248" s="746"/>
      <c r="N248" s="607"/>
      <c r="O248" s="607"/>
      <c r="P248" s="607"/>
      <c r="Q248" s="607"/>
      <c r="R248" s="607"/>
      <c r="S248" s="607"/>
    </row>
    <row r="249" spans="1:19" ht="14.4" customHeight="1">
      <c r="A249" s="745">
        <v>17</v>
      </c>
      <c r="B249" s="746"/>
      <c r="N249" s="607"/>
      <c r="O249" s="607"/>
      <c r="P249" s="607"/>
      <c r="Q249" s="607"/>
      <c r="R249" s="607"/>
      <c r="S249" s="607"/>
    </row>
    <row r="250" spans="1:19" ht="14.4" customHeight="1">
      <c r="A250" s="745">
        <v>18</v>
      </c>
      <c r="B250" s="746"/>
      <c r="N250" s="607"/>
      <c r="O250" s="607"/>
      <c r="P250" s="607"/>
      <c r="Q250" s="607"/>
      <c r="R250" s="607"/>
      <c r="S250" s="607"/>
    </row>
    <row r="251" spans="1:19" ht="14.4" customHeight="1">
      <c r="A251" s="745">
        <v>19</v>
      </c>
      <c r="B251" s="746"/>
      <c r="N251" s="607"/>
      <c r="O251" s="607"/>
      <c r="P251" s="607"/>
      <c r="Q251" s="607"/>
      <c r="R251" s="607"/>
      <c r="S251" s="607"/>
    </row>
    <row r="252" spans="1:19" ht="14.4" customHeight="1">
      <c r="A252" s="745">
        <v>20</v>
      </c>
      <c r="B252" s="746"/>
      <c r="N252" s="607"/>
      <c r="O252" s="607"/>
      <c r="P252" s="607"/>
      <c r="Q252" s="607"/>
      <c r="R252" s="607"/>
      <c r="S252" s="607"/>
    </row>
    <row r="253" spans="1:19" ht="14.4" customHeight="1">
      <c r="A253" s="745">
        <v>21</v>
      </c>
      <c r="B253" s="746"/>
      <c r="N253" s="607"/>
      <c r="O253" s="607"/>
      <c r="P253" s="607"/>
      <c r="Q253" s="607"/>
      <c r="R253" s="607"/>
      <c r="S253" s="607"/>
    </row>
    <row r="254" spans="1:19" ht="14.4" customHeight="1">
      <c r="A254" s="745">
        <v>22</v>
      </c>
      <c r="O254" s="607"/>
      <c r="P254" s="607"/>
      <c r="Q254" s="607"/>
      <c r="R254" s="607"/>
      <c r="S254" s="607"/>
    </row>
    <row r="255" spans="1:19" ht="14.4" customHeight="1">
      <c r="A255" s="745">
        <v>23</v>
      </c>
      <c r="B255" s="746"/>
      <c r="C255" s="764"/>
      <c r="F255" s="607"/>
      <c r="L255" s="607"/>
      <c r="M255" s="614"/>
      <c r="O255" s="607"/>
      <c r="P255" s="607"/>
      <c r="Q255" s="607"/>
      <c r="R255" s="607"/>
      <c r="S255" s="607"/>
    </row>
    <row r="256" spans="1:19" ht="14.4" customHeight="1">
      <c r="A256" s="745">
        <v>24</v>
      </c>
      <c r="B256" s="746"/>
      <c r="N256" s="607"/>
      <c r="O256" s="607"/>
      <c r="P256" s="607"/>
      <c r="Q256" s="607"/>
      <c r="R256" s="607"/>
      <c r="S256" s="607"/>
    </row>
    <row r="257" spans="1:19" ht="14.4" customHeight="1">
      <c r="A257" s="745">
        <v>25</v>
      </c>
      <c r="B257" s="746"/>
      <c r="N257" s="607"/>
      <c r="O257" s="607"/>
      <c r="P257" s="607"/>
      <c r="Q257" s="607"/>
      <c r="R257" s="607"/>
      <c r="S257" s="607"/>
    </row>
    <row r="258" spans="1:19" ht="14.4" customHeight="1">
      <c r="A258" s="745">
        <v>26</v>
      </c>
      <c r="B258" s="746"/>
      <c r="O258" s="607"/>
      <c r="P258" s="607"/>
      <c r="Q258" s="607"/>
      <c r="R258" s="607"/>
      <c r="S258" s="607"/>
    </row>
    <row r="259" spans="1:19" ht="14.4" customHeight="1">
      <c r="A259" s="745">
        <v>27</v>
      </c>
      <c r="B259" s="746"/>
      <c r="N259" s="607"/>
      <c r="O259" s="607"/>
      <c r="P259" s="607"/>
      <c r="Q259" s="607"/>
      <c r="R259" s="607"/>
      <c r="S259" s="607"/>
    </row>
    <row r="260" spans="1:19" ht="14.4" customHeight="1">
      <c r="A260" s="745">
        <v>28</v>
      </c>
      <c r="B260" s="746"/>
      <c r="N260" s="607"/>
      <c r="O260" s="607"/>
      <c r="P260" s="607"/>
      <c r="Q260" s="607"/>
      <c r="R260" s="607"/>
      <c r="S260" s="607"/>
    </row>
    <row r="261" spans="1:19" ht="14.4" customHeight="1">
      <c r="A261" s="745">
        <v>29</v>
      </c>
      <c r="B261" s="746"/>
      <c r="N261" s="607"/>
      <c r="O261" s="607"/>
      <c r="P261" s="607"/>
      <c r="Q261" s="607"/>
      <c r="R261" s="607"/>
      <c r="S261" s="607"/>
    </row>
    <row r="262" spans="1:19" ht="14.4" customHeight="1">
      <c r="A262" s="745">
        <v>30</v>
      </c>
      <c r="B262" s="746"/>
      <c r="N262" s="607"/>
      <c r="O262" s="607"/>
      <c r="P262" s="607"/>
      <c r="Q262" s="607"/>
      <c r="R262" s="607"/>
      <c r="S262" s="607"/>
    </row>
    <row r="263" spans="1:19" ht="14.4" customHeight="1">
      <c r="A263" s="745">
        <v>31</v>
      </c>
      <c r="N263" s="607"/>
      <c r="O263" s="607"/>
      <c r="P263" s="607"/>
      <c r="Q263" s="607"/>
      <c r="R263" s="607"/>
      <c r="S263" s="607"/>
    </row>
    <row r="264" spans="1:19" ht="14.4" customHeight="1">
      <c r="A264" s="745">
        <v>32</v>
      </c>
      <c r="B264" s="746"/>
      <c r="H264" s="607"/>
      <c r="I264" s="607"/>
      <c r="J264" s="609"/>
      <c r="K264" s="607"/>
      <c r="L264" s="607"/>
      <c r="M264" s="614"/>
      <c r="N264" s="607"/>
      <c r="O264" s="607"/>
      <c r="P264" s="607"/>
      <c r="Q264" s="607"/>
      <c r="R264" s="607"/>
      <c r="S264" s="607"/>
    </row>
    <row r="265" spans="1:19" ht="14.4" customHeight="1">
      <c r="A265" s="745">
        <v>33</v>
      </c>
      <c r="B265" s="746"/>
      <c r="O265" s="607"/>
      <c r="P265" s="607"/>
      <c r="Q265" s="607"/>
      <c r="R265" s="607"/>
      <c r="S265" s="607"/>
    </row>
    <row r="266" spans="1:19" ht="14.4" customHeight="1">
      <c r="A266" s="745">
        <v>34</v>
      </c>
      <c r="B266" s="746"/>
      <c r="N266" s="607"/>
      <c r="O266" s="607"/>
      <c r="P266" s="607"/>
      <c r="Q266" s="607"/>
      <c r="R266" s="607"/>
      <c r="S266" s="607"/>
    </row>
    <row r="267" spans="1:19" ht="14.4" customHeight="1">
      <c r="A267" s="745">
        <v>35</v>
      </c>
      <c r="B267" s="765"/>
      <c r="N267" s="607"/>
      <c r="O267" s="607"/>
      <c r="P267" s="607"/>
      <c r="Q267" s="607"/>
      <c r="R267" s="607"/>
      <c r="S267" s="607"/>
    </row>
    <row r="268" spans="1:19" ht="14.4" customHeight="1">
      <c r="A268" s="745">
        <v>36</v>
      </c>
      <c r="B268" s="746"/>
      <c r="N268" s="607"/>
      <c r="O268" s="607"/>
      <c r="P268" s="607"/>
      <c r="Q268" s="607"/>
      <c r="R268" s="607"/>
      <c r="S268" s="607"/>
    </row>
    <row r="269" spans="1:19" ht="14.4" customHeight="1">
      <c r="A269" s="745">
        <v>37</v>
      </c>
      <c r="N269" s="607"/>
      <c r="O269" s="607"/>
      <c r="P269" s="607"/>
      <c r="Q269" s="607"/>
      <c r="R269" s="607"/>
      <c r="S269" s="607"/>
    </row>
    <row r="270" spans="1:19" ht="14.4" customHeight="1">
      <c r="A270" s="745">
        <v>38</v>
      </c>
      <c r="N270" s="607"/>
      <c r="O270" s="607"/>
      <c r="P270" s="607"/>
      <c r="Q270" s="607"/>
      <c r="R270" s="607"/>
      <c r="S270" s="607"/>
    </row>
    <row r="271" spans="1:19" ht="14.4" customHeight="1">
      <c r="A271" s="745">
        <v>39</v>
      </c>
      <c r="N271" s="607"/>
      <c r="O271" s="607"/>
      <c r="P271" s="607"/>
      <c r="Q271" s="607"/>
      <c r="R271" s="607"/>
      <c r="S271" s="607"/>
    </row>
    <row r="272" spans="1:19" ht="14.4" customHeight="1" thickBot="1">
      <c r="A272" s="750">
        <v>40</v>
      </c>
      <c r="B272" s="750" t="s">
        <v>67</v>
      </c>
      <c r="C272" s="750"/>
      <c r="D272" s="750"/>
      <c r="E272" s="750"/>
      <c r="F272" s="750"/>
      <c r="G272" s="750"/>
      <c r="H272" s="750"/>
      <c r="I272" s="750"/>
      <c r="J272" s="750"/>
      <c r="K272" s="750"/>
      <c r="L272" s="750"/>
      <c r="M272" s="750"/>
      <c r="N272" s="750"/>
      <c r="O272" s="750"/>
      <c r="P272" s="750"/>
      <c r="Q272" s="750"/>
      <c r="R272" s="750"/>
      <c r="S272" s="750"/>
    </row>
    <row r="273" spans="1:21" ht="14.4" customHeight="1">
      <c r="A273" s="745" t="str">
        <f>$A$56</f>
        <v>Supporting Schedules: B-3, B-5, B-7, B-9, B-15, B-16, B-17</v>
      </c>
      <c r="Q273" s="745" t="s">
        <v>181</v>
      </c>
      <c r="T273" s="745" t="s">
        <v>249</v>
      </c>
      <c r="U273" s="745" t="s">
        <v>249</v>
      </c>
    </row>
    <row r="274" spans="1:21" ht="14.4" customHeight="1" thickBot="1">
      <c r="A274" s="749" t="s">
        <v>206</v>
      </c>
      <c r="B274" s="750"/>
      <c r="C274" s="750"/>
      <c r="D274" s="750"/>
      <c r="E274" s="750"/>
      <c r="F274" s="750"/>
      <c r="G274" s="750"/>
      <c r="H274" s="750" t="s">
        <v>207</v>
      </c>
      <c r="I274" s="750"/>
      <c r="J274" s="750"/>
      <c r="K274" s="750"/>
      <c r="L274" s="750"/>
      <c r="M274" s="750"/>
      <c r="N274" s="750"/>
      <c r="O274" s="750"/>
      <c r="P274" s="750"/>
      <c r="Q274" s="750"/>
      <c r="R274" s="750"/>
      <c r="S274" s="751" t="s">
        <v>700</v>
      </c>
    </row>
    <row r="275" spans="1:21" ht="14.4" customHeight="1">
      <c r="A275" s="745" t="s">
        <v>4</v>
      </c>
      <c r="E275" s="745" t="s">
        <v>208</v>
      </c>
      <c r="G275" s="745" t="s">
        <v>209</v>
      </c>
      <c r="K275" s="752"/>
      <c r="L275" s="752"/>
      <c r="N275" s="752"/>
      <c r="O275" s="752"/>
      <c r="P275" s="752" t="s">
        <v>7</v>
      </c>
      <c r="S275" s="753"/>
    </row>
    <row r="276" spans="1:21" ht="14.4" customHeight="1">
      <c r="G276" s="745" t="s">
        <v>210</v>
      </c>
      <c r="K276" s="754"/>
      <c r="L276" s="753"/>
      <c r="O276" s="754"/>
      <c r="P276" s="754"/>
      <c r="Q276" s="753" t="s">
        <v>9</v>
      </c>
      <c r="S276" s="754"/>
    </row>
    <row r="277" spans="1:21" ht="14.4" customHeight="1">
      <c r="A277" s="745" t="s">
        <v>10</v>
      </c>
      <c r="G277" s="745" t="s">
        <v>211</v>
      </c>
      <c r="K277" s="754"/>
      <c r="L277" s="753"/>
      <c r="M277" s="754"/>
      <c r="P277" s="754"/>
      <c r="Q277" s="753" t="s">
        <v>11</v>
      </c>
      <c r="S277" s="754"/>
    </row>
    <row r="278" spans="1:21" ht="14.4" customHeight="1">
      <c r="G278" s="745" t="s">
        <v>211</v>
      </c>
      <c r="K278" s="754"/>
      <c r="L278" s="753"/>
      <c r="M278" s="754"/>
      <c r="P278" s="754" t="s">
        <v>12</v>
      </c>
      <c r="Q278" s="753" t="s">
        <v>13</v>
      </c>
      <c r="S278" s="754"/>
    </row>
    <row r="279" spans="1:21" ht="14.4" customHeight="1">
      <c r="K279" s="754"/>
      <c r="L279" s="753"/>
      <c r="M279" s="754"/>
      <c r="P279" s="754"/>
      <c r="Q279" s="799" t="s">
        <v>2315</v>
      </c>
      <c r="S279" s="754"/>
    </row>
    <row r="280" spans="1:21" ht="14.4" customHeight="1">
      <c r="K280" s="754"/>
      <c r="L280" s="753"/>
      <c r="M280" s="754"/>
      <c r="P280" s="754"/>
      <c r="Q280" s="799" t="s">
        <v>2316</v>
      </c>
      <c r="S280" s="754"/>
    </row>
    <row r="281" spans="1:21" ht="14.4" customHeight="1" thickBot="1">
      <c r="A281" s="271" t="s">
        <v>2314</v>
      </c>
      <c r="B281" s="750"/>
      <c r="C281" s="750"/>
      <c r="D281" s="750"/>
      <c r="E281" s="750"/>
      <c r="F281" s="750"/>
      <c r="G281" s="750"/>
      <c r="H281" s="750"/>
      <c r="I281" s="750"/>
      <c r="J281" s="750" t="s">
        <v>15</v>
      </c>
      <c r="K281" s="751"/>
      <c r="L281" s="755"/>
      <c r="M281" s="751"/>
      <c r="N281" s="750"/>
      <c r="O281" s="750"/>
      <c r="P281" s="751"/>
      <c r="Q281" s="755" t="s">
        <v>2317</v>
      </c>
      <c r="R281" s="750"/>
      <c r="S281" s="751"/>
    </row>
    <row r="282" spans="1:21" ht="14.4" customHeight="1">
      <c r="C282" s="756"/>
      <c r="D282" s="756"/>
      <c r="E282" s="756"/>
      <c r="F282" s="756"/>
      <c r="G282" s="756"/>
      <c r="H282" s="756"/>
      <c r="I282" s="756"/>
      <c r="J282" s="756"/>
      <c r="K282" s="756"/>
      <c r="L282" s="756"/>
      <c r="M282" s="756"/>
      <c r="N282" s="756"/>
      <c r="O282" s="756"/>
      <c r="P282" s="756"/>
      <c r="Q282" s="756"/>
      <c r="R282" s="756"/>
      <c r="S282" s="756"/>
    </row>
    <row r="283" spans="1:21" ht="14.4" customHeight="1">
      <c r="C283" s="756"/>
      <c r="D283" s="756"/>
      <c r="E283" s="756"/>
      <c r="F283" s="756"/>
      <c r="G283" s="756"/>
      <c r="H283" s="756"/>
      <c r="I283" s="756"/>
      <c r="J283" s="756"/>
      <c r="K283" s="776"/>
      <c r="L283" s="776"/>
      <c r="M283" s="756"/>
      <c r="N283" s="756"/>
      <c r="O283" s="756"/>
      <c r="P283" s="756"/>
      <c r="Q283" s="756"/>
      <c r="R283" s="756"/>
      <c r="S283" s="756"/>
    </row>
    <row r="284" spans="1:21" ht="14.4" customHeight="1">
      <c r="E284" s="756"/>
      <c r="F284" s="756"/>
      <c r="G284" s="756" t="s">
        <v>17</v>
      </c>
      <c r="H284" s="757"/>
      <c r="I284" s="756"/>
      <c r="J284" s="756" t="s">
        <v>18</v>
      </c>
      <c r="K284" s="756"/>
      <c r="L284" s="757"/>
      <c r="M284" s="756" t="s">
        <v>19</v>
      </c>
      <c r="N284" s="757"/>
      <c r="S284" s="757"/>
    </row>
    <row r="285" spans="1:21" ht="14.4" customHeight="1">
      <c r="A285" s="745" t="s">
        <v>35</v>
      </c>
      <c r="B285" s="757"/>
      <c r="C285" s="757"/>
      <c r="D285" s="757"/>
      <c r="E285" s="757"/>
      <c r="F285" s="756"/>
      <c r="G285" s="757" t="s">
        <v>45</v>
      </c>
      <c r="H285" s="757"/>
      <c r="I285" s="757"/>
      <c r="J285" s="757" t="s">
        <v>212</v>
      </c>
      <c r="K285" s="757"/>
      <c r="L285" s="756"/>
      <c r="M285" s="757" t="s">
        <v>98</v>
      </c>
      <c r="N285" s="753"/>
      <c r="O285" s="753"/>
      <c r="P285" s="756"/>
      <c r="Q285" s="756"/>
      <c r="R285" s="756"/>
      <c r="S285" s="757"/>
    </row>
    <row r="286" spans="1:21" ht="14.4" customHeight="1" thickBot="1">
      <c r="A286" s="750" t="s">
        <v>46</v>
      </c>
      <c r="B286" s="758"/>
      <c r="C286" s="758" t="s">
        <v>213</v>
      </c>
      <c r="D286" s="758"/>
      <c r="E286" s="758"/>
      <c r="F286" s="758"/>
      <c r="G286" s="759" t="s">
        <v>214</v>
      </c>
      <c r="H286" s="759"/>
      <c r="I286" s="759"/>
      <c r="J286" s="759" t="s">
        <v>98</v>
      </c>
      <c r="K286" s="759"/>
      <c r="L286" s="760"/>
      <c r="M286" s="759" t="s">
        <v>110</v>
      </c>
      <c r="N286" s="761"/>
      <c r="O286" s="761"/>
      <c r="P286" s="761"/>
      <c r="Q286" s="761"/>
      <c r="R286" s="761"/>
      <c r="S286" s="761"/>
    </row>
    <row r="287" spans="1:21" ht="14.4" customHeight="1">
      <c r="A287" s="745">
        <v>1</v>
      </c>
      <c r="B287" s="746"/>
      <c r="C287" s="744" t="s">
        <v>215</v>
      </c>
      <c r="D287" s="605"/>
      <c r="E287" s="606"/>
      <c r="F287" s="605"/>
      <c r="G287" s="607"/>
      <c r="H287" s="605"/>
      <c r="I287" s="607"/>
      <c r="J287" s="607"/>
      <c r="K287" s="608"/>
      <c r="L287" s="606"/>
      <c r="M287" s="608"/>
      <c r="N287" s="606"/>
      <c r="O287" s="605"/>
      <c r="P287" s="605"/>
      <c r="Q287" s="605"/>
      <c r="R287" s="605"/>
      <c r="S287" s="605"/>
    </row>
    <row r="288" spans="1:21" ht="14.4" customHeight="1">
      <c r="A288" s="745">
        <v>2</v>
      </c>
      <c r="B288" s="746"/>
      <c r="C288" s="606" t="s">
        <v>216</v>
      </c>
      <c r="F288" s="605"/>
      <c r="G288" s="605">
        <f>'B-7'!R482</f>
        <v>482689</v>
      </c>
      <c r="H288" s="605"/>
      <c r="I288" s="607"/>
      <c r="J288" s="605">
        <f>G288*M288</f>
        <v>480667.55988395982</v>
      </c>
      <c r="K288" s="608"/>
      <c r="L288" s="609"/>
      <c r="M288" s="610">
        <v>0.99581212723712331</v>
      </c>
      <c r="N288" s="606"/>
      <c r="O288" s="605"/>
      <c r="P288" s="605"/>
      <c r="Q288" s="605"/>
      <c r="R288" s="605"/>
      <c r="S288" s="605"/>
    </row>
    <row r="289" spans="1:21" ht="14.4" customHeight="1">
      <c r="A289" s="745">
        <v>3</v>
      </c>
      <c r="B289" s="746"/>
      <c r="C289" s="606"/>
      <c r="F289" s="605"/>
      <c r="G289" s="607"/>
      <c r="H289" s="605"/>
      <c r="I289" s="607"/>
      <c r="J289" s="607"/>
      <c r="K289" s="608"/>
      <c r="L289" s="609"/>
      <c r="M289" s="610"/>
      <c r="N289" s="606"/>
      <c r="O289" s="605"/>
      <c r="P289" s="605"/>
      <c r="Q289" s="605"/>
      <c r="R289" s="605"/>
      <c r="S289" s="605"/>
    </row>
    <row r="290" spans="1:21" ht="14.4" customHeight="1">
      <c r="A290" s="745">
        <v>4</v>
      </c>
      <c r="B290" s="746"/>
      <c r="C290" s="604" t="s">
        <v>217</v>
      </c>
      <c r="F290" s="607"/>
      <c r="G290" s="607"/>
      <c r="H290" s="607"/>
      <c r="I290" s="607"/>
      <c r="J290" s="607"/>
      <c r="K290" s="608"/>
      <c r="L290" s="606"/>
      <c r="M290" s="610"/>
      <c r="N290" s="609"/>
      <c r="O290" s="605"/>
      <c r="P290" s="605"/>
      <c r="Q290" s="605"/>
      <c r="R290" s="605"/>
      <c r="S290" s="605"/>
    </row>
    <row r="291" spans="1:21" ht="14.4" customHeight="1">
      <c r="A291" s="745">
        <v>5</v>
      </c>
      <c r="B291" s="762"/>
      <c r="C291" s="727" t="s">
        <v>218</v>
      </c>
      <c r="F291" s="605"/>
      <c r="G291" s="607">
        <f>'B-7'!R133+'B-7'!R471+'B-7'!R485</f>
        <v>1415855</v>
      </c>
      <c r="H291" s="605"/>
      <c r="I291" s="605"/>
      <c r="J291" s="607">
        <f t="shared" ref="J291:J293" si="16">G291*M291</f>
        <v>1415855</v>
      </c>
      <c r="K291" s="608"/>
      <c r="L291" s="609"/>
      <c r="M291" s="610">
        <v>1</v>
      </c>
      <c r="N291" s="605"/>
      <c r="O291" s="607"/>
      <c r="P291" s="607"/>
      <c r="Q291" s="607"/>
      <c r="R291" s="607"/>
      <c r="S291" s="607"/>
    </row>
    <row r="292" spans="1:21" ht="14.4" customHeight="1">
      <c r="A292" s="745">
        <v>6</v>
      </c>
      <c r="B292" s="762"/>
      <c r="C292" s="727" t="s">
        <v>219</v>
      </c>
      <c r="F292" s="605"/>
      <c r="G292" s="607">
        <v>0</v>
      </c>
      <c r="H292" s="605"/>
      <c r="I292" s="605"/>
      <c r="J292" s="607">
        <f t="shared" si="16"/>
        <v>0</v>
      </c>
      <c r="K292" s="608"/>
      <c r="L292" s="609"/>
      <c r="M292" s="610">
        <v>1</v>
      </c>
      <c r="N292" s="605"/>
      <c r="O292" s="607"/>
      <c r="P292" s="607"/>
      <c r="Q292" s="607"/>
      <c r="R292" s="607"/>
      <c r="S292" s="607"/>
    </row>
    <row r="293" spans="1:21" ht="14.4" customHeight="1">
      <c r="A293" s="745">
        <v>7</v>
      </c>
      <c r="B293" s="746"/>
      <c r="C293" s="727" t="s">
        <v>34</v>
      </c>
      <c r="F293" s="607"/>
      <c r="G293" s="607">
        <f>'B-7'!R379+'B-7'!R472+'B-7'!R486</f>
        <v>4957144</v>
      </c>
      <c r="H293" s="605"/>
      <c r="I293" s="607"/>
      <c r="J293" s="607">
        <f t="shared" si="16"/>
        <v>4957144</v>
      </c>
      <c r="K293" s="608"/>
      <c r="L293" s="607"/>
      <c r="M293" s="610">
        <v>1</v>
      </c>
      <c r="N293" s="607"/>
      <c r="O293" s="607"/>
      <c r="P293" s="607"/>
      <c r="Q293" s="607"/>
      <c r="R293" s="607"/>
      <c r="S293" s="607"/>
    </row>
    <row r="294" spans="1:21" ht="14.4" customHeight="1">
      <c r="A294" s="745">
        <v>8</v>
      </c>
      <c r="B294" s="746"/>
      <c r="C294" s="606" t="s">
        <v>220</v>
      </c>
      <c r="F294" s="607"/>
      <c r="G294" s="612">
        <f>SUM(G291:G293)</f>
        <v>6372999</v>
      </c>
      <c r="H294" s="605"/>
      <c r="I294" s="607"/>
      <c r="J294" s="612">
        <f>SUM(J291:J293)</f>
        <v>6372999</v>
      </c>
      <c r="K294" s="608"/>
      <c r="L294" s="607"/>
      <c r="M294" s="610">
        <v>1</v>
      </c>
      <c r="N294" s="607"/>
      <c r="O294" s="607"/>
      <c r="P294" s="607"/>
      <c r="Q294" s="607"/>
      <c r="R294" s="607"/>
      <c r="S294" s="607"/>
    </row>
    <row r="295" spans="1:21" ht="14.4" customHeight="1">
      <c r="A295" s="745">
        <v>9</v>
      </c>
      <c r="B295" s="746"/>
      <c r="C295" s="606"/>
      <c r="F295" s="607"/>
      <c r="G295" s="607"/>
      <c r="H295" s="605"/>
      <c r="I295" s="607"/>
      <c r="J295" s="607"/>
      <c r="K295" s="608"/>
      <c r="L295" s="607"/>
      <c r="M295" s="610"/>
      <c r="N295" s="607"/>
      <c r="O295" s="607"/>
      <c r="P295" s="607"/>
      <c r="Q295" s="607"/>
      <c r="R295" s="607"/>
      <c r="S295" s="607"/>
    </row>
    <row r="296" spans="1:21" ht="14.4" customHeight="1">
      <c r="A296" s="745">
        <v>10</v>
      </c>
      <c r="B296" s="746"/>
      <c r="C296" s="605" t="s">
        <v>221</v>
      </c>
      <c r="F296" s="607"/>
      <c r="G296" s="607"/>
      <c r="H296" s="605"/>
      <c r="I296" s="607"/>
      <c r="J296" s="607"/>
      <c r="K296" s="608"/>
      <c r="L296" s="607"/>
      <c r="M296" s="610"/>
      <c r="N296" s="607"/>
      <c r="O296" s="607"/>
      <c r="P296" s="607"/>
      <c r="Q296" s="607"/>
      <c r="R296" s="607"/>
      <c r="S296" s="607"/>
    </row>
    <row r="297" spans="1:21" ht="14.4" customHeight="1">
      <c r="A297" s="745">
        <v>11</v>
      </c>
      <c r="B297" s="746"/>
      <c r="C297" s="727" t="s">
        <v>222</v>
      </c>
      <c r="F297" s="607"/>
      <c r="G297" s="607">
        <f>'B-7'!R384+'B-7'!R473</f>
        <v>29955</v>
      </c>
      <c r="H297" s="605"/>
      <c r="I297" s="607"/>
      <c r="J297" s="607">
        <f t="shared" ref="J297" si="17">G297*M297</f>
        <v>28175.832557527581</v>
      </c>
      <c r="K297" s="608"/>
      <c r="L297" s="607"/>
      <c r="M297" s="610">
        <v>0.94060532657411389</v>
      </c>
      <c r="N297" s="607"/>
      <c r="O297" s="607"/>
      <c r="P297" s="607"/>
      <c r="Q297" s="607"/>
      <c r="R297" s="607"/>
      <c r="S297" s="607"/>
    </row>
    <row r="298" spans="1:21" ht="14.4" customHeight="1">
      <c r="A298" s="745">
        <v>12</v>
      </c>
      <c r="B298" s="746"/>
      <c r="C298" s="727" t="s">
        <v>223</v>
      </c>
      <c r="F298" s="607"/>
      <c r="G298" s="607">
        <f>'B-7'!R386</f>
        <v>74527</v>
      </c>
      <c r="H298" s="605"/>
      <c r="I298" s="607"/>
      <c r="J298" s="607">
        <f t="shared" ref="J298:J306" si="18">G298*M298</f>
        <v>70100.493173588984</v>
      </c>
      <c r="K298" s="608"/>
      <c r="L298" s="607"/>
      <c r="M298" s="610">
        <v>0.94060532657411389</v>
      </c>
      <c r="N298" s="607"/>
      <c r="O298" s="607"/>
      <c r="P298" s="607"/>
      <c r="Q298" s="607"/>
      <c r="R298" s="607"/>
      <c r="S298" s="607"/>
    </row>
    <row r="299" spans="1:21" ht="14.4" customHeight="1">
      <c r="A299" s="745">
        <v>13</v>
      </c>
      <c r="B299" s="746"/>
      <c r="C299" s="727" t="s">
        <v>224</v>
      </c>
      <c r="F299" s="607"/>
      <c r="G299" s="607">
        <f>'B-7'!R387</f>
        <v>416296</v>
      </c>
      <c r="H299" s="605"/>
      <c r="I299" s="607"/>
      <c r="J299" s="607">
        <f t="shared" si="18"/>
        <v>391570.23503149732</v>
      </c>
      <c r="K299" s="608"/>
      <c r="L299" s="607"/>
      <c r="M299" s="610">
        <v>0.94060532657411389</v>
      </c>
      <c r="N299" s="607"/>
      <c r="O299" s="607"/>
      <c r="P299" s="607"/>
      <c r="Q299" s="607"/>
      <c r="R299" s="607"/>
      <c r="S299" s="607"/>
    </row>
    <row r="300" spans="1:21" ht="14.4" customHeight="1">
      <c r="A300" s="745">
        <v>14</v>
      </c>
      <c r="B300" s="746"/>
      <c r="C300" s="727" t="s">
        <v>225</v>
      </c>
      <c r="F300" s="607"/>
      <c r="G300" s="607">
        <f>'B-7'!R388</f>
        <v>5092</v>
      </c>
      <c r="H300" s="605"/>
      <c r="I300" s="607"/>
      <c r="J300" s="607">
        <f t="shared" si="18"/>
        <v>4789.562322915388</v>
      </c>
      <c r="K300" s="608"/>
      <c r="L300" s="607"/>
      <c r="M300" s="610">
        <v>0.94060532657411389</v>
      </c>
      <c r="N300" s="607"/>
      <c r="O300" s="607"/>
      <c r="P300" s="607"/>
      <c r="Q300" s="607"/>
      <c r="R300" s="607"/>
      <c r="S300" s="607"/>
    </row>
    <row r="301" spans="1:21" ht="14.4" customHeight="1">
      <c r="A301" s="745">
        <v>15</v>
      </c>
      <c r="B301" s="746"/>
      <c r="C301" s="727" t="s">
        <v>226</v>
      </c>
      <c r="F301" s="607"/>
      <c r="G301" s="607">
        <f>'B-7'!R389</f>
        <v>400578</v>
      </c>
      <c r="H301" s="605"/>
      <c r="I301" s="607"/>
      <c r="J301" s="607">
        <f t="shared" si="18"/>
        <v>376785.80050840537</v>
      </c>
      <c r="K301" s="608"/>
      <c r="L301" s="607"/>
      <c r="M301" s="610">
        <v>0.94060532657411389</v>
      </c>
      <c r="N301" s="607"/>
      <c r="O301" s="607"/>
      <c r="P301" s="607"/>
      <c r="Q301" s="607"/>
      <c r="R301" s="607"/>
      <c r="S301" s="607"/>
    </row>
    <row r="302" spans="1:21" ht="14.4" customHeight="1">
      <c r="A302" s="745">
        <v>16</v>
      </c>
      <c r="B302" s="746"/>
      <c r="C302" s="727" t="s">
        <v>227</v>
      </c>
      <c r="F302" s="607"/>
      <c r="G302" s="607">
        <f>'B-7'!R390+'B-7'!R502</f>
        <v>181698</v>
      </c>
      <c r="H302" s="605"/>
      <c r="I302" s="607"/>
      <c r="J302" s="607">
        <f t="shared" si="18"/>
        <v>170906.10662786334</v>
      </c>
      <c r="K302" s="608"/>
      <c r="L302" s="607"/>
      <c r="M302" s="610">
        <v>0.94060532657411389</v>
      </c>
      <c r="N302" s="607"/>
      <c r="O302" s="607"/>
      <c r="P302" s="607"/>
      <c r="Q302" s="607"/>
      <c r="R302" s="607"/>
      <c r="S302" s="607"/>
      <c r="U302" s="745" t="s">
        <v>228</v>
      </c>
    </row>
    <row r="303" spans="1:21" ht="14.4" customHeight="1">
      <c r="A303" s="745">
        <v>17</v>
      </c>
      <c r="B303" s="746"/>
      <c r="C303" s="727" t="s">
        <v>229</v>
      </c>
      <c r="F303" s="607"/>
      <c r="G303" s="607">
        <f>'B-7'!R391</f>
        <v>2111</v>
      </c>
      <c r="H303" s="605"/>
      <c r="I303" s="607"/>
      <c r="J303" s="607">
        <f t="shared" si="18"/>
        <v>1985.6178443979545</v>
      </c>
      <c r="K303" s="608"/>
      <c r="L303" s="607"/>
      <c r="M303" s="610">
        <v>0.94060532657411389</v>
      </c>
      <c r="N303" s="607"/>
      <c r="O303" s="607"/>
      <c r="P303" s="607"/>
      <c r="Q303" s="607"/>
      <c r="R303" s="607"/>
      <c r="S303" s="607"/>
    </row>
    <row r="304" spans="1:21" ht="14.4" customHeight="1">
      <c r="A304" s="745">
        <v>18</v>
      </c>
      <c r="B304" s="746"/>
      <c r="C304" s="727" t="s">
        <v>230</v>
      </c>
      <c r="F304" s="607"/>
      <c r="G304" s="607">
        <f>'B-7'!R392</f>
        <v>4325</v>
      </c>
      <c r="H304" s="605"/>
      <c r="I304" s="607"/>
      <c r="J304" s="607">
        <f t="shared" si="18"/>
        <v>4068.1180374330424</v>
      </c>
      <c r="K304" s="608"/>
      <c r="L304" s="607"/>
      <c r="M304" s="610">
        <v>0.94060532657411389</v>
      </c>
      <c r="N304" s="607"/>
      <c r="O304" s="607"/>
      <c r="P304" s="607"/>
      <c r="Q304" s="607"/>
      <c r="R304" s="607"/>
      <c r="S304" s="607"/>
    </row>
    <row r="305" spans="1:21" ht="14.4" customHeight="1">
      <c r="A305" s="745">
        <v>19</v>
      </c>
      <c r="B305" s="746"/>
      <c r="C305" s="727" t="s">
        <v>231</v>
      </c>
      <c r="G305" s="607">
        <f>'B-7'!R393</f>
        <v>12055</v>
      </c>
      <c r="J305" s="607">
        <f t="shared" si="18"/>
        <v>11338.997211850943</v>
      </c>
      <c r="M305" s="610">
        <v>0.94060532657411389</v>
      </c>
      <c r="N305" s="607"/>
      <c r="O305" s="607"/>
      <c r="P305" s="607"/>
      <c r="Q305" s="607"/>
      <c r="R305" s="607"/>
      <c r="S305" s="607"/>
    </row>
    <row r="306" spans="1:21" ht="14.4" customHeight="1">
      <c r="A306" s="745">
        <v>20</v>
      </c>
      <c r="B306" s="746"/>
      <c r="C306" s="727" t="s">
        <v>232</v>
      </c>
      <c r="G306" s="607">
        <f>'B-7'!R394</f>
        <v>17269</v>
      </c>
      <c r="J306" s="607">
        <f t="shared" si="18"/>
        <v>16243.313384608373</v>
      </c>
      <c r="M306" s="610">
        <v>0.94060532657411389</v>
      </c>
      <c r="N306" s="607"/>
      <c r="O306" s="607"/>
      <c r="P306" s="607"/>
      <c r="Q306" s="607"/>
      <c r="R306" s="607"/>
      <c r="S306" s="607"/>
    </row>
    <row r="307" spans="1:21" ht="14.4" customHeight="1">
      <c r="A307" s="745">
        <v>21</v>
      </c>
      <c r="B307" s="746"/>
      <c r="C307" s="606" t="s">
        <v>233</v>
      </c>
      <c r="F307" s="607"/>
      <c r="G307" s="612">
        <f>SUM(G297:G306)</f>
        <v>1143906</v>
      </c>
      <c r="H307" s="605"/>
      <c r="I307" s="607"/>
      <c r="J307" s="612">
        <f>SUM(J297:J304)</f>
        <v>1048381.7661036289</v>
      </c>
      <c r="K307" s="608"/>
      <c r="L307" s="607"/>
      <c r="M307" s="610">
        <v>0.94060532657411389</v>
      </c>
      <c r="N307" s="607"/>
      <c r="O307" s="607"/>
      <c r="P307" s="607"/>
      <c r="Q307" s="607"/>
      <c r="R307" s="607"/>
      <c r="S307" s="607"/>
    </row>
    <row r="308" spans="1:21" ht="14.4" customHeight="1">
      <c r="A308" s="745">
        <v>22</v>
      </c>
      <c r="B308" s="746"/>
      <c r="N308" s="607"/>
      <c r="O308" s="607"/>
      <c r="P308" s="607"/>
      <c r="Q308" s="607"/>
      <c r="R308" s="607"/>
      <c r="S308" s="607"/>
    </row>
    <row r="309" spans="1:21" ht="14.4" customHeight="1">
      <c r="A309" s="745">
        <v>23</v>
      </c>
      <c r="B309" s="746"/>
      <c r="C309" s="605" t="s">
        <v>234</v>
      </c>
      <c r="F309" s="607"/>
      <c r="G309" s="607"/>
      <c r="H309" s="605"/>
      <c r="I309" s="607"/>
      <c r="J309" s="607"/>
      <c r="K309" s="608"/>
      <c r="L309" s="609"/>
      <c r="N309" s="607"/>
      <c r="O309" s="607"/>
      <c r="P309" s="607"/>
      <c r="Q309" s="607"/>
      <c r="R309" s="607"/>
      <c r="S309" s="607"/>
    </row>
    <row r="310" spans="1:21" ht="14.4" customHeight="1">
      <c r="A310" s="745">
        <v>24</v>
      </c>
      <c r="B310" s="746"/>
      <c r="C310" s="727" t="s">
        <v>235</v>
      </c>
      <c r="F310" s="607"/>
      <c r="G310" s="607">
        <f>'B-7'!R414+'B-7'!R474+'B-7'!R487+'B-7'!R494</f>
        <v>43810</v>
      </c>
      <c r="H310" s="605"/>
      <c r="I310" s="607"/>
      <c r="J310" s="607">
        <f t="shared" ref="J310:J312" si="19">G310*M310</f>
        <v>43810</v>
      </c>
      <c r="K310" s="608"/>
      <c r="L310" s="609"/>
      <c r="M310" s="610">
        <v>1</v>
      </c>
      <c r="N310" s="607"/>
      <c r="O310" s="607"/>
      <c r="P310" s="607"/>
      <c r="Q310" s="607"/>
      <c r="R310" s="607"/>
      <c r="S310" s="607"/>
      <c r="U310" s="745" t="s">
        <v>236</v>
      </c>
    </row>
    <row r="311" spans="1:21" ht="14.4" customHeight="1">
      <c r="A311" s="745">
        <v>25</v>
      </c>
      <c r="B311" s="746"/>
      <c r="C311" s="727" t="s">
        <v>223</v>
      </c>
      <c r="F311" s="607"/>
      <c r="G311" s="607">
        <f>'B-7'!R415</f>
        <v>32905</v>
      </c>
      <c r="H311" s="605"/>
      <c r="I311" s="607"/>
      <c r="J311" s="607">
        <f t="shared" si="19"/>
        <v>32905</v>
      </c>
      <c r="K311" s="608"/>
      <c r="L311" s="609"/>
      <c r="M311" s="610">
        <v>1</v>
      </c>
      <c r="N311" s="607"/>
      <c r="O311" s="607"/>
      <c r="P311" s="607"/>
      <c r="Q311" s="607"/>
      <c r="R311" s="607"/>
      <c r="S311" s="607"/>
    </row>
    <row r="312" spans="1:21" ht="14.4" customHeight="1">
      <c r="A312" s="745">
        <v>26</v>
      </c>
      <c r="B312" s="746"/>
      <c r="C312" s="727" t="s">
        <v>224</v>
      </c>
      <c r="F312" s="607"/>
      <c r="G312" s="607">
        <f>'B-7'!R416</f>
        <v>301238</v>
      </c>
      <c r="H312" s="605"/>
      <c r="I312" s="607"/>
      <c r="J312" s="607">
        <f t="shared" si="19"/>
        <v>301238</v>
      </c>
      <c r="K312" s="608"/>
      <c r="L312" s="609"/>
      <c r="M312" s="610">
        <v>1</v>
      </c>
      <c r="N312" s="607"/>
      <c r="O312" s="607"/>
      <c r="P312" s="607"/>
      <c r="Q312" s="607"/>
      <c r="R312" s="607"/>
      <c r="S312" s="607"/>
    </row>
    <row r="313" spans="1:21" ht="14.4" customHeight="1">
      <c r="A313" s="745">
        <v>27</v>
      </c>
      <c r="B313" s="746"/>
      <c r="C313" s="727" t="s">
        <v>237</v>
      </c>
      <c r="F313" s="607"/>
      <c r="G313" s="607">
        <f>'B-7'!R418</f>
        <v>380874</v>
      </c>
      <c r="H313" s="605"/>
      <c r="I313" s="607"/>
      <c r="J313" s="607">
        <f t="shared" ref="J313:J320" si="20">G313*M313</f>
        <v>380874</v>
      </c>
      <c r="K313" s="608"/>
      <c r="L313" s="609"/>
      <c r="M313" s="610">
        <v>1</v>
      </c>
      <c r="N313" s="607"/>
      <c r="O313" s="607"/>
      <c r="P313" s="607"/>
      <c r="Q313" s="607"/>
      <c r="R313" s="607"/>
      <c r="S313" s="607"/>
    </row>
    <row r="314" spans="1:21" ht="14.4" customHeight="1">
      <c r="A314" s="745">
        <v>28</v>
      </c>
      <c r="B314" s="746"/>
      <c r="C314" s="727" t="s">
        <v>238</v>
      </c>
      <c r="F314" s="607"/>
      <c r="G314" s="607">
        <f>'B-7'!R419</f>
        <v>280421</v>
      </c>
      <c r="H314" s="605"/>
      <c r="I314" s="607"/>
      <c r="J314" s="607">
        <f t="shared" si="20"/>
        <v>280421</v>
      </c>
      <c r="K314" s="608"/>
      <c r="L314" s="609"/>
      <c r="M314" s="610">
        <v>1</v>
      </c>
      <c r="N314" s="607"/>
      <c r="O314" s="607"/>
      <c r="P314" s="607"/>
      <c r="Q314" s="607"/>
      <c r="R314" s="607"/>
      <c r="S314" s="607"/>
    </row>
    <row r="315" spans="1:21" ht="14.4" customHeight="1">
      <c r="A315" s="745">
        <v>29</v>
      </c>
      <c r="B315" s="746"/>
      <c r="C315" s="727" t="s">
        <v>230</v>
      </c>
      <c r="F315" s="607"/>
      <c r="G315" s="607">
        <f>'B-7'!R420</f>
        <v>393770</v>
      </c>
      <c r="H315" s="605"/>
      <c r="I315" s="607"/>
      <c r="J315" s="607">
        <f t="shared" si="20"/>
        <v>393770</v>
      </c>
      <c r="K315" s="608"/>
      <c r="L315" s="609"/>
      <c r="M315" s="610">
        <v>1</v>
      </c>
      <c r="N315" s="607"/>
      <c r="O315" s="607"/>
      <c r="P315" s="607"/>
      <c r="Q315" s="607"/>
      <c r="R315" s="607"/>
      <c r="S315" s="607"/>
    </row>
    <row r="316" spans="1:21" ht="14.4" customHeight="1">
      <c r="A316" s="745">
        <v>30</v>
      </c>
      <c r="B316" s="746"/>
      <c r="C316" s="727" t="s">
        <v>239</v>
      </c>
      <c r="F316" s="607"/>
      <c r="G316" s="607">
        <f>'B-7'!R421</f>
        <v>405414</v>
      </c>
      <c r="H316" s="605"/>
      <c r="I316" s="607"/>
      <c r="J316" s="607">
        <f t="shared" si="20"/>
        <v>405414</v>
      </c>
      <c r="K316" s="608"/>
      <c r="L316" s="609"/>
      <c r="M316" s="610">
        <v>1</v>
      </c>
      <c r="N316" s="607"/>
      <c r="O316" s="607"/>
      <c r="P316" s="607"/>
      <c r="Q316" s="607"/>
      <c r="R316" s="607"/>
      <c r="S316" s="607"/>
    </row>
    <row r="317" spans="1:21" ht="14.4" customHeight="1">
      <c r="A317" s="745">
        <v>31</v>
      </c>
      <c r="B317" s="746"/>
      <c r="C317" s="727" t="s">
        <v>240</v>
      </c>
      <c r="F317" s="607"/>
      <c r="G317" s="607">
        <f>'B-7'!R422</f>
        <v>892388</v>
      </c>
      <c r="H317" s="605"/>
      <c r="I317" s="607"/>
      <c r="J317" s="607">
        <f t="shared" si="20"/>
        <v>892388</v>
      </c>
      <c r="K317" s="608"/>
      <c r="L317" s="609"/>
      <c r="M317" s="610">
        <v>1</v>
      </c>
      <c r="N317" s="607"/>
      <c r="O317" s="607"/>
      <c r="P317" s="607"/>
      <c r="Q317" s="607"/>
      <c r="R317" s="607"/>
      <c r="S317" s="607"/>
    </row>
    <row r="318" spans="1:21" ht="14.4" customHeight="1">
      <c r="A318" s="745">
        <v>32</v>
      </c>
      <c r="B318" s="746"/>
      <c r="C318" s="727" t="s">
        <v>241</v>
      </c>
      <c r="F318" s="607"/>
      <c r="G318" s="607">
        <f>'B-7'!R423+'B-7'!R424</f>
        <v>225892</v>
      </c>
      <c r="H318" s="605"/>
      <c r="I318" s="607"/>
      <c r="J318" s="607">
        <f t="shared" si="20"/>
        <v>225892</v>
      </c>
      <c r="K318" s="608"/>
      <c r="L318" s="609"/>
      <c r="M318" s="610">
        <v>1</v>
      </c>
      <c r="N318" s="607"/>
      <c r="O318" s="607"/>
      <c r="P318" s="607"/>
      <c r="Q318" s="607"/>
      <c r="R318" s="607"/>
      <c r="S318" s="607"/>
    </row>
    <row r="319" spans="1:21" ht="14.4" customHeight="1">
      <c r="A319" s="745">
        <v>33</v>
      </c>
      <c r="B319" s="746"/>
      <c r="C319" s="727" t="s">
        <v>242</v>
      </c>
      <c r="F319" s="607"/>
      <c r="G319" s="764">
        <f>'B-7'!R425+'B-7'!R426</f>
        <v>128525</v>
      </c>
      <c r="H319" s="605"/>
      <c r="I319" s="607"/>
      <c r="J319" s="607">
        <f t="shared" si="20"/>
        <v>128525</v>
      </c>
      <c r="K319" s="608"/>
      <c r="L319" s="609"/>
      <c r="M319" s="610">
        <v>1</v>
      </c>
      <c r="N319" s="607"/>
      <c r="O319" s="607"/>
      <c r="P319" s="607"/>
      <c r="Q319" s="607"/>
      <c r="R319" s="607"/>
      <c r="S319" s="607"/>
    </row>
    <row r="320" spans="1:21" ht="14.4" customHeight="1">
      <c r="A320" s="745">
        <v>34</v>
      </c>
      <c r="B320" s="746"/>
      <c r="C320" s="727" t="s">
        <v>243</v>
      </c>
      <c r="G320" s="745">
        <f>'B-7'!R427</f>
        <v>142</v>
      </c>
      <c r="J320" s="607">
        <f t="shared" si="20"/>
        <v>142</v>
      </c>
      <c r="M320" s="610">
        <v>1</v>
      </c>
      <c r="N320" s="607"/>
      <c r="O320" s="607"/>
      <c r="P320" s="607"/>
      <c r="Q320" s="607"/>
      <c r="R320" s="607"/>
      <c r="S320" s="607"/>
    </row>
    <row r="321" spans="1:20" ht="14.4" customHeight="1">
      <c r="A321" s="745">
        <v>35</v>
      </c>
      <c r="B321" s="746"/>
      <c r="C321" s="727" t="s">
        <v>244</v>
      </c>
      <c r="G321" s="764">
        <f>'B-7'!R428+'B-7'!R429</f>
        <v>375087</v>
      </c>
      <c r="H321" s="605"/>
      <c r="I321" s="607"/>
      <c r="J321" s="607">
        <f>G321*M321</f>
        <v>375087</v>
      </c>
      <c r="K321" s="608"/>
      <c r="L321" s="609"/>
      <c r="M321" s="610">
        <v>1</v>
      </c>
      <c r="N321" s="605"/>
      <c r="O321" s="607"/>
      <c r="P321" s="607"/>
      <c r="Q321" s="607"/>
      <c r="R321" s="607"/>
      <c r="S321" s="607"/>
    </row>
    <row r="322" spans="1:20" ht="14.4" customHeight="1">
      <c r="A322" s="745">
        <v>36</v>
      </c>
      <c r="B322" s="746"/>
      <c r="C322" s="606" t="s">
        <v>245</v>
      </c>
      <c r="F322" s="607"/>
      <c r="G322" s="612">
        <f>SUM(G310:G321)+1</f>
        <v>3460467</v>
      </c>
      <c r="H322" s="605"/>
      <c r="I322" s="607"/>
      <c r="J322" s="612">
        <f>SUM(J310:J321)</f>
        <v>3460466</v>
      </c>
      <c r="K322" s="608"/>
      <c r="L322" s="609"/>
      <c r="M322" s="610">
        <v>1</v>
      </c>
      <c r="N322" s="607"/>
      <c r="O322" s="607"/>
      <c r="P322" s="607"/>
      <c r="Q322" s="607"/>
      <c r="R322" s="607"/>
      <c r="S322" s="607"/>
    </row>
    <row r="323" spans="1:20" ht="14.4" customHeight="1">
      <c r="A323" s="745">
        <v>37</v>
      </c>
      <c r="B323" s="765"/>
      <c r="O323" s="607"/>
      <c r="P323" s="607"/>
      <c r="Q323" s="607"/>
      <c r="R323" s="607"/>
      <c r="S323" s="607"/>
    </row>
    <row r="324" spans="1:20" ht="14.4" customHeight="1">
      <c r="A324" s="745">
        <v>38</v>
      </c>
      <c r="B324" s="746"/>
      <c r="C324" s="605" t="s">
        <v>246</v>
      </c>
      <c r="F324" s="607"/>
      <c r="G324" s="764">
        <f>'B-7'!R452+'B-7'!R475+'B-7'!R488+'B-7'!R504</f>
        <v>420354</v>
      </c>
      <c r="H324" s="605"/>
      <c r="I324" s="607"/>
      <c r="J324" s="607">
        <f>J326-J322-J307-J294-J288</f>
        <v>443724.67701241164</v>
      </c>
      <c r="K324" s="608"/>
      <c r="L324" s="609"/>
      <c r="M324" s="610">
        <f>G324/J324</f>
        <v>0.94733067998434095</v>
      </c>
      <c r="O324" s="607"/>
      <c r="P324" s="607"/>
      <c r="Q324" s="607"/>
      <c r="R324" s="607"/>
      <c r="S324" s="607"/>
    </row>
    <row r="325" spans="1:20" ht="14.4" customHeight="1">
      <c r="A325" s="745">
        <v>39</v>
      </c>
      <c r="B325" s="746"/>
      <c r="K325" s="608"/>
      <c r="N325" s="746"/>
      <c r="O325" s="607"/>
      <c r="P325" s="607"/>
      <c r="Q325" s="607"/>
      <c r="R325" s="607"/>
      <c r="S325" s="607"/>
    </row>
    <row r="326" spans="1:20" ht="14.4" customHeight="1">
      <c r="A326" s="745">
        <v>40</v>
      </c>
      <c r="B326" s="746"/>
      <c r="C326" s="745" t="s">
        <v>247</v>
      </c>
      <c r="G326" s="612">
        <f>+G288+G294+G307+G322+G324</f>
        <v>11880415</v>
      </c>
      <c r="J326" s="612">
        <v>11806239.003</v>
      </c>
      <c r="M326" s="620">
        <f>J326/G326</f>
        <v>0.993756447312657</v>
      </c>
      <c r="N326" s="746"/>
      <c r="O326" s="607"/>
      <c r="P326" s="607"/>
      <c r="Q326" s="607"/>
      <c r="R326" s="607"/>
      <c r="S326" s="607"/>
    </row>
    <row r="327" spans="1:20" ht="14.4" customHeight="1" thickBot="1">
      <c r="A327" s="750">
        <v>41</v>
      </c>
      <c r="B327" s="750" t="s">
        <v>67</v>
      </c>
      <c r="C327" s="750"/>
      <c r="D327" s="750"/>
      <c r="E327" s="750"/>
      <c r="F327" s="766"/>
      <c r="G327" s="767"/>
      <c r="H327" s="772"/>
      <c r="I327" s="766"/>
      <c r="J327" s="767"/>
      <c r="K327" s="750"/>
      <c r="L327" s="750"/>
      <c r="M327" s="750"/>
      <c r="N327" s="750"/>
      <c r="O327" s="750"/>
      <c r="P327" s="750"/>
      <c r="Q327" s="750"/>
      <c r="R327" s="750"/>
      <c r="S327" s="750"/>
    </row>
    <row r="328" spans="1:20" ht="14.4" customHeight="1">
      <c r="A328" s="745" t="s">
        <v>248</v>
      </c>
      <c r="Q328" s="745" t="s">
        <v>181</v>
      </c>
    </row>
    <row r="329" spans="1:20" ht="14.4" customHeight="1" thickBot="1">
      <c r="A329" s="750" t="s">
        <v>206</v>
      </c>
      <c r="B329" s="750"/>
      <c r="C329" s="750"/>
      <c r="D329" s="750"/>
      <c r="E329" s="750"/>
      <c r="F329" s="750"/>
      <c r="G329" s="750"/>
      <c r="H329" s="750" t="s">
        <v>207</v>
      </c>
      <c r="I329" s="750"/>
      <c r="J329" s="750"/>
      <c r="K329" s="750"/>
      <c r="L329" s="750"/>
      <c r="M329" s="750"/>
      <c r="N329" s="750"/>
      <c r="O329" s="750"/>
      <c r="P329" s="750"/>
      <c r="Q329" s="750"/>
      <c r="R329" s="750"/>
      <c r="S329" s="751" t="s">
        <v>713</v>
      </c>
      <c r="T329" s="745" t="s">
        <v>249</v>
      </c>
    </row>
    <row r="330" spans="1:20" ht="14.4" customHeight="1">
      <c r="A330" s="745" t="s">
        <v>4</v>
      </c>
      <c r="E330" s="745" t="s">
        <v>208</v>
      </c>
      <c r="G330" s="745" t="s">
        <v>209</v>
      </c>
      <c r="K330" s="752"/>
      <c r="L330" s="752"/>
      <c r="N330" s="752"/>
      <c r="O330" s="752"/>
      <c r="P330" s="752" t="s">
        <v>7</v>
      </c>
      <c r="S330" s="753"/>
    </row>
    <row r="331" spans="1:20" ht="14.4" customHeight="1">
      <c r="G331" s="745" t="s">
        <v>210</v>
      </c>
      <c r="J331" s="745" t="str">
        <f>IF($BC$276&lt;&gt;0,$BC$276,"")</f>
        <v/>
      </c>
      <c r="K331" s="754"/>
      <c r="L331" s="753"/>
      <c r="O331" s="754"/>
      <c r="P331" s="754"/>
      <c r="Q331" s="753" t="s">
        <v>9</v>
      </c>
      <c r="S331" s="754"/>
    </row>
    <row r="332" spans="1:20" ht="14.4" customHeight="1">
      <c r="A332" s="745" t="s">
        <v>10</v>
      </c>
      <c r="G332" s="745" t="s">
        <v>211</v>
      </c>
      <c r="J332" s="745" t="str">
        <f>IF($BC$277&lt;&gt;0,$BC$277,"")</f>
        <v/>
      </c>
      <c r="K332" s="754"/>
      <c r="L332" s="753"/>
      <c r="M332" s="754"/>
      <c r="P332" s="754"/>
      <c r="Q332" s="753" t="s">
        <v>11</v>
      </c>
      <c r="S332" s="754"/>
    </row>
    <row r="333" spans="1:20" ht="14.4" customHeight="1">
      <c r="G333" s="745" t="str">
        <f>IF($G$278&lt;&gt;0,$G$278,"")</f>
        <v/>
      </c>
      <c r="J333" s="745" t="str">
        <f>IF($BC$278&lt;&gt;0,$BC$278,"")</f>
        <v/>
      </c>
      <c r="K333" s="754"/>
      <c r="L333" s="753"/>
      <c r="M333" s="754"/>
      <c r="P333" s="754" t="s">
        <v>12</v>
      </c>
      <c r="Q333" s="753" t="s">
        <v>13</v>
      </c>
      <c r="S333" s="754"/>
    </row>
    <row r="334" spans="1:20" ht="14.4" customHeight="1">
      <c r="K334" s="754"/>
      <c r="L334" s="753"/>
      <c r="M334" s="754"/>
      <c r="P334" s="754"/>
      <c r="Q334" s="753" t="str">
        <f>+$Q$279</f>
        <v>Witness: C. Aldazabal / J. Chronister /</v>
      </c>
      <c r="S334" s="754"/>
    </row>
    <row r="335" spans="1:20" ht="14.4" customHeight="1">
      <c r="K335" s="754"/>
      <c r="L335" s="753"/>
      <c r="M335" s="754"/>
      <c r="P335" s="754"/>
      <c r="Q335" s="753" t="str">
        <f>+$Q$280</f>
        <v xml:space="preserve">                 R. Latta / C. Whitworth /</v>
      </c>
      <c r="S335" s="754"/>
    </row>
    <row r="336" spans="1:20" ht="14.4" customHeight="1" thickBot="1">
      <c r="A336" s="750" t="str">
        <f>$A$281</f>
        <v>DOCKET No. 20240026-EI</v>
      </c>
      <c r="B336" s="750"/>
      <c r="C336" s="750"/>
      <c r="D336" s="750"/>
      <c r="E336" s="750"/>
      <c r="F336" s="750"/>
      <c r="G336" s="750" t="str">
        <f>IF($G$281&lt;&gt;0,$G$281,"")</f>
        <v/>
      </c>
      <c r="H336" s="750"/>
      <c r="I336" s="750"/>
      <c r="J336" s="750" t="str">
        <f>+$J$281</f>
        <v>(Dollars in 000's)</v>
      </c>
      <c r="K336" s="751"/>
      <c r="L336" s="755"/>
      <c r="M336" s="751"/>
      <c r="N336" s="750"/>
      <c r="O336" s="750"/>
      <c r="P336" s="751"/>
      <c r="Q336" s="755" t="str">
        <f>+$Q$281</f>
        <v xml:space="preserve">                 J. Williams</v>
      </c>
      <c r="R336" s="750"/>
      <c r="S336" s="751"/>
    </row>
    <row r="337" spans="1:21" ht="14.4" customHeight="1">
      <c r="C337" s="756"/>
      <c r="D337" s="756"/>
      <c r="E337" s="756"/>
      <c r="F337" s="756"/>
      <c r="G337" s="756"/>
      <c r="H337" s="756"/>
      <c r="I337" s="756"/>
      <c r="J337" s="756"/>
      <c r="K337" s="756"/>
      <c r="L337" s="756"/>
      <c r="M337" s="756"/>
      <c r="N337" s="756"/>
      <c r="O337" s="756"/>
      <c r="P337" s="756"/>
      <c r="Q337" s="756"/>
      <c r="R337" s="756"/>
      <c r="S337" s="756"/>
    </row>
    <row r="338" spans="1:21" ht="14.4" customHeight="1">
      <c r="C338" s="756"/>
      <c r="D338" s="756"/>
      <c r="E338" s="756"/>
      <c r="F338" s="756"/>
      <c r="G338" s="756"/>
      <c r="H338" s="756"/>
      <c r="I338" s="756"/>
      <c r="J338" s="756"/>
      <c r="K338" s="776"/>
      <c r="L338" s="776"/>
      <c r="M338" s="756"/>
      <c r="N338" s="756"/>
      <c r="O338" s="756"/>
      <c r="P338" s="756"/>
      <c r="Q338" s="756"/>
      <c r="R338" s="756"/>
      <c r="S338" s="756"/>
    </row>
    <row r="339" spans="1:21" ht="14.4" customHeight="1">
      <c r="G339" s="756" t="s">
        <v>17</v>
      </c>
      <c r="H339" s="757"/>
      <c r="I339" s="756"/>
      <c r="J339" s="756" t="s">
        <v>18</v>
      </c>
      <c r="K339" s="756"/>
      <c r="L339" s="757"/>
      <c r="M339" s="756" t="s">
        <v>19</v>
      </c>
      <c r="N339" s="757"/>
      <c r="S339" s="757"/>
    </row>
    <row r="340" spans="1:21" ht="14.4" customHeight="1">
      <c r="A340" s="745" t="s">
        <v>35</v>
      </c>
      <c r="B340" s="757"/>
      <c r="C340" s="757"/>
      <c r="D340" s="757"/>
      <c r="E340" s="757"/>
      <c r="F340" s="756"/>
      <c r="G340" s="757" t="s">
        <v>45</v>
      </c>
      <c r="H340" s="757"/>
      <c r="I340" s="757"/>
      <c r="J340" s="757" t="s">
        <v>212</v>
      </c>
      <c r="K340" s="757"/>
      <c r="L340" s="756"/>
      <c r="M340" s="757" t="s">
        <v>98</v>
      </c>
      <c r="N340" s="753"/>
      <c r="O340" s="753"/>
      <c r="P340" s="756"/>
      <c r="Q340" s="756"/>
      <c r="R340" s="756"/>
      <c r="S340" s="757"/>
    </row>
    <row r="341" spans="1:21" ht="14.4" customHeight="1" thickBot="1">
      <c r="A341" s="750" t="s">
        <v>46</v>
      </c>
      <c r="B341" s="758"/>
      <c r="C341" s="758" t="s">
        <v>213</v>
      </c>
      <c r="D341" s="758"/>
      <c r="E341" s="758"/>
      <c r="F341" s="758"/>
      <c r="G341" s="759" t="s">
        <v>214</v>
      </c>
      <c r="H341" s="759"/>
      <c r="I341" s="759"/>
      <c r="J341" s="759" t="s">
        <v>98</v>
      </c>
      <c r="K341" s="759"/>
      <c r="L341" s="760"/>
      <c r="M341" s="759" t="s">
        <v>110</v>
      </c>
      <c r="N341" s="761"/>
      <c r="O341" s="761"/>
      <c r="P341" s="761"/>
      <c r="Q341" s="761"/>
      <c r="R341" s="761"/>
      <c r="S341" s="761"/>
    </row>
    <row r="342" spans="1:21" ht="14.4" customHeight="1">
      <c r="A342" s="745">
        <v>1</v>
      </c>
      <c r="B342" s="768"/>
      <c r="C342" s="744" t="s">
        <v>250</v>
      </c>
      <c r="F342" s="605"/>
      <c r="G342" s="605"/>
      <c r="H342" s="605"/>
      <c r="I342" s="605"/>
      <c r="J342" s="605"/>
      <c r="L342" s="605"/>
      <c r="M342" s="608"/>
      <c r="N342" s="607"/>
      <c r="O342" s="605"/>
      <c r="P342" s="605"/>
      <c r="Q342" s="605"/>
      <c r="R342" s="605"/>
      <c r="S342" s="605"/>
    </row>
    <row r="343" spans="1:21" ht="14.4" customHeight="1">
      <c r="A343" s="745">
        <v>2</v>
      </c>
      <c r="B343" s="746"/>
      <c r="C343" s="605" t="s">
        <v>216</v>
      </c>
      <c r="F343" s="605"/>
      <c r="G343" s="605">
        <f>'B-9'!T482</f>
        <v>144587</v>
      </c>
      <c r="H343" s="605"/>
      <c r="I343" s="605"/>
      <c r="J343" s="605">
        <f t="shared" ref="J343" si="21">G343*M343</f>
        <v>144011.77111793909</v>
      </c>
      <c r="K343" s="608"/>
      <c r="L343" s="606"/>
      <c r="M343" s="610">
        <v>0.99602157260292479</v>
      </c>
      <c r="N343" s="698"/>
      <c r="O343" s="605"/>
      <c r="P343" s="605"/>
      <c r="Q343" s="605"/>
      <c r="R343" s="605"/>
      <c r="S343" s="605"/>
    </row>
    <row r="344" spans="1:21" ht="14.4" customHeight="1">
      <c r="A344" s="745">
        <v>3</v>
      </c>
      <c r="B344" s="746"/>
      <c r="C344" s="605"/>
      <c r="F344" s="605"/>
      <c r="G344" s="605"/>
      <c r="H344" s="605"/>
      <c r="I344" s="605"/>
      <c r="J344" s="605"/>
      <c r="K344" s="608"/>
      <c r="L344" s="606"/>
      <c r="M344" s="611"/>
      <c r="N344" s="607"/>
      <c r="O344" s="605"/>
      <c r="P344" s="605"/>
      <c r="Q344" s="605"/>
      <c r="R344" s="605"/>
      <c r="S344" s="605"/>
    </row>
    <row r="345" spans="1:21" ht="14.4" customHeight="1">
      <c r="A345" s="745">
        <v>4</v>
      </c>
      <c r="B345" s="746"/>
      <c r="C345" s="605" t="s">
        <v>217</v>
      </c>
      <c r="F345" s="607"/>
      <c r="G345" s="607"/>
      <c r="H345" s="607"/>
      <c r="I345" s="607"/>
      <c r="J345" s="607"/>
      <c r="K345" s="608"/>
      <c r="L345" s="609"/>
      <c r="M345" s="611"/>
      <c r="N345" s="607"/>
      <c r="O345" s="605"/>
      <c r="P345" s="605"/>
      <c r="Q345" s="605"/>
      <c r="R345" s="605"/>
      <c r="S345" s="605"/>
    </row>
    <row r="346" spans="1:21" ht="14.4" customHeight="1">
      <c r="A346" s="745">
        <v>5</v>
      </c>
      <c r="B346" s="746"/>
      <c r="C346" s="727" t="s">
        <v>218</v>
      </c>
      <c r="F346" s="607"/>
      <c r="G346" s="607">
        <f>'B-9'!T133+'B-9'!T485+'B-9'!T507</f>
        <v>582150</v>
      </c>
      <c r="H346" s="605"/>
      <c r="I346" s="605"/>
      <c r="J346" s="607">
        <f t="shared" ref="J346:J348" si="22">G346*M346</f>
        <v>582150</v>
      </c>
      <c r="K346" s="608"/>
      <c r="L346" s="609"/>
      <c r="M346" s="610">
        <v>1</v>
      </c>
      <c r="N346" s="607"/>
      <c r="O346" s="607"/>
      <c r="P346" s="607"/>
      <c r="Q346" s="607"/>
      <c r="R346" s="607"/>
      <c r="S346" s="607"/>
      <c r="U346" s="745" t="s">
        <v>251</v>
      </c>
    </row>
    <row r="347" spans="1:21" ht="14.4" customHeight="1">
      <c r="A347" s="745">
        <v>6</v>
      </c>
      <c r="B347" s="746"/>
      <c r="C347" s="727" t="s">
        <v>219</v>
      </c>
      <c r="F347" s="607"/>
      <c r="G347" s="607">
        <v>0</v>
      </c>
      <c r="H347" s="605"/>
      <c r="I347" s="605"/>
      <c r="J347" s="607">
        <f t="shared" si="22"/>
        <v>0</v>
      </c>
      <c r="K347" s="608"/>
      <c r="L347" s="609"/>
      <c r="M347" s="610">
        <v>1</v>
      </c>
      <c r="N347" s="607"/>
      <c r="P347" s="607"/>
      <c r="Q347" s="607"/>
      <c r="R347" s="607"/>
      <c r="S347" s="726"/>
    </row>
    <row r="348" spans="1:21" ht="14.4" customHeight="1">
      <c r="A348" s="745">
        <v>7</v>
      </c>
      <c r="B348" s="746"/>
      <c r="C348" s="727" t="s">
        <v>34</v>
      </c>
      <c r="F348" s="607"/>
      <c r="G348" s="607">
        <f>'B-9'!T379+'B-9'!T486+'B-9'!T508</f>
        <v>1194500</v>
      </c>
      <c r="H348" s="605"/>
      <c r="I348" s="607"/>
      <c r="J348" s="607">
        <f t="shared" si="22"/>
        <v>1194500</v>
      </c>
      <c r="K348" s="608"/>
      <c r="L348" s="609"/>
      <c r="M348" s="610">
        <v>1</v>
      </c>
      <c r="N348" s="607"/>
      <c r="O348" s="607"/>
      <c r="P348" s="607"/>
      <c r="Q348" s="607"/>
      <c r="R348" s="607"/>
      <c r="S348" s="607"/>
      <c r="U348" s="745" t="s">
        <v>251</v>
      </c>
    </row>
    <row r="349" spans="1:21" ht="14.4" customHeight="1">
      <c r="A349" s="745">
        <v>8</v>
      </c>
      <c r="B349" s="746"/>
      <c r="C349" s="605" t="s">
        <v>220</v>
      </c>
      <c r="F349" s="607"/>
      <c r="G349" s="612">
        <f>SUM(G346:G348)</f>
        <v>1776650</v>
      </c>
      <c r="H349" s="605"/>
      <c r="I349" s="607"/>
      <c r="J349" s="612">
        <f>SUM(J346:J348)</f>
        <v>1776650</v>
      </c>
      <c r="K349" s="608"/>
      <c r="L349" s="607"/>
      <c r="M349" s="610">
        <v>1</v>
      </c>
      <c r="N349" s="607"/>
      <c r="O349" s="607"/>
      <c r="P349" s="607"/>
      <c r="Q349" s="607"/>
      <c r="R349" s="607"/>
      <c r="S349" s="607"/>
    </row>
    <row r="350" spans="1:21" ht="14.4" customHeight="1">
      <c r="A350" s="745">
        <v>9</v>
      </c>
      <c r="B350" s="746"/>
      <c r="N350" s="607"/>
      <c r="O350" s="607"/>
      <c r="P350" s="607"/>
      <c r="Q350" s="607"/>
      <c r="R350" s="607"/>
      <c r="S350" s="607"/>
    </row>
    <row r="351" spans="1:21" ht="14.4" customHeight="1">
      <c r="A351" s="745">
        <v>10</v>
      </c>
      <c r="B351" s="746"/>
      <c r="C351" s="605" t="s">
        <v>221</v>
      </c>
      <c r="F351" s="607"/>
      <c r="G351" s="607"/>
      <c r="I351" s="607"/>
      <c r="J351" s="607"/>
      <c r="K351" s="608"/>
      <c r="L351" s="607"/>
      <c r="M351" s="611"/>
      <c r="N351" s="607"/>
      <c r="O351" s="607"/>
      <c r="P351" s="607"/>
      <c r="Q351" s="607"/>
      <c r="R351" s="607"/>
      <c r="S351" s="607"/>
    </row>
    <row r="352" spans="1:21" ht="14.4" customHeight="1">
      <c r="A352" s="745">
        <v>11</v>
      </c>
      <c r="B352" s="746"/>
      <c r="C352" s="727" t="s">
        <v>235</v>
      </c>
      <c r="F352" s="607"/>
      <c r="G352" s="607">
        <f>'B-9'!T384</f>
        <v>4852</v>
      </c>
      <c r="I352" s="607"/>
      <c r="J352" s="607">
        <f t="shared" ref="J352:J361" si="23">G352*M352</f>
        <v>4566.1779291836065</v>
      </c>
      <c r="K352" s="608"/>
      <c r="L352" s="607"/>
      <c r="M352" s="610">
        <v>0.94109190626207884</v>
      </c>
      <c r="N352" s="607"/>
      <c r="O352" s="607"/>
      <c r="P352" s="607"/>
      <c r="Q352" s="607"/>
      <c r="R352" s="607"/>
      <c r="S352" s="607"/>
    </row>
    <row r="353" spans="1:21" ht="14.4" customHeight="1">
      <c r="A353" s="745">
        <v>12</v>
      </c>
      <c r="B353" s="746"/>
      <c r="C353" s="727" t="s">
        <v>223</v>
      </c>
      <c r="F353" s="607"/>
      <c r="G353" s="607">
        <f>'B-9'!T386</f>
        <v>14125</v>
      </c>
      <c r="I353" s="607"/>
      <c r="J353" s="607">
        <f t="shared" si="23"/>
        <v>13292.923175951864</v>
      </c>
      <c r="K353" s="608"/>
      <c r="L353" s="607"/>
      <c r="M353" s="610">
        <v>0.94109190626207884</v>
      </c>
      <c r="N353" s="607"/>
      <c r="O353" s="607"/>
      <c r="P353" s="607"/>
      <c r="Q353" s="607"/>
      <c r="R353" s="607"/>
      <c r="S353" s="607"/>
    </row>
    <row r="354" spans="1:21" ht="14.4" customHeight="1">
      <c r="A354" s="745">
        <v>13</v>
      </c>
      <c r="B354" s="746"/>
      <c r="C354" s="727" t="s">
        <v>224</v>
      </c>
      <c r="F354" s="607"/>
      <c r="G354" s="607">
        <f>'B-9'!T387</f>
        <v>86525</v>
      </c>
      <c r="I354" s="607"/>
      <c r="J354" s="607">
        <f t="shared" si="23"/>
        <v>81427.977189326368</v>
      </c>
      <c r="K354" s="608"/>
      <c r="L354" s="607"/>
      <c r="M354" s="610">
        <v>0.94109190626207884</v>
      </c>
      <c r="N354" s="607"/>
      <c r="O354" s="607"/>
      <c r="P354" s="607"/>
      <c r="Q354" s="607"/>
      <c r="R354" s="607"/>
      <c r="S354" s="607"/>
    </row>
    <row r="355" spans="1:21" ht="14.4" customHeight="1">
      <c r="A355" s="745">
        <v>14</v>
      </c>
      <c r="B355" s="746"/>
      <c r="C355" s="727" t="s">
        <v>225</v>
      </c>
      <c r="F355" s="607"/>
      <c r="G355" s="607">
        <f>'B-9'!T388</f>
        <v>5067</v>
      </c>
      <c r="I355" s="607"/>
      <c r="J355" s="607">
        <f t="shared" si="23"/>
        <v>4768.5126890299534</v>
      </c>
      <c r="K355" s="608"/>
      <c r="L355" s="607"/>
      <c r="M355" s="610">
        <v>0.94109190626207884</v>
      </c>
      <c r="N355" s="607"/>
      <c r="O355" s="607"/>
      <c r="P355" s="607"/>
      <c r="Q355" s="607"/>
      <c r="R355" s="607"/>
      <c r="S355" s="607"/>
    </row>
    <row r="356" spans="1:21" ht="14.4" customHeight="1">
      <c r="A356" s="745">
        <v>15</v>
      </c>
      <c r="C356" s="727" t="s">
        <v>226</v>
      </c>
      <c r="F356" s="607"/>
      <c r="G356" s="607">
        <f>'B-9'!T389</f>
        <v>130616</v>
      </c>
      <c r="I356" s="607"/>
      <c r="J356" s="607">
        <f t="shared" si="23"/>
        <v>122921.66042832768</v>
      </c>
      <c r="K356" s="608"/>
      <c r="L356" s="607"/>
      <c r="M356" s="610">
        <v>0.94109190626207884</v>
      </c>
      <c r="N356" s="607"/>
      <c r="O356" s="607"/>
      <c r="P356" s="607"/>
      <c r="Q356" s="607"/>
      <c r="R356" s="607"/>
      <c r="S356" s="607"/>
    </row>
    <row r="357" spans="1:21" ht="14.4" customHeight="1">
      <c r="A357" s="745">
        <v>16</v>
      </c>
      <c r="B357" s="746"/>
      <c r="C357" s="727" t="s">
        <v>227</v>
      </c>
      <c r="F357" s="607"/>
      <c r="G357" s="607">
        <f>'B-9'!T390+'B-9'!T502</f>
        <v>34262</v>
      </c>
      <c r="I357" s="607"/>
      <c r="J357" s="607">
        <f t="shared" si="23"/>
        <v>32243.690892351344</v>
      </c>
      <c r="K357" s="608"/>
      <c r="L357" s="607"/>
      <c r="M357" s="610">
        <v>0.94109190626207884</v>
      </c>
      <c r="N357" s="607"/>
      <c r="O357" s="607"/>
      <c r="P357" s="607"/>
      <c r="Q357" s="607"/>
      <c r="R357" s="607"/>
      <c r="S357" s="607"/>
      <c r="U357" s="745" t="s">
        <v>252</v>
      </c>
    </row>
    <row r="358" spans="1:21" ht="14.4" customHeight="1">
      <c r="A358" s="745">
        <v>17</v>
      </c>
      <c r="B358" s="746"/>
      <c r="C358" s="727" t="s">
        <v>229</v>
      </c>
      <c r="F358" s="607"/>
      <c r="G358" s="607">
        <f>'B-9'!T391</f>
        <v>1746</v>
      </c>
      <c r="I358" s="607"/>
      <c r="J358" s="607">
        <f t="shared" si="23"/>
        <v>1643.1464683335896</v>
      </c>
      <c r="K358" s="608"/>
      <c r="L358" s="607"/>
      <c r="M358" s="610">
        <v>0.94109190626207884</v>
      </c>
      <c r="N358" s="607"/>
      <c r="O358" s="607"/>
      <c r="P358" s="607"/>
      <c r="Q358" s="607"/>
      <c r="R358" s="607"/>
      <c r="S358" s="607"/>
    </row>
    <row r="359" spans="1:21" ht="14.4" customHeight="1">
      <c r="A359" s="745">
        <v>18</v>
      </c>
      <c r="B359" s="746"/>
      <c r="C359" s="727" t="s">
        <v>230</v>
      </c>
      <c r="F359" s="607"/>
      <c r="G359" s="607">
        <f>'B-9'!T392</f>
        <v>1737</v>
      </c>
      <c r="I359" s="607"/>
      <c r="J359" s="607">
        <f t="shared" si="23"/>
        <v>1634.676641177231</v>
      </c>
      <c r="K359" s="608"/>
      <c r="L359" s="607"/>
      <c r="M359" s="610">
        <v>0.94109190626207884</v>
      </c>
      <c r="N359" s="607"/>
      <c r="O359" s="607"/>
      <c r="P359" s="607"/>
      <c r="Q359" s="607"/>
      <c r="R359" s="607"/>
      <c r="S359" s="607"/>
    </row>
    <row r="360" spans="1:21" ht="14.4" customHeight="1">
      <c r="A360" s="745">
        <v>19</v>
      </c>
      <c r="B360" s="746"/>
      <c r="C360" s="727" t="s">
        <v>231</v>
      </c>
      <c r="F360" s="607"/>
      <c r="G360" s="607">
        <f>'B-9'!T393</f>
        <v>3470</v>
      </c>
      <c r="I360" s="607"/>
      <c r="J360" s="607">
        <f t="shared" si="23"/>
        <v>3265.5889147294138</v>
      </c>
      <c r="K360" s="608"/>
      <c r="L360" s="607"/>
      <c r="M360" s="610">
        <v>0.94109190626207884</v>
      </c>
      <c r="N360" s="607"/>
      <c r="O360" s="607"/>
      <c r="P360" s="607"/>
      <c r="Q360" s="607"/>
      <c r="R360" s="607"/>
      <c r="S360" s="607"/>
    </row>
    <row r="361" spans="1:21" ht="14.4" customHeight="1">
      <c r="A361" s="745">
        <v>20</v>
      </c>
      <c r="B361" s="746"/>
      <c r="C361" s="727" t="s">
        <v>232</v>
      </c>
      <c r="G361" s="607">
        <f>'B-9'!T394</f>
        <v>3126</v>
      </c>
      <c r="J361" s="607">
        <f t="shared" si="23"/>
        <v>2941.8532989752584</v>
      </c>
      <c r="M361" s="610">
        <v>0.94109190626207884</v>
      </c>
      <c r="O361" s="607"/>
      <c r="P361" s="607"/>
      <c r="Q361" s="607"/>
      <c r="R361" s="607"/>
      <c r="S361" s="607"/>
    </row>
    <row r="362" spans="1:21" ht="14.4" customHeight="1">
      <c r="A362" s="745">
        <v>21</v>
      </c>
      <c r="B362" s="746"/>
      <c r="C362" s="605" t="s">
        <v>233</v>
      </c>
      <c r="F362" s="607"/>
      <c r="G362" s="612">
        <f>SUM(G352:G361)</f>
        <v>285526</v>
      </c>
      <c r="H362" s="764"/>
      <c r="I362" s="607"/>
      <c r="J362" s="612">
        <f>SUM(J352:J361)</f>
        <v>268706.20762738632</v>
      </c>
      <c r="K362" s="608"/>
      <c r="L362" s="607"/>
      <c r="M362" s="610">
        <v>0.94109190626207884</v>
      </c>
      <c r="O362" s="607"/>
      <c r="P362" s="607"/>
      <c r="Q362" s="607"/>
      <c r="R362" s="607"/>
      <c r="S362" s="607"/>
    </row>
    <row r="363" spans="1:21" ht="14.4" customHeight="1">
      <c r="A363" s="745">
        <v>22</v>
      </c>
      <c r="B363" s="746"/>
      <c r="O363" s="607"/>
      <c r="P363" s="607"/>
      <c r="Q363" s="607"/>
      <c r="R363" s="607"/>
      <c r="S363" s="607"/>
    </row>
    <row r="364" spans="1:21" ht="14.4" customHeight="1">
      <c r="A364" s="745">
        <v>23</v>
      </c>
      <c r="B364" s="746"/>
      <c r="C364" s="605" t="s">
        <v>234</v>
      </c>
      <c r="F364" s="607"/>
      <c r="G364" s="607"/>
      <c r="H364" s="607"/>
      <c r="I364" s="607"/>
      <c r="J364" s="607"/>
      <c r="K364" s="608"/>
      <c r="L364" s="607"/>
      <c r="M364" s="611"/>
      <c r="N364" s="763"/>
      <c r="O364" s="607"/>
      <c r="P364" s="607"/>
      <c r="Q364" s="607"/>
      <c r="R364" s="607"/>
      <c r="S364" s="607"/>
    </row>
    <row r="365" spans="1:21" ht="14.4" customHeight="1">
      <c r="A365" s="745">
        <v>24</v>
      </c>
      <c r="B365" s="746"/>
      <c r="C365" s="618" t="s">
        <v>235</v>
      </c>
      <c r="F365" s="607"/>
      <c r="G365" s="607">
        <f>'B-9'!T414</f>
        <v>0</v>
      </c>
      <c r="H365" s="605"/>
      <c r="I365" s="607"/>
      <c r="J365" s="607">
        <f>G365*M365</f>
        <v>0</v>
      </c>
      <c r="K365" s="608"/>
      <c r="L365" s="607"/>
      <c r="M365" s="610">
        <v>1</v>
      </c>
      <c r="P365" s="607"/>
      <c r="Q365" s="607"/>
      <c r="R365" s="607"/>
      <c r="S365" s="607"/>
    </row>
    <row r="366" spans="1:21" ht="14.4" customHeight="1">
      <c r="A366" s="745">
        <v>25</v>
      </c>
      <c r="B366" s="746"/>
      <c r="C366" s="727" t="s">
        <v>223</v>
      </c>
      <c r="F366" s="607"/>
      <c r="G366" s="607">
        <f>'B-9'!T415</f>
        <v>8949</v>
      </c>
      <c r="H366" s="605"/>
      <c r="I366" s="607"/>
      <c r="J366" s="607">
        <f t="shared" ref="J366:J374" si="24">G366*M366</f>
        <v>8949</v>
      </c>
      <c r="K366" s="608"/>
      <c r="L366" s="607"/>
      <c r="M366" s="610">
        <v>1</v>
      </c>
      <c r="P366" s="607"/>
      <c r="Q366" s="607"/>
      <c r="R366" s="607"/>
      <c r="S366" s="607"/>
    </row>
    <row r="367" spans="1:21" ht="14.4" customHeight="1">
      <c r="A367" s="745">
        <v>26</v>
      </c>
      <c r="B367" s="746"/>
      <c r="C367" s="727" t="s">
        <v>224</v>
      </c>
      <c r="F367" s="607"/>
      <c r="G367" s="607">
        <f>'B-9'!T416</f>
        <v>72465</v>
      </c>
      <c r="H367" s="605"/>
      <c r="I367" s="607"/>
      <c r="J367" s="607">
        <f t="shared" si="24"/>
        <v>72465</v>
      </c>
      <c r="K367" s="608"/>
      <c r="L367" s="607"/>
      <c r="M367" s="610">
        <v>1</v>
      </c>
      <c r="P367" s="607"/>
      <c r="Q367" s="607"/>
      <c r="R367" s="607"/>
      <c r="S367" s="607"/>
    </row>
    <row r="368" spans="1:21" ht="14.4" customHeight="1">
      <c r="A368" s="745">
        <v>27</v>
      </c>
      <c r="B368" s="746"/>
      <c r="C368" s="727" t="s">
        <v>253</v>
      </c>
      <c r="F368" s="607"/>
      <c r="G368" s="607">
        <f>'B-9'!T418</f>
        <v>189749</v>
      </c>
      <c r="H368" s="605"/>
      <c r="I368" s="607"/>
      <c r="J368" s="607">
        <f t="shared" si="24"/>
        <v>189749</v>
      </c>
      <c r="K368" s="608"/>
      <c r="L368" s="607"/>
      <c r="M368" s="610">
        <v>1</v>
      </c>
      <c r="P368" s="607"/>
      <c r="Q368" s="607"/>
      <c r="R368" s="607"/>
      <c r="S368" s="607"/>
    </row>
    <row r="369" spans="1:20" ht="14.4" customHeight="1">
      <c r="A369" s="745">
        <v>28</v>
      </c>
      <c r="B369" s="746"/>
      <c r="C369" s="727" t="s">
        <v>238</v>
      </c>
      <c r="F369" s="607"/>
      <c r="G369" s="607">
        <f>'B-9'!T419</f>
        <v>151725</v>
      </c>
      <c r="H369" s="605"/>
      <c r="I369" s="607"/>
      <c r="J369" s="607">
        <f t="shared" si="24"/>
        <v>151725</v>
      </c>
      <c r="K369" s="608"/>
      <c r="L369" s="607"/>
      <c r="M369" s="610">
        <v>1</v>
      </c>
      <c r="P369" s="607"/>
      <c r="Q369" s="607"/>
      <c r="R369" s="607"/>
      <c r="S369" s="607"/>
    </row>
    <row r="370" spans="1:20" ht="14.4" customHeight="1">
      <c r="A370" s="745">
        <v>29</v>
      </c>
      <c r="B370" s="746"/>
      <c r="C370" s="727" t="s">
        <v>230</v>
      </c>
      <c r="F370" s="607"/>
      <c r="G370" s="607">
        <f>'B-9'!T420</f>
        <v>89998</v>
      </c>
      <c r="H370" s="605"/>
      <c r="I370" s="607"/>
      <c r="J370" s="607">
        <f t="shared" si="24"/>
        <v>89998</v>
      </c>
      <c r="K370" s="608"/>
      <c r="L370" s="607"/>
      <c r="M370" s="610">
        <v>1</v>
      </c>
      <c r="P370" s="607"/>
      <c r="Q370" s="607"/>
      <c r="R370" s="607"/>
      <c r="S370" s="607"/>
    </row>
    <row r="371" spans="1:20" ht="14.4" customHeight="1">
      <c r="A371" s="745">
        <v>30</v>
      </c>
      <c r="B371" s="746"/>
      <c r="C371" s="727" t="s">
        <v>239</v>
      </c>
      <c r="F371" s="607"/>
      <c r="G371" s="607">
        <f>'B-9'!T421</f>
        <v>88363</v>
      </c>
      <c r="H371" s="605"/>
      <c r="I371" s="607"/>
      <c r="J371" s="607">
        <f t="shared" si="24"/>
        <v>88363</v>
      </c>
      <c r="K371" s="608"/>
      <c r="L371" s="607"/>
      <c r="M371" s="610">
        <v>1</v>
      </c>
      <c r="P371" s="607"/>
      <c r="Q371" s="607"/>
      <c r="R371" s="607"/>
      <c r="S371" s="607"/>
    </row>
    <row r="372" spans="1:20" ht="14.4" customHeight="1">
      <c r="A372" s="745">
        <v>31</v>
      </c>
      <c r="B372" s="746"/>
      <c r="C372" s="727" t="s">
        <v>240</v>
      </c>
      <c r="F372" s="607"/>
      <c r="G372" s="607">
        <f>'B-9'!T422</f>
        <v>329223</v>
      </c>
      <c r="H372" s="605"/>
      <c r="I372" s="607"/>
      <c r="J372" s="607">
        <f t="shared" si="24"/>
        <v>329223</v>
      </c>
      <c r="K372" s="608"/>
      <c r="L372" s="607"/>
      <c r="M372" s="610">
        <v>1</v>
      </c>
      <c r="P372" s="607"/>
      <c r="Q372" s="607"/>
      <c r="R372" s="607"/>
      <c r="S372" s="607"/>
    </row>
    <row r="373" spans="1:20" ht="14.4" customHeight="1">
      <c r="A373" s="745">
        <v>32</v>
      </c>
      <c r="B373" s="746"/>
      <c r="C373" s="727" t="s">
        <v>241</v>
      </c>
      <c r="F373" s="607"/>
      <c r="G373" s="607">
        <f>'B-9'!T423+'B-9'!T424</f>
        <v>135421</v>
      </c>
      <c r="H373" s="605"/>
      <c r="I373" s="607"/>
      <c r="J373" s="607">
        <f t="shared" si="24"/>
        <v>135421</v>
      </c>
      <c r="K373" s="608"/>
      <c r="L373" s="607"/>
      <c r="M373" s="610">
        <v>1</v>
      </c>
      <c r="P373" s="607"/>
      <c r="Q373" s="607"/>
      <c r="R373" s="607"/>
      <c r="S373" s="607"/>
    </row>
    <row r="374" spans="1:20" ht="14.4" customHeight="1">
      <c r="A374" s="745">
        <v>33</v>
      </c>
      <c r="B374" s="746"/>
      <c r="C374" s="727" t="s">
        <v>242</v>
      </c>
      <c r="F374" s="607"/>
      <c r="G374" s="607">
        <f>'B-9'!T425+'B-9'!T426</f>
        <v>13364</v>
      </c>
      <c r="H374" s="605"/>
      <c r="I374" s="607"/>
      <c r="J374" s="607">
        <f t="shared" si="24"/>
        <v>13364</v>
      </c>
      <c r="K374" s="608"/>
      <c r="L374" s="607"/>
      <c r="M374" s="610">
        <v>1</v>
      </c>
      <c r="P374" s="607"/>
      <c r="Q374" s="607"/>
      <c r="R374" s="607"/>
      <c r="S374" s="607"/>
    </row>
    <row r="375" spans="1:20" ht="14.4" customHeight="1">
      <c r="A375" s="745">
        <v>34</v>
      </c>
      <c r="B375" s="746"/>
      <c r="C375" s="727" t="s">
        <v>243</v>
      </c>
      <c r="G375" s="607">
        <f>'B-9'!T427</f>
        <v>8</v>
      </c>
      <c r="J375" s="607">
        <f t="shared" ref="J375" si="25">G375*M375</f>
        <v>8</v>
      </c>
      <c r="K375" s="608"/>
      <c r="L375" s="607"/>
      <c r="M375" s="610">
        <v>1</v>
      </c>
      <c r="P375" s="607"/>
      <c r="Q375" s="607"/>
      <c r="R375" s="607"/>
      <c r="S375" s="607"/>
    </row>
    <row r="376" spans="1:20" ht="14.4" customHeight="1">
      <c r="A376" s="745">
        <v>35</v>
      </c>
      <c r="B376" s="746"/>
      <c r="C376" s="727" t="s">
        <v>244</v>
      </c>
      <c r="G376" s="607">
        <f>'B-9'!T428+'B-9'!T429</f>
        <v>122973</v>
      </c>
      <c r="I376" s="607"/>
      <c r="J376" s="607">
        <f>G376*M376</f>
        <v>122973</v>
      </c>
      <c r="K376" s="608"/>
      <c r="L376" s="607"/>
      <c r="M376" s="610">
        <v>1</v>
      </c>
      <c r="N376" s="763"/>
      <c r="P376" s="607"/>
      <c r="Q376" s="607"/>
      <c r="R376" s="607"/>
      <c r="S376" s="607"/>
    </row>
    <row r="377" spans="1:20" ht="14.4" customHeight="1">
      <c r="A377" s="745">
        <v>36</v>
      </c>
      <c r="C377" s="727" t="s">
        <v>254</v>
      </c>
      <c r="G377" s="764">
        <f>'B-9'!T487</f>
        <v>1706</v>
      </c>
      <c r="J377" s="607">
        <f>G377*M377</f>
        <v>1706</v>
      </c>
      <c r="M377" s="610">
        <v>1</v>
      </c>
      <c r="N377" s="763"/>
      <c r="P377" s="763"/>
      <c r="Q377" s="763"/>
      <c r="R377" s="763"/>
      <c r="S377" s="763"/>
    </row>
    <row r="378" spans="1:20" ht="14.4" customHeight="1">
      <c r="A378" s="745">
        <v>37</v>
      </c>
      <c r="C378" s="605" t="s">
        <v>245</v>
      </c>
      <c r="F378" s="607"/>
      <c r="G378" s="612">
        <f>SUM(G365:G377)</f>
        <v>1203944</v>
      </c>
      <c r="I378" s="607"/>
      <c r="J378" s="612">
        <f>SUM(J365:J377)</f>
        <v>1203944</v>
      </c>
      <c r="K378" s="608"/>
      <c r="L378" s="607"/>
      <c r="M378" s="610">
        <v>1</v>
      </c>
      <c r="P378" s="763"/>
      <c r="Q378" s="763"/>
      <c r="R378" s="763"/>
      <c r="S378" s="763"/>
    </row>
    <row r="379" spans="1:20" ht="14.4" customHeight="1">
      <c r="A379" s="745">
        <v>38</v>
      </c>
      <c r="O379" s="763"/>
      <c r="P379" s="763"/>
      <c r="Q379" s="763"/>
      <c r="R379" s="763"/>
      <c r="S379" s="763"/>
    </row>
    <row r="380" spans="1:20" ht="14.4" customHeight="1">
      <c r="A380" s="745">
        <v>39</v>
      </c>
      <c r="C380" s="745" t="s">
        <v>246</v>
      </c>
      <c r="F380" s="763"/>
      <c r="G380" s="607">
        <f>'B-9'!T452+'B-9'!T488</f>
        <v>163725</v>
      </c>
      <c r="I380" s="607"/>
      <c r="J380" s="607">
        <f>J381-J378-J362-J349-J343</f>
        <v>162351.74125467479</v>
      </c>
      <c r="K380" s="608"/>
      <c r="L380" s="763"/>
      <c r="M380" s="610">
        <f>J380/G380</f>
        <v>0.99161240650282356</v>
      </c>
      <c r="N380" s="607"/>
      <c r="O380" s="607"/>
      <c r="P380" s="763"/>
      <c r="Q380" s="763"/>
      <c r="R380" s="763"/>
      <c r="S380" s="763"/>
    </row>
    <row r="381" spans="1:20" ht="14.4" customHeight="1">
      <c r="A381" s="745">
        <v>40</v>
      </c>
      <c r="C381" s="745" t="s">
        <v>255</v>
      </c>
      <c r="F381" s="763"/>
      <c r="G381" s="612">
        <f>+G343+G349+G362+G378+G380</f>
        <v>3574432</v>
      </c>
      <c r="H381" s="605"/>
      <c r="I381" s="607"/>
      <c r="J381" s="612">
        <v>3555663.72</v>
      </c>
      <c r="K381" s="613"/>
      <c r="L381" s="763"/>
      <c r="M381" s="620">
        <f>J381/G381</f>
        <v>0.9947492972310007</v>
      </c>
      <c r="N381" s="607"/>
      <c r="O381" s="607"/>
      <c r="P381" s="763"/>
      <c r="Q381" s="763"/>
      <c r="R381" s="763"/>
      <c r="S381" s="763"/>
    </row>
    <row r="382" spans="1:20" ht="14.4" customHeight="1" thickBot="1">
      <c r="A382" s="750">
        <v>41</v>
      </c>
      <c r="B382" s="750" t="str">
        <f>B327</f>
        <v>Totals may be affected due to rounding.</v>
      </c>
      <c r="C382" s="750"/>
      <c r="D382" s="750"/>
      <c r="E382" s="750"/>
      <c r="F382" s="750"/>
      <c r="G382" s="750"/>
      <c r="H382" s="750"/>
      <c r="I382" s="750"/>
      <c r="J382" s="750"/>
      <c r="K382" s="750"/>
      <c r="L382" s="750"/>
      <c r="M382" s="750"/>
      <c r="N382" s="729"/>
      <c r="O382" s="729"/>
      <c r="P382" s="750"/>
      <c r="Q382" s="750"/>
      <c r="R382" s="750"/>
      <c r="S382" s="750"/>
    </row>
    <row r="383" spans="1:20" ht="14.4" customHeight="1">
      <c r="A383" s="745" t="str">
        <f>$A$328</f>
        <v>Supporting Schedules: B-3, B-5, B-7, B-9, B-15, B-16, B-17</v>
      </c>
      <c r="Q383" s="745" t="s">
        <v>181</v>
      </c>
    </row>
    <row r="384" spans="1:20" ht="14.4" customHeight="1" thickBot="1">
      <c r="A384" s="750" t="s">
        <v>206</v>
      </c>
      <c r="B384" s="750"/>
      <c r="C384" s="750"/>
      <c r="D384" s="750"/>
      <c r="E384" s="750"/>
      <c r="F384" s="750"/>
      <c r="G384" s="750"/>
      <c r="H384" s="750" t="s">
        <v>207</v>
      </c>
      <c r="I384" s="750"/>
      <c r="J384" s="750"/>
      <c r="K384" s="750"/>
      <c r="L384" s="750"/>
      <c r="M384" s="750"/>
      <c r="N384" s="750"/>
      <c r="O384" s="750"/>
      <c r="P384" s="750"/>
      <c r="Q384" s="750"/>
      <c r="R384" s="750"/>
      <c r="S384" s="751" t="s">
        <v>736</v>
      </c>
      <c r="T384" s="745" t="s">
        <v>249</v>
      </c>
    </row>
    <row r="385" spans="1:19" ht="14.4" customHeight="1">
      <c r="A385" s="745" t="s">
        <v>4</v>
      </c>
      <c r="E385" s="745" t="s">
        <v>208</v>
      </c>
      <c r="G385" s="745" t="s">
        <v>209</v>
      </c>
      <c r="K385" s="752"/>
      <c r="L385" s="752"/>
      <c r="N385" s="752"/>
      <c r="O385" s="752"/>
      <c r="P385" s="752" t="s">
        <v>7</v>
      </c>
      <c r="S385" s="753"/>
    </row>
    <row r="386" spans="1:19" ht="14.4" customHeight="1">
      <c r="G386" s="745" t="s">
        <v>210</v>
      </c>
      <c r="J386" s="745" t="str">
        <f>IF($BC$276&lt;&gt;0,$BC$276,"")</f>
        <v/>
      </c>
      <c r="K386" s="754"/>
      <c r="L386" s="753"/>
      <c r="O386" s="754"/>
      <c r="P386" s="754"/>
      <c r="Q386" s="753" t="s">
        <v>9</v>
      </c>
      <c r="S386" s="754"/>
    </row>
    <row r="387" spans="1:19" ht="14.4" customHeight="1">
      <c r="A387" s="745" t="s">
        <v>10</v>
      </c>
      <c r="G387" s="745" t="s">
        <v>211</v>
      </c>
      <c r="J387" s="745" t="str">
        <f>IF($BC$277&lt;&gt;0,$BC$277,"")</f>
        <v/>
      </c>
      <c r="K387" s="754"/>
      <c r="L387" s="753"/>
      <c r="M387" s="754"/>
      <c r="P387" s="754"/>
      <c r="Q387" s="753" t="s">
        <v>11</v>
      </c>
      <c r="S387" s="754"/>
    </row>
    <row r="388" spans="1:19" ht="14.4" customHeight="1">
      <c r="G388" s="745" t="str">
        <f>IF($G$278&lt;&gt;0,$G$278,"")</f>
        <v/>
      </c>
      <c r="J388" s="745" t="str">
        <f>IF($BC$278&lt;&gt;0,$BC$278,"")</f>
        <v/>
      </c>
      <c r="K388" s="754"/>
      <c r="L388" s="753"/>
      <c r="M388" s="754"/>
      <c r="P388" s="754" t="s">
        <v>12</v>
      </c>
      <c r="Q388" s="753" t="s">
        <v>13</v>
      </c>
      <c r="S388" s="754"/>
    </row>
    <row r="389" spans="1:19" ht="14.4" customHeight="1">
      <c r="K389" s="754"/>
      <c r="L389" s="753"/>
      <c r="M389" s="754"/>
      <c r="P389" s="754"/>
      <c r="Q389" s="753" t="str">
        <f>+$Q$279</f>
        <v>Witness: C. Aldazabal / J. Chronister /</v>
      </c>
      <c r="S389" s="754"/>
    </row>
    <row r="390" spans="1:19" ht="14.4" customHeight="1">
      <c r="K390" s="754"/>
      <c r="L390" s="753"/>
      <c r="M390" s="754"/>
      <c r="P390" s="754"/>
      <c r="Q390" s="753" t="str">
        <f>+$Q$280</f>
        <v xml:space="preserve">                 R. Latta / C. Whitworth /</v>
      </c>
      <c r="S390" s="754"/>
    </row>
    <row r="391" spans="1:19" ht="14.4" customHeight="1" thickBot="1">
      <c r="A391" s="750" t="str">
        <f>$A$281</f>
        <v>DOCKET No. 20240026-EI</v>
      </c>
      <c r="B391" s="750"/>
      <c r="C391" s="750"/>
      <c r="D391" s="750"/>
      <c r="E391" s="750"/>
      <c r="F391" s="750"/>
      <c r="G391" s="750" t="str">
        <f>IF($G$281&lt;&gt;0,$G$281,"")</f>
        <v/>
      </c>
      <c r="H391" s="750"/>
      <c r="I391" s="750"/>
      <c r="J391" s="750" t="str">
        <f>+$J$281</f>
        <v>(Dollars in 000's)</v>
      </c>
      <c r="K391" s="751"/>
      <c r="L391" s="755"/>
      <c r="M391" s="751"/>
      <c r="N391" s="750"/>
      <c r="O391" s="750"/>
      <c r="P391" s="751"/>
      <c r="Q391" s="755" t="str">
        <f>+$Q$281</f>
        <v xml:space="preserve">                 J. Williams</v>
      </c>
      <c r="R391" s="750"/>
      <c r="S391" s="751"/>
    </row>
    <row r="392" spans="1:19" ht="14.4" customHeight="1">
      <c r="C392" s="756"/>
      <c r="D392" s="756"/>
      <c r="E392" s="756"/>
      <c r="F392" s="756"/>
      <c r="G392" s="756"/>
      <c r="H392" s="756"/>
      <c r="I392" s="756"/>
      <c r="J392" s="756"/>
      <c r="K392" s="756"/>
      <c r="L392" s="756"/>
      <c r="M392" s="756"/>
      <c r="N392" s="756"/>
      <c r="O392" s="756"/>
      <c r="P392" s="756"/>
      <c r="Q392" s="756"/>
      <c r="R392" s="756"/>
      <c r="S392" s="756"/>
    </row>
    <row r="393" spans="1:19" ht="14.4" customHeight="1">
      <c r="C393" s="756"/>
      <c r="D393" s="756"/>
      <c r="E393" s="756"/>
      <c r="F393" s="756"/>
      <c r="G393" s="756"/>
      <c r="H393" s="756"/>
      <c r="I393" s="756"/>
      <c r="J393" s="756"/>
      <c r="K393" s="776"/>
      <c r="L393" s="776"/>
      <c r="M393" s="756"/>
      <c r="N393" s="756"/>
      <c r="O393" s="756"/>
      <c r="P393" s="756"/>
      <c r="Q393" s="756"/>
      <c r="R393" s="756"/>
      <c r="S393" s="756"/>
    </row>
    <row r="394" spans="1:19" ht="14.4" customHeight="1">
      <c r="G394" s="756" t="s">
        <v>17</v>
      </c>
      <c r="H394" s="757"/>
      <c r="I394" s="756"/>
      <c r="J394" s="756" t="s">
        <v>18</v>
      </c>
      <c r="K394" s="756"/>
      <c r="L394" s="757"/>
      <c r="M394" s="756" t="s">
        <v>19</v>
      </c>
      <c r="N394" s="757"/>
      <c r="S394" s="757"/>
    </row>
    <row r="395" spans="1:19" ht="14.4" customHeight="1">
      <c r="A395" s="745" t="s">
        <v>35</v>
      </c>
      <c r="B395" s="757"/>
      <c r="C395" s="757"/>
      <c r="D395" s="757"/>
      <c r="E395" s="757"/>
      <c r="F395" s="756"/>
      <c r="G395" s="757" t="s">
        <v>45</v>
      </c>
      <c r="H395" s="757"/>
      <c r="I395" s="757"/>
      <c r="J395" s="757" t="s">
        <v>212</v>
      </c>
      <c r="K395" s="757"/>
      <c r="L395" s="756"/>
      <c r="M395" s="757" t="s">
        <v>98</v>
      </c>
      <c r="N395" s="753"/>
      <c r="O395" s="753"/>
      <c r="P395" s="756"/>
      <c r="Q395" s="756"/>
      <c r="R395" s="756"/>
      <c r="S395" s="757"/>
    </row>
    <row r="396" spans="1:19" ht="14.4" customHeight="1" thickBot="1">
      <c r="A396" s="750" t="s">
        <v>46</v>
      </c>
      <c r="B396" s="758"/>
      <c r="C396" s="758" t="s">
        <v>213</v>
      </c>
      <c r="D396" s="758"/>
      <c r="E396" s="758"/>
      <c r="F396" s="758"/>
      <c r="G396" s="759" t="s">
        <v>214</v>
      </c>
      <c r="H396" s="759"/>
      <c r="I396" s="759"/>
      <c r="J396" s="759" t="s">
        <v>98</v>
      </c>
      <c r="K396" s="759"/>
      <c r="L396" s="760"/>
      <c r="M396" s="759" t="s">
        <v>110</v>
      </c>
      <c r="N396" s="761"/>
      <c r="O396" s="761"/>
      <c r="P396" s="761"/>
      <c r="Q396" s="761"/>
      <c r="R396" s="761"/>
      <c r="S396" s="761"/>
    </row>
    <row r="397" spans="1:19" ht="14.4" customHeight="1">
      <c r="A397" s="745">
        <v>1</v>
      </c>
      <c r="B397" s="768"/>
      <c r="C397" s="721" t="s">
        <v>256</v>
      </c>
      <c r="F397" s="605"/>
      <c r="G397" s="616">
        <f>G326-G381</f>
        <v>8305983</v>
      </c>
      <c r="H397" s="605"/>
      <c r="I397" s="607"/>
      <c r="J397" s="616">
        <f>J326-J381</f>
        <v>8250575.2829999998</v>
      </c>
      <c r="K397" s="608"/>
      <c r="L397" s="605"/>
      <c r="M397" s="610">
        <f>IF(G397=0,0,J397/G397)</f>
        <v>0.99332918006213111</v>
      </c>
      <c r="N397" s="605"/>
      <c r="O397" s="605"/>
      <c r="P397" s="605"/>
      <c r="Q397" s="605"/>
      <c r="R397" s="605"/>
      <c r="S397" s="605"/>
    </row>
    <row r="398" spans="1:19" ht="14.4" customHeight="1">
      <c r="A398" s="745">
        <f t="shared" ref="A398:A434" si="26">A397+1</f>
        <v>2</v>
      </c>
      <c r="B398" s="746"/>
      <c r="C398" s="605"/>
      <c r="O398" s="605"/>
      <c r="P398" s="605"/>
      <c r="Q398" s="605"/>
      <c r="R398" s="605"/>
      <c r="S398" s="605"/>
    </row>
    <row r="399" spans="1:19" ht="14.4" customHeight="1">
      <c r="A399" s="745">
        <f t="shared" si="26"/>
        <v>3</v>
      </c>
      <c r="B399" s="746"/>
      <c r="C399" s="724" t="s">
        <v>106</v>
      </c>
      <c r="F399" s="607"/>
      <c r="G399" s="607"/>
      <c r="H399" s="605"/>
      <c r="I399" s="607"/>
      <c r="J399" s="607"/>
      <c r="K399" s="608"/>
      <c r="L399" s="609"/>
      <c r="M399" s="611"/>
      <c r="N399" s="746"/>
      <c r="O399" s="605"/>
      <c r="P399" s="605"/>
      <c r="Q399" s="605"/>
      <c r="R399" s="605"/>
      <c r="S399" s="605"/>
    </row>
    <row r="400" spans="1:19" ht="14.4" customHeight="1">
      <c r="A400" s="745">
        <f t="shared" si="26"/>
        <v>4</v>
      </c>
      <c r="B400" s="746"/>
      <c r="C400" s="605" t="s">
        <v>257</v>
      </c>
      <c r="F400" s="607"/>
      <c r="G400" s="607">
        <f>('Seg of CWIP'!P6+'Seg of CWIP'!P7)/1000</f>
        <v>534874.47018615389</v>
      </c>
      <c r="H400" s="605"/>
      <c r="I400" s="607"/>
      <c r="J400" s="607">
        <f>G400*M400</f>
        <v>530237.16627353348</v>
      </c>
      <c r="K400" s="608"/>
      <c r="L400" s="609"/>
      <c r="M400" s="610">
        <f>'Separation Factors'!$B$14</f>
        <v>0.99133010795784193</v>
      </c>
      <c r="N400" s="746"/>
      <c r="O400" s="607"/>
      <c r="P400" s="605"/>
      <c r="Q400" s="605"/>
      <c r="R400" s="607"/>
      <c r="S400" s="607"/>
    </row>
    <row r="401" spans="1:19" ht="14.4" customHeight="1">
      <c r="A401" s="745">
        <f t="shared" si="26"/>
        <v>5</v>
      </c>
      <c r="B401" s="746"/>
      <c r="C401" s="605" t="s">
        <v>258</v>
      </c>
      <c r="F401" s="607"/>
      <c r="G401" s="607">
        <f>'Seg of CWIP'!P8/1000</f>
        <v>100741.59466692305</v>
      </c>
      <c r="H401" s="605"/>
      <c r="I401" s="607"/>
      <c r="J401" s="607">
        <f>G401*M401</f>
        <v>99868.175917005981</v>
      </c>
      <c r="K401" s="608"/>
      <c r="L401" s="609"/>
      <c r="M401" s="610">
        <f>'Separation Factors'!$B$14</f>
        <v>0.99133010795784193</v>
      </c>
      <c r="N401" s="746"/>
      <c r="O401" s="607"/>
      <c r="P401" s="605"/>
      <c r="Q401" s="605"/>
      <c r="R401" s="607"/>
      <c r="S401" s="607"/>
    </row>
    <row r="402" spans="1:19" ht="14.4" customHeight="1">
      <c r="A402" s="745">
        <f t="shared" si="26"/>
        <v>6</v>
      </c>
      <c r="B402" s="746"/>
      <c r="C402" s="605" t="s">
        <v>259</v>
      </c>
      <c r="F402" s="607"/>
      <c r="G402" s="607">
        <f>'Seg of CWIP'!P9/1000</f>
        <v>310072.76582461537</v>
      </c>
      <c r="H402" s="605"/>
      <c r="I402" s="607"/>
      <c r="J402" s="607">
        <f>G402*M402</f>
        <v>307384.46841970261</v>
      </c>
      <c r="K402" s="608"/>
      <c r="L402" s="607"/>
      <c r="M402" s="610">
        <f>'Separation Factors'!$B$14</f>
        <v>0.99133010795784193</v>
      </c>
      <c r="N402" s="607"/>
      <c r="O402" s="607"/>
      <c r="P402" s="605"/>
      <c r="Q402" s="605"/>
      <c r="R402" s="607"/>
      <c r="S402" s="607"/>
    </row>
    <row r="403" spans="1:19" ht="14.4" customHeight="1">
      <c r="A403" s="745">
        <f t="shared" si="26"/>
        <v>7</v>
      </c>
      <c r="B403" s="746"/>
      <c r="C403" s="605" t="s">
        <v>260</v>
      </c>
      <c r="F403" s="607"/>
      <c r="G403" s="607">
        <f>'Seg of CWIP'!P11/1000</f>
        <v>26242.742250769232</v>
      </c>
      <c r="H403" s="605"/>
      <c r="I403" s="607"/>
      <c r="J403" s="607">
        <f>G403*M403</f>
        <v>26015.220508564882</v>
      </c>
      <c r="K403" s="608"/>
      <c r="L403" s="607"/>
      <c r="M403" s="610">
        <f>'Separation Factors'!$B$14</f>
        <v>0.99133010795784193</v>
      </c>
      <c r="P403" s="605"/>
      <c r="Q403" s="605"/>
      <c r="R403" s="607"/>
      <c r="S403" s="607"/>
    </row>
    <row r="404" spans="1:19" ht="14.4" customHeight="1">
      <c r="A404" s="745">
        <f t="shared" si="26"/>
        <v>8</v>
      </c>
      <c r="B404" s="746"/>
      <c r="C404" s="605" t="s">
        <v>261</v>
      </c>
      <c r="F404" s="607"/>
      <c r="G404" s="607">
        <f>('Seg of CWIP'!P10+'Seg of CWIP'!P12+'Seg of CWIP'!P13+'Seg of CWIP'!P14)/1000</f>
        <v>126915.73242000001</v>
      </c>
      <c r="H404" s="605"/>
      <c r="I404" s="607"/>
      <c r="J404" s="607">
        <f>G404*M404</f>
        <v>125815.38672146719</v>
      </c>
      <c r="K404" s="608"/>
      <c r="L404" s="607"/>
      <c r="M404" s="610">
        <f>'Separation Factors'!$B$14</f>
        <v>0.99133010795784193</v>
      </c>
      <c r="P404" s="605"/>
      <c r="Q404" s="605"/>
      <c r="R404" s="607"/>
      <c r="S404" s="607"/>
    </row>
    <row r="405" spans="1:19" ht="14.4" customHeight="1">
      <c r="A405" s="745">
        <f t="shared" si="26"/>
        <v>9</v>
      </c>
      <c r="B405" s="746"/>
      <c r="C405" s="605" t="s">
        <v>262</v>
      </c>
      <c r="F405" s="607"/>
      <c r="G405" s="612">
        <f>SUM(G400:G404)</f>
        <v>1098847.3053484615</v>
      </c>
      <c r="H405" s="605"/>
      <c r="I405" s="607"/>
      <c r="J405" s="612">
        <f>SUM(J400:J404)</f>
        <v>1089320.4178402741</v>
      </c>
      <c r="K405" s="608"/>
      <c r="L405" s="607"/>
      <c r="M405" s="610">
        <f>IF(G405=0,0,J405/G405)</f>
        <v>0.99133010795784193</v>
      </c>
      <c r="N405" s="607"/>
      <c r="O405" s="607"/>
      <c r="P405" s="605"/>
      <c r="Q405" s="605"/>
      <c r="R405" s="607"/>
      <c r="S405" s="607"/>
    </row>
    <row r="406" spans="1:19" ht="14.4" customHeight="1">
      <c r="A406" s="745">
        <f t="shared" si="26"/>
        <v>10</v>
      </c>
      <c r="B406" s="746"/>
      <c r="C406" s="605"/>
      <c r="P406" s="605"/>
      <c r="Q406" s="605"/>
      <c r="R406" s="607"/>
      <c r="S406" s="607"/>
    </row>
    <row r="407" spans="1:19" ht="14.4" customHeight="1">
      <c r="A407" s="745">
        <f t="shared" si="26"/>
        <v>11</v>
      </c>
      <c r="B407" s="746"/>
      <c r="C407" s="721" t="s">
        <v>263</v>
      </c>
      <c r="F407" s="607"/>
      <c r="G407" s="612">
        <f>'B-3'!S13</f>
        <v>55938.784076923068</v>
      </c>
      <c r="H407" s="605"/>
      <c r="I407" s="607"/>
      <c r="J407" s="612">
        <f>G407*M407</f>
        <v>54433.135712034411</v>
      </c>
      <c r="K407" s="608"/>
      <c r="L407" s="607"/>
      <c r="M407" s="610">
        <f>'Separation Factors'!$B$12</f>
        <v>0.97308399905836007</v>
      </c>
      <c r="N407" s="607"/>
      <c r="O407" s="607"/>
      <c r="P407" s="605"/>
      <c r="Q407" s="605"/>
      <c r="R407" s="607"/>
      <c r="S407" s="607"/>
    </row>
    <row r="408" spans="1:19" ht="14.4" customHeight="1">
      <c r="A408" s="745">
        <f t="shared" si="26"/>
        <v>12</v>
      </c>
      <c r="B408" s="746"/>
      <c r="P408" s="605"/>
      <c r="Q408" s="605"/>
      <c r="R408" s="607"/>
      <c r="S408" s="607"/>
    </row>
    <row r="409" spans="1:19" ht="14.4" customHeight="1">
      <c r="A409" s="745">
        <f t="shared" si="26"/>
        <v>13</v>
      </c>
      <c r="B409" s="746"/>
      <c r="C409" s="721" t="s">
        <v>264</v>
      </c>
      <c r="N409" s="607"/>
      <c r="O409" s="607"/>
      <c r="P409" s="605"/>
      <c r="Q409" s="605"/>
      <c r="R409" s="607"/>
      <c r="S409" s="607"/>
    </row>
    <row r="410" spans="1:19" ht="14.4" customHeight="1">
      <c r="A410" s="745">
        <f t="shared" si="26"/>
        <v>14</v>
      </c>
      <c r="B410" s="746"/>
      <c r="C410" s="605" t="s">
        <v>265</v>
      </c>
      <c r="N410" s="607"/>
      <c r="O410" s="607"/>
      <c r="P410" s="605"/>
      <c r="Q410" s="605"/>
      <c r="R410" s="607"/>
      <c r="S410" s="607"/>
    </row>
    <row r="411" spans="1:19" ht="14.4" customHeight="1">
      <c r="A411" s="745">
        <f t="shared" si="26"/>
        <v>15</v>
      </c>
      <c r="B411" s="746"/>
      <c r="C411" s="618" t="s">
        <v>266</v>
      </c>
      <c r="G411" s="607">
        <f>'B-4'!L21</f>
        <v>20529.177384615385</v>
      </c>
      <c r="J411" s="607">
        <f t="shared" ref="J411:J412" si="27">G411*M411</f>
        <v>20416.688017383305</v>
      </c>
      <c r="M411" s="610">
        <v>0.99452051267692876</v>
      </c>
      <c r="N411" s="607"/>
      <c r="O411" s="607"/>
      <c r="P411" s="605"/>
      <c r="Q411" s="605"/>
      <c r="R411" s="607"/>
      <c r="S411" s="607"/>
    </row>
    <row r="412" spans="1:19" ht="14.4" customHeight="1">
      <c r="A412" s="745">
        <f t="shared" si="26"/>
        <v>16</v>
      </c>
      <c r="B412" s="746"/>
      <c r="C412" s="618" t="s">
        <v>267</v>
      </c>
      <c r="G412" s="607">
        <f>'B-4'!L22</f>
        <v>-8081.8633076923088</v>
      </c>
      <c r="J412" s="607">
        <f t="shared" si="27"/>
        <v>-8037.5788401510144</v>
      </c>
      <c r="M412" s="610">
        <v>0.99452051267692876</v>
      </c>
      <c r="N412" s="607"/>
      <c r="O412" s="607"/>
      <c r="P412" s="605"/>
      <c r="Q412" s="605"/>
      <c r="R412" s="607"/>
      <c r="S412" s="607"/>
    </row>
    <row r="413" spans="1:19" ht="14.4" customHeight="1">
      <c r="A413" s="745">
        <f t="shared" si="26"/>
        <v>17</v>
      </c>
      <c r="B413" s="746"/>
      <c r="C413" s="605" t="s">
        <v>268</v>
      </c>
      <c r="G413" s="773">
        <f>SUM(G411:G412)</f>
        <v>12447.314076923076</v>
      </c>
      <c r="H413" s="607"/>
      <c r="J413" s="773">
        <f>SUM(J411:J412)</f>
        <v>12379.109177232291</v>
      </c>
      <c r="M413" s="610">
        <v>0.99452051267692876</v>
      </c>
      <c r="N413" s="607"/>
      <c r="O413" s="605"/>
      <c r="P413" s="605"/>
      <c r="Q413" s="605"/>
      <c r="R413" s="607"/>
      <c r="S413" s="607"/>
    </row>
    <row r="414" spans="1:19" ht="14.4" customHeight="1">
      <c r="A414" s="745">
        <f t="shared" si="26"/>
        <v>18</v>
      </c>
      <c r="B414" s="746"/>
      <c r="N414" s="607"/>
      <c r="O414" s="605"/>
      <c r="P414" s="605"/>
      <c r="Q414" s="605"/>
      <c r="R414" s="607"/>
      <c r="S414" s="607"/>
    </row>
    <row r="415" spans="1:19" ht="14.4" customHeight="1">
      <c r="A415" s="745">
        <f t="shared" si="26"/>
        <v>19</v>
      </c>
      <c r="B415" s="746"/>
      <c r="C415" s="605" t="s">
        <v>269</v>
      </c>
      <c r="F415" s="605"/>
      <c r="G415" s="605"/>
      <c r="H415" s="605"/>
      <c r="I415" s="607"/>
      <c r="J415" s="605"/>
      <c r="K415" s="608"/>
      <c r="L415" s="605"/>
      <c r="M415" s="617"/>
      <c r="N415" s="607"/>
      <c r="O415" s="607"/>
      <c r="P415" s="605"/>
      <c r="Q415" s="605"/>
      <c r="R415" s="607"/>
      <c r="S415" s="607"/>
    </row>
    <row r="416" spans="1:19" ht="14.4" customHeight="1">
      <c r="A416" s="745">
        <f t="shared" si="26"/>
        <v>20</v>
      </c>
      <c r="B416" s="746"/>
      <c r="C416" s="618" t="s">
        <v>270</v>
      </c>
      <c r="F416" s="605"/>
      <c r="G416" s="607">
        <f>'B-4'!L26</f>
        <v>7887.6853076923062</v>
      </c>
      <c r="H416" s="607"/>
      <c r="I416" s="607"/>
      <c r="J416" s="607">
        <f t="shared" ref="J416:J434" si="28">G416*M416</f>
        <v>7844.4648360404308</v>
      </c>
      <c r="K416" s="608"/>
      <c r="L416" s="606"/>
      <c r="M416" s="610">
        <v>0.99452051267692876</v>
      </c>
      <c r="N416" s="607"/>
      <c r="O416" s="607"/>
      <c r="P416" s="605"/>
      <c r="Q416" s="605"/>
      <c r="R416" s="607"/>
      <c r="S416" s="607"/>
    </row>
    <row r="417" spans="1:19" ht="14.4" customHeight="1">
      <c r="A417" s="745">
        <f t="shared" si="26"/>
        <v>21</v>
      </c>
      <c r="C417" s="618" t="s">
        <v>271</v>
      </c>
      <c r="F417" s="607"/>
      <c r="G417" s="607">
        <f>'B-4'!L27</f>
        <v>0</v>
      </c>
      <c r="H417" s="607"/>
      <c r="I417" s="607"/>
      <c r="J417" s="607">
        <f t="shared" si="28"/>
        <v>0</v>
      </c>
      <c r="K417" s="608"/>
      <c r="L417" s="609"/>
      <c r="M417" s="610">
        <v>0.99452051267692876</v>
      </c>
      <c r="N417" s="607"/>
      <c r="O417" s="607"/>
      <c r="P417" s="605"/>
      <c r="Q417" s="605"/>
      <c r="R417" s="607"/>
      <c r="S417" s="607"/>
    </row>
    <row r="418" spans="1:19" ht="14.4" customHeight="1">
      <c r="A418" s="745">
        <f t="shared" si="26"/>
        <v>22</v>
      </c>
      <c r="B418" s="746"/>
      <c r="C418" s="618" t="s">
        <v>272</v>
      </c>
      <c r="F418" s="607"/>
      <c r="G418" s="607">
        <f>'B-4'!L28</f>
        <v>51.065000000000005</v>
      </c>
      <c r="H418" s="607"/>
      <c r="I418" s="607"/>
      <c r="J418" s="607">
        <f t="shared" si="28"/>
        <v>50.785189979847374</v>
      </c>
      <c r="K418" s="608"/>
      <c r="L418" s="609"/>
      <c r="M418" s="610">
        <v>0.99452051267692876</v>
      </c>
      <c r="N418" s="605"/>
      <c r="O418" s="607"/>
      <c r="P418" s="607"/>
      <c r="Q418" s="607"/>
      <c r="R418" s="607"/>
      <c r="S418" s="607"/>
    </row>
    <row r="419" spans="1:19" ht="14.4" customHeight="1">
      <c r="A419" s="745">
        <f t="shared" si="26"/>
        <v>23</v>
      </c>
      <c r="B419" s="746"/>
      <c r="C419" s="618" t="s">
        <v>273</v>
      </c>
      <c r="F419" s="607"/>
      <c r="G419" s="607">
        <f>'B-4'!L29</f>
        <v>0</v>
      </c>
      <c r="H419" s="607"/>
      <c r="I419" s="607"/>
      <c r="J419" s="607">
        <f t="shared" si="28"/>
        <v>0</v>
      </c>
      <c r="K419" s="608"/>
      <c r="L419" s="609"/>
      <c r="M419" s="610">
        <v>0.99452051267692876</v>
      </c>
      <c r="N419" s="605"/>
      <c r="O419" s="607"/>
      <c r="P419" s="607"/>
      <c r="Q419" s="607"/>
      <c r="R419" s="607"/>
      <c r="S419" s="607"/>
    </row>
    <row r="420" spans="1:19" ht="14.4" customHeight="1">
      <c r="A420" s="745">
        <f t="shared" si="26"/>
        <v>24</v>
      </c>
      <c r="C420" s="618" t="s">
        <v>274</v>
      </c>
      <c r="F420" s="607"/>
      <c r="G420" s="607">
        <f>'B-4'!L30</f>
        <v>0</v>
      </c>
      <c r="H420" s="607"/>
      <c r="I420" s="607"/>
      <c r="J420" s="607">
        <f t="shared" si="28"/>
        <v>0</v>
      </c>
      <c r="K420" s="608"/>
      <c r="L420" s="607"/>
      <c r="M420" s="610">
        <v>0.99452051267692876</v>
      </c>
      <c r="N420" s="607"/>
      <c r="O420" s="607"/>
      <c r="P420" s="607"/>
      <c r="Q420" s="607"/>
      <c r="R420" s="607"/>
      <c r="S420" s="607"/>
    </row>
    <row r="421" spans="1:19" ht="14.4" customHeight="1">
      <c r="A421" s="745">
        <f t="shared" si="26"/>
        <v>25</v>
      </c>
      <c r="B421" s="746"/>
      <c r="C421" s="618" t="s">
        <v>275</v>
      </c>
      <c r="F421" s="607"/>
      <c r="G421" s="607">
        <f>'B-4'!L31</f>
        <v>209726.43892307693</v>
      </c>
      <c r="H421" s="607"/>
      <c r="I421" s="607"/>
      <c r="J421" s="607">
        <f t="shared" si="28"/>
        <v>208577.24555968505</v>
      </c>
      <c r="K421" s="608"/>
      <c r="L421" s="607"/>
      <c r="M421" s="610">
        <v>0.99452051267692876</v>
      </c>
      <c r="N421" s="607"/>
      <c r="O421" s="607"/>
      <c r="P421" s="607"/>
      <c r="Q421" s="607"/>
      <c r="R421" s="607"/>
      <c r="S421" s="607"/>
    </row>
    <row r="422" spans="1:19" ht="14.4" customHeight="1">
      <c r="A422" s="745">
        <f t="shared" si="26"/>
        <v>26</v>
      </c>
      <c r="B422" s="746"/>
      <c r="C422" s="618" t="s">
        <v>276</v>
      </c>
      <c r="F422" s="607"/>
      <c r="G422" s="607">
        <f>'B-4'!L32</f>
        <v>12068.695307692307</v>
      </c>
      <c r="H422" s="607"/>
      <c r="I422" s="607"/>
      <c r="J422" s="607">
        <f t="shared" si="28"/>
        <v>12002.565044747798</v>
      </c>
      <c r="K422" s="608"/>
      <c r="L422" s="607"/>
      <c r="M422" s="610">
        <v>0.99452051267692876</v>
      </c>
      <c r="N422" s="607"/>
      <c r="O422" s="607"/>
      <c r="P422" s="607"/>
      <c r="Q422" s="607"/>
      <c r="R422" s="607"/>
      <c r="S422" s="607"/>
    </row>
    <row r="423" spans="1:19" ht="14.4" customHeight="1">
      <c r="A423" s="745">
        <f t="shared" si="26"/>
        <v>27</v>
      </c>
      <c r="B423" s="746"/>
      <c r="C423" s="618" t="s">
        <v>277</v>
      </c>
      <c r="F423" s="607"/>
      <c r="G423" s="607">
        <f>'B-4'!L33</f>
        <v>-2368.9103846153848</v>
      </c>
      <c r="H423" s="607"/>
      <c r="I423" s="607"/>
      <c r="J423" s="607">
        <f t="shared" si="28"/>
        <v>-2355.9299701933928</v>
      </c>
      <c r="K423" s="608"/>
      <c r="L423" s="607"/>
      <c r="M423" s="610">
        <v>0.99452051267692876</v>
      </c>
      <c r="N423" s="607"/>
      <c r="O423" s="607"/>
      <c r="P423" s="607"/>
      <c r="Q423" s="607"/>
      <c r="R423" s="607"/>
      <c r="S423" s="607"/>
    </row>
    <row r="424" spans="1:19" ht="14.4" customHeight="1">
      <c r="A424" s="745">
        <f t="shared" si="26"/>
        <v>28</v>
      </c>
      <c r="B424" s="746"/>
      <c r="C424" s="618" t="s">
        <v>274</v>
      </c>
      <c r="F424" s="607"/>
      <c r="G424" s="607">
        <f>'B-4'!L34</f>
        <v>721470.75653846143</v>
      </c>
      <c r="H424" s="607"/>
      <c r="I424" s="607"/>
      <c r="J424" s="607">
        <f t="shared" si="28"/>
        <v>717517.46667404228</v>
      </c>
      <c r="K424" s="608"/>
      <c r="L424" s="607"/>
      <c r="M424" s="610">
        <v>0.99452051267692876</v>
      </c>
      <c r="N424" s="607"/>
      <c r="O424" s="607"/>
      <c r="P424" s="607"/>
      <c r="Q424" s="607"/>
      <c r="R424" s="607"/>
      <c r="S424" s="607"/>
    </row>
    <row r="425" spans="1:19" ht="14.4" customHeight="1">
      <c r="A425" s="745">
        <f t="shared" si="26"/>
        <v>29</v>
      </c>
      <c r="B425" s="746"/>
      <c r="C425" s="618" t="s">
        <v>278</v>
      </c>
      <c r="F425" s="607"/>
      <c r="G425" s="607">
        <f>'B-4'!L35</f>
        <v>21175.976769230772</v>
      </c>
      <c r="H425" s="607"/>
      <c r="I425" s="607"/>
      <c r="J425" s="607">
        <f t="shared" si="28"/>
        <v>21059.943272970122</v>
      </c>
      <c r="K425" s="608"/>
      <c r="L425" s="607"/>
      <c r="M425" s="610">
        <v>0.99452051267692876</v>
      </c>
      <c r="N425" s="607"/>
      <c r="O425" s="607"/>
      <c r="P425" s="607"/>
      <c r="Q425" s="607"/>
      <c r="R425" s="607"/>
      <c r="S425" s="607"/>
    </row>
    <row r="426" spans="1:19" ht="14.4" customHeight="1">
      <c r="A426" s="745">
        <f t="shared" si="26"/>
        <v>30</v>
      </c>
      <c r="B426" s="746"/>
      <c r="C426" s="618" t="s">
        <v>279</v>
      </c>
      <c r="G426" s="607">
        <f>'B-4'!L36</f>
        <v>37762.059615384605</v>
      </c>
      <c r="H426" s="607"/>
      <c r="I426" s="607"/>
      <c r="J426" s="607">
        <f t="shared" si="28"/>
        <v>37555.142888429044</v>
      </c>
      <c r="K426" s="608"/>
      <c r="L426" s="607"/>
      <c r="M426" s="610">
        <v>0.99452051267692876</v>
      </c>
      <c r="N426" s="607"/>
      <c r="O426" s="607"/>
      <c r="P426" s="607"/>
      <c r="Q426" s="607"/>
      <c r="R426" s="607"/>
      <c r="S426" s="607"/>
    </row>
    <row r="427" spans="1:19" ht="14.4" customHeight="1">
      <c r="A427" s="745">
        <f t="shared" si="26"/>
        <v>31</v>
      </c>
      <c r="B427" s="746"/>
      <c r="C427" s="618" t="s">
        <v>138</v>
      </c>
      <c r="F427" s="607"/>
      <c r="G427" s="607">
        <f>'B-4'!L37</f>
        <v>0</v>
      </c>
      <c r="H427" s="607"/>
      <c r="I427" s="607"/>
      <c r="J427" s="607">
        <f t="shared" si="28"/>
        <v>0</v>
      </c>
      <c r="K427" s="608"/>
      <c r="L427" s="607"/>
      <c r="M427" s="610">
        <v>0.99452051267692876</v>
      </c>
      <c r="N427" s="607"/>
      <c r="P427" s="607"/>
      <c r="Q427" s="607"/>
      <c r="R427" s="607"/>
      <c r="S427" s="607"/>
    </row>
    <row r="428" spans="1:19" ht="14.4" customHeight="1">
      <c r="A428" s="745">
        <f t="shared" si="26"/>
        <v>32</v>
      </c>
      <c r="B428" s="746"/>
      <c r="C428" s="618" t="s">
        <v>280</v>
      </c>
      <c r="F428" s="607"/>
      <c r="G428" s="607">
        <f>'B-4'!L38</f>
        <v>166682.49784615386</v>
      </c>
      <c r="H428" s="607"/>
      <c r="I428" s="607"/>
      <c r="J428" s="607">
        <f t="shared" si="28"/>
        <v>165769.16321222801</v>
      </c>
      <c r="K428" s="608"/>
      <c r="L428" s="607"/>
      <c r="M428" s="610">
        <v>0.99452051267692876</v>
      </c>
      <c r="N428" s="607"/>
      <c r="P428" s="607"/>
      <c r="Q428" s="607"/>
      <c r="R428" s="607"/>
      <c r="S428" s="607"/>
    </row>
    <row r="429" spans="1:19" ht="14.4" customHeight="1">
      <c r="A429" s="745">
        <f t="shared" si="26"/>
        <v>33</v>
      </c>
      <c r="B429" s="746"/>
      <c r="C429" s="618" t="s">
        <v>281</v>
      </c>
      <c r="F429" s="607"/>
      <c r="G429" s="607">
        <f>'B-4'!L39</f>
        <v>0</v>
      </c>
      <c r="H429" s="607"/>
      <c r="I429" s="607"/>
      <c r="J429" s="607">
        <f t="shared" si="28"/>
        <v>0</v>
      </c>
      <c r="K429" s="608"/>
      <c r="L429" s="607"/>
      <c r="M429" s="610">
        <v>0.99452051267692876</v>
      </c>
      <c r="N429" s="607"/>
      <c r="O429" s="607"/>
      <c r="P429" s="607"/>
      <c r="Q429" s="607"/>
      <c r="R429" s="607"/>
      <c r="S429" s="607"/>
    </row>
    <row r="430" spans="1:19" ht="14.4" customHeight="1">
      <c r="A430" s="745">
        <f t="shared" si="26"/>
        <v>34</v>
      </c>
      <c r="B430" s="746"/>
      <c r="C430" s="618" t="s">
        <v>282</v>
      </c>
      <c r="G430" s="607">
        <f>'B-4'!L40</f>
        <v>0</v>
      </c>
      <c r="H430" s="607"/>
      <c r="I430" s="607"/>
      <c r="J430" s="607">
        <f t="shared" si="28"/>
        <v>0</v>
      </c>
      <c r="M430" s="610">
        <v>0.99452051267692876</v>
      </c>
      <c r="N430" s="607"/>
      <c r="O430" s="607"/>
      <c r="P430" s="607"/>
      <c r="Q430" s="607"/>
      <c r="R430" s="607"/>
      <c r="S430" s="607"/>
    </row>
    <row r="431" spans="1:19" ht="14.4" customHeight="1">
      <c r="A431" s="745">
        <f t="shared" si="26"/>
        <v>35</v>
      </c>
      <c r="B431" s="746"/>
      <c r="C431" s="618" t="s">
        <v>283</v>
      </c>
      <c r="G431" s="607">
        <f>'B-4'!L41</f>
        <v>28807.687769230768</v>
      </c>
      <c r="H431" s="607"/>
      <c r="I431" s="607"/>
      <c r="J431" s="607">
        <f t="shared" si="28"/>
        <v>28649.836409292275</v>
      </c>
      <c r="M431" s="610">
        <v>0.99452051267692876</v>
      </c>
      <c r="N431" s="607"/>
      <c r="O431" s="607"/>
      <c r="P431" s="607"/>
      <c r="Q431" s="607"/>
      <c r="R431" s="607"/>
      <c r="S431" s="607"/>
    </row>
    <row r="432" spans="1:19" ht="14.4" customHeight="1">
      <c r="A432" s="745">
        <f t="shared" si="26"/>
        <v>36</v>
      </c>
      <c r="B432" s="746"/>
      <c r="C432" s="618" t="s">
        <v>284</v>
      </c>
      <c r="F432" s="607"/>
      <c r="G432" s="607">
        <f>'B-4'!L42</f>
        <v>0</v>
      </c>
      <c r="H432" s="607"/>
      <c r="I432" s="607"/>
      <c r="J432" s="607">
        <f t="shared" si="28"/>
        <v>0</v>
      </c>
      <c r="K432" s="613"/>
      <c r="L432" s="607"/>
      <c r="M432" s="610">
        <v>0.99452051267692876</v>
      </c>
      <c r="O432" s="607"/>
      <c r="P432" s="607"/>
      <c r="Q432" s="607"/>
      <c r="R432" s="607"/>
      <c r="S432" s="607"/>
    </row>
    <row r="433" spans="1:20" ht="14.4" customHeight="1">
      <c r="A433" s="745">
        <f t="shared" si="26"/>
        <v>37</v>
      </c>
      <c r="B433" s="746"/>
      <c r="C433" s="618" t="s">
        <v>285</v>
      </c>
      <c r="F433" s="607"/>
      <c r="G433" s="607">
        <f>'B-4'!L43</f>
        <v>74162.588999999993</v>
      </c>
      <c r="H433" s="607"/>
      <c r="I433" s="607"/>
      <c r="J433" s="607">
        <f t="shared" si="28"/>
        <v>73756.216033728357</v>
      </c>
      <c r="K433" s="608"/>
      <c r="L433" s="607"/>
      <c r="M433" s="610">
        <v>0.99452051267692876</v>
      </c>
      <c r="O433" s="607"/>
      <c r="P433" s="607"/>
      <c r="Q433" s="607"/>
      <c r="R433" s="607"/>
      <c r="S433" s="607"/>
    </row>
    <row r="434" spans="1:20" ht="14.4" customHeight="1">
      <c r="A434" s="745">
        <f t="shared" si="26"/>
        <v>38</v>
      </c>
      <c r="B434" s="746"/>
      <c r="C434" s="618" t="s">
        <v>286</v>
      </c>
      <c r="F434" s="607"/>
      <c r="G434" s="607">
        <f>'B-4'!L44</f>
        <v>1390.4040769230774</v>
      </c>
      <c r="H434" s="607"/>
      <c r="I434" s="607"/>
      <c r="J434" s="607">
        <f t="shared" si="28"/>
        <v>1382.7853754096309</v>
      </c>
      <c r="L434" s="607"/>
      <c r="M434" s="610">
        <v>0.99452051267692876</v>
      </c>
      <c r="N434" s="607"/>
      <c r="O434" s="607"/>
      <c r="P434" s="607"/>
      <c r="Q434" s="607"/>
      <c r="R434" s="607"/>
      <c r="S434" s="607"/>
    </row>
    <row r="435" spans="1:20" ht="14.4" customHeight="1">
      <c r="A435" s="745">
        <v>39</v>
      </c>
      <c r="B435" s="746"/>
      <c r="C435" s="605" t="s">
        <v>287</v>
      </c>
      <c r="F435" s="607"/>
      <c r="G435" s="612">
        <f>SUM(G416:G434)</f>
        <v>1278816.9457692306</v>
      </c>
      <c r="H435" s="607"/>
      <c r="I435" s="607"/>
      <c r="J435" s="612">
        <f>SUM(J416:J434)</f>
        <v>1271809.6845263592</v>
      </c>
      <c r="K435" s="608"/>
      <c r="L435" s="607"/>
      <c r="M435" s="610">
        <v>0.99452051267692876</v>
      </c>
      <c r="N435" s="607"/>
      <c r="O435" s="607"/>
      <c r="P435" s="607"/>
      <c r="Q435" s="607"/>
      <c r="R435" s="607"/>
      <c r="S435" s="607"/>
    </row>
    <row r="436" spans="1:20" ht="14.4" customHeight="1" thickBot="1">
      <c r="A436" s="750">
        <v>40</v>
      </c>
      <c r="B436" s="750" t="str">
        <f>B382</f>
        <v>Totals may be affected due to rounding.</v>
      </c>
      <c r="C436" s="750"/>
      <c r="D436" s="750"/>
      <c r="E436" s="750"/>
      <c r="F436" s="750"/>
      <c r="G436" s="750"/>
      <c r="H436" s="750"/>
      <c r="I436" s="750"/>
      <c r="J436" s="750"/>
      <c r="K436" s="769"/>
      <c r="L436" s="750"/>
      <c r="M436" s="615"/>
      <c r="N436" s="750"/>
      <c r="O436" s="750"/>
      <c r="P436" s="750"/>
      <c r="Q436" s="750"/>
      <c r="R436" s="750"/>
      <c r="S436" s="750"/>
    </row>
    <row r="437" spans="1:20" ht="14.4" customHeight="1">
      <c r="A437" s="745" t="str">
        <f>$A$328</f>
        <v>Supporting Schedules: B-3, B-5, B-7, B-9, B-15, B-16, B-17</v>
      </c>
      <c r="J437" s="757"/>
      <c r="Q437" s="745" t="s">
        <v>181</v>
      </c>
    </row>
    <row r="438" spans="1:20" ht="14.4" customHeight="1" thickBot="1">
      <c r="A438" s="750" t="s">
        <v>206</v>
      </c>
      <c r="B438" s="750"/>
      <c r="C438" s="750"/>
      <c r="D438" s="750"/>
      <c r="E438" s="750"/>
      <c r="F438" s="750"/>
      <c r="G438" s="750"/>
      <c r="H438" s="750" t="s">
        <v>207</v>
      </c>
      <c r="I438" s="750"/>
      <c r="J438" s="750"/>
      <c r="K438" s="750"/>
      <c r="L438" s="750"/>
      <c r="M438" s="750"/>
      <c r="N438" s="750"/>
      <c r="O438" s="750"/>
      <c r="P438" s="750"/>
      <c r="Q438" s="750"/>
      <c r="R438" s="750"/>
      <c r="S438" s="751" t="s">
        <v>769</v>
      </c>
      <c r="T438" s="745" t="s">
        <v>249</v>
      </c>
    </row>
    <row r="439" spans="1:20" ht="14.4" customHeight="1">
      <c r="A439" s="745" t="s">
        <v>4</v>
      </c>
      <c r="E439" s="745" t="s">
        <v>208</v>
      </c>
      <c r="G439" s="745" t="s">
        <v>209</v>
      </c>
      <c r="K439" s="752"/>
      <c r="L439" s="752"/>
      <c r="N439" s="752"/>
      <c r="O439" s="752"/>
      <c r="P439" s="752" t="s">
        <v>7</v>
      </c>
      <c r="S439" s="753"/>
    </row>
    <row r="440" spans="1:20" ht="14.4" customHeight="1">
      <c r="G440" s="745" t="s">
        <v>210</v>
      </c>
      <c r="J440" s="745" t="str">
        <f>IF($BC$276&lt;&gt;0,$BC$276,"")</f>
        <v/>
      </c>
      <c r="K440" s="754"/>
      <c r="L440" s="753"/>
      <c r="O440" s="754"/>
      <c r="P440" s="754"/>
      <c r="Q440" s="753" t="s">
        <v>9</v>
      </c>
      <c r="S440" s="754"/>
    </row>
    <row r="441" spans="1:20" ht="14.4" customHeight="1">
      <c r="A441" s="745" t="s">
        <v>10</v>
      </c>
      <c r="G441" s="745" t="s">
        <v>211</v>
      </c>
      <c r="J441" s="745" t="str">
        <f>IF($BC$277&lt;&gt;0,$BC$277,"")</f>
        <v/>
      </c>
      <c r="K441" s="754"/>
      <c r="L441" s="753"/>
      <c r="M441" s="754"/>
      <c r="P441" s="754"/>
      <c r="Q441" s="753" t="s">
        <v>11</v>
      </c>
      <c r="S441" s="754"/>
    </row>
    <row r="442" spans="1:20" ht="14.4" customHeight="1">
      <c r="G442" s="745" t="str">
        <f>IF($G$278&lt;&gt;0,$G$278,"")</f>
        <v/>
      </c>
      <c r="J442" s="745" t="str">
        <f>IF($BC$278&lt;&gt;0,$BC$278,"")</f>
        <v/>
      </c>
      <c r="K442" s="754"/>
      <c r="L442" s="753"/>
      <c r="M442" s="754"/>
      <c r="P442" s="754" t="s">
        <v>12</v>
      </c>
      <c r="Q442" s="753" t="s">
        <v>13</v>
      </c>
      <c r="S442" s="754"/>
    </row>
    <row r="443" spans="1:20" ht="14.4" customHeight="1">
      <c r="K443" s="754"/>
      <c r="L443" s="753"/>
      <c r="M443" s="754"/>
      <c r="P443" s="754"/>
      <c r="Q443" s="753" t="str">
        <f>+$Q$279</f>
        <v>Witness: C. Aldazabal / J. Chronister /</v>
      </c>
      <c r="S443" s="754"/>
    </row>
    <row r="444" spans="1:20" ht="14.4" customHeight="1">
      <c r="K444" s="754"/>
      <c r="L444" s="753"/>
      <c r="M444" s="754"/>
      <c r="P444" s="754"/>
      <c r="Q444" s="753" t="str">
        <f>+$Q$280</f>
        <v xml:space="preserve">                 R. Latta / C. Whitworth /</v>
      </c>
      <c r="S444" s="754"/>
    </row>
    <row r="445" spans="1:20" ht="14.4" customHeight="1" thickBot="1">
      <c r="A445" s="750" t="str">
        <f>$A$281</f>
        <v>DOCKET No. 20240026-EI</v>
      </c>
      <c r="B445" s="750"/>
      <c r="C445" s="750"/>
      <c r="D445" s="750"/>
      <c r="E445" s="750"/>
      <c r="F445" s="750"/>
      <c r="G445" s="750" t="str">
        <f>IF($G$281&lt;&gt;0,$G$281,"")</f>
        <v/>
      </c>
      <c r="H445" s="750"/>
      <c r="I445" s="750"/>
      <c r="J445" s="750" t="str">
        <f>+$J$281</f>
        <v>(Dollars in 000's)</v>
      </c>
      <c r="K445" s="751"/>
      <c r="L445" s="755"/>
      <c r="M445" s="751"/>
      <c r="N445" s="750"/>
      <c r="O445" s="750"/>
      <c r="P445" s="751"/>
      <c r="Q445" s="755" t="str">
        <f>+$Q$281</f>
        <v xml:space="preserve">                 J. Williams</v>
      </c>
      <c r="R445" s="750"/>
      <c r="S445" s="751"/>
    </row>
    <row r="446" spans="1:20" ht="14.4" customHeight="1">
      <c r="C446" s="756"/>
      <c r="D446" s="756"/>
      <c r="E446" s="756"/>
      <c r="F446" s="756"/>
      <c r="G446" s="756"/>
      <c r="H446" s="756"/>
      <c r="I446" s="756"/>
      <c r="J446" s="756"/>
      <c r="K446" s="756"/>
      <c r="L446" s="756"/>
      <c r="M446" s="756"/>
      <c r="N446" s="756"/>
      <c r="O446" s="756"/>
      <c r="P446" s="756"/>
      <c r="Q446" s="756"/>
      <c r="R446" s="756"/>
      <c r="S446" s="756"/>
    </row>
    <row r="447" spans="1:20" ht="14.4" customHeight="1">
      <c r="C447" s="756"/>
      <c r="D447" s="756"/>
      <c r="E447" s="756"/>
      <c r="F447" s="756"/>
      <c r="G447" s="756"/>
      <c r="H447" s="756"/>
      <c r="I447" s="756"/>
      <c r="J447" s="756"/>
      <c r="K447" s="776"/>
      <c r="L447" s="776"/>
      <c r="M447" s="756"/>
      <c r="N447" s="756"/>
      <c r="O447" s="756"/>
      <c r="P447" s="756"/>
      <c r="Q447" s="756"/>
      <c r="R447" s="756"/>
      <c r="S447" s="756"/>
    </row>
    <row r="448" spans="1:20" ht="14.4" customHeight="1">
      <c r="G448" s="756" t="s">
        <v>17</v>
      </c>
      <c r="H448" s="757"/>
      <c r="I448" s="756"/>
      <c r="J448" s="756" t="s">
        <v>18</v>
      </c>
      <c r="K448" s="756"/>
      <c r="L448" s="757"/>
      <c r="M448" s="756" t="s">
        <v>19</v>
      </c>
      <c r="N448" s="757"/>
      <c r="S448" s="757"/>
    </row>
    <row r="449" spans="1:19" ht="14.4" customHeight="1">
      <c r="A449" s="745" t="s">
        <v>35</v>
      </c>
      <c r="B449" s="757"/>
      <c r="C449" s="757"/>
      <c r="D449" s="757"/>
      <c r="E449" s="757"/>
      <c r="F449" s="756"/>
      <c r="G449" s="757" t="s">
        <v>45</v>
      </c>
      <c r="H449" s="757"/>
      <c r="I449" s="757"/>
      <c r="J449" s="757" t="s">
        <v>212</v>
      </c>
      <c r="K449" s="757"/>
      <c r="L449" s="756"/>
      <c r="M449" s="757" t="s">
        <v>98</v>
      </c>
      <c r="N449" s="753"/>
      <c r="O449" s="753"/>
      <c r="P449" s="756"/>
      <c r="Q449" s="756"/>
      <c r="R449" s="756"/>
      <c r="S449" s="757"/>
    </row>
    <row r="450" spans="1:19" ht="14.4" customHeight="1" thickBot="1">
      <c r="A450" s="750" t="s">
        <v>46</v>
      </c>
      <c r="B450" s="758"/>
      <c r="C450" s="758" t="s">
        <v>213</v>
      </c>
      <c r="D450" s="758"/>
      <c r="E450" s="758"/>
      <c r="F450" s="758"/>
      <c r="G450" s="759" t="s">
        <v>214</v>
      </c>
      <c r="H450" s="759"/>
      <c r="I450" s="759"/>
      <c r="J450" s="759" t="s">
        <v>98</v>
      </c>
      <c r="K450" s="759"/>
      <c r="L450" s="760"/>
      <c r="M450" s="759" t="s">
        <v>110</v>
      </c>
      <c r="N450" s="761"/>
      <c r="O450" s="761"/>
      <c r="P450" s="761"/>
      <c r="Q450" s="761"/>
      <c r="R450" s="761"/>
      <c r="S450" s="761"/>
    </row>
    <row r="451" spans="1:19" ht="14.4" customHeight="1">
      <c r="A451" s="745">
        <v>1</v>
      </c>
      <c r="B451" s="768"/>
      <c r="C451" s="605"/>
      <c r="D451" s="605"/>
      <c r="E451" s="605"/>
      <c r="F451" s="605"/>
      <c r="G451" s="605"/>
      <c r="H451" s="605"/>
      <c r="I451" s="605"/>
      <c r="J451" s="605"/>
      <c r="K451" s="608"/>
      <c r="L451" s="605"/>
      <c r="M451" s="608"/>
      <c r="N451" s="605"/>
      <c r="O451" s="605"/>
      <c r="P451" s="605"/>
      <c r="Q451" s="605"/>
      <c r="R451" s="605"/>
      <c r="S451" s="605"/>
    </row>
    <row r="452" spans="1:19" ht="14.4" customHeight="1">
      <c r="A452" s="745">
        <f t="shared" ref="A452:A488" si="29">A451+1</f>
        <v>2</v>
      </c>
      <c r="B452" s="746"/>
      <c r="C452" s="605" t="s">
        <v>288</v>
      </c>
      <c r="F452" s="607"/>
      <c r="G452" s="609"/>
      <c r="H452" s="607"/>
      <c r="I452" s="607"/>
      <c r="K452" s="608"/>
      <c r="L452" s="607"/>
      <c r="M452" s="610"/>
      <c r="O452" s="607"/>
      <c r="R452" s="605"/>
      <c r="S452" s="605"/>
    </row>
    <row r="453" spans="1:19" ht="14.4" customHeight="1">
      <c r="A453" s="745">
        <f t="shared" si="29"/>
        <v>3</v>
      </c>
      <c r="B453" s="746"/>
      <c r="C453" s="618" t="s">
        <v>289</v>
      </c>
      <c r="F453" s="607"/>
      <c r="G453" s="607">
        <f>'B-4'!L68</f>
        <v>1144160.9704053847</v>
      </c>
      <c r="H453" s="607"/>
      <c r="I453" s="770"/>
      <c r="J453" s="607">
        <f>G453*M453</f>
        <v>1137891.5548724954</v>
      </c>
      <c r="K453" s="608"/>
      <c r="L453" s="607"/>
      <c r="M453" s="610">
        <v>0.99452051267692876</v>
      </c>
      <c r="O453" s="607"/>
      <c r="R453" s="605"/>
      <c r="S453" s="605"/>
    </row>
    <row r="454" spans="1:19" ht="14.4" customHeight="1">
      <c r="A454" s="745">
        <f t="shared" si="29"/>
        <v>4</v>
      </c>
      <c r="B454" s="746"/>
      <c r="C454" s="618" t="s">
        <v>290</v>
      </c>
      <c r="G454" s="607">
        <f>'B-4'!L70</f>
        <v>5181.2872307692305</v>
      </c>
      <c r="J454" s="607">
        <f>G454*M454</f>
        <v>5152.8964330710396</v>
      </c>
      <c r="M454" s="610">
        <v>0.99452051267692876</v>
      </c>
      <c r="O454" s="607"/>
      <c r="R454" s="607"/>
      <c r="S454" s="607"/>
    </row>
    <row r="455" spans="1:19" ht="14.4" customHeight="1">
      <c r="A455" s="745">
        <f t="shared" si="29"/>
        <v>5</v>
      </c>
      <c r="B455" s="746"/>
      <c r="C455" s="618" t="s">
        <v>291</v>
      </c>
      <c r="G455" s="607">
        <f>'B-4'!L71</f>
        <v>71.845230769230767</v>
      </c>
      <c r="J455" s="607">
        <f>G455*M455</f>
        <v>71.451555738007642</v>
      </c>
      <c r="M455" s="610">
        <v>0.99452051267692876</v>
      </c>
      <c r="O455" s="607"/>
      <c r="R455" s="607"/>
      <c r="S455" s="607"/>
    </row>
    <row r="456" spans="1:19" ht="14.4" customHeight="1">
      <c r="A456" s="745">
        <f t="shared" si="29"/>
        <v>6</v>
      </c>
      <c r="B456" s="746"/>
      <c r="C456" s="618" t="s">
        <v>292</v>
      </c>
      <c r="G456" s="607">
        <f>'B-4'!L72</f>
        <v>10845.30323076923</v>
      </c>
      <c r="J456" s="607">
        <f t="shared" ref="J456" si="30">G456*M456</f>
        <v>10785.876529201367</v>
      </c>
      <c r="K456" s="608"/>
      <c r="L456" s="607"/>
      <c r="M456" s="610">
        <v>0.99452051267692876</v>
      </c>
      <c r="O456" s="607"/>
      <c r="R456" s="607"/>
      <c r="S456" s="607"/>
    </row>
    <row r="457" spans="1:19" ht="14.4" customHeight="1">
      <c r="A457" s="745">
        <f t="shared" si="29"/>
        <v>7</v>
      </c>
      <c r="B457" s="746"/>
      <c r="C457" s="605" t="s">
        <v>293</v>
      </c>
      <c r="F457" s="607"/>
      <c r="G457" s="612">
        <f>SUM(G453:G456)</f>
        <v>1160259.4060976922</v>
      </c>
      <c r="H457" s="607"/>
      <c r="I457" s="770"/>
      <c r="J457" s="612">
        <f>SUM(J453:J456)</f>
        <v>1153901.7793905057</v>
      </c>
      <c r="K457" s="608"/>
      <c r="L457" s="607"/>
      <c r="M457" s="610">
        <f>IF(G457=0,0,J457/G457)</f>
        <v>0.99452051267692876</v>
      </c>
      <c r="O457" s="607"/>
      <c r="R457" s="607"/>
      <c r="S457" s="607"/>
    </row>
    <row r="458" spans="1:19" ht="14.4" customHeight="1">
      <c r="A458" s="745">
        <f t="shared" si="29"/>
        <v>8</v>
      </c>
      <c r="B458" s="746"/>
      <c r="O458" s="607"/>
      <c r="R458" s="607"/>
      <c r="S458" s="607"/>
    </row>
    <row r="459" spans="1:19" ht="14.4" customHeight="1">
      <c r="A459" s="745">
        <f t="shared" si="29"/>
        <v>9</v>
      </c>
      <c r="B459" s="746"/>
      <c r="C459" s="604" t="s">
        <v>294</v>
      </c>
      <c r="F459" s="607"/>
      <c r="G459" s="612">
        <f>G413+G457+G435</f>
        <v>2451523.6659438461</v>
      </c>
      <c r="I459" s="607"/>
      <c r="J459" s="612">
        <f>J413+J457+J435</f>
        <v>2438090.573094097</v>
      </c>
      <c r="K459" s="608"/>
      <c r="L459" s="607"/>
      <c r="M459" s="610">
        <f>IF(G459=0,0,J459/G459)</f>
        <v>0.99452051267692843</v>
      </c>
      <c r="O459" s="607"/>
      <c r="R459" s="607"/>
      <c r="S459" s="607"/>
    </row>
    <row r="460" spans="1:19" ht="14.4" customHeight="1">
      <c r="A460" s="745">
        <f t="shared" si="29"/>
        <v>10</v>
      </c>
      <c r="B460" s="746"/>
      <c r="O460" s="607"/>
      <c r="R460" s="607"/>
      <c r="S460" s="607"/>
    </row>
    <row r="461" spans="1:19" ht="14.4" customHeight="1">
      <c r="A461" s="745">
        <f t="shared" si="29"/>
        <v>11</v>
      </c>
      <c r="B461" s="746"/>
      <c r="C461" s="605" t="s">
        <v>295</v>
      </c>
      <c r="R461" s="607"/>
      <c r="S461" s="607"/>
    </row>
    <row r="462" spans="1:19" ht="14.4" customHeight="1">
      <c r="A462" s="745">
        <f t="shared" si="29"/>
        <v>12</v>
      </c>
      <c r="B462" s="746"/>
      <c r="C462" s="618" t="s">
        <v>296</v>
      </c>
      <c r="G462" s="607">
        <f>'B-4'!L121</f>
        <v>24035.534</v>
      </c>
      <c r="J462" s="607">
        <f t="shared" ref="J462:J466" si="31">G462*M462</f>
        <v>23903.831596143751</v>
      </c>
      <c r="M462" s="610">
        <v>0.99452051267692876</v>
      </c>
      <c r="R462" s="607"/>
      <c r="S462" s="607"/>
    </row>
    <row r="463" spans="1:19" ht="14.4" customHeight="1">
      <c r="A463" s="745">
        <f t="shared" si="29"/>
        <v>13</v>
      </c>
      <c r="B463" s="746"/>
      <c r="C463" s="618" t="s">
        <v>297</v>
      </c>
      <c r="G463" s="607">
        <f>'B-4'!L122+'B-4'!L123+'B-4'!L124+'B-4'!L125+'B-4'!L126</f>
        <v>119550.82369230769</v>
      </c>
      <c r="J463" s="607">
        <f t="shared" si="31"/>
        <v>118895.74646942297</v>
      </c>
      <c r="M463" s="610">
        <v>0.99452051267692876</v>
      </c>
      <c r="R463" s="607"/>
      <c r="S463" s="607"/>
    </row>
    <row r="464" spans="1:19" ht="14.4" customHeight="1">
      <c r="A464" s="745">
        <f t="shared" si="29"/>
        <v>14</v>
      </c>
      <c r="B464" s="746"/>
      <c r="C464" s="618" t="s">
        <v>298</v>
      </c>
      <c r="G464" s="607">
        <f>'B-4'!L126</f>
        <v>0</v>
      </c>
      <c r="J464" s="607">
        <f t="shared" si="31"/>
        <v>0</v>
      </c>
      <c r="M464" s="610">
        <v>0.99452051267692876</v>
      </c>
      <c r="R464" s="607"/>
      <c r="S464" s="607"/>
    </row>
    <row r="465" spans="1:19" ht="14.4" customHeight="1">
      <c r="A465" s="745">
        <f t="shared" si="29"/>
        <v>15</v>
      </c>
      <c r="B465" s="746"/>
      <c r="C465" s="618" t="s">
        <v>254</v>
      </c>
      <c r="G465" s="607">
        <f>'B-4'!L127</f>
        <v>33478.564461538459</v>
      </c>
      <c r="J465" s="607">
        <f t="shared" si="31"/>
        <v>33295.119091976834</v>
      </c>
      <c r="M465" s="610">
        <v>0.99452051267692876</v>
      </c>
      <c r="R465" s="607"/>
      <c r="S465" s="607"/>
    </row>
    <row r="466" spans="1:19" ht="14.4" customHeight="1">
      <c r="A466" s="745">
        <f t="shared" si="29"/>
        <v>16</v>
      </c>
      <c r="B466" s="746"/>
      <c r="C466" s="605" t="s">
        <v>299</v>
      </c>
      <c r="G466" s="773">
        <f>SUM(G462:G465)</f>
        <v>177064.92215384613</v>
      </c>
      <c r="H466" s="607"/>
      <c r="J466" s="773">
        <f t="shared" si="31"/>
        <v>176094.69715754353</v>
      </c>
      <c r="M466" s="610">
        <v>0.99452051267692876</v>
      </c>
      <c r="R466" s="607"/>
      <c r="S466" s="607"/>
    </row>
    <row r="467" spans="1:19" ht="14.4" customHeight="1">
      <c r="A467" s="745">
        <f t="shared" si="29"/>
        <v>17</v>
      </c>
      <c r="B467" s="746"/>
      <c r="R467" s="607"/>
      <c r="S467" s="607"/>
    </row>
    <row r="468" spans="1:19" ht="14.4" customHeight="1">
      <c r="A468" s="745">
        <f t="shared" si="29"/>
        <v>18</v>
      </c>
      <c r="B468" s="746"/>
      <c r="C468" s="605" t="s">
        <v>300</v>
      </c>
      <c r="F468" s="605"/>
      <c r="G468" s="605"/>
      <c r="H468" s="605"/>
      <c r="I468" s="605"/>
      <c r="J468" s="605"/>
      <c r="K468" s="605"/>
      <c r="L468" s="605"/>
      <c r="M468" s="605"/>
      <c r="R468" s="607"/>
      <c r="S468" s="607"/>
    </row>
    <row r="469" spans="1:19" ht="14.4" customHeight="1">
      <c r="A469" s="745">
        <f t="shared" si="29"/>
        <v>19</v>
      </c>
      <c r="B469" s="746"/>
      <c r="C469" s="618" t="s">
        <v>301</v>
      </c>
      <c r="F469" s="607"/>
      <c r="G469" s="607">
        <f>'B-4'!L132</f>
        <v>267994.95538461534</v>
      </c>
      <c r="H469" s="607"/>
      <c r="I469" s="607"/>
      <c r="J469" s="607">
        <f t="shared" ref="J469:J471" si="32">G469*M469</f>
        <v>266526.48042393831</v>
      </c>
      <c r="K469" s="607"/>
      <c r="L469" s="607"/>
      <c r="M469" s="610">
        <v>0.99452051267692876</v>
      </c>
      <c r="R469" s="607"/>
      <c r="S469" s="607"/>
    </row>
    <row r="470" spans="1:19" ht="14.4" customHeight="1">
      <c r="A470" s="745">
        <f t="shared" si="29"/>
        <v>20</v>
      </c>
      <c r="B470" s="746"/>
      <c r="C470" s="618" t="s">
        <v>302</v>
      </c>
      <c r="F470" s="607"/>
      <c r="G470" s="718">
        <v>0</v>
      </c>
      <c r="H470" s="718"/>
      <c r="I470" s="607"/>
      <c r="J470" s="607">
        <f t="shared" si="32"/>
        <v>0</v>
      </c>
      <c r="K470" s="607"/>
      <c r="L470" s="607"/>
      <c r="M470" s="610">
        <v>0.99452051267692876</v>
      </c>
      <c r="O470" s="607"/>
      <c r="R470" s="607"/>
      <c r="S470" s="607"/>
    </row>
    <row r="471" spans="1:19" ht="14.4" customHeight="1">
      <c r="A471" s="745">
        <f t="shared" si="29"/>
        <v>21</v>
      </c>
      <c r="B471" s="746"/>
      <c r="C471" s="618" t="s">
        <v>303</v>
      </c>
      <c r="F471" s="607"/>
      <c r="G471" s="607">
        <f>'B-4'!L134</f>
        <v>16583.371846153845</v>
      </c>
      <c r="H471" s="607"/>
      <c r="I471" s="607"/>
      <c r="J471" s="607">
        <f t="shared" si="32"/>
        <v>16492.503470349067</v>
      </c>
      <c r="K471" s="607"/>
      <c r="L471" s="607"/>
      <c r="M471" s="610">
        <v>0.99452051267692876</v>
      </c>
      <c r="P471" s="607"/>
      <c r="Q471" s="607"/>
      <c r="R471" s="607"/>
      <c r="S471" s="607"/>
    </row>
    <row r="472" spans="1:19" ht="14.4" customHeight="1">
      <c r="A472" s="745">
        <f t="shared" si="29"/>
        <v>22</v>
      </c>
      <c r="B472" s="746"/>
      <c r="C472" s="618" t="s">
        <v>304</v>
      </c>
      <c r="F472" s="607"/>
      <c r="G472" s="607">
        <f>'B-4'!L136</f>
        <v>41858.267153846151</v>
      </c>
      <c r="H472" s="607"/>
      <c r="I472" s="607"/>
      <c r="J472" s="607">
        <f t="shared" ref="J472:J479" si="33">G472*M472</f>
        <v>41628.90530961092</v>
      </c>
      <c r="K472" s="607"/>
      <c r="L472" s="607"/>
      <c r="M472" s="610">
        <v>0.99452051267692876</v>
      </c>
      <c r="P472" s="607"/>
      <c r="Q472" s="607"/>
      <c r="R472" s="607"/>
      <c r="S472" s="607"/>
    </row>
    <row r="473" spans="1:19" ht="14.4" customHeight="1">
      <c r="A473" s="745">
        <f t="shared" si="29"/>
        <v>23</v>
      </c>
      <c r="B473" s="746"/>
      <c r="C473" s="618" t="s">
        <v>305</v>
      </c>
      <c r="F473" s="607"/>
      <c r="G473" s="607">
        <f>'B-4'!L137</f>
        <v>228.14992307692313</v>
      </c>
      <c r="H473" s="607"/>
      <c r="I473" s="607"/>
      <c r="J473" s="607">
        <f t="shared" si="33"/>
        <v>226.89977846566345</v>
      </c>
      <c r="K473" s="607"/>
      <c r="L473" s="607"/>
      <c r="M473" s="610">
        <v>0.99452051267692876</v>
      </c>
      <c r="P473" s="607"/>
      <c r="Q473" s="607"/>
      <c r="R473" s="607"/>
      <c r="S473" s="607"/>
    </row>
    <row r="474" spans="1:19" ht="14.4" customHeight="1">
      <c r="A474" s="745">
        <f t="shared" si="29"/>
        <v>24</v>
      </c>
      <c r="B474" s="746"/>
      <c r="C474" s="618" t="s">
        <v>306</v>
      </c>
      <c r="F474" s="607"/>
      <c r="G474" s="607">
        <f>'B-4'!L138</f>
        <v>40864.859000000004</v>
      </c>
      <c r="H474" s="607"/>
      <c r="I474" s="607"/>
      <c r="J474" s="607">
        <f t="shared" si="33"/>
        <v>40640.940523150413</v>
      </c>
      <c r="K474" s="607"/>
      <c r="L474" s="607"/>
      <c r="M474" s="610">
        <v>0.99452051267692876</v>
      </c>
      <c r="P474" s="607"/>
      <c r="Q474" s="607"/>
      <c r="R474" s="607"/>
      <c r="S474" s="607"/>
    </row>
    <row r="475" spans="1:19" ht="14.4" customHeight="1">
      <c r="A475" s="745">
        <f t="shared" si="29"/>
        <v>25</v>
      </c>
      <c r="B475" s="746"/>
      <c r="C475" s="618" t="s">
        <v>307</v>
      </c>
      <c r="F475" s="607"/>
      <c r="G475" s="607">
        <f>'B-4'!L139</f>
        <v>13074.242</v>
      </c>
      <c r="H475" s="607"/>
      <c r="I475" s="607"/>
      <c r="J475" s="607">
        <f t="shared" si="33"/>
        <v>13002.601856702235</v>
      </c>
      <c r="K475" s="607"/>
      <c r="L475" s="607"/>
      <c r="M475" s="610">
        <v>0.99452051267692876</v>
      </c>
      <c r="P475" s="607"/>
      <c r="Q475" s="607"/>
      <c r="R475" s="607"/>
      <c r="S475" s="607"/>
    </row>
    <row r="476" spans="1:19" ht="14.4" customHeight="1">
      <c r="A476" s="745">
        <f t="shared" si="29"/>
        <v>26</v>
      </c>
      <c r="B476" s="746"/>
      <c r="C476" s="618" t="s">
        <v>308</v>
      </c>
      <c r="F476" s="607"/>
      <c r="G476" s="607">
        <f>'B-4'!L140</f>
        <v>9506.0149230769202</v>
      </c>
      <c r="H476" s="607"/>
      <c r="I476" s="607"/>
      <c r="J476" s="607">
        <f t="shared" si="33"/>
        <v>9453.9268348129935</v>
      </c>
      <c r="K476" s="607"/>
      <c r="L476" s="607"/>
      <c r="M476" s="610">
        <v>0.99452051267692876</v>
      </c>
      <c r="P476" s="607"/>
      <c r="Q476" s="607"/>
      <c r="R476" s="607"/>
      <c r="S476" s="607"/>
    </row>
    <row r="477" spans="1:19" ht="14.4" customHeight="1">
      <c r="A477" s="745">
        <f t="shared" si="29"/>
        <v>27</v>
      </c>
      <c r="B477" s="746"/>
      <c r="C477" s="618" t="s">
        <v>309</v>
      </c>
      <c r="G477" s="607">
        <f>'B-4'!L141</f>
        <v>43585.701000000001</v>
      </c>
      <c r="H477" s="607"/>
      <c r="I477" s="607"/>
      <c r="J477" s="607">
        <f t="shared" si="33"/>
        <v>43346.873703903329</v>
      </c>
      <c r="K477" s="607"/>
      <c r="L477" s="607"/>
      <c r="M477" s="610">
        <v>0.99452051267692876</v>
      </c>
      <c r="P477" s="607"/>
      <c r="Q477" s="607"/>
      <c r="R477" s="607"/>
      <c r="S477" s="607"/>
    </row>
    <row r="478" spans="1:19" ht="14.4" customHeight="1">
      <c r="A478" s="745">
        <f t="shared" si="29"/>
        <v>28</v>
      </c>
      <c r="B478" s="746"/>
      <c r="C478" s="618" t="s">
        <v>310</v>
      </c>
      <c r="G478" s="607">
        <f>'B-4'!L142</f>
        <v>2304.1426153846155</v>
      </c>
      <c r="H478" s="607"/>
      <c r="I478" s="607"/>
      <c r="J478" s="607">
        <f t="shared" si="33"/>
        <v>2291.5170951330674</v>
      </c>
      <c r="K478" s="607"/>
      <c r="L478" s="607"/>
      <c r="M478" s="610">
        <v>0.99452051267692876</v>
      </c>
      <c r="P478" s="607"/>
      <c r="Q478" s="607"/>
      <c r="R478" s="607"/>
      <c r="S478" s="607"/>
    </row>
    <row r="479" spans="1:19" ht="14.4" customHeight="1">
      <c r="A479" s="745">
        <f t="shared" si="29"/>
        <v>29</v>
      </c>
      <c r="B479" s="746"/>
      <c r="C479" s="618" t="s">
        <v>286</v>
      </c>
      <c r="G479" s="607">
        <f>'B-4'!L143</f>
        <v>670.5543076923077</v>
      </c>
      <c r="J479" s="607">
        <f t="shared" si="33"/>
        <v>666.88001386387691</v>
      </c>
      <c r="M479" s="610">
        <v>0.99452051267692876</v>
      </c>
      <c r="N479" s="607"/>
      <c r="P479" s="607"/>
      <c r="Q479" s="607"/>
      <c r="R479" s="607"/>
      <c r="S479" s="607"/>
    </row>
    <row r="480" spans="1:19" ht="14.4" customHeight="1">
      <c r="A480" s="745">
        <f t="shared" si="29"/>
        <v>30</v>
      </c>
      <c r="B480" s="746"/>
      <c r="C480" s="605" t="s">
        <v>311</v>
      </c>
      <c r="G480" s="612">
        <f>SUM(G469:G479)</f>
        <v>436670.25815384614</v>
      </c>
      <c r="H480" s="607"/>
      <c r="I480" s="607"/>
      <c r="J480" s="612">
        <f>SUM(J469:J479)</f>
        <v>434277.52900992997</v>
      </c>
      <c r="M480" s="610">
        <f>IF(G480=0,0,J480/G480)</f>
        <v>0.99452051267692898</v>
      </c>
      <c r="N480" s="607"/>
      <c r="P480" s="607"/>
      <c r="Q480" s="607"/>
      <c r="R480" s="607"/>
      <c r="S480" s="607"/>
    </row>
    <row r="481" spans="1:20" ht="14.4" customHeight="1">
      <c r="A481" s="745">
        <f t="shared" si="29"/>
        <v>31</v>
      </c>
      <c r="B481" s="746"/>
      <c r="N481" s="607"/>
      <c r="O481" s="607"/>
      <c r="P481" s="607"/>
      <c r="Q481" s="607"/>
      <c r="R481" s="607"/>
      <c r="S481" s="607"/>
    </row>
    <row r="482" spans="1:20" ht="14.4" customHeight="1">
      <c r="A482" s="745">
        <f t="shared" si="29"/>
        <v>32</v>
      </c>
      <c r="B482" s="746"/>
      <c r="C482" s="605" t="s">
        <v>312</v>
      </c>
      <c r="F482" s="607"/>
      <c r="G482" s="607"/>
      <c r="H482" s="607"/>
      <c r="I482" s="607"/>
      <c r="J482" s="607"/>
      <c r="K482" s="607"/>
      <c r="L482" s="607"/>
      <c r="M482" s="610"/>
      <c r="N482" s="607"/>
      <c r="O482" s="607"/>
      <c r="P482" s="607"/>
      <c r="Q482" s="607"/>
      <c r="R482" s="607"/>
      <c r="S482" s="607"/>
    </row>
    <row r="483" spans="1:20" ht="14.4" customHeight="1">
      <c r="A483" s="745">
        <f t="shared" si="29"/>
        <v>33</v>
      </c>
      <c r="B483" s="746"/>
      <c r="C483" s="618" t="s">
        <v>313</v>
      </c>
      <c r="F483" s="607"/>
      <c r="G483" s="607">
        <f>'B-4'!L147+'B-4'!L148</f>
        <v>21791.827384615382</v>
      </c>
      <c r="H483" s="607"/>
      <c r="I483" s="607"/>
      <c r="J483" s="607">
        <f>G483*M483</f>
        <v>21672.419342714828</v>
      </c>
      <c r="K483" s="607"/>
      <c r="L483" s="607"/>
      <c r="M483" s="610">
        <v>0.99452051267692876</v>
      </c>
      <c r="N483" s="607"/>
      <c r="O483" s="607"/>
      <c r="P483" s="607"/>
      <c r="Q483" s="607"/>
      <c r="R483" s="607"/>
      <c r="S483" s="607"/>
    </row>
    <row r="484" spans="1:20" ht="14.4" customHeight="1">
      <c r="A484" s="745">
        <f t="shared" si="29"/>
        <v>34</v>
      </c>
      <c r="B484" s="746"/>
      <c r="C484" s="618" t="s">
        <v>314</v>
      </c>
      <c r="F484" s="607"/>
      <c r="G484" s="607">
        <f>'B-4'!L149</f>
        <v>39935.327538461534</v>
      </c>
      <c r="H484" s="607"/>
      <c r="I484" s="607"/>
      <c r="J484" s="607">
        <f t="shared" ref="J484:J486" si="34">G484*M484</f>
        <v>39716.502417471835</v>
      </c>
      <c r="K484" s="607"/>
      <c r="L484" s="607"/>
      <c r="M484" s="610">
        <v>0.99452051267692876</v>
      </c>
      <c r="N484" s="607"/>
      <c r="O484" s="607"/>
      <c r="P484" s="607"/>
      <c r="Q484" s="607"/>
      <c r="R484" s="607"/>
      <c r="S484" s="607"/>
    </row>
    <row r="485" spans="1:20" ht="14.4" customHeight="1">
      <c r="A485" s="745">
        <f t="shared" si="29"/>
        <v>35</v>
      </c>
      <c r="C485" s="618" t="s">
        <v>315</v>
      </c>
      <c r="F485" s="607"/>
      <c r="G485" s="607">
        <f>'B-4'!L152</f>
        <v>-7.8760000000000012</v>
      </c>
      <c r="H485" s="607"/>
      <c r="I485" s="607"/>
      <c r="J485" s="607">
        <f t="shared" si="34"/>
        <v>-7.8328435578434918</v>
      </c>
      <c r="K485" s="607"/>
      <c r="L485" s="607"/>
      <c r="M485" s="610">
        <v>0.99452051267692876</v>
      </c>
      <c r="N485" s="607"/>
      <c r="O485" s="614"/>
      <c r="P485" s="607"/>
      <c r="Q485" s="607"/>
      <c r="R485" s="607"/>
      <c r="S485" s="607"/>
    </row>
    <row r="486" spans="1:20" ht="14.4" customHeight="1">
      <c r="A486" s="745">
        <f t="shared" si="29"/>
        <v>36</v>
      </c>
      <c r="B486" s="746"/>
      <c r="C486" s="618" t="s">
        <v>316</v>
      </c>
      <c r="F486" s="607"/>
      <c r="G486" s="607">
        <f>'B-4'!L153</f>
        <v>0</v>
      </c>
      <c r="H486" s="607"/>
      <c r="I486" s="607"/>
      <c r="J486" s="607">
        <f t="shared" si="34"/>
        <v>0</v>
      </c>
      <c r="K486" s="607"/>
      <c r="L486" s="607"/>
      <c r="M486" s="610">
        <v>0.99452051267692876</v>
      </c>
      <c r="O486" s="607"/>
      <c r="P486" s="607"/>
      <c r="Q486" s="607"/>
      <c r="R486" s="607"/>
      <c r="S486" s="607"/>
    </row>
    <row r="487" spans="1:20" ht="14.4" customHeight="1">
      <c r="A487" s="745">
        <f t="shared" si="29"/>
        <v>37</v>
      </c>
      <c r="B487" s="746"/>
      <c r="C487" s="605" t="s">
        <v>317</v>
      </c>
      <c r="F487" s="607"/>
      <c r="G487" s="612">
        <f>SUM(G483:G486)</f>
        <v>61719.278923076919</v>
      </c>
      <c r="H487" s="607"/>
      <c r="I487" s="607"/>
      <c r="J487" s="612">
        <f>SUM(J483:J486)</f>
        <v>61381.088916628818</v>
      </c>
      <c r="K487" s="607"/>
      <c r="L487" s="607"/>
      <c r="M487" s="610">
        <f>IF(G487=0,0,J487/G487)</f>
        <v>0.99452051267692865</v>
      </c>
      <c r="N487" s="607"/>
      <c r="O487" s="607"/>
      <c r="P487" s="607"/>
      <c r="Q487" s="607"/>
      <c r="R487" s="607"/>
      <c r="S487" s="607"/>
    </row>
    <row r="488" spans="1:20" ht="14.4" customHeight="1">
      <c r="A488" s="745">
        <f t="shared" si="29"/>
        <v>38</v>
      </c>
      <c r="B488" s="746"/>
      <c r="P488" s="607"/>
      <c r="Q488" s="607"/>
      <c r="R488" s="607"/>
      <c r="S488" s="607"/>
    </row>
    <row r="489" spans="1:20" ht="14.4" customHeight="1">
      <c r="A489" s="745">
        <v>39</v>
      </c>
      <c r="B489" s="746"/>
      <c r="P489" s="607"/>
      <c r="Q489" s="607"/>
      <c r="R489" s="607"/>
      <c r="S489" s="607"/>
    </row>
    <row r="490" spans="1:20" ht="14.4" customHeight="1" thickBot="1">
      <c r="A490" s="750">
        <v>40</v>
      </c>
      <c r="B490" s="750" t="str">
        <f>B436</f>
        <v>Totals may be affected due to rounding.</v>
      </c>
      <c r="C490" s="750"/>
      <c r="D490" s="750"/>
      <c r="E490" s="750"/>
      <c r="F490" s="750"/>
      <c r="G490" s="750"/>
      <c r="H490" s="750"/>
      <c r="I490" s="750"/>
      <c r="J490" s="750"/>
      <c r="K490" s="769"/>
      <c r="L490" s="750"/>
      <c r="M490" s="615"/>
      <c r="N490" s="750"/>
      <c r="O490" s="750"/>
      <c r="P490" s="750"/>
      <c r="Q490" s="750"/>
      <c r="R490" s="750"/>
      <c r="S490" s="750"/>
    </row>
    <row r="491" spans="1:20" ht="14.4" customHeight="1">
      <c r="A491" s="745" t="str">
        <f>$A$328</f>
        <v>Supporting Schedules: B-3, B-5, B-7, B-9, B-15, B-16, B-17</v>
      </c>
      <c r="J491" s="757"/>
      <c r="Q491" s="745" t="s">
        <v>181</v>
      </c>
    </row>
    <row r="492" spans="1:20" ht="14.4" customHeight="1" thickBot="1">
      <c r="A492" s="749" t="s">
        <v>206</v>
      </c>
      <c r="B492" s="750"/>
      <c r="C492" s="750"/>
      <c r="D492" s="750"/>
      <c r="E492" s="750"/>
      <c r="F492" s="750"/>
      <c r="G492" s="750"/>
      <c r="H492" s="750" t="s">
        <v>207</v>
      </c>
      <c r="I492" s="750"/>
      <c r="J492" s="750"/>
      <c r="K492" s="750"/>
      <c r="L492" s="750"/>
      <c r="M492" s="750"/>
      <c r="N492" s="750"/>
      <c r="O492" s="750"/>
      <c r="P492" s="750"/>
      <c r="Q492" s="750"/>
      <c r="R492" s="750"/>
      <c r="S492" s="751" t="s">
        <v>806</v>
      </c>
      <c r="T492" s="745" t="s">
        <v>249</v>
      </c>
    </row>
    <row r="493" spans="1:20" ht="14.4" customHeight="1">
      <c r="A493" s="745" t="s">
        <v>4</v>
      </c>
      <c r="E493" s="745" t="s">
        <v>208</v>
      </c>
      <c r="G493" s="745" t="s">
        <v>209</v>
      </c>
      <c r="K493" s="752"/>
      <c r="L493" s="752"/>
      <c r="N493" s="752"/>
      <c r="O493" s="752"/>
      <c r="P493" s="752" t="s">
        <v>7</v>
      </c>
      <c r="S493" s="753"/>
    </row>
    <row r="494" spans="1:20" ht="14.4" customHeight="1">
      <c r="G494" s="745" t="s">
        <v>210</v>
      </c>
      <c r="K494" s="754"/>
      <c r="L494" s="753"/>
      <c r="O494" s="754"/>
      <c r="P494" s="754"/>
      <c r="Q494" s="753" t="s">
        <v>9</v>
      </c>
      <c r="S494" s="754"/>
    </row>
    <row r="495" spans="1:20" ht="14.4" customHeight="1">
      <c r="A495" s="745" t="s">
        <v>10</v>
      </c>
      <c r="G495" s="745" t="s">
        <v>211</v>
      </c>
      <c r="K495" s="754"/>
      <c r="L495" s="753"/>
      <c r="M495" s="754"/>
      <c r="P495" s="754"/>
      <c r="Q495" s="753" t="s">
        <v>11</v>
      </c>
      <c r="S495" s="754"/>
    </row>
    <row r="496" spans="1:20" ht="14.4" customHeight="1">
      <c r="G496" s="745" t="s">
        <v>211</v>
      </c>
      <c r="K496" s="754"/>
      <c r="L496" s="753"/>
      <c r="M496" s="754"/>
      <c r="P496" s="754" t="s">
        <v>12</v>
      </c>
      <c r="Q496" s="753" t="s">
        <v>13</v>
      </c>
      <c r="S496" s="754"/>
    </row>
    <row r="497" spans="1:19" ht="14.4" customHeight="1">
      <c r="K497" s="754"/>
      <c r="L497" s="753"/>
      <c r="M497" s="754"/>
      <c r="P497" s="754"/>
      <c r="Q497" s="753" t="str">
        <f>+$Q$279</f>
        <v>Witness: C. Aldazabal / J. Chronister /</v>
      </c>
      <c r="S497" s="754"/>
    </row>
    <row r="498" spans="1:19" ht="14.4" customHeight="1">
      <c r="K498" s="754"/>
      <c r="L498" s="753"/>
      <c r="M498" s="754"/>
      <c r="P498" s="754"/>
      <c r="Q498" s="753" t="str">
        <f>+$Q$280</f>
        <v xml:space="preserve">                 R. Latta / C. Whitworth /</v>
      </c>
      <c r="S498" s="754"/>
    </row>
    <row r="499" spans="1:19" ht="14.4" customHeight="1" thickBot="1">
      <c r="A499" s="270" t="str">
        <f>A445</f>
        <v>DOCKET No. 20240026-EI</v>
      </c>
      <c r="B499" s="750"/>
      <c r="C499" s="750"/>
      <c r="D499" s="750"/>
      <c r="E499" s="750"/>
      <c r="F499" s="750"/>
      <c r="G499" s="750"/>
      <c r="H499" s="750"/>
      <c r="I499" s="750"/>
      <c r="J499" s="750" t="s">
        <v>15</v>
      </c>
      <c r="K499" s="751"/>
      <c r="L499" s="755"/>
      <c r="M499" s="751"/>
      <c r="N499" s="750"/>
      <c r="O499" s="750"/>
      <c r="P499" s="751"/>
      <c r="Q499" s="755" t="str">
        <f>+$Q$281</f>
        <v xml:space="preserve">                 J. Williams</v>
      </c>
      <c r="R499" s="750"/>
      <c r="S499" s="751"/>
    </row>
    <row r="500" spans="1:19" ht="14.4" customHeight="1">
      <c r="C500" s="756"/>
      <c r="D500" s="756"/>
      <c r="E500" s="756"/>
      <c r="F500" s="756"/>
      <c r="G500" s="756"/>
      <c r="H500" s="756"/>
      <c r="I500" s="756"/>
      <c r="J500" s="756"/>
      <c r="K500" s="756"/>
      <c r="L500" s="756"/>
      <c r="M500" s="756"/>
      <c r="N500" s="756"/>
      <c r="O500" s="756"/>
      <c r="P500" s="756"/>
      <c r="Q500" s="756"/>
      <c r="R500" s="756"/>
      <c r="S500" s="756"/>
    </row>
    <row r="501" spans="1:19" ht="14.4" customHeight="1">
      <c r="C501" s="756"/>
      <c r="D501" s="756"/>
      <c r="E501" s="756"/>
      <c r="F501" s="756"/>
      <c r="G501" s="756"/>
      <c r="H501" s="756"/>
      <c r="I501" s="756"/>
      <c r="J501" s="756"/>
      <c r="K501" s="776"/>
      <c r="L501" s="776"/>
      <c r="M501" s="756"/>
      <c r="N501" s="756"/>
      <c r="O501" s="756"/>
      <c r="P501" s="756"/>
      <c r="Q501" s="756"/>
      <c r="R501" s="756"/>
      <c r="S501" s="756"/>
    </row>
    <row r="502" spans="1:19" ht="14.4" customHeight="1">
      <c r="G502" s="756" t="s">
        <v>17</v>
      </c>
      <c r="H502" s="757"/>
      <c r="I502" s="756"/>
      <c r="J502" s="756" t="s">
        <v>18</v>
      </c>
      <c r="K502" s="756"/>
      <c r="L502" s="757"/>
      <c r="M502" s="756" t="s">
        <v>19</v>
      </c>
      <c r="N502" s="757"/>
      <c r="S502" s="757"/>
    </row>
    <row r="503" spans="1:19" ht="14.4" customHeight="1">
      <c r="A503" s="745" t="s">
        <v>35</v>
      </c>
      <c r="B503" s="757"/>
      <c r="C503" s="757"/>
      <c r="D503" s="757"/>
      <c r="E503" s="757"/>
      <c r="F503" s="756"/>
      <c r="G503" s="757" t="s">
        <v>45</v>
      </c>
      <c r="H503" s="757"/>
      <c r="I503" s="757"/>
      <c r="J503" s="757" t="s">
        <v>212</v>
      </c>
      <c r="K503" s="757"/>
      <c r="L503" s="756"/>
      <c r="M503" s="757" t="s">
        <v>98</v>
      </c>
      <c r="N503" s="753"/>
      <c r="O503" s="753"/>
      <c r="P503" s="756"/>
      <c r="Q503" s="756"/>
      <c r="R503" s="756"/>
      <c r="S503" s="757"/>
    </row>
    <row r="504" spans="1:19" ht="14.4" customHeight="1" thickBot="1">
      <c r="A504" s="750" t="s">
        <v>46</v>
      </c>
      <c r="B504" s="758"/>
      <c r="C504" s="758" t="s">
        <v>213</v>
      </c>
      <c r="D504" s="758"/>
      <c r="E504" s="758"/>
      <c r="F504" s="758"/>
      <c r="G504" s="759" t="s">
        <v>214</v>
      </c>
      <c r="H504" s="759"/>
      <c r="I504" s="759"/>
      <c r="J504" s="759" t="s">
        <v>98</v>
      </c>
      <c r="K504" s="759"/>
      <c r="L504" s="760"/>
      <c r="M504" s="759" t="s">
        <v>110</v>
      </c>
      <c r="N504" s="761"/>
      <c r="O504" s="761"/>
      <c r="P504" s="761"/>
      <c r="Q504" s="761"/>
      <c r="R504" s="761"/>
      <c r="S504" s="761"/>
    </row>
    <row r="505" spans="1:19" ht="14.4" customHeight="1">
      <c r="A505" s="745">
        <v>1</v>
      </c>
      <c r="B505" s="746"/>
      <c r="N505" s="606"/>
      <c r="O505" s="605"/>
      <c r="P505" s="605"/>
      <c r="Q505" s="605"/>
      <c r="R505" s="605"/>
      <c r="S505" s="605"/>
    </row>
    <row r="506" spans="1:19" ht="14.4" customHeight="1">
      <c r="A506" s="745">
        <v>2</v>
      </c>
      <c r="B506" s="746"/>
      <c r="C506" s="764" t="s">
        <v>318</v>
      </c>
      <c r="G506" s="612">
        <f>G466+G487+G480</f>
        <v>675454.45923076919</v>
      </c>
      <c r="H506" s="607"/>
      <c r="I506" s="607"/>
      <c r="J506" s="612">
        <f>J466+J487+J480</f>
        <v>671753.31508410233</v>
      </c>
      <c r="K506" s="607"/>
      <c r="L506" s="607"/>
      <c r="M506" s="610">
        <f>IF(G506=0,0,J506/G506)</f>
        <v>0.99452051267692887</v>
      </c>
      <c r="N506" s="606"/>
      <c r="O506" s="605"/>
      <c r="P506" s="605"/>
      <c r="Q506" s="605"/>
      <c r="R506" s="605"/>
      <c r="S506" s="605"/>
    </row>
    <row r="507" spans="1:19" ht="14.4" customHeight="1">
      <c r="A507" s="745">
        <v>3</v>
      </c>
      <c r="B507" s="746"/>
      <c r="N507" s="606"/>
      <c r="O507" s="605"/>
      <c r="P507" s="605"/>
      <c r="Q507" s="605"/>
      <c r="R507" s="605"/>
      <c r="S507" s="605"/>
    </row>
    <row r="508" spans="1:19" ht="14.4" customHeight="1">
      <c r="A508" s="745">
        <v>4</v>
      </c>
      <c r="B508" s="746"/>
      <c r="C508" s="764" t="s">
        <v>319</v>
      </c>
      <c r="G508" s="612">
        <f>ROUND(G459-G506,0)</f>
        <v>1776069</v>
      </c>
      <c r="H508" s="607"/>
      <c r="I508" s="607"/>
      <c r="J508" s="612">
        <f>ROUND(J459-J506,0)</f>
        <v>1766337</v>
      </c>
      <c r="K508" s="607"/>
      <c r="L508" s="607"/>
      <c r="M508" s="610">
        <f>IF(G508=0,0,J508/G508)</f>
        <v>0.99452048315690433</v>
      </c>
      <c r="N508" s="609"/>
      <c r="O508" s="605"/>
      <c r="P508" s="605"/>
      <c r="Q508" s="605"/>
      <c r="R508" s="605"/>
      <c r="S508" s="605"/>
    </row>
    <row r="509" spans="1:19" ht="14.4" customHeight="1">
      <c r="A509" s="745">
        <v>5</v>
      </c>
      <c r="B509" s="762"/>
      <c r="O509" s="607"/>
      <c r="P509" s="607"/>
      <c r="Q509" s="607"/>
      <c r="R509" s="607"/>
      <c r="S509" s="607"/>
    </row>
    <row r="510" spans="1:19" ht="14.4" customHeight="1">
      <c r="A510" s="745">
        <v>6</v>
      </c>
      <c r="B510" s="762"/>
      <c r="N510" s="605"/>
      <c r="O510" s="607"/>
      <c r="P510" s="607"/>
      <c r="Q510" s="607"/>
      <c r="R510" s="607"/>
      <c r="S510" s="607"/>
    </row>
    <row r="511" spans="1:19" ht="14.4" customHeight="1" thickBot="1">
      <c r="A511" s="745">
        <v>7</v>
      </c>
      <c r="B511" s="746"/>
      <c r="C511" s="764" t="s">
        <v>320</v>
      </c>
      <c r="F511" s="607"/>
      <c r="G511" s="619">
        <f>G508+G407+G397+G405</f>
        <v>11236838.089425385</v>
      </c>
      <c r="H511" s="607"/>
      <c r="I511" s="607"/>
      <c r="J511" s="619">
        <f>J508+J407+J397+J405</f>
        <v>11160665.836552309</v>
      </c>
      <c r="K511" s="607"/>
      <c r="L511" s="607"/>
      <c r="M511" s="620">
        <f>IF(G511=0,0,J511/G511)</f>
        <v>0.99322120223973331</v>
      </c>
      <c r="N511" s="607"/>
      <c r="O511" s="607"/>
      <c r="P511" s="607"/>
      <c r="Q511" s="607"/>
      <c r="R511" s="607"/>
      <c r="S511" s="607"/>
    </row>
    <row r="512" spans="1:19" ht="14.4" customHeight="1" thickTop="1">
      <c r="A512" s="745">
        <v>8</v>
      </c>
      <c r="B512" s="746"/>
      <c r="C512" s="606"/>
      <c r="O512" s="607"/>
      <c r="P512" s="607"/>
      <c r="Q512" s="607"/>
      <c r="R512" s="607"/>
      <c r="S512" s="607"/>
    </row>
    <row r="513" spans="1:19" ht="14.4" customHeight="1">
      <c r="A513" s="745">
        <v>9</v>
      </c>
      <c r="B513" s="746"/>
      <c r="N513" s="607"/>
      <c r="O513" s="607"/>
      <c r="P513" s="607"/>
      <c r="Q513" s="607"/>
      <c r="R513" s="607"/>
      <c r="S513" s="607"/>
    </row>
    <row r="514" spans="1:19" ht="14.4" customHeight="1">
      <c r="A514" s="745">
        <v>10</v>
      </c>
      <c r="B514" s="746"/>
      <c r="N514" s="607"/>
      <c r="O514" s="607"/>
      <c r="P514" s="607"/>
      <c r="Q514" s="607"/>
      <c r="R514" s="607"/>
      <c r="S514" s="607"/>
    </row>
    <row r="515" spans="1:19" ht="14.4" customHeight="1">
      <c r="A515" s="745">
        <v>11</v>
      </c>
      <c r="B515" s="746"/>
      <c r="N515" s="607"/>
      <c r="O515" s="607"/>
      <c r="P515" s="607"/>
      <c r="Q515" s="607"/>
      <c r="R515" s="607"/>
      <c r="S515" s="607"/>
    </row>
    <row r="516" spans="1:19" ht="14.4" customHeight="1">
      <c r="A516" s="745">
        <v>12</v>
      </c>
      <c r="B516" s="746"/>
      <c r="N516" s="607"/>
      <c r="O516" s="607"/>
      <c r="P516" s="607"/>
      <c r="Q516" s="607"/>
      <c r="R516" s="607"/>
      <c r="S516" s="607"/>
    </row>
    <row r="517" spans="1:19" ht="14.4" customHeight="1">
      <c r="A517" s="745">
        <v>13</v>
      </c>
      <c r="B517" s="746"/>
      <c r="N517" s="607"/>
      <c r="O517" s="607"/>
      <c r="P517" s="607"/>
      <c r="Q517" s="607"/>
      <c r="R517" s="607"/>
      <c r="S517" s="607"/>
    </row>
    <row r="518" spans="1:19" ht="14.4" customHeight="1">
      <c r="A518" s="745">
        <v>14</v>
      </c>
      <c r="B518" s="746"/>
      <c r="N518" s="607"/>
      <c r="O518" s="607"/>
      <c r="P518" s="607"/>
      <c r="Q518" s="607"/>
      <c r="R518" s="607"/>
      <c r="S518" s="607"/>
    </row>
    <row r="519" spans="1:19" ht="14.4" customHeight="1">
      <c r="A519" s="745">
        <v>15</v>
      </c>
      <c r="B519" s="746"/>
      <c r="N519" s="607"/>
      <c r="O519" s="607"/>
      <c r="P519" s="607"/>
      <c r="Q519" s="607"/>
      <c r="R519" s="607"/>
      <c r="S519" s="607"/>
    </row>
    <row r="520" spans="1:19" ht="14.4" customHeight="1">
      <c r="A520" s="745">
        <v>16</v>
      </c>
      <c r="B520" s="746"/>
      <c r="N520" s="607"/>
      <c r="O520" s="607"/>
      <c r="P520" s="607"/>
      <c r="Q520" s="607"/>
      <c r="R520" s="607"/>
      <c r="S520" s="607"/>
    </row>
    <row r="521" spans="1:19" ht="14.4" customHeight="1">
      <c r="A521" s="745">
        <v>17</v>
      </c>
      <c r="B521" s="746"/>
      <c r="N521" s="607"/>
      <c r="O521" s="607"/>
      <c r="P521" s="607"/>
      <c r="Q521" s="607"/>
      <c r="R521" s="607"/>
      <c r="S521" s="607"/>
    </row>
    <row r="522" spans="1:19" ht="14.4" customHeight="1">
      <c r="A522" s="745">
        <v>18</v>
      </c>
      <c r="B522" s="746"/>
      <c r="N522" s="607"/>
      <c r="O522" s="607"/>
      <c r="P522" s="607"/>
      <c r="Q522" s="607"/>
      <c r="R522" s="607"/>
      <c r="S522" s="607"/>
    </row>
    <row r="523" spans="1:19" ht="14.4" customHeight="1">
      <c r="A523" s="745">
        <v>19</v>
      </c>
      <c r="B523" s="746"/>
      <c r="N523" s="607"/>
      <c r="O523" s="607"/>
      <c r="P523" s="607"/>
      <c r="Q523" s="607"/>
      <c r="R523" s="607"/>
      <c r="S523" s="607"/>
    </row>
    <row r="524" spans="1:19" ht="14.4" customHeight="1">
      <c r="A524" s="745">
        <v>20</v>
      </c>
      <c r="B524" s="746"/>
      <c r="N524" s="607"/>
      <c r="O524" s="607"/>
      <c r="P524" s="607"/>
      <c r="Q524" s="607"/>
      <c r="R524" s="607"/>
      <c r="S524" s="607"/>
    </row>
    <row r="525" spans="1:19" ht="14.4" customHeight="1">
      <c r="A525" s="745">
        <v>21</v>
      </c>
      <c r="B525" s="746"/>
      <c r="N525" s="607"/>
      <c r="O525" s="607"/>
      <c r="P525" s="607"/>
      <c r="Q525" s="607"/>
      <c r="R525" s="607"/>
      <c r="S525" s="607"/>
    </row>
    <row r="526" spans="1:19" ht="14.4" customHeight="1">
      <c r="A526" s="745">
        <v>22</v>
      </c>
      <c r="B526" s="746"/>
      <c r="N526" s="607"/>
      <c r="O526" s="607"/>
      <c r="P526" s="607"/>
      <c r="Q526" s="607"/>
      <c r="R526" s="607"/>
      <c r="S526" s="607"/>
    </row>
    <row r="527" spans="1:19" ht="14.4" customHeight="1">
      <c r="A527" s="745">
        <v>23</v>
      </c>
      <c r="B527" s="746"/>
      <c r="N527" s="607"/>
      <c r="O527" s="607"/>
      <c r="P527" s="607"/>
      <c r="Q527" s="607"/>
      <c r="R527" s="607"/>
      <c r="S527" s="607"/>
    </row>
    <row r="528" spans="1:19" ht="14.4" customHeight="1">
      <c r="A528" s="745">
        <v>24</v>
      </c>
      <c r="B528" s="746"/>
      <c r="N528" s="607"/>
      <c r="O528" s="607"/>
      <c r="P528" s="607"/>
      <c r="Q528" s="607"/>
      <c r="R528" s="607"/>
      <c r="S528" s="607"/>
    </row>
    <row r="529" spans="1:19" ht="14.4" customHeight="1">
      <c r="A529" s="745">
        <v>25</v>
      </c>
      <c r="B529" s="746"/>
      <c r="N529" s="607"/>
      <c r="O529" s="607"/>
      <c r="P529" s="607"/>
      <c r="Q529" s="607"/>
      <c r="R529" s="607"/>
      <c r="S529" s="607"/>
    </row>
    <row r="530" spans="1:19" ht="14.4" customHeight="1">
      <c r="A530" s="745">
        <v>26</v>
      </c>
      <c r="B530" s="746"/>
      <c r="N530" s="607"/>
      <c r="O530" s="607"/>
      <c r="P530" s="607"/>
      <c r="Q530" s="607"/>
      <c r="R530" s="607"/>
      <c r="S530" s="607"/>
    </row>
    <row r="531" spans="1:19" ht="14.4" customHeight="1">
      <c r="A531" s="745">
        <v>27</v>
      </c>
      <c r="B531" s="746"/>
      <c r="N531" s="607"/>
      <c r="O531" s="607"/>
      <c r="P531" s="607"/>
      <c r="Q531" s="607"/>
      <c r="R531" s="607"/>
      <c r="S531" s="607"/>
    </row>
    <row r="532" spans="1:19" ht="14.4" customHeight="1">
      <c r="A532" s="745">
        <v>28</v>
      </c>
      <c r="B532" s="746"/>
      <c r="N532" s="607"/>
      <c r="O532" s="607"/>
      <c r="P532" s="607"/>
      <c r="Q532" s="607"/>
      <c r="R532" s="607"/>
      <c r="S532" s="607"/>
    </row>
    <row r="533" spans="1:19" ht="14.4" customHeight="1">
      <c r="A533" s="745">
        <v>29</v>
      </c>
      <c r="B533" s="746"/>
      <c r="C533" s="764"/>
      <c r="F533" s="607"/>
      <c r="L533" s="607"/>
      <c r="M533" s="614"/>
      <c r="N533" s="607"/>
      <c r="O533" s="607"/>
      <c r="P533" s="607"/>
      <c r="Q533" s="607"/>
      <c r="R533" s="607"/>
      <c r="S533" s="607"/>
    </row>
    <row r="534" spans="1:19" ht="14.4" customHeight="1">
      <c r="A534" s="745">
        <v>30</v>
      </c>
      <c r="B534" s="746"/>
      <c r="N534" s="607"/>
      <c r="O534" s="607"/>
      <c r="P534" s="607"/>
      <c r="Q534" s="607"/>
      <c r="R534" s="607"/>
      <c r="S534" s="607"/>
    </row>
    <row r="535" spans="1:19" ht="14.4" customHeight="1">
      <c r="A535" s="745">
        <v>31</v>
      </c>
      <c r="B535" s="746"/>
      <c r="N535" s="607"/>
      <c r="O535" s="607"/>
      <c r="P535" s="607"/>
      <c r="Q535" s="607"/>
      <c r="R535" s="607"/>
      <c r="S535" s="607"/>
    </row>
    <row r="536" spans="1:19" ht="14.4" customHeight="1">
      <c r="A536" s="745">
        <v>32</v>
      </c>
      <c r="B536" s="746"/>
      <c r="O536" s="607"/>
      <c r="P536" s="607"/>
      <c r="Q536" s="607"/>
      <c r="R536" s="607"/>
      <c r="S536" s="607"/>
    </row>
    <row r="537" spans="1:19" ht="14.4" customHeight="1">
      <c r="A537" s="745">
        <v>33</v>
      </c>
      <c r="B537" s="746"/>
      <c r="N537" s="607"/>
      <c r="O537" s="607"/>
      <c r="P537" s="607"/>
      <c r="Q537" s="607"/>
      <c r="R537" s="607"/>
      <c r="S537" s="607"/>
    </row>
    <row r="538" spans="1:19" ht="14.4" customHeight="1">
      <c r="A538" s="745">
        <v>34</v>
      </c>
      <c r="B538" s="746"/>
      <c r="N538" s="607"/>
      <c r="O538" s="607"/>
      <c r="P538" s="607"/>
      <c r="Q538" s="607"/>
      <c r="R538" s="607"/>
      <c r="S538" s="607"/>
    </row>
    <row r="539" spans="1:19" ht="14.4" customHeight="1">
      <c r="A539" s="745">
        <v>35</v>
      </c>
      <c r="B539" s="746"/>
      <c r="N539" s="607"/>
      <c r="O539" s="607"/>
      <c r="P539" s="607"/>
      <c r="Q539" s="607"/>
      <c r="R539" s="607"/>
      <c r="S539" s="607"/>
    </row>
    <row r="540" spans="1:19" ht="14.4" customHeight="1">
      <c r="A540" s="745">
        <v>36</v>
      </c>
      <c r="B540" s="746"/>
      <c r="N540" s="607"/>
      <c r="O540" s="607"/>
      <c r="P540" s="607"/>
      <c r="Q540" s="607"/>
      <c r="R540" s="607"/>
      <c r="S540" s="607"/>
    </row>
    <row r="541" spans="1:19" ht="14.4" customHeight="1">
      <c r="A541" s="745">
        <v>37</v>
      </c>
      <c r="B541" s="765"/>
      <c r="P541" s="607"/>
      <c r="Q541" s="607"/>
      <c r="R541" s="607"/>
      <c r="S541" s="607"/>
    </row>
    <row r="542" spans="1:19" ht="14.4" customHeight="1">
      <c r="A542" s="745">
        <v>38</v>
      </c>
      <c r="B542" s="746"/>
      <c r="N542" s="607"/>
      <c r="O542" s="607"/>
      <c r="P542" s="607"/>
      <c r="Q542" s="607"/>
      <c r="R542" s="607"/>
      <c r="S542" s="607"/>
    </row>
    <row r="543" spans="1:19" ht="14.4" customHeight="1">
      <c r="A543" s="745">
        <v>39</v>
      </c>
      <c r="B543" s="746"/>
      <c r="N543" s="607"/>
      <c r="O543" s="607"/>
      <c r="P543" s="607"/>
      <c r="Q543" s="607"/>
      <c r="R543" s="607"/>
      <c r="S543" s="607"/>
    </row>
    <row r="544" spans="1:19" ht="14.4" customHeight="1" thickBot="1">
      <c r="A544" s="750">
        <v>40</v>
      </c>
      <c r="B544" s="750" t="s">
        <v>67</v>
      </c>
      <c r="C544" s="750"/>
      <c r="D544" s="750"/>
      <c r="E544" s="750"/>
      <c r="F544" s="750"/>
      <c r="G544" s="750"/>
      <c r="H544" s="750"/>
      <c r="I544" s="750"/>
      <c r="J544" s="750"/>
      <c r="K544" s="750"/>
      <c r="L544" s="750"/>
      <c r="M544" s="750"/>
      <c r="N544" s="750"/>
      <c r="O544" s="750"/>
      <c r="P544" s="750"/>
      <c r="Q544" s="750"/>
      <c r="R544" s="750"/>
      <c r="S544" s="750"/>
    </row>
    <row r="545" spans="1:17" ht="14.4" customHeight="1">
      <c r="A545" s="745" t="str">
        <f>$A$328</f>
        <v>Supporting Schedules: B-3, B-5, B-7, B-9, B-15, B-16, B-17</v>
      </c>
      <c r="Q545" s="745" t="s">
        <v>181</v>
      </c>
    </row>
    <row r="546" spans="1:17" ht="14.4" customHeight="1"/>
    <row r="547" spans="1:17" ht="14.4" customHeight="1"/>
    <row r="548" spans="1:17" ht="14.4" customHeight="1"/>
    <row r="549" spans="1:17" ht="14.4" customHeight="1"/>
    <row r="550" spans="1:17" ht="14.4" customHeight="1"/>
    <row r="551" spans="1:17" ht="14.4" customHeight="1"/>
    <row r="552" spans="1:17" ht="14.4" customHeight="1"/>
    <row r="553" spans="1:17" ht="14.4" customHeight="1"/>
    <row r="554" spans="1:17" ht="14.4" customHeight="1"/>
    <row r="555" spans="1:17" ht="14.4" customHeight="1"/>
    <row r="556" spans="1:17" ht="14.4" customHeight="1"/>
    <row r="557" spans="1:17" ht="14.4" customHeight="1"/>
    <row r="558" spans="1:17" ht="14.4" customHeight="1"/>
    <row r="559" spans="1:17" ht="14.4" customHeight="1"/>
    <row r="560" spans="1:17" ht="14.4" customHeight="1"/>
    <row r="561" ht="14.4" customHeight="1"/>
    <row r="562" ht="14.4" customHeight="1"/>
    <row r="563" ht="14.4" customHeight="1"/>
    <row r="564" ht="14.4" customHeight="1"/>
    <row r="565" ht="14.4" customHeight="1"/>
    <row r="566" ht="14.4" customHeight="1"/>
    <row r="567" ht="14.4" customHeight="1"/>
    <row r="568" ht="14.4" customHeight="1"/>
    <row r="569" ht="14.4" customHeight="1"/>
    <row r="570" ht="14.4" customHeight="1"/>
    <row r="571" ht="14.4" customHeight="1"/>
    <row r="572" ht="14.4" customHeight="1"/>
    <row r="573" ht="14.4" customHeight="1"/>
    <row r="574" ht="14.4" customHeight="1"/>
    <row r="575" ht="14.4" customHeight="1"/>
    <row r="576" ht="14.4" customHeight="1"/>
    <row r="577" ht="14.4" customHeight="1"/>
    <row r="578" ht="14.4" customHeight="1"/>
    <row r="579" ht="14.4" customHeight="1"/>
    <row r="580" ht="14.4" customHeight="1"/>
    <row r="581" ht="14.4" customHeight="1"/>
    <row r="582" ht="14.4" customHeight="1"/>
    <row r="583" ht="14.4" customHeight="1"/>
    <row r="584" ht="14.4" customHeight="1"/>
    <row r="585" ht="14.4" customHeight="1"/>
    <row r="586" ht="14.4" customHeight="1"/>
    <row r="587" ht="14.4" customHeight="1"/>
    <row r="588" ht="14.4" customHeight="1"/>
    <row r="589" ht="14.4" customHeight="1"/>
    <row r="590" ht="14.4" customHeight="1"/>
    <row r="591" ht="14.4" customHeight="1"/>
    <row r="592" ht="14.4" customHeight="1"/>
    <row r="593" ht="14.4" customHeight="1"/>
    <row r="594" ht="14.4" customHeight="1"/>
    <row r="595" ht="14.4" customHeight="1"/>
    <row r="596" ht="14.4" customHeight="1"/>
    <row r="597" ht="14.4" customHeight="1"/>
    <row r="598" ht="14.4" customHeight="1"/>
    <row r="599" ht="14.4" customHeight="1"/>
    <row r="600" ht="14.4" customHeight="1"/>
    <row r="601" ht="14.4" customHeight="1"/>
    <row r="602" ht="14.4" customHeight="1"/>
    <row r="603" ht="14.4" customHeight="1"/>
    <row r="604" ht="14.4" customHeight="1"/>
    <row r="605" ht="14.4" customHeight="1"/>
    <row r="606" ht="14.4" customHeight="1"/>
    <row r="607" ht="14.4" customHeight="1"/>
    <row r="608" ht="14.4" customHeight="1"/>
    <row r="609" ht="14.4" customHeight="1"/>
    <row r="610" ht="14.4" customHeight="1"/>
    <row r="611" ht="14.4" customHeight="1"/>
    <row r="612" ht="14.4" customHeight="1"/>
    <row r="613" ht="14.4" customHeight="1"/>
    <row r="614" ht="14.4" customHeight="1"/>
    <row r="615" ht="14.4" customHeight="1"/>
    <row r="616" ht="14.4" customHeight="1"/>
    <row r="617" ht="14.4" customHeight="1"/>
    <row r="618" ht="14.4" customHeight="1"/>
    <row r="619" ht="14.4" customHeight="1"/>
    <row r="620" ht="14.4" customHeight="1"/>
    <row r="621" ht="14.4" customHeight="1"/>
    <row r="622" ht="14.4" customHeight="1"/>
    <row r="623" ht="14.4" customHeight="1"/>
    <row r="624" ht="14.4" customHeight="1"/>
    <row r="625" ht="14.4" customHeight="1"/>
    <row r="626" ht="14.4" customHeight="1"/>
    <row r="627" ht="14.4" customHeight="1"/>
    <row r="628" ht="14.4" customHeight="1"/>
    <row r="629" ht="14.4" customHeight="1"/>
    <row r="630" ht="14.4" customHeight="1"/>
    <row r="631" ht="14.4" customHeight="1"/>
    <row r="632" ht="14.4" customHeight="1"/>
    <row r="633" ht="14.4" customHeight="1"/>
    <row r="634" ht="14.4" customHeight="1"/>
    <row r="635" ht="14.4" customHeight="1"/>
    <row r="636" ht="14.4" customHeight="1"/>
    <row r="637" ht="14.4" customHeight="1"/>
    <row r="638" ht="14.4" customHeight="1"/>
    <row r="639" ht="14.4" customHeight="1"/>
    <row r="640" ht="14.4" customHeight="1"/>
    <row r="641" ht="14.4" customHeight="1"/>
    <row r="642" ht="14.4" customHeight="1"/>
    <row r="643" ht="14.4" customHeight="1"/>
    <row r="644" ht="14.4" customHeight="1"/>
    <row r="645" ht="14.4" customHeight="1"/>
    <row r="646" ht="14.4" customHeight="1"/>
    <row r="647" ht="14.4" customHeight="1"/>
    <row r="648" ht="14.4" customHeight="1"/>
    <row r="649" ht="14.4" customHeight="1"/>
    <row r="650" ht="14.4" customHeight="1"/>
    <row r="651" ht="14.4" customHeight="1"/>
    <row r="652" ht="14.4" customHeight="1"/>
    <row r="653" ht="14.4" customHeight="1"/>
    <row r="654" ht="14.4" customHeight="1"/>
    <row r="655" ht="14.4" customHeight="1"/>
    <row r="656" ht="14.4" customHeight="1"/>
    <row r="657" ht="14.4" customHeight="1"/>
    <row r="658" ht="14.4" customHeight="1"/>
    <row r="659" ht="14.4" customHeight="1"/>
    <row r="660" ht="14.4" customHeight="1"/>
    <row r="661" ht="14.4" customHeight="1"/>
    <row r="662" ht="14.4" customHeight="1"/>
    <row r="663" ht="14.4" customHeight="1"/>
    <row r="664" ht="14.4" customHeight="1"/>
    <row r="665" ht="14.4" customHeight="1"/>
    <row r="666" ht="14.4" customHeight="1"/>
    <row r="667" ht="14.4" customHeight="1"/>
    <row r="668" ht="14.4" customHeight="1"/>
    <row r="669" ht="14.4" customHeight="1"/>
    <row r="670" ht="14.4" customHeight="1"/>
    <row r="671" ht="14.4" customHeight="1"/>
    <row r="672" ht="14.4" customHeight="1"/>
    <row r="673" ht="14.4" customHeight="1"/>
    <row r="674" ht="14.4" customHeight="1"/>
    <row r="675" ht="14.4" customHeight="1"/>
    <row r="676" ht="14.4" customHeight="1"/>
    <row r="677" ht="14.4" customHeight="1"/>
    <row r="678" ht="14.4" customHeight="1"/>
    <row r="679" ht="14.4" customHeight="1"/>
    <row r="680" ht="14.4" customHeight="1"/>
    <row r="681" ht="14.4" customHeight="1"/>
    <row r="682" ht="14.4" customHeight="1"/>
    <row r="683" ht="14.4" customHeight="1"/>
    <row r="684" ht="14.4" customHeight="1"/>
    <row r="685" ht="14.4" customHeight="1"/>
    <row r="686" ht="14.4" customHeight="1"/>
    <row r="687" ht="14.4" customHeight="1"/>
    <row r="688" ht="14.4" customHeight="1"/>
    <row r="689" ht="14.4" customHeight="1"/>
    <row r="690" ht="14.4" customHeight="1"/>
    <row r="691" ht="14.4" customHeight="1"/>
    <row r="692" ht="14.4" customHeight="1"/>
    <row r="693" ht="14.4" customHeight="1"/>
    <row r="694" ht="14.4" customHeight="1"/>
    <row r="695" ht="14.4" customHeight="1"/>
    <row r="696" ht="14.4" customHeight="1"/>
    <row r="697" ht="14.4" customHeight="1"/>
    <row r="698" ht="14.4" customHeight="1"/>
    <row r="699" ht="14.4" customHeight="1"/>
    <row r="700" ht="14.4" customHeight="1"/>
    <row r="701" ht="14.4" customHeight="1"/>
    <row r="702" ht="14.4" customHeight="1"/>
    <row r="703" ht="14.4" customHeight="1"/>
    <row r="704" ht="14.4" customHeight="1"/>
    <row r="705" ht="14.4" customHeight="1"/>
    <row r="706" ht="14.4" customHeight="1"/>
    <row r="707" ht="14.4" customHeight="1"/>
    <row r="708" ht="14.4" customHeight="1"/>
    <row r="709" ht="14.4" customHeight="1"/>
    <row r="710" ht="14.4" customHeight="1"/>
    <row r="711" ht="14.4" customHeight="1"/>
    <row r="712" ht="14.4" customHeight="1"/>
    <row r="713" ht="14.4" customHeight="1"/>
    <row r="714" ht="14.4" customHeight="1"/>
    <row r="715" ht="14.4" customHeight="1"/>
    <row r="716" ht="14.4" customHeight="1"/>
    <row r="717" ht="14.4" customHeight="1"/>
    <row r="718" ht="14.4" customHeight="1"/>
    <row r="719" ht="14.4" customHeight="1"/>
    <row r="720" ht="14.4" customHeight="1"/>
    <row r="721" ht="14.4" customHeight="1"/>
    <row r="722" ht="14.4" customHeight="1"/>
    <row r="723" ht="14.4" customHeight="1"/>
    <row r="724" ht="14.4" customHeight="1"/>
    <row r="725" ht="14.4" customHeight="1"/>
    <row r="726" ht="14.4" customHeight="1"/>
    <row r="727" ht="14.4" customHeight="1"/>
    <row r="728" ht="14.4" customHeight="1"/>
    <row r="729" ht="14.4" customHeight="1"/>
    <row r="730" ht="14.4" customHeight="1"/>
    <row r="731" ht="14.4" customHeight="1"/>
    <row r="732" ht="14.4" customHeight="1"/>
    <row r="733" ht="14.4" customHeight="1"/>
    <row r="734" ht="14.4" customHeight="1"/>
    <row r="735" ht="14.4" customHeight="1"/>
    <row r="736" ht="14.4" customHeight="1"/>
    <row r="737" ht="14.4" customHeight="1"/>
    <row r="738" ht="14.4" customHeight="1"/>
    <row r="739" ht="14.4" customHeight="1"/>
    <row r="740" ht="14.4" customHeight="1"/>
    <row r="741" ht="14.4" customHeight="1"/>
    <row r="742" ht="14.4" customHeight="1"/>
    <row r="743" ht="14.4" customHeight="1"/>
    <row r="744" ht="14.4" customHeight="1"/>
    <row r="745" ht="14.4" customHeight="1"/>
    <row r="746" ht="14.4" customHeight="1"/>
    <row r="747" ht="14.4" customHeight="1"/>
    <row r="748" ht="14.4" customHeight="1"/>
    <row r="749" ht="14.4" customHeight="1"/>
    <row r="750" ht="14.4" customHeight="1"/>
    <row r="751" ht="14.4" customHeight="1"/>
    <row r="752" ht="14.4" customHeight="1"/>
    <row r="753" ht="14.4" customHeight="1"/>
    <row r="754" ht="14.4" customHeight="1"/>
    <row r="755" ht="14.4" customHeight="1"/>
    <row r="756" ht="14.4" customHeight="1"/>
    <row r="757" ht="14.4" customHeight="1"/>
    <row r="758" ht="14.4" customHeight="1"/>
    <row r="759" ht="14.4" customHeight="1"/>
    <row r="760" ht="14.4" customHeight="1"/>
    <row r="761" ht="14.4" customHeight="1"/>
    <row r="762" ht="14.4" customHeight="1"/>
    <row r="763" ht="14.4" customHeight="1"/>
    <row r="764" ht="14.4" customHeight="1"/>
    <row r="765" ht="14.4" customHeight="1"/>
    <row r="766" ht="14.4" customHeight="1"/>
    <row r="767" ht="14.4" customHeight="1"/>
    <row r="768" ht="14.4" customHeight="1"/>
    <row r="769" ht="14.4" customHeight="1"/>
    <row r="770" ht="14.4" customHeight="1"/>
    <row r="771" ht="14.4" customHeight="1"/>
    <row r="772" ht="14.4" customHeight="1"/>
    <row r="773" ht="14.4" customHeight="1"/>
    <row r="774" ht="14.4" customHeight="1"/>
    <row r="775" ht="14.4" customHeight="1"/>
    <row r="776" ht="14.4" customHeight="1"/>
    <row r="777" ht="14.4" customHeight="1"/>
    <row r="778" ht="14.4" customHeight="1"/>
    <row r="779" ht="14.4" customHeight="1"/>
    <row r="780" ht="14.4" customHeight="1"/>
    <row r="781" ht="14.4" customHeight="1"/>
    <row r="782" ht="14.4" customHeight="1"/>
    <row r="783" ht="14.4" customHeight="1"/>
    <row r="784" ht="14.4" customHeight="1"/>
    <row r="785" ht="14.4" customHeight="1"/>
    <row r="786" ht="14.4" customHeight="1"/>
    <row r="787" ht="14.4" customHeight="1"/>
    <row r="788" ht="14.4" customHeight="1"/>
    <row r="789" ht="14.4" customHeight="1"/>
    <row r="790" ht="14.4" customHeight="1"/>
    <row r="791" ht="14.4" customHeight="1"/>
    <row r="792" ht="14.4" customHeight="1"/>
    <row r="793" ht="14.4" customHeight="1"/>
    <row r="794" ht="14.4" customHeight="1"/>
    <row r="795" ht="14.4" customHeight="1"/>
    <row r="796" ht="14.4" customHeight="1"/>
    <row r="797" ht="14.4" customHeight="1"/>
    <row r="798" ht="14.4" customHeight="1"/>
    <row r="799" ht="14.4" customHeight="1"/>
    <row r="800" ht="14.4" customHeight="1"/>
    <row r="801" ht="14.4" customHeight="1"/>
    <row r="802" ht="14.4" customHeight="1"/>
    <row r="803" ht="14.4" customHeight="1"/>
    <row r="804" ht="14.4" customHeight="1"/>
    <row r="805" ht="14.4" customHeight="1"/>
    <row r="806" ht="14.4" customHeight="1"/>
    <row r="807" ht="14.4" customHeight="1"/>
    <row r="808" ht="14.4" customHeight="1"/>
    <row r="809" ht="14.4" customHeight="1"/>
    <row r="810" ht="14.4" customHeight="1"/>
    <row r="811" ht="14.4" customHeight="1"/>
    <row r="812" ht="14.4" customHeight="1"/>
    <row r="813" ht="14.4" customHeight="1"/>
    <row r="814" ht="14.4" customHeight="1"/>
    <row r="815" ht="14.4" customHeight="1"/>
    <row r="816" ht="14.4" customHeight="1"/>
    <row r="817" ht="14.4" customHeight="1"/>
  </sheetData>
  <mergeCells count="10">
    <mergeCell ref="K66:L66"/>
    <mergeCell ref="K121:L121"/>
    <mergeCell ref="K175:L175"/>
    <mergeCell ref="K229:L229"/>
    <mergeCell ref="K10:L10"/>
    <mergeCell ref="K283:L283"/>
    <mergeCell ref="K338:L338"/>
    <mergeCell ref="K393:L393"/>
    <mergeCell ref="K447:L447"/>
    <mergeCell ref="K501:L501"/>
  </mergeCells>
  <pageMargins left="0.7" right="0.7" top="0.75" bottom="0.75" header="0.3" footer="0.3"/>
  <pageSetup scale="61" fitToHeight="0" orientation="landscape" blackAndWhite="1" r:id="rId1"/>
  <headerFooter alignWithMargins="0"/>
  <rowBreaks count="9" manualBreakCount="9">
    <brk id="56" max="18" man="1"/>
    <brk id="111" max="18" man="1"/>
    <brk id="165" max="18" man="1"/>
    <brk id="219" max="18" man="1"/>
    <brk id="273" max="18" man="1"/>
    <brk id="328" max="16383" man="1"/>
    <brk id="383" max="16383" man="1"/>
    <brk id="437" max="16383" man="1"/>
    <brk id="491" max="18" man="1"/>
  </rowBreaks>
  <colBreaks count="1" manualBreakCount="1">
    <brk id="19" max="1048575" man="1"/>
  </colBreaks>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81F6E-56A7-4AC7-B386-43D6E6034EE3}">
  <sheetPr>
    <tabColor rgb="FFFFE8B9"/>
    <pageSetUpPr fitToPage="1"/>
  </sheetPr>
  <dimension ref="A1:Y491"/>
  <sheetViews>
    <sheetView zoomScaleNormal="100" zoomScaleSheetLayoutView="100" workbookViewId="0">
      <selection activeCell="S14" sqref="S14"/>
    </sheetView>
  </sheetViews>
  <sheetFormatPr defaultColWidth="9.109375" defaultRowHeight="15" customHeight="1"/>
  <cols>
    <col min="1" max="1" width="4.6640625" style="81" customWidth="1"/>
    <col min="2" max="2" width="10.6640625" style="81" customWidth="1"/>
    <col min="3" max="4" width="9.6640625" style="81" customWidth="1"/>
    <col min="5" max="5" width="18.88671875" style="81" customWidth="1"/>
    <col min="6" max="6" width="12.33203125" style="81" customWidth="1"/>
    <col min="7" max="19" width="11.33203125" style="81" customWidth="1"/>
    <col min="20" max="20" width="15.44140625" style="81" bestFit="1" customWidth="1"/>
    <col min="21" max="21" width="16.109375" style="81" customWidth="1"/>
    <col min="22" max="22" width="9.109375" style="81"/>
    <col min="23" max="23" width="15.44140625" style="81" bestFit="1" customWidth="1"/>
    <col min="24" max="16384" width="9.109375" style="81"/>
  </cols>
  <sheetData>
    <row r="1" spans="1:23" ht="15" customHeight="1" thickBot="1">
      <c r="A1" s="1" t="s">
        <v>340</v>
      </c>
      <c r="B1" s="1"/>
      <c r="C1" s="1"/>
      <c r="D1" s="1"/>
      <c r="E1" s="1"/>
      <c r="F1" s="1"/>
      <c r="G1" s="1"/>
      <c r="H1" s="1"/>
      <c r="I1" s="1" t="s">
        <v>341</v>
      </c>
      <c r="J1" s="1"/>
      <c r="K1" s="1"/>
      <c r="L1" s="1"/>
      <c r="M1" s="1"/>
      <c r="N1" s="1"/>
      <c r="O1" s="1"/>
      <c r="P1" s="1"/>
      <c r="Q1" s="1"/>
      <c r="R1" s="1"/>
      <c r="S1" s="1"/>
      <c r="T1" s="3" t="s">
        <v>342</v>
      </c>
      <c r="U1" s="82" t="s">
        <v>3</v>
      </c>
    </row>
    <row r="2" spans="1:23" ht="15" customHeight="1">
      <c r="A2" s="4" t="s">
        <v>4</v>
      </c>
      <c r="B2" s="4"/>
      <c r="C2" s="4"/>
      <c r="D2" s="4"/>
      <c r="E2" s="4"/>
      <c r="F2" s="4" t="s">
        <v>343</v>
      </c>
      <c r="G2" s="4" t="s">
        <v>344</v>
      </c>
      <c r="H2" s="5"/>
      <c r="I2" s="5"/>
      <c r="J2" s="6"/>
      <c r="K2" s="6"/>
      <c r="L2" s="4"/>
      <c r="M2" s="6"/>
      <c r="N2" s="6"/>
      <c r="O2" s="6"/>
      <c r="P2" s="6"/>
      <c r="Q2" s="6" t="s">
        <v>7</v>
      </c>
      <c r="R2" s="4"/>
      <c r="S2" s="4"/>
      <c r="T2" s="7"/>
    </row>
    <row r="3" spans="1:23" ht="15" customHeight="1">
      <c r="A3" s="4"/>
      <c r="B3" s="4"/>
      <c r="C3" s="4"/>
      <c r="D3" s="4"/>
      <c r="E3" s="4"/>
      <c r="F3" s="4"/>
      <c r="G3" s="4" t="s">
        <v>345</v>
      </c>
      <c r="H3" s="5"/>
      <c r="I3" s="5"/>
      <c r="J3" s="9"/>
      <c r="K3" s="7"/>
      <c r="L3" s="4"/>
      <c r="M3" s="4"/>
      <c r="N3" s="4"/>
      <c r="O3" s="9"/>
      <c r="P3" s="9"/>
      <c r="Q3" s="9"/>
      <c r="R3" s="7" t="s">
        <v>9</v>
      </c>
      <c r="S3" s="4"/>
      <c r="T3" s="9"/>
    </row>
    <row r="4" spans="1:23" ht="15" customHeight="1">
      <c r="A4" s="4" t="s">
        <v>10</v>
      </c>
      <c r="B4" s="4"/>
      <c r="C4" s="4"/>
      <c r="D4" s="4"/>
      <c r="E4" s="4"/>
      <c r="F4" s="4"/>
      <c r="G4" s="4" t="s">
        <v>346</v>
      </c>
      <c r="H4" s="4"/>
      <c r="I4" s="4"/>
      <c r="J4" s="9"/>
      <c r="K4" s="7"/>
      <c r="L4" s="9"/>
      <c r="M4" s="4"/>
      <c r="N4" s="4"/>
      <c r="O4" s="4"/>
      <c r="P4" s="4"/>
      <c r="Q4" s="9"/>
      <c r="R4" s="7" t="s">
        <v>11</v>
      </c>
      <c r="S4" s="4"/>
      <c r="T4" s="9"/>
    </row>
    <row r="5" spans="1:23" ht="15" customHeight="1">
      <c r="A5" s="4"/>
      <c r="B5" s="4"/>
      <c r="C5" s="4"/>
      <c r="D5" s="4"/>
      <c r="E5" s="4"/>
      <c r="F5" s="4"/>
      <c r="G5" s="4"/>
      <c r="H5" s="4"/>
      <c r="I5" s="4"/>
      <c r="J5" s="9"/>
      <c r="K5" s="7"/>
      <c r="L5" s="9"/>
      <c r="M5" s="4"/>
      <c r="N5" s="4"/>
      <c r="O5" s="4"/>
      <c r="P5" s="4"/>
      <c r="Q5" s="9" t="s">
        <v>12</v>
      </c>
      <c r="R5" s="7" t="s">
        <v>13</v>
      </c>
      <c r="S5" s="4"/>
      <c r="T5" s="9"/>
    </row>
    <row r="6" spans="1:23" ht="15" customHeight="1" thickBot="1">
      <c r="A6" s="2" t="s">
        <v>347</v>
      </c>
      <c r="B6" s="2"/>
      <c r="C6" s="1"/>
      <c r="D6" s="1"/>
      <c r="E6" s="1"/>
      <c r="F6" s="1"/>
      <c r="G6" s="1"/>
      <c r="H6" s="1"/>
      <c r="I6" s="2" t="s">
        <v>15</v>
      </c>
      <c r="J6" s="10"/>
      <c r="K6" s="1"/>
      <c r="L6" s="1"/>
      <c r="M6" s="1"/>
      <c r="N6" s="1"/>
      <c r="O6" s="1"/>
      <c r="P6" s="1"/>
      <c r="Q6" s="1"/>
      <c r="R6" s="2" t="s">
        <v>16</v>
      </c>
      <c r="S6" s="1"/>
      <c r="T6" s="1"/>
    </row>
    <row r="7" spans="1:23" ht="15" customHeight="1">
      <c r="A7" s="142"/>
      <c r="B7" s="142"/>
      <c r="C7" s="143"/>
      <c r="D7" s="143"/>
      <c r="E7" s="143"/>
      <c r="F7" s="143" t="s">
        <v>17</v>
      </c>
      <c r="G7" s="143" t="s">
        <v>18</v>
      </c>
      <c r="H7" s="143" t="s">
        <v>19</v>
      </c>
      <c r="I7" s="143" t="s">
        <v>20</v>
      </c>
      <c r="J7" s="143" t="s">
        <v>21</v>
      </c>
      <c r="K7" s="143" t="s">
        <v>22</v>
      </c>
      <c r="L7" s="143" t="s">
        <v>23</v>
      </c>
      <c r="M7" s="143" t="s">
        <v>24</v>
      </c>
      <c r="N7" s="143" t="s">
        <v>25</v>
      </c>
      <c r="O7" s="143" t="s">
        <v>26</v>
      </c>
      <c r="P7" s="143" t="s">
        <v>348</v>
      </c>
      <c r="Q7" s="143" t="s">
        <v>349</v>
      </c>
      <c r="R7" s="143" t="s">
        <v>350</v>
      </c>
      <c r="S7" s="143" t="s">
        <v>351</v>
      </c>
      <c r="T7" s="143" t="s">
        <v>352</v>
      </c>
    </row>
    <row r="8" spans="1:23" ht="15" customHeight="1">
      <c r="A8" s="142"/>
      <c r="B8" s="142"/>
      <c r="C8" s="142"/>
      <c r="D8" s="142"/>
      <c r="E8" s="142"/>
      <c r="F8" s="144"/>
      <c r="G8" s="144"/>
      <c r="H8" s="144"/>
      <c r="I8" s="144"/>
      <c r="J8" s="144"/>
      <c r="K8" s="144"/>
      <c r="L8" s="144"/>
      <c r="M8" s="144"/>
      <c r="N8" s="144"/>
      <c r="O8" s="144"/>
      <c r="P8" s="144"/>
      <c r="Q8" s="144"/>
      <c r="R8" s="144"/>
      <c r="S8" s="144" t="s">
        <v>353</v>
      </c>
      <c r="T8" s="144" t="s">
        <v>354</v>
      </c>
    </row>
    <row r="9" spans="1:23" ht="15" customHeight="1">
      <c r="A9" s="142" t="s">
        <v>35</v>
      </c>
      <c r="B9" s="144" t="s">
        <v>355</v>
      </c>
      <c r="C9" s="144" t="s">
        <v>356</v>
      </c>
      <c r="D9" s="144"/>
      <c r="E9" s="144"/>
      <c r="F9" s="144" t="s">
        <v>357</v>
      </c>
      <c r="G9" s="144" t="s">
        <v>358</v>
      </c>
      <c r="H9" s="144" t="s">
        <v>359</v>
      </c>
      <c r="I9" s="144" t="s">
        <v>360</v>
      </c>
      <c r="J9" s="144" t="s">
        <v>361</v>
      </c>
      <c r="K9" s="144" t="s">
        <v>362</v>
      </c>
      <c r="L9" s="144" t="s">
        <v>363</v>
      </c>
      <c r="M9" s="144" t="s">
        <v>364</v>
      </c>
      <c r="N9" s="144" t="s">
        <v>365</v>
      </c>
      <c r="O9" s="144" t="s">
        <v>366</v>
      </c>
      <c r="P9" s="144" t="s">
        <v>367</v>
      </c>
      <c r="Q9" s="144" t="s">
        <v>368</v>
      </c>
      <c r="R9" s="144" t="s">
        <v>357</v>
      </c>
      <c r="S9" s="144" t="s">
        <v>369</v>
      </c>
      <c r="T9" s="144" t="s">
        <v>370</v>
      </c>
    </row>
    <row r="10" spans="1:23" ht="15" customHeight="1" thickBot="1">
      <c r="A10" s="145" t="s">
        <v>46</v>
      </c>
      <c r="B10" s="146" t="s">
        <v>371</v>
      </c>
      <c r="C10" s="146" t="s">
        <v>372</v>
      </c>
      <c r="D10" s="146"/>
      <c r="E10" s="146"/>
      <c r="F10" s="147">
        <v>2022</v>
      </c>
      <c r="G10" s="147">
        <v>2023</v>
      </c>
      <c r="H10" s="147">
        <v>2023</v>
      </c>
      <c r="I10" s="147">
        <v>2023</v>
      </c>
      <c r="J10" s="147">
        <v>2023</v>
      </c>
      <c r="K10" s="147">
        <v>2023</v>
      </c>
      <c r="L10" s="147">
        <v>2023</v>
      </c>
      <c r="M10" s="147">
        <v>2023</v>
      </c>
      <c r="N10" s="147">
        <v>2023</v>
      </c>
      <c r="O10" s="147">
        <v>2023</v>
      </c>
      <c r="P10" s="147">
        <v>2023</v>
      </c>
      <c r="Q10" s="147">
        <v>2023</v>
      </c>
      <c r="R10" s="147">
        <v>2023</v>
      </c>
      <c r="S10" s="147">
        <v>2023</v>
      </c>
      <c r="T10" s="146" t="s">
        <v>373</v>
      </c>
    </row>
    <row r="11" spans="1:23" ht="15" customHeight="1">
      <c r="A11" s="142">
        <v>1</v>
      </c>
      <c r="B11" s="148" t="s">
        <v>374</v>
      </c>
      <c r="C11" s="14" t="s">
        <v>375</v>
      </c>
      <c r="D11" s="14"/>
      <c r="E11" s="14"/>
      <c r="F11" s="149">
        <f>ROUND((+SUMIF(Historical!$A:$A,"101",Historical!G:G)+VLOOKUP("106",Historical!$A$5:$U$500,COLUMNS($F11:F11)+6,FALSE))/1000,3)</f>
        <v>11601211.353</v>
      </c>
      <c r="G11" s="149">
        <f>ROUND((+SUMIF(Historical!$A:$A,"101",Historical!H:H)+VLOOKUP("106",Historical!$A$5:$U$500,COLUMNS($F11:G11)+6,FALSE))/1000,3)</f>
        <v>11635268.379000001</v>
      </c>
      <c r="H11" s="149">
        <f>ROUND((+SUMIF(Historical!$A:$A,"101",Historical!I:I)+VLOOKUP("106",Historical!$A$5:$U$500,COLUMNS($F11:H11)+6,FALSE))/1000,3)</f>
        <v>11683931.857000001</v>
      </c>
      <c r="I11" s="149">
        <f>ROUND((+SUMIF(Historical!$A:$A,"101",Historical!J:J)+VLOOKUP("106",Historical!$A$5:$U$500,COLUMNS($F11:I11)+6,FALSE))/1000,3)</f>
        <v>11730220.016000001</v>
      </c>
      <c r="J11" s="149">
        <f>ROUND((+SUMIF(Historical!$A:$A,"101",Historical!K:K)+VLOOKUP("106",Historical!$A$5:$U$500,COLUMNS($F11:J11)+6,FALSE))/1000,3)</f>
        <v>11760637.547</v>
      </c>
      <c r="K11" s="149">
        <f>ROUND((+SUMIF(Historical!$A:$A,"101",Historical!L:L)+VLOOKUP("106",Historical!$A$5:$U$500,COLUMNS($F11:K11)+6,FALSE))/1000,3)</f>
        <v>11782370.236</v>
      </c>
      <c r="L11" s="149">
        <f>ROUND((+SUMIF(Historical!$A:$A,"101",Historical!M:M)+VLOOKUP("106",Historical!$A$5:$U$500,COLUMNS($F11:L11)+6,FALSE))/1000,3)</f>
        <v>11827803.838</v>
      </c>
      <c r="M11" s="149">
        <f>ROUND((+SUMIF(Historical!$A:$A,"101",Historical!N:N)+VLOOKUP("106",Historical!$A$5:$U$500,COLUMNS($F11:M11)+6,FALSE))/1000,3)</f>
        <v>11861285.227</v>
      </c>
      <c r="N11" s="149">
        <f>ROUND((+SUMIF(Historical!$A:$A,"101",Historical!O:O)+VLOOKUP("106",Historical!$A$5:$U$500,COLUMNS($F11:N11)+6,FALSE))/1000,3)</f>
        <v>11927311.036</v>
      </c>
      <c r="O11" s="149">
        <f>ROUND((+SUMIF(Historical!$A:$A,"101",Historical!P:P)+VLOOKUP("106",Historical!$A$5:$U$500,COLUMNS($F11:O11)+6,FALSE))/1000,3)</f>
        <v>11960786.359999999</v>
      </c>
      <c r="P11" s="149">
        <f>ROUND((+SUMIF(Historical!$A:$A,"101",Historical!Q:Q)+VLOOKUP("106",Historical!$A$5:$U$500,COLUMNS($F11:P11)+6,FALSE))/1000,3)</f>
        <v>12017594.997</v>
      </c>
      <c r="Q11" s="149">
        <f>ROUND((+SUMIF(Historical!$A:$A,"101",Historical!R:R)+VLOOKUP("106",Historical!$A$5:$U$500,COLUMNS($F11:Q11)+6,FALSE))/1000,3)</f>
        <v>12039289.130000001</v>
      </c>
      <c r="R11" s="149">
        <f>ROUND((+SUMIF(Historical!$A:$A,"101",Historical!S:S)+VLOOKUP("106",Historical!$A$5:$U$500,COLUMNS($F11:R11)+6,FALSE))/1000,3)</f>
        <v>12516769.771</v>
      </c>
      <c r="S11" s="150">
        <f t="shared" ref="S11:S16" si="0">(SUM(F11:R11)/13)</f>
        <v>11872652.288230767</v>
      </c>
      <c r="T11" s="144" t="s">
        <v>376</v>
      </c>
      <c r="W11" s="92"/>
    </row>
    <row r="12" spans="1:23" ht="15" customHeight="1">
      <c r="A12" s="142">
        <v>2</v>
      </c>
      <c r="B12" s="151" t="s">
        <v>377</v>
      </c>
      <c r="C12" s="14" t="s">
        <v>378</v>
      </c>
      <c r="D12" s="142"/>
      <c r="E12" s="142"/>
      <c r="F12" s="27">
        <f>SUMIF(Historical!$A:$A,$B12,Historical!G:G)/1000</f>
        <v>218.90986999999998</v>
      </c>
      <c r="G12" s="27">
        <f>SUMIF(Historical!$A:$A,$B12,Historical!H:H)/1000</f>
        <v>218.90986999999998</v>
      </c>
      <c r="H12" s="27">
        <f>SUMIF(Historical!$A:$A,$B12,Historical!I:I)/1000</f>
        <v>225.41639999999998</v>
      </c>
      <c r="I12" s="27">
        <f>SUMIF(Historical!$A:$A,$B12,Historical!J:J)/1000</f>
        <v>226.44467</v>
      </c>
      <c r="J12" s="27">
        <f>SUMIF(Historical!$A:$A,$B12,Historical!K:K)/1000</f>
        <v>229.84467000000001</v>
      </c>
      <c r="K12" s="27">
        <f>SUMIF(Historical!$A:$A,$B12,Historical!L:L)/1000</f>
        <v>232.00662</v>
      </c>
      <c r="L12" s="27">
        <f>SUMIF(Historical!$A:$A,$B12,Historical!M:M)/1000</f>
        <v>232.23148999999998</v>
      </c>
      <c r="M12" s="27">
        <f>SUMIF(Historical!$A:$A,$B12,Historical!N:N)/1000</f>
        <v>88.33963</v>
      </c>
      <c r="N12" s="27">
        <f>SUMIF(Historical!$A:$A,$B12,Historical!O:O)/1000</f>
        <v>395.93506000000002</v>
      </c>
      <c r="O12" s="27">
        <f>SUMIF(Historical!$A:$A,$B12,Historical!P:P)/1000</f>
        <v>369.06417999999996</v>
      </c>
      <c r="P12" s="27">
        <f>SUMIF(Historical!$A:$A,$B12,Historical!Q:Q)/1000</f>
        <v>369.06417999999996</v>
      </c>
      <c r="Q12" s="27">
        <f>SUMIF(Historical!$A:$A,$B12,Historical!R:R)/1000</f>
        <v>372.24824000000001</v>
      </c>
      <c r="R12" s="27">
        <f>SUMIF(Historical!$A:$A,$B12,Historical!S:S)/1000</f>
        <v>411.07105999999999</v>
      </c>
      <c r="S12" s="150">
        <f>SUM(F12:R12)/13</f>
        <v>276.11430307692302</v>
      </c>
      <c r="T12" s="144" t="s">
        <v>376</v>
      </c>
    </row>
    <row r="13" spans="1:23" ht="15" customHeight="1">
      <c r="A13" s="142">
        <v>3</v>
      </c>
      <c r="B13" s="86" t="s">
        <v>379</v>
      </c>
      <c r="C13" s="14" t="s">
        <v>380</v>
      </c>
      <c r="D13" s="142"/>
      <c r="E13" s="142"/>
      <c r="F13" s="152">
        <f>ROUND(VLOOKUP($B13,Historical!$A$5:$U$500,COLUMNS($F13:F13)+6,FALSE)/1000,3)</f>
        <v>54570.735000000001</v>
      </c>
      <c r="G13" s="152">
        <f>ROUND(VLOOKUP($B13,Historical!$A$5:$U$500,COLUMNS($F13:G13)+6,FALSE)/1000,3)</f>
        <v>54570.735000000001</v>
      </c>
      <c r="H13" s="152">
        <f>ROUND(VLOOKUP($B13,Historical!$A$5:$U$500,COLUMNS($F13:H13)+6,FALSE)/1000,3)</f>
        <v>54570.998</v>
      </c>
      <c r="I13" s="152">
        <f>ROUND(VLOOKUP($B13,Historical!$A$5:$U$500,COLUMNS($F13:I13)+6,FALSE)/1000,3)</f>
        <v>54570.735000000001</v>
      </c>
      <c r="J13" s="152">
        <f>ROUND(VLOOKUP($B13,Historical!$A$5:$U$500,COLUMNS($F13:J13)+6,FALSE)/1000,3)</f>
        <v>54570.735000000001</v>
      </c>
      <c r="K13" s="152">
        <f>ROUND(VLOOKUP($B13,Historical!$A$5:$U$500,COLUMNS($F13:K13)+6,FALSE)/1000,3)</f>
        <v>54570.735000000001</v>
      </c>
      <c r="L13" s="152">
        <f>ROUND(VLOOKUP($B13,Historical!$A$5:$U$500,COLUMNS($F13:L13)+6,FALSE)/1000,3)</f>
        <v>54570.735000000001</v>
      </c>
      <c r="M13" s="152">
        <f>ROUND(VLOOKUP($B13,Historical!$A$5:$U$500,COLUMNS($F13:M13)+6,FALSE)/1000,3)</f>
        <v>54570.735000000001</v>
      </c>
      <c r="N13" s="152">
        <f>ROUND(VLOOKUP($B13,Historical!$A$5:$U$500,COLUMNS($F13:N13)+6,FALSE)/1000,3)</f>
        <v>58127.61</v>
      </c>
      <c r="O13" s="152">
        <f>ROUND(VLOOKUP($B13,Historical!$A$5:$U$500,COLUMNS($F13:O13)+6,FALSE)/1000,3)</f>
        <v>58127.61</v>
      </c>
      <c r="P13" s="152">
        <f>ROUND(VLOOKUP($B13,Historical!$A$5:$U$500,COLUMNS($F13:P13)+6,FALSE)/1000,3)</f>
        <v>58127.61</v>
      </c>
      <c r="Q13" s="152">
        <f>ROUND(VLOOKUP($B13,Historical!$A$5:$U$500,COLUMNS($F13:Q13)+6,FALSE)/1000,3)</f>
        <v>58127.61</v>
      </c>
      <c r="R13" s="152">
        <f>ROUND(VLOOKUP($B13,Historical!$A$5:$U$500,COLUMNS($F13:R13)+6,FALSE)/1000,3)</f>
        <v>58127.61</v>
      </c>
      <c r="S13" s="150">
        <f t="shared" si="0"/>
        <v>55938.784076923068</v>
      </c>
      <c r="T13" s="144" t="s">
        <v>376</v>
      </c>
    </row>
    <row r="14" spans="1:23" ht="15" customHeight="1">
      <c r="A14" s="142">
        <v>4</v>
      </c>
      <c r="B14" s="86" t="s">
        <v>381</v>
      </c>
      <c r="C14" s="14" t="s">
        <v>382</v>
      </c>
      <c r="D14" s="142"/>
      <c r="E14" s="142"/>
      <c r="F14" s="152">
        <f>ROUND(VLOOKUP($B14,Historical!$A$5:$U$500,COLUMNS($F14:F14)+6,FALSE)/1000,3)</f>
        <v>894768.62199999997</v>
      </c>
      <c r="G14" s="152">
        <f>ROUND(VLOOKUP($B14,Historical!$A$5:$U$500,COLUMNS($F14:G14)+6,FALSE)/1000,3)</f>
        <v>922778.12300000002</v>
      </c>
      <c r="H14" s="152">
        <f>ROUND(VLOOKUP($B14,Historical!$A$5:$U$500,COLUMNS($F14:H14)+6,FALSE)/1000,3)</f>
        <v>925379.87600000005</v>
      </c>
      <c r="I14" s="152">
        <f>ROUND(VLOOKUP($B14,Historical!$A$5:$U$500,COLUMNS($F14:I14)+6,FALSE)/1000,3)</f>
        <v>949370.61699999997</v>
      </c>
      <c r="J14" s="152">
        <f>ROUND(VLOOKUP($B14,Historical!$A$5:$U$500,COLUMNS($F14:J14)+6,FALSE)/1000,3)</f>
        <v>1002657.648</v>
      </c>
      <c r="K14" s="152">
        <f>ROUND(VLOOKUP($B14,Historical!$A$5:$U$500,COLUMNS($F14:K14)+6,FALSE)/1000,3)</f>
        <v>1079336.5060000001</v>
      </c>
      <c r="L14" s="152">
        <f>ROUND(VLOOKUP($B14,Historical!$A$5:$U$500,COLUMNS($F14:L14)+6,FALSE)/1000,3)</f>
        <v>1123863.3940000001</v>
      </c>
      <c r="M14" s="152">
        <f>ROUND(VLOOKUP($B14,Historical!$A$5:$U$500,COLUMNS($F14:M14)+6,FALSE)/1000,3)</f>
        <v>1186787.0430000001</v>
      </c>
      <c r="N14" s="152">
        <f>ROUND(VLOOKUP($B14,Historical!$A$5:$U$500,COLUMNS($F14:N14)+6,FALSE)/1000,3)</f>
        <v>1221328.635</v>
      </c>
      <c r="O14" s="152">
        <f>ROUND(VLOOKUP($B14,Historical!$A$5:$U$500,COLUMNS($F14:O14)+6,FALSE)/1000,3)</f>
        <v>1264523.2150000001</v>
      </c>
      <c r="P14" s="152">
        <f>ROUND(VLOOKUP($B14,Historical!$A$5:$U$500,COLUMNS($F14:P14)+6,FALSE)/1000,3)</f>
        <v>1274279.142</v>
      </c>
      <c r="Q14" s="152">
        <f>ROUND(VLOOKUP($B14,Historical!$A$5:$U$500,COLUMNS($F14:Q14)+6,FALSE)/1000,3)</f>
        <v>1346699.933</v>
      </c>
      <c r="R14" s="152">
        <f>ROUND(VLOOKUP($B14,Historical!$A$5:$U$500,COLUMNS($F14:R14)+6,FALSE)/1000,3)</f>
        <v>1093242.2150000001</v>
      </c>
      <c r="S14" s="150">
        <f t="shared" si="0"/>
        <v>1098847.3053076921</v>
      </c>
      <c r="T14" s="144" t="s">
        <v>376</v>
      </c>
    </row>
    <row r="15" spans="1:23" ht="15" customHeight="1">
      <c r="A15" s="142">
        <v>5</v>
      </c>
      <c r="B15" s="153" t="s">
        <v>383</v>
      </c>
      <c r="C15" s="14" t="s">
        <v>384</v>
      </c>
      <c r="D15" s="142"/>
      <c r="E15" s="142"/>
      <c r="F15" s="149">
        <f>ROUND((VLOOKUP("108",Historical!$A$5:$U$500,COLUMNS($F15:F15)+6,FALSE)+VLOOKUP("111",Historical!$A$5:$U$500,COLUMNS($F15:F15)+6,FALSE)+VLOOKUP("115",Historical!$A$5:$U$500,COLUMNS($F15:F15)+6,FALSE))/1000,3)</f>
        <v>-3452940.0290000001</v>
      </c>
      <c r="G15" s="149">
        <f>ROUND((VLOOKUP("108",Historical!$A$5:$U$500,COLUMNS($F15:G15)+6,FALSE)+VLOOKUP("111",Historical!$A$5:$U$500,COLUMNS($F15:G15)+6,FALSE)+VLOOKUP("115",Historical!$A$5:$U$500,COLUMNS($F15:G15)+6,FALSE))/1000,3)</f>
        <v>-3476274.071</v>
      </c>
      <c r="H15" s="149">
        <f>ROUND((VLOOKUP("108",Historical!$A$5:$U$500,COLUMNS($F15:H15)+6,FALSE)+VLOOKUP("111",Historical!$A$5:$U$500,COLUMNS($F15:H15)+6,FALSE)+VLOOKUP("115",Historical!$A$5:$U$500,COLUMNS($F15:H15)+6,FALSE))/1000,3)</f>
        <v>-3496284.7429999998</v>
      </c>
      <c r="I15" s="149">
        <f>ROUND((VLOOKUP("108",Historical!$A$5:$U$500,COLUMNS($F15:I15)+6,FALSE)+VLOOKUP("111",Historical!$A$5:$U$500,COLUMNS($F15:I15)+6,FALSE)+VLOOKUP("115",Historical!$A$5:$U$500,COLUMNS($F15:I15)+6,FALSE))/1000,3)</f>
        <v>-3495981.6839999999</v>
      </c>
      <c r="J15" s="149">
        <f>ROUND((VLOOKUP("108",Historical!$A$5:$U$500,COLUMNS($F15:J15)+6,FALSE)+VLOOKUP("111",Historical!$A$5:$U$500,COLUMNS($F15:J15)+6,FALSE)+VLOOKUP("115",Historical!$A$5:$U$500,COLUMNS($F15:J15)+6,FALSE))/1000,3)</f>
        <v>-3517778.4550000001</v>
      </c>
      <c r="K15" s="149">
        <f>ROUND((VLOOKUP("108",Historical!$A$5:$U$500,COLUMNS($F15:K15)+6,FALSE)+VLOOKUP("111",Historical!$A$5:$U$500,COLUMNS($F15:K15)+6,FALSE)+VLOOKUP("115",Historical!$A$5:$U$500,COLUMNS($F15:K15)+6,FALSE))/1000,3)</f>
        <v>-3541610.5070000002</v>
      </c>
      <c r="L15" s="149">
        <f>ROUND((VLOOKUP("108",Historical!$A$5:$U$500,COLUMNS($F15:L15)+6,FALSE)+VLOOKUP("111",Historical!$A$5:$U$500,COLUMNS($F15:L15)+6,FALSE)+VLOOKUP("115",Historical!$A$5:$U$500,COLUMNS($F15:L15)+6,FALSE))/1000,3)</f>
        <v>-3567792.9180000001</v>
      </c>
      <c r="M15" s="149">
        <f>ROUND((VLOOKUP("108",Historical!$A$5:$U$500,COLUMNS($F15:M15)+6,FALSE)+VLOOKUP("111",Historical!$A$5:$U$500,COLUMNS($F15:M15)+6,FALSE)+VLOOKUP("115",Historical!$A$5:$U$500,COLUMNS($F15:M15)+6,FALSE))/1000,3)</f>
        <v>-3596314.094</v>
      </c>
      <c r="N15" s="149">
        <f>ROUND((VLOOKUP("108",Historical!$A$5:$U$500,COLUMNS($F15:N15)+6,FALSE)+VLOOKUP("111",Historical!$A$5:$U$500,COLUMNS($F15:N15)+6,FALSE)+VLOOKUP("115",Historical!$A$5:$U$500,COLUMNS($F15:N15)+6,FALSE))/1000,3)</f>
        <v>-3617955.4</v>
      </c>
      <c r="O15" s="149">
        <f>ROUND((VLOOKUP("108",Historical!$A$5:$U$500,COLUMNS($F15:O15)+6,FALSE)+VLOOKUP("111",Historical!$A$5:$U$500,COLUMNS($F15:O15)+6,FALSE)+VLOOKUP("115",Historical!$A$5:$U$500,COLUMNS($F15:O15)+6,FALSE))/1000,3)</f>
        <v>-3647109.3080000002</v>
      </c>
      <c r="P15" s="149">
        <f>ROUND((VLOOKUP("108",Historical!$A$5:$U$500,COLUMNS($F15:P15)+6,FALSE)+VLOOKUP("111",Historical!$A$5:$U$500,COLUMNS($F15:P15)+6,FALSE)+VLOOKUP("115",Historical!$A$5:$U$500,COLUMNS($F15:P15)+6,FALSE))/1000,3)</f>
        <v>-3664457.7319999998</v>
      </c>
      <c r="Q15" s="149">
        <f>ROUND((VLOOKUP("108",Historical!$A$5:$U$500,COLUMNS($F15:Q15)+6,FALSE)+VLOOKUP("111",Historical!$A$5:$U$500,COLUMNS($F15:Q15)+6,FALSE)+VLOOKUP("115",Historical!$A$5:$U$500,COLUMNS($F15:Q15)+6,FALSE))/1000,3)</f>
        <v>-3686622.898</v>
      </c>
      <c r="R15" s="149">
        <f>ROUND((VLOOKUP("108",Historical!$A$5:$U$500,COLUMNS($F15:R15)+6,FALSE)+VLOOKUP("111",Historical!$A$5:$U$500,COLUMNS($F15:R15)+6,FALSE)+VLOOKUP("115",Historical!$A$5:$U$500,COLUMNS($F15:R15)+6,FALSE))/1000,3)</f>
        <v>-3706481.2930000001</v>
      </c>
      <c r="S15" s="150">
        <f t="shared" si="0"/>
        <v>-3574431.0101538459</v>
      </c>
      <c r="T15" s="144" t="s">
        <v>376</v>
      </c>
      <c r="U15" s="92"/>
    </row>
    <row r="16" spans="1:23" ht="15" customHeight="1">
      <c r="A16" s="142">
        <v>6</v>
      </c>
      <c r="B16" s="35" t="s">
        <v>385</v>
      </c>
      <c r="C16" s="14" t="s">
        <v>386</v>
      </c>
      <c r="D16" s="142"/>
      <c r="E16" s="142"/>
      <c r="F16" s="154">
        <f>ROUND(VLOOKUP($B16,Historical!$A$5:$U$500,COLUMNS($F16:F16)+6,FALSE)/1000,3)</f>
        <v>7484.8230000000003</v>
      </c>
      <c r="G16" s="154">
        <f>ROUND(VLOOKUP($B16,Historical!$A$5:$U$500,COLUMNS($F16:G16)+6,FALSE)/1000,3)</f>
        <v>7484.8230000000003</v>
      </c>
      <c r="H16" s="154">
        <f>ROUND(VLOOKUP($B16,Historical!$A$5:$U$500,COLUMNS($F16:H16)+6,FALSE)/1000,3)</f>
        <v>7484.8230000000003</v>
      </c>
      <c r="I16" s="154">
        <f>ROUND(VLOOKUP($B16,Historical!$A$5:$U$500,COLUMNS($F16:I16)+6,FALSE)/1000,3)</f>
        <v>7484.8230000000003</v>
      </c>
      <c r="J16" s="154">
        <f>ROUND(VLOOKUP($B16,Historical!$A$5:$U$500,COLUMNS($F16:J16)+6,FALSE)/1000,3)</f>
        <v>7484.8230000000003</v>
      </c>
      <c r="K16" s="154">
        <f>ROUND(VLOOKUP($B16,Historical!$A$5:$U$500,COLUMNS($F16:K16)+6,FALSE)/1000,3)</f>
        <v>7484.8230000000003</v>
      </c>
      <c r="L16" s="154">
        <f>ROUND(VLOOKUP($B16,Historical!$A$5:$U$500,COLUMNS($F16:L16)+6,FALSE)/1000,3)</f>
        <v>7484.8230000000003</v>
      </c>
      <c r="M16" s="154">
        <f>ROUND(VLOOKUP($B16,Historical!$A$5:$U$500,COLUMNS($F16:M16)+6,FALSE)/1000,3)</f>
        <v>7484.8230000000003</v>
      </c>
      <c r="N16" s="154">
        <f>ROUND(VLOOKUP($B16,Historical!$A$5:$U$500,COLUMNS($F16:N16)+6,FALSE)/1000,3)</f>
        <v>7484.8230000000003</v>
      </c>
      <c r="O16" s="154">
        <f>ROUND(VLOOKUP($B16,Historical!$A$5:$U$500,COLUMNS($F16:O16)+6,FALSE)/1000,3)</f>
        <v>7484.8230000000003</v>
      </c>
      <c r="P16" s="154">
        <f>ROUND(VLOOKUP($B16,Historical!$A$5:$U$500,COLUMNS($F16:P16)+6,FALSE)/1000,3)</f>
        <v>7484.8230000000003</v>
      </c>
      <c r="Q16" s="154">
        <f>ROUND(VLOOKUP($B16,Historical!$A$5:$U$500,COLUMNS($F16:Q16)+6,FALSE)/1000,3)</f>
        <v>7484.8230000000003</v>
      </c>
      <c r="R16" s="154">
        <f>ROUND(VLOOKUP($B16,Historical!$A$5:$U$500,COLUMNS($F16:R16)+6,FALSE)/1000,3)</f>
        <v>7484.8230000000003</v>
      </c>
      <c r="S16" s="155">
        <f t="shared" si="0"/>
        <v>7484.823000000003</v>
      </c>
      <c r="T16" s="144" t="s">
        <v>376</v>
      </c>
      <c r="U16" s="333" t="s">
        <v>387</v>
      </c>
    </row>
    <row r="17" spans="1:22" ht="15" customHeight="1">
      <c r="A17" s="142">
        <v>7</v>
      </c>
      <c r="B17" s="35"/>
      <c r="C17" s="14"/>
      <c r="D17" s="142" t="s">
        <v>388</v>
      </c>
      <c r="E17" s="142"/>
      <c r="F17" s="27">
        <f t="shared" ref="F17:S17" si="1">SUM(F11:F16)</f>
        <v>9105314.4138700012</v>
      </c>
      <c r="G17" s="27">
        <f t="shared" si="1"/>
        <v>9144046.8988700006</v>
      </c>
      <c r="H17" s="27">
        <f t="shared" si="1"/>
        <v>9175308.227400003</v>
      </c>
      <c r="I17" s="27">
        <f t="shared" si="1"/>
        <v>9245890.9516700003</v>
      </c>
      <c r="J17" s="27">
        <f t="shared" si="1"/>
        <v>9307802.14267</v>
      </c>
      <c r="K17" s="27">
        <f t="shared" si="1"/>
        <v>9382383.7996200006</v>
      </c>
      <c r="L17" s="27">
        <f t="shared" si="1"/>
        <v>9446162.1034899987</v>
      </c>
      <c r="M17" s="27">
        <f t="shared" si="1"/>
        <v>9513902.0736299995</v>
      </c>
      <c r="N17" s="27">
        <f t="shared" si="1"/>
        <v>9596692.63906</v>
      </c>
      <c r="O17" s="27">
        <f t="shared" si="1"/>
        <v>9644181.764179999</v>
      </c>
      <c r="P17" s="27">
        <f t="shared" si="1"/>
        <v>9693397.9041799996</v>
      </c>
      <c r="Q17" s="27">
        <f t="shared" si="1"/>
        <v>9765350.8462400008</v>
      </c>
      <c r="R17" s="27">
        <f t="shared" si="1"/>
        <v>9969554.1970600002</v>
      </c>
      <c r="S17" s="27">
        <f t="shared" si="1"/>
        <v>9460768.3047646154</v>
      </c>
      <c r="T17" s="144"/>
      <c r="U17" s="167">
        <f>+'B-1'!O13</f>
        <v>9460768.3039999995</v>
      </c>
      <c r="V17" s="168" t="s">
        <v>389</v>
      </c>
    </row>
    <row r="18" spans="1:22" ht="15" customHeight="1">
      <c r="A18" s="142">
        <v>8</v>
      </c>
      <c r="B18" s="35"/>
      <c r="C18" s="14"/>
      <c r="D18" s="142"/>
      <c r="E18" s="142"/>
      <c r="F18" s="27"/>
      <c r="G18" s="27"/>
      <c r="H18" s="27"/>
      <c r="I18" s="27"/>
      <c r="J18" s="27"/>
      <c r="K18" s="27"/>
      <c r="L18" s="27"/>
      <c r="M18" s="27"/>
      <c r="N18" s="27"/>
      <c r="O18" s="27"/>
      <c r="P18" s="27"/>
      <c r="Q18" s="27"/>
      <c r="R18" s="27"/>
      <c r="S18" s="27"/>
      <c r="T18" s="144"/>
      <c r="U18" s="168">
        <f>+S17-U17</f>
        <v>7.6461583375930786E-4</v>
      </c>
      <c r="V18" s="168" t="s">
        <v>390</v>
      </c>
    </row>
    <row r="19" spans="1:22" ht="15" customHeight="1">
      <c r="A19" s="142">
        <v>9</v>
      </c>
      <c r="B19" s="35"/>
      <c r="C19" s="14" t="s">
        <v>391</v>
      </c>
      <c r="D19" s="142"/>
      <c r="E19" s="142"/>
      <c r="F19" s="27"/>
      <c r="G19" s="27"/>
      <c r="H19" s="27"/>
      <c r="I19" s="27"/>
      <c r="J19" s="27"/>
      <c r="K19" s="27"/>
      <c r="L19" s="27"/>
      <c r="M19" s="27"/>
      <c r="N19" s="27"/>
      <c r="O19" s="27"/>
      <c r="P19" s="27"/>
      <c r="Q19" s="27"/>
      <c r="R19" s="27"/>
      <c r="S19" s="27"/>
      <c r="T19" s="144"/>
      <c r="U19" s="92"/>
    </row>
    <row r="20" spans="1:22" ht="15" customHeight="1">
      <c r="A20" s="142">
        <v>10</v>
      </c>
      <c r="B20" s="35" t="s">
        <v>392</v>
      </c>
      <c r="C20" s="14" t="s">
        <v>266</v>
      </c>
      <c r="D20" s="142"/>
      <c r="E20" s="142"/>
      <c r="F20" s="152">
        <f>ROUND(VLOOKUP($B20,Historical!$A$5:$U$500,COLUMNS($F20:F20)+6,FALSE)/1000,3)</f>
        <v>20099.787</v>
      </c>
      <c r="G20" s="152">
        <f>ROUND(VLOOKUP($B20,Historical!$A$5:$U$500,COLUMNS($F20:G20)+6,FALSE)/1000,3)</f>
        <v>20275.237000000001</v>
      </c>
      <c r="H20" s="152">
        <f>ROUND(VLOOKUP($B20,Historical!$A$5:$U$500,COLUMNS($F20:H20)+6,FALSE)/1000,3)</f>
        <v>20330.97</v>
      </c>
      <c r="I20" s="152">
        <f>ROUND(VLOOKUP($B20,Historical!$A$5:$U$500,COLUMNS($F20:I20)+6,FALSE)/1000,3)</f>
        <v>20449.617999999999</v>
      </c>
      <c r="J20" s="152">
        <f>ROUND(VLOOKUP($B20,Historical!$A$5:$U$500,COLUMNS($F20:J20)+6,FALSE)/1000,3)</f>
        <v>20404.921999999999</v>
      </c>
      <c r="K20" s="152">
        <f>ROUND(VLOOKUP($B20,Historical!$A$5:$U$500,COLUMNS($F20:K20)+6,FALSE)/1000,3)</f>
        <v>20431.518</v>
      </c>
      <c r="L20" s="152">
        <f>ROUND(VLOOKUP($B20,Historical!$A$5:$U$500,COLUMNS($F20:L20)+6,FALSE)/1000,3)</f>
        <v>21088.333999999999</v>
      </c>
      <c r="M20" s="152">
        <f>ROUND(VLOOKUP($B20,Historical!$A$5:$U$500,COLUMNS($F20:M20)+6,FALSE)/1000,3)</f>
        <v>20609.038</v>
      </c>
      <c r="N20" s="152">
        <f>ROUND(VLOOKUP($B20,Historical!$A$5:$U$500,COLUMNS($F20:N20)+6,FALSE)/1000,3)</f>
        <v>20722.564999999999</v>
      </c>
      <c r="O20" s="152">
        <f>ROUND(VLOOKUP($B20,Historical!$A$5:$U$500,COLUMNS($F20:O20)+6,FALSE)/1000,3)</f>
        <v>20582.914000000001</v>
      </c>
      <c r="P20" s="152">
        <f>ROUND(VLOOKUP($B20,Historical!$A$5:$U$500,COLUMNS($F20:P20)+6,FALSE)/1000,3)</f>
        <v>20621.884999999998</v>
      </c>
      <c r="Q20" s="152">
        <f>ROUND(VLOOKUP($B20,Historical!$A$5:$U$500,COLUMNS($F20:Q20)+6,FALSE)/1000,3)</f>
        <v>20637.962</v>
      </c>
      <c r="R20" s="152">
        <f>ROUND(VLOOKUP($B20,Historical!$A$5:$U$500,COLUMNS($F20:R20)+6,FALSE)/1000,3)</f>
        <v>20624.556</v>
      </c>
      <c r="S20" s="150">
        <f>(SUM(F20:R20)/13)</f>
        <v>20529.177384615385</v>
      </c>
      <c r="T20" s="144" t="s">
        <v>393</v>
      </c>
    </row>
    <row r="21" spans="1:22" ht="15" customHeight="1">
      <c r="A21" s="142">
        <v>11</v>
      </c>
      <c r="B21" s="35" t="s">
        <v>394</v>
      </c>
      <c r="C21" s="14" t="s">
        <v>267</v>
      </c>
      <c r="D21" s="142"/>
      <c r="E21" s="142"/>
      <c r="F21" s="154">
        <f>ROUND(VLOOKUP($B21,Historical!$A$5:$U$500,COLUMNS($F21:F21)+6,FALSE)/1000,3)</f>
        <v>-7709.451</v>
      </c>
      <c r="G21" s="154">
        <f>ROUND(VLOOKUP($B21,Historical!$A$5:$U$500,COLUMNS($F21:G21)+6,FALSE)/1000,3)</f>
        <v>-7808.1750000000002</v>
      </c>
      <c r="H21" s="154">
        <f>ROUND(VLOOKUP($B21,Historical!$A$5:$U$500,COLUMNS($F21:H21)+6,FALSE)/1000,3)</f>
        <v>-7904.8040000000001</v>
      </c>
      <c r="I21" s="154">
        <f>ROUND(VLOOKUP($B21,Historical!$A$5:$U$500,COLUMNS($F21:I21)+6,FALSE)/1000,3)</f>
        <v>-8005.8540000000003</v>
      </c>
      <c r="J21" s="154">
        <f>ROUND(VLOOKUP($B21,Historical!$A$5:$U$500,COLUMNS($F21:J21)+6,FALSE)/1000,3)</f>
        <v>-8075.982</v>
      </c>
      <c r="K21" s="154">
        <f>ROUND(VLOOKUP($B21,Historical!$A$5:$U$500,COLUMNS($F21:K21)+6,FALSE)/1000,3)</f>
        <v>-8132.08</v>
      </c>
      <c r="L21" s="154">
        <f>ROUND(VLOOKUP($B21,Historical!$A$5:$U$500,COLUMNS($F21:L21)+6,FALSE)/1000,3)</f>
        <v>-8239.4349999999995</v>
      </c>
      <c r="M21" s="154">
        <f>ROUND(VLOOKUP($B21,Historical!$A$5:$U$500,COLUMNS($F21:M21)+6,FALSE)/1000,3)</f>
        <v>-8305.8909999999996</v>
      </c>
      <c r="N21" s="154">
        <f>ROUND(VLOOKUP($B21,Historical!$A$5:$U$500,COLUMNS($F21:N21)+6,FALSE)/1000,3)</f>
        <v>-8410.5159999999996</v>
      </c>
      <c r="O21" s="154">
        <f>ROUND(VLOOKUP($B21,Historical!$A$5:$U$500,COLUMNS($F21:O21)+6,FALSE)/1000,3)</f>
        <v>-8350.6610000000001</v>
      </c>
      <c r="P21" s="154">
        <f>ROUND(VLOOKUP($B21,Historical!$A$5:$U$500,COLUMNS($F21:P21)+6,FALSE)/1000,3)</f>
        <v>-8422.5930000000008</v>
      </c>
      <c r="Q21" s="154">
        <f>ROUND(VLOOKUP($B21,Historical!$A$5:$U$500,COLUMNS($F21:Q21)+6,FALSE)/1000,3)</f>
        <v>-8554.0239999999994</v>
      </c>
      <c r="R21" s="154">
        <f>ROUND(VLOOKUP($B21,Historical!$A$5:$U$500,COLUMNS($F21:R21)+6,FALSE)/1000,3)</f>
        <v>-7144.7569999999996</v>
      </c>
      <c r="S21" s="155">
        <f>(SUM(F21:R21)/13)</f>
        <v>-8081.8633076923088</v>
      </c>
      <c r="T21" s="144" t="s">
        <v>393</v>
      </c>
    </row>
    <row r="22" spans="1:22" ht="15" customHeight="1">
      <c r="A22" s="142">
        <v>12</v>
      </c>
      <c r="B22" s="142"/>
      <c r="C22" s="14"/>
      <c r="D22" s="142" t="s">
        <v>395</v>
      </c>
      <c r="E22" s="142"/>
      <c r="F22" s="27">
        <f t="shared" ref="F22:S22" si="2">SUM(F20:F21)</f>
        <v>12390.335999999999</v>
      </c>
      <c r="G22" s="27">
        <f t="shared" si="2"/>
        <v>12467.062000000002</v>
      </c>
      <c r="H22" s="27">
        <f t="shared" si="2"/>
        <v>12426.166000000001</v>
      </c>
      <c r="I22" s="27">
        <f t="shared" si="2"/>
        <v>12443.763999999999</v>
      </c>
      <c r="J22" s="27">
        <f t="shared" si="2"/>
        <v>12328.939999999999</v>
      </c>
      <c r="K22" s="27">
        <f t="shared" si="2"/>
        <v>12299.438</v>
      </c>
      <c r="L22" s="27">
        <f t="shared" si="2"/>
        <v>12848.898999999999</v>
      </c>
      <c r="M22" s="27">
        <f t="shared" si="2"/>
        <v>12303.147000000001</v>
      </c>
      <c r="N22" s="27">
        <f t="shared" si="2"/>
        <v>12312.048999999999</v>
      </c>
      <c r="O22" s="27">
        <f t="shared" si="2"/>
        <v>12232.253000000001</v>
      </c>
      <c r="P22" s="27">
        <f t="shared" si="2"/>
        <v>12199.291999999998</v>
      </c>
      <c r="Q22" s="27">
        <f t="shared" si="2"/>
        <v>12083.938</v>
      </c>
      <c r="R22" s="27">
        <f t="shared" si="2"/>
        <v>13479.799000000001</v>
      </c>
      <c r="S22" s="27">
        <f t="shared" si="2"/>
        <v>12447.314076923076</v>
      </c>
      <c r="T22" s="144"/>
    </row>
    <row r="23" spans="1:22" ht="15" customHeight="1">
      <c r="A23" s="142">
        <v>13</v>
      </c>
      <c r="B23" s="35"/>
      <c r="D23" s="142"/>
      <c r="E23" s="142"/>
      <c r="F23" s="27"/>
      <c r="G23" s="27"/>
      <c r="H23" s="27"/>
      <c r="I23" s="27"/>
      <c r="J23" s="27"/>
      <c r="K23" s="27"/>
      <c r="L23" s="27"/>
      <c r="M23" s="27"/>
      <c r="N23" s="27"/>
      <c r="O23" s="27"/>
      <c r="P23" s="27"/>
      <c r="Q23" s="27"/>
      <c r="R23" s="27"/>
      <c r="S23" s="27"/>
      <c r="T23" s="144"/>
    </row>
    <row r="24" spans="1:22" ht="15" customHeight="1">
      <c r="A24" s="142">
        <v>14</v>
      </c>
      <c r="B24" s="35"/>
      <c r="C24" s="14" t="s">
        <v>396</v>
      </c>
      <c r="D24" s="142"/>
      <c r="E24" s="142"/>
      <c r="F24" s="27"/>
      <c r="G24" s="27"/>
      <c r="H24" s="27"/>
      <c r="I24" s="27"/>
      <c r="J24" s="27"/>
      <c r="K24" s="27"/>
      <c r="L24" s="27"/>
      <c r="M24" s="27"/>
      <c r="N24" s="27"/>
      <c r="O24" s="27"/>
      <c r="P24" s="27"/>
      <c r="Q24" s="27"/>
      <c r="R24" s="27"/>
      <c r="S24" s="27"/>
      <c r="T24" s="144"/>
    </row>
    <row r="25" spans="1:22" ht="15" customHeight="1">
      <c r="A25" s="142">
        <v>15</v>
      </c>
      <c r="B25" s="35" t="s">
        <v>397</v>
      </c>
      <c r="C25" s="14" t="s">
        <v>270</v>
      </c>
      <c r="D25" s="142"/>
      <c r="E25" s="142"/>
      <c r="F25" s="27">
        <f>ROUND(IF(ISNA(VLOOKUP($B25,Historical!$A$5:$U$500,COLUMNS($F25:F25)+6,FALSE)),0,+(VLOOKUP($B25,Historical!$A$5:$U$500,COLUMNS($F25:F25)+6,FALSE)))/1000,3)</f>
        <v>9902.8349999999991</v>
      </c>
      <c r="G25" s="27">
        <f>ROUND(IF(ISNA(VLOOKUP($B25,Historical!$A$5:$U$500,COLUMNS($F25:G25)+6,FALSE)),0,+(VLOOKUP($B25,Historical!$A$5:$U$500,COLUMNS($F25:G25)+6,FALSE)))/1000,3)</f>
        <v>10400.81</v>
      </c>
      <c r="H25" s="27">
        <f>ROUND(IF(ISNA(VLOOKUP($B25,Historical!$A$5:$U$500,COLUMNS($F25:H25)+6,FALSE)),0,+(VLOOKUP($B25,Historical!$A$5:$U$500,COLUMNS($F25:H25)+6,FALSE)))/1000,3)</f>
        <v>6073.3149999999996</v>
      </c>
      <c r="I25" s="27">
        <f>ROUND(IF(ISNA(VLOOKUP($B25,Historical!$A$5:$U$500,COLUMNS($F25:I25)+6,FALSE)),0,+(VLOOKUP($B25,Historical!$A$5:$U$500,COLUMNS($F25:I25)+6,FALSE)))/1000,3)</f>
        <v>3481.0749999999998</v>
      </c>
      <c r="J25" s="27">
        <f>ROUND(IF(ISNA(VLOOKUP($B25,Historical!$A$5:$U$500,COLUMNS($F25:J25)+6,FALSE)),0,+(VLOOKUP($B25,Historical!$A$5:$U$500,COLUMNS($F25:J25)+6,FALSE)))/1000,3)</f>
        <v>1063.5070000000001</v>
      </c>
      <c r="K25" s="27">
        <f>ROUND(IF(ISNA(VLOOKUP($B25,Historical!$A$5:$U$500,COLUMNS($F25:K25)+6,FALSE)),0,+(VLOOKUP($B25,Historical!$A$5:$U$500,COLUMNS($F25:K25)+6,FALSE)))/1000,3)</f>
        <v>19193.258000000002</v>
      </c>
      <c r="L25" s="27">
        <f>ROUND(IF(ISNA(VLOOKUP($B25,Historical!$A$5:$U$500,COLUMNS($F25:L25)+6,FALSE)),0,+(VLOOKUP($B25,Historical!$A$5:$U$500,COLUMNS($F25:L25)+6,FALSE)))/1000,3)</f>
        <v>5165.9560000000001</v>
      </c>
      <c r="M25" s="27">
        <f>ROUND(IF(ISNA(VLOOKUP($B25,Historical!$A$5:$U$500,COLUMNS($F25:M25)+6,FALSE)),0,+(VLOOKUP($B25,Historical!$A$5:$U$500,COLUMNS($F25:M25)+6,FALSE)))/1000,3)</f>
        <v>10929.3</v>
      </c>
      <c r="N25" s="27">
        <f>ROUND(IF(ISNA(VLOOKUP($B25,Historical!$A$5:$U$500,COLUMNS($F25:N25)+6,FALSE)),0,+(VLOOKUP($B25,Historical!$A$5:$U$500,COLUMNS($F25:N25)+6,FALSE)))/1000,3)</f>
        <v>7223.6210000000001</v>
      </c>
      <c r="O25" s="27">
        <f>ROUND(IF(ISNA(VLOOKUP($B25,Historical!$A$5:$U$500,COLUMNS($F25:O25)+6,FALSE)),0,+(VLOOKUP($B25,Historical!$A$5:$U$500,COLUMNS($F25:O25)+6,FALSE)))/1000,3)</f>
        <v>7816.3249999999998</v>
      </c>
      <c r="P25" s="27">
        <f>ROUND(IF(ISNA(VLOOKUP($B25,Historical!$A$5:$U$500,COLUMNS($F25:P25)+6,FALSE)),0,+(VLOOKUP($B25,Historical!$A$5:$U$500,COLUMNS($F25:P25)+6,FALSE)))/1000,3)</f>
        <v>13838</v>
      </c>
      <c r="Q25" s="27">
        <f>ROUND(IF(ISNA(VLOOKUP($B25,Historical!$A$5:$U$500,COLUMNS($F25:Q25)+6,FALSE)),0,+(VLOOKUP($B25,Historical!$A$5:$U$500,COLUMNS($F25:Q25)+6,FALSE)))/1000,3)</f>
        <v>2685.056</v>
      </c>
      <c r="R25" s="27">
        <f>ROUND(IF(ISNA(VLOOKUP($B25,Historical!$A$5:$U$500,COLUMNS($F25:R25)+6,FALSE)),0,+(VLOOKUP($B25,Historical!$A$5:$U$500,COLUMNS($F25:R25)+6,FALSE)))/1000,3)</f>
        <v>4766.8509999999997</v>
      </c>
      <c r="S25" s="150">
        <f t="shared" ref="S25:S43" si="3">(SUM(F25:R25)/13)</f>
        <v>7887.6853076923062</v>
      </c>
      <c r="T25" s="144" t="s">
        <v>118</v>
      </c>
    </row>
    <row r="26" spans="1:22" ht="15" customHeight="1">
      <c r="A26" s="142">
        <v>16</v>
      </c>
      <c r="B26" s="35" t="s">
        <v>398</v>
      </c>
      <c r="C26" s="14" t="s">
        <v>271</v>
      </c>
      <c r="D26" s="142"/>
      <c r="E26" s="142"/>
      <c r="F26" s="27">
        <f>ROUND(IF(ISNA(VLOOKUP($B26,Historical!$A$5:$U$500,COLUMNS($F26:F26)+6,FALSE)),0,+(VLOOKUP($B26,Historical!$A$5:$U$500,COLUMNS($F26:F26)+6,FALSE)))/1000,3)</f>
        <v>0</v>
      </c>
      <c r="G26" s="27">
        <f>ROUND(IF(ISNA(VLOOKUP($B26,Historical!$A$5:$U$500,COLUMNS($F26:G26)+6,FALSE)),0,+(VLOOKUP($B26,Historical!$A$5:$U$500,COLUMNS($F26:G26)+6,FALSE)))/1000,3)</f>
        <v>0</v>
      </c>
      <c r="H26" s="27">
        <f>ROUND(IF(ISNA(VLOOKUP($B26,Historical!$A$5:$U$500,COLUMNS($F26:H26)+6,FALSE)),0,+(VLOOKUP($B26,Historical!$A$5:$U$500,COLUMNS($F26:H26)+6,FALSE)))/1000,3)</f>
        <v>0</v>
      </c>
      <c r="I26" s="27">
        <f>ROUND(IF(ISNA(VLOOKUP($B26,Historical!$A$5:$U$500,COLUMNS($F26:I26)+6,FALSE)),0,+(VLOOKUP($B26,Historical!$A$5:$U$500,COLUMNS($F26:I26)+6,FALSE)))/1000,3)</f>
        <v>0</v>
      </c>
      <c r="J26" s="27">
        <f>ROUND(IF(ISNA(VLOOKUP($B26,Historical!$A$5:$U$500,COLUMNS($F26:J26)+6,FALSE)),0,+(VLOOKUP($B26,Historical!$A$5:$U$500,COLUMNS($F26:J26)+6,FALSE)))/1000,3)</f>
        <v>0</v>
      </c>
      <c r="K26" s="27">
        <f>ROUND(IF(ISNA(VLOOKUP($B26,Historical!$A$5:$U$500,COLUMNS($F26:K26)+6,FALSE)),0,+(VLOOKUP($B26,Historical!$A$5:$U$500,COLUMNS($F26:K26)+6,FALSE)))/1000,3)</f>
        <v>0</v>
      </c>
      <c r="L26" s="27">
        <f>ROUND(IF(ISNA(VLOOKUP($B26,Historical!$A$5:$U$500,COLUMNS($F26:L26)+6,FALSE)),0,+(VLOOKUP($B26,Historical!$A$5:$U$500,COLUMNS($F26:L26)+6,FALSE)))/1000,3)</f>
        <v>0</v>
      </c>
      <c r="M26" s="27">
        <f>ROUND(IF(ISNA(VLOOKUP($B26,Historical!$A$5:$U$500,COLUMNS($F26:M26)+6,FALSE)),0,+(VLOOKUP($B26,Historical!$A$5:$U$500,COLUMNS($F26:M26)+6,FALSE)))/1000,3)</f>
        <v>0</v>
      </c>
      <c r="N26" s="27">
        <f>ROUND(IF(ISNA(VLOOKUP($B26,Historical!$A$5:$U$500,COLUMNS($F26:N26)+6,FALSE)),0,+(VLOOKUP($B26,Historical!$A$5:$U$500,COLUMNS($F26:N26)+6,FALSE)))/1000,3)</f>
        <v>0</v>
      </c>
      <c r="O26" s="27">
        <f>ROUND(IF(ISNA(VLOOKUP($B26,Historical!$A$5:$U$500,COLUMNS($F26:O26)+6,FALSE)),0,+(VLOOKUP($B26,Historical!$A$5:$U$500,COLUMNS($F26:O26)+6,FALSE)))/1000,3)</f>
        <v>0</v>
      </c>
      <c r="P26" s="27">
        <f>ROUND(IF(ISNA(VLOOKUP($B26,Historical!$A$5:$U$500,COLUMNS($F26:P26)+6,FALSE)),0,+(VLOOKUP($B26,Historical!$A$5:$U$500,COLUMNS($F26:P26)+6,FALSE)))/1000,3)</f>
        <v>0</v>
      </c>
      <c r="Q26" s="27">
        <f>ROUND(IF(ISNA(VLOOKUP($B26,Historical!$A$5:$U$500,COLUMNS($F26:Q26)+6,FALSE)),0,+(VLOOKUP($B26,Historical!$A$5:$U$500,COLUMNS($F26:Q26)+6,FALSE)))/1000,3)</f>
        <v>0</v>
      </c>
      <c r="R26" s="27">
        <f>ROUND(IF(ISNA(VLOOKUP($B26,Historical!$A$5:$U$500,COLUMNS($F26:R26)+6,FALSE)),0,+(VLOOKUP($B26,Historical!$A$5:$U$500,COLUMNS($F26:R26)+6,FALSE)))/1000,3)</f>
        <v>0</v>
      </c>
      <c r="S26" s="150">
        <f t="shared" si="3"/>
        <v>0</v>
      </c>
      <c r="T26" s="144" t="s">
        <v>118</v>
      </c>
    </row>
    <row r="27" spans="1:22" ht="15" customHeight="1">
      <c r="A27" s="142">
        <v>17</v>
      </c>
      <c r="B27" s="86" t="s">
        <v>399</v>
      </c>
      <c r="C27" s="14" t="s">
        <v>272</v>
      </c>
      <c r="D27" s="142"/>
      <c r="E27" s="142"/>
      <c r="F27" s="27">
        <f>ROUND(IF(ISNA(VLOOKUP($B27,Historical!$A$5:$U$500,COLUMNS($F27:F27)+6,FALSE)),0,+(VLOOKUP($B27,Historical!$A$5:$U$500,COLUMNS($F27:F27)+6,FALSE)))/1000,3)</f>
        <v>51.064999999999998</v>
      </c>
      <c r="G27" s="27">
        <f>ROUND(IF(ISNA(VLOOKUP($B27,Historical!$A$5:$U$500,COLUMNS($F27:G27)+6,FALSE)),0,+(VLOOKUP($B27,Historical!$A$5:$U$500,COLUMNS($F27:G27)+6,FALSE)))/1000,3)</f>
        <v>51.064999999999998</v>
      </c>
      <c r="H27" s="27">
        <f>ROUND(IF(ISNA(VLOOKUP($B27,Historical!$A$5:$U$500,COLUMNS($F27:H27)+6,FALSE)),0,+(VLOOKUP($B27,Historical!$A$5:$U$500,COLUMNS($F27:H27)+6,FALSE)))/1000,3)</f>
        <v>51.064999999999998</v>
      </c>
      <c r="I27" s="27">
        <f>ROUND(IF(ISNA(VLOOKUP($B27,Historical!$A$5:$U$500,COLUMNS($F27:I27)+6,FALSE)),0,+(VLOOKUP($B27,Historical!$A$5:$U$500,COLUMNS($F27:I27)+6,FALSE)))/1000,3)</f>
        <v>51.064999999999998</v>
      </c>
      <c r="J27" s="27">
        <f>ROUND(IF(ISNA(VLOOKUP($B27,Historical!$A$5:$U$500,COLUMNS($F27:J27)+6,FALSE)),0,+(VLOOKUP($B27,Historical!$A$5:$U$500,COLUMNS($F27:J27)+6,FALSE)))/1000,3)</f>
        <v>51.064999999999998</v>
      </c>
      <c r="K27" s="27">
        <f>ROUND(IF(ISNA(VLOOKUP($B27,Historical!$A$5:$U$500,COLUMNS($F27:K27)+6,FALSE)),0,+(VLOOKUP($B27,Historical!$A$5:$U$500,COLUMNS($F27:K27)+6,FALSE)))/1000,3)</f>
        <v>51.064999999999998</v>
      </c>
      <c r="L27" s="27">
        <f>ROUND(IF(ISNA(VLOOKUP($B27,Historical!$A$5:$U$500,COLUMNS($F27:L27)+6,FALSE)),0,+(VLOOKUP($B27,Historical!$A$5:$U$500,COLUMNS($F27:L27)+6,FALSE)))/1000,3)</f>
        <v>51.064999999999998</v>
      </c>
      <c r="M27" s="27">
        <f>ROUND(IF(ISNA(VLOOKUP($B27,Historical!$A$5:$U$500,COLUMNS($F27:M27)+6,FALSE)),0,+(VLOOKUP($B27,Historical!$A$5:$U$500,COLUMNS($F27:M27)+6,FALSE)))/1000,3)</f>
        <v>51.064999999999998</v>
      </c>
      <c r="N27" s="27">
        <f>ROUND(IF(ISNA(VLOOKUP($B27,Historical!$A$5:$U$500,COLUMNS($F27:N27)+6,FALSE)),0,+(VLOOKUP($B27,Historical!$A$5:$U$500,COLUMNS($F27:N27)+6,FALSE)))/1000,3)</f>
        <v>51.064999999999998</v>
      </c>
      <c r="O27" s="27">
        <f>ROUND(IF(ISNA(VLOOKUP($B27,Historical!$A$5:$U$500,COLUMNS($F27:O27)+6,FALSE)),0,+(VLOOKUP($B27,Historical!$A$5:$U$500,COLUMNS($F27:O27)+6,FALSE)))/1000,3)</f>
        <v>51.064999999999998</v>
      </c>
      <c r="P27" s="27">
        <f>ROUND(IF(ISNA(VLOOKUP($B27,Historical!$A$5:$U$500,COLUMNS($F27:P27)+6,FALSE)),0,+(VLOOKUP($B27,Historical!$A$5:$U$500,COLUMNS($F27:P27)+6,FALSE)))/1000,3)</f>
        <v>51.064999999999998</v>
      </c>
      <c r="Q27" s="27">
        <f>ROUND(IF(ISNA(VLOOKUP($B27,Historical!$A$5:$U$500,COLUMNS($F27:Q27)+6,FALSE)),0,+(VLOOKUP($B27,Historical!$A$5:$U$500,COLUMNS($F27:Q27)+6,FALSE)))/1000,3)</f>
        <v>51.064999999999998</v>
      </c>
      <c r="R27" s="27">
        <f>ROUND(IF(ISNA(VLOOKUP($B27,Historical!$A$5:$U$500,COLUMNS($F27:R27)+6,FALSE)),0,+(VLOOKUP($B27,Historical!$A$5:$U$500,COLUMNS($F27:R27)+6,FALSE)))/1000,3)</f>
        <v>51.064999999999998</v>
      </c>
      <c r="S27" s="150">
        <f t="shared" si="3"/>
        <v>51.065000000000005</v>
      </c>
      <c r="T27" s="144" t="s">
        <v>118</v>
      </c>
    </row>
    <row r="28" spans="1:22" ht="15" customHeight="1">
      <c r="A28" s="142">
        <v>18</v>
      </c>
      <c r="B28" s="35" t="s">
        <v>400</v>
      </c>
      <c r="C28" s="14" t="s">
        <v>273</v>
      </c>
      <c r="D28" s="142"/>
      <c r="E28" s="142"/>
      <c r="F28" s="152">
        <f>ROUND(VLOOKUP($B28,Historical!$A$5:$U$500,COLUMNS($F28:F28)+6,FALSE)/1000,3)</f>
        <v>0</v>
      </c>
      <c r="G28" s="152">
        <f>ROUND(VLOOKUP($B28,Historical!$A$5:$U$500,COLUMNS($F28:G28)+6,FALSE)/1000,3)</f>
        <v>0</v>
      </c>
      <c r="H28" s="152">
        <f>ROUND(VLOOKUP($B28,Historical!$A$5:$U$500,COLUMNS($F28:H28)+6,FALSE)/1000,3)</f>
        <v>0</v>
      </c>
      <c r="I28" s="152">
        <f>ROUND(VLOOKUP($B28,Historical!$A$5:$U$500,COLUMNS($F28:I28)+6,FALSE)/1000,3)</f>
        <v>0</v>
      </c>
      <c r="J28" s="152">
        <f>ROUND(VLOOKUP($B28,Historical!$A$5:$U$500,COLUMNS($F28:J28)+6,FALSE)/1000,3)</f>
        <v>0</v>
      </c>
      <c r="K28" s="152">
        <f>ROUND(VLOOKUP($B28,Historical!$A$5:$U$500,COLUMNS($F28:K28)+6,FALSE)/1000,3)</f>
        <v>0</v>
      </c>
      <c r="L28" s="152">
        <f>ROUND(VLOOKUP($B28,Historical!$A$5:$U$500,COLUMNS($F28:L28)+6,FALSE)/1000,3)</f>
        <v>0</v>
      </c>
      <c r="M28" s="152">
        <f>ROUND(VLOOKUP($B28,Historical!$A$5:$U$500,COLUMNS($F28:M28)+6,FALSE)/1000,3)</f>
        <v>0</v>
      </c>
      <c r="N28" s="152">
        <f>ROUND(VLOOKUP($B28,Historical!$A$5:$U$500,COLUMNS($F28:N28)+6,FALSE)/1000,3)</f>
        <v>0</v>
      </c>
      <c r="O28" s="152">
        <f>ROUND(VLOOKUP($B28,Historical!$A$5:$U$500,COLUMNS($F28:O28)+6,FALSE)/1000,3)</f>
        <v>0</v>
      </c>
      <c r="P28" s="152">
        <f>ROUND(VLOOKUP($B28,Historical!$A$5:$U$500,COLUMNS($F28:P28)+6,FALSE)/1000,3)</f>
        <v>0</v>
      </c>
      <c r="Q28" s="152">
        <f>ROUND(VLOOKUP($B28,Historical!$A$5:$U$500,COLUMNS($F28:Q28)+6,FALSE)/1000,3)</f>
        <v>0</v>
      </c>
      <c r="R28" s="152">
        <f>ROUND(VLOOKUP($B28,Historical!$A$5:$U$500,COLUMNS($F28:R28)+6,FALSE)/1000,3)</f>
        <v>0</v>
      </c>
      <c r="S28" s="150">
        <f t="shared" si="3"/>
        <v>0</v>
      </c>
      <c r="T28" s="144" t="s">
        <v>118</v>
      </c>
    </row>
    <row r="29" spans="1:22" ht="15" customHeight="1">
      <c r="A29" s="142">
        <v>19</v>
      </c>
      <c r="B29" s="35" t="s">
        <v>401</v>
      </c>
      <c r="C29" s="14" t="s">
        <v>274</v>
      </c>
      <c r="D29" s="142"/>
      <c r="E29" s="142"/>
      <c r="F29" s="27">
        <f>ROUND(IF(ISNA(VLOOKUP($B29,Historical!$A$5:$U$500,COLUMNS($F29:F29)+6,FALSE)),0,+(VLOOKUP($B29,Historical!$A$5:$U$500,COLUMNS($F29:F29)+6,FALSE)))/1000,3)</f>
        <v>0</v>
      </c>
      <c r="G29" s="27">
        <f>ROUND(IF(ISNA(VLOOKUP($B29,Historical!$A$5:$U$500,COLUMNS($F29:G29)+6,FALSE)),0,+(VLOOKUP($B29,Historical!$A$5:$U$500,COLUMNS($F29:G29)+6,FALSE)))/1000,3)</f>
        <v>0</v>
      </c>
      <c r="H29" s="27">
        <f>ROUND(IF(ISNA(VLOOKUP($B29,Historical!$A$5:$U$500,COLUMNS($F29:H29)+6,FALSE)),0,+(VLOOKUP($B29,Historical!$A$5:$U$500,COLUMNS($F29:H29)+6,FALSE)))/1000,3)</f>
        <v>0</v>
      </c>
      <c r="I29" s="27">
        <f>ROUND(IF(ISNA(VLOOKUP($B29,Historical!$A$5:$U$500,COLUMNS($F29:I29)+6,FALSE)),0,+(VLOOKUP($B29,Historical!$A$5:$U$500,COLUMNS($F29:I29)+6,FALSE)))/1000,3)</f>
        <v>0</v>
      </c>
      <c r="J29" s="27">
        <f>ROUND(IF(ISNA(VLOOKUP($B29,Historical!$A$5:$U$500,COLUMNS($F29:J29)+6,FALSE)),0,+(VLOOKUP($B29,Historical!$A$5:$U$500,COLUMNS($F29:J29)+6,FALSE)))/1000,3)</f>
        <v>0</v>
      </c>
      <c r="K29" s="27">
        <f>ROUND(IF(ISNA(VLOOKUP($B29,Historical!$A$5:$U$500,COLUMNS($F29:K29)+6,FALSE)),0,+(VLOOKUP($B29,Historical!$A$5:$U$500,COLUMNS($F29:K29)+6,FALSE)))/1000,3)</f>
        <v>0</v>
      </c>
      <c r="L29" s="27">
        <f>ROUND(IF(ISNA(VLOOKUP($B29,Historical!$A$5:$U$500,COLUMNS($F29:L29)+6,FALSE)),0,+(VLOOKUP($B29,Historical!$A$5:$U$500,COLUMNS($F29:L29)+6,FALSE)))/1000,3)</f>
        <v>0</v>
      </c>
      <c r="M29" s="27">
        <f>ROUND(IF(ISNA(VLOOKUP($B29,Historical!$A$5:$U$500,COLUMNS($F29:M29)+6,FALSE)),0,+(VLOOKUP($B29,Historical!$A$5:$U$500,COLUMNS($F29:M29)+6,FALSE)))/1000,3)</f>
        <v>0</v>
      </c>
      <c r="N29" s="27">
        <f>ROUND(IF(ISNA(VLOOKUP($B29,Historical!$A$5:$U$500,COLUMNS($F29:N29)+6,FALSE)),0,+(VLOOKUP($B29,Historical!$A$5:$U$500,COLUMNS($F29:N29)+6,FALSE)))/1000,3)</f>
        <v>0</v>
      </c>
      <c r="O29" s="27">
        <f>ROUND(IF(ISNA(VLOOKUP($B29,Historical!$A$5:$U$500,COLUMNS($F29:O29)+6,FALSE)),0,+(VLOOKUP($B29,Historical!$A$5:$U$500,COLUMNS($F29:O29)+6,FALSE)))/1000,3)</f>
        <v>0</v>
      </c>
      <c r="P29" s="27">
        <f>ROUND(IF(ISNA(VLOOKUP($B29,Historical!$A$5:$U$500,COLUMNS($F29:P29)+6,FALSE)),0,+(VLOOKUP($B29,Historical!$A$5:$U$500,COLUMNS($F29:P29)+6,FALSE)))/1000,3)</f>
        <v>0</v>
      </c>
      <c r="Q29" s="27">
        <f>ROUND(IF(ISNA(VLOOKUP($B29,Historical!$A$5:$U$500,COLUMNS($F29:Q29)+6,FALSE)),0,+(VLOOKUP($B29,Historical!$A$5:$U$500,COLUMNS($F29:Q29)+6,FALSE)))/1000,3)</f>
        <v>0</v>
      </c>
      <c r="R29" s="27">
        <f>ROUND(IF(ISNA(VLOOKUP($B29,Historical!$A$5:$U$500,COLUMNS($F29:R29)+6,FALSE)),0,+(VLOOKUP($B29,Historical!$A$5:$U$500,COLUMNS($F29:R29)+6,FALSE)))/1000,3)</f>
        <v>0</v>
      </c>
      <c r="S29" s="150">
        <f t="shared" si="3"/>
        <v>0</v>
      </c>
      <c r="T29" s="144" t="s">
        <v>118</v>
      </c>
    </row>
    <row r="30" spans="1:22" ht="15" customHeight="1">
      <c r="A30" s="142">
        <v>20</v>
      </c>
      <c r="B30" s="35" t="s">
        <v>402</v>
      </c>
      <c r="C30" s="14" t="s">
        <v>275</v>
      </c>
      <c r="D30" s="142"/>
      <c r="E30" s="142"/>
      <c r="F30" s="152">
        <f>ROUND(VLOOKUP($B30,Historical!$A$5:$U$500,COLUMNS($F30:F30)+6,FALSE)/1000,3)</f>
        <v>163872.375</v>
      </c>
      <c r="G30" s="152">
        <f>ROUND(VLOOKUP($B30,Historical!$A$5:$U$500,COLUMNS($F30:G30)+6,FALSE)/1000,3)</f>
        <v>189587.788</v>
      </c>
      <c r="H30" s="152">
        <f>ROUND(VLOOKUP($B30,Historical!$A$5:$U$500,COLUMNS($F30:H30)+6,FALSE)/1000,3)</f>
        <v>169142.46</v>
      </c>
      <c r="I30" s="152">
        <f>ROUND(VLOOKUP($B30,Historical!$A$5:$U$500,COLUMNS($F30:I30)+6,FALSE)/1000,3)</f>
        <v>154325.024</v>
      </c>
      <c r="J30" s="152">
        <f>ROUND(VLOOKUP($B30,Historical!$A$5:$U$500,COLUMNS($F30:J30)+6,FALSE)/1000,3)</f>
        <v>202062.06200000001</v>
      </c>
      <c r="K30" s="152">
        <f>ROUND(VLOOKUP($B30,Historical!$A$5:$U$500,COLUMNS($F30:K30)+6,FALSE)/1000,3)</f>
        <v>194907.321</v>
      </c>
      <c r="L30" s="152">
        <f>ROUND(VLOOKUP($B30,Historical!$A$5:$U$500,COLUMNS($F30:L30)+6,FALSE)/1000,3)</f>
        <v>211215.59</v>
      </c>
      <c r="M30" s="152">
        <f>ROUND(VLOOKUP($B30,Historical!$A$5:$U$500,COLUMNS($F30:M30)+6,FALSE)/1000,3)</f>
        <v>251856.42800000001</v>
      </c>
      <c r="N30" s="152">
        <f>ROUND(VLOOKUP($B30,Historical!$A$5:$U$500,COLUMNS($F30:N30)+6,FALSE)/1000,3)</f>
        <v>247211.86799999999</v>
      </c>
      <c r="O30" s="152">
        <f>ROUND(VLOOKUP($B30,Historical!$A$5:$U$500,COLUMNS($F30:O30)+6,FALSE)/1000,3)</f>
        <v>278340.17200000002</v>
      </c>
      <c r="P30" s="152">
        <f>ROUND(VLOOKUP($B30,Historical!$A$5:$U$500,COLUMNS($F30:P30)+6,FALSE)/1000,3)</f>
        <v>239606.739</v>
      </c>
      <c r="Q30" s="152">
        <f>ROUND(VLOOKUP($B30,Historical!$A$5:$U$500,COLUMNS($F30:Q30)+6,FALSE)/1000,3)</f>
        <v>211412.79800000001</v>
      </c>
      <c r="R30" s="152">
        <f>ROUND(VLOOKUP($B30,Historical!$A$5:$U$500,COLUMNS($F30:R30)+6,FALSE)/1000,3)</f>
        <v>212903.08100000001</v>
      </c>
      <c r="S30" s="150">
        <f t="shared" si="3"/>
        <v>209726.43892307693</v>
      </c>
      <c r="T30" s="144" t="s">
        <v>118</v>
      </c>
    </row>
    <row r="31" spans="1:22" ht="15" customHeight="1">
      <c r="A31" s="142">
        <v>21</v>
      </c>
      <c r="B31" s="35" t="s">
        <v>403</v>
      </c>
      <c r="C31" s="14" t="s">
        <v>276</v>
      </c>
      <c r="D31" s="142"/>
      <c r="E31" s="142"/>
      <c r="F31" s="152">
        <f>ROUND(VLOOKUP($B31,Historical!$A$5:$U$500,COLUMNS($F31:F31)+6,FALSE)/1000,3)</f>
        <v>16710.607</v>
      </c>
      <c r="G31" s="152">
        <f>ROUND(VLOOKUP($B31,Historical!$A$5:$U$500,COLUMNS($F31:G31)+6,FALSE)/1000,3)</f>
        <v>7155.9740000000002</v>
      </c>
      <c r="H31" s="152">
        <f>ROUND(VLOOKUP($B31,Historical!$A$5:$U$500,COLUMNS($F31:H31)+6,FALSE)/1000,3)</f>
        <v>6985.7070000000003</v>
      </c>
      <c r="I31" s="152">
        <f>ROUND(VLOOKUP($B31,Historical!$A$5:$U$500,COLUMNS($F31:I31)+6,FALSE)/1000,3)</f>
        <v>11498.593999999999</v>
      </c>
      <c r="J31" s="152">
        <f>ROUND(VLOOKUP($B31,Historical!$A$5:$U$500,COLUMNS($F31:J31)+6,FALSE)/1000,3)</f>
        <v>9450.2690000000002</v>
      </c>
      <c r="K31" s="152">
        <f>ROUND(VLOOKUP($B31,Historical!$A$5:$U$500,COLUMNS($F31:K31)+6,FALSE)/1000,3)</f>
        <v>7500.7870000000003</v>
      </c>
      <c r="L31" s="152">
        <f>ROUND(VLOOKUP($B31,Historical!$A$5:$U$500,COLUMNS($F31:L31)+6,FALSE)/1000,3)</f>
        <v>12170.918</v>
      </c>
      <c r="M31" s="152">
        <f>ROUND(VLOOKUP($B31,Historical!$A$5:$U$500,COLUMNS($F31:M31)+6,FALSE)/1000,3)</f>
        <v>15817.906999999999</v>
      </c>
      <c r="N31" s="152">
        <f>ROUND(VLOOKUP($B31,Historical!$A$5:$U$500,COLUMNS($F31:N31)+6,FALSE)/1000,3)</f>
        <v>17140.052</v>
      </c>
      <c r="O31" s="152">
        <f>ROUND(VLOOKUP($B31,Historical!$A$5:$U$500,COLUMNS($F31:O31)+6,FALSE)/1000,3)</f>
        <v>14970.553</v>
      </c>
      <c r="P31" s="152">
        <f>ROUND(VLOOKUP($B31,Historical!$A$5:$U$500,COLUMNS($F31:P31)+6,FALSE)/1000,3)</f>
        <v>15166.769</v>
      </c>
      <c r="Q31" s="152">
        <f>ROUND(VLOOKUP($B31,Historical!$A$5:$U$500,COLUMNS($F31:Q31)+6,FALSE)/1000,3)</f>
        <v>11135.401</v>
      </c>
      <c r="R31" s="152">
        <f>ROUND(VLOOKUP($B31,Historical!$A$5:$U$500,COLUMNS($F31:R31)+6,FALSE)/1000,3)</f>
        <v>11189.501</v>
      </c>
      <c r="S31" s="150">
        <f t="shared" si="3"/>
        <v>12068.695307692307</v>
      </c>
      <c r="T31" s="144" t="s">
        <v>118</v>
      </c>
    </row>
    <row r="32" spans="1:22" ht="15" customHeight="1">
      <c r="A32" s="142">
        <v>22</v>
      </c>
      <c r="B32" s="35" t="s">
        <v>404</v>
      </c>
      <c r="C32" s="14" t="s">
        <v>277</v>
      </c>
      <c r="D32" s="142"/>
      <c r="E32" s="142"/>
      <c r="F32" s="152">
        <f>ROUND(VLOOKUP($B32,Historical!$A$5:$U$500,COLUMNS($F32:F32)+6,FALSE)/1000,3)</f>
        <v>-2628.41</v>
      </c>
      <c r="G32" s="152">
        <f>ROUND(VLOOKUP($B32,Historical!$A$5:$U$500,COLUMNS($F32:G32)+6,FALSE)/1000,3)</f>
        <v>-2790.6709999999998</v>
      </c>
      <c r="H32" s="152">
        <f>ROUND(VLOOKUP($B32,Historical!$A$5:$U$500,COLUMNS($F32:H32)+6,FALSE)/1000,3)</f>
        <v>-2744.7449999999999</v>
      </c>
      <c r="I32" s="152">
        <f>ROUND(VLOOKUP($B32,Historical!$A$5:$U$500,COLUMNS($F32:I32)+6,FALSE)/1000,3)</f>
        <v>-2356.232</v>
      </c>
      <c r="J32" s="152">
        <f>ROUND(VLOOKUP($B32,Historical!$A$5:$U$500,COLUMNS($F32:J32)+6,FALSE)/1000,3)</f>
        <v>-2215.1750000000002</v>
      </c>
      <c r="K32" s="152">
        <f>ROUND(VLOOKUP($B32,Historical!$A$5:$U$500,COLUMNS($F32:K32)+6,FALSE)/1000,3)</f>
        <v>-2250.5569999999998</v>
      </c>
      <c r="L32" s="152">
        <f>ROUND(VLOOKUP($B32,Historical!$A$5:$U$500,COLUMNS($F32:L32)+6,FALSE)/1000,3)</f>
        <v>-2319.087</v>
      </c>
      <c r="M32" s="152">
        <f>ROUND(VLOOKUP($B32,Historical!$A$5:$U$500,COLUMNS($F32:M32)+6,FALSE)/1000,3)</f>
        <v>-2422.538</v>
      </c>
      <c r="N32" s="152">
        <f>ROUND(VLOOKUP($B32,Historical!$A$5:$U$500,COLUMNS($F32:N32)+6,FALSE)/1000,3)</f>
        <v>-2472.3490000000002</v>
      </c>
      <c r="O32" s="152">
        <f>ROUND(VLOOKUP($B32,Historical!$A$5:$U$500,COLUMNS($F32:O32)+6,FALSE)/1000,3)</f>
        <v>-2387.4850000000001</v>
      </c>
      <c r="P32" s="152">
        <f>ROUND(VLOOKUP($B32,Historical!$A$5:$U$500,COLUMNS($F32:P32)+6,FALSE)/1000,3)</f>
        <v>-2189.4029999999998</v>
      </c>
      <c r="Q32" s="152">
        <f>ROUND(VLOOKUP($B32,Historical!$A$5:$U$500,COLUMNS($F32:Q32)+6,FALSE)/1000,3)</f>
        <v>-2089.076</v>
      </c>
      <c r="R32" s="152">
        <f>ROUND(VLOOKUP($B32,Historical!$A$5:$U$500,COLUMNS($F32:R32)+6,FALSE)/1000,3)</f>
        <v>-1930.107</v>
      </c>
      <c r="S32" s="150">
        <f t="shared" si="3"/>
        <v>-2368.9103846153848</v>
      </c>
      <c r="T32" s="144" t="s">
        <v>118</v>
      </c>
    </row>
    <row r="33" spans="1:21" ht="15" customHeight="1">
      <c r="A33" s="142">
        <v>23</v>
      </c>
      <c r="B33" s="86" t="s">
        <v>405</v>
      </c>
      <c r="C33" s="14" t="s">
        <v>274</v>
      </c>
      <c r="D33" s="142"/>
      <c r="E33" s="142"/>
      <c r="F33" s="27">
        <f>ROUND(IF(ISNA(VLOOKUP($B33,Historical!$A$5:$U$500,COLUMNS($F33:F33)+6,FALSE)),0,+(VLOOKUP($B33,Historical!$A$5:$U$500,COLUMNS($F33:F33)+6,FALSE)))/1000,3)</f>
        <v>0</v>
      </c>
      <c r="G33" s="27">
        <f>ROUND(IF(ISNA(VLOOKUP($B33,Historical!$A$5:$U$500,COLUMNS($F33:G33)+6,FALSE)),0,+(VLOOKUP($B33,Historical!$A$5:$U$500,COLUMNS($F33:G33)+6,FALSE)))/1000,3)</f>
        <v>768663.71499999997</v>
      </c>
      <c r="H33" s="27">
        <f>ROUND(IF(ISNA(VLOOKUP($B33,Historical!$A$5:$U$500,COLUMNS($F33:H33)+6,FALSE)),0,+(VLOOKUP($B33,Historical!$A$5:$U$500,COLUMNS($F33:H33)+6,FALSE)))/1000,3)</f>
        <v>785599.85400000005</v>
      </c>
      <c r="I33" s="27">
        <f>ROUND(IF(ISNA(VLOOKUP($B33,Historical!$A$5:$U$500,COLUMNS($F33:I33)+6,FALSE)),0,+(VLOOKUP($B33,Historical!$A$5:$U$500,COLUMNS($F33:I33)+6,FALSE)))/1000,3)</f>
        <v>805329.54799999995</v>
      </c>
      <c r="J33" s="27">
        <f>ROUND(IF(ISNA(VLOOKUP($B33,Historical!$A$5:$U$500,COLUMNS($F33:J33)+6,FALSE)),0,+(VLOOKUP($B33,Historical!$A$5:$U$500,COLUMNS($F33:J33)+6,FALSE)))/1000,3)</f>
        <v>816720.36699999997</v>
      </c>
      <c r="K33" s="27">
        <f>ROUND(IF(ISNA(VLOOKUP($B33,Historical!$A$5:$U$500,COLUMNS($F33:K33)+6,FALSE)),0,+(VLOOKUP($B33,Historical!$A$5:$U$500,COLUMNS($F33:K33)+6,FALSE)))/1000,3)</f>
        <v>830336.81900000002</v>
      </c>
      <c r="L33" s="27">
        <f>ROUND(IF(ISNA(VLOOKUP($B33,Historical!$A$5:$U$500,COLUMNS($F33:L33)+6,FALSE)),0,+(VLOOKUP($B33,Historical!$A$5:$U$500,COLUMNS($F33:L33)+6,FALSE)))/1000,3)</f>
        <v>861048.61800000002</v>
      </c>
      <c r="M33" s="27">
        <f>ROUND(IF(ISNA(VLOOKUP($B33,Historical!$A$5:$U$500,COLUMNS($F33:M33)+6,FALSE)),0,+(VLOOKUP($B33,Historical!$A$5:$U$500,COLUMNS($F33:M33)+6,FALSE)))/1000,3)</f>
        <v>868144.63399999996</v>
      </c>
      <c r="N33" s="27">
        <f>ROUND(IF(ISNA(VLOOKUP($B33,Historical!$A$5:$U$500,COLUMNS($F33:N33)+6,FALSE)),0,+(VLOOKUP($B33,Historical!$A$5:$U$500,COLUMNS($F33:N33)+6,FALSE)))/1000,3)</f>
        <v>882382.91</v>
      </c>
      <c r="O33" s="27">
        <f>ROUND(IF(ISNA(VLOOKUP($B33,Historical!$A$5:$U$500,COLUMNS($F33:O33)+6,FALSE)),0,+(VLOOKUP($B33,Historical!$A$5:$U$500,COLUMNS($F33:O33)+6,FALSE)))/1000,3)</f>
        <v>889356.71100000001</v>
      </c>
      <c r="P33" s="27">
        <f>ROUND(IF(ISNA(VLOOKUP($B33,Historical!$A$5:$U$500,COLUMNS($F33:P33)+6,FALSE)),0,+(VLOOKUP($B33,Historical!$A$5:$U$500,COLUMNS($F33:P33)+6,FALSE)))/1000,3)</f>
        <v>935682.81099999999</v>
      </c>
      <c r="Q33" s="27">
        <f>ROUND(IF(ISNA(VLOOKUP($B33,Historical!$A$5:$U$500,COLUMNS($F33:Q33)+6,FALSE)),0,+(VLOOKUP($B33,Historical!$A$5:$U$500,COLUMNS($F33:Q33)+6,FALSE)))/1000,3)</f>
        <v>935853.848</v>
      </c>
      <c r="R33" s="27">
        <f>ROUND(IF(ISNA(VLOOKUP($B33,Historical!$A$5:$U$500,COLUMNS($F33:R33)+6,FALSE)),0,+(VLOOKUP($B33,Historical!$A$5:$U$500,COLUMNS($F33:R33)+6,FALSE)))/1000,3)</f>
        <v>0</v>
      </c>
      <c r="S33" s="150">
        <f t="shared" si="3"/>
        <v>721470.75653846143</v>
      </c>
      <c r="T33" s="144" t="s">
        <v>118</v>
      </c>
    </row>
    <row r="34" spans="1:21" ht="15" customHeight="1">
      <c r="A34" s="142">
        <v>24</v>
      </c>
      <c r="B34" s="35" t="s">
        <v>406</v>
      </c>
      <c r="C34" s="14" t="s">
        <v>278</v>
      </c>
      <c r="D34" s="142"/>
      <c r="E34" s="142"/>
      <c r="F34" s="27">
        <f>ROUND(IF(ISNA(VLOOKUP($B34,Historical!$A$5:$U$500,COLUMNS($F34:F34)+6,FALSE)),0,+(VLOOKUP($B34,Historical!$A$5:$U$500,COLUMNS($F34:F34)+6,FALSE)))/1000,3)</f>
        <v>25135.739000000001</v>
      </c>
      <c r="G34" s="27">
        <f>ROUND(IF(ISNA(VLOOKUP($B34,Historical!$A$5:$U$500,COLUMNS($F34:G34)+6,FALSE)),0,+(VLOOKUP($B34,Historical!$A$5:$U$500,COLUMNS($F34:G34)+6,FALSE)))/1000,3)</f>
        <v>14885.234</v>
      </c>
      <c r="H34" s="27">
        <f>ROUND(IF(ISNA(VLOOKUP($B34,Historical!$A$5:$U$500,COLUMNS($F34:H34)+6,FALSE)),0,+(VLOOKUP($B34,Historical!$A$5:$U$500,COLUMNS($F34:H34)+6,FALSE)))/1000,3)</f>
        <v>19921.694</v>
      </c>
      <c r="I34" s="27">
        <f>ROUND(IF(ISNA(VLOOKUP($B34,Historical!$A$5:$U$500,COLUMNS($F34:I34)+6,FALSE)),0,+(VLOOKUP($B34,Historical!$A$5:$U$500,COLUMNS($F34:I34)+6,FALSE)))/1000,3)</f>
        <v>23813.772000000001</v>
      </c>
      <c r="J34" s="27">
        <f>ROUND(IF(ISNA(VLOOKUP($B34,Historical!$A$5:$U$500,COLUMNS($F34:J34)+6,FALSE)),0,+(VLOOKUP($B34,Historical!$A$5:$U$500,COLUMNS($F34:J34)+6,FALSE)))/1000,3)</f>
        <v>32944.203000000001</v>
      </c>
      <c r="K34" s="27">
        <f>ROUND(IF(ISNA(VLOOKUP($B34,Historical!$A$5:$U$500,COLUMNS($F34:K34)+6,FALSE)),0,+(VLOOKUP($B34,Historical!$A$5:$U$500,COLUMNS($F34:K34)+6,FALSE)))/1000,3)</f>
        <v>29543.496999999999</v>
      </c>
      <c r="L34" s="27">
        <f>ROUND(IF(ISNA(VLOOKUP($B34,Historical!$A$5:$U$500,COLUMNS($F34:L34)+6,FALSE)),0,+(VLOOKUP($B34,Historical!$A$5:$U$500,COLUMNS($F34:L34)+6,FALSE)))/1000,3)</f>
        <v>12798.981</v>
      </c>
      <c r="M34" s="27">
        <f>ROUND(IF(ISNA(VLOOKUP($B34,Historical!$A$5:$U$500,COLUMNS($F34:M34)+6,FALSE)),0,+(VLOOKUP($B34,Historical!$A$5:$U$500,COLUMNS($F34:M34)+6,FALSE)))/1000,3)</f>
        <v>28629.89</v>
      </c>
      <c r="N34" s="27">
        <f>ROUND(IF(ISNA(VLOOKUP($B34,Historical!$A$5:$U$500,COLUMNS($F34:N34)+6,FALSE)),0,+(VLOOKUP($B34,Historical!$A$5:$U$500,COLUMNS($F34:N34)+6,FALSE)))/1000,3)</f>
        <v>16942.32</v>
      </c>
      <c r="O34" s="27">
        <f>ROUND(IF(ISNA(VLOOKUP($B34,Historical!$A$5:$U$500,COLUMNS($F34:O34)+6,FALSE)),0,+(VLOOKUP($B34,Historical!$A$5:$U$500,COLUMNS($F34:O34)+6,FALSE)))/1000,3)</f>
        <v>18200.93</v>
      </c>
      <c r="P34" s="27">
        <f>ROUND(IF(ISNA(VLOOKUP($B34,Historical!$A$5:$U$500,COLUMNS($F34:P34)+6,FALSE)),0,+(VLOOKUP($B34,Historical!$A$5:$U$500,COLUMNS($F34:P34)+6,FALSE)))/1000,3)</f>
        <v>18507.413</v>
      </c>
      <c r="Q34" s="27">
        <f>ROUND(IF(ISNA(VLOOKUP($B34,Historical!$A$5:$U$500,COLUMNS($F34:Q34)+6,FALSE)),0,+(VLOOKUP($B34,Historical!$A$5:$U$500,COLUMNS($F34:Q34)+6,FALSE)))/1000,3)</f>
        <v>17380.825000000001</v>
      </c>
      <c r="R34" s="27">
        <f>ROUND(IF(ISNA(VLOOKUP($B34,Historical!$A$5:$U$500,COLUMNS($F34:R34)+6,FALSE)),0,+(VLOOKUP($B34,Historical!$A$5:$U$500,COLUMNS($F34:R34)+6,FALSE)))/1000,3)</f>
        <v>16583.2</v>
      </c>
      <c r="S34" s="150">
        <f t="shared" si="3"/>
        <v>21175.976769230772</v>
      </c>
      <c r="T34" s="144" t="s">
        <v>118</v>
      </c>
    </row>
    <row r="35" spans="1:21" ht="15" customHeight="1">
      <c r="A35" s="142">
        <v>25</v>
      </c>
      <c r="B35" s="151" t="s">
        <v>407</v>
      </c>
      <c r="C35" s="14" t="s">
        <v>279</v>
      </c>
      <c r="D35" s="142"/>
      <c r="E35" s="142"/>
      <c r="F35" s="152">
        <f>ROUND(VLOOKUP($B35,Historical!$A$5:$U$500,COLUMNS($F35:F35)+6,FALSE)/1000,3)</f>
        <v>23065.341</v>
      </c>
      <c r="G35" s="152">
        <f>ROUND(VLOOKUP($B35,Historical!$A$5:$U$500,COLUMNS($F35:G35)+6,FALSE)/1000,3)</f>
        <v>28944.546999999999</v>
      </c>
      <c r="H35" s="152">
        <f>ROUND(VLOOKUP($B35,Historical!$A$5:$U$500,COLUMNS($F35:H35)+6,FALSE)/1000,3)</f>
        <v>34514.686999999998</v>
      </c>
      <c r="I35" s="152">
        <f>ROUND(VLOOKUP($B35,Historical!$A$5:$U$500,COLUMNS($F35:I35)+6,FALSE)/1000,3)</f>
        <v>30709.999</v>
      </c>
      <c r="J35" s="152">
        <f>ROUND(VLOOKUP($B35,Historical!$A$5:$U$500,COLUMNS($F35:J35)+6,FALSE)/1000,3)</f>
        <v>34930.885999999999</v>
      </c>
      <c r="K35" s="152">
        <f>ROUND(VLOOKUP($B35,Historical!$A$5:$U$500,COLUMNS($F35:K35)+6,FALSE)/1000,3)</f>
        <v>39475.796999999999</v>
      </c>
      <c r="L35" s="152">
        <f>ROUND(VLOOKUP($B35,Historical!$A$5:$U$500,COLUMNS($F35:L35)+6,FALSE)/1000,3)</f>
        <v>43058.74</v>
      </c>
      <c r="M35" s="152">
        <f>ROUND(VLOOKUP($B35,Historical!$A$5:$U$500,COLUMNS($F35:M35)+6,FALSE)/1000,3)</f>
        <v>44191.355000000003</v>
      </c>
      <c r="N35" s="152">
        <f>ROUND(VLOOKUP($B35,Historical!$A$5:$U$500,COLUMNS($F35:N35)+6,FALSE)/1000,3)</f>
        <v>45429.283000000003</v>
      </c>
      <c r="O35" s="152">
        <f>ROUND(VLOOKUP($B35,Historical!$A$5:$U$500,COLUMNS($F35:O35)+6,FALSE)/1000,3)</f>
        <v>48109.284</v>
      </c>
      <c r="P35" s="152">
        <f>ROUND(VLOOKUP($B35,Historical!$A$5:$U$500,COLUMNS($F35:P35)+6,FALSE)/1000,3)</f>
        <v>43568.175999999999</v>
      </c>
      <c r="Q35" s="152">
        <f>ROUND(VLOOKUP($B35,Historical!$A$5:$U$500,COLUMNS($F35:Q35)+6,FALSE)/1000,3)</f>
        <v>39308.67</v>
      </c>
      <c r="R35" s="152">
        <f>ROUND(VLOOKUP($B35,Historical!$A$5:$U$500,COLUMNS($F35:R35)+6,FALSE)/1000,3)</f>
        <v>35600.01</v>
      </c>
      <c r="S35" s="150">
        <f t="shared" si="3"/>
        <v>37762.059615384605</v>
      </c>
      <c r="T35" s="144" t="s">
        <v>118</v>
      </c>
    </row>
    <row r="36" spans="1:21" ht="15" customHeight="1">
      <c r="A36" s="142">
        <v>26</v>
      </c>
      <c r="B36" s="35" t="s">
        <v>408</v>
      </c>
      <c r="C36" s="14" t="s">
        <v>409</v>
      </c>
      <c r="D36" s="142"/>
      <c r="E36" s="142"/>
      <c r="F36" s="27">
        <f>ROUND(IF(ISNA(VLOOKUP($B36,Historical!$A$5:$U$500,COLUMNS($F36:F36)+6,FALSE)),0,+(VLOOKUP($B36,Historical!$A$5:$U$500,COLUMNS($F36:F36)+6,FALSE)))/1000,3)</f>
        <v>0</v>
      </c>
      <c r="G36" s="27">
        <f>ROUND(IF(ISNA(VLOOKUP($B36,Historical!$A$5:$U$500,COLUMNS($F36:G36)+6,FALSE)),0,+(VLOOKUP($B36,Historical!$A$5:$U$500,COLUMNS($F36:G36)+6,FALSE)))/1000,3)</f>
        <v>0</v>
      </c>
      <c r="H36" s="27">
        <f>ROUND(IF(ISNA(VLOOKUP($B36,Historical!$A$5:$U$500,COLUMNS($F36:H36)+6,FALSE)),0,+(VLOOKUP($B36,Historical!$A$5:$U$500,COLUMNS($F36:H36)+6,FALSE)))/1000,3)</f>
        <v>0</v>
      </c>
      <c r="I36" s="27">
        <f>ROUND(IF(ISNA(VLOOKUP($B36,Historical!$A$5:$U$500,COLUMNS($F36:I36)+6,FALSE)),0,+(VLOOKUP($B36,Historical!$A$5:$U$500,COLUMNS($F36:I36)+6,FALSE)))/1000,3)</f>
        <v>0</v>
      </c>
      <c r="J36" s="27">
        <f>ROUND(IF(ISNA(VLOOKUP($B36,Historical!$A$5:$U$500,COLUMNS($F36:J36)+6,FALSE)),0,+(VLOOKUP($B36,Historical!$A$5:$U$500,COLUMNS($F36:J36)+6,FALSE)))/1000,3)</f>
        <v>0</v>
      </c>
      <c r="K36" s="27">
        <f>ROUND(IF(ISNA(VLOOKUP($B36,Historical!$A$5:$U$500,COLUMNS($F36:K36)+6,FALSE)),0,+(VLOOKUP($B36,Historical!$A$5:$U$500,COLUMNS($F36:K36)+6,FALSE)))/1000,3)</f>
        <v>0</v>
      </c>
      <c r="L36" s="27">
        <f>ROUND(IF(ISNA(VLOOKUP($B36,Historical!$A$5:$U$500,COLUMNS($F36:L36)+6,FALSE)),0,+(VLOOKUP($B36,Historical!$A$5:$U$500,COLUMNS($F36:L36)+6,FALSE)))/1000,3)</f>
        <v>0</v>
      </c>
      <c r="M36" s="27">
        <f>ROUND(IF(ISNA(VLOOKUP($B36,Historical!$A$5:$U$500,COLUMNS($F36:M36)+6,FALSE)),0,+(VLOOKUP($B36,Historical!$A$5:$U$500,COLUMNS($F36:M36)+6,FALSE)))/1000,3)</f>
        <v>0</v>
      </c>
      <c r="N36" s="27">
        <f>ROUND(IF(ISNA(VLOOKUP($B36,Historical!$A$5:$U$500,COLUMNS($F36:N36)+6,FALSE)),0,+(VLOOKUP($B36,Historical!$A$5:$U$500,COLUMNS($F36:N36)+6,FALSE)))/1000,3)</f>
        <v>0</v>
      </c>
      <c r="O36" s="27">
        <f>ROUND(IF(ISNA(VLOOKUP($B36,Historical!$A$5:$U$500,COLUMNS($F36:O36)+6,FALSE)),0,+(VLOOKUP($B36,Historical!$A$5:$U$500,COLUMNS($F36:O36)+6,FALSE)))/1000,3)</f>
        <v>0</v>
      </c>
      <c r="P36" s="27">
        <f>ROUND(IF(ISNA(VLOOKUP($B36,Historical!$A$5:$U$500,COLUMNS($F36:P36)+6,FALSE)),0,+(VLOOKUP($B36,Historical!$A$5:$U$500,COLUMNS($F36:P36)+6,FALSE)))/1000,3)</f>
        <v>0</v>
      </c>
      <c r="Q36" s="27">
        <f>ROUND(IF(ISNA(VLOOKUP($B36,Historical!$A$5:$U$500,COLUMNS($F36:Q36)+6,FALSE)),0,+(VLOOKUP($B36,Historical!$A$5:$U$500,COLUMNS($F36:Q36)+6,FALSE)))/1000,3)</f>
        <v>0</v>
      </c>
      <c r="R36" s="27">
        <f>ROUND(IF(ISNA(VLOOKUP($B36,Historical!$A$5:$U$500,COLUMNS($F36:R36)+6,FALSE)),0,+(VLOOKUP($B36,Historical!$A$5:$U$500,COLUMNS($F36:R36)+6,FALSE)))/1000,3)</f>
        <v>0</v>
      </c>
      <c r="S36" s="150">
        <f t="shared" si="3"/>
        <v>0</v>
      </c>
      <c r="T36" s="144" t="s">
        <v>118</v>
      </c>
    </row>
    <row r="37" spans="1:21" ht="15" customHeight="1">
      <c r="A37" s="142">
        <v>27</v>
      </c>
      <c r="B37" s="86" t="s">
        <v>410</v>
      </c>
      <c r="C37" s="14" t="s">
        <v>280</v>
      </c>
      <c r="D37" s="142"/>
      <c r="E37" s="142"/>
      <c r="F37" s="27">
        <f>ROUND(IF(ISNA(VLOOKUP($B37,Historical!$A$5:$U$500,COLUMNS($F37:F37)+6,FALSE)),0,+(VLOOKUP($B37,Historical!$A$5:$U$500,COLUMNS($F37:F37)+6,FALSE)))/1000,3)</f>
        <v>154369.56</v>
      </c>
      <c r="G37" s="27">
        <f>ROUND(IF(ISNA(VLOOKUP($B37,Historical!$A$5:$U$500,COLUMNS($F37:G37)+6,FALSE)),0,+(VLOOKUP($B37,Historical!$A$5:$U$500,COLUMNS($F37:G37)+6,FALSE)))/1000,3)</f>
        <v>152956.011</v>
      </c>
      <c r="H37" s="27">
        <f>ROUND(IF(ISNA(VLOOKUP($B37,Historical!$A$5:$U$500,COLUMNS($F37:H37)+6,FALSE)),0,+(VLOOKUP($B37,Historical!$A$5:$U$500,COLUMNS($F37:H37)+6,FALSE)))/1000,3)</f>
        <v>153456.98499999999</v>
      </c>
      <c r="I37" s="27">
        <f>ROUND(IF(ISNA(VLOOKUP($B37,Historical!$A$5:$U$500,COLUMNS($F37:I37)+6,FALSE)),0,+(VLOOKUP($B37,Historical!$A$5:$U$500,COLUMNS($F37:I37)+6,FALSE)))/1000,3)</f>
        <v>156985.693</v>
      </c>
      <c r="J37" s="27">
        <f>ROUND(IF(ISNA(VLOOKUP($B37,Historical!$A$5:$U$500,COLUMNS($F37:J37)+6,FALSE)),0,+(VLOOKUP($B37,Historical!$A$5:$U$500,COLUMNS($F37:J37)+6,FALSE)))/1000,3)</f>
        <v>158293.89600000001</v>
      </c>
      <c r="K37" s="27">
        <f>ROUND(IF(ISNA(VLOOKUP($B37,Historical!$A$5:$U$500,COLUMNS($F37:K37)+6,FALSE)),0,+(VLOOKUP($B37,Historical!$A$5:$U$500,COLUMNS($F37:K37)+6,FALSE)))/1000,3)</f>
        <v>161834.09599999999</v>
      </c>
      <c r="L37" s="27">
        <f>ROUND(IF(ISNA(VLOOKUP($B37,Historical!$A$5:$U$500,COLUMNS($F37:L37)+6,FALSE)),0,+(VLOOKUP($B37,Historical!$A$5:$U$500,COLUMNS($F37:L37)+6,FALSE)))/1000,3)</f>
        <v>164625.81</v>
      </c>
      <c r="M37" s="27">
        <f>ROUND(IF(ISNA(VLOOKUP($B37,Historical!$A$5:$U$500,COLUMNS($F37:M37)+6,FALSE)),0,+(VLOOKUP($B37,Historical!$A$5:$U$500,COLUMNS($F37:M37)+6,FALSE)))/1000,3)</f>
        <v>172014.39</v>
      </c>
      <c r="N37" s="27">
        <f>ROUND(IF(ISNA(VLOOKUP($B37,Historical!$A$5:$U$500,COLUMNS($F37:N37)+6,FALSE)),0,+(VLOOKUP($B37,Historical!$A$5:$U$500,COLUMNS($F37:N37)+6,FALSE)))/1000,3)</f>
        <v>175278.72700000001</v>
      </c>
      <c r="O37" s="27">
        <f>ROUND(IF(ISNA(VLOOKUP($B37,Historical!$A$5:$U$500,COLUMNS($F37:O37)+6,FALSE)),0,+(VLOOKUP($B37,Historical!$A$5:$U$500,COLUMNS($F37:O37)+6,FALSE)))/1000,3)</f>
        <v>176473.69399999999</v>
      </c>
      <c r="P37" s="27">
        <f>ROUND(IF(ISNA(VLOOKUP($B37,Historical!$A$5:$U$500,COLUMNS($F37:P37)+6,FALSE)),0,+(VLOOKUP($B37,Historical!$A$5:$U$500,COLUMNS($F37:P37)+6,FALSE)))/1000,3)</f>
        <v>179008.55</v>
      </c>
      <c r="Q37" s="27">
        <f>ROUND(IF(ISNA(VLOOKUP($B37,Historical!$A$5:$U$500,COLUMNS($F37:Q37)+6,FALSE)),0,+(VLOOKUP($B37,Historical!$A$5:$U$500,COLUMNS($F37:Q37)+6,FALSE)))/1000,3)</f>
        <v>180661.611</v>
      </c>
      <c r="R37" s="27">
        <f>ROUND(IF(ISNA(VLOOKUP($B37,Historical!$A$5:$U$500,COLUMNS($F37:R37)+6,FALSE)),0,+(VLOOKUP($B37,Historical!$A$5:$U$500,COLUMNS($F37:R37)+6,FALSE)))/1000,3)</f>
        <v>180913.44899999999</v>
      </c>
      <c r="S37" s="150">
        <f t="shared" si="3"/>
        <v>166682.49784615386</v>
      </c>
      <c r="T37" s="144" t="s">
        <v>118</v>
      </c>
    </row>
    <row r="38" spans="1:21" ht="15" customHeight="1">
      <c r="A38" s="142">
        <v>28</v>
      </c>
      <c r="B38" s="35" t="s">
        <v>411</v>
      </c>
      <c r="C38" s="14" t="s">
        <v>281</v>
      </c>
      <c r="D38" s="142"/>
      <c r="E38" s="142"/>
      <c r="F38" s="27">
        <f>ROUND(IF(ISNA(VLOOKUP($B38,Historical!$A$5:$U$500,COLUMNS($F38:F38)+6,FALSE)),0,+(VLOOKUP($B38,Historical!$A$5:$U$500,COLUMNS($F38:F38)+6,FALSE)))/1000,3)</f>
        <v>0</v>
      </c>
      <c r="G38" s="27">
        <f>ROUND(IF(ISNA(VLOOKUP($B38,Historical!$A$5:$U$500,COLUMNS($F38:G38)+6,FALSE)),0,+(VLOOKUP($B38,Historical!$A$5:$U$500,COLUMNS($F38:G38)+6,FALSE)))/1000,3)</f>
        <v>0</v>
      </c>
      <c r="H38" s="27">
        <f>ROUND(IF(ISNA(VLOOKUP($B38,Historical!$A$5:$U$500,COLUMNS($F38:H38)+6,FALSE)),0,+(VLOOKUP($B38,Historical!$A$5:$U$500,COLUMNS($F38:H38)+6,FALSE)))/1000,3)</f>
        <v>0</v>
      </c>
      <c r="I38" s="27">
        <f>ROUND(IF(ISNA(VLOOKUP($B38,Historical!$A$5:$U$500,COLUMNS($F38:I38)+6,FALSE)),0,+(VLOOKUP($B38,Historical!$A$5:$U$500,COLUMNS($F38:I38)+6,FALSE)))/1000,3)</f>
        <v>0</v>
      </c>
      <c r="J38" s="27">
        <f>ROUND(IF(ISNA(VLOOKUP($B38,Historical!$A$5:$U$500,COLUMNS($F38:J38)+6,FALSE)),0,+(VLOOKUP($B38,Historical!$A$5:$U$500,COLUMNS($F38:J38)+6,FALSE)))/1000,3)</f>
        <v>0</v>
      </c>
      <c r="K38" s="27">
        <f>ROUND(IF(ISNA(VLOOKUP($B38,Historical!$A$5:$U$500,COLUMNS($F38:K38)+6,FALSE)),0,+(VLOOKUP($B38,Historical!$A$5:$U$500,COLUMNS($F38:K38)+6,FALSE)))/1000,3)</f>
        <v>0</v>
      </c>
      <c r="L38" s="27">
        <f>ROUND(IF(ISNA(VLOOKUP($B38,Historical!$A$5:$U$500,COLUMNS($F38:L38)+6,FALSE)),0,+(VLOOKUP($B38,Historical!$A$5:$U$500,COLUMNS($F38:L38)+6,FALSE)))/1000,3)</f>
        <v>0</v>
      </c>
      <c r="M38" s="27">
        <f>ROUND(IF(ISNA(VLOOKUP($B38,Historical!$A$5:$U$500,COLUMNS($F38:M38)+6,FALSE)),0,+(VLOOKUP($B38,Historical!$A$5:$U$500,COLUMNS($F38:M38)+6,FALSE)))/1000,3)</f>
        <v>0</v>
      </c>
      <c r="N38" s="27">
        <f>ROUND(IF(ISNA(VLOOKUP($B38,Historical!$A$5:$U$500,COLUMNS($F38:N38)+6,FALSE)),0,+(VLOOKUP($B38,Historical!$A$5:$U$500,COLUMNS($F38:N38)+6,FALSE)))/1000,3)</f>
        <v>0</v>
      </c>
      <c r="O38" s="27">
        <f>ROUND(IF(ISNA(VLOOKUP($B38,Historical!$A$5:$U$500,COLUMNS($F38:O38)+6,FALSE)),0,+(VLOOKUP($B38,Historical!$A$5:$U$500,COLUMNS($F38:O38)+6,FALSE)))/1000,3)</f>
        <v>0</v>
      </c>
      <c r="P38" s="27">
        <f>ROUND(IF(ISNA(VLOOKUP($B38,Historical!$A$5:$U$500,COLUMNS($F38:P38)+6,FALSE)),0,+(VLOOKUP($B38,Historical!$A$5:$U$500,COLUMNS($F38:P38)+6,FALSE)))/1000,3)</f>
        <v>0</v>
      </c>
      <c r="Q38" s="27">
        <f>ROUND(IF(ISNA(VLOOKUP($B38,Historical!$A$5:$U$500,COLUMNS($F38:Q38)+6,FALSE)),0,+(VLOOKUP($B38,Historical!$A$5:$U$500,COLUMNS($F38:Q38)+6,FALSE)))/1000,3)</f>
        <v>0</v>
      </c>
      <c r="R38" s="27">
        <f>ROUND(IF(ISNA(VLOOKUP($B38,Historical!$A$5:$U$500,COLUMNS($F38:R38)+6,FALSE)),0,+(VLOOKUP($B38,Historical!$A$5:$U$500,COLUMNS($F38:R38)+6,FALSE)))/1000,3)</f>
        <v>0</v>
      </c>
      <c r="S38" s="150">
        <f t="shared" si="3"/>
        <v>0</v>
      </c>
      <c r="T38" s="144" t="s">
        <v>118</v>
      </c>
    </row>
    <row r="39" spans="1:21" ht="15" customHeight="1">
      <c r="A39" s="142">
        <v>29</v>
      </c>
      <c r="B39" s="35" t="s">
        <v>412</v>
      </c>
      <c r="C39" s="14" t="s">
        <v>282</v>
      </c>
      <c r="D39" s="142"/>
      <c r="E39" s="142"/>
      <c r="F39" s="27">
        <f>ROUND(IF(ISNA(VLOOKUP($B39,Historical!$A$5:$U$500,COLUMNS($F39:F39)+6,FALSE)),0,+(VLOOKUP($B39,Historical!$A$5:$U$500,COLUMNS($F39:F39)+6,FALSE)))/1000,3)</f>
        <v>0</v>
      </c>
      <c r="G39" s="27">
        <f>ROUND(IF(ISNA(VLOOKUP($B39,Historical!$A$5:$U$500,COLUMNS($F39:G39)+6,FALSE)),0,+(VLOOKUP($B39,Historical!$A$5:$U$500,COLUMNS($F39:G39)+6,FALSE)))/1000,3)</f>
        <v>0</v>
      </c>
      <c r="H39" s="27">
        <f>ROUND(IF(ISNA(VLOOKUP($B39,Historical!$A$5:$U$500,COLUMNS($F39:H39)+6,FALSE)),0,+(VLOOKUP($B39,Historical!$A$5:$U$500,COLUMNS($F39:H39)+6,FALSE)))/1000,3)</f>
        <v>0</v>
      </c>
      <c r="I39" s="27">
        <f>ROUND(IF(ISNA(VLOOKUP($B39,Historical!$A$5:$U$500,COLUMNS($F39:I39)+6,FALSE)),0,+(VLOOKUP($B39,Historical!$A$5:$U$500,COLUMNS($F39:I39)+6,FALSE)))/1000,3)</f>
        <v>0</v>
      </c>
      <c r="J39" s="27">
        <f>ROUND(IF(ISNA(VLOOKUP($B39,Historical!$A$5:$U$500,COLUMNS($F39:J39)+6,FALSE)),0,+(VLOOKUP($B39,Historical!$A$5:$U$500,COLUMNS($F39:J39)+6,FALSE)))/1000,3)</f>
        <v>0</v>
      </c>
      <c r="K39" s="27">
        <f>ROUND(IF(ISNA(VLOOKUP($B39,Historical!$A$5:$U$500,COLUMNS($F39:K39)+6,FALSE)),0,+(VLOOKUP($B39,Historical!$A$5:$U$500,COLUMNS($F39:K39)+6,FALSE)))/1000,3)</f>
        <v>0</v>
      </c>
      <c r="L39" s="27">
        <f>ROUND(IF(ISNA(VLOOKUP($B39,Historical!$A$5:$U$500,COLUMNS($F39:L39)+6,FALSE)),0,+(VLOOKUP($B39,Historical!$A$5:$U$500,COLUMNS($F39:L39)+6,FALSE)))/1000,3)</f>
        <v>0</v>
      </c>
      <c r="M39" s="27">
        <f>ROUND(IF(ISNA(VLOOKUP($B39,Historical!$A$5:$U$500,COLUMNS($F39:M39)+6,FALSE)),0,+(VLOOKUP($B39,Historical!$A$5:$U$500,COLUMNS($F39:M39)+6,FALSE)))/1000,3)</f>
        <v>0</v>
      </c>
      <c r="N39" s="27">
        <f>ROUND(IF(ISNA(VLOOKUP($B39,Historical!$A$5:$U$500,COLUMNS($F39:N39)+6,FALSE)),0,+(VLOOKUP($B39,Historical!$A$5:$U$500,COLUMNS($F39:N39)+6,FALSE)))/1000,3)</f>
        <v>0</v>
      </c>
      <c r="O39" s="27">
        <f>ROUND(IF(ISNA(VLOOKUP($B39,Historical!$A$5:$U$500,COLUMNS($F39:O39)+6,FALSE)),0,+(VLOOKUP($B39,Historical!$A$5:$U$500,COLUMNS($F39:O39)+6,FALSE)))/1000,3)</f>
        <v>0</v>
      </c>
      <c r="P39" s="27">
        <f>ROUND(IF(ISNA(VLOOKUP($B39,Historical!$A$5:$U$500,COLUMNS($F39:P39)+6,FALSE)),0,+(VLOOKUP($B39,Historical!$A$5:$U$500,COLUMNS($F39:P39)+6,FALSE)))/1000,3)</f>
        <v>0</v>
      </c>
      <c r="Q39" s="27">
        <f>ROUND(IF(ISNA(VLOOKUP($B39,Historical!$A$5:$U$500,COLUMNS($F39:Q39)+6,FALSE)),0,+(VLOOKUP($B39,Historical!$A$5:$U$500,COLUMNS($F39:Q39)+6,FALSE)))/1000,3)</f>
        <v>0</v>
      </c>
      <c r="R39" s="27">
        <f>ROUND(IF(ISNA(VLOOKUP($B39,Historical!$A$5:$U$500,COLUMNS($F39:R39)+6,FALSE)),0,+(VLOOKUP($B39,Historical!$A$5:$U$500,COLUMNS($F39:R39)+6,FALSE)))/1000,3)</f>
        <v>0</v>
      </c>
      <c r="S39" s="150">
        <f t="shared" si="3"/>
        <v>0</v>
      </c>
      <c r="T39" s="144" t="s">
        <v>118</v>
      </c>
    </row>
    <row r="40" spans="1:21" ht="15" customHeight="1">
      <c r="A40" s="142">
        <v>30</v>
      </c>
      <c r="B40" s="35" t="s">
        <v>413</v>
      </c>
      <c r="C40" s="14" t="s">
        <v>283</v>
      </c>
      <c r="D40" s="142"/>
      <c r="E40" s="142"/>
      <c r="F40" s="152">
        <f>ROUND(VLOOKUP($B40,Historical!$A$5:$U$500,COLUMNS($F40:F40)+6,FALSE)/1000,3)</f>
        <v>26186.39</v>
      </c>
      <c r="G40" s="152">
        <f>ROUND(VLOOKUP($B40,Historical!$A$5:$U$500,COLUMNS($F40:G40)+6,FALSE)/1000,3)</f>
        <v>25894.952000000001</v>
      </c>
      <c r="H40" s="152">
        <f>ROUND(VLOOKUP($B40,Historical!$A$5:$U$500,COLUMNS($F40:H40)+6,FALSE)/1000,3)</f>
        <v>22054.124</v>
      </c>
      <c r="I40" s="152">
        <f>ROUND(VLOOKUP($B40,Historical!$A$5:$U$500,COLUMNS($F40:I40)+6,FALSE)/1000,3)</f>
        <v>22475.882000000001</v>
      </c>
      <c r="J40" s="152">
        <f>ROUND(VLOOKUP($B40,Historical!$A$5:$U$500,COLUMNS($F40:J40)+6,FALSE)/1000,3)</f>
        <v>19655.902999999998</v>
      </c>
      <c r="K40" s="152">
        <f>ROUND(VLOOKUP($B40,Historical!$A$5:$U$500,COLUMNS($F40:K40)+6,FALSE)/1000,3)</f>
        <v>18025.731</v>
      </c>
      <c r="L40" s="152">
        <f>ROUND(VLOOKUP($B40,Historical!$A$5:$U$500,COLUMNS($F40:L40)+6,FALSE)/1000,3)</f>
        <v>27734.706999999999</v>
      </c>
      <c r="M40" s="152">
        <f>ROUND(VLOOKUP($B40,Historical!$A$5:$U$500,COLUMNS($F40:M40)+6,FALSE)/1000,3)</f>
        <v>37724.925000000003</v>
      </c>
      <c r="N40" s="152">
        <f>ROUND(VLOOKUP($B40,Historical!$A$5:$U$500,COLUMNS($F40:N40)+6,FALSE)/1000,3)</f>
        <v>37841.758999999998</v>
      </c>
      <c r="O40" s="152">
        <f>ROUND(VLOOKUP($B40,Historical!$A$5:$U$500,COLUMNS($F40:O40)+6,FALSE)/1000,3)</f>
        <v>38185.730000000003</v>
      </c>
      <c r="P40" s="152">
        <f>ROUND(VLOOKUP($B40,Historical!$A$5:$U$500,COLUMNS($F40:P40)+6,FALSE)/1000,3)</f>
        <v>34277.962</v>
      </c>
      <c r="Q40" s="152">
        <f>ROUND(VLOOKUP($B40,Historical!$A$5:$U$500,COLUMNS($F40:Q40)+6,FALSE)/1000,3)</f>
        <v>31955.843000000001</v>
      </c>
      <c r="R40" s="152">
        <f>ROUND(VLOOKUP($B40,Historical!$A$5:$U$500,COLUMNS($F40:R40)+6,FALSE)/1000,3)</f>
        <v>32486.032999999999</v>
      </c>
      <c r="S40" s="150">
        <f t="shared" si="3"/>
        <v>28807.687769230768</v>
      </c>
      <c r="T40" s="144" t="s">
        <v>118</v>
      </c>
    </row>
    <row r="41" spans="1:21" ht="15" customHeight="1">
      <c r="A41" s="142">
        <v>31</v>
      </c>
      <c r="B41" s="35" t="s">
        <v>414</v>
      </c>
      <c r="C41" s="14" t="s">
        <v>284</v>
      </c>
      <c r="D41" s="142"/>
      <c r="E41" s="142"/>
      <c r="F41" s="27">
        <f>ROUND(IF(ISNA(VLOOKUP($B41,Historical!$A$5:$U$500,COLUMNS($F41:F41)+6,FALSE)),0,+(VLOOKUP($B41,Historical!$A$5:$U$500,COLUMNS($F41:F41)+6,FALSE)))/1000,3)</f>
        <v>0</v>
      </c>
      <c r="G41" s="27">
        <f>ROUND(IF(ISNA(VLOOKUP($B41,Historical!$A$5:$U$500,COLUMNS($F41:G41)+6,FALSE)),0,+(VLOOKUP($B41,Historical!$A$5:$U$500,COLUMNS($F41:G41)+6,FALSE)))/1000,3)</f>
        <v>0</v>
      </c>
      <c r="H41" s="27">
        <f>ROUND(IF(ISNA(VLOOKUP($B41,Historical!$A$5:$U$500,COLUMNS($F41:H41)+6,FALSE)),0,+(VLOOKUP($B41,Historical!$A$5:$U$500,COLUMNS($F41:H41)+6,FALSE)))/1000,3)</f>
        <v>0</v>
      </c>
      <c r="I41" s="27">
        <f>ROUND(IF(ISNA(VLOOKUP($B41,Historical!$A$5:$U$500,COLUMNS($F41:I41)+6,FALSE)),0,+(VLOOKUP($B41,Historical!$A$5:$U$500,COLUMNS($F41:I41)+6,FALSE)))/1000,3)</f>
        <v>0</v>
      </c>
      <c r="J41" s="27">
        <f>ROUND(IF(ISNA(VLOOKUP($B41,Historical!$A$5:$U$500,COLUMNS($F41:J41)+6,FALSE)),0,+(VLOOKUP($B41,Historical!$A$5:$U$500,COLUMNS($F41:J41)+6,FALSE)))/1000,3)</f>
        <v>0</v>
      </c>
      <c r="K41" s="27">
        <f>ROUND(IF(ISNA(VLOOKUP($B41,Historical!$A$5:$U$500,COLUMNS($F41:K41)+6,FALSE)),0,+(VLOOKUP($B41,Historical!$A$5:$U$500,COLUMNS($F41:K41)+6,FALSE)))/1000,3)</f>
        <v>0</v>
      </c>
      <c r="L41" s="27">
        <f>ROUND(IF(ISNA(VLOOKUP($B41,Historical!$A$5:$U$500,COLUMNS($F41:L41)+6,FALSE)),0,+(VLOOKUP($B41,Historical!$A$5:$U$500,COLUMNS($F41:L41)+6,FALSE)))/1000,3)</f>
        <v>0</v>
      </c>
      <c r="M41" s="27">
        <f>ROUND(IF(ISNA(VLOOKUP($B41,Historical!$A$5:$U$500,COLUMNS($F41:M41)+6,FALSE)),0,+(VLOOKUP($B41,Historical!$A$5:$U$500,COLUMNS($F41:M41)+6,FALSE)))/1000,3)</f>
        <v>0</v>
      </c>
      <c r="N41" s="27">
        <f>ROUND(IF(ISNA(VLOOKUP($B41,Historical!$A$5:$U$500,COLUMNS($F41:N41)+6,FALSE)),0,+(VLOOKUP($B41,Historical!$A$5:$U$500,COLUMNS($F41:N41)+6,FALSE)))/1000,3)</f>
        <v>0</v>
      </c>
      <c r="O41" s="27">
        <f>ROUND(IF(ISNA(VLOOKUP($B41,Historical!$A$5:$U$500,COLUMNS($F41:O41)+6,FALSE)),0,+(VLOOKUP($B41,Historical!$A$5:$U$500,COLUMNS($F41:O41)+6,FALSE)))/1000,3)</f>
        <v>0</v>
      </c>
      <c r="P41" s="27">
        <f>ROUND(IF(ISNA(VLOOKUP($B41,Historical!$A$5:$U$500,COLUMNS($F41:P41)+6,FALSE)),0,+(VLOOKUP($B41,Historical!$A$5:$U$500,COLUMNS($F41:P41)+6,FALSE)))/1000,3)</f>
        <v>0</v>
      </c>
      <c r="Q41" s="27">
        <f>ROUND(IF(ISNA(VLOOKUP($B41,Historical!$A$5:$U$500,COLUMNS($F41:Q41)+6,FALSE)),0,+(VLOOKUP($B41,Historical!$A$5:$U$500,COLUMNS($F41:Q41)+6,FALSE)))/1000,3)</f>
        <v>0</v>
      </c>
      <c r="R41" s="27">
        <f>ROUND(IF(ISNA(VLOOKUP($B41,Historical!$A$5:$U$500,COLUMNS($F41:R41)+6,FALSE)),0,+(VLOOKUP($B41,Historical!$A$5:$U$500,COLUMNS($F41:R41)+6,FALSE)))/1000,3)</f>
        <v>0</v>
      </c>
      <c r="S41" s="150">
        <f t="shared" si="3"/>
        <v>0</v>
      </c>
      <c r="T41" s="144" t="s">
        <v>118</v>
      </c>
    </row>
    <row r="42" spans="1:21" ht="15" customHeight="1">
      <c r="A42" s="142">
        <v>32</v>
      </c>
      <c r="B42" s="35" t="s">
        <v>415</v>
      </c>
      <c r="C42" s="14" t="s">
        <v>285</v>
      </c>
      <c r="D42" s="142"/>
      <c r="E42" s="142"/>
      <c r="F42" s="152">
        <f>ROUND(VLOOKUP($B42,Historical!$A$5:$U$500,COLUMNS($F42:F42)+6,FALSE)/1000,3)</f>
        <v>65330.194000000003</v>
      </c>
      <c r="G42" s="152">
        <f>ROUND(VLOOKUP($B42,Historical!$A$5:$U$500,COLUMNS($F42:G42)+6,FALSE)/1000,3)</f>
        <v>63073.366999999998</v>
      </c>
      <c r="H42" s="152">
        <f>ROUND(VLOOKUP($B42,Historical!$A$5:$U$500,COLUMNS($F42:H42)+6,FALSE)/1000,3)</f>
        <v>59623.658000000003</v>
      </c>
      <c r="I42" s="152">
        <f>ROUND(VLOOKUP($B42,Historical!$A$5:$U$500,COLUMNS($F42:I42)+6,FALSE)/1000,3)</f>
        <v>67807.839000000007</v>
      </c>
      <c r="J42" s="152">
        <f>ROUND(VLOOKUP($B42,Historical!$A$5:$U$500,COLUMNS($F42:J42)+6,FALSE)/1000,3)</f>
        <v>69482.951000000001</v>
      </c>
      <c r="K42" s="152">
        <f>ROUND(VLOOKUP($B42,Historical!$A$5:$U$500,COLUMNS($F42:K42)+6,FALSE)/1000,3)</f>
        <v>77079.065000000002</v>
      </c>
      <c r="L42" s="152">
        <f>ROUND(VLOOKUP($B42,Historical!$A$5:$U$500,COLUMNS($F42:L42)+6,FALSE)/1000,3)</f>
        <v>89177.745999999999</v>
      </c>
      <c r="M42" s="152">
        <f>ROUND(VLOOKUP($B42,Historical!$A$5:$U$500,COLUMNS($F42:M42)+6,FALSE)/1000,3)</f>
        <v>91221.471999999994</v>
      </c>
      <c r="N42" s="152">
        <f>ROUND(VLOOKUP($B42,Historical!$A$5:$U$500,COLUMNS($F42:N42)+6,FALSE)/1000,3)</f>
        <v>99380.372000000003</v>
      </c>
      <c r="O42" s="152">
        <f>ROUND(VLOOKUP($B42,Historical!$A$5:$U$500,COLUMNS($F42:O42)+6,FALSE)/1000,3)</f>
        <v>80927.259000000005</v>
      </c>
      <c r="P42" s="152">
        <f>ROUND(VLOOKUP($B42,Historical!$A$5:$U$500,COLUMNS($F42:P42)+6,FALSE)/1000,3)</f>
        <v>71770.770999999993</v>
      </c>
      <c r="Q42" s="152">
        <f>ROUND(VLOOKUP($B42,Historical!$A$5:$U$500,COLUMNS($F42:Q42)+6,FALSE)/1000,3)</f>
        <v>65877.638000000006</v>
      </c>
      <c r="R42" s="152">
        <f>ROUND(VLOOKUP($B42,Historical!$A$5:$U$500,COLUMNS($F42:R42)+6,FALSE)/1000,3)</f>
        <v>63361.324999999997</v>
      </c>
      <c r="S42" s="150">
        <f t="shared" si="3"/>
        <v>74162.588999999993</v>
      </c>
      <c r="T42" s="144" t="s">
        <v>118</v>
      </c>
    </row>
    <row r="43" spans="1:21" ht="15" customHeight="1">
      <c r="A43" s="142">
        <v>33</v>
      </c>
      <c r="B43" s="35" t="s">
        <v>416</v>
      </c>
      <c r="C43" s="14" t="s">
        <v>286</v>
      </c>
      <c r="D43" s="142"/>
      <c r="E43" s="142"/>
      <c r="F43" s="32">
        <f>ROUND(IF(ISNA(VLOOKUP($B43,Historical!$A$5:$U$500,COLUMNS($F43:F43)+6,FALSE)),0,+(VLOOKUP($B43,Historical!$A$5:$U$500,COLUMNS($F43:F43)+6,FALSE)))/1000,3)</f>
        <v>4525</v>
      </c>
      <c r="G43" s="32">
        <f>ROUND(IF(ISNA(VLOOKUP($B43,Historical!$A$5:$U$500,COLUMNS($F43:G43)+6,FALSE)),0,+(VLOOKUP($B43,Historical!$A$5:$U$500,COLUMNS($F43:G43)+6,FALSE)))/1000,3)</f>
        <v>4525</v>
      </c>
      <c r="H43" s="32">
        <f>ROUND(IF(ISNA(VLOOKUP($B43,Historical!$A$5:$U$500,COLUMNS($F43:H43)+6,FALSE)),0,+(VLOOKUP($B43,Historical!$A$5:$U$500,COLUMNS($F43:H43)+6,FALSE)))/1000,3)</f>
        <v>4525</v>
      </c>
      <c r="I43" s="32">
        <f>ROUND(IF(ISNA(VLOOKUP($B43,Historical!$A$5:$U$500,COLUMNS($F43:I43)+6,FALSE)),0,+(VLOOKUP($B43,Historical!$A$5:$U$500,COLUMNS($F43:I43)+6,FALSE)))/1000,3)</f>
        <v>0</v>
      </c>
      <c r="J43" s="32">
        <f>ROUND(IF(ISNA(VLOOKUP($B43,Historical!$A$5:$U$500,COLUMNS($F43:J43)+6,FALSE)),0,+(VLOOKUP($B43,Historical!$A$5:$U$500,COLUMNS($F43:J43)+6,FALSE)))/1000,3)</f>
        <v>0</v>
      </c>
      <c r="K43" s="32">
        <f>ROUND(IF(ISNA(VLOOKUP($B43,Historical!$A$5:$U$500,COLUMNS($F43:K43)+6,FALSE)),0,+(VLOOKUP($B43,Historical!$A$5:$U$500,COLUMNS($F43:K43)+6,FALSE)))/1000,3)</f>
        <v>24.007999999999999</v>
      </c>
      <c r="L43" s="32">
        <f>ROUND(IF(ISNA(VLOOKUP($B43,Historical!$A$5:$U$500,COLUMNS($F43:L43)+6,FALSE)),0,+(VLOOKUP($B43,Historical!$A$5:$U$500,COLUMNS($F43:L43)+6,FALSE)))/1000,3)</f>
        <v>321.85899999999998</v>
      </c>
      <c r="M43" s="32">
        <f>ROUND(IF(ISNA(VLOOKUP($B43,Historical!$A$5:$U$500,COLUMNS($F43:M43)+6,FALSE)),0,+(VLOOKUP($B43,Historical!$A$5:$U$500,COLUMNS($F43:M43)+6,FALSE)))/1000,3)</f>
        <v>527.5</v>
      </c>
      <c r="N43" s="32">
        <f>ROUND(IF(ISNA(VLOOKUP($B43,Historical!$A$5:$U$500,COLUMNS($F43:N43)+6,FALSE)),0,+(VLOOKUP($B43,Historical!$A$5:$U$500,COLUMNS($F43:N43)+6,FALSE)))/1000,3)</f>
        <v>499.15600000000001</v>
      </c>
      <c r="O43" s="32">
        <f>ROUND(IF(ISNA(VLOOKUP($B43,Historical!$A$5:$U$500,COLUMNS($F43:O43)+6,FALSE)),0,+(VLOOKUP($B43,Historical!$A$5:$U$500,COLUMNS($F43:O43)+6,FALSE)))/1000,3)</f>
        <v>775.24199999999996</v>
      </c>
      <c r="P43" s="32">
        <f>ROUND(IF(ISNA(VLOOKUP($B43,Historical!$A$5:$U$500,COLUMNS($F43:P43)+6,FALSE)),0,+(VLOOKUP($B43,Historical!$A$5:$U$500,COLUMNS($F43:P43)+6,FALSE)))/1000,3)</f>
        <v>780.77700000000004</v>
      </c>
      <c r="Q43" s="32">
        <f>ROUND(IF(ISNA(VLOOKUP($B43,Historical!$A$5:$U$500,COLUMNS($F43:Q43)+6,FALSE)),0,+(VLOOKUP($B43,Historical!$A$5:$U$500,COLUMNS($F43:Q43)+6,FALSE)))/1000,3)</f>
        <v>906.63199999999995</v>
      </c>
      <c r="R43" s="32">
        <f>ROUND(IF(ISNA(VLOOKUP($B43,Historical!$A$5:$U$500,COLUMNS($F43:R43)+6,FALSE)),0,+(VLOOKUP($B43,Historical!$A$5:$U$500,COLUMNS($F43:R43)+6,FALSE)))/1000,3)</f>
        <v>665.07899999999995</v>
      </c>
      <c r="S43" s="155">
        <f t="shared" si="3"/>
        <v>1390.4040769230774</v>
      </c>
      <c r="T43" s="144" t="s">
        <v>118</v>
      </c>
      <c r="U43" s="92"/>
    </row>
    <row r="44" spans="1:21" ht="15" customHeight="1">
      <c r="A44" s="142">
        <v>34</v>
      </c>
      <c r="B44" s="35"/>
      <c r="C44" s="14"/>
      <c r="D44" s="142" t="s">
        <v>396</v>
      </c>
      <c r="E44" s="142"/>
      <c r="F44" s="27">
        <f t="shared" ref="F44:S44" si="4">SUM(F25:F43)</f>
        <v>486520.696</v>
      </c>
      <c r="G44" s="27">
        <f t="shared" si="4"/>
        <v>1263347.7920000001</v>
      </c>
      <c r="H44" s="27">
        <f t="shared" si="4"/>
        <v>1259203.8040000002</v>
      </c>
      <c r="I44" s="27">
        <f t="shared" si="4"/>
        <v>1274122.2589999998</v>
      </c>
      <c r="J44" s="27">
        <f t="shared" si="4"/>
        <v>1342439.9339999999</v>
      </c>
      <c r="K44" s="27">
        <f t="shared" si="4"/>
        <v>1375720.8869999996</v>
      </c>
      <c r="L44" s="27">
        <f t="shared" si="4"/>
        <v>1425050.9029999999</v>
      </c>
      <c r="M44" s="27">
        <f t="shared" si="4"/>
        <v>1518686.328</v>
      </c>
      <c r="N44" s="27">
        <f t="shared" si="4"/>
        <v>1526908.784</v>
      </c>
      <c r="O44" s="27">
        <f t="shared" si="4"/>
        <v>1550819.48</v>
      </c>
      <c r="P44" s="27">
        <f t="shared" si="4"/>
        <v>1550069.63</v>
      </c>
      <c r="Q44" s="27">
        <f t="shared" si="4"/>
        <v>1495140.311</v>
      </c>
      <c r="R44" s="27">
        <f t="shared" si="4"/>
        <v>556589.48700000008</v>
      </c>
      <c r="S44" s="27">
        <f t="shared" si="4"/>
        <v>1278816.9457692306</v>
      </c>
      <c r="T44" s="27"/>
      <c r="U44" s="92"/>
    </row>
    <row r="45" spans="1:21" ht="15" customHeight="1">
      <c r="A45" s="142">
        <v>35</v>
      </c>
      <c r="B45" s="35"/>
      <c r="C45" s="14"/>
      <c r="D45" s="142"/>
      <c r="E45" s="142"/>
      <c r="F45" s="27"/>
      <c r="G45" s="27"/>
      <c r="H45" s="27"/>
      <c r="I45" s="27"/>
      <c r="J45" s="27"/>
      <c r="K45" s="27"/>
      <c r="L45" s="27"/>
      <c r="M45" s="27"/>
      <c r="N45" s="27"/>
      <c r="O45" s="27"/>
      <c r="P45" s="27"/>
      <c r="Q45" s="27"/>
      <c r="R45" s="27"/>
      <c r="S45" s="27"/>
      <c r="T45" s="27"/>
      <c r="U45" s="92"/>
    </row>
    <row r="46" spans="1:21" ht="15" customHeight="1">
      <c r="A46" s="142">
        <v>36</v>
      </c>
      <c r="B46" s="142"/>
      <c r="C46" s="142"/>
      <c r="D46" s="142"/>
      <c r="E46" s="142"/>
      <c r="F46" s="142"/>
      <c r="G46" s="142"/>
      <c r="H46" s="142"/>
      <c r="I46" s="142"/>
      <c r="J46" s="142"/>
      <c r="K46" s="142"/>
      <c r="L46" s="142"/>
      <c r="M46" s="142"/>
      <c r="N46" s="142"/>
      <c r="O46" s="142"/>
      <c r="P46" s="142"/>
      <c r="Q46" s="142"/>
      <c r="R46" s="142"/>
      <c r="S46" s="142"/>
      <c r="T46" s="142"/>
    </row>
    <row r="47" spans="1:21" ht="15" customHeight="1">
      <c r="A47" s="142">
        <v>37</v>
      </c>
      <c r="B47" s="142"/>
      <c r="C47" s="142"/>
      <c r="D47" s="142"/>
      <c r="E47" s="142"/>
      <c r="F47" s="142"/>
      <c r="G47" s="142"/>
      <c r="H47" s="142"/>
      <c r="I47" s="142"/>
      <c r="J47" s="142"/>
      <c r="K47" s="142"/>
      <c r="L47" s="142"/>
      <c r="M47" s="142"/>
      <c r="N47" s="142"/>
      <c r="O47" s="142"/>
      <c r="P47" s="142"/>
      <c r="Q47" s="142"/>
      <c r="R47" s="142"/>
      <c r="S47" s="142"/>
      <c r="T47" s="142"/>
    </row>
    <row r="48" spans="1:21" ht="15" customHeight="1">
      <c r="A48" s="142">
        <v>38</v>
      </c>
      <c r="B48" s="142"/>
      <c r="C48" s="142"/>
      <c r="D48" s="142"/>
      <c r="E48" s="142"/>
      <c r="F48" s="142"/>
      <c r="G48" s="142"/>
      <c r="H48" s="142"/>
      <c r="I48" s="142"/>
      <c r="J48" s="142"/>
      <c r="K48" s="142"/>
      <c r="L48" s="142"/>
      <c r="M48" s="142"/>
      <c r="N48" s="142"/>
      <c r="O48" s="142"/>
      <c r="P48" s="142"/>
      <c r="Q48" s="142"/>
      <c r="R48" s="142"/>
      <c r="S48" s="142"/>
      <c r="T48" s="142"/>
    </row>
    <row r="49" spans="1:20" ht="15" customHeight="1">
      <c r="A49" s="142">
        <v>39</v>
      </c>
      <c r="B49" s="142"/>
      <c r="C49" s="142"/>
      <c r="D49" s="142"/>
      <c r="E49" s="142"/>
      <c r="F49" s="142"/>
      <c r="G49" s="142"/>
      <c r="H49" s="142"/>
      <c r="I49" s="142"/>
      <c r="J49" s="142"/>
      <c r="K49" s="142"/>
      <c r="L49" s="142"/>
      <c r="M49" s="142"/>
      <c r="N49" s="142"/>
      <c r="O49" s="142"/>
      <c r="P49" s="142"/>
      <c r="Q49" s="142"/>
      <c r="R49" s="142"/>
      <c r="S49" s="142"/>
      <c r="T49" s="142"/>
    </row>
    <row r="50" spans="1:20" ht="15" customHeight="1">
      <c r="A50" s="142">
        <v>40</v>
      </c>
      <c r="B50" s="142"/>
      <c r="C50" s="142"/>
      <c r="D50" s="142"/>
      <c r="E50" s="142"/>
      <c r="F50" s="142"/>
      <c r="G50" s="142"/>
      <c r="H50" s="142"/>
      <c r="I50" s="142"/>
      <c r="J50" s="142"/>
      <c r="K50" s="142"/>
      <c r="L50" s="142"/>
      <c r="M50" s="142"/>
      <c r="N50" s="142"/>
      <c r="O50" s="142"/>
      <c r="P50" s="142"/>
      <c r="Q50" s="142"/>
      <c r="R50" s="142"/>
      <c r="S50" s="156"/>
      <c r="T50" s="142"/>
    </row>
    <row r="51" spans="1:20" ht="15" customHeight="1">
      <c r="A51" s="142">
        <v>41</v>
      </c>
      <c r="B51" s="142"/>
      <c r="C51" s="142"/>
      <c r="D51" s="142"/>
      <c r="E51" s="142"/>
      <c r="F51" s="142"/>
      <c r="G51" s="142"/>
      <c r="H51" s="142"/>
      <c r="I51" s="142"/>
      <c r="J51" s="142"/>
      <c r="K51" s="142"/>
      <c r="L51" s="142"/>
      <c r="M51" s="142"/>
      <c r="N51" s="142"/>
      <c r="O51" s="142"/>
      <c r="P51" s="142"/>
      <c r="Q51" s="142"/>
      <c r="R51" s="142"/>
      <c r="S51" s="142"/>
      <c r="T51" s="142"/>
    </row>
    <row r="52" spans="1:20" ht="15" customHeight="1">
      <c r="A52" s="4">
        <v>42</v>
      </c>
      <c r="B52" s="142" t="s">
        <v>417</v>
      </c>
      <c r="C52" s="4"/>
      <c r="D52" s="4"/>
      <c r="E52" s="4"/>
      <c r="F52" s="37"/>
      <c r="G52" s="37"/>
      <c r="H52" s="37"/>
      <c r="I52" s="37"/>
      <c r="J52" s="37"/>
      <c r="K52" s="37"/>
      <c r="L52" s="37"/>
      <c r="M52" s="37"/>
      <c r="N52" s="37"/>
      <c r="O52" s="37"/>
      <c r="P52" s="37"/>
      <c r="Q52" s="37"/>
    </row>
    <row r="53" spans="1:20" ht="15" customHeight="1" thickBot="1">
      <c r="A53" s="1">
        <v>43</v>
      </c>
      <c r="B53" s="145" t="s">
        <v>67</v>
      </c>
      <c r="C53" s="1"/>
      <c r="D53" s="1"/>
      <c r="E53" s="1"/>
      <c r="F53" s="1"/>
      <c r="G53" s="1"/>
      <c r="H53" s="1"/>
      <c r="I53" s="1"/>
      <c r="J53" s="1"/>
      <c r="K53" s="1"/>
      <c r="L53" s="1"/>
      <c r="M53" s="1"/>
      <c r="N53" s="1"/>
      <c r="O53" s="1"/>
      <c r="P53" s="1"/>
      <c r="Q53" s="1"/>
      <c r="R53" s="1"/>
      <c r="S53" s="1"/>
      <c r="T53" s="100"/>
    </row>
    <row r="54" spans="1:20" ht="15" customHeight="1">
      <c r="A54" s="5" t="s">
        <v>180</v>
      </c>
      <c r="B54" s="5"/>
      <c r="C54" s="5"/>
      <c r="D54" s="5"/>
      <c r="E54" s="5"/>
      <c r="F54" s="5"/>
      <c r="G54" s="5"/>
      <c r="H54" s="5"/>
      <c r="I54" s="5"/>
      <c r="J54" s="5"/>
      <c r="K54" s="5"/>
      <c r="L54" s="5"/>
      <c r="M54" s="5"/>
      <c r="N54" s="5"/>
      <c r="O54" s="5"/>
      <c r="P54" s="5"/>
      <c r="Q54" s="5"/>
      <c r="R54" s="5" t="s">
        <v>181</v>
      </c>
      <c r="S54" s="5"/>
      <c r="T54" s="5"/>
    </row>
    <row r="55" spans="1:20" ht="15" customHeight="1" thickBot="1">
      <c r="A55" s="1" t="str">
        <f>+$A$1</f>
        <v>SCHEDULE B-3</v>
      </c>
      <c r="B55" s="1"/>
      <c r="C55" s="1"/>
      <c r="D55" s="1"/>
      <c r="E55" s="1"/>
      <c r="F55" s="1"/>
      <c r="G55" s="1"/>
      <c r="H55" s="1"/>
      <c r="I55" s="1" t="str">
        <f>+$I$1</f>
        <v>13 MONTH AVERAGE BALANCE SHEET - SYSTEM BASIS</v>
      </c>
      <c r="J55" s="1"/>
      <c r="K55" s="1"/>
      <c r="L55" s="1"/>
      <c r="M55" s="1"/>
      <c r="N55" s="1"/>
      <c r="O55" s="1"/>
      <c r="P55" s="1"/>
      <c r="Q55" s="1"/>
      <c r="R55" s="1"/>
      <c r="S55" s="1"/>
      <c r="T55" s="3" t="s">
        <v>418</v>
      </c>
    </row>
    <row r="56" spans="1:20" ht="15" customHeight="1">
      <c r="A56" s="4" t="s">
        <v>4</v>
      </c>
      <c r="B56" s="4"/>
      <c r="C56" s="4"/>
      <c r="D56" s="4"/>
      <c r="E56" s="4"/>
      <c r="F56" s="4" t="s">
        <v>343</v>
      </c>
      <c r="G56" s="4" t="str">
        <f>+$G$2</f>
        <v>Derive the 13-month average system balance sheet by primary account by month for the test year, the prior year</v>
      </c>
      <c r="H56" s="5"/>
      <c r="I56" s="5"/>
      <c r="J56" s="6"/>
      <c r="K56" s="6"/>
      <c r="L56" s="4"/>
      <c r="M56" s="6"/>
      <c r="N56" s="6"/>
      <c r="O56" s="6"/>
      <c r="P56" s="6"/>
      <c r="Q56" s="6" t="s">
        <v>7</v>
      </c>
      <c r="R56" s="4"/>
      <c r="S56" s="4"/>
      <c r="T56" s="7"/>
    </row>
    <row r="57" spans="1:20" ht="15" customHeight="1">
      <c r="A57" s="4"/>
      <c r="B57" s="4"/>
      <c r="C57" s="4"/>
      <c r="D57" s="4"/>
      <c r="E57" s="4"/>
      <c r="F57" s="4"/>
      <c r="G57" s="4" t="str">
        <f>+$G$3</f>
        <v>and the most recent historical year.  For accounts including non-electric utility amounts, show these</v>
      </c>
      <c r="H57" s="5"/>
      <c r="I57" s="5"/>
      <c r="J57" s="9"/>
      <c r="K57" s="7"/>
      <c r="L57" s="4"/>
      <c r="M57" s="4"/>
      <c r="N57" s="4"/>
      <c r="O57" s="4"/>
      <c r="P57" s="9"/>
      <c r="Q57" s="9"/>
      <c r="R57" s="7" t="str">
        <f>+$R$3</f>
        <v>Projected Test Year Ended 12/31/2025</v>
      </c>
      <c r="S57" s="4"/>
      <c r="T57" s="9"/>
    </row>
    <row r="58" spans="1:20" ht="15" customHeight="1">
      <c r="A58" s="4" t="s">
        <v>10</v>
      </c>
      <c r="B58" s="4"/>
      <c r="C58" s="4"/>
      <c r="D58" s="4"/>
      <c r="E58" s="4"/>
      <c r="F58" s="4"/>
      <c r="G58" s="4" t="str">
        <f>+$G$4</f>
        <v>amounts as a separate sub-account.</v>
      </c>
      <c r="H58" s="4"/>
      <c r="I58" s="4"/>
      <c r="J58" s="9"/>
      <c r="K58" s="7"/>
      <c r="L58" s="9"/>
      <c r="M58" s="4"/>
      <c r="N58" s="4"/>
      <c r="O58" s="4"/>
      <c r="P58" s="4"/>
      <c r="Q58" s="9"/>
      <c r="R58" s="7" t="str">
        <f>+$R$4</f>
        <v>Projected Prior Year Ended 12/31/2024</v>
      </c>
      <c r="S58" s="4"/>
      <c r="T58" s="9"/>
    </row>
    <row r="59" spans="1:20" ht="15" customHeight="1">
      <c r="A59" s="4"/>
      <c r="B59" s="4"/>
      <c r="C59" s="4"/>
      <c r="D59" s="4"/>
      <c r="E59" s="4"/>
      <c r="F59" s="4"/>
      <c r="G59" s="4"/>
      <c r="H59" s="4"/>
      <c r="I59" s="4"/>
      <c r="J59" s="9"/>
      <c r="K59" s="7"/>
      <c r="L59" s="9"/>
      <c r="M59" s="4"/>
      <c r="N59" s="4"/>
      <c r="O59" s="4"/>
      <c r="P59" s="4"/>
      <c r="Q59" s="9" t="s">
        <v>12</v>
      </c>
      <c r="R59" s="7" t="str">
        <f>+$R$5</f>
        <v>Historical Prior Year Ended 12/31/2023</v>
      </c>
      <c r="S59" s="4"/>
      <c r="T59" s="9"/>
    </row>
    <row r="60" spans="1:20" ht="15" customHeight="1" thickBot="1">
      <c r="A60" s="2" t="str">
        <f>A6</f>
        <v>Docket No.</v>
      </c>
      <c r="B60" s="2"/>
      <c r="C60" s="1"/>
      <c r="D60" s="1"/>
      <c r="E60" s="1"/>
      <c r="F60" s="1"/>
      <c r="G60" s="1"/>
      <c r="H60" s="1"/>
      <c r="I60" s="2" t="s">
        <v>15</v>
      </c>
      <c r="J60" s="10"/>
      <c r="K60" s="1"/>
      <c r="L60" s="1"/>
      <c r="M60" s="1"/>
      <c r="N60" s="1"/>
      <c r="O60" s="1"/>
      <c r="P60" s="1"/>
      <c r="Q60" s="1"/>
      <c r="R60" s="2" t="str">
        <f>R6</f>
        <v>Witness:</v>
      </c>
      <c r="S60" s="1"/>
      <c r="T60" s="1"/>
    </row>
    <row r="61" spans="1:20" ht="15" customHeight="1">
      <c r="A61" s="142"/>
      <c r="B61" s="142"/>
      <c r="C61" s="143"/>
      <c r="D61" s="143"/>
      <c r="E61" s="143"/>
      <c r="F61" s="143" t="s">
        <v>17</v>
      </c>
      <c r="G61" s="143" t="s">
        <v>18</v>
      </c>
      <c r="H61" s="143" t="s">
        <v>19</v>
      </c>
      <c r="I61" s="143" t="s">
        <v>20</v>
      </c>
      <c r="J61" s="143" t="s">
        <v>21</v>
      </c>
      <c r="K61" s="143" t="s">
        <v>22</v>
      </c>
      <c r="L61" s="143" t="s">
        <v>23</v>
      </c>
      <c r="M61" s="143" t="s">
        <v>24</v>
      </c>
      <c r="N61" s="143" t="s">
        <v>25</v>
      </c>
      <c r="O61" s="143" t="s">
        <v>26</v>
      </c>
      <c r="P61" s="143" t="s">
        <v>348</v>
      </c>
      <c r="Q61" s="143" t="s">
        <v>349</v>
      </c>
      <c r="R61" s="143" t="s">
        <v>350</v>
      </c>
      <c r="S61" s="143" t="s">
        <v>351</v>
      </c>
      <c r="T61" s="143" t="s">
        <v>352</v>
      </c>
    </row>
    <row r="62" spans="1:20" ht="15" customHeight="1">
      <c r="A62" s="142"/>
      <c r="B62" s="142"/>
      <c r="C62" s="142"/>
      <c r="D62" s="142"/>
      <c r="E62" s="142"/>
      <c r="F62" s="144"/>
      <c r="G62" s="144"/>
      <c r="H62" s="144"/>
      <c r="I62" s="144"/>
      <c r="J62" s="144"/>
      <c r="K62" s="144"/>
      <c r="L62" s="144"/>
      <c r="M62" s="144"/>
      <c r="N62" s="144"/>
      <c r="O62" s="144"/>
      <c r="P62" s="144"/>
      <c r="Q62" s="144"/>
      <c r="R62" s="144"/>
      <c r="S62" s="144" t="s">
        <v>353</v>
      </c>
      <c r="T62" s="144" t="s">
        <v>354</v>
      </c>
    </row>
    <row r="63" spans="1:20" ht="15" customHeight="1">
      <c r="A63" s="142" t="s">
        <v>35</v>
      </c>
      <c r="B63" s="144" t="s">
        <v>355</v>
      </c>
      <c r="C63" s="144" t="s">
        <v>356</v>
      </c>
      <c r="D63" s="144"/>
      <c r="E63" s="144"/>
      <c r="F63" s="144" t="s">
        <v>357</v>
      </c>
      <c r="G63" s="144" t="s">
        <v>358</v>
      </c>
      <c r="H63" s="144" t="s">
        <v>359</v>
      </c>
      <c r="I63" s="144" t="s">
        <v>360</v>
      </c>
      <c r="J63" s="144" t="s">
        <v>361</v>
      </c>
      <c r="K63" s="144" t="s">
        <v>362</v>
      </c>
      <c r="L63" s="144" t="s">
        <v>363</v>
      </c>
      <c r="M63" s="144" t="s">
        <v>364</v>
      </c>
      <c r="N63" s="144" t="s">
        <v>365</v>
      </c>
      <c r="O63" s="144" t="s">
        <v>366</v>
      </c>
      <c r="P63" s="144" t="s">
        <v>367</v>
      </c>
      <c r="Q63" s="144" t="s">
        <v>368</v>
      </c>
      <c r="R63" s="144" t="s">
        <v>357</v>
      </c>
      <c r="S63" s="144" t="s">
        <v>369</v>
      </c>
      <c r="T63" s="144" t="s">
        <v>370</v>
      </c>
    </row>
    <row r="64" spans="1:20" ht="15" customHeight="1" thickBot="1">
      <c r="A64" s="145" t="s">
        <v>46</v>
      </c>
      <c r="B64" s="146" t="s">
        <v>371</v>
      </c>
      <c r="C64" s="146" t="s">
        <v>372</v>
      </c>
      <c r="D64" s="146"/>
      <c r="E64" s="146"/>
      <c r="F64" s="147">
        <f>F$10</f>
        <v>2022</v>
      </c>
      <c r="G64" s="147">
        <f t="shared" ref="G64:S64" si="5">G$10</f>
        <v>2023</v>
      </c>
      <c r="H64" s="147">
        <f t="shared" si="5"/>
        <v>2023</v>
      </c>
      <c r="I64" s="147">
        <f t="shared" si="5"/>
        <v>2023</v>
      </c>
      <c r="J64" s="147">
        <f t="shared" si="5"/>
        <v>2023</v>
      </c>
      <c r="K64" s="147">
        <f t="shared" si="5"/>
        <v>2023</v>
      </c>
      <c r="L64" s="147">
        <f t="shared" si="5"/>
        <v>2023</v>
      </c>
      <c r="M64" s="147">
        <f t="shared" si="5"/>
        <v>2023</v>
      </c>
      <c r="N64" s="147">
        <f t="shared" si="5"/>
        <v>2023</v>
      </c>
      <c r="O64" s="147">
        <f t="shared" si="5"/>
        <v>2023</v>
      </c>
      <c r="P64" s="147">
        <f t="shared" si="5"/>
        <v>2023</v>
      </c>
      <c r="Q64" s="147">
        <f t="shared" si="5"/>
        <v>2023</v>
      </c>
      <c r="R64" s="147">
        <f t="shared" si="5"/>
        <v>2023</v>
      </c>
      <c r="S64" s="147">
        <f t="shared" si="5"/>
        <v>2023</v>
      </c>
      <c r="T64" s="146" t="s">
        <v>373</v>
      </c>
    </row>
    <row r="65" spans="1:21" ht="15" customHeight="1">
      <c r="A65" s="142">
        <v>1</v>
      </c>
      <c r="B65" s="86"/>
      <c r="C65" s="14" t="s">
        <v>292</v>
      </c>
      <c r="D65" s="14"/>
      <c r="E65" s="14"/>
      <c r="F65" s="14"/>
      <c r="G65" s="14"/>
      <c r="H65" s="14"/>
      <c r="I65" s="14"/>
      <c r="J65" s="14"/>
      <c r="K65" s="14"/>
      <c r="L65" s="14"/>
      <c r="M65" s="14"/>
      <c r="N65" s="14"/>
      <c r="O65" s="14"/>
      <c r="P65" s="14"/>
      <c r="Q65" s="14"/>
      <c r="R65" s="14"/>
      <c r="S65" s="14"/>
      <c r="T65" s="142"/>
    </row>
    <row r="66" spans="1:21" ht="15" customHeight="1">
      <c r="A66" s="142">
        <v>2</v>
      </c>
      <c r="B66" s="35" t="s">
        <v>419</v>
      </c>
      <c r="C66" s="14" t="s">
        <v>420</v>
      </c>
      <c r="D66" s="142"/>
      <c r="E66" s="142"/>
      <c r="F66" s="152">
        <f>ROUND(VLOOKUP($B66,Historical!$A$5:$U$500,COLUMNS($F66:F66)+6,FALSE)/1000,3)</f>
        <v>25769.001</v>
      </c>
      <c r="G66" s="152">
        <f>ROUND(VLOOKUP($B66,Historical!$A$5:$U$500,COLUMNS($F66:G66)+6,FALSE)/1000,3)</f>
        <v>30450.811000000002</v>
      </c>
      <c r="H66" s="152">
        <f>ROUND(VLOOKUP($B66,Historical!$A$5:$U$500,COLUMNS($F66:H66)+6,FALSE)/1000,3)</f>
        <v>30249.043000000001</v>
      </c>
      <c r="I66" s="152">
        <f>ROUND(VLOOKUP($B66,Historical!$A$5:$U$500,COLUMNS($F66:I66)+6,FALSE)/1000,3)</f>
        <v>30130.264999999999</v>
      </c>
      <c r="J66" s="152">
        <f>ROUND(VLOOKUP($B66,Historical!$A$5:$U$500,COLUMNS($F66:J66)+6,FALSE)/1000,3)</f>
        <v>29922.352999999999</v>
      </c>
      <c r="K66" s="152">
        <f>ROUND(VLOOKUP($B66,Historical!$A$5:$U$500,COLUMNS($F66:K66)+6,FALSE)/1000,3)</f>
        <v>29718.626</v>
      </c>
      <c r="L66" s="152">
        <f>ROUND(VLOOKUP($B66,Historical!$A$5:$U$500,COLUMNS($F66:L66)+6,FALSE)/1000,3)</f>
        <v>29508.537</v>
      </c>
      <c r="M66" s="152">
        <f>ROUND(VLOOKUP($B66,Historical!$A$5:$U$500,COLUMNS($F66:M66)+6,FALSE)/1000,3)</f>
        <v>29298.448</v>
      </c>
      <c r="N66" s="152">
        <f>ROUND(VLOOKUP($B66,Historical!$A$5:$U$500,COLUMNS($F66:N66)+6,FALSE)/1000,3)</f>
        <v>29088.358</v>
      </c>
      <c r="O66" s="152">
        <f>ROUND(VLOOKUP($B66,Historical!$A$5:$U$500,COLUMNS($F66:O66)+6,FALSE)/1000,3)</f>
        <v>28878.269</v>
      </c>
      <c r="P66" s="152">
        <f>ROUND(VLOOKUP($B66,Historical!$A$5:$U$500,COLUMNS($F66:P66)+6,FALSE)/1000,3)</f>
        <v>28668.18</v>
      </c>
      <c r="Q66" s="152">
        <f>ROUND(VLOOKUP($B66,Historical!$A$5:$U$500,COLUMNS($F66:Q66)+6,FALSE)/1000,3)</f>
        <v>28458.09</v>
      </c>
      <c r="R66" s="152">
        <f>ROUND(VLOOKUP($B66,Historical!$A$5:$U$500,COLUMNS($F66:R66)+6,FALSE)/1000,3)</f>
        <v>28262.912</v>
      </c>
      <c r="S66" s="150">
        <f t="shared" ref="S66:S73" si="6">(SUM(F66:R66)/13)</f>
        <v>29107.91484615385</v>
      </c>
      <c r="T66" s="144" t="s">
        <v>421</v>
      </c>
    </row>
    <row r="67" spans="1:21" ht="15" customHeight="1">
      <c r="A67" s="142">
        <v>3</v>
      </c>
      <c r="B67" s="35" t="s">
        <v>422</v>
      </c>
      <c r="C67" s="14" t="s">
        <v>289</v>
      </c>
      <c r="D67" s="142"/>
      <c r="E67" s="142"/>
      <c r="F67" s="149">
        <f>(SUMIF(Historical!$A:$A,$B67,Historical!G:G))/1000-F68</f>
        <v>1367077.9840500003</v>
      </c>
      <c r="G67" s="149">
        <f>(SUMIF(Historical!$A:$A,$B67,Historical!H:H))/1000-G68</f>
        <v>1352878.6633200001</v>
      </c>
      <c r="H67" s="149">
        <f>(SUMIF(Historical!$A:$A,$B67,Historical!I:I))/1000-H68</f>
        <v>1330717.79057</v>
      </c>
      <c r="I67" s="149">
        <f>(SUMIF(Historical!$A:$A,$B67,Historical!J:J))/1000-I68</f>
        <v>1302021.6939699999</v>
      </c>
      <c r="J67" s="149">
        <f>(SUMIF(Historical!$A:$A,$B67,Historical!K:K))/1000-J68</f>
        <v>1257199.0635899997</v>
      </c>
      <c r="K67" s="149">
        <f>(SUMIF(Historical!$A:$A,$B67,Historical!L:L))/1000-K68</f>
        <v>1210951.2002900001</v>
      </c>
      <c r="L67" s="149">
        <f>(SUMIF(Historical!$A:$A,$B67,Historical!M:M))/1000-L68</f>
        <v>1152461.7655099998</v>
      </c>
      <c r="M67" s="149">
        <f>(SUMIF(Historical!$A:$A,$B67,Historical!N:N))/1000-M68</f>
        <v>1091242.1082900001</v>
      </c>
      <c r="N67" s="149">
        <f>(SUMIF(Historical!$A:$A,$B67,Historical!O:O))/1000-N68</f>
        <v>1069570.2864600001</v>
      </c>
      <c r="O67" s="149">
        <f>(SUMIF(Historical!$A:$A,$B67,Historical!P:P))/1000-O68</f>
        <v>1003069.3533899998</v>
      </c>
      <c r="P67" s="149">
        <f>(SUMIF(Historical!$A:$A,$B67,Historical!Q:Q))/1000-P68</f>
        <v>951130.65018</v>
      </c>
      <c r="Q67" s="149">
        <f>(SUMIF(Historical!$A:$A,$B67,Historical!R:R))/1000-Q68</f>
        <v>912063.61951999995</v>
      </c>
      <c r="R67" s="149">
        <f>(SUMIF(Historical!$A:$A,$B67,Historical!S:S))/1000-R68</f>
        <v>873708.43613000005</v>
      </c>
      <c r="S67" s="150">
        <f t="shared" ref="S67:S68" si="7">AVERAGE(F67:R67)</f>
        <v>1144160.9704053847</v>
      </c>
      <c r="T67" s="144" t="s">
        <v>423</v>
      </c>
    </row>
    <row r="68" spans="1:21" ht="15" customHeight="1">
      <c r="A68" s="142">
        <v>4</v>
      </c>
      <c r="B68" s="151" t="s">
        <v>422</v>
      </c>
      <c r="C68" s="14" t="s">
        <v>424</v>
      </c>
      <c r="D68" s="142"/>
      <c r="E68" s="142"/>
      <c r="F68" s="27">
        <f>(SUMIF(Historical!$C:$C,"1823610",Historical!G:G))/1000</f>
        <v>119087.13254000001</v>
      </c>
      <c r="G68" s="27">
        <f>(SUMIF(Historical!$C:$C,"1823610",Historical!H:H))/1000</f>
        <v>108747.04663</v>
      </c>
      <c r="H68" s="27">
        <f>(SUMIF(Historical!$C:$C,"1823610",Historical!I:I))/1000</f>
        <v>108724.23682999999</v>
      </c>
      <c r="I68" s="27">
        <f>(SUMIF(Historical!$C:$C,"1823610",Historical!J:J))/1000</f>
        <v>108730.21840000001</v>
      </c>
      <c r="J68" s="27">
        <f>(SUMIF(Historical!$C:$C,"1823610",Historical!K:K))/1000</f>
        <v>108778.33511</v>
      </c>
      <c r="K68" s="27">
        <f>(SUMIF(Historical!$C:$C,"1823610",Historical!L:L))/1000</f>
        <v>108865.79061</v>
      </c>
      <c r="L68" s="27">
        <f>(SUMIF(Historical!$C:$C,"1823610",Historical!M:M))/1000</f>
        <v>109191.62498000001</v>
      </c>
      <c r="M68" s="27">
        <f>(SUMIF(Historical!$C:$C,"1823610",Historical!N:N))/1000</f>
        <v>109378.27484</v>
      </c>
      <c r="N68" s="27">
        <f>(SUMIF(Historical!$C:$C,"1823610",Historical!O:O))/1000</f>
        <v>109620.56213999999</v>
      </c>
      <c r="O68" s="27">
        <f>(SUMIF(Historical!$C:$C,"1823610",Historical!P:P))/1000</f>
        <v>109905.35369</v>
      </c>
      <c r="P68" s="27">
        <f>(SUMIF(Historical!$C:$C,"1823610",Historical!Q:Q))/1000</f>
        <v>110231.41458</v>
      </c>
      <c r="Q68" s="27">
        <f>(SUMIF(Historical!$C:$C,"1823610",Historical!R:R))/1000</f>
        <v>110838.90376</v>
      </c>
      <c r="R68" s="27">
        <f>(SUMIF(Historical!$C:$C,"1823610",Historical!S:S))/1000</f>
        <v>111138.80381</v>
      </c>
      <c r="S68" s="150">
        <f t="shared" si="7"/>
        <v>110249.05368615384</v>
      </c>
      <c r="T68" s="144" t="s">
        <v>425</v>
      </c>
    </row>
    <row r="69" spans="1:21" ht="15" customHeight="1">
      <c r="A69" s="142">
        <v>5</v>
      </c>
      <c r="B69" s="35" t="s">
        <v>426</v>
      </c>
      <c r="C69" s="14" t="s">
        <v>290</v>
      </c>
      <c r="D69" s="142"/>
      <c r="E69" s="142"/>
      <c r="F69" s="152">
        <f>ROUND(VLOOKUP($B69,Historical!$A$5:$U$500,COLUMNS($F69:F69)+6,FALSE)/1000,3)</f>
        <v>2061.6030000000001</v>
      </c>
      <c r="G69" s="152">
        <f>ROUND(VLOOKUP($B69,Historical!$A$5:$U$500,COLUMNS($F69:G69)+6,FALSE)/1000,3)</f>
        <v>2262.8069999999998</v>
      </c>
      <c r="H69" s="152">
        <f>ROUND(VLOOKUP($B69,Historical!$A$5:$U$500,COLUMNS($F69:H69)+6,FALSE)/1000,3)</f>
        <v>2198.0700000000002</v>
      </c>
      <c r="I69" s="152">
        <f>ROUND(VLOOKUP($B69,Historical!$A$5:$U$500,COLUMNS($F69:I69)+6,FALSE)/1000,3)</f>
        <v>3167.3690000000001</v>
      </c>
      <c r="J69" s="152">
        <f>ROUND(VLOOKUP($B69,Historical!$A$5:$U$500,COLUMNS($F69:J69)+6,FALSE)/1000,3)</f>
        <v>3897.7860000000001</v>
      </c>
      <c r="K69" s="152">
        <f>ROUND(VLOOKUP($B69,Historical!$A$5:$U$500,COLUMNS($F69:K69)+6,FALSE)/1000,3)</f>
        <v>3757.3620000000001</v>
      </c>
      <c r="L69" s="152">
        <f>ROUND(VLOOKUP($B69,Historical!$A$5:$U$500,COLUMNS($F69:L69)+6,FALSE)/1000,3)</f>
        <v>4137.8590000000004</v>
      </c>
      <c r="M69" s="152">
        <f>ROUND(VLOOKUP($B69,Historical!$A$5:$U$500,COLUMNS($F69:M69)+6,FALSE)/1000,3)</f>
        <v>4854.7830000000004</v>
      </c>
      <c r="N69" s="152">
        <f>ROUND(VLOOKUP($B69,Historical!$A$5:$U$500,COLUMNS($F69:N69)+6,FALSE)/1000,3)</f>
        <v>5514.5249999999996</v>
      </c>
      <c r="O69" s="152">
        <f>ROUND(VLOOKUP($B69,Historical!$A$5:$U$500,COLUMNS($F69:O69)+6,FALSE)/1000,3)</f>
        <v>6932.9350000000004</v>
      </c>
      <c r="P69" s="152">
        <f>ROUND(VLOOKUP($B69,Historical!$A$5:$U$500,COLUMNS($F69:P69)+6,FALSE)/1000,3)</f>
        <v>8559.2099999999991</v>
      </c>
      <c r="Q69" s="152">
        <f>ROUND(VLOOKUP($B69,Historical!$A$5:$U$500,COLUMNS($F69:Q69)+6,FALSE)/1000,3)</f>
        <v>9933.6029999999992</v>
      </c>
      <c r="R69" s="152">
        <f>ROUND(VLOOKUP($B69,Historical!$A$5:$U$500,COLUMNS($F69:R69)+6,FALSE)/1000,3)</f>
        <v>10078.822</v>
      </c>
      <c r="S69" s="150">
        <f t="shared" si="6"/>
        <v>5181.2872307692305</v>
      </c>
      <c r="T69" s="144" t="s">
        <v>118</v>
      </c>
    </row>
    <row r="70" spans="1:21" ht="15" customHeight="1">
      <c r="A70" s="142">
        <v>6</v>
      </c>
      <c r="B70" s="35" t="s">
        <v>427</v>
      </c>
      <c r="C70" s="14" t="s">
        <v>291</v>
      </c>
      <c r="D70" s="142"/>
      <c r="E70" s="142"/>
      <c r="F70" s="27">
        <f>ROUND(IF(ISNA(VLOOKUP($B70,Historical!$A$5:$U$500,COLUMNS($F70:F70)+6,FALSE)),0,+(VLOOKUP($B70,Historical!$A$5:$U$500,COLUMNS($F70:F70)+6,FALSE)))/1000,3)</f>
        <v>67.774000000000001</v>
      </c>
      <c r="G70" s="27">
        <f>ROUND(IF(ISNA(VLOOKUP($B70,Historical!$A$5:$U$500,COLUMNS($F70:G70)+6,FALSE)),0,+(VLOOKUP($B70,Historical!$A$5:$U$500,COLUMNS($F70:G70)+6,FALSE)))/1000,3)</f>
        <v>67.454999999999998</v>
      </c>
      <c r="H70" s="27">
        <f>ROUND(IF(ISNA(VLOOKUP($B70,Historical!$A$5:$U$500,COLUMNS($F70:H70)+6,FALSE)),0,+(VLOOKUP($B70,Historical!$A$5:$U$500,COLUMNS($F70:H70)+6,FALSE)))/1000,3)</f>
        <v>68.381</v>
      </c>
      <c r="I70" s="27">
        <f>ROUND(IF(ISNA(VLOOKUP($B70,Historical!$A$5:$U$500,COLUMNS($F70:I70)+6,FALSE)),0,+(VLOOKUP($B70,Historical!$A$5:$U$500,COLUMNS($F70:I70)+6,FALSE)))/1000,3)</f>
        <v>69.391999999999996</v>
      </c>
      <c r="J70" s="27">
        <f>ROUND(IF(ISNA(VLOOKUP($B70,Historical!$A$5:$U$500,COLUMNS($F70:J70)+6,FALSE)),0,+(VLOOKUP($B70,Historical!$A$5:$U$500,COLUMNS($F70:J70)+6,FALSE)))/1000,3)</f>
        <v>70.494</v>
      </c>
      <c r="K70" s="27">
        <f>ROUND(IF(ISNA(VLOOKUP($B70,Historical!$A$5:$U$500,COLUMNS($F70:K70)+6,FALSE)),0,+(VLOOKUP($B70,Historical!$A$5:$U$500,COLUMNS($F70:K70)+6,FALSE)))/1000,3)</f>
        <v>70.456999999999994</v>
      </c>
      <c r="L70" s="27">
        <f>ROUND(IF(ISNA(VLOOKUP($B70,Historical!$A$5:$U$500,COLUMNS($F70:L70)+6,FALSE)),0,+(VLOOKUP($B70,Historical!$A$5:$U$500,COLUMNS($F70:L70)+6,FALSE)))/1000,3)</f>
        <v>71.891999999999996</v>
      </c>
      <c r="M70" s="27">
        <f>ROUND(IF(ISNA(VLOOKUP($B70,Historical!$A$5:$U$500,COLUMNS($F70:M70)+6,FALSE)),0,+(VLOOKUP($B70,Historical!$A$5:$U$500,COLUMNS($F70:M70)+6,FALSE)))/1000,3)</f>
        <v>72.052999999999997</v>
      </c>
      <c r="N70" s="27">
        <f>ROUND(IF(ISNA(VLOOKUP($B70,Historical!$A$5:$U$500,COLUMNS($F70:N70)+6,FALSE)),0,+(VLOOKUP($B70,Historical!$A$5:$U$500,COLUMNS($F70:N70)+6,FALSE)))/1000,3)</f>
        <v>73.763999999999996</v>
      </c>
      <c r="O70" s="27">
        <f>ROUND(IF(ISNA(VLOOKUP($B70,Historical!$A$5:$U$500,COLUMNS($F70:O70)+6,FALSE)),0,+(VLOOKUP($B70,Historical!$A$5:$U$500,COLUMNS($F70:O70)+6,FALSE)))/1000,3)</f>
        <v>74.647000000000006</v>
      </c>
      <c r="P70" s="27">
        <f>ROUND(IF(ISNA(VLOOKUP($B70,Historical!$A$5:$U$500,COLUMNS($F70:P70)+6,FALSE)),0,+(VLOOKUP($B70,Historical!$A$5:$U$500,COLUMNS($F70:P70)+6,FALSE)))/1000,3)</f>
        <v>75.308999999999997</v>
      </c>
      <c r="Q70" s="27">
        <f>ROUND(IF(ISNA(VLOOKUP($B70,Historical!$A$5:$U$500,COLUMNS($F70:Q70)+6,FALSE)),0,+(VLOOKUP($B70,Historical!$A$5:$U$500,COLUMNS($F70:Q70)+6,FALSE)))/1000,3)</f>
        <v>75.748000000000005</v>
      </c>
      <c r="R70" s="27">
        <f>ROUND(IF(ISNA(VLOOKUP($B70,Historical!$A$5:$U$500,COLUMNS($F70:R70)+6,FALSE)),0,+(VLOOKUP($B70,Historical!$A$5:$U$500,COLUMNS($F70:R70)+6,FALSE)))/1000,3)</f>
        <v>76.622</v>
      </c>
      <c r="S70" s="150">
        <f t="shared" si="6"/>
        <v>71.845230769230767</v>
      </c>
      <c r="T70" s="144" t="s">
        <v>118</v>
      </c>
    </row>
    <row r="71" spans="1:21" ht="15" customHeight="1">
      <c r="A71" s="142">
        <v>7</v>
      </c>
      <c r="B71" s="35" t="s">
        <v>428</v>
      </c>
      <c r="C71" s="14" t="s">
        <v>292</v>
      </c>
      <c r="D71" s="142"/>
      <c r="E71" s="142"/>
      <c r="F71" s="152">
        <f>ROUND(VLOOKUP($B71,Historical!$A$5:$U$500,COLUMNS($F71:F71)+6,FALSE)/1000,3)</f>
        <v>12387.67</v>
      </c>
      <c r="G71" s="152">
        <f>ROUND(VLOOKUP($B71,Historical!$A$5:$U$500,COLUMNS($F71:G71)+6,FALSE)/1000,3)</f>
        <v>12823.384</v>
      </c>
      <c r="H71" s="152">
        <f>ROUND(VLOOKUP($B71,Historical!$A$5:$U$500,COLUMNS($F71:H71)+6,FALSE)/1000,3)</f>
        <v>12946.7</v>
      </c>
      <c r="I71" s="152">
        <f>ROUND(VLOOKUP($B71,Historical!$A$5:$U$500,COLUMNS($F71:I71)+6,FALSE)/1000,3)</f>
        <v>12407.22</v>
      </c>
      <c r="J71" s="152">
        <f>ROUND(VLOOKUP($B71,Historical!$A$5:$U$500,COLUMNS($F71:J71)+6,FALSE)/1000,3)</f>
        <v>12558.118</v>
      </c>
      <c r="K71" s="152">
        <f>ROUND(VLOOKUP($B71,Historical!$A$5:$U$500,COLUMNS($F71:K71)+6,FALSE)/1000,3)</f>
        <v>12266.334999999999</v>
      </c>
      <c r="L71" s="152">
        <f>ROUND(VLOOKUP($B71,Historical!$A$5:$U$500,COLUMNS($F71:L71)+6,FALSE)/1000,3)</f>
        <v>8046.8419999999996</v>
      </c>
      <c r="M71" s="152">
        <f>ROUND(VLOOKUP($B71,Historical!$A$5:$U$500,COLUMNS($F71:M71)+6,FALSE)/1000,3)</f>
        <v>7806.2079999999996</v>
      </c>
      <c r="N71" s="152">
        <f>ROUND(VLOOKUP($B71,Historical!$A$5:$U$500,COLUMNS($F71:N71)+6,FALSE)/1000,3)</f>
        <v>10302.964</v>
      </c>
      <c r="O71" s="152">
        <f>ROUND(VLOOKUP($B71,Historical!$A$5:$U$500,COLUMNS($F71:O71)+6,FALSE)/1000,3)</f>
        <v>8979.0259999999998</v>
      </c>
      <c r="P71" s="152">
        <f>ROUND(VLOOKUP($B71,Historical!$A$5:$U$500,COLUMNS($F71:P71)+6,FALSE)/1000,3)</f>
        <v>10195.414000000001</v>
      </c>
      <c r="Q71" s="152">
        <f>ROUND(VLOOKUP($B71,Historical!$A$5:$U$500,COLUMNS($F71:Q71)+6,FALSE)/1000,3)</f>
        <v>11467.78</v>
      </c>
      <c r="R71" s="152">
        <f>ROUND(VLOOKUP($B71,Historical!$A$5:$U$500,COLUMNS($F71:R71)+6,FALSE)/1000,3)</f>
        <v>8801.2810000000009</v>
      </c>
      <c r="S71" s="150">
        <f t="shared" si="6"/>
        <v>10845.30323076923</v>
      </c>
      <c r="T71" s="144" t="s">
        <v>118</v>
      </c>
    </row>
    <row r="72" spans="1:21" ht="15" customHeight="1">
      <c r="A72" s="142">
        <v>8</v>
      </c>
      <c r="B72" s="157" t="s">
        <v>429</v>
      </c>
      <c r="C72" s="14" t="s">
        <v>430</v>
      </c>
      <c r="D72" s="142"/>
      <c r="E72" s="142"/>
      <c r="F72" s="152">
        <f>ROUND(VLOOKUP($B72,Historical!$A$5:$U$500,COLUMNS($F72:F72)+6,FALSE)/1000,3)</f>
        <v>3367.125</v>
      </c>
      <c r="G72" s="152">
        <f>ROUND(VLOOKUP($B72,Historical!$A$5:$U$500,COLUMNS($F72:G72)+6,FALSE)/1000,3)</f>
        <v>3327.73</v>
      </c>
      <c r="H72" s="152">
        <f>ROUND(VLOOKUP($B72,Historical!$A$5:$U$500,COLUMNS($F72:H72)+6,FALSE)/1000,3)</f>
        <v>3288.335</v>
      </c>
      <c r="I72" s="152">
        <f>ROUND(VLOOKUP($B72,Historical!$A$5:$U$500,COLUMNS($F72:I72)+6,FALSE)/1000,3)</f>
        <v>3248.9409999999998</v>
      </c>
      <c r="J72" s="152">
        <f>ROUND(VLOOKUP($B72,Historical!$A$5:$U$500,COLUMNS($F72:J72)+6,FALSE)/1000,3)</f>
        <v>3209.5459999999998</v>
      </c>
      <c r="K72" s="152">
        <f>ROUND(VLOOKUP($B72,Historical!$A$5:$U$500,COLUMNS($F72:K72)+6,FALSE)/1000,3)</f>
        <v>3170.1509999999998</v>
      </c>
      <c r="L72" s="152">
        <f>ROUND(VLOOKUP($B72,Historical!$A$5:$U$500,COLUMNS($F72:L72)+6,FALSE)/1000,3)</f>
        <v>3130.7570000000001</v>
      </c>
      <c r="M72" s="152">
        <f>ROUND(VLOOKUP($B72,Historical!$A$5:$U$500,COLUMNS($F72:M72)+6,FALSE)/1000,3)</f>
        <v>3091.3620000000001</v>
      </c>
      <c r="N72" s="152">
        <f>ROUND(VLOOKUP($B72,Historical!$A$5:$U$500,COLUMNS($F72:N72)+6,FALSE)/1000,3)</f>
        <v>3051.9670000000001</v>
      </c>
      <c r="O72" s="152">
        <f>ROUND(VLOOKUP($B72,Historical!$A$5:$U$500,COLUMNS($F72:O72)+6,FALSE)/1000,3)</f>
        <v>3012.5720000000001</v>
      </c>
      <c r="P72" s="152">
        <f>ROUND(VLOOKUP($B72,Historical!$A$5:$U$500,COLUMNS($F72:P72)+6,FALSE)/1000,3)</f>
        <v>2980.7260000000001</v>
      </c>
      <c r="Q72" s="152">
        <f>ROUND(VLOOKUP($B72,Historical!$A$5:$U$500,COLUMNS($F72:Q72)+6,FALSE)/1000,3)</f>
        <v>2948.8789999999999</v>
      </c>
      <c r="R72" s="152">
        <f>ROUND(VLOOKUP($B72,Historical!$A$5:$U$500,COLUMNS($F72:R72)+6,FALSE)/1000,3)</f>
        <v>2917.0329999999999</v>
      </c>
      <c r="S72" s="150">
        <f t="shared" si="6"/>
        <v>3134.2403076923079</v>
      </c>
      <c r="T72" s="144" t="s">
        <v>421</v>
      </c>
    </row>
    <row r="73" spans="1:21" ht="15" customHeight="1">
      <c r="A73" s="142">
        <v>9</v>
      </c>
      <c r="B73" s="35" t="s">
        <v>431</v>
      </c>
      <c r="C73" s="14" t="s">
        <v>432</v>
      </c>
      <c r="D73" s="142"/>
      <c r="E73" s="142"/>
      <c r="F73" s="154">
        <f>ROUND(VLOOKUP($B73,Historical!$A$5:$U$500,COLUMNS($F73:F73)+6,FALSE)/1000,3)</f>
        <v>721216.49699999997</v>
      </c>
      <c r="G73" s="154">
        <f>ROUND(VLOOKUP($B73,Historical!$A$5:$U$500,COLUMNS($F73:G73)+6,FALSE)/1000,3)</f>
        <v>722459.62600000005</v>
      </c>
      <c r="H73" s="154">
        <f>ROUND(VLOOKUP($B73,Historical!$A$5:$U$500,COLUMNS($F73:H73)+6,FALSE)/1000,3)</f>
        <v>723886.44900000002</v>
      </c>
      <c r="I73" s="154">
        <f>ROUND(VLOOKUP($B73,Historical!$A$5:$U$500,COLUMNS($F73:I73)+6,FALSE)/1000,3)</f>
        <v>723751.76699999999</v>
      </c>
      <c r="J73" s="154">
        <f>ROUND(VLOOKUP($B73,Historical!$A$5:$U$500,COLUMNS($F73:J73)+6,FALSE)/1000,3)</f>
        <v>728171.973</v>
      </c>
      <c r="K73" s="154">
        <f>ROUND(VLOOKUP($B73,Historical!$A$5:$U$500,COLUMNS($F73:K73)+6,FALSE)/1000,3)</f>
        <v>732011.88800000004</v>
      </c>
      <c r="L73" s="154">
        <f>ROUND(VLOOKUP($B73,Historical!$A$5:$U$500,COLUMNS($F73:L73)+6,FALSE)/1000,3)</f>
        <v>725750.88899999997</v>
      </c>
      <c r="M73" s="154">
        <f>ROUND(VLOOKUP($B73,Historical!$A$5:$U$500,COLUMNS($F73:M73)+6,FALSE)/1000,3)</f>
        <v>730411.31</v>
      </c>
      <c r="N73" s="154">
        <f>ROUND(VLOOKUP($B73,Historical!$A$5:$U$500,COLUMNS($F73:N73)+6,FALSE)/1000,3)</f>
        <v>725165.05099999998</v>
      </c>
      <c r="O73" s="154">
        <f>ROUND(VLOOKUP($B73,Historical!$A$5:$U$500,COLUMNS($F73:O73)+6,FALSE)/1000,3)</f>
        <v>715443.75100000005</v>
      </c>
      <c r="P73" s="154">
        <f>ROUND(VLOOKUP($B73,Historical!$A$5:$U$500,COLUMNS($F73:P73)+6,FALSE)/1000,3)</f>
        <v>718700.65399999998</v>
      </c>
      <c r="Q73" s="154">
        <f>ROUND(VLOOKUP($B73,Historical!$A$5:$U$500,COLUMNS($F73:Q73)+6,FALSE)/1000,3)</f>
        <v>721554.03</v>
      </c>
      <c r="R73" s="154">
        <f>ROUND(VLOOKUP($B73,Historical!$A$5:$U$500,COLUMNS($F73:R73)+6,FALSE)/1000,3)</f>
        <v>716561.90099999995</v>
      </c>
      <c r="S73" s="155">
        <f t="shared" si="6"/>
        <v>723468.13738461537</v>
      </c>
      <c r="T73" s="144" t="s">
        <v>421</v>
      </c>
      <c r="U73" s="92"/>
    </row>
    <row r="74" spans="1:21" ht="15" customHeight="1">
      <c r="A74" s="142">
        <v>10</v>
      </c>
      <c r="B74" s="35"/>
      <c r="C74" s="14"/>
      <c r="D74" s="142" t="s">
        <v>292</v>
      </c>
      <c r="E74" s="142"/>
      <c r="F74" s="27">
        <f t="shared" ref="F74:S74" si="8">SUM(F66:F73)</f>
        <v>2251034.7865899997</v>
      </c>
      <c r="G74" s="27">
        <f t="shared" si="8"/>
        <v>2233017.5229500001</v>
      </c>
      <c r="H74" s="27">
        <f t="shared" si="8"/>
        <v>2212079.0054000001</v>
      </c>
      <c r="I74" s="27">
        <f t="shared" si="8"/>
        <v>2183526.8663699999</v>
      </c>
      <c r="J74" s="27">
        <f t="shared" si="8"/>
        <v>2143807.6686999998</v>
      </c>
      <c r="K74" s="27">
        <f t="shared" si="8"/>
        <v>2100811.8098999998</v>
      </c>
      <c r="L74" s="27">
        <f t="shared" si="8"/>
        <v>2032300.1664899997</v>
      </c>
      <c r="M74" s="27">
        <f t="shared" si="8"/>
        <v>1976154.5471300005</v>
      </c>
      <c r="N74" s="27">
        <f t="shared" si="8"/>
        <v>1952387.4775999999</v>
      </c>
      <c r="O74" s="27">
        <f t="shared" si="8"/>
        <v>1876295.9070799998</v>
      </c>
      <c r="P74" s="27">
        <f t="shared" si="8"/>
        <v>1830541.5577600002</v>
      </c>
      <c r="Q74" s="27">
        <f t="shared" si="8"/>
        <v>1797340.6532799997</v>
      </c>
      <c r="R74" s="27">
        <f t="shared" si="8"/>
        <v>1751545.81094</v>
      </c>
      <c r="S74" s="27">
        <f t="shared" si="8"/>
        <v>2026218.7523223076</v>
      </c>
      <c r="T74" s="142"/>
      <c r="U74" s="92"/>
    </row>
    <row r="75" spans="1:21" ht="15" customHeight="1">
      <c r="A75" s="142">
        <v>11</v>
      </c>
      <c r="B75" s="35"/>
      <c r="C75" s="14"/>
      <c r="D75" s="142"/>
      <c r="E75" s="142"/>
      <c r="F75" s="27"/>
      <c r="G75" s="27"/>
      <c r="H75" s="27"/>
      <c r="I75" s="27"/>
      <c r="J75" s="27"/>
      <c r="K75" s="27"/>
      <c r="L75" s="27"/>
      <c r="M75" s="27"/>
      <c r="N75" s="27"/>
      <c r="O75" s="27"/>
      <c r="P75" s="27"/>
      <c r="Q75" s="27"/>
      <c r="R75" s="27"/>
      <c r="S75" s="27"/>
      <c r="T75" s="142"/>
    </row>
    <row r="76" spans="1:21" ht="15" customHeight="1" thickBot="1">
      <c r="A76" s="142">
        <v>12</v>
      </c>
      <c r="B76" s="35"/>
      <c r="C76" s="14" t="s">
        <v>433</v>
      </c>
      <c r="D76" s="142"/>
      <c r="E76" s="142"/>
      <c r="F76" s="158">
        <f t="shared" ref="F76:S76" si="9">+F17+F22+F44+F74</f>
        <v>11855260.23246</v>
      </c>
      <c r="G76" s="158">
        <f t="shared" si="9"/>
        <v>12652879.275820002</v>
      </c>
      <c r="H76" s="158">
        <f t="shared" si="9"/>
        <v>12659017.202800002</v>
      </c>
      <c r="I76" s="158">
        <f t="shared" si="9"/>
        <v>12715983.84104</v>
      </c>
      <c r="J76" s="158">
        <f t="shared" si="9"/>
        <v>12806378.68537</v>
      </c>
      <c r="K76" s="158">
        <f t="shared" si="9"/>
        <v>12871215.934519999</v>
      </c>
      <c r="L76" s="158">
        <f t="shared" si="9"/>
        <v>12916362.07198</v>
      </c>
      <c r="M76" s="158">
        <f t="shared" si="9"/>
        <v>13021046.095759999</v>
      </c>
      <c r="N76" s="158">
        <f t="shared" si="9"/>
        <v>13088300.949659999</v>
      </c>
      <c r="O76" s="158">
        <f t="shared" si="9"/>
        <v>13083529.40426</v>
      </c>
      <c r="P76" s="158">
        <f t="shared" si="9"/>
        <v>13086208.38394</v>
      </c>
      <c r="Q76" s="158">
        <f t="shared" si="9"/>
        <v>13069915.74852</v>
      </c>
      <c r="R76" s="158">
        <f t="shared" si="9"/>
        <v>12291169.294</v>
      </c>
      <c r="S76" s="158">
        <f t="shared" si="9"/>
        <v>12778251.316933075</v>
      </c>
      <c r="T76" s="142"/>
      <c r="U76" s="159"/>
    </row>
    <row r="77" spans="1:21" ht="15" customHeight="1" thickTop="1">
      <c r="A77" s="142">
        <v>13</v>
      </c>
      <c r="B77" s="142"/>
      <c r="C77" s="142"/>
      <c r="D77" s="142"/>
      <c r="E77" s="142"/>
      <c r="F77" s="160"/>
      <c r="G77" s="160"/>
      <c r="H77" s="160"/>
      <c r="I77" s="160"/>
      <c r="J77" s="160"/>
      <c r="K77" s="160"/>
      <c r="L77" s="160"/>
      <c r="M77" s="160"/>
      <c r="N77" s="160"/>
      <c r="O77" s="160"/>
      <c r="P77" s="160"/>
      <c r="Q77" s="160"/>
      <c r="R77" s="160"/>
      <c r="S77" s="160"/>
      <c r="T77" s="142"/>
    </row>
    <row r="78" spans="1:21" ht="15" customHeight="1">
      <c r="A78" s="142">
        <v>14</v>
      </c>
      <c r="B78" s="35"/>
      <c r="C78" s="14" t="s">
        <v>434</v>
      </c>
      <c r="D78" s="142"/>
      <c r="E78" s="142"/>
      <c r="F78" s="27"/>
      <c r="G78" s="27"/>
      <c r="H78" s="27"/>
      <c r="I78" s="27"/>
      <c r="J78" s="27"/>
      <c r="K78" s="27"/>
      <c r="L78" s="27"/>
      <c r="M78" s="27"/>
      <c r="N78" s="27"/>
      <c r="O78" s="27"/>
      <c r="P78" s="27"/>
      <c r="Q78" s="27"/>
      <c r="R78" s="27"/>
      <c r="S78" s="27"/>
      <c r="T78" s="142"/>
    </row>
    <row r="79" spans="1:21" ht="15" customHeight="1">
      <c r="A79" s="142">
        <v>15</v>
      </c>
      <c r="B79" s="35"/>
      <c r="C79" s="14"/>
      <c r="D79" s="142"/>
      <c r="E79" s="142"/>
      <c r="F79" s="27"/>
      <c r="G79" s="27"/>
      <c r="H79" s="27"/>
      <c r="I79" s="27"/>
      <c r="J79" s="27"/>
      <c r="K79" s="27"/>
      <c r="L79" s="27"/>
      <c r="M79" s="27"/>
      <c r="N79" s="27"/>
      <c r="O79" s="27"/>
      <c r="P79" s="27"/>
      <c r="Q79" s="27"/>
      <c r="R79" s="27"/>
      <c r="S79" s="27"/>
      <c r="T79" s="142"/>
    </row>
    <row r="80" spans="1:21" ht="15" customHeight="1">
      <c r="A80" s="142">
        <v>16</v>
      </c>
      <c r="B80" s="35" t="s">
        <v>435</v>
      </c>
      <c r="C80" s="14" t="s">
        <v>436</v>
      </c>
      <c r="D80" s="142"/>
      <c r="E80" s="142"/>
      <c r="F80" s="152">
        <f>ROUND(VLOOKUP($B80,Historical!$A$5:$U$500,COLUMNS($F80:F80)+6,FALSE)/1000,3)</f>
        <v>119696.788</v>
      </c>
      <c r="G80" s="152">
        <f>ROUND(VLOOKUP($B80,Historical!$A$5:$U$500,COLUMNS($F80:G80)+6,FALSE)/1000,3)</f>
        <v>119696.788</v>
      </c>
      <c r="H80" s="152">
        <f>ROUND(VLOOKUP($B80,Historical!$A$5:$U$500,COLUMNS($F80:H80)+6,FALSE)/1000,3)</f>
        <v>119696.788</v>
      </c>
      <c r="I80" s="152">
        <f>ROUND(VLOOKUP($B80,Historical!$A$5:$U$500,COLUMNS($F80:I80)+6,FALSE)/1000,3)</f>
        <v>119696.788</v>
      </c>
      <c r="J80" s="152">
        <f>ROUND(VLOOKUP($B80,Historical!$A$5:$U$500,COLUMNS($F80:J80)+6,FALSE)/1000,3)</f>
        <v>119696.788</v>
      </c>
      <c r="K80" s="152">
        <f>ROUND(VLOOKUP($B80,Historical!$A$5:$U$500,COLUMNS($F80:K80)+6,FALSE)/1000,3)</f>
        <v>119696.788</v>
      </c>
      <c r="L80" s="152">
        <f>ROUND(VLOOKUP($B80,Historical!$A$5:$U$500,COLUMNS($F80:L80)+6,FALSE)/1000,3)</f>
        <v>119696.788</v>
      </c>
      <c r="M80" s="152">
        <f>ROUND(VLOOKUP($B80,Historical!$A$5:$U$500,COLUMNS($F80:M80)+6,FALSE)/1000,3)</f>
        <v>119696.788</v>
      </c>
      <c r="N80" s="152">
        <f>ROUND(VLOOKUP($B80,Historical!$A$5:$U$500,COLUMNS($F80:N80)+6,FALSE)/1000,3)</f>
        <v>119696.788</v>
      </c>
      <c r="O80" s="152">
        <f>ROUND(VLOOKUP($B80,Historical!$A$5:$U$500,COLUMNS($F80:O80)+6,FALSE)/1000,3)</f>
        <v>119696.788</v>
      </c>
      <c r="P80" s="152">
        <f>ROUND(VLOOKUP($B80,Historical!$A$5:$U$500,COLUMNS($F80:P80)+6,FALSE)/1000,3)</f>
        <v>119696.788</v>
      </c>
      <c r="Q80" s="152">
        <f>ROUND(VLOOKUP($B80,Historical!$A$5:$U$500,COLUMNS($F80:Q80)+6,FALSE)/1000,3)</f>
        <v>119696.788</v>
      </c>
      <c r="R80" s="152">
        <f>ROUND(VLOOKUP($B80,Historical!$A$5:$U$500,COLUMNS($F80:R80)+6,FALSE)/1000,3)</f>
        <v>119696.788</v>
      </c>
      <c r="S80" s="150">
        <f>(SUM(F80:R80)/13)</f>
        <v>119696.78799999996</v>
      </c>
      <c r="T80" s="144" t="s">
        <v>421</v>
      </c>
    </row>
    <row r="81" spans="1:20" ht="15" customHeight="1">
      <c r="A81" s="142">
        <v>17</v>
      </c>
      <c r="B81" s="35" t="s">
        <v>437</v>
      </c>
      <c r="C81" s="14" t="s">
        <v>438</v>
      </c>
      <c r="D81" s="142"/>
      <c r="E81" s="142"/>
      <c r="F81" s="152">
        <f>ROUND(VLOOKUP($B81,Historical!$A$5:$U$500,COLUMNS($F81:F81)+6,FALSE)/1000,3)</f>
        <v>4085840.2489999998</v>
      </c>
      <c r="G81" s="152">
        <f>ROUND(VLOOKUP($B81,Historical!$A$5:$U$500,COLUMNS($F81:G81)+6,FALSE)/1000,3)</f>
        <v>4085840.2489999998</v>
      </c>
      <c r="H81" s="152">
        <f>ROUND(VLOOKUP($B81,Historical!$A$5:$U$500,COLUMNS($F81:H81)+6,FALSE)/1000,3)</f>
        <v>4185840.2489999998</v>
      </c>
      <c r="I81" s="152">
        <f>ROUND(VLOOKUP($B81,Historical!$A$5:$U$500,COLUMNS($F81:I81)+6,FALSE)/1000,3)</f>
        <v>4185840.2489999998</v>
      </c>
      <c r="J81" s="152">
        <f>ROUND(VLOOKUP($B81,Historical!$A$5:$U$500,COLUMNS($F81:J81)+6,FALSE)/1000,3)</f>
        <v>4185840.2489999998</v>
      </c>
      <c r="K81" s="152">
        <f>ROUND(VLOOKUP($B81,Historical!$A$5:$U$500,COLUMNS($F81:K81)+6,FALSE)/1000,3)</f>
        <v>4285840.2489999998</v>
      </c>
      <c r="L81" s="152">
        <f>ROUND(VLOOKUP($B81,Historical!$A$5:$U$500,COLUMNS($F81:L81)+6,FALSE)/1000,3)</f>
        <v>4285840.2489999998</v>
      </c>
      <c r="M81" s="152">
        <f>ROUND(VLOOKUP($B81,Historical!$A$5:$U$500,COLUMNS($F81:M81)+6,FALSE)/1000,3)</f>
        <v>4285840.2489999998</v>
      </c>
      <c r="N81" s="152">
        <f>ROUND(VLOOKUP($B81,Historical!$A$5:$U$500,COLUMNS($F81:N81)+6,FALSE)/1000,3)</f>
        <v>4385840.2489999998</v>
      </c>
      <c r="O81" s="152">
        <f>ROUND(VLOOKUP($B81,Historical!$A$5:$U$500,COLUMNS($F81:O81)+6,FALSE)/1000,3)</f>
        <v>4385840.2489999998</v>
      </c>
      <c r="P81" s="152">
        <f>ROUND(VLOOKUP($B81,Historical!$A$5:$U$500,COLUMNS($F81:P81)+6,FALSE)/1000,3)</f>
        <v>4385840.2489999998</v>
      </c>
      <c r="Q81" s="152">
        <f>ROUND(VLOOKUP($B81,Historical!$A$5:$U$500,COLUMNS($F81:Q81)+6,FALSE)/1000,3)</f>
        <v>4385840.2489999998</v>
      </c>
      <c r="R81" s="152">
        <f>ROUND(VLOOKUP($B81,Historical!$A$5:$U$500,COLUMNS($F81:R81)+6,FALSE)/1000,3)</f>
        <v>4385840.2489999998</v>
      </c>
      <c r="S81" s="150">
        <f>(SUM(F81:R81)/13)</f>
        <v>4270455.6336153829</v>
      </c>
      <c r="T81" s="144" t="s">
        <v>421</v>
      </c>
    </row>
    <row r="82" spans="1:20" ht="15" customHeight="1">
      <c r="A82" s="142">
        <v>18</v>
      </c>
      <c r="B82" s="35" t="s">
        <v>439</v>
      </c>
      <c r="C82" s="14" t="s">
        <v>440</v>
      </c>
      <c r="D82" s="142"/>
      <c r="E82" s="142"/>
      <c r="F82" s="152">
        <f>ROUND(VLOOKUP($B82,Historical!$A$5:$U$500,COLUMNS($F82:F82)+6,FALSE)/1000,3)</f>
        <v>-700.92100000000005</v>
      </c>
      <c r="G82" s="152">
        <f>ROUND(VLOOKUP($B82,Historical!$A$5:$U$500,COLUMNS($F82:G82)+6,FALSE)/1000,3)</f>
        <v>-700.92100000000005</v>
      </c>
      <c r="H82" s="152">
        <f>ROUND(VLOOKUP($B82,Historical!$A$5:$U$500,COLUMNS($F82:H82)+6,FALSE)/1000,3)</f>
        <v>-700.92100000000005</v>
      </c>
      <c r="I82" s="152">
        <f>ROUND(VLOOKUP($B82,Historical!$A$5:$U$500,COLUMNS($F82:I82)+6,FALSE)/1000,3)</f>
        <v>-700.92100000000005</v>
      </c>
      <c r="J82" s="152">
        <f>ROUND(VLOOKUP($B82,Historical!$A$5:$U$500,COLUMNS($F82:J82)+6,FALSE)/1000,3)</f>
        <v>-700.92100000000005</v>
      </c>
      <c r="K82" s="152">
        <f>ROUND(VLOOKUP($B82,Historical!$A$5:$U$500,COLUMNS($F82:K82)+6,FALSE)/1000,3)</f>
        <v>-700.92100000000005</v>
      </c>
      <c r="L82" s="152">
        <f>ROUND(VLOOKUP($B82,Historical!$A$5:$U$500,COLUMNS($F82:L82)+6,FALSE)/1000,3)</f>
        <v>-700.92100000000005</v>
      </c>
      <c r="M82" s="152">
        <f>ROUND(VLOOKUP($B82,Historical!$A$5:$U$500,COLUMNS($F82:M82)+6,FALSE)/1000,3)</f>
        <v>-700.92100000000005</v>
      </c>
      <c r="N82" s="152">
        <f>ROUND(VLOOKUP($B82,Historical!$A$5:$U$500,COLUMNS($F82:N82)+6,FALSE)/1000,3)</f>
        <v>-700.92100000000005</v>
      </c>
      <c r="O82" s="152">
        <f>ROUND(VLOOKUP($B82,Historical!$A$5:$U$500,COLUMNS($F82:O82)+6,FALSE)/1000,3)</f>
        <v>-700.92100000000005</v>
      </c>
      <c r="P82" s="152">
        <f>ROUND(VLOOKUP($B82,Historical!$A$5:$U$500,COLUMNS($F82:P82)+6,FALSE)/1000,3)</f>
        <v>-700.92100000000005</v>
      </c>
      <c r="Q82" s="152">
        <f>ROUND(VLOOKUP($B82,Historical!$A$5:$U$500,COLUMNS($F82:Q82)+6,FALSE)/1000,3)</f>
        <v>-700.92100000000005</v>
      </c>
      <c r="R82" s="152">
        <f>ROUND(VLOOKUP($B82,Historical!$A$5:$U$500,COLUMNS($F82:R82)+6,FALSE)/1000,3)</f>
        <v>-700.92100000000005</v>
      </c>
      <c r="S82" s="150">
        <f>(SUM(F82:R82)/13)</f>
        <v>-700.92100000000016</v>
      </c>
      <c r="T82" s="144" t="s">
        <v>421</v>
      </c>
    </row>
    <row r="83" spans="1:20" ht="15" customHeight="1">
      <c r="A83" s="142">
        <v>19</v>
      </c>
      <c r="B83" s="35" t="s">
        <v>441</v>
      </c>
      <c r="C83" s="14" t="s">
        <v>442</v>
      </c>
      <c r="D83" s="142"/>
      <c r="E83" s="142"/>
      <c r="F83" s="152">
        <f>ROUND(VLOOKUP($B83,Historical!$A$5:$U$500,COLUMNS($F83:F83)+6,FALSE)/1000,3)</f>
        <v>225276.52900000001</v>
      </c>
      <c r="G83" s="152">
        <f>ROUND(VLOOKUP($B83,Historical!$A$5:$U$500,COLUMNS($F83:G83)+6,FALSE)/1000,3)</f>
        <v>257504.58799999999</v>
      </c>
      <c r="H83" s="152">
        <f>ROUND(VLOOKUP($B83,Historical!$A$5:$U$500,COLUMNS($F83:H83)+6,FALSE)/1000,3)</f>
        <v>187957.984</v>
      </c>
      <c r="I83" s="152">
        <f>ROUND(VLOOKUP($B83,Historical!$A$5:$U$500,COLUMNS($F83:I83)+6,FALSE)/1000,3)</f>
        <v>213408.2</v>
      </c>
      <c r="J83" s="152">
        <f>ROUND(VLOOKUP($B83,Historical!$A$5:$U$500,COLUMNS($F83:J83)+6,FALSE)/1000,3)</f>
        <v>248262.462</v>
      </c>
      <c r="K83" s="152">
        <f>ROUND(VLOOKUP($B83,Historical!$A$5:$U$500,COLUMNS($F83:K83)+6,FALSE)/1000,3)</f>
        <v>212823.495</v>
      </c>
      <c r="L83" s="152">
        <f>ROUND(VLOOKUP($B83,Historical!$A$5:$U$500,COLUMNS($F83:L83)+6,FALSE)/1000,3)</f>
        <v>265545.81800000003</v>
      </c>
      <c r="M83" s="152">
        <f>ROUND(VLOOKUP($B83,Historical!$A$5:$U$500,COLUMNS($F83:M83)+6,FALSE)/1000,3)</f>
        <v>322763.44400000002</v>
      </c>
      <c r="N83" s="152">
        <f>ROUND(VLOOKUP($B83,Historical!$A$5:$U$500,COLUMNS($F83:N83)+6,FALSE)/1000,3)</f>
        <v>253237.61600000001</v>
      </c>
      <c r="O83" s="152">
        <f>ROUND(VLOOKUP($B83,Historical!$A$5:$U$500,COLUMNS($F83:O83)+6,FALSE)/1000,3)</f>
        <v>303981.43199999997</v>
      </c>
      <c r="P83" s="152">
        <f>ROUND(VLOOKUP($B83,Historical!$A$5:$U$500,COLUMNS($F83:P83)+6,FALSE)/1000,3)</f>
        <v>341436.99099999998</v>
      </c>
      <c r="Q83" s="152">
        <f>ROUND(VLOOKUP($B83,Historical!$A$5:$U$500,COLUMNS($F83:Q83)+6,FALSE)/1000,3)</f>
        <v>197437.008</v>
      </c>
      <c r="R83" s="152">
        <f>ROUND(VLOOKUP($B83,Historical!$A$5:$U$500,COLUMNS($F83:R83)+6,FALSE)/1000,3)</f>
        <v>218642.899</v>
      </c>
      <c r="S83" s="150">
        <f>(SUM(F83:R83)/13)</f>
        <v>249867.5743076923</v>
      </c>
      <c r="T83" s="144" t="s">
        <v>421</v>
      </c>
    </row>
    <row r="84" spans="1:20" ht="15" customHeight="1">
      <c r="A84" s="142">
        <v>20</v>
      </c>
      <c r="B84" s="35" t="s">
        <v>443</v>
      </c>
      <c r="C84" s="14" t="s">
        <v>444</v>
      </c>
      <c r="D84" s="142"/>
      <c r="E84" s="142"/>
      <c r="F84" s="154">
        <f>ROUND(VLOOKUP($B84,Historical!$A$5:$U$500,COLUMNS($F84:F84)+6,FALSE)/1000,3)</f>
        <v>-714.57399999999996</v>
      </c>
      <c r="G84" s="154">
        <f>ROUND(VLOOKUP($B84,Historical!$A$5:$U$500,COLUMNS($F84:G84)+6,FALSE)/1000,3)</f>
        <v>-911.524</v>
      </c>
      <c r="H84" s="154">
        <f>ROUND(VLOOKUP($B84,Historical!$A$5:$U$500,COLUMNS($F84:H84)+6,FALSE)/1000,3)</f>
        <v>-856.85</v>
      </c>
      <c r="I84" s="154">
        <f>ROUND(VLOOKUP($B84,Historical!$A$5:$U$500,COLUMNS($F84:I84)+6,FALSE)/1000,3)</f>
        <v>-811.14599999999996</v>
      </c>
      <c r="J84" s="154">
        <f>ROUND(VLOOKUP($B84,Historical!$A$5:$U$500,COLUMNS($F84:J84)+6,FALSE)/1000,3)</f>
        <v>-802.995</v>
      </c>
      <c r="K84" s="154">
        <f>ROUND(VLOOKUP($B84,Historical!$A$5:$U$500,COLUMNS($F84:K84)+6,FALSE)/1000,3)</f>
        <v>-794.84400000000005</v>
      </c>
      <c r="L84" s="154">
        <f>ROUND(VLOOKUP($B84,Historical!$A$5:$U$500,COLUMNS($F84:L84)+6,FALSE)/1000,3)</f>
        <v>-786.69299999999998</v>
      </c>
      <c r="M84" s="154">
        <f>ROUND(VLOOKUP($B84,Historical!$A$5:$U$500,COLUMNS($F84:M84)+6,FALSE)/1000,3)</f>
        <v>-778.54200000000003</v>
      </c>
      <c r="N84" s="154">
        <f>ROUND(VLOOKUP($B84,Historical!$A$5:$U$500,COLUMNS($F84:N84)+6,FALSE)/1000,3)</f>
        <v>-770.39099999999996</v>
      </c>
      <c r="O84" s="154">
        <f>ROUND(VLOOKUP($B84,Historical!$A$5:$U$500,COLUMNS($F84:O84)+6,FALSE)/1000,3)</f>
        <v>-762.24099999999999</v>
      </c>
      <c r="P84" s="154">
        <f>ROUND(VLOOKUP($B84,Historical!$A$5:$U$500,COLUMNS($F84:P84)+6,FALSE)/1000,3)</f>
        <v>-754.09</v>
      </c>
      <c r="Q84" s="154">
        <f>ROUND(VLOOKUP($B84,Historical!$A$5:$U$500,COLUMNS($F84:Q84)+6,FALSE)/1000,3)</f>
        <v>-745.93899999999996</v>
      </c>
      <c r="R84" s="154">
        <f>ROUND(VLOOKUP($B84,Historical!$A$5:$U$500,COLUMNS($F84:R84)+6,FALSE)/1000,3)</f>
        <v>-737.78800000000001</v>
      </c>
      <c r="S84" s="155">
        <f>(SUM(F84:R84)/13)</f>
        <v>-786.7397692307693</v>
      </c>
      <c r="T84" s="144" t="s">
        <v>421</v>
      </c>
    </row>
    <row r="85" spans="1:20" ht="15" customHeight="1">
      <c r="A85" s="142">
        <v>21</v>
      </c>
      <c r="B85" s="35"/>
      <c r="C85" s="14"/>
      <c r="D85" s="142" t="s">
        <v>434</v>
      </c>
      <c r="E85" s="142"/>
      <c r="F85" s="27">
        <f t="shared" ref="F85:S85" si="10">SUM(F80:F84)</f>
        <v>4429398.0709999995</v>
      </c>
      <c r="G85" s="27">
        <f t="shared" si="10"/>
        <v>4461429.18</v>
      </c>
      <c r="H85" s="27">
        <f t="shared" si="10"/>
        <v>4491937.25</v>
      </c>
      <c r="I85" s="27">
        <f t="shared" si="10"/>
        <v>4517433.17</v>
      </c>
      <c r="J85" s="27">
        <f t="shared" si="10"/>
        <v>4552295.5829999996</v>
      </c>
      <c r="K85" s="27">
        <f t="shared" si="10"/>
        <v>4616864.767</v>
      </c>
      <c r="L85" s="27">
        <f t="shared" si="10"/>
        <v>4669595.2409999995</v>
      </c>
      <c r="M85" s="27">
        <f t="shared" si="10"/>
        <v>4726821.0179999992</v>
      </c>
      <c r="N85" s="27">
        <f t="shared" si="10"/>
        <v>4757303.341</v>
      </c>
      <c r="O85" s="27">
        <f t="shared" si="10"/>
        <v>4808055.3069999991</v>
      </c>
      <c r="P85" s="27">
        <f t="shared" si="10"/>
        <v>4845519.017</v>
      </c>
      <c r="Q85" s="27">
        <f t="shared" si="10"/>
        <v>4701527.1849999996</v>
      </c>
      <c r="R85" s="27">
        <f t="shared" si="10"/>
        <v>4722741.227</v>
      </c>
      <c r="S85" s="27">
        <f t="shared" si="10"/>
        <v>4638532.3351538442</v>
      </c>
      <c r="T85" s="142"/>
    </row>
    <row r="86" spans="1:20" ht="15" customHeight="1">
      <c r="A86" s="142">
        <v>22</v>
      </c>
      <c r="B86" s="35"/>
      <c r="C86" s="142"/>
      <c r="D86" s="142"/>
      <c r="E86" s="142"/>
      <c r="F86" s="27"/>
      <c r="G86" s="27"/>
      <c r="H86" s="27"/>
      <c r="I86" s="27"/>
      <c r="J86" s="27"/>
      <c r="K86" s="27"/>
      <c r="L86" s="27"/>
      <c r="M86" s="27"/>
      <c r="N86" s="27"/>
      <c r="O86" s="27"/>
      <c r="P86" s="27"/>
      <c r="Q86" s="27"/>
      <c r="R86" s="27"/>
      <c r="S86" s="27"/>
      <c r="T86" s="142"/>
    </row>
    <row r="87" spans="1:20" ht="15" customHeight="1">
      <c r="A87" s="142">
        <v>23</v>
      </c>
      <c r="B87" s="35"/>
      <c r="C87" s="14" t="s">
        <v>445</v>
      </c>
      <c r="D87" s="142"/>
      <c r="E87" s="142"/>
      <c r="F87" s="27"/>
      <c r="G87" s="27"/>
      <c r="H87" s="27"/>
      <c r="I87" s="27"/>
      <c r="J87" s="27"/>
      <c r="K87" s="27"/>
      <c r="L87" s="27"/>
      <c r="M87" s="27"/>
      <c r="N87" s="27"/>
      <c r="O87" s="27"/>
      <c r="P87" s="27"/>
      <c r="Q87" s="27"/>
      <c r="R87" s="27"/>
      <c r="S87" s="27"/>
      <c r="T87" s="142"/>
    </row>
    <row r="88" spans="1:20" ht="15" customHeight="1">
      <c r="A88" s="142">
        <v>24</v>
      </c>
      <c r="B88" s="142"/>
      <c r="C88" s="142"/>
      <c r="D88" s="142"/>
      <c r="E88" s="142"/>
      <c r="F88" s="142"/>
      <c r="G88" s="142"/>
      <c r="H88" s="142"/>
      <c r="I88" s="142"/>
      <c r="J88" s="142"/>
      <c r="K88" s="142"/>
      <c r="L88" s="142"/>
      <c r="M88" s="142"/>
      <c r="N88" s="142"/>
      <c r="O88" s="142"/>
      <c r="P88" s="142"/>
      <c r="Q88" s="142"/>
      <c r="R88" s="142"/>
      <c r="S88" s="142"/>
      <c r="T88" s="142"/>
    </row>
    <row r="89" spans="1:20" ht="15" customHeight="1">
      <c r="A89" s="142">
        <v>25</v>
      </c>
      <c r="B89" s="35" t="s">
        <v>446</v>
      </c>
      <c r="C89" s="14" t="s">
        <v>447</v>
      </c>
      <c r="D89" s="142"/>
      <c r="E89" s="142"/>
      <c r="F89" s="152">
        <f>ROUND(VLOOKUP($B89,Historical!$A$5:$U$500,COLUMNS($F89:F89)+6,FALSE)/1000,3)</f>
        <v>3205000</v>
      </c>
      <c r="G89" s="152">
        <f>ROUND(VLOOKUP($B89,Historical!$A$5:$U$500,COLUMNS($F89:G89)+6,FALSE)/1000,3)</f>
        <v>3775000</v>
      </c>
      <c r="H89" s="152">
        <f>ROUND(VLOOKUP($B89,Historical!$A$5:$U$500,COLUMNS($F89:H89)+6,FALSE)/1000,3)</f>
        <v>3775000</v>
      </c>
      <c r="I89" s="152">
        <f>ROUND(VLOOKUP($B89,Historical!$A$5:$U$500,COLUMNS($F89:I89)+6,FALSE)/1000,3)</f>
        <v>3775000</v>
      </c>
      <c r="J89" s="152">
        <f>ROUND(VLOOKUP($B89,Historical!$A$5:$U$500,COLUMNS($F89:J89)+6,FALSE)/1000,3)</f>
        <v>3775000</v>
      </c>
      <c r="K89" s="152">
        <f>ROUND(VLOOKUP($B89,Historical!$A$5:$U$500,COLUMNS($F89:K89)+6,FALSE)/1000,3)</f>
        <v>3775000</v>
      </c>
      <c r="L89" s="152">
        <f>ROUND(VLOOKUP($B89,Historical!$A$5:$U$500,COLUMNS($F89:L89)+6,FALSE)/1000,3)</f>
        <v>3775000</v>
      </c>
      <c r="M89" s="152">
        <f>ROUND(VLOOKUP($B89,Historical!$A$5:$U$500,COLUMNS($F89:M89)+6,FALSE)/1000,3)</f>
        <v>3775000</v>
      </c>
      <c r="N89" s="152">
        <f>ROUND(VLOOKUP($B89,Historical!$A$5:$U$500,COLUMNS($F89:N89)+6,FALSE)/1000,3)</f>
        <v>3775000</v>
      </c>
      <c r="O89" s="152">
        <f>ROUND(VLOOKUP($B89,Historical!$A$5:$U$500,COLUMNS($F89:O89)+6,FALSE)/1000,3)</f>
        <v>3775000</v>
      </c>
      <c r="P89" s="152">
        <f>ROUND(VLOOKUP($B89,Historical!$A$5:$U$500,COLUMNS($F89:P89)+6,FALSE)/1000,3)</f>
        <v>3775000</v>
      </c>
      <c r="Q89" s="152">
        <f>ROUND(VLOOKUP($B89,Historical!$A$5:$U$500,COLUMNS($F89:Q89)+6,FALSE)/1000,3)</f>
        <v>3775000</v>
      </c>
      <c r="R89" s="152">
        <f>ROUND(VLOOKUP($B89,Historical!$A$5:$U$500,COLUMNS($F89:R89)+6,FALSE)/1000,3)</f>
        <v>3775000</v>
      </c>
      <c r="S89" s="150">
        <f>(SUM(F89:R89)/13)</f>
        <v>3731153.846153846</v>
      </c>
      <c r="T89" s="144" t="s">
        <v>421</v>
      </c>
    </row>
    <row r="90" spans="1:20" ht="15" customHeight="1">
      <c r="A90" s="142">
        <v>26</v>
      </c>
      <c r="B90" s="35" t="s">
        <v>448</v>
      </c>
      <c r="C90" s="14" t="s">
        <v>449</v>
      </c>
      <c r="D90" s="142"/>
      <c r="E90" s="142"/>
      <c r="F90" s="27">
        <f>ROUND(IF(ISNA(VLOOKUP($B90,Historical!$A$5:$U$500,COLUMNS($F90:F90)+6,FALSE)),0,+(VLOOKUP($B90,Historical!$A$5:$U$500,COLUMNS($F90:F90)+6,FALSE)))/1000,3)</f>
        <v>0</v>
      </c>
      <c r="G90" s="27">
        <f>ROUND(IF(ISNA(VLOOKUP($B90,Historical!$A$5:$U$500,COLUMNS($F90:G90)+6,FALSE)),0,+(VLOOKUP($B90,Historical!$A$5:$U$500,COLUMNS($F90:G90)+6,FALSE)))/1000,3)</f>
        <v>0</v>
      </c>
      <c r="H90" s="27">
        <f>ROUND(IF(ISNA(VLOOKUP($B90,Historical!$A$5:$U$500,COLUMNS($F90:H90)+6,FALSE)),0,+(VLOOKUP($B90,Historical!$A$5:$U$500,COLUMNS($F90:H90)+6,FALSE)))/1000,3)</f>
        <v>0</v>
      </c>
      <c r="I90" s="27">
        <f>ROUND(IF(ISNA(VLOOKUP($B90,Historical!$A$5:$U$500,COLUMNS($F90:I90)+6,FALSE)),0,+(VLOOKUP($B90,Historical!$A$5:$U$500,COLUMNS($F90:I90)+6,FALSE)))/1000,3)</f>
        <v>0</v>
      </c>
      <c r="J90" s="27">
        <f>ROUND(IF(ISNA(VLOOKUP($B90,Historical!$A$5:$U$500,COLUMNS($F90:J90)+6,FALSE)),0,+(VLOOKUP($B90,Historical!$A$5:$U$500,COLUMNS($F90:J90)+6,FALSE)))/1000,3)</f>
        <v>0</v>
      </c>
      <c r="K90" s="27">
        <f>ROUND(IF(ISNA(VLOOKUP($B90,Historical!$A$5:$U$500,COLUMNS($F90:K90)+6,FALSE)),0,+(VLOOKUP($B90,Historical!$A$5:$U$500,COLUMNS($F90:K90)+6,FALSE)))/1000,3)</f>
        <v>0</v>
      </c>
      <c r="L90" s="27">
        <f>ROUND(IF(ISNA(VLOOKUP($B90,Historical!$A$5:$U$500,COLUMNS($F90:L90)+6,FALSE)),0,+(VLOOKUP($B90,Historical!$A$5:$U$500,COLUMNS($F90:L90)+6,FALSE)))/1000,3)</f>
        <v>0</v>
      </c>
      <c r="M90" s="27">
        <f>ROUND(IF(ISNA(VLOOKUP($B90,Historical!$A$5:$U$500,COLUMNS($F90:M90)+6,FALSE)),0,+(VLOOKUP($B90,Historical!$A$5:$U$500,COLUMNS($F90:M90)+6,FALSE)))/1000,3)</f>
        <v>0</v>
      </c>
      <c r="N90" s="27">
        <f>ROUND(IF(ISNA(VLOOKUP($B90,Historical!$A$5:$U$500,COLUMNS($F90:N90)+6,FALSE)),0,+(VLOOKUP($B90,Historical!$A$5:$U$500,COLUMNS($F90:N90)+6,FALSE)))/1000,3)</f>
        <v>0</v>
      </c>
      <c r="O90" s="27">
        <f>ROUND(IF(ISNA(VLOOKUP($B90,Historical!$A$5:$U$500,COLUMNS($F90:O90)+6,FALSE)),0,+(VLOOKUP($B90,Historical!$A$5:$U$500,COLUMNS($F90:O90)+6,FALSE)))/1000,3)</f>
        <v>0</v>
      </c>
      <c r="P90" s="27">
        <f>ROUND(IF(ISNA(VLOOKUP($B90,Historical!$A$5:$U$500,COLUMNS($F90:P90)+6,FALSE)),0,+(VLOOKUP($B90,Historical!$A$5:$U$500,COLUMNS($F90:P90)+6,FALSE)))/1000,3)</f>
        <v>0</v>
      </c>
      <c r="Q90" s="27">
        <f>ROUND(IF(ISNA(VLOOKUP($B90,Historical!$A$5:$U$500,COLUMNS($F90:Q90)+6,FALSE)),0,+(VLOOKUP($B90,Historical!$A$5:$U$500,COLUMNS($F90:Q90)+6,FALSE)))/1000,3)</f>
        <v>0</v>
      </c>
      <c r="R90" s="27">
        <f>ROUND(IF(ISNA(VLOOKUP($B90,Historical!$A$5:$U$500,COLUMNS($F90:R90)+6,FALSE)),0,+(VLOOKUP($B90,Historical!$A$5:$U$500,COLUMNS($F90:R90)+6,FALSE)))/1000,3)</f>
        <v>0</v>
      </c>
      <c r="S90" s="150">
        <f>(SUM(F90:R90)/13)</f>
        <v>0</v>
      </c>
      <c r="T90" s="144" t="s">
        <v>421</v>
      </c>
    </row>
    <row r="91" spans="1:20" ht="15" customHeight="1">
      <c r="A91" s="142">
        <v>27</v>
      </c>
      <c r="B91" s="35" t="s">
        <v>450</v>
      </c>
      <c r="C91" s="14" t="s">
        <v>451</v>
      </c>
      <c r="D91" s="142"/>
      <c r="E91" s="142"/>
      <c r="F91" s="154">
        <f>ROUND(VLOOKUP($B91,Historical!$A$5:$U$500,COLUMNS($F91:F91)+6,FALSE)/1000,3)</f>
        <v>-9656.5490000000009</v>
      </c>
      <c r="G91" s="154">
        <f>ROUND(VLOOKUP($B91,Historical!$A$5:$U$500,COLUMNS($F91:G91)+6,FALSE)/1000,3)</f>
        <v>-11216.674999999999</v>
      </c>
      <c r="H91" s="154">
        <f>ROUND(VLOOKUP($B91,Historical!$A$5:$U$500,COLUMNS($F91:H91)+6,FALSE)/1000,3)</f>
        <v>-11164.77</v>
      </c>
      <c r="I91" s="154">
        <f>ROUND(VLOOKUP($B91,Historical!$A$5:$U$500,COLUMNS($F91:I91)+6,FALSE)/1000,3)</f>
        <v>-11112.865</v>
      </c>
      <c r="J91" s="154">
        <f>ROUND(VLOOKUP($B91,Historical!$A$5:$U$500,COLUMNS($F91:J91)+6,FALSE)/1000,3)</f>
        <v>-11060.96</v>
      </c>
      <c r="K91" s="154">
        <f>ROUND(VLOOKUP($B91,Historical!$A$5:$U$500,COLUMNS($F91:K91)+6,FALSE)/1000,3)</f>
        <v>-11009.055</v>
      </c>
      <c r="L91" s="154">
        <f>ROUND(VLOOKUP($B91,Historical!$A$5:$U$500,COLUMNS($F91:L91)+6,FALSE)/1000,3)</f>
        <v>-10957.15</v>
      </c>
      <c r="M91" s="154">
        <f>ROUND(VLOOKUP($B91,Historical!$A$5:$U$500,COLUMNS($F91:M91)+6,FALSE)/1000,3)</f>
        <v>-10905.245000000001</v>
      </c>
      <c r="N91" s="154">
        <f>ROUND(VLOOKUP($B91,Historical!$A$5:$U$500,COLUMNS($F91:N91)+6,FALSE)/1000,3)</f>
        <v>-10853.34</v>
      </c>
      <c r="O91" s="154">
        <f>ROUND(VLOOKUP($B91,Historical!$A$5:$U$500,COLUMNS($F91:O91)+6,FALSE)/1000,3)</f>
        <v>-10801.434999999999</v>
      </c>
      <c r="P91" s="154">
        <f>ROUND(VLOOKUP($B91,Historical!$A$5:$U$500,COLUMNS($F91:P91)+6,FALSE)/1000,3)</f>
        <v>-10749.53</v>
      </c>
      <c r="Q91" s="154">
        <f>ROUND(VLOOKUP($B91,Historical!$A$5:$U$500,COLUMNS($F91:Q91)+6,FALSE)/1000,3)</f>
        <v>-10697.625</v>
      </c>
      <c r="R91" s="154">
        <f>ROUND(VLOOKUP($B91,Historical!$A$5:$U$500,COLUMNS($F91:R91)+6,FALSE)/1000,3)</f>
        <v>-10645.72</v>
      </c>
      <c r="S91" s="155">
        <f>(SUM(F91:R91)/13)</f>
        <v>-10833.147615384614</v>
      </c>
      <c r="T91" s="144" t="s">
        <v>421</v>
      </c>
    </row>
    <row r="92" spans="1:20" ht="15" customHeight="1">
      <c r="A92" s="142">
        <v>28</v>
      </c>
      <c r="B92" s="35"/>
      <c r="C92" s="14"/>
      <c r="D92" s="142" t="s">
        <v>445</v>
      </c>
      <c r="E92" s="142"/>
      <c r="F92" s="27">
        <f t="shared" ref="F92:S92" si="11">SUM(F89:F91)</f>
        <v>3195343.4509999999</v>
      </c>
      <c r="G92" s="27">
        <f t="shared" si="11"/>
        <v>3763783.3250000002</v>
      </c>
      <c r="H92" s="27">
        <f t="shared" si="11"/>
        <v>3763835.23</v>
      </c>
      <c r="I92" s="27">
        <f t="shared" si="11"/>
        <v>3763887.1349999998</v>
      </c>
      <c r="J92" s="27">
        <f t="shared" si="11"/>
        <v>3763939.04</v>
      </c>
      <c r="K92" s="27">
        <f t="shared" si="11"/>
        <v>3763990.9449999998</v>
      </c>
      <c r="L92" s="27">
        <f t="shared" si="11"/>
        <v>3764042.85</v>
      </c>
      <c r="M92" s="27">
        <f t="shared" si="11"/>
        <v>3764094.7549999999</v>
      </c>
      <c r="N92" s="27">
        <f t="shared" si="11"/>
        <v>3764146.66</v>
      </c>
      <c r="O92" s="27">
        <f t="shared" si="11"/>
        <v>3764198.5649999999</v>
      </c>
      <c r="P92" s="27">
        <f t="shared" si="11"/>
        <v>3764250.47</v>
      </c>
      <c r="Q92" s="27">
        <f t="shared" si="11"/>
        <v>3764302.375</v>
      </c>
      <c r="R92" s="27">
        <f t="shared" si="11"/>
        <v>3764354.28</v>
      </c>
      <c r="S92" s="27">
        <f t="shared" si="11"/>
        <v>3720320.6985384612</v>
      </c>
      <c r="T92" s="142"/>
    </row>
    <row r="93" spans="1:20" ht="15" customHeight="1">
      <c r="A93" s="142">
        <v>29</v>
      </c>
      <c r="B93" s="142"/>
      <c r="C93" s="142"/>
      <c r="D93" s="142"/>
      <c r="E93" s="142"/>
      <c r="F93" s="142"/>
      <c r="G93" s="142"/>
      <c r="H93" s="142"/>
      <c r="I93" s="142"/>
      <c r="J93" s="142"/>
      <c r="K93" s="142"/>
      <c r="L93" s="142"/>
      <c r="M93" s="142"/>
      <c r="N93" s="142"/>
      <c r="O93" s="142"/>
      <c r="P93" s="142"/>
      <c r="Q93" s="142"/>
      <c r="R93" s="142"/>
      <c r="S93" s="142"/>
      <c r="T93" s="142"/>
    </row>
    <row r="94" spans="1:20" ht="15" customHeight="1">
      <c r="A94" s="142">
        <v>30</v>
      </c>
      <c r="B94" s="35"/>
      <c r="C94" s="14"/>
      <c r="D94" s="142"/>
      <c r="E94" s="142"/>
      <c r="F94" s="27"/>
      <c r="G94" s="27"/>
      <c r="H94" s="27"/>
      <c r="I94" s="27"/>
      <c r="J94" s="27"/>
      <c r="K94" s="27"/>
      <c r="L94" s="27"/>
      <c r="M94" s="27"/>
      <c r="N94" s="27"/>
      <c r="O94" s="27"/>
      <c r="P94" s="27"/>
      <c r="Q94" s="27"/>
      <c r="R94" s="27"/>
      <c r="S94" s="27"/>
      <c r="T94" s="142"/>
    </row>
    <row r="95" spans="1:20" ht="15" customHeight="1">
      <c r="A95" s="142">
        <v>31</v>
      </c>
      <c r="B95" s="142"/>
      <c r="C95" s="142"/>
      <c r="D95" s="142"/>
      <c r="E95" s="142"/>
      <c r="F95" s="142"/>
      <c r="G95" s="142"/>
      <c r="H95" s="142"/>
      <c r="I95" s="142"/>
      <c r="J95" s="142"/>
      <c r="K95" s="142"/>
      <c r="L95" s="142"/>
      <c r="M95" s="142"/>
      <c r="N95" s="142"/>
      <c r="O95" s="142"/>
      <c r="P95" s="142"/>
      <c r="Q95" s="142"/>
      <c r="R95" s="142"/>
      <c r="S95" s="142"/>
      <c r="T95" s="142"/>
    </row>
    <row r="96" spans="1:20" ht="15" customHeight="1">
      <c r="A96" s="142">
        <v>32</v>
      </c>
      <c r="B96" s="142"/>
      <c r="C96" s="142"/>
      <c r="D96" s="142"/>
      <c r="E96" s="142"/>
      <c r="F96" s="142"/>
      <c r="G96" s="142"/>
      <c r="H96" s="142"/>
      <c r="I96" s="142"/>
      <c r="J96" s="142"/>
      <c r="K96" s="142"/>
      <c r="L96" s="142"/>
      <c r="M96" s="142"/>
      <c r="N96" s="142"/>
      <c r="O96" s="142"/>
      <c r="P96" s="142"/>
      <c r="Q96" s="142"/>
      <c r="R96" s="142"/>
      <c r="S96" s="142"/>
      <c r="T96" s="142"/>
    </row>
    <row r="97" spans="1:20" ht="15" customHeight="1">
      <c r="A97" s="142">
        <v>33</v>
      </c>
      <c r="B97" s="142"/>
      <c r="C97" s="142"/>
      <c r="D97" s="142"/>
      <c r="E97" s="142"/>
      <c r="F97" s="142"/>
      <c r="G97" s="142"/>
      <c r="H97" s="142"/>
      <c r="I97" s="142"/>
      <c r="J97" s="142"/>
      <c r="K97" s="142"/>
      <c r="L97" s="142"/>
      <c r="M97" s="142"/>
      <c r="N97" s="142"/>
      <c r="O97" s="142"/>
      <c r="P97" s="142"/>
      <c r="Q97" s="142"/>
      <c r="R97" s="142"/>
      <c r="S97" s="142"/>
      <c r="T97" s="142"/>
    </row>
    <row r="98" spans="1:20" ht="15" customHeight="1">
      <c r="A98" s="142">
        <v>34</v>
      </c>
      <c r="B98" s="142"/>
      <c r="C98" s="142"/>
      <c r="D98" s="142"/>
      <c r="E98" s="142"/>
      <c r="F98" s="142"/>
      <c r="G98" s="142"/>
      <c r="H98" s="142"/>
      <c r="I98" s="142"/>
      <c r="J98" s="142"/>
      <c r="K98" s="142"/>
      <c r="L98" s="142"/>
      <c r="M98" s="142"/>
      <c r="N98" s="142"/>
      <c r="O98" s="142"/>
      <c r="P98" s="142"/>
      <c r="Q98" s="142"/>
      <c r="R98" s="142"/>
      <c r="S98" s="142"/>
      <c r="T98" s="142"/>
    </row>
    <row r="99" spans="1:20" ht="15" customHeight="1">
      <c r="A99" s="142">
        <v>35</v>
      </c>
      <c r="B99" s="142"/>
      <c r="C99" s="142"/>
      <c r="D99" s="142"/>
      <c r="E99" s="142"/>
      <c r="F99" s="142"/>
      <c r="G99" s="142"/>
      <c r="H99" s="142"/>
      <c r="I99" s="142"/>
      <c r="J99" s="142"/>
      <c r="K99" s="142"/>
      <c r="L99" s="142"/>
      <c r="M99" s="142"/>
      <c r="N99" s="142"/>
      <c r="O99" s="142"/>
      <c r="P99" s="142"/>
      <c r="Q99" s="142"/>
      <c r="R99" s="142"/>
      <c r="S99" s="142"/>
      <c r="T99" s="142"/>
    </row>
    <row r="100" spans="1:20" ht="15" customHeight="1">
      <c r="A100" s="142">
        <v>36</v>
      </c>
      <c r="B100" s="142"/>
      <c r="C100" s="14"/>
      <c r="D100" s="142"/>
      <c r="E100" s="142"/>
      <c r="F100" s="27"/>
      <c r="G100" s="161"/>
      <c r="H100" s="161"/>
      <c r="I100" s="161"/>
      <c r="J100" s="161"/>
      <c r="K100" s="161"/>
      <c r="L100" s="161"/>
      <c r="M100" s="161"/>
      <c r="N100" s="161"/>
      <c r="O100" s="161"/>
      <c r="P100" s="161"/>
      <c r="Q100" s="161"/>
      <c r="R100" s="161"/>
      <c r="S100" s="161"/>
      <c r="T100" s="142"/>
    </row>
    <row r="101" spans="1:20" ht="15" customHeight="1">
      <c r="A101" s="142">
        <v>37</v>
      </c>
      <c r="B101" s="142"/>
      <c r="C101" s="14"/>
      <c r="D101" s="142"/>
      <c r="E101" s="142"/>
      <c r="F101" s="27"/>
      <c r="G101" s="161"/>
      <c r="H101" s="161"/>
      <c r="I101" s="161"/>
      <c r="J101" s="161"/>
      <c r="K101" s="161"/>
      <c r="L101" s="161"/>
      <c r="M101" s="161"/>
      <c r="N101" s="161"/>
      <c r="O101" s="161"/>
      <c r="P101" s="161"/>
      <c r="Q101" s="161"/>
      <c r="R101" s="161"/>
      <c r="S101" s="161"/>
      <c r="T101" s="142"/>
    </row>
    <row r="102" spans="1:20" ht="15" customHeight="1">
      <c r="A102" s="142">
        <v>38</v>
      </c>
      <c r="B102" s="142"/>
      <c r="C102" s="14"/>
      <c r="D102" s="142"/>
      <c r="E102" s="142"/>
      <c r="F102" s="27"/>
      <c r="G102" s="161"/>
      <c r="H102" s="161"/>
      <c r="I102" s="161"/>
      <c r="J102" s="161"/>
      <c r="K102" s="161"/>
      <c r="L102" s="161"/>
      <c r="M102" s="161"/>
      <c r="N102" s="161"/>
      <c r="O102" s="161"/>
      <c r="P102" s="161"/>
      <c r="Q102" s="161"/>
      <c r="R102" s="161"/>
      <c r="S102" s="161"/>
      <c r="T102" s="142"/>
    </row>
    <row r="103" spans="1:20" ht="15" customHeight="1">
      <c r="A103" s="142">
        <v>39</v>
      </c>
      <c r="B103" s="142"/>
      <c r="C103" s="14"/>
      <c r="D103" s="142"/>
      <c r="E103" s="142"/>
      <c r="F103" s="27"/>
      <c r="G103" s="161"/>
      <c r="H103" s="161"/>
      <c r="I103" s="161"/>
      <c r="J103" s="161"/>
      <c r="K103" s="161"/>
      <c r="L103" s="161"/>
      <c r="M103" s="161"/>
      <c r="N103" s="161"/>
      <c r="O103" s="161"/>
      <c r="P103" s="161"/>
      <c r="Q103" s="161"/>
      <c r="R103" s="161"/>
      <c r="S103" s="161"/>
      <c r="T103" s="142"/>
    </row>
    <row r="104" spans="1:20" ht="15" customHeight="1">
      <c r="A104" s="142">
        <v>40</v>
      </c>
      <c r="B104" s="142"/>
      <c r="C104" s="14"/>
      <c r="D104" s="142"/>
      <c r="E104" s="142"/>
      <c r="F104" s="27"/>
      <c r="G104" s="161"/>
      <c r="H104" s="161"/>
      <c r="I104" s="161"/>
      <c r="J104" s="161"/>
      <c r="K104" s="161"/>
      <c r="L104" s="161"/>
      <c r="M104" s="161"/>
      <c r="N104" s="161"/>
      <c r="O104" s="161"/>
      <c r="P104" s="161"/>
      <c r="Q104" s="161"/>
      <c r="R104" s="161"/>
      <c r="S104" s="161"/>
      <c r="T104" s="142"/>
    </row>
    <row r="105" spans="1:20" ht="15" customHeight="1">
      <c r="A105" s="142">
        <v>41</v>
      </c>
      <c r="B105" s="142"/>
      <c r="C105" s="142"/>
      <c r="D105" s="142"/>
      <c r="E105" s="142"/>
      <c r="F105" s="142"/>
      <c r="G105" s="142"/>
      <c r="H105" s="142"/>
      <c r="I105" s="142"/>
      <c r="J105" s="142"/>
      <c r="K105" s="142"/>
      <c r="L105" s="142"/>
      <c r="M105" s="142"/>
      <c r="N105" s="142"/>
      <c r="O105" s="142"/>
      <c r="P105" s="142"/>
      <c r="Q105" s="142"/>
      <c r="R105" s="142"/>
      <c r="S105" s="142"/>
      <c r="T105" s="142"/>
    </row>
    <row r="106" spans="1:20" ht="15" customHeight="1">
      <c r="A106" s="142">
        <v>42</v>
      </c>
      <c r="B106" s="142" t="s">
        <v>417</v>
      </c>
      <c r="C106" s="4"/>
      <c r="D106" s="4"/>
      <c r="E106" s="4"/>
      <c r="F106" s="37"/>
      <c r="G106" s="37"/>
      <c r="H106" s="37"/>
      <c r="I106" s="37"/>
      <c r="J106" s="37"/>
      <c r="K106" s="37"/>
      <c r="L106" s="37"/>
      <c r="M106" s="37"/>
      <c r="N106" s="37"/>
      <c r="O106" s="37"/>
      <c r="P106" s="37"/>
      <c r="Q106" s="37"/>
    </row>
    <row r="107" spans="1:20" ht="15" customHeight="1" thickBot="1">
      <c r="A107" s="145">
        <v>43</v>
      </c>
      <c r="B107" s="145" t="s">
        <v>67</v>
      </c>
      <c r="C107" s="1"/>
      <c r="D107" s="1"/>
      <c r="E107" s="1"/>
      <c r="F107" s="1"/>
      <c r="G107" s="1"/>
      <c r="H107" s="1"/>
      <c r="I107" s="1"/>
      <c r="J107" s="1"/>
      <c r="K107" s="1"/>
      <c r="L107" s="1"/>
      <c r="M107" s="1"/>
      <c r="N107" s="1"/>
      <c r="O107" s="1"/>
      <c r="P107" s="1"/>
      <c r="Q107" s="1"/>
      <c r="R107" s="1"/>
      <c r="S107" s="1"/>
      <c r="T107" s="100"/>
    </row>
    <row r="108" spans="1:20" ht="15" customHeight="1">
      <c r="A108" s="4" t="str">
        <f>+$A$54</f>
        <v>Supporting Schedules:</v>
      </c>
      <c r="B108" s="5"/>
      <c r="C108" s="5"/>
      <c r="D108" s="5"/>
      <c r="E108" s="5"/>
      <c r="F108" s="5"/>
      <c r="G108" s="5"/>
      <c r="H108" s="5"/>
      <c r="I108" s="5"/>
      <c r="J108" s="5"/>
      <c r="K108" s="5"/>
      <c r="L108" s="5"/>
      <c r="M108" s="5"/>
      <c r="N108" s="5"/>
      <c r="O108" s="5"/>
      <c r="P108" s="5"/>
      <c r="Q108" s="5"/>
      <c r="R108" s="5" t="s">
        <v>181</v>
      </c>
      <c r="S108" s="5"/>
      <c r="T108" s="5"/>
    </row>
    <row r="109" spans="1:20" ht="15" customHeight="1" thickBot="1">
      <c r="A109" s="1" t="str">
        <f>+$A$1</f>
        <v>SCHEDULE B-3</v>
      </c>
      <c r="B109" s="1"/>
      <c r="C109" s="1"/>
      <c r="D109" s="1"/>
      <c r="E109" s="1"/>
      <c r="F109" s="1"/>
      <c r="G109" s="1"/>
      <c r="H109" s="1"/>
      <c r="I109" s="1" t="str">
        <f>+$I$1</f>
        <v>13 MONTH AVERAGE BALANCE SHEET - SYSTEM BASIS</v>
      </c>
      <c r="J109" s="1"/>
      <c r="K109" s="1"/>
      <c r="L109" s="1"/>
      <c r="M109" s="1"/>
      <c r="N109" s="1"/>
      <c r="O109" s="1"/>
      <c r="P109" s="1"/>
      <c r="Q109" s="1"/>
      <c r="R109" s="1"/>
      <c r="S109" s="1"/>
      <c r="T109" s="3" t="s">
        <v>452</v>
      </c>
    </row>
    <row r="110" spans="1:20" ht="15" customHeight="1">
      <c r="A110" s="4" t="s">
        <v>4</v>
      </c>
      <c r="B110" s="4"/>
      <c r="C110" s="4"/>
      <c r="D110" s="4"/>
      <c r="E110" s="4"/>
      <c r="F110" s="4" t="s">
        <v>343</v>
      </c>
      <c r="G110" s="4" t="str">
        <f>+$G$2</f>
        <v>Derive the 13-month average system balance sheet by primary account by month for the test year, the prior year</v>
      </c>
      <c r="H110" s="5"/>
      <c r="I110" s="5"/>
      <c r="J110" s="6"/>
      <c r="K110" s="6"/>
      <c r="L110" s="4"/>
      <c r="M110" s="6"/>
      <c r="N110" s="6"/>
      <c r="O110" s="6"/>
      <c r="P110" s="6"/>
      <c r="Q110" s="6" t="s">
        <v>7</v>
      </c>
      <c r="R110" s="4"/>
      <c r="S110" s="4"/>
      <c r="T110" s="7"/>
    </row>
    <row r="111" spans="1:20" ht="15" customHeight="1">
      <c r="A111" s="4"/>
      <c r="B111" s="4"/>
      <c r="C111" s="4"/>
      <c r="D111" s="4"/>
      <c r="E111" s="4"/>
      <c r="F111" s="4"/>
      <c r="G111" s="4" t="str">
        <f>+$G$3</f>
        <v>and the most recent historical year.  For accounts including non-electric utility amounts, show these</v>
      </c>
      <c r="H111" s="5"/>
      <c r="I111" s="5"/>
      <c r="J111" s="9"/>
      <c r="K111" s="7"/>
      <c r="L111" s="4"/>
      <c r="M111" s="4"/>
      <c r="N111" s="4"/>
      <c r="O111" s="4"/>
      <c r="P111" s="9"/>
      <c r="R111" s="7" t="str">
        <f>+$R$3</f>
        <v>Projected Test Year Ended 12/31/2025</v>
      </c>
      <c r="S111" s="4"/>
      <c r="T111" s="9"/>
    </row>
    <row r="112" spans="1:20" ht="15" customHeight="1">
      <c r="A112" s="4" t="s">
        <v>10</v>
      </c>
      <c r="B112" s="4"/>
      <c r="C112" s="4"/>
      <c r="D112" s="4"/>
      <c r="E112" s="4"/>
      <c r="F112" s="4"/>
      <c r="G112" s="4" t="str">
        <f>+$G$4</f>
        <v>amounts as a separate sub-account.</v>
      </c>
      <c r="H112" s="4"/>
      <c r="I112" s="4"/>
      <c r="J112" s="9"/>
      <c r="K112" s="7"/>
      <c r="L112" s="9"/>
      <c r="M112" s="4"/>
      <c r="N112" s="4"/>
      <c r="O112" s="4"/>
      <c r="P112" s="4"/>
      <c r="Q112" s="9"/>
      <c r="R112" s="7" t="str">
        <f>+$R$4</f>
        <v>Projected Prior Year Ended 12/31/2024</v>
      </c>
      <c r="S112" s="4"/>
      <c r="T112" s="9"/>
    </row>
    <row r="113" spans="1:20" ht="15" customHeight="1">
      <c r="A113" s="4"/>
      <c r="B113" s="4"/>
      <c r="C113" s="4"/>
      <c r="D113" s="4"/>
      <c r="E113" s="4"/>
      <c r="F113" s="4"/>
      <c r="G113" s="4"/>
      <c r="H113" s="4"/>
      <c r="I113" s="4"/>
      <c r="J113" s="9"/>
      <c r="K113" s="7"/>
      <c r="L113" s="9"/>
      <c r="M113" s="4"/>
      <c r="N113" s="4"/>
      <c r="O113" s="4"/>
      <c r="P113" s="4"/>
      <c r="Q113" s="9" t="s">
        <v>12</v>
      </c>
      <c r="R113" s="7" t="str">
        <f>+$R$5</f>
        <v>Historical Prior Year Ended 12/31/2023</v>
      </c>
      <c r="S113" s="4"/>
      <c r="T113" s="9"/>
    </row>
    <row r="114" spans="1:20" ht="15" customHeight="1" thickBot="1">
      <c r="A114" s="2" t="str">
        <f>A6</f>
        <v>Docket No.</v>
      </c>
      <c r="B114" s="2"/>
      <c r="C114" s="1"/>
      <c r="D114" s="1"/>
      <c r="E114" s="1"/>
      <c r="F114" s="1"/>
      <c r="G114" s="1"/>
      <c r="H114" s="1"/>
      <c r="I114" s="2" t="s">
        <v>15</v>
      </c>
      <c r="J114" s="10"/>
      <c r="K114" s="1"/>
      <c r="L114" s="1"/>
      <c r="M114" s="1"/>
      <c r="N114" s="1"/>
      <c r="O114" s="1"/>
      <c r="P114" s="1"/>
      <c r="Q114" s="1"/>
      <c r="R114" s="2" t="str">
        <f>R60</f>
        <v>Witness:</v>
      </c>
      <c r="S114" s="1"/>
      <c r="T114" s="1"/>
    </row>
    <row r="115" spans="1:20" ht="15" customHeight="1">
      <c r="A115" s="142"/>
      <c r="B115" s="142"/>
      <c r="C115" s="143"/>
      <c r="D115" s="143"/>
      <c r="E115" s="143"/>
      <c r="F115" s="143" t="s">
        <v>17</v>
      </c>
      <c r="G115" s="143" t="s">
        <v>18</v>
      </c>
      <c r="H115" s="143" t="s">
        <v>19</v>
      </c>
      <c r="I115" s="143" t="s">
        <v>20</v>
      </c>
      <c r="J115" s="143" t="s">
        <v>21</v>
      </c>
      <c r="K115" s="143" t="s">
        <v>22</v>
      </c>
      <c r="L115" s="143" t="s">
        <v>23</v>
      </c>
      <c r="M115" s="143" t="s">
        <v>24</v>
      </c>
      <c r="N115" s="143" t="s">
        <v>25</v>
      </c>
      <c r="O115" s="143" t="s">
        <v>26</v>
      </c>
      <c r="P115" s="143" t="s">
        <v>348</v>
      </c>
      <c r="Q115" s="143" t="s">
        <v>349</v>
      </c>
      <c r="R115" s="143" t="s">
        <v>350</v>
      </c>
      <c r="S115" s="143" t="s">
        <v>351</v>
      </c>
      <c r="T115" s="143" t="s">
        <v>352</v>
      </c>
    </row>
    <row r="116" spans="1:20" ht="15" customHeight="1">
      <c r="A116" s="142"/>
      <c r="B116" s="142"/>
      <c r="C116" s="142"/>
      <c r="D116" s="142"/>
      <c r="E116" s="142"/>
      <c r="F116" s="144"/>
      <c r="G116" s="144"/>
      <c r="H116" s="144"/>
      <c r="I116" s="144"/>
      <c r="J116" s="144"/>
      <c r="K116" s="144"/>
      <c r="L116" s="144"/>
      <c r="M116" s="144"/>
      <c r="N116" s="144"/>
      <c r="O116" s="144"/>
      <c r="P116" s="144"/>
      <c r="Q116" s="144"/>
      <c r="R116" s="144"/>
      <c r="S116" s="144" t="s">
        <v>353</v>
      </c>
      <c r="T116" s="144" t="s">
        <v>354</v>
      </c>
    </row>
    <row r="117" spans="1:20" ht="15" customHeight="1">
      <c r="A117" s="142" t="s">
        <v>35</v>
      </c>
      <c r="B117" s="144" t="s">
        <v>355</v>
      </c>
      <c r="C117" s="144" t="s">
        <v>356</v>
      </c>
      <c r="D117" s="144"/>
      <c r="E117" s="144"/>
      <c r="F117" s="144" t="s">
        <v>357</v>
      </c>
      <c r="G117" s="144" t="s">
        <v>358</v>
      </c>
      <c r="H117" s="144" t="s">
        <v>359</v>
      </c>
      <c r="I117" s="144" t="s">
        <v>360</v>
      </c>
      <c r="J117" s="144" t="s">
        <v>361</v>
      </c>
      <c r="K117" s="144" t="s">
        <v>362</v>
      </c>
      <c r="L117" s="144" t="s">
        <v>363</v>
      </c>
      <c r="M117" s="144" t="s">
        <v>364</v>
      </c>
      <c r="N117" s="144" t="s">
        <v>365</v>
      </c>
      <c r="O117" s="144" t="s">
        <v>366</v>
      </c>
      <c r="P117" s="144" t="s">
        <v>367</v>
      </c>
      <c r="Q117" s="144" t="s">
        <v>368</v>
      </c>
      <c r="R117" s="144" t="s">
        <v>357</v>
      </c>
      <c r="S117" s="144" t="s">
        <v>369</v>
      </c>
      <c r="T117" s="144" t="s">
        <v>370</v>
      </c>
    </row>
    <row r="118" spans="1:20" ht="15" customHeight="1" thickBot="1">
      <c r="A118" s="145" t="s">
        <v>46</v>
      </c>
      <c r="B118" s="146" t="s">
        <v>371</v>
      </c>
      <c r="C118" s="146" t="s">
        <v>372</v>
      </c>
      <c r="D118" s="146"/>
      <c r="E118" s="146"/>
      <c r="F118" s="147">
        <f>F$10</f>
        <v>2022</v>
      </c>
      <c r="G118" s="147">
        <f t="shared" ref="G118:S118" si="12">G$10</f>
        <v>2023</v>
      </c>
      <c r="H118" s="147">
        <f t="shared" si="12"/>
        <v>2023</v>
      </c>
      <c r="I118" s="147">
        <f t="shared" si="12"/>
        <v>2023</v>
      </c>
      <c r="J118" s="147">
        <f t="shared" si="12"/>
        <v>2023</v>
      </c>
      <c r="K118" s="147">
        <f t="shared" si="12"/>
        <v>2023</v>
      </c>
      <c r="L118" s="147">
        <f t="shared" si="12"/>
        <v>2023</v>
      </c>
      <c r="M118" s="147">
        <f t="shared" si="12"/>
        <v>2023</v>
      </c>
      <c r="N118" s="147">
        <f t="shared" si="12"/>
        <v>2023</v>
      </c>
      <c r="O118" s="147">
        <f t="shared" si="12"/>
        <v>2023</v>
      </c>
      <c r="P118" s="147">
        <f t="shared" si="12"/>
        <v>2023</v>
      </c>
      <c r="Q118" s="147">
        <f t="shared" si="12"/>
        <v>2023</v>
      </c>
      <c r="R118" s="147">
        <f t="shared" si="12"/>
        <v>2023</v>
      </c>
      <c r="S118" s="147">
        <f t="shared" si="12"/>
        <v>2023</v>
      </c>
      <c r="T118" s="146" t="s">
        <v>373</v>
      </c>
    </row>
    <row r="119" spans="1:20" ht="15" customHeight="1">
      <c r="A119" s="142">
        <v>1</v>
      </c>
      <c r="B119" s="142"/>
      <c r="C119" s="142" t="s">
        <v>337</v>
      </c>
      <c r="D119" s="142"/>
      <c r="E119" s="142"/>
      <c r="F119" s="142"/>
      <c r="G119" s="142"/>
      <c r="H119" s="142"/>
      <c r="I119" s="142"/>
      <c r="J119" s="142"/>
      <c r="K119" s="142"/>
      <c r="L119" s="142"/>
      <c r="M119" s="142"/>
      <c r="N119" s="142"/>
      <c r="O119" s="142"/>
      <c r="P119" s="142"/>
      <c r="Q119" s="142"/>
      <c r="R119" s="142"/>
      <c r="S119" s="142"/>
      <c r="T119" s="142"/>
    </row>
    <row r="120" spans="1:20" ht="15" customHeight="1">
      <c r="A120" s="142">
        <v>2</v>
      </c>
      <c r="B120" s="151" t="s">
        <v>453</v>
      </c>
      <c r="C120" s="14" t="s">
        <v>296</v>
      </c>
      <c r="D120" s="142"/>
      <c r="E120" s="142"/>
      <c r="F120" s="27">
        <f>ROUND(IF(ISNA(VLOOKUP($B120,Historical!$A$5:$U$500,COLUMNS($F120:F120)+6,FALSE)),0,+(VLOOKUP($B120,Historical!$A$5:$U$500,COLUMNS($F120:F120)+6,FALSE)))/1000,3)</f>
        <v>24402.977999999999</v>
      </c>
      <c r="G120" s="27">
        <f>ROUND(IF(ISNA(VLOOKUP($B120,Historical!$A$5:$U$500,COLUMNS($F120:G120)+6,FALSE)),0,+(VLOOKUP($B120,Historical!$A$5:$U$500,COLUMNS($F120:G120)+6,FALSE)))/1000,3)</f>
        <v>24371.84</v>
      </c>
      <c r="H120" s="27">
        <f>ROUND(IF(ISNA(VLOOKUP($B120,Historical!$A$5:$U$500,COLUMNS($F120:H120)+6,FALSE)),0,+(VLOOKUP($B120,Historical!$A$5:$U$500,COLUMNS($F120:H120)+6,FALSE)))/1000,3)</f>
        <v>24340.663</v>
      </c>
      <c r="I120" s="27">
        <f>ROUND(IF(ISNA(VLOOKUP($B120,Historical!$A$5:$U$500,COLUMNS($F120:I120)+6,FALSE)),0,+(VLOOKUP($B120,Historical!$A$5:$U$500,COLUMNS($F120:I120)+6,FALSE)))/1000,3)</f>
        <v>24697.223999999998</v>
      </c>
      <c r="J120" s="27">
        <f>ROUND(IF(ISNA(VLOOKUP($B120,Historical!$A$5:$U$500,COLUMNS($F120:J120)+6,FALSE)),0,+(VLOOKUP($B120,Historical!$A$5:$U$500,COLUMNS($F120:J120)+6,FALSE)))/1000,3)</f>
        <v>24667.374</v>
      </c>
      <c r="K120" s="27">
        <f>ROUND(IF(ISNA(VLOOKUP($B120,Historical!$A$5:$U$500,COLUMNS($F120:K120)+6,FALSE)),0,+(VLOOKUP($B120,Historical!$A$5:$U$500,COLUMNS($F120:K120)+6,FALSE)))/1000,3)</f>
        <v>24619.891</v>
      </c>
      <c r="L120" s="27">
        <f>ROUND(IF(ISNA(VLOOKUP($B120,Historical!$A$5:$U$500,COLUMNS($F120:L120)+6,FALSE)),0,+(VLOOKUP($B120,Historical!$A$5:$U$500,COLUMNS($F120:L120)+6,FALSE)))/1000,3)</f>
        <v>24098.833999999999</v>
      </c>
      <c r="M120" s="27">
        <f>ROUND(IF(ISNA(VLOOKUP($B120,Historical!$A$5:$U$500,COLUMNS($F120:M120)+6,FALSE)),0,+(VLOOKUP($B120,Historical!$A$5:$U$500,COLUMNS($F120:M120)+6,FALSE)))/1000,3)</f>
        <v>24050.338</v>
      </c>
      <c r="N120" s="27">
        <f>ROUND(IF(ISNA(VLOOKUP($B120,Historical!$A$5:$U$500,COLUMNS($F120:N120)+6,FALSE)),0,+(VLOOKUP($B120,Historical!$A$5:$U$500,COLUMNS($F120:N120)+6,FALSE)))/1000,3)</f>
        <v>24001.757000000001</v>
      </c>
      <c r="O120" s="27">
        <f>ROUND(IF(ISNA(VLOOKUP($B120,Historical!$A$5:$U$500,COLUMNS($F120:O120)+6,FALSE)),0,+(VLOOKUP($B120,Historical!$A$5:$U$500,COLUMNS($F120:O120)+6,FALSE)))/1000,3)</f>
        <v>23492.268</v>
      </c>
      <c r="P120" s="27">
        <f>ROUND(IF(ISNA(VLOOKUP($B120,Historical!$A$5:$U$500,COLUMNS($F120:P120)+6,FALSE)),0,+(VLOOKUP($B120,Historical!$A$5:$U$500,COLUMNS($F120:P120)+6,FALSE)))/1000,3)</f>
        <v>23443.514999999999</v>
      </c>
      <c r="Q120" s="27">
        <f>ROUND(IF(ISNA(VLOOKUP($B120,Historical!$A$5:$U$500,COLUMNS($F120:Q120)+6,FALSE)),0,+(VLOOKUP($B120,Historical!$A$5:$U$500,COLUMNS($F120:Q120)+6,FALSE)))/1000,3)</f>
        <v>23394.675999999999</v>
      </c>
      <c r="R120" s="27">
        <f>ROUND(IF(ISNA(VLOOKUP($B120,Historical!$A$5:$U$500,COLUMNS($F120:R120)+6,FALSE)),0,+(VLOOKUP($B120,Historical!$A$5:$U$500,COLUMNS($F120:R120)+6,FALSE)))/1000,3)</f>
        <v>22880.583999999999</v>
      </c>
      <c r="S120" s="150">
        <f t="shared" ref="S120:S126" si="13">(SUM(F120:R120)/13)</f>
        <v>24035.534</v>
      </c>
      <c r="T120" s="144" t="s">
        <v>118</v>
      </c>
    </row>
    <row r="121" spans="1:20" ht="15" customHeight="1">
      <c r="A121" s="142">
        <v>3</v>
      </c>
      <c r="B121" s="151" t="s">
        <v>454</v>
      </c>
      <c r="C121" s="14" t="s">
        <v>338</v>
      </c>
      <c r="D121" s="142"/>
      <c r="E121" s="142"/>
      <c r="F121" s="27">
        <f>ROUND(VLOOKUP($B121,Historical!$B$5:$U$500,COLUMNS($F121:F121)+5,FALSE)/1000,3)</f>
        <v>0</v>
      </c>
      <c r="G121" s="27">
        <f>ROUND(VLOOKUP($B121,Historical!$B$5:$U$500,COLUMNS($F121:G121)+5,FALSE)/1000,3)</f>
        <v>0</v>
      </c>
      <c r="H121" s="27">
        <f>ROUND(VLOOKUP($B121,Historical!$B$5:$U$500,COLUMNS($F121:H121)+5,FALSE)/1000,3)</f>
        <v>0</v>
      </c>
      <c r="I121" s="27">
        <f>ROUND(VLOOKUP($B121,Historical!$B$5:$U$500,COLUMNS($F121:I121)+5,FALSE)/1000,3)</f>
        <v>0</v>
      </c>
      <c r="J121" s="27">
        <f>ROUND(VLOOKUP($B121,Historical!$B$5:$U$500,COLUMNS($F121:J121)+5,FALSE)/1000,3)</f>
        <v>0</v>
      </c>
      <c r="K121" s="27">
        <f>ROUND(VLOOKUP($B121,Historical!$B$5:$U$500,COLUMNS($F121:K121)+5,FALSE)/1000,3)</f>
        <v>0</v>
      </c>
      <c r="L121" s="27">
        <f>ROUND(VLOOKUP($B121,Historical!$B$5:$U$500,COLUMNS($F121:L121)+5,FALSE)/1000,3)</f>
        <v>0</v>
      </c>
      <c r="M121" s="27">
        <f>ROUND(VLOOKUP($B121,Historical!$B$5:$U$500,COLUMNS($F121:M121)+5,FALSE)/1000,3)</f>
        <v>0.03</v>
      </c>
      <c r="N121" s="27">
        <f>ROUND(VLOOKUP($B121,Historical!$B$5:$U$500,COLUMNS($F121:N121)+5,FALSE)/1000,3)</f>
        <v>0</v>
      </c>
      <c r="O121" s="27">
        <f>ROUND(VLOOKUP($B121,Historical!$B$5:$U$500,COLUMNS($F121:O121)+5,FALSE)/1000,3)</f>
        <v>0</v>
      </c>
      <c r="P121" s="27">
        <f>ROUND(VLOOKUP($B121,Historical!$B$5:$U$500,COLUMNS($F121:P121)+5,FALSE)/1000,3)</f>
        <v>0</v>
      </c>
      <c r="Q121" s="27">
        <f>ROUND(VLOOKUP($B121,Historical!$B$5:$U$500,COLUMNS($F121:Q121)+5,FALSE)/1000,3)</f>
        <v>0</v>
      </c>
      <c r="R121" s="27">
        <f>ROUND(VLOOKUP($B121,Historical!$B$5:$U$500,COLUMNS($F121:R121)+5,FALSE)/1000,3)</f>
        <v>0</v>
      </c>
      <c r="S121" s="150">
        <f t="shared" si="13"/>
        <v>2.3076923076923075E-3</v>
      </c>
      <c r="T121" s="144" t="s">
        <v>118</v>
      </c>
    </row>
    <row r="122" spans="1:20" ht="15" customHeight="1">
      <c r="A122" s="142">
        <v>4</v>
      </c>
      <c r="B122" s="151" t="s">
        <v>455</v>
      </c>
      <c r="C122" s="14" t="s">
        <v>456</v>
      </c>
      <c r="D122" s="142"/>
      <c r="E122" s="142"/>
      <c r="F122" s="27">
        <f>ROUND(VLOOKUP($B122,Historical!$B$5:$U$500,COLUMNS($F122:F122)+5,FALSE)/1000,3)</f>
        <v>8188.9459999999999</v>
      </c>
      <c r="G122" s="27">
        <f>ROUND(VLOOKUP($B122,Historical!$B$5:$U$500,COLUMNS($F122:G122)+5,FALSE)/1000,3)</f>
        <v>8448.0169999999998</v>
      </c>
      <c r="H122" s="27">
        <f>ROUND(VLOOKUP($B122,Historical!$B$5:$U$500,COLUMNS($F122:H122)+5,FALSE)/1000,3)</f>
        <v>8433.6679999999997</v>
      </c>
      <c r="I122" s="27">
        <f>ROUND(VLOOKUP($B122,Historical!$B$5:$U$500,COLUMNS($F122:I122)+5,FALSE)/1000,3)</f>
        <v>7911.723</v>
      </c>
      <c r="J122" s="27">
        <f>ROUND(VLOOKUP($B122,Historical!$B$5:$U$500,COLUMNS($F122:J122)+5,FALSE)/1000,3)</f>
        <v>8095.9369999999999</v>
      </c>
      <c r="K122" s="27">
        <f>ROUND(VLOOKUP($B122,Historical!$B$5:$U$500,COLUMNS($F122:K122)+5,FALSE)/1000,3)</f>
        <v>8116.7160000000003</v>
      </c>
      <c r="L122" s="27">
        <f>ROUND(VLOOKUP($B122,Historical!$B$5:$U$500,COLUMNS($F122:L122)+5,FALSE)/1000,3)</f>
        <v>8063.7349999999997</v>
      </c>
      <c r="M122" s="27">
        <f>ROUND(VLOOKUP($B122,Historical!$B$5:$U$500,COLUMNS($F122:M122)+5,FALSE)/1000,3)</f>
        <v>8214.02</v>
      </c>
      <c r="N122" s="27">
        <f>ROUND(VLOOKUP($B122,Historical!$B$5:$U$500,COLUMNS($F122:N122)+5,FALSE)/1000,3)</f>
        <v>8156.35</v>
      </c>
      <c r="O122" s="27">
        <f>ROUND(VLOOKUP($B122,Historical!$B$5:$U$500,COLUMNS($F122:O122)+5,FALSE)/1000,3)</f>
        <v>8080.5730000000003</v>
      </c>
      <c r="P122" s="27">
        <f>ROUND(VLOOKUP($B122,Historical!$B$5:$U$500,COLUMNS($F122:P122)+5,FALSE)/1000,3)</f>
        <v>8058.1090000000004</v>
      </c>
      <c r="Q122" s="27">
        <f>ROUND(VLOOKUP($B122,Historical!$B$5:$U$500,COLUMNS($F122:Q122)+5,FALSE)/1000,3)</f>
        <v>8112.1660000000002</v>
      </c>
      <c r="R122" s="27">
        <f>ROUND(VLOOKUP($B122,Historical!$B$5:$U$500,COLUMNS($F122:R122)+5,FALSE)/1000,3)</f>
        <v>7974.6270000000004</v>
      </c>
      <c r="S122" s="150">
        <f t="shared" si="13"/>
        <v>8142.6605384615386</v>
      </c>
      <c r="T122" s="144" t="s">
        <v>118</v>
      </c>
    </row>
    <row r="123" spans="1:20" ht="15" customHeight="1">
      <c r="A123" s="142">
        <v>5</v>
      </c>
      <c r="B123" s="151" t="s">
        <v>457</v>
      </c>
      <c r="C123" s="14" t="s">
        <v>458</v>
      </c>
      <c r="D123" s="142"/>
      <c r="E123" s="142"/>
      <c r="F123" s="27">
        <f>ROUND(VLOOKUP($B123,Historical!$B$5:$U$500,COLUMNS($F123:F123)+5,FALSE)/1000,3)</f>
        <v>123309.018</v>
      </c>
      <c r="G123" s="27">
        <f>ROUND(VLOOKUP($B123,Historical!$B$5:$U$500,COLUMNS($F123:G123)+5,FALSE)/1000,3)</f>
        <v>119371.09299999999</v>
      </c>
      <c r="H123" s="27">
        <f>ROUND(VLOOKUP($B123,Historical!$B$5:$U$500,COLUMNS($F123:H123)+5,FALSE)/1000,3)</f>
        <v>118462.863</v>
      </c>
      <c r="I123" s="27">
        <f>ROUND(VLOOKUP($B123,Historical!$B$5:$U$500,COLUMNS($F123:I123)+5,FALSE)/1000,3)</f>
        <v>116489.463</v>
      </c>
      <c r="J123" s="27">
        <f>ROUND(VLOOKUP($B123,Historical!$B$5:$U$500,COLUMNS($F123:J123)+5,FALSE)/1000,3)</f>
        <v>113142.355</v>
      </c>
      <c r="K123" s="27">
        <f>ROUND(VLOOKUP($B123,Historical!$B$5:$U$500,COLUMNS($F123:K123)+5,FALSE)/1000,3)</f>
        <v>112518.531</v>
      </c>
      <c r="L123" s="27">
        <f>ROUND(VLOOKUP($B123,Historical!$B$5:$U$500,COLUMNS($F123:L123)+5,FALSE)/1000,3)</f>
        <v>109484.883</v>
      </c>
      <c r="M123" s="27">
        <f>ROUND(VLOOKUP($B123,Historical!$B$5:$U$500,COLUMNS($F123:M123)+5,FALSE)/1000,3)</f>
        <v>105975.565</v>
      </c>
      <c r="N123" s="27">
        <f>ROUND(VLOOKUP($B123,Historical!$B$5:$U$500,COLUMNS($F123:N123)+5,FALSE)/1000,3)</f>
        <v>105816.361</v>
      </c>
      <c r="O123" s="27">
        <f>ROUND(VLOOKUP($B123,Historical!$B$5:$U$500,COLUMNS($F123:O123)+5,FALSE)/1000,3)</f>
        <v>106737.871</v>
      </c>
      <c r="P123" s="27">
        <f>ROUND(VLOOKUP($B123,Historical!$B$5:$U$500,COLUMNS($F123:P123)+5,FALSE)/1000,3)</f>
        <v>104853.196</v>
      </c>
      <c r="Q123" s="27">
        <f>ROUND(VLOOKUP($B123,Historical!$B$5:$U$500,COLUMNS($F123:Q123)+5,FALSE)/1000,3)</f>
        <v>103606.912</v>
      </c>
      <c r="R123" s="27">
        <f>ROUND(VLOOKUP($B123,Historical!$B$5:$U$500,COLUMNS($F123:R123)+5,FALSE)/1000,3)</f>
        <v>102007.177</v>
      </c>
      <c r="S123" s="150">
        <f t="shared" si="13"/>
        <v>110905.79138461538</v>
      </c>
      <c r="T123" s="144" t="s">
        <v>118</v>
      </c>
    </row>
    <row r="124" spans="1:20" ht="15" customHeight="1">
      <c r="A124" s="142">
        <v>6</v>
      </c>
      <c r="B124" s="151" t="s">
        <v>459</v>
      </c>
      <c r="C124" s="14" t="s">
        <v>460</v>
      </c>
      <c r="D124" s="142"/>
      <c r="E124" s="142"/>
      <c r="F124" s="27">
        <f>ROUND(VLOOKUP($B124,Historical!$B$5:$U$500,COLUMNS($F124:F124)+5,FALSE)/1000,3)</f>
        <v>33.652999999999999</v>
      </c>
      <c r="G124" s="27">
        <f>ROUND(VLOOKUP($B124,Historical!$B$5:$U$500,COLUMNS($F124:G124)+5,FALSE)/1000,3)</f>
        <v>33.652999999999999</v>
      </c>
      <c r="H124" s="27">
        <f>ROUND(VLOOKUP($B124,Historical!$B$5:$U$500,COLUMNS($F124:H124)+5,FALSE)/1000,3)</f>
        <v>33.652999999999999</v>
      </c>
      <c r="I124" s="27">
        <f>ROUND(VLOOKUP($B124,Historical!$B$5:$U$500,COLUMNS($F124:I124)+5,FALSE)/1000,3)</f>
        <v>493.661</v>
      </c>
      <c r="J124" s="27">
        <f>ROUND(VLOOKUP($B124,Historical!$B$5:$U$500,COLUMNS($F124:J124)+5,FALSE)/1000,3)</f>
        <v>493.661</v>
      </c>
      <c r="K124" s="27">
        <f>ROUND(VLOOKUP($B124,Historical!$B$5:$U$500,COLUMNS($F124:K124)+5,FALSE)/1000,3)</f>
        <v>493.661</v>
      </c>
      <c r="L124" s="27">
        <f>ROUND(VLOOKUP($B124,Historical!$B$5:$U$500,COLUMNS($F124:L124)+5,FALSE)/1000,3)</f>
        <v>421.702</v>
      </c>
      <c r="M124" s="27">
        <f>ROUND(VLOOKUP($B124,Historical!$B$5:$U$500,COLUMNS($F124:M124)+5,FALSE)/1000,3)</f>
        <v>421.702</v>
      </c>
      <c r="N124" s="27">
        <f>ROUND(VLOOKUP($B124,Historical!$B$5:$U$500,COLUMNS($F124:N124)+5,FALSE)/1000,3)</f>
        <v>421.702</v>
      </c>
      <c r="O124" s="27">
        <f>ROUND(VLOOKUP($B124,Historical!$B$5:$U$500,COLUMNS($F124:O124)+5,FALSE)/1000,3)</f>
        <v>967.01700000000005</v>
      </c>
      <c r="P124" s="27">
        <f>ROUND(VLOOKUP($B124,Historical!$B$5:$U$500,COLUMNS($F124:P124)+5,FALSE)/1000,3)</f>
        <v>967.01700000000005</v>
      </c>
      <c r="Q124" s="27">
        <f>ROUND(VLOOKUP($B124,Historical!$B$5:$U$500,COLUMNS($F124:Q124)+5,FALSE)/1000,3)</f>
        <v>967.01700000000005</v>
      </c>
      <c r="R124" s="27">
        <f>ROUND(VLOOKUP($B124,Historical!$B$5:$U$500,COLUMNS($F124:R124)+5,FALSE)/1000,3)</f>
        <v>782.70399999999995</v>
      </c>
      <c r="S124" s="150">
        <f t="shared" si="13"/>
        <v>502.36946153846145</v>
      </c>
      <c r="T124" s="144" t="s">
        <v>118</v>
      </c>
    </row>
    <row r="125" spans="1:20" ht="15" customHeight="1">
      <c r="A125" s="142">
        <v>7</v>
      </c>
      <c r="B125" s="151" t="s">
        <v>461</v>
      </c>
      <c r="C125" s="14" t="s">
        <v>462</v>
      </c>
      <c r="D125" s="142"/>
      <c r="E125" s="142"/>
      <c r="F125" s="27">
        <f>ROUND(IF(ISNA(VLOOKUP($B125,Historical!$A$5:$U$500,COLUMNS($F125:F125)+6,FALSE)),0,+(VLOOKUP($B125,Historical!$A$5:$U$500,COLUMNS($F125:F125)+6,FALSE)))/1000,3)</f>
        <v>0</v>
      </c>
      <c r="G125" s="27">
        <f>ROUND(IF(ISNA(VLOOKUP($B125,Historical!$A$5:$U$500,COLUMNS($F125:G125)+6,FALSE)),0,+(VLOOKUP($B125,Historical!$A$5:$U$500,COLUMNS($F125:G125)+6,FALSE)))/1000,3)</f>
        <v>0</v>
      </c>
      <c r="H125" s="27">
        <f>ROUND(IF(ISNA(VLOOKUP($B125,Historical!$A$5:$U$500,COLUMNS($F125:H125)+6,FALSE)),0,+(VLOOKUP($B125,Historical!$A$5:$U$500,COLUMNS($F125:H125)+6,FALSE)))/1000,3)</f>
        <v>0</v>
      </c>
      <c r="I125" s="27">
        <f>ROUND(IF(ISNA(VLOOKUP($B125,Historical!$A$5:$U$500,COLUMNS($F125:I125)+6,FALSE)),0,+(VLOOKUP($B125,Historical!$A$5:$U$500,COLUMNS($F125:I125)+6,FALSE)))/1000,3)</f>
        <v>0</v>
      </c>
      <c r="J125" s="27">
        <f>ROUND(IF(ISNA(VLOOKUP($B125,Historical!$A$5:$U$500,COLUMNS($F125:J125)+6,FALSE)),0,+(VLOOKUP($B125,Historical!$A$5:$U$500,COLUMNS($F125:J125)+6,FALSE)))/1000,3)</f>
        <v>0</v>
      </c>
      <c r="K125" s="27">
        <f>ROUND(IF(ISNA(VLOOKUP($B125,Historical!$A$5:$U$500,COLUMNS($F125:K125)+6,FALSE)),0,+(VLOOKUP($B125,Historical!$A$5:$U$500,COLUMNS($F125:K125)+6,FALSE)))/1000,3)</f>
        <v>0</v>
      </c>
      <c r="L125" s="27">
        <f>ROUND(IF(ISNA(VLOOKUP($B125,Historical!$A$5:$U$500,COLUMNS($F125:L125)+6,FALSE)),0,+(VLOOKUP($B125,Historical!$A$5:$U$500,COLUMNS($F125:L125)+6,FALSE)))/1000,3)</f>
        <v>0</v>
      </c>
      <c r="M125" s="27">
        <f>ROUND(IF(ISNA(VLOOKUP($B125,Historical!$A$5:$U$500,COLUMNS($F125:M125)+6,FALSE)),0,+(VLOOKUP($B125,Historical!$A$5:$U$500,COLUMNS($F125:M125)+6,FALSE)))/1000,3)</f>
        <v>0</v>
      </c>
      <c r="N125" s="27">
        <f>ROUND(IF(ISNA(VLOOKUP($B125,Historical!$A$5:$U$500,COLUMNS($F125:N125)+6,FALSE)),0,+(VLOOKUP($B125,Historical!$A$5:$U$500,COLUMNS($F125:N125)+6,FALSE)))/1000,3)</f>
        <v>0</v>
      </c>
      <c r="O125" s="27">
        <f>ROUND(IF(ISNA(VLOOKUP($B125,Historical!$A$5:$U$500,COLUMNS($F125:O125)+6,FALSE)),0,+(VLOOKUP($B125,Historical!$A$5:$U$500,COLUMNS($F125:O125)+6,FALSE)))/1000,3)</f>
        <v>0</v>
      </c>
      <c r="P125" s="27">
        <f>ROUND(IF(ISNA(VLOOKUP($B125,Historical!$A$5:$U$500,COLUMNS($F125:P125)+6,FALSE)),0,+(VLOOKUP($B125,Historical!$A$5:$U$500,COLUMNS($F125:P125)+6,FALSE)))/1000,3)</f>
        <v>0</v>
      </c>
      <c r="Q125" s="27">
        <f>ROUND(IF(ISNA(VLOOKUP($B125,Historical!$A$5:$U$500,COLUMNS($F125:Q125)+6,FALSE)),0,+(VLOOKUP($B125,Historical!$A$5:$U$500,COLUMNS($F125:Q125)+6,FALSE)))/1000,3)</f>
        <v>0</v>
      </c>
      <c r="R125" s="27">
        <f>ROUND(IF(ISNA(VLOOKUP($B125,Historical!$A$5:$U$500,COLUMNS($F125:R125)+6,FALSE)),0,+(VLOOKUP($B125,Historical!$A$5:$U$500,COLUMNS($F125:R125)+6,FALSE)))/1000,3)</f>
        <v>0</v>
      </c>
      <c r="S125" s="150">
        <f t="shared" si="13"/>
        <v>0</v>
      </c>
      <c r="T125" s="144" t="s">
        <v>118</v>
      </c>
    </row>
    <row r="126" spans="1:20" ht="15" customHeight="1">
      <c r="A126" s="142">
        <v>8</v>
      </c>
      <c r="B126" s="35" t="s">
        <v>463</v>
      </c>
      <c r="C126" s="14" t="s">
        <v>254</v>
      </c>
      <c r="D126" s="142"/>
      <c r="E126" s="142"/>
      <c r="F126" s="32">
        <f>ROUND(IF(ISNA(VLOOKUP($B126,Historical!$A$5:$U$500,COLUMNS($F126:F126)+6,FALSE)),0,+(VLOOKUP($B126,Historical!$A$5:$U$500,COLUMNS($F126:F126)+6,FALSE)))/1000,3)</f>
        <v>35307.076999999997</v>
      </c>
      <c r="G126" s="32">
        <f>ROUND(IF(ISNA(VLOOKUP($B126,Historical!$A$5:$U$500,COLUMNS($F126:G126)+6,FALSE)),0,+(VLOOKUP($B126,Historical!$A$5:$U$500,COLUMNS($F126:G126)+6,FALSE)))/1000,3)</f>
        <v>35431.131000000001</v>
      </c>
      <c r="H126" s="32">
        <f>ROUND(IF(ISNA(VLOOKUP($B126,Historical!$A$5:$U$500,COLUMNS($F126:H126)+6,FALSE)),0,+(VLOOKUP($B126,Historical!$A$5:$U$500,COLUMNS($F126:H126)+6,FALSE)))/1000,3)</f>
        <v>35555.659</v>
      </c>
      <c r="I126" s="32">
        <f>ROUND(IF(ISNA(VLOOKUP($B126,Historical!$A$5:$U$500,COLUMNS($F126:I126)+6,FALSE)),0,+(VLOOKUP($B126,Historical!$A$5:$U$500,COLUMNS($F126:I126)+6,FALSE)))/1000,3)</f>
        <v>32516.236000000001</v>
      </c>
      <c r="J126" s="32">
        <f>ROUND(IF(ISNA(VLOOKUP($B126,Historical!$A$5:$U$500,COLUMNS($F126:J126)+6,FALSE)),0,+(VLOOKUP($B126,Historical!$A$5:$U$500,COLUMNS($F126:J126)+6,FALSE)))/1000,3)</f>
        <v>32630.113000000001</v>
      </c>
      <c r="K126" s="32">
        <f>ROUND(IF(ISNA(VLOOKUP($B126,Historical!$A$5:$U$500,COLUMNS($F126:K126)+6,FALSE)),0,+(VLOOKUP($B126,Historical!$A$5:$U$500,COLUMNS($F126:K126)+6,FALSE)))/1000,3)</f>
        <v>32744.427</v>
      </c>
      <c r="L126" s="32">
        <f>ROUND(IF(ISNA(VLOOKUP($B126,Historical!$A$5:$U$500,COLUMNS($F126:L126)+6,FALSE)),0,+(VLOOKUP($B126,Historical!$A$5:$U$500,COLUMNS($F126:L126)+6,FALSE)))/1000,3)</f>
        <v>32859.178999999996</v>
      </c>
      <c r="M126" s="32">
        <f>ROUND(IF(ISNA(VLOOKUP($B126,Historical!$A$5:$U$500,COLUMNS($F126:M126)+6,FALSE)),0,+(VLOOKUP($B126,Historical!$A$5:$U$500,COLUMNS($F126:M126)+6,FALSE)))/1000,3)</f>
        <v>32974.370999999999</v>
      </c>
      <c r="N126" s="32">
        <f>ROUND(IF(ISNA(VLOOKUP($B126,Historical!$A$5:$U$500,COLUMNS($F126:N126)+6,FALSE)),0,+(VLOOKUP($B126,Historical!$A$5:$U$500,COLUMNS($F126:N126)+6,FALSE)))/1000,3)</f>
        <v>33090.004999999997</v>
      </c>
      <c r="O126" s="32">
        <f>ROUND(IF(ISNA(VLOOKUP($B126,Historical!$A$5:$U$500,COLUMNS($F126:O126)+6,FALSE)),0,+(VLOOKUP($B126,Historical!$A$5:$U$500,COLUMNS($F126:O126)+6,FALSE)))/1000,3)</f>
        <v>33206.082999999999</v>
      </c>
      <c r="P126" s="32">
        <f>ROUND(IF(ISNA(VLOOKUP($B126,Historical!$A$5:$U$500,COLUMNS($F126:P126)+6,FALSE)),0,+(VLOOKUP($B126,Historical!$A$5:$U$500,COLUMNS($F126:P126)+6,FALSE)))/1000,3)</f>
        <v>33322.607000000004</v>
      </c>
      <c r="Q126" s="32">
        <f>ROUND(IF(ISNA(VLOOKUP($B126,Historical!$A$5:$U$500,COLUMNS($F126:Q126)+6,FALSE)),0,+(VLOOKUP($B126,Historical!$A$5:$U$500,COLUMNS($F126:Q126)+6,FALSE)))/1000,3)</f>
        <v>33439.578000000001</v>
      </c>
      <c r="R126" s="32">
        <f>ROUND(IF(ISNA(VLOOKUP($B126,Historical!$A$5:$U$500,COLUMNS($F126:R126)+6,FALSE)),0,+(VLOOKUP($B126,Historical!$A$5:$U$500,COLUMNS($F126:R126)+6,FALSE)))/1000,3)</f>
        <v>32144.871999999999</v>
      </c>
      <c r="S126" s="155">
        <f t="shared" si="13"/>
        <v>33478.564461538459</v>
      </c>
      <c r="T126" s="144" t="s">
        <v>118</v>
      </c>
    </row>
    <row r="127" spans="1:20" ht="15" customHeight="1">
      <c r="A127" s="142">
        <v>9</v>
      </c>
      <c r="B127" s="35"/>
      <c r="C127" s="14"/>
      <c r="D127" s="142" t="s">
        <v>337</v>
      </c>
      <c r="E127" s="142"/>
      <c r="F127" s="27">
        <f t="shared" ref="F127:S127" si="14">SUM(F120:F126)</f>
        <v>191241.67199999996</v>
      </c>
      <c r="G127" s="27">
        <f t="shared" si="14"/>
        <v>187655.734</v>
      </c>
      <c r="H127" s="27">
        <f t="shared" si="14"/>
        <v>186826.50599999999</v>
      </c>
      <c r="I127" s="27">
        <f t="shared" si="14"/>
        <v>182108.307</v>
      </c>
      <c r="J127" s="27">
        <f t="shared" si="14"/>
        <v>179029.44</v>
      </c>
      <c r="K127" s="27">
        <f t="shared" si="14"/>
        <v>178493.226</v>
      </c>
      <c r="L127" s="27">
        <f t="shared" si="14"/>
        <v>174928.33299999998</v>
      </c>
      <c r="M127" s="27">
        <f t="shared" si="14"/>
        <v>171636.02600000001</v>
      </c>
      <c r="N127" s="27">
        <f t="shared" si="14"/>
        <v>171486.17499999999</v>
      </c>
      <c r="O127" s="27">
        <f t="shared" si="14"/>
        <v>172483.81199999998</v>
      </c>
      <c r="P127" s="27">
        <f t="shared" si="14"/>
        <v>170644.44400000002</v>
      </c>
      <c r="Q127" s="27">
        <f t="shared" si="14"/>
        <v>169520.34899999999</v>
      </c>
      <c r="R127" s="27">
        <f t="shared" si="14"/>
        <v>165789.96400000001</v>
      </c>
      <c r="S127" s="27">
        <f t="shared" si="14"/>
        <v>177064.92215384616</v>
      </c>
      <c r="T127" s="142"/>
    </row>
    <row r="128" spans="1:20" ht="15" customHeight="1">
      <c r="A128" s="142">
        <v>10</v>
      </c>
      <c r="B128" s="142"/>
      <c r="C128" s="142"/>
      <c r="D128" s="142"/>
      <c r="E128" s="142"/>
      <c r="F128" s="142"/>
      <c r="G128" s="142"/>
      <c r="H128" s="142"/>
      <c r="I128" s="142"/>
      <c r="J128" s="142"/>
      <c r="K128" s="142"/>
      <c r="L128" s="142"/>
      <c r="M128" s="142"/>
      <c r="N128" s="142"/>
      <c r="O128" s="142"/>
      <c r="P128" s="142"/>
      <c r="Q128" s="142"/>
      <c r="R128" s="142"/>
      <c r="S128" s="142"/>
      <c r="T128" s="142"/>
    </row>
    <row r="129" spans="1:22" ht="15" customHeight="1">
      <c r="A129" s="142">
        <v>11</v>
      </c>
      <c r="B129" s="142"/>
      <c r="C129" s="142" t="s">
        <v>464</v>
      </c>
      <c r="D129" s="142"/>
      <c r="E129" s="14"/>
      <c r="F129" s="27"/>
      <c r="G129" s="27"/>
      <c r="H129" s="27"/>
      <c r="I129" s="27"/>
      <c r="J129" s="27"/>
      <c r="K129" s="27"/>
      <c r="L129" s="27"/>
      <c r="M129" s="27"/>
      <c r="N129" s="27"/>
      <c r="O129" s="27"/>
      <c r="P129" s="27"/>
      <c r="Q129" s="27"/>
      <c r="R129" s="27"/>
      <c r="S129" s="150"/>
      <c r="T129" s="142"/>
    </row>
    <row r="130" spans="1:22" ht="15" customHeight="1">
      <c r="A130" s="142">
        <v>12</v>
      </c>
      <c r="B130" s="86" t="s">
        <v>465</v>
      </c>
      <c r="C130" s="14" t="s">
        <v>466</v>
      </c>
      <c r="D130" s="14"/>
      <c r="E130" s="142"/>
      <c r="F130" s="27">
        <f>ROUND(IF(ISNA(VLOOKUP($B130,Historical!$A$5:$U$500,COLUMNS($F130:F130)+6,FALSE)),0,+(VLOOKUP($B130,Historical!$A$5:$U$500,COLUMNS($F130:F130)+6,FALSE)))/1000,3)</f>
        <v>853002.85</v>
      </c>
      <c r="G130" s="27">
        <f>ROUND(IF(ISNA(VLOOKUP($B130,Historical!$A$5:$U$500,COLUMNS($F130:G130)+6,FALSE)),0,+(VLOOKUP($B130,Historical!$A$5:$U$500,COLUMNS($F130:G130)+6,FALSE)))/1000,3)</f>
        <v>1130000</v>
      </c>
      <c r="H130" s="27">
        <f>ROUND(IF(ISNA(VLOOKUP($B130,Historical!$A$5:$U$500,COLUMNS($F130:H130)+6,FALSE)),0,+(VLOOKUP($B130,Historical!$A$5:$U$500,COLUMNS($F130:H130)+6,FALSE)))/1000,3)</f>
        <v>1128000</v>
      </c>
      <c r="I130" s="27">
        <f>ROUND(IF(ISNA(VLOOKUP($B130,Historical!$A$5:$U$500,COLUMNS($F130:I130)+6,FALSE)),0,+(VLOOKUP($B130,Historical!$A$5:$U$500,COLUMNS($F130:I130)+6,FALSE)))/1000,3)</f>
        <v>1182900</v>
      </c>
      <c r="J130" s="27">
        <f>ROUND(IF(ISNA(VLOOKUP($B130,Historical!$A$5:$U$500,COLUMNS($F130:J130)+6,FALSE)),0,+(VLOOKUP($B130,Historical!$A$5:$U$500,COLUMNS($F130:J130)+6,FALSE)))/1000,3)</f>
        <v>1196000</v>
      </c>
      <c r="K130" s="27">
        <f>ROUND(IF(ISNA(VLOOKUP($B130,Historical!$A$5:$U$500,COLUMNS($F130:K130)+6,FALSE)),0,+(VLOOKUP($B130,Historical!$A$5:$U$500,COLUMNS($F130:K130)+6,FALSE)))/1000,3)</f>
        <v>1201000</v>
      </c>
      <c r="L130" s="27">
        <f>ROUND(IF(ISNA(VLOOKUP($B130,Historical!$A$5:$U$500,COLUMNS($F130:L130)+6,FALSE)),0,+(VLOOKUP($B130,Historical!$A$5:$U$500,COLUMNS($F130:L130)+6,FALSE)))/1000,3)</f>
        <v>1224000</v>
      </c>
      <c r="M130" s="27">
        <f>ROUND(IF(ISNA(VLOOKUP($B130,Historical!$A$5:$U$500,COLUMNS($F130:M130)+6,FALSE)),0,+(VLOOKUP($B130,Historical!$A$5:$U$500,COLUMNS($F130:M130)+6,FALSE)))/1000,3)</f>
        <v>1234000</v>
      </c>
      <c r="N130" s="27">
        <f>ROUND(IF(ISNA(VLOOKUP($B130,Historical!$A$5:$U$500,COLUMNS($F130:N130)+6,FALSE)),0,+(VLOOKUP($B130,Historical!$A$5:$U$500,COLUMNS($F130:N130)+6,FALSE)))/1000,3)</f>
        <v>1186000</v>
      </c>
      <c r="O130" s="27">
        <f>ROUND(IF(ISNA(VLOOKUP($B130,Historical!$A$5:$U$500,COLUMNS($F130:O130)+6,FALSE)),0,+(VLOOKUP($B130,Historical!$A$5:$U$500,COLUMNS($F130:O130)+6,FALSE)))/1000,3)</f>
        <v>1158000</v>
      </c>
      <c r="P130" s="27">
        <f>ROUND(IF(ISNA(VLOOKUP($B130,Historical!$A$5:$U$500,COLUMNS($F130:P130)+6,FALSE)),0,+(VLOOKUP($B130,Historical!$A$5:$U$500,COLUMNS($F130:P130)+6,FALSE)))/1000,3)</f>
        <v>1127500</v>
      </c>
      <c r="Q130" s="27">
        <f>ROUND(IF(ISNA(VLOOKUP($B130,Historical!$A$5:$U$500,COLUMNS($F130:Q130)+6,FALSE)),0,+(VLOOKUP($B130,Historical!$A$5:$U$500,COLUMNS($F130:Q130)+6,FALSE)))/1000,3)</f>
        <v>1144000</v>
      </c>
      <c r="R130" s="27">
        <f>ROUND(IF(ISNA(VLOOKUP($B130,Historical!$A$5:$U$500,COLUMNS($F130:R130)+6,FALSE)),0,+(VLOOKUP($B130,Historical!$A$5:$U$500,COLUMNS($F130:R130)+6,FALSE)))/1000,3)</f>
        <v>706000</v>
      </c>
      <c r="S130" s="150">
        <f t="shared" ref="S130:S142" si="15">(SUM(F130:R130)/13)</f>
        <v>1113107.9115384615</v>
      </c>
      <c r="T130" s="144" t="s">
        <v>421</v>
      </c>
      <c r="U130" s="86"/>
    </row>
    <row r="131" spans="1:22" ht="15" customHeight="1">
      <c r="A131" s="142">
        <v>13</v>
      </c>
      <c r="B131" s="151" t="s">
        <v>467</v>
      </c>
      <c r="C131" s="14" t="s">
        <v>301</v>
      </c>
      <c r="D131" s="142"/>
      <c r="E131" s="142"/>
      <c r="F131" s="27">
        <f>ROUND(IF(ISNA(VLOOKUP($B131,Historical!$A$5:$U$500,COLUMNS($F131:F131)+6,FALSE)),0,+(VLOOKUP($B131,Historical!$A$5:$U$500,COLUMNS($F131:F131)+6,FALSE)))/1000,3)</f>
        <v>364873.68099999998</v>
      </c>
      <c r="G131" s="27">
        <f>ROUND(IF(ISNA(VLOOKUP($B131,Historical!$A$5:$U$500,COLUMNS($F131:G131)+6,FALSE)),0,+(VLOOKUP($B131,Historical!$A$5:$U$500,COLUMNS($F131:G131)+6,FALSE)))/1000,3)</f>
        <v>293818.07900000003</v>
      </c>
      <c r="H131" s="27">
        <f>ROUND(IF(ISNA(VLOOKUP($B131,Historical!$A$5:$U$500,COLUMNS($F131:H131)+6,FALSE)),0,+(VLOOKUP($B131,Historical!$A$5:$U$500,COLUMNS($F131:H131)+6,FALSE)))/1000,3)</f>
        <v>251262.33</v>
      </c>
      <c r="I131" s="27">
        <f>ROUND(IF(ISNA(VLOOKUP($B131,Historical!$A$5:$U$500,COLUMNS($F131:I131)+6,FALSE)),0,+(VLOOKUP($B131,Historical!$A$5:$U$500,COLUMNS($F131:I131)+6,FALSE)))/1000,3)</f>
        <v>219303.43599999999</v>
      </c>
      <c r="J131" s="27">
        <f>ROUND(IF(ISNA(VLOOKUP($B131,Historical!$A$5:$U$500,COLUMNS($F131:J131)+6,FALSE)),0,+(VLOOKUP($B131,Historical!$A$5:$U$500,COLUMNS($F131:J131)+6,FALSE)))/1000,3)</f>
        <v>218308.61799999999</v>
      </c>
      <c r="K131" s="27">
        <f>ROUND(IF(ISNA(VLOOKUP($B131,Historical!$A$5:$U$500,COLUMNS($F131:K131)+6,FALSE)),0,+(VLOOKUP($B131,Historical!$A$5:$U$500,COLUMNS($F131:K131)+6,FALSE)))/1000,3)</f>
        <v>232908.48199999999</v>
      </c>
      <c r="L131" s="27">
        <f>ROUND(IF(ISNA(VLOOKUP($B131,Historical!$A$5:$U$500,COLUMNS($F131:L131)+6,FALSE)),0,+(VLOOKUP($B131,Historical!$A$5:$U$500,COLUMNS($F131:L131)+6,FALSE)))/1000,3)</f>
        <v>232257.571</v>
      </c>
      <c r="M131" s="27">
        <f>ROUND(IF(ISNA(VLOOKUP($B131,Historical!$A$5:$U$500,COLUMNS($F131:M131)+6,FALSE)),0,+(VLOOKUP($B131,Historical!$A$5:$U$500,COLUMNS($F131:M131)+6,FALSE)))/1000,3)</f>
        <v>229627.204</v>
      </c>
      <c r="N131" s="27">
        <f>ROUND(IF(ISNA(VLOOKUP($B131,Historical!$A$5:$U$500,COLUMNS($F131:N131)+6,FALSE)),0,+(VLOOKUP($B131,Historical!$A$5:$U$500,COLUMNS($F131:N131)+6,FALSE)))/1000,3)</f>
        <v>290999.85200000001</v>
      </c>
      <c r="O131" s="27">
        <f>ROUND(IF(ISNA(VLOOKUP($B131,Historical!$A$5:$U$500,COLUMNS($F131:O131)+6,FALSE)),0,+(VLOOKUP($B131,Historical!$A$5:$U$500,COLUMNS($F131:O131)+6,FALSE)))/1000,3)</f>
        <v>286564.15500000003</v>
      </c>
      <c r="P131" s="27">
        <f>ROUND(IF(ISNA(VLOOKUP($B131,Historical!$A$5:$U$500,COLUMNS($F131:P131)+6,FALSE)),0,+(VLOOKUP($B131,Historical!$A$5:$U$500,COLUMNS($F131:P131)+6,FALSE)))/1000,3)</f>
        <v>258423.35699999999</v>
      </c>
      <c r="Q131" s="27">
        <f>ROUND(IF(ISNA(VLOOKUP($B131,Historical!$A$5:$U$500,COLUMNS($F131:Q131)+6,FALSE)),0,+(VLOOKUP($B131,Historical!$A$5:$U$500,COLUMNS($F131:Q131)+6,FALSE)))/1000,3)</f>
        <v>284695.34299999999</v>
      </c>
      <c r="R131" s="27">
        <f>ROUND(IF(ISNA(VLOOKUP($B131,Historical!$A$5:$U$500,COLUMNS($F131:R131)+6,FALSE)),0,+(VLOOKUP($B131,Historical!$A$5:$U$500,COLUMNS($F131:R131)+6,FALSE)))/1000,3)</f>
        <v>320892.31199999998</v>
      </c>
      <c r="S131" s="150">
        <f t="shared" si="15"/>
        <v>267994.95538461534</v>
      </c>
      <c r="T131" s="144" t="s">
        <v>118</v>
      </c>
      <c r="U131" s="151"/>
    </row>
    <row r="132" spans="1:22" ht="15" customHeight="1">
      <c r="A132" s="142">
        <v>14</v>
      </c>
      <c r="B132" s="151" t="s">
        <v>468</v>
      </c>
      <c r="C132" s="162" t="s">
        <v>302</v>
      </c>
      <c r="D132" s="142"/>
      <c r="E132" s="142"/>
      <c r="F132" s="27">
        <f>ROUND(IF(ISNA(VLOOKUP($B132,Historical!$A$5:$U$500,COLUMNS($F132:F132)+6,FALSE)),0,+(VLOOKUP($B132,Historical!$A$5:$U$500,COLUMNS($F132:F132)+6,FALSE)))/1000,3)</f>
        <v>195000</v>
      </c>
      <c r="G132" s="27">
        <f>ROUND(IF(ISNA(VLOOKUP($B132,Historical!$A$5:$U$500,COLUMNS($F132:G132)+6,FALSE)),0,+(VLOOKUP($B132,Historical!$A$5:$U$500,COLUMNS($F132:G132)+6,FALSE)))/1000,3)</f>
        <v>195000</v>
      </c>
      <c r="H132" s="27">
        <f>ROUND(IF(ISNA(VLOOKUP($B132,Historical!$A$5:$U$500,COLUMNS($F132:H132)+6,FALSE)),0,+(VLOOKUP($B132,Historical!$A$5:$U$500,COLUMNS($F132:H132)+6,FALSE)))/1000,3)</f>
        <v>195000</v>
      </c>
      <c r="I132" s="27">
        <f>ROUND(IF(ISNA(VLOOKUP($B132,Historical!$A$5:$U$500,COLUMNS($F132:I132)+6,FALSE)),0,+(VLOOKUP($B132,Historical!$A$5:$U$500,COLUMNS($F132:I132)+6,FALSE)))/1000,3)</f>
        <v>195000</v>
      </c>
      <c r="J132" s="27">
        <f>ROUND(IF(ISNA(VLOOKUP($B132,Historical!$A$5:$U$500,COLUMNS($F132:J132)+6,FALSE)),0,+(VLOOKUP($B132,Historical!$A$5:$U$500,COLUMNS($F132:J132)+6,FALSE)))/1000,3)</f>
        <v>195000</v>
      </c>
      <c r="K132" s="27">
        <f>ROUND(IF(ISNA(VLOOKUP($B132,Historical!$A$5:$U$500,COLUMNS($F132:K132)+6,FALSE)),0,+(VLOOKUP($B132,Historical!$A$5:$U$500,COLUMNS($F132:K132)+6,FALSE)))/1000,3)</f>
        <v>195000</v>
      </c>
      <c r="L132" s="27">
        <f>ROUND(IF(ISNA(VLOOKUP($B132,Historical!$A$5:$U$500,COLUMNS($F132:L132)+6,FALSE)),0,+(VLOOKUP($B132,Historical!$A$5:$U$500,COLUMNS($F132:L132)+6,FALSE)))/1000,3)</f>
        <v>195000</v>
      </c>
      <c r="M132" s="27">
        <f>ROUND(IF(ISNA(VLOOKUP($B132,Historical!$A$5:$U$500,COLUMNS($F132:M132)+6,FALSE)),0,+(VLOOKUP($B132,Historical!$A$5:$U$500,COLUMNS($F132:M132)+6,FALSE)))/1000,3)</f>
        <v>195000</v>
      </c>
      <c r="N132" s="27">
        <f>ROUND(IF(ISNA(VLOOKUP($B132,Historical!$A$5:$U$500,COLUMNS($F132:N132)+6,FALSE)),0,+(VLOOKUP($B132,Historical!$A$5:$U$500,COLUMNS($F132:N132)+6,FALSE)))/1000,3)</f>
        <v>195000</v>
      </c>
      <c r="O132" s="27">
        <f>ROUND(IF(ISNA(VLOOKUP($B132,Historical!$A$5:$U$500,COLUMNS($F132:O132)+6,FALSE)),0,+(VLOOKUP($B132,Historical!$A$5:$U$500,COLUMNS($F132:O132)+6,FALSE)))/1000,3)</f>
        <v>195000</v>
      </c>
      <c r="P132" s="27">
        <f>ROUND(IF(ISNA(VLOOKUP($B132,Historical!$A$5:$U$500,COLUMNS($F132:P132)+6,FALSE)),0,+(VLOOKUP($B132,Historical!$A$5:$U$500,COLUMNS($F132:P132)+6,FALSE)))/1000,3)</f>
        <v>195000</v>
      </c>
      <c r="Q132" s="27">
        <f>ROUND(IF(ISNA(VLOOKUP($B132,Historical!$A$5:$U$500,COLUMNS($F132:Q132)+6,FALSE)),0,+(VLOOKUP($B132,Historical!$A$5:$U$500,COLUMNS($F132:Q132)+6,FALSE)))/1000,3)</f>
        <v>195000</v>
      </c>
      <c r="R132" s="27">
        <f>ROUND(IF(ISNA(VLOOKUP($B132,Historical!$A$5:$U$500,COLUMNS($F132:R132)+6,FALSE)),0,+(VLOOKUP($B132,Historical!$A$5:$U$500,COLUMNS($F132:R132)+6,FALSE)))/1000,3)</f>
        <v>0</v>
      </c>
      <c r="S132" s="150">
        <f t="shared" si="15"/>
        <v>180000</v>
      </c>
      <c r="T132" s="144" t="s">
        <v>421</v>
      </c>
      <c r="U132" s="151"/>
    </row>
    <row r="133" spans="1:22" ht="15" customHeight="1">
      <c r="A133" s="142">
        <v>15</v>
      </c>
      <c r="B133" s="86" t="s">
        <v>469</v>
      </c>
      <c r="C133" s="14" t="s">
        <v>303</v>
      </c>
      <c r="D133" s="142"/>
      <c r="E133" s="142"/>
      <c r="F133" s="27">
        <f>ROUND(IF(ISNA(VLOOKUP($B133,Historical!$A$5:$U$500,COLUMNS($F133:F133)+6,FALSE)),0,+(VLOOKUP($B133,Historical!$A$5:$U$500,COLUMNS($F133:F133)+6,FALSE)))/1000,3)</f>
        <v>20807.525000000001</v>
      </c>
      <c r="G133" s="27">
        <f>ROUND(IF(ISNA(VLOOKUP($B133,Historical!$A$5:$U$500,COLUMNS($F133:G133)+6,FALSE)),0,+(VLOOKUP($B133,Historical!$A$5:$U$500,COLUMNS($F133:G133)+6,FALSE)))/1000,3)</f>
        <v>17354.466</v>
      </c>
      <c r="H133" s="27">
        <f>ROUND(IF(ISNA(VLOOKUP($B133,Historical!$A$5:$U$500,COLUMNS($F133:H133)+6,FALSE)),0,+(VLOOKUP($B133,Historical!$A$5:$U$500,COLUMNS($F133:H133)+6,FALSE)))/1000,3)</f>
        <v>12045.960999999999</v>
      </c>
      <c r="I133" s="27">
        <f>ROUND(IF(ISNA(VLOOKUP($B133,Historical!$A$5:$U$500,COLUMNS($F133:I133)+6,FALSE)),0,+(VLOOKUP($B133,Historical!$A$5:$U$500,COLUMNS($F133:I133)+6,FALSE)))/1000,3)</f>
        <v>18658.82</v>
      </c>
      <c r="J133" s="27">
        <f>ROUND(IF(ISNA(VLOOKUP($B133,Historical!$A$5:$U$500,COLUMNS($F133:J133)+6,FALSE)),0,+(VLOOKUP($B133,Historical!$A$5:$U$500,COLUMNS($F133:J133)+6,FALSE)))/1000,3)</f>
        <v>41043.319000000003</v>
      </c>
      <c r="K133" s="27">
        <f>ROUND(IF(ISNA(VLOOKUP($B133,Historical!$A$5:$U$500,COLUMNS($F133:K133)+6,FALSE)),0,+(VLOOKUP($B133,Historical!$A$5:$U$500,COLUMNS($F133:K133)+6,FALSE)))/1000,3)</f>
        <v>15684.231</v>
      </c>
      <c r="L133" s="27">
        <f>ROUND(IF(ISNA(VLOOKUP($B133,Historical!$A$5:$U$500,COLUMNS($F133:L133)+6,FALSE)),0,+(VLOOKUP($B133,Historical!$A$5:$U$500,COLUMNS($F133:L133)+6,FALSE)))/1000,3)</f>
        <v>13637.554</v>
      </c>
      <c r="M133" s="27">
        <f>ROUND(IF(ISNA(VLOOKUP($B133,Historical!$A$5:$U$500,COLUMNS($F133:M133)+6,FALSE)),0,+(VLOOKUP($B133,Historical!$A$5:$U$500,COLUMNS($F133:M133)+6,FALSE)))/1000,3)</f>
        <v>16406.306</v>
      </c>
      <c r="N133" s="27">
        <f>ROUND(IF(ISNA(VLOOKUP($B133,Historical!$A$5:$U$500,COLUMNS($F133:N133)+6,FALSE)),0,+(VLOOKUP($B133,Historical!$A$5:$U$500,COLUMNS($F133:N133)+6,FALSE)))/1000,3)</f>
        <v>13657.074000000001</v>
      </c>
      <c r="O133" s="27">
        <f>ROUND(IF(ISNA(VLOOKUP($B133,Historical!$A$5:$U$500,COLUMNS($F133:O133)+6,FALSE)),0,+(VLOOKUP($B133,Historical!$A$5:$U$500,COLUMNS($F133:O133)+6,FALSE)))/1000,3)</f>
        <v>14751.879000000001</v>
      </c>
      <c r="P133" s="27">
        <f>ROUND(IF(ISNA(VLOOKUP($B133,Historical!$A$5:$U$500,COLUMNS($F133:P133)+6,FALSE)),0,+(VLOOKUP($B133,Historical!$A$5:$U$500,COLUMNS($F133:P133)+6,FALSE)))/1000,3)</f>
        <v>12289.312</v>
      </c>
      <c r="Q133" s="27">
        <f>ROUND(IF(ISNA(VLOOKUP($B133,Historical!$A$5:$U$500,COLUMNS($F133:Q133)+6,FALSE)),0,+(VLOOKUP($B133,Historical!$A$5:$U$500,COLUMNS($F133:Q133)+6,FALSE)))/1000,3)</f>
        <v>9045.5280000000002</v>
      </c>
      <c r="R133" s="27">
        <f>ROUND(IF(ISNA(VLOOKUP($B133,Historical!$A$5:$U$500,COLUMNS($F133:R133)+6,FALSE)),0,+(VLOOKUP($B133,Historical!$A$5:$U$500,COLUMNS($F133:R133)+6,FALSE)))/1000,3)</f>
        <v>10201.859</v>
      </c>
      <c r="S133" s="150">
        <f t="shared" si="15"/>
        <v>16583.371846153845</v>
      </c>
      <c r="T133" s="144" t="s">
        <v>118</v>
      </c>
      <c r="U133" s="151"/>
    </row>
    <row r="134" spans="1:22" ht="15" customHeight="1">
      <c r="A134" s="142">
        <v>16</v>
      </c>
      <c r="B134" s="86" t="s">
        <v>470</v>
      </c>
      <c r="C134" s="14" t="s">
        <v>471</v>
      </c>
      <c r="D134" s="142"/>
      <c r="E134" s="142"/>
      <c r="F134" s="27">
        <f>ROUND(IF(ISNA(VLOOKUP($B134,Historical!$A$5:$U$500,COLUMNS($F134:F134)+6,FALSE)),0,+(VLOOKUP($B134,Historical!$A$5:$U$500,COLUMNS($F134:F134)+6,FALSE)))/1000,3)</f>
        <v>114803.917</v>
      </c>
      <c r="G134" s="27">
        <f>ROUND(IF(ISNA(VLOOKUP($B134,Historical!$A$5:$U$500,COLUMNS($F134:G134)+6,FALSE)),0,+(VLOOKUP($B134,Historical!$A$5:$U$500,COLUMNS($F134:G134)+6,FALSE)))/1000,3)</f>
        <v>116588.14</v>
      </c>
      <c r="H134" s="27">
        <f>ROUND(IF(ISNA(VLOOKUP($B134,Historical!$A$5:$U$500,COLUMNS($F134:H134)+6,FALSE)),0,+(VLOOKUP($B134,Historical!$A$5:$U$500,COLUMNS($F134:H134)+6,FALSE)))/1000,3)</f>
        <v>118062.442</v>
      </c>
      <c r="I134" s="27">
        <f>ROUND(IF(ISNA(VLOOKUP($B134,Historical!$A$5:$U$500,COLUMNS($F134:I134)+6,FALSE)),0,+(VLOOKUP($B134,Historical!$A$5:$U$500,COLUMNS($F134:I134)+6,FALSE)))/1000,3)</f>
        <v>119418.99800000001</v>
      </c>
      <c r="J134" s="27">
        <f>ROUND(IF(ISNA(VLOOKUP($B134,Historical!$A$5:$U$500,COLUMNS($F134:J134)+6,FALSE)),0,+(VLOOKUP($B134,Historical!$A$5:$U$500,COLUMNS($F134:J134)+6,FALSE)))/1000,3)</f>
        <v>120370.88499999999</v>
      </c>
      <c r="K134" s="27">
        <f>ROUND(IF(ISNA(VLOOKUP($B134,Historical!$A$5:$U$500,COLUMNS($F134:K134)+6,FALSE)),0,+(VLOOKUP($B134,Historical!$A$5:$U$500,COLUMNS($F134:K134)+6,FALSE)))/1000,3)</f>
        <v>121826.567</v>
      </c>
      <c r="L134" s="27">
        <f>ROUND(IF(ISNA(VLOOKUP($B134,Historical!$A$5:$U$500,COLUMNS($F134:L134)+6,FALSE)),0,+(VLOOKUP($B134,Historical!$A$5:$U$500,COLUMNS($F134:L134)+6,FALSE)))/1000,3)</f>
        <v>122838.705</v>
      </c>
      <c r="M134" s="27">
        <f>ROUND(IF(ISNA(VLOOKUP($B134,Historical!$A$5:$U$500,COLUMNS($F134:M134)+6,FALSE)),0,+(VLOOKUP($B134,Historical!$A$5:$U$500,COLUMNS($F134:M134)+6,FALSE)))/1000,3)</f>
        <v>123592.24099999999</v>
      </c>
      <c r="N134" s="27">
        <f>ROUND(IF(ISNA(VLOOKUP($B134,Historical!$A$5:$U$500,COLUMNS($F134:N134)+6,FALSE)),0,+(VLOOKUP($B134,Historical!$A$5:$U$500,COLUMNS($F134:N134)+6,FALSE)))/1000,3)</f>
        <v>124815.484</v>
      </c>
      <c r="O134" s="27">
        <f>ROUND(IF(ISNA(VLOOKUP($B134,Historical!$A$5:$U$500,COLUMNS($F134:O134)+6,FALSE)),0,+(VLOOKUP($B134,Historical!$A$5:$U$500,COLUMNS($F134:O134)+6,FALSE)))/1000,3)</f>
        <v>118650.83900000001</v>
      </c>
      <c r="P134" s="27">
        <f>ROUND(IF(ISNA(VLOOKUP($B134,Historical!$A$5:$U$500,COLUMNS($F134:P134)+6,FALSE)),0,+(VLOOKUP($B134,Historical!$A$5:$U$500,COLUMNS($F134:P134)+6,FALSE)))/1000,3)</f>
        <v>118833.52899999999</v>
      </c>
      <c r="Q134" s="27">
        <f>ROUND(IF(ISNA(VLOOKUP($B134,Historical!$A$5:$U$500,COLUMNS($F134:Q134)+6,FALSE)),0,+(VLOOKUP($B134,Historical!$A$5:$U$500,COLUMNS($F134:Q134)+6,FALSE)))/1000,3)</f>
        <v>120058.04300000001</v>
      </c>
      <c r="R134" s="27">
        <f>ROUND(IF(ISNA(VLOOKUP($B134,Historical!$A$5:$U$500,COLUMNS($F134:R134)+6,FALSE)),0,+(VLOOKUP($B134,Historical!$A$5:$U$500,COLUMNS($F134:R134)+6,FALSE)))/1000,3)</f>
        <v>120634.376</v>
      </c>
      <c r="S134" s="150">
        <f t="shared" si="15"/>
        <v>120038.01276923077</v>
      </c>
      <c r="T134" s="413" t="s">
        <v>421</v>
      </c>
      <c r="U134" s="35"/>
    </row>
    <row r="135" spans="1:22" ht="15" customHeight="1">
      <c r="A135" s="142">
        <v>17</v>
      </c>
      <c r="B135" s="86" t="s">
        <v>472</v>
      </c>
      <c r="C135" s="14" t="s">
        <v>304</v>
      </c>
      <c r="D135" s="142"/>
      <c r="E135" s="142"/>
      <c r="F135" s="27">
        <f>ROUND(VLOOKUP($B135,Historical!$A$5:$U$500,COLUMNS($F135:F135)+6,FALSE)/1000,3)-F136</f>
        <v>9847.0059999999994</v>
      </c>
      <c r="G135" s="27">
        <f>ROUND(VLOOKUP($B135,Historical!$A$5:$U$500,COLUMNS($F135:G135)+6,FALSE)/1000,3)-G136</f>
        <v>10533.192999999999</v>
      </c>
      <c r="H135" s="27">
        <f>ROUND(VLOOKUP($B135,Historical!$A$5:$U$500,COLUMNS($F135:H135)+6,FALSE)/1000,3)-H136</f>
        <v>20657.985999999997</v>
      </c>
      <c r="I135" s="27">
        <f>ROUND(VLOOKUP($B135,Historical!$A$5:$U$500,COLUMNS($F135:I135)+6,FALSE)/1000,3)-I136</f>
        <v>19391.185000000001</v>
      </c>
      <c r="J135" s="27">
        <f>ROUND(VLOOKUP($B135,Historical!$A$5:$U$500,COLUMNS($F135:J135)+6,FALSE)/1000,3)-J136</f>
        <v>19983.878000000001</v>
      </c>
      <c r="K135" s="27">
        <f>ROUND(VLOOKUP($B135,Historical!$A$5:$U$500,COLUMNS($F135:K135)+6,FALSE)/1000,3)-K136</f>
        <v>48042.129000000001</v>
      </c>
      <c r="L135" s="27">
        <f>ROUND(VLOOKUP($B135,Historical!$A$5:$U$500,COLUMNS($F135:L135)+6,FALSE)/1000,3)-L136</f>
        <v>38020.297999999995</v>
      </c>
      <c r="M135" s="27">
        <f>ROUND(VLOOKUP($B135,Historical!$A$5:$U$500,COLUMNS($F135:M135)+6,FALSE)/1000,3)-M136</f>
        <v>69417.618000000002</v>
      </c>
      <c r="N135" s="27">
        <f>ROUND(VLOOKUP($B135,Historical!$A$5:$U$500,COLUMNS($F135:N135)+6,FALSE)/1000,3)-N136</f>
        <v>92158.690999999992</v>
      </c>
      <c r="O135" s="27">
        <f>ROUND(VLOOKUP($B135,Historical!$A$5:$U$500,COLUMNS($F135:O135)+6,FALSE)/1000,3)-O136</f>
        <v>82304.297999999995</v>
      </c>
      <c r="P135" s="27">
        <f>ROUND(VLOOKUP($B135,Historical!$A$5:$U$500,COLUMNS($F135:P135)+6,FALSE)/1000,3)-P136</f>
        <v>102603.02799999999</v>
      </c>
      <c r="Q135" s="27">
        <f>ROUND(VLOOKUP($B135,Historical!$A$5:$U$500,COLUMNS($F135:Q135)+6,FALSE)/1000,3)-Q136</f>
        <v>34605.822</v>
      </c>
      <c r="R135" s="27">
        <f>ROUND(VLOOKUP($B135,Historical!$A$5:$U$500,COLUMNS($F135:R135)+6,FALSE)/1000,3)-R136</f>
        <v>-3407.6590000000015</v>
      </c>
      <c r="S135" s="150">
        <f t="shared" si="15"/>
        <v>41858.267153846151</v>
      </c>
      <c r="T135" s="413" t="s">
        <v>118</v>
      </c>
      <c r="U135" s="35"/>
      <c r="V135" s="375"/>
    </row>
    <row r="136" spans="1:22" ht="15" customHeight="1">
      <c r="A136" s="142">
        <v>18</v>
      </c>
      <c r="B136" s="86" t="s">
        <v>472</v>
      </c>
      <c r="C136" s="14" t="s">
        <v>304</v>
      </c>
      <c r="D136" s="142"/>
      <c r="E136" s="142"/>
      <c r="F136" s="27">
        <f>-ROUND(VLOOKUP("236nu",Historical!$B$5:$U$598,COLUMNS($F136:F136)+5,FALSE)/1000,3)</f>
        <v>-128.72</v>
      </c>
      <c r="G136" s="27">
        <f>-ROUND(VLOOKUP("236nu",Historical!$B$5:$U$598,COLUMNS($F136:G136)+5,FALSE)/1000,3)</f>
        <v>4.2880000000000003</v>
      </c>
      <c r="H136" s="27">
        <f>-ROUND(VLOOKUP("236nu",Historical!$B$5:$U$598,COLUMNS($F136:H136)+5,FALSE)/1000,3)</f>
        <v>146.56200000000001</v>
      </c>
      <c r="I136" s="27">
        <f>-ROUND(VLOOKUP("236nu",Historical!$B$5:$U$598,COLUMNS($F136:I136)+5,FALSE)/1000,3)</f>
        <v>-949.23199999999997</v>
      </c>
      <c r="J136" s="27">
        <f>-ROUND(VLOOKUP("236nu",Historical!$B$5:$U$598,COLUMNS($F136:J136)+5,FALSE)/1000,3)</f>
        <v>-1555.9110000000001</v>
      </c>
      <c r="K136" s="27">
        <f>-ROUND(VLOOKUP("236nu",Historical!$B$5:$U$598,COLUMNS($F136:K136)+5,FALSE)/1000,3)</f>
        <v>-1443.4159999999999</v>
      </c>
      <c r="L136" s="27">
        <f>-ROUND(VLOOKUP("236nu",Historical!$B$5:$U$598,COLUMNS($F136:L136)+5,FALSE)/1000,3)</f>
        <v>-1646.3440000000001</v>
      </c>
      <c r="M136" s="27">
        <f>-ROUND(VLOOKUP("236nu",Historical!$B$5:$U$598,COLUMNS($F136:M136)+5,FALSE)/1000,3)</f>
        <v>-1523.21</v>
      </c>
      <c r="N136" s="27">
        <f>-ROUND(VLOOKUP("236nu",Historical!$B$5:$U$598,COLUMNS($F136:N136)+5,FALSE)/1000,3)</f>
        <v>-1673.473</v>
      </c>
      <c r="O136" s="27">
        <f>-ROUND(VLOOKUP("236nu",Historical!$B$5:$U$598,COLUMNS($F136:O136)+5,FALSE)/1000,3)</f>
        <v>-1660.4390000000001</v>
      </c>
      <c r="P136" s="27">
        <f>-ROUND(VLOOKUP("236nu",Historical!$B$5:$U$598,COLUMNS($F136:P136)+5,FALSE)/1000,3)</f>
        <v>-1632.4269999999999</v>
      </c>
      <c r="Q136" s="27">
        <f>-ROUND(VLOOKUP("236nu",Historical!$B$5:$U$598,COLUMNS($F136:Q136)+5,FALSE)/1000,3)</f>
        <v>411.98099999999999</v>
      </c>
      <c r="R136" s="27">
        <f>-ROUND(VLOOKUP("236nu",Historical!$B$5:$U$598,COLUMNS($F136:R136)+5,FALSE)/1000,3)</f>
        <v>14616.29</v>
      </c>
      <c r="S136" s="150">
        <f t="shared" si="15"/>
        <v>228.14992307692313</v>
      </c>
      <c r="T136" s="413" t="s">
        <v>393</v>
      </c>
      <c r="U136" s="35"/>
      <c r="V136" s="375"/>
    </row>
    <row r="137" spans="1:22" ht="15" customHeight="1">
      <c r="A137" s="142">
        <v>19</v>
      </c>
      <c r="B137" s="86" t="s">
        <v>473</v>
      </c>
      <c r="C137" s="14" t="s">
        <v>306</v>
      </c>
      <c r="D137" s="142"/>
      <c r="E137" s="142"/>
      <c r="F137" s="27">
        <f>ROUND(IF(ISNA(VLOOKUP($B137,Historical!$A$5:$U$500,COLUMNS($F137:F137)+6,FALSE)),0,+(VLOOKUP($B137,Historical!$A$5:$U$500,COLUMNS($F137:F137)+6,FALSE)))/1000,3)</f>
        <v>25147.687000000002</v>
      </c>
      <c r="G137" s="27">
        <f>ROUND(IF(ISNA(VLOOKUP($B137,Historical!$A$5:$U$500,COLUMNS($F137:G137)+6,FALSE)),0,+(VLOOKUP($B137,Historical!$A$5:$U$500,COLUMNS($F137:G137)+6,FALSE)))/1000,3)</f>
        <v>29579.957999999999</v>
      </c>
      <c r="H137" s="27">
        <f>ROUND(IF(ISNA(VLOOKUP($B137,Historical!$A$5:$U$500,COLUMNS($F137:H137)+6,FALSE)),0,+(VLOOKUP($B137,Historical!$A$5:$U$500,COLUMNS($F137:H137)+6,FALSE)))/1000,3)</f>
        <v>42996.387000000002</v>
      </c>
      <c r="I137" s="27">
        <f>ROUND(IF(ISNA(VLOOKUP($B137,Historical!$A$5:$U$500,COLUMNS($F137:I137)+6,FALSE)),0,+(VLOOKUP($B137,Historical!$A$5:$U$500,COLUMNS($F137:I137)+6,FALSE)))/1000,3)</f>
        <v>45090.694000000003</v>
      </c>
      <c r="J137" s="27">
        <f>ROUND(IF(ISNA(VLOOKUP($B137,Historical!$A$5:$U$500,COLUMNS($F137:J137)+6,FALSE)),0,+(VLOOKUP($B137,Historical!$A$5:$U$500,COLUMNS($F137:J137)+6,FALSE)))/1000,3)</f>
        <v>58629.432999999997</v>
      </c>
      <c r="K137" s="27">
        <f>ROUND(IF(ISNA(VLOOKUP($B137,Historical!$A$5:$U$500,COLUMNS($F137:K137)+6,FALSE)),0,+(VLOOKUP($B137,Historical!$A$5:$U$500,COLUMNS($F137:K137)+6,FALSE)))/1000,3)</f>
        <v>44652.349000000002</v>
      </c>
      <c r="L137" s="27">
        <f>ROUND(IF(ISNA(VLOOKUP($B137,Historical!$A$5:$U$500,COLUMNS($F137:L137)+6,FALSE)),0,+(VLOOKUP($B137,Historical!$A$5:$U$500,COLUMNS($F137:L137)+6,FALSE)))/1000,3)</f>
        <v>30525.382000000001</v>
      </c>
      <c r="M137" s="27">
        <f>ROUND(IF(ISNA(VLOOKUP($B137,Historical!$A$5:$U$500,COLUMNS($F137:M137)+6,FALSE)),0,+(VLOOKUP($B137,Historical!$A$5:$U$500,COLUMNS($F137:M137)+6,FALSE)))/1000,3)</f>
        <v>30867.956999999999</v>
      </c>
      <c r="N137" s="27">
        <f>ROUND(IF(ISNA(VLOOKUP($B137,Historical!$A$5:$U$500,COLUMNS($F137:N137)+6,FALSE)),0,+(VLOOKUP($B137,Historical!$A$5:$U$500,COLUMNS($F137:N137)+6,FALSE)))/1000,3)</f>
        <v>44358.319000000003</v>
      </c>
      <c r="O137" s="27">
        <f>ROUND(IF(ISNA(VLOOKUP($B137,Historical!$A$5:$U$500,COLUMNS($F137:O137)+6,FALSE)),0,+(VLOOKUP($B137,Historical!$A$5:$U$500,COLUMNS($F137:O137)+6,FALSE)))/1000,3)</f>
        <v>46029.324000000001</v>
      </c>
      <c r="P137" s="27">
        <f>ROUND(IF(ISNA(VLOOKUP($B137,Historical!$A$5:$U$500,COLUMNS($F137:P137)+6,FALSE)),0,+(VLOOKUP($B137,Historical!$A$5:$U$500,COLUMNS($F137:P137)+6,FALSE)))/1000,3)</f>
        <v>59508.834999999999</v>
      </c>
      <c r="Q137" s="27">
        <f>ROUND(IF(ISNA(VLOOKUP($B137,Historical!$A$5:$U$500,COLUMNS($F137:Q137)+6,FALSE)),0,+(VLOOKUP($B137,Historical!$A$5:$U$500,COLUMNS($F137:Q137)+6,FALSE)))/1000,3)</f>
        <v>45417.125</v>
      </c>
      <c r="R137" s="27">
        <f>ROUND(IF(ISNA(VLOOKUP($B137,Historical!$A$5:$U$500,COLUMNS($F137:R137)+6,FALSE)),0,+(VLOOKUP($B137,Historical!$A$5:$U$500,COLUMNS($F137:R137)+6,FALSE)))/1000,3)</f>
        <v>28439.717000000001</v>
      </c>
      <c r="S137" s="150">
        <f t="shared" si="15"/>
        <v>40864.859000000004</v>
      </c>
      <c r="T137" s="413" t="s">
        <v>118</v>
      </c>
      <c r="U137" s="35"/>
    </row>
    <row r="138" spans="1:22" ht="15" customHeight="1">
      <c r="A138" s="142">
        <v>20</v>
      </c>
      <c r="B138" s="86" t="s">
        <v>474</v>
      </c>
      <c r="C138" s="14" t="s">
        <v>307</v>
      </c>
      <c r="D138" s="142"/>
      <c r="E138" s="142"/>
      <c r="F138" s="27">
        <f>ROUND(IF(ISNA(VLOOKUP($B138,Historical!$A$5:$U$500,COLUMNS($F138:F138)+6,FALSE)),0,+(VLOOKUP($B138,Historical!$A$5:$U$500,COLUMNS($F138:F138)+6,FALSE)))/1000,3)</f>
        <v>0</v>
      </c>
      <c r="G138" s="27">
        <f>ROUND(IF(ISNA(VLOOKUP($B138,Historical!$A$5:$U$500,COLUMNS($F138:G138)+6,FALSE)),0,+(VLOOKUP($B138,Historical!$A$5:$U$500,COLUMNS($F138:G138)+6,FALSE)))/1000,3)</f>
        <v>0</v>
      </c>
      <c r="H138" s="27">
        <f>ROUND(IF(ISNA(VLOOKUP($B138,Historical!$A$5:$U$500,COLUMNS($F138:H138)+6,FALSE)),0,+(VLOOKUP($B138,Historical!$A$5:$U$500,COLUMNS($F138:H138)+6,FALSE)))/1000,3)</f>
        <v>0</v>
      </c>
      <c r="I138" s="27">
        <f>ROUND(IF(ISNA(VLOOKUP($B138,Historical!$A$5:$U$500,COLUMNS($F138:I138)+6,FALSE)),0,+(VLOOKUP($B138,Historical!$A$5:$U$500,COLUMNS($F138:I138)+6,FALSE)))/1000,3)</f>
        <v>0</v>
      </c>
      <c r="J138" s="27">
        <f>ROUND(IF(ISNA(VLOOKUP($B138,Historical!$A$5:$U$500,COLUMNS($F138:J138)+6,FALSE)),0,+(VLOOKUP($B138,Historical!$A$5:$U$500,COLUMNS($F138:J138)+6,FALSE)))/1000,3)</f>
        <v>0</v>
      </c>
      <c r="K138" s="27">
        <f>ROUND(IF(ISNA(VLOOKUP($B138,Historical!$A$5:$U$500,COLUMNS($F138:K138)+6,FALSE)),0,+(VLOOKUP($B138,Historical!$A$5:$U$500,COLUMNS($F138:K138)+6,FALSE)))/1000,3)</f>
        <v>0</v>
      </c>
      <c r="L138" s="27">
        <f>ROUND(IF(ISNA(VLOOKUP($B138,Historical!$A$5:$U$500,COLUMNS($F138:L138)+6,FALSE)),0,+(VLOOKUP($B138,Historical!$A$5:$U$500,COLUMNS($F138:L138)+6,FALSE)))/1000,3)</f>
        <v>0</v>
      </c>
      <c r="M138" s="27">
        <f>ROUND(IF(ISNA(VLOOKUP($B138,Historical!$A$5:$U$500,COLUMNS($F138:M138)+6,FALSE)),0,+(VLOOKUP($B138,Historical!$A$5:$U$500,COLUMNS($F138:M138)+6,FALSE)))/1000,3)</f>
        <v>0</v>
      </c>
      <c r="N138" s="27">
        <f>ROUND(IF(ISNA(VLOOKUP($B138,Historical!$A$5:$U$500,COLUMNS($F138:N138)+6,FALSE)),0,+(VLOOKUP($B138,Historical!$A$5:$U$500,COLUMNS($F138:N138)+6,FALSE)))/1000,3)</f>
        <v>0</v>
      </c>
      <c r="O138" s="27">
        <f>ROUND(IF(ISNA(VLOOKUP($B138,Historical!$A$5:$U$500,COLUMNS($F138:O138)+6,FALSE)),0,+(VLOOKUP($B138,Historical!$A$5:$U$500,COLUMNS($F138:O138)+6,FALSE)))/1000,3)</f>
        <v>0</v>
      </c>
      <c r="P138" s="27">
        <f>ROUND(IF(ISNA(VLOOKUP($B138,Historical!$A$5:$U$500,COLUMNS($F138:P138)+6,FALSE)),0,+(VLOOKUP($B138,Historical!$A$5:$U$500,COLUMNS($F138:P138)+6,FALSE)))/1000,3)</f>
        <v>0</v>
      </c>
      <c r="Q138" s="27">
        <f>ROUND(IF(ISNA(VLOOKUP($B138,Historical!$A$5:$U$500,COLUMNS($F138:Q138)+6,FALSE)),0,+(VLOOKUP($B138,Historical!$A$5:$U$500,COLUMNS($F138:Q138)+6,FALSE)))/1000,3)</f>
        <v>169965.14600000001</v>
      </c>
      <c r="R138" s="27">
        <f>ROUND(IF(ISNA(VLOOKUP($B138,Historical!$A$5:$U$500,COLUMNS($F138:R138)+6,FALSE)),0,+(VLOOKUP($B138,Historical!$A$5:$U$500,COLUMNS($F138:R138)+6,FALSE)))/1000,3)</f>
        <v>0</v>
      </c>
      <c r="S138" s="150">
        <f t="shared" si="15"/>
        <v>13074.242</v>
      </c>
      <c r="T138" s="413" t="s">
        <v>118</v>
      </c>
      <c r="U138" s="35"/>
    </row>
    <row r="139" spans="1:22" ht="15" customHeight="1">
      <c r="A139" s="142">
        <v>21</v>
      </c>
      <c r="B139" s="86" t="s">
        <v>475</v>
      </c>
      <c r="C139" s="14" t="s">
        <v>308</v>
      </c>
      <c r="D139" s="142"/>
      <c r="E139" s="142"/>
      <c r="F139" s="27">
        <f>ROUND(IF(ISNA(VLOOKUP($B139,Historical!$A$5:$U$500,COLUMNS($F139:F139)+6,FALSE)),0,+(VLOOKUP($B139,Historical!$A$5:$U$500,COLUMNS($F139:F139)+6,FALSE)))/1000,3)</f>
        <v>8273.4629999999997</v>
      </c>
      <c r="G139" s="27">
        <f>ROUND(IF(ISNA(VLOOKUP($B139,Historical!$A$5:$U$500,COLUMNS($F139:G139)+6,FALSE)),0,+(VLOOKUP($B139,Historical!$A$5:$U$500,COLUMNS($F139:G139)+6,FALSE)))/1000,3)</f>
        <v>4961.2950000000001</v>
      </c>
      <c r="H139" s="27">
        <f>ROUND(IF(ISNA(VLOOKUP($B139,Historical!$A$5:$U$500,COLUMNS($F139:H139)+6,FALSE)),0,+(VLOOKUP($B139,Historical!$A$5:$U$500,COLUMNS($F139:H139)+6,FALSE)))/1000,3)</f>
        <v>6336.61</v>
      </c>
      <c r="I139" s="27">
        <f>ROUND(IF(ISNA(VLOOKUP($B139,Historical!$A$5:$U$500,COLUMNS($F139:I139)+6,FALSE)),0,+(VLOOKUP($B139,Historical!$A$5:$U$500,COLUMNS($F139:I139)+6,FALSE)))/1000,3)</f>
        <v>5900.9660000000003</v>
      </c>
      <c r="J139" s="27">
        <f>ROUND(IF(ISNA(VLOOKUP($B139,Historical!$A$5:$U$500,COLUMNS($F139:J139)+6,FALSE)),0,+(VLOOKUP($B139,Historical!$A$5:$U$500,COLUMNS($F139:J139)+6,FALSE)))/1000,3)</f>
        <v>7520.18</v>
      </c>
      <c r="K139" s="27">
        <f>ROUND(IF(ISNA(VLOOKUP($B139,Historical!$A$5:$U$500,COLUMNS($F139:K139)+6,FALSE)),0,+(VLOOKUP($B139,Historical!$A$5:$U$500,COLUMNS($F139:K139)+6,FALSE)))/1000,3)</f>
        <v>9794.7109999999993</v>
      </c>
      <c r="L139" s="27">
        <f>ROUND(IF(ISNA(VLOOKUP($B139,Historical!$A$5:$U$500,COLUMNS($F139:L139)+6,FALSE)),0,+(VLOOKUP($B139,Historical!$A$5:$U$500,COLUMNS($F139:L139)+6,FALSE)))/1000,3)</f>
        <v>12497.076999999999</v>
      </c>
      <c r="M139" s="27">
        <f>ROUND(IF(ISNA(VLOOKUP($B139,Historical!$A$5:$U$500,COLUMNS($F139:M139)+6,FALSE)),0,+(VLOOKUP($B139,Historical!$A$5:$U$500,COLUMNS($F139:M139)+6,FALSE)))/1000,3)</f>
        <v>11953.789000000001</v>
      </c>
      <c r="N139" s="27">
        <f>ROUND(IF(ISNA(VLOOKUP($B139,Historical!$A$5:$U$500,COLUMNS($F139:N139)+6,FALSE)),0,+(VLOOKUP($B139,Historical!$A$5:$U$500,COLUMNS($F139:N139)+6,FALSE)))/1000,3)</f>
        <v>12378.407999999999</v>
      </c>
      <c r="O139" s="27">
        <f>ROUND(IF(ISNA(VLOOKUP($B139,Historical!$A$5:$U$500,COLUMNS($F139:O139)+6,FALSE)),0,+(VLOOKUP($B139,Historical!$A$5:$U$500,COLUMNS($F139:O139)+6,FALSE)))/1000,3)</f>
        <v>12634.688</v>
      </c>
      <c r="P139" s="27">
        <f>ROUND(IF(ISNA(VLOOKUP($B139,Historical!$A$5:$U$500,COLUMNS($F139:P139)+6,FALSE)),0,+(VLOOKUP($B139,Historical!$A$5:$U$500,COLUMNS($F139:P139)+6,FALSE)))/1000,3)</f>
        <v>10294.785</v>
      </c>
      <c r="Q139" s="27">
        <f>ROUND(IF(ISNA(VLOOKUP($B139,Historical!$A$5:$U$500,COLUMNS($F139:Q139)+6,FALSE)),0,+(VLOOKUP($B139,Historical!$A$5:$U$500,COLUMNS($F139:Q139)+6,FALSE)))/1000,3)</f>
        <v>10084.165999999999</v>
      </c>
      <c r="R139" s="27">
        <f>ROUND(IF(ISNA(VLOOKUP($B139,Historical!$A$5:$U$500,COLUMNS($F139:R139)+6,FALSE)),0,+(VLOOKUP($B139,Historical!$A$5:$U$500,COLUMNS($F139:R139)+6,FALSE)))/1000,3)</f>
        <v>10948.056</v>
      </c>
      <c r="S139" s="150">
        <f t="shared" si="15"/>
        <v>9506.0149230769202</v>
      </c>
      <c r="T139" s="413" t="s">
        <v>118</v>
      </c>
      <c r="U139" s="35"/>
    </row>
    <row r="140" spans="1:22" ht="15" customHeight="1">
      <c r="A140" s="142">
        <v>22</v>
      </c>
      <c r="B140" s="86" t="s">
        <v>476</v>
      </c>
      <c r="C140" s="14" t="s">
        <v>309</v>
      </c>
      <c r="D140" s="142"/>
      <c r="E140" s="142"/>
      <c r="F140" s="27">
        <f>ROUND(IF(ISNA(VLOOKUP($B140,Historical!$A$5:$U$500,COLUMNS($F140:F140)+6,FALSE)),0,+(VLOOKUP($B140,Historical!$A$5:$U$500,COLUMNS($F140:F140)+6,FALSE)))/1000,3)</f>
        <v>46244.546000000002</v>
      </c>
      <c r="G140" s="27">
        <f>ROUND(IF(ISNA(VLOOKUP($B140,Historical!$A$5:$U$500,COLUMNS($F140:G140)+6,FALSE)),0,+(VLOOKUP($B140,Historical!$A$5:$U$500,COLUMNS($F140:G140)+6,FALSE)))/1000,3)</f>
        <v>46247.383000000002</v>
      </c>
      <c r="H140" s="27">
        <f>ROUND(IF(ISNA(VLOOKUP($B140,Historical!$A$5:$U$500,COLUMNS($F140:H140)+6,FALSE)),0,+(VLOOKUP($B140,Historical!$A$5:$U$500,COLUMNS($F140:H140)+6,FALSE)))/1000,3)</f>
        <v>46337.226000000002</v>
      </c>
      <c r="I140" s="27">
        <f>ROUND(IF(ISNA(VLOOKUP($B140,Historical!$A$5:$U$500,COLUMNS($F140:I140)+6,FALSE)),0,+(VLOOKUP($B140,Historical!$A$5:$U$500,COLUMNS($F140:I140)+6,FALSE)))/1000,3)</f>
        <v>44351.322999999997</v>
      </c>
      <c r="J140" s="27">
        <f>ROUND(IF(ISNA(VLOOKUP($B140,Historical!$A$5:$U$500,COLUMNS($F140:J140)+6,FALSE)),0,+(VLOOKUP($B140,Historical!$A$5:$U$500,COLUMNS($F140:J140)+6,FALSE)))/1000,3)</f>
        <v>44428.639999999999</v>
      </c>
      <c r="K140" s="27">
        <f>ROUND(IF(ISNA(VLOOKUP($B140,Historical!$A$5:$U$500,COLUMNS($F140:K140)+6,FALSE)),0,+(VLOOKUP($B140,Historical!$A$5:$U$500,COLUMNS($F140:K140)+6,FALSE)))/1000,3)</f>
        <v>44481.906999999999</v>
      </c>
      <c r="L140" s="27">
        <f>ROUND(IF(ISNA(VLOOKUP($B140,Historical!$A$5:$U$500,COLUMNS($F140:L140)+6,FALSE)),0,+(VLOOKUP($B140,Historical!$A$5:$U$500,COLUMNS($F140:L140)+6,FALSE)))/1000,3)</f>
        <v>45033.915000000001</v>
      </c>
      <c r="M140" s="27">
        <f>ROUND(IF(ISNA(VLOOKUP($B140,Historical!$A$5:$U$500,COLUMNS($F140:M140)+6,FALSE)),0,+(VLOOKUP($B140,Historical!$A$5:$U$500,COLUMNS($F140:M140)+6,FALSE)))/1000,3)</f>
        <v>44718.947999999997</v>
      </c>
      <c r="N140" s="27">
        <f>ROUND(IF(ISNA(VLOOKUP($B140,Historical!$A$5:$U$500,COLUMNS($F140:N140)+6,FALSE)),0,+(VLOOKUP($B140,Historical!$A$5:$U$500,COLUMNS($F140:N140)+6,FALSE)))/1000,3)</f>
        <v>44677.947</v>
      </c>
      <c r="O140" s="27">
        <f>ROUND(IF(ISNA(VLOOKUP($B140,Historical!$A$5:$U$500,COLUMNS($F140:O140)+6,FALSE)),0,+(VLOOKUP($B140,Historical!$A$5:$U$500,COLUMNS($F140:O140)+6,FALSE)))/1000,3)</f>
        <v>40212.254999999997</v>
      </c>
      <c r="P140" s="27">
        <f>ROUND(IF(ISNA(VLOOKUP($B140,Historical!$A$5:$U$500,COLUMNS($F140:P140)+6,FALSE)),0,+(VLOOKUP($B140,Historical!$A$5:$U$500,COLUMNS($F140:P140)+6,FALSE)))/1000,3)</f>
        <v>40000.504999999997</v>
      </c>
      <c r="Q140" s="27">
        <f>ROUND(IF(ISNA(VLOOKUP($B140,Historical!$A$5:$U$500,COLUMNS($F140:Q140)+6,FALSE)),0,+(VLOOKUP($B140,Historical!$A$5:$U$500,COLUMNS($F140:Q140)+6,FALSE)))/1000,3)</f>
        <v>39902.358</v>
      </c>
      <c r="R140" s="27">
        <f>ROUND(IF(ISNA(VLOOKUP($B140,Historical!$A$5:$U$500,COLUMNS($F140:R140)+6,FALSE)),0,+(VLOOKUP($B140,Historical!$A$5:$U$500,COLUMNS($F140:R140)+6,FALSE)))/1000,3)</f>
        <v>39977.160000000003</v>
      </c>
      <c r="S140" s="150">
        <f t="shared" si="15"/>
        <v>43585.701000000001</v>
      </c>
      <c r="T140" s="413" t="s">
        <v>118</v>
      </c>
      <c r="U140" s="35"/>
    </row>
    <row r="141" spans="1:22" ht="15" customHeight="1">
      <c r="A141" s="142">
        <v>23</v>
      </c>
      <c r="B141" s="86" t="s">
        <v>477</v>
      </c>
      <c r="C141" s="14" t="s">
        <v>310</v>
      </c>
      <c r="D141" s="142"/>
      <c r="E141" s="142"/>
      <c r="F141" s="27">
        <f>ROUND(IF(ISNA(VLOOKUP($B141,Historical!$A$5:$U$500,COLUMNS($F141:F141)+6,FALSE)),0,+(VLOOKUP($B141,Historical!$A$5:$U$500,COLUMNS($F141:F141)+6,FALSE)))/1000,3)</f>
        <v>2116.732</v>
      </c>
      <c r="G141" s="27">
        <f>ROUND(IF(ISNA(VLOOKUP($B141,Historical!$A$5:$U$500,COLUMNS($F141:G141)+6,FALSE)),0,+(VLOOKUP($B141,Historical!$A$5:$U$500,COLUMNS($F141:G141)+6,FALSE)))/1000,3)</f>
        <v>2116.732</v>
      </c>
      <c r="H141" s="27">
        <f>ROUND(IF(ISNA(VLOOKUP($B141,Historical!$A$5:$U$500,COLUMNS($F141:H141)+6,FALSE)),0,+(VLOOKUP($B141,Historical!$A$5:$U$500,COLUMNS($F141:H141)+6,FALSE)))/1000,3)</f>
        <v>2116.732</v>
      </c>
      <c r="I141" s="27">
        <f>ROUND(IF(ISNA(VLOOKUP($B141,Historical!$A$5:$U$500,COLUMNS($F141:I141)+6,FALSE)),0,+(VLOOKUP($B141,Historical!$A$5:$U$500,COLUMNS($F141:I141)+6,FALSE)))/1000,3)</f>
        <v>2328.7669999999998</v>
      </c>
      <c r="J141" s="27">
        <f>ROUND(IF(ISNA(VLOOKUP($B141,Historical!$A$5:$U$500,COLUMNS($F141:J141)+6,FALSE)),0,+(VLOOKUP($B141,Historical!$A$5:$U$500,COLUMNS($F141:J141)+6,FALSE)))/1000,3)</f>
        <v>2328.7669999999998</v>
      </c>
      <c r="K141" s="27">
        <f>ROUND(IF(ISNA(VLOOKUP($B141,Historical!$A$5:$U$500,COLUMNS($F141:K141)+6,FALSE)),0,+(VLOOKUP($B141,Historical!$A$5:$U$500,COLUMNS($F141:K141)+6,FALSE)))/1000,3)</f>
        <v>2328.7669999999998</v>
      </c>
      <c r="L141" s="27">
        <f>ROUND(IF(ISNA(VLOOKUP($B141,Historical!$A$5:$U$500,COLUMNS($F141:L141)+6,FALSE)),0,+(VLOOKUP($B141,Historical!$A$5:$U$500,COLUMNS($F141:L141)+6,FALSE)))/1000,3)</f>
        <v>2355.009</v>
      </c>
      <c r="M141" s="27">
        <f>ROUND(IF(ISNA(VLOOKUP($B141,Historical!$A$5:$U$500,COLUMNS($F141:M141)+6,FALSE)),0,+(VLOOKUP($B141,Historical!$A$5:$U$500,COLUMNS($F141:M141)+6,FALSE)))/1000,3)</f>
        <v>2355.009</v>
      </c>
      <c r="N141" s="27">
        <f>ROUND(IF(ISNA(VLOOKUP($B141,Historical!$A$5:$U$500,COLUMNS($F141:N141)+6,FALSE)),0,+(VLOOKUP($B141,Historical!$A$5:$U$500,COLUMNS($F141:N141)+6,FALSE)))/1000,3)</f>
        <v>2355.009</v>
      </c>
      <c r="O141" s="27">
        <f>ROUND(IF(ISNA(VLOOKUP($B141,Historical!$A$5:$U$500,COLUMNS($F141:O141)+6,FALSE)),0,+(VLOOKUP($B141,Historical!$A$5:$U$500,COLUMNS($F141:O141)+6,FALSE)))/1000,3)</f>
        <v>2381.3490000000002</v>
      </c>
      <c r="P141" s="27">
        <f>ROUND(IF(ISNA(VLOOKUP($B141,Historical!$A$5:$U$500,COLUMNS($F141:P141)+6,FALSE)),0,+(VLOOKUP($B141,Historical!$A$5:$U$500,COLUMNS($F141:P141)+6,FALSE)))/1000,3)</f>
        <v>2381.3490000000002</v>
      </c>
      <c r="Q141" s="27">
        <f>ROUND(IF(ISNA(VLOOKUP($B141,Historical!$A$5:$U$500,COLUMNS($F141:Q141)+6,FALSE)),0,+(VLOOKUP($B141,Historical!$A$5:$U$500,COLUMNS($F141:Q141)+6,FALSE)))/1000,3)</f>
        <v>2381.3490000000002</v>
      </c>
      <c r="R141" s="27">
        <f>ROUND(IF(ISNA(VLOOKUP($B141,Historical!$A$5:$U$500,COLUMNS($F141:R141)+6,FALSE)),0,+(VLOOKUP($B141,Historical!$A$5:$U$500,COLUMNS($F141:R141)+6,FALSE)))/1000,3)</f>
        <v>2408.2829999999999</v>
      </c>
      <c r="S141" s="150">
        <f t="shared" si="15"/>
        <v>2304.1426153846155</v>
      </c>
      <c r="T141" s="413" t="s">
        <v>118</v>
      </c>
      <c r="U141" s="35"/>
    </row>
    <row r="142" spans="1:22" ht="15" customHeight="1">
      <c r="A142" s="142">
        <v>24</v>
      </c>
      <c r="B142" s="86" t="s">
        <v>478</v>
      </c>
      <c r="C142" s="14" t="s">
        <v>286</v>
      </c>
      <c r="D142" s="142"/>
      <c r="E142" s="142"/>
      <c r="F142" s="32">
        <f>ROUND(IF(ISNA(VLOOKUP($B142,Historical!$A$5:$U$500,COLUMNS($F142:F142)+6,FALSE)),0,+(VLOOKUP($B142,Historical!$A$5:$U$500,COLUMNS($F142:F142)+6,FALSE)))/1000,3)</f>
        <v>1490.1189999999999</v>
      </c>
      <c r="G142" s="32">
        <f>ROUND(IF(ISNA(VLOOKUP($B142,Historical!$A$5:$U$500,COLUMNS($F142:G142)+6,FALSE)),0,+(VLOOKUP($B142,Historical!$A$5:$U$500,COLUMNS($F142:G142)+6,FALSE)))/1000,3)</f>
        <v>3080.248</v>
      </c>
      <c r="H142" s="32">
        <f>ROUND(IF(ISNA(VLOOKUP($B142,Historical!$A$5:$U$500,COLUMNS($F142:H142)+6,FALSE)),0,+(VLOOKUP($B142,Historical!$A$5:$U$500,COLUMNS($F142:H142)+6,FALSE)))/1000,3)</f>
        <v>2972.674</v>
      </c>
      <c r="I142" s="32">
        <f>ROUND(IF(ISNA(VLOOKUP($B142,Historical!$A$5:$U$500,COLUMNS($F142:I142)+6,FALSE)),0,+(VLOOKUP($B142,Historical!$A$5:$U$500,COLUMNS($F142:I142)+6,FALSE)))/1000,3)</f>
        <v>1079.011</v>
      </c>
      <c r="J142" s="32">
        <f>ROUND(IF(ISNA(VLOOKUP($B142,Historical!$A$5:$U$500,COLUMNS($F142:J142)+6,FALSE)),0,+(VLOOKUP($B142,Historical!$A$5:$U$500,COLUMNS($F142:J142)+6,FALSE)))/1000,3)</f>
        <v>95.153999999999996</v>
      </c>
      <c r="K142" s="32">
        <f>ROUND(IF(ISNA(VLOOKUP($B142,Historical!$A$5:$U$500,COLUMNS($F142:K142)+6,FALSE)),0,+(VLOOKUP($B142,Historical!$A$5:$U$500,COLUMNS($F142:K142)+6,FALSE)))/1000,3)</f>
        <v>0</v>
      </c>
      <c r="L142" s="32">
        <f>ROUND(IF(ISNA(VLOOKUP($B142,Historical!$A$5:$U$500,COLUMNS($F142:L142)+6,FALSE)),0,+(VLOOKUP($B142,Historical!$A$5:$U$500,COLUMNS($F142:L142)+6,FALSE)))/1000,3)</f>
        <v>0</v>
      </c>
      <c r="M142" s="32">
        <f>ROUND(IF(ISNA(VLOOKUP($B142,Historical!$A$5:$U$500,COLUMNS($F142:M142)+6,FALSE)),0,+(VLOOKUP($B142,Historical!$A$5:$U$500,COLUMNS($F142:M142)+6,FALSE)))/1000,3)</f>
        <v>0</v>
      </c>
      <c r="N142" s="32">
        <f>ROUND(IF(ISNA(VLOOKUP($B142,Historical!$A$5:$U$500,COLUMNS($F142:N142)+6,FALSE)),0,+(VLOOKUP($B142,Historical!$A$5:$U$500,COLUMNS($F142:N142)+6,FALSE)))/1000,3)</f>
        <v>0</v>
      </c>
      <c r="O142" s="32">
        <f>ROUND(IF(ISNA(VLOOKUP($B142,Historical!$A$5:$U$500,COLUMNS($F142:O142)+6,FALSE)),0,+(VLOOKUP($B142,Historical!$A$5:$U$500,COLUMNS($F142:O142)+6,FALSE)))/1000,3)</f>
        <v>0</v>
      </c>
      <c r="P142" s="32">
        <f>ROUND(IF(ISNA(VLOOKUP($B142,Historical!$A$5:$U$500,COLUMNS($F142:P142)+6,FALSE)),0,+(VLOOKUP($B142,Historical!$A$5:$U$500,COLUMNS($F142:P142)+6,FALSE)))/1000,3)</f>
        <v>0</v>
      </c>
      <c r="Q142" s="32">
        <f>ROUND(IF(ISNA(VLOOKUP($B142,Historical!$A$5:$U$500,COLUMNS($F142:Q142)+6,FALSE)),0,+(VLOOKUP($B142,Historical!$A$5:$U$500,COLUMNS($F142:Q142)+6,FALSE)))/1000,3)</f>
        <v>0</v>
      </c>
      <c r="R142" s="32">
        <f>ROUND(IF(ISNA(VLOOKUP($B142,Historical!$A$5:$U$500,COLUMNS($F142:R142)+6,FALSE)),0,+(VLOOKUP($B142,Historical!$A$5:$U$500,COLUMNS($F142:R142)+6,FALSE)))/1000,3)</f>
        <v>0</v>
      </c>
      <c r="S142" s="155">
        <f t="shared" si="15"/>
        <v>670.5543076923077</v>
      </c>
      <c r="T142" s="413" t="s">
        <v>118</v>
      </c>
      <c r="U142" s="35"/>
    </row>
    <row r="143" spans="1:22" ht="15" customHeight="1">
      <c r="A143" s="142">
        <v>25</v>
      </c>
      <c r="B143" s="35"/>
      <c r="C143" s="14"/>
      <c r="D143" s="142" t="s">
        <v>464</v>
      </c>
      <c r="E143" s="142"/>
      <c r="F143" s="27">
        <f t="shared" ref="F143:S143" si="16">SUM(F130:F142)</f>
        <v>1641478.8059999999</v>
      </c>
      <c r="G143" s="27">
        <f t="shared" si="16"/>
        <v>1849283.7819999997</v>
      </c>
      <c r="H143" s="27">
        <f t="shared" si="16"/>
        <v>1825934.9100000004</v>
      </c>
      <c r="I143" s="27">
        <f t="shared" si="16"/>
        <v>1852473.9679999999</v>
      </c>
      <c r="J143" s="27">
        <f t="shared" si="16"/>
        <v>1902152.9629999998</v>
      </c>
      <c r="K143" s="27">
        <f t="shared" si="16"/>
        <v>1914275.7269999997</v>
      </c>
      <c r="L143" s="27">
        <f t="shared" si="16"/>
        <v>1914519.1670000001</v>
      </c>
      <c r="M143" s="27">
        <f t="shared" si="16"/>
        <v>1956415.8620000002</v>
      </c>
      <c r="N143" s="27">
        <f t="shared" si="16"/>
        <v>2004727.3109999998</v>
      </c>
      <c r="O143" s="27">
        <f t="shared" si="16"/>
        <v>1954868.3479999998</v>
      </c>
      <c r="P143" s="27">
        <f t="shared" si="16"/>
        <v>1925202.2729999998</v>
      </c>
      <c r="Q143" s="27">
        <f t="shared" si="16"/>
        <v>2055566.8609999996</v>
      </c>
      <c r="R143" s="27">
        <f t="shared" si="16"/>
        <v>1250710.3940000001</v>
      </c>
      <c r="S143" s="27">
        <f t="shared" si="16"/>
        <v>1849816.1824615381</v>
      </c>
      <c r="T143" s="142"/>
      <c r="U143" s="35"/>
    </row>
    <row r="144" spans="1:22" ht="15" customHeight="1">
      <c r="A144" s="142">
        <v>26</v>
      </c>
      <c r="B144" s="35"/>
      <c r="C144" s="14"/>
      <c r="D144" s="142"/>
      <c r="E144" s="142"/>
      <c r="F144" s="27"/>
      <c r="G144" s="27"/>
      <c r="H144" s="27"/>
      <c r="I144" s="27"/>
      <c r="J144" s="27"/>
      <c r="K144" s="27"/>
      <c r="L144" s="27"/>
      <c r="M144" s="27"/>
      <c r="N144" s="27"/>
      <c r="O144" s="27"/>
      <c r="P144" s="27"/>
      <c r="Q144" s="27"/>
      <c r="R144" s="27"/>
      <c r="S144" s="27"/>
      <c r="T144" s="142"/>
    </row>
    <row r="145" spans="1:21" ht="15" customHeight="1">
      <c r="A145" s="142">
        <v>27</v>
      </c>
      <c r="B145" s="35"/>
      <c r="C145" s="142" t="s">
        <v>479</v>
      </c>
      <c r="D145" s="142"/>
      <c r="E145" s="142"/>
      <c r="F145" s="27"/>
      <c r="G145" s="27"/>
      <c r="H145" s="27"/>
      <c r="I145" s="27"/>
      <c r="J145" s="27"/>
      <c r="K145" s="27"/>
      <c r="L145" s="27"/>
      <c r="M145" s="27"/>
      <c r="N145" s="27"/>
      <c r="O145" s="27"/>
      <c r="P145" s="27"/>
      <c r="Q145" s="27"/>
      <c r="R145" s="27"/>
      <c r="S145" s="150"/>
      <c r="T145" s="142"/>
    </row>
    <row r="146" spans="1:21" ht="15" customHeight="1">
      <c r="A146" s="142">
        <v>28</v>
      </c>
      <c r="B146" s="86" t="s">
        <v>480</v>
      </c>
      <c r="C146" s="14" t="s">
        <v>313</v>
      </c>
      <c r="D146" s="142"/>
      <c r="E146" s="142"/>
      <c r="F146" s="27">
        <f>ROUND(VLOOKUP($B146,Historical!$A$5:$U$500,COLUMNS($F146:F146)+6,FALSE)/1000,3)-F147</f>
        <v>14644.478999999999</v>
      </c>
      <c r="G146" s="27">
        <f>ROUND(VLOOKUP($B146,Historical!$A$5:$U$500,COLUMNS($F146:G146)+6,FALSE)/1000,3)-G147</f>
        <v>15997.391</v>
      </c>
      <c r="H146" s="27">
        <f>ROUND(VLOOKUP($B146,Historical!$A$5:$U$500,COLUMNS($F146:H146)+6,FALSE)/1000,3)-H147</f>
        <v>17112.835999999999</v>
      </c>
      <c r="I146" s="27">
        <f>ROUND(VLOOKUP($B146,Historical!$A$5:$U$500,COLUMNS($F146:I146)+6,FALSE)/1000,3)-I147</f>
        <v>13930.393</v>
      </c>
      <c r="J146" s="27">
        <f>ROUND(VLOOKUP($B146,Historical!$A$5:$U$500,COLUMNS($F146:J146)+6,FALSE)/1000,3)-J147</f>
        <v>23578.526000000002</v>
      </c>
      <c r="K146" s="27">
        <f>ROUND(VLOOKUP($B146,Historical!$A$5:$U$500,COLUMNS($F146:K146)+6,FALSE)/1000,3)-K147</f>
        <v>16322.578</v>
      </c>
      <c r="L146" s="27">
        <f>ROUND(VLOOKUP($B146,Historical!$A$5:$U$500,COLUMNS($F146:L146)+6,FALSE)/1000,3)-L147</f>
        <v>18817.330999999998</v>
      </c>
      <c r="M146" s="27">
        <f>ROUND(VLOOKUP($B146,Historical!$A$5:$U$500,COLUMNS($F146:M146)+6,FALSE)/1000,3)-M147</f>
        <v>30678.874</v>
      </c>
      <c r="N146" s="27">
        <f>ROUND(VLOOKUP($B146,Historical!$A$5:$U$500,COLUMNS($F146:N146)+6,FALSE)/1000,3)-N147</f>
        <v>22773.256000000001</v>
      </c>
      <c r="O146" s="27">
        <f>ROUND(VLOOKUP($B146,Historical!$A$5:$U$500,COLUMNS($F146:O146)+6,FALSE)/1000,3)-O147</f>
        <v>25243.089</v>
      </c>
      <c r="P146" s="27">
        <f>ROUND(VLOOKUP($B146,Historical!$A$5:$U$500,COLUMNS($F146:P146)+6,FALSE)/1000,3)-P147</f>
        <v>26368.637999999999</v>
      </c>
      <c r="Q146" s="27">
        <f>ROUND(VLOOKUP($B146,Historical!$A$5:$U$500,COLUMNS($F146:Q146)+6,FALSE)/1000,3)-Q147</f>
        <v>27616.856</v>
      </c>
      <c r="R146" s="27">
        <f>ROUND(VLOOKUP($B146,Historical!$A$5:$U$500,COLUMNS($F146:R146)+6,FALSE)/1000,3)-R147</f>
        <v>30209.508999999998</v>
      </c>
      <c r="S146" s="150">
        <f t="shared" ref="S146:S155" si="17">(SUM(F146:R146)/13)</f>
        <v>21791.827384615382</v>
      </c>
      <c r="T146" s="144" t="s">
        <v>118</v>
      </c>
    </row>
    <row r="147" spans="1:21" ht="15" customHeight="1">
      <c r="A147" s="142">
        <v>29</v>
      </c>
      <c r="B147" s="86" t="s">
        <v>480</v>
      </c>
      <c r="C147" s="14" t="s">
        <v>313</v>
      </c>
      <c r="D147" s="142"/>
      <c r="E147" s="142"/>
      <c r="F147" s="27">
        <f>-ROUND(VLOOKUP("253nu",Historical!$B$5:$U$598,COLUMNS($F147:F147)+5,FALSE)/1000,3)</f>
        <v>0</v>
      </c>
      <c r="G147" s="27">
        <f>-ROUND(VLOOKUP("253nu",Historical!$B$5:$U$598,COLUMNS($F147:G147)+5,FALSE)/1000,3)</f>
        <v>0</v>
      </c>
      <c r="H147" s="27">
        <f>-ROUND(VLOOKUP("253nu",Historical!$B$5:$U$598,COLUMNS($F147:H147)+5,FALSE)/1000,3)</f>
        <v>0</v>
      </c>
      <c r="I147" s="27">
        <f>-ROUND(VLOOKUP("253nu",Historical!$B$5:$U$598,COLUMNS($F147:I147)+5,FALSE)/1000,3)</f>
        <v>0</v>
      </c>
      <c r="J147" s="27">
        <f>-ROUND(VLOOKUP("253nu",Historical!$B$5:$U$598,COLUMNS($F147:J147)+5,FALSE)/1000,3)</f>
        <v>0</v>
      </c>
      <c r="K147" s="27">
        <f>-ROUND(VLOOKUP("253nu",Historical!$B$5:$U$598,COLUMNS($F147:K147)+5,FALSE)/1000,3)</f>
        <v>0</v>
      </c>
      <c r="L147" s="27">
        <f>-ROUND(VLOOKUP("253nu",Historical!$B$5:$U$598,COLUMNS($F147:L147)+5,FALSE)/1000,3)</f>
        <v>0</v>
      </c>
      <c r="M147" s="27">
        <f>-ROUND(VLOOKUP("253nu",Historical!$B$5:$U$598,COLUMNS($F147:M147)+5,FALSE)/1000,3)</f>
        <v>0</v>
      </c>
      <c r="N147" s="27">
        <f>-ROUND(VLOOKUP("253nu",Historical!$B$5:$U$598,COLUMNS($F147:N147)+5,FALSE)/1000,3)</f>
        <v>0</v>
      </c>
      <c r="O147" s="27">
        <f>-ROUND(VLOOKUP("253nu",Historical!$B$5:$U$598,COLUMNS($F147:O147)+5,FALSE)/1000,3)</f>
        <v>0</v>
      </c>
      <c r="P147" s="27">
        <f>-ROUND(VLOOKUP("253nu",Historical!$B$5:$U$598,COLUMNS($F147:P147)+5,FALSE)/1000,3)</f>
        <v>0</v>
      </c>
      <c r="Q147" s="27">
        <f>-ROUND(VLOOKUP("253nu",Historical!$B$5:$U$598,COLUMNS($F147:Q147)+5,FALSE)/1000,3)</f>
        <v>0</v>
      </c>
      <c r="R147" s="27">
        <f>-ROUND(VLOOKUP("253nu",Historical!$B$5:$U$598,COLUMNS($F147:R147)+5,FALSE)/1000,3)</f>
        <v>0</v>
      </c>
      <c r="S147" s="150">
        <f t="shared" si="17"/>
        <v>0</v>
      </c>
      <c r="T147" s="144" t="s">
        <v>393</v>
      </c>
    </row>
    <row r="148" spans="1:21" ht="15" customHeight="1">
      <c r="A148" s="142">
        <v>30</v>
      </c>
      <c r="B148" s="151" t="s">
        <v>481</v>
      </c>
      <c r="C148" s="14" t="s">
        <v>314</v>
      </c>
      <c r="D148" s="142"/>
      <c r="E148" s="142"/>
      <c r="F148" s="27">
        <f>ROUND(VLOOKUP($B148,Historical!$A$5:$U$500,COLUMNS($F148:F148)+6,FALSE)/1000,3)-F149</f>
        <v>37221.888000000035</v>
      </c>
      <c r="G148" s="27">
        <f>ROUND(VLOOKUP($B148,Historical!$A$5:$U$500,COLUMNS($F148:G148)+6,FALSE)/1000,3)-G149</f>
        <v>36172.39499999996</v>
      </c>
      <c r="H148" s="27">
        <f>ROUND(VLOOKUP($B148,Historical!$A$5:$U$500,COLUMNS($F148:H148)+6,FALSE)/1000,3)-H149</f>
        <v>35169.508000000031</v>
      </c>
      <c r="I148" s="27">
        <f>ROUND(VLOOKUP($B148,Historical!$A$5:$U$500,COLUMNS($F148:I148)+6,FALSE)/1000,3)-I149</f>
        <v>34426.447999999975</v>
      </c>
      <c r="J148" s="27">
        <f>ROUND(VLOOKUP($B148,Historical!$A$5:$U$500,COLUMNS($F148:J148)+6,FALSE)/1000,3)-J149</f>
        <v>35134.022999999986</v>
      </c>
      <c r="K148" s="27">
        <f>ROUND(VLOOKUP($B148,Historical!$A$5:$U$500,COLUMNS($F148:K148)+6,FALSE)/1000,3)-K149</f>
        <v>35824.648000000045</v>
      </c>
      <c r="L148" s="27">
        <f>ROUND(VLOOKUP($B148,Historical!$A$5:$U$500,COLUMNS($F148:L148)+6,FALSE)/1000,3)-L149</f>
        <v>37439.413</v>
      </c>
      <c r="M148" s="27">
        <f>ROUND(VLOOKUP($B148,Historical!$A$5:$U$500,COLUMNS($F148:M148)+6,FALSE)/1000,3)-M149</f>
        <v>40382.101999999955</v>
      </c>
      <c r="N148" s="27">
        <f>ROUND(VLOOKUP($B148,Historical!$A$5:$U$500,COLUMNS($F148:N148)+6,FALSE)/1000,3)-N149</f>
        <v>42104.546999999962</v>
      </c>
      <c r="O148" s="27">
        <f>ROUND(VLOOKUP($B148,Historical!$A$5:$U$500,COLUMNS($F148:O148)+6,FALSE)/1000,3)-O149</f>
        <v>46713.534999999974</v>
      </c>
      <c r="P148" s="27">
        <f>ROUND(VLOOKUP($B148,Historical!$A$5:$U$500,COLUMNS($F148:P148)+6,FALSE)/1000,3)-P149</f>
        <v>46870.29700000002</v>
      </c>
      <c r="Q148" s="27">
        <f>ROUND(VLOOKUP($B148,Historical!$A$5:$U$500,COLUMNS($F148:Q148)+6,FALSE)/1000,3)-Q149</f>
        <v>45090.442000000039</v>
      </c>
      <c r="R148" s="27">
        <f>ROUND(VLOOKUP($B148,Historical!$A$5:$U$500,COLUMNS($F148:R148)+6,FALSE)/1000,3)-R149</f>
        <v>46610.011999999988</v>
      </c>
      <c r="S148" s="150">
        <f t="shared" si="17"/>
        <v>39935.327538461534</v>
      </c>
      <c r="T148" s="144" t="s">
        <v>118</v>
      </c>
    </row>
    <row r="149" spans="1:21" ht="15" customHeight="1">
      <c r="A149" s="142">
        <v>31</v>
      </c>
      <c r="B149" s="151" t="s">
        <v>481</v>
      </c>
      <c r="C149" s="14" t="s">
        <v>482</v>
      </c>
      <c r="D149" s="142"/>
      <c r="E149" s="142"/>
      <c r="F149" s="27">
        <f>ROUND(VLOOKUP("2540610",Historical!$B$5:$U$598,COLUMNS($F149:F149)+5,FALSE)/1000,3)</f>
        <v>512586.44400000002</v>
      </c>
      <c r="G149" s="27">
        <f>ROUND(VLOOKUP("2540610",Historical!$B$5:$U$598,COLUMNS($F149:G149)+5,FALSE)/1000,3)</f>
        <v>509482.63900000002</v>
      </c>
      <c r="H149" s="27">
        <f>ROUND(VLOOKUP("2540610",Historical!$B$5:$U$598,COLUMNS($F149:H149)+5,FALSE)/1000,3)</f>
        <v>506675.05200000003</v>
      </c>
      <c r="I149" s="27">
        <f>ROUND(VLOOKUP("2540610",Historical!$B$5:$U$598,COLUMNS($F149:I149)+5,FALSE)/1000,3)</f>
        <v>507491.42200000002</v>
      </c>
      <c r="J149" s="27">
        <f>ROUND(VLOOKUP("2540610",Historical!$B$5:$U$598,COLUMNS($F149:J149)+5,FALSE)/1000,3)</f>
        <v>504195.57199999999</v>
      </c>
      <c r="K149" s="27">
        <f>ROUND(VLOOKUP("2540610",Historical!$B$5:$U$598,COLUMNS($F149:K149)+5,FALSE)/1000,3)</f>
        <v>501201.375</v>
      </c>
      <c r="L149" s="27">
        <f>ROUND(VLOOKUP("2540610",Historical!$B$5:$U$598,COLUMNS($F149:L149)+5,FALSE)/1000,3)</f>
        <v>495288.96</v>
      </c>
      <c r="M149" s="27">
        <f>ROUND(VLOOKUP("2540610",Historical!$B$5:$U$598,COLUMNS($F149:M149)+5,FALSE)/1000,3)</f>
        <v>492310.19900000002</v>
      </c>
      <c r="N149" s="27">
        <f>ROUND(VLOOKUP("2540610",Historical!$B$5:$U$598,COLUMNS($F149:N149)+5,FALSE)/1000,3)</f>
        <v>489347.40299999999</v>
      </c>
      <c r="O149" s="27">
        <f>ROUND(VLOOKUP("2540610",Historical!$B$5:$U$598,COLUMNS($F149:O149)+5,FALSE)/1000,3)</f>
        <v>478324.60200000001</v>
      </c>
      <c r="P149" s="27">
        <f>ROUND(VLOOKUP("2540610",Historical!$B$5:$U$598,COLUMNS($F149:P149)+5,FALSE)/1000,3)</f>
        <v>475349.12</v>
      </c>
      <c r="Q149" s="27">
        <f>ROUND(VLOOKUP("2540610",Historical!$B$5:$U$598,COLUMNS($F149:Q149)+5,FALSE)/1000,3)</f>
        <v>472961.00699999998</v>
      </c>
      <c r="R149" s="27">
        <f>ROUND(VLOOKUP("2540610",Historical!$B$5:$U$598,COLUMNS($F149:R149)+5,FALSE)/1000,3)</f>
        <v>476702.07699999999</v>
      </c>
      <c r="S149" s="150">
        <f t="shared" si="17"/>
        <v>493993.52861538465</v>
      </c>
      <c r="T149" s="144" t="s">
        <v>421</v>
      </c>
    </row>
    <row r="150" spans="1:21" ht="15" customHeight="1">
      <c r="A150" s="142">
        <v>32</v>
      </c>
      <c r="B150" s="86" t="s">
        <v>483</v>
      </c>
      <c r="C150" s="14" t="s">
        <v>484</v>
      </c>
      <c r="D150" s="142"/>
      <c r="E150" s="142"/>
      <c r="F150" s="27">
        <f>ROUND(IF(ISNA(VLOOKUP($B150,Historical!$A$5:$U$500,COLUMNS($F150:F150)+6,FALSE)),0,+(VLOOKUP($B150,Historical!$A$5:$U$500,COLUMNS($F150:F150)+6,FALSE)))/1000,3)</f>
        <v>243216.489</v>
      </c>
      <c r="G150" s="27">
        <f>ROUND(IF(ISNA(VLOOKUP($B150,Historical!$A$5:$U$500,COLUMNS($F150:G150)+6,FALSE)),0,+(VLOOKUP($B150,Historical!$A$5:$U$500,COLUMNS($F150:G150)+6,FALSE)))/1000,3)</f>
        <v>242671.625</v>
      </c>
      <c r="H150" s="27">
        <f>ROUND(IF(ISNA(VLOOKUP($B150,Historical!$A$5:$U$500,COLUMNS($F150:H150)+6,FALSE)),0,+(VLOOKUP($B150,Historical!$A$5:$U$500,COLUMNS($F150:H150)+6,FALSE)))/1000,3)</f>
        <v>242126.761</v>
      </c>
      <c r="I150" s="27">
        <f>ROUND(IF(ISNA(VLOOKUP($B150,Historical!$A$5:$U$500,COLUMNS($F150:I150)+6,FALSE)),0,+(VLOOKUP($B150,Historical!$A$5:$U$500,COLUMNS($F150:I150)+6,FALSE)))/1000,3)</f>
        <v>242663.723</v>
      </c>
      <c r="J150" s="27">
        <f>ROUND(IF(ISNA(VLOOKUP($B150,Historical!$A$5:$U$500,COLUMNS($F150:J150)+6,FALSE)),0,+(VLOOKUP($B150,Historical!$A$5:$U$500,COLUMNS($F150:J150)+6,FALSE)))/1000,3)</f>
        <v>241762.45300000001</v>
      </c>
      <c r="K150" s="27">
        <f>ROUND(IF(ISNA(VLOOKUP($B150,Historical!$A$5:$U$500,COLUMNS($F150:K150)+6,FALSE)),0,+(VLOOKUP($B150,Historical!$A$5:$U$500,COLUMNS($F150:K150)+6,FALSE)))/1000,3)</f>
        <v>241085.85699999999</v>
      </c>
      <c r="L150" s="27">
        <f>ROUND(IF(ISNA(VLOOKUP($B150,Historical!$A$5:$U$500,COLUMNS($F150:L150)+6,FALSE)),0,+(VLOOKUP($B150,Historical!$A$5:$U$500,COLUMNS($F150:L150)+6,FALSE)))/1000,3)</f>
        <v>240445.38500000001</v>
      </c>
      <c r="M150" s="27">
        <f>ROUND(IF(ISNA(VLOOKUP($B150,Historical!$A$5:$U$500,COLUMNS($F150:M150)+6,FALSE)),0,+(VLOOKUP($B150,Historical!$A$5:$U$500,COLUMNS($F150:M150)+6,FALSE)))/1000,3)</f>
        <v>239775.62400000001</v>
      </c>
      <c r="N150" s="27">
        <f>ROUND(IF(ISNA(VLOOKUP($B150,Historical!$A$5:$U$500,COLUMNS($F150:N150)+6,FALSE)),0,+(VLOOKUP($B150,Historical!$A$5:$U$500,COLUMNS($F150:N150)+6,FALSE)))/1000,3)</f>
        <v>239108.69399999999</v>
      </c>
      <c r="O150" s="27">
        <f>ROUND(IF(ISNA(VLOOKUP($B150,Historical!$A$5:$U$500,COLUMNS($F150:O150)+6,FALSE)),0,+(VLOOKUP($B150,Historical!$A$5:$U$500,COLUMNS($F150:O150)+6,FALSE)))/1000,3)</f>
        <v>238439.405</v>
      </c>
      <c r="P150" s="27">
        <f>ROUND(IF(ISNA(VLOOKUP($B150,Historical!$A$5:$U$500,COLUMNS($F150:P150)+6,FALSE)),0,+(VLOOKUP($B150,Historical!$A$5:$U$500,COLUMNS($F150:P150)+6,FALSE)))/1000,3)</f>
        <v>237770.11600000001</v>
      </c>
      <c r="Q150" s="27">
        <f>ROUND(IF(ISNA(VLOOKUP($B150,Historical!$A$5:$U$500,COLUMNS($F150:Q150)+6,FALSE)),0,+(VLOOKUP($B150,Historical!$A$5:$U$500,COLUMNS($F150:Q150)+6,FALSE)))/1000,3)</f>
        <v>237496.67800000001</v>
      </c>
      <c r="R150" s="27">
        <f>ROUND(IF(ISNA(VLOOKUP($B150,Historical!$A$5:$U$500,COLUMNS($F150:R150)+6,FALSE)),0,+(VLOOKUP($B150,Historical!$A$5:$U$500,COLUMNS($F150:R150)+6,FALSE)))/1000,3)</f>
        <v>237151.59899999999</v>
      </c>
      <c r="S150" s="150">
        <f t="shared" si="17"/>
        <v>240285.72376923074</v>
      </c>
      <c r="T150" s="144" t="s">
        <v>421</v>
      </c>
    </row>
    <row r="151" spans="1:21" ht="15" customHeight="1">
      <c r="A151" s="142">
        <v>33</v>
      </c>
      <c r="B151" s="86" t="s">
        <v>485</v>
      </c>
      <c r="C151" s="14" t="s">
        <v>486</v>
      </c>
      <c r="D151" s="142"/>
      <c r="E151" s="142"/>
      <c r="F151" s="27">
        <f>ROUND(IF(ISNA(VLOOKUP($B151,Historical!$A$5:$U$500,COLUMNS($F151:F151)+6,FALSE)),0,+(VLOOKUP($B151,Historical!$A$5:$U$500,COLUMNS($F151:F151)+6,FALSE)))/1000,3)</f>
        <v>-7.8760000000000003</v>
      </c>
      <c r="G151" s="27">
        <f>ROUND(IF(ISNA(VLOOKUP($B151,Historical!$A$5:$U$500,COLUMNS($F151:G151)+6,FALSE)),0,+(VLOOKUP($B151,Historical!$A$5:$U$500,COLUMNS($F151:G151)+6,FALSE)))/1000,3)</f>
        <v>-7.8760000000000003</v>
      </c>
      <c r="H151" s="27">
        <f>ROUND(IF(ISNA(VLOOKUP($B151,Historical!$A$5:$U$500,COLUMNS($F151:H151)+6,FALSE)),0,+(VLOOKUP($B151,Historical!$A$5:$U$500,COLUMNS($F151:H151)+6,FALSE)))/1000,3)</f>
        <v>-7.8760000000000003</v>
      </c>
      <c r="I151" s="27">
        <f>ROUND(IF(ISNA(VLOOKUP($B151,Historical!$A$5:$U$500,COLUMNS($F151:I151)+6,FALSE)),0,+(VLOOKUP($B151,Historical!$A$5:$U$500,COLUMNS($F151:I151)+6,FALSE)))/1000,3)</f>
        <v>-7.8760000000000003</v>
      </c>
      <c r="J151" s="27">
        <f>ROUND(IF(ISNA(VLOOKUP($B151,Historical!$A$5:$U$500,COLUMNS($F151:J151)+6,FALSE)),0,+(VLOOKUP($B151,Historical!$A$5:$U$500,COLUMNS($F151:J151)+6,FALSE)))/1000,3)</f>
        <v>-7.8760000000000003</v>
      </c>
      <c r="K151" s="27">
        <f>ROUND(IF(ISNA(VLOOKUP($B151,Historical!$A$5:$U$500,COLUMNS($F151:K151)+6,FALSE)),0,+(VLOOKUP($B151,Historical!$A$5:$U$500,COLUMNS($F151:K151)+6,FALSE)))/1000,3)</f>
        <v>-7.8760000000000003</v>
      </c>
      <c r="L151" s="27">
        <f>ROUND(IF(ISNA(VLOOKUP($B151,Historical!$A$5:$U$500,COLUMNS($F151:L151)+6,FALSE)),0,+(VLOOKUP($B151,Historical!$A$5:$U$500,COLUMNS($F151:L151)+6,FALSE)))/1000,3)</f>
        <v>-7.8760000000000003</v>
      </c>
      <c r="M151" s="27">
        <f>ROUND(IF(ISNA(VLOOKUP($B151,Historical!$A$5:$U$500,COLUMNS($F151:M151)+6,FALSE)),0,+(VLOOKUP($B151,Historical!$A$5:$U$500,COLUMNS($F151:M151)+6,FALSE)))/1000,3)</f>
        <v>-7.8760000000000003</v>
      </c>
      <c r="N151" s="27">
        <f>ROUND(IF(ISNA(VLOOKUP($B151,Historical!$A$5:$U$500,COLUMNS($F151:N151)+6,FALSE)),0,+(VLOOKUP($B151,Historical!$A$5:$U$500,COLUMNS($F151:N151)+6,FALSE)))/1000,3)</f>
        <v>-7.8760000000000003</v>
      </c>
      <c r="O151" s="27">
        <f>ROUND(IF(ISNA(VLOOKUP($B151,Historical!$A$5:$U$500,COLUMNS($F151:O151)+6,FALSE)),0,+(VLOOKUP($B151,Historical!$A$5:$U$500,COLUMNS($F151:O151)+6,FALSE)))/1000,3)</f>
        <v>-7.8760000000000003</v>
      </c>
      <c r="P151" s="27">
        <f>ROUND(IF(ISNA(VLOOKUP($B151,Historical!$A$5:$U$500,COLUMNS($F151:P151)+6,FALSE)),0,+(VLOOKUP($B151,Historical!$A$5:$U$500,COLUMNS($F151:P151)+6,FALSE)))/1000,3)</f>
        <v>-7.8760000000000003</v>
      </c>
      <c r="Q151" s="27">
        <f>ROUND(IF(ISNA(VLOOKUP($B151,Historical!$A$5:$U$500,COLUMNS($F151:Q151)+6,FALSE)),0,+(VLOOKUP($B151,Historical!$A$5:$U$500,COLUMNS($F151:Q151)+6,FALSE)))/1000,3)</f>
        <v>-7.8760000000000003</v>
      </c>
      <c r="R151" s="27">
        <f>ROUND(IF(ISNA(VLOOKUP($B151,Historical!$A$5:$U$500,COLUMNS($F151:R151)+6,FALSE)),0,+(VLOOKUP($B151,Historical!$A$5:$U$500,COLUMNS($F151:R151)+6,FALSE)))/1000,3)</f>
        <v>-7.8760000000000003</v>
      </c>
      <c r="S151" s="150">
        <f t="shared" si="17"/>
        <v>-7.8760000000000012</v>
      </c>
      <c r="T151" s="144" t="s">
        <v>118</v>
      </c>
    </row>
    <row r="152" spans="1:21" ht="15" customHeight="1">
      <c r="A152" s="142">
        <v>34</v>
      </c>
      <c r="B152" s="86" t="s">
        <v>487</v>
      </c>
      <c r="C152" s="14" t="s">
        <v>488</v>
      </c>
      <c r="D152" s="142"/>
      <c r="E152" s="142"/>
      <c r="F152" s="27">
        <f>ROUND(IF(ISNA(VLOOKUP($B152,Historical!$A$5:$U$500,COLUMNS($F152:F152)+6,FALSE)),0,+(VLOOKUP($B152,Historical!$A$5:$U$500,COLUMNS($F152:F152)+6,FALSE)))/1000,3)</f>
        <v>0</v>
      </c>
      <c r="G152" s="27">
        <f>ROUND(IF(ISNA(VLOOKUP($B152,Historical!$A$5:$U$500,COLUMNS($F152:G152)+6,FALSE)),0,+(VLOOKUP($B152,Historical!$A$5:$U$500,COLUMNS($F152:G152)+6,FALSE)))/1000,3)</f>
        <v>0</v>
      </c>
      <c r="H152" s="27">
        <f>ROUND(IF(ISNA(VLOOKUP($B152,Historical!$A$5:$U$500,COLUMNS($F152:H152)+6,FALSE)),0,+(VLOOKUP($B152,Historical!$A$5:$U$500,COLUMNS($F152:H152)+6,FALSE)))/1000,3)</f>
        <v>0</v>
      </c>
      <c r="I152" s="27">
        <f>ROUND(IF(ISNA(VLOOKUP($B152,Historical!$A$5:$U$500,COLUMNS($F152:I152)+6,FALSE)),0,+(VLOOKUP($B152,Historical!$A$5:$U$500,COLUMNS($F152:I152)+6,FALSE)))/1000,3)</f>
        <v>0</v>
      </c>
      <c r="J152" s="27">
        <f>ROUND(IF(ISNA(VLOOKUP($B152,Historical!$A$5:$U$500,COLUMNS($F152:J152)+6,FALSE)),0,+(VLOOKUP($B152,Historical!$A$5:$U$500,COLUMNS($F152:J152)+6,FALSE)))/1000,3)</f>
        <v>0</v>
      </c>
      <c r="K152" s="27">
        <f>ROUND(IF(ISNA(VLOOKUP($B152,Historical!$A$5:$U$500,COLUMNS($F152:K152)+6,FALSE)),0,+(VLOOKUP($B152,Historical!$A$5:$U$500,COLUMNS($F152:K152)+6,FALSE)))/1000,3)</f>
        <v>0</v>
      </c>
      <c r="L152" s="27">
        <f>ROUND(IF(ISNA(VLOOKUP($B152,Historical!$A$5:$U$500,COLUMNS($F152:L152)+6,FALSE)),0,+(VLOOKUP($B152,Historical!$A$5:$U$500,COLUMNS($F152:L152)+6,FALSE)))/1000,3)</f>
        <v>0</v>
      </c>
      <c r="M152" s="27">
        <f>ROUND(IF(ISNA(VLOOKUP($B152,Historical!$A$5:$U$500,COLUMNS($F152:M152)+6,FALSE)),0,+(VLOOKUP($B152,Historical!$A$5:$U$500,COLUMNS($F152:M152)+6,FALSE)))/1000,3)</f>
        <v>0</v>
      </c>
      <c r="N152" s="27">
        <f>ROUND(IF(ISNA(VLOOKUP($B152,Historical!$A$5:$U$500,COLUMNS($F152:N152)+6,FALSE)),0,+(VLOOKUP($B152,Historical!$A$5:$U$500,COLUMNS($F152:N152)+6,FALSE)))/1000,3)</f>
        <v>0</v>
      </c>
      <c r="O152" s="27">
        <f>ROUND(IF(ISNA(VLOOKUP($B152,Historical!$A$5:$U$500,COLUMNS($F152:O152)+6,FALSE)),0,+(VLOOKUP($B152,Historical!$A$5:$U$500,COLUMNS($F152:O152)+6,FALSE)))/1000,3)</f>
        <v>0</v>
      </c>
      <c r="P152" s="27">
        <f>ROUND(IF(ISNA(VLOOKUP($B152,Historical!$A$5:$U$500,COLUMNS($F152:P152)+6,FALSE)),0,+(VLOOKUP($B152,Historical!$A$5:$U$500,COLUMNS($F152:P152)+6,FALSE)))/1000,3)</f>
        <v>0</v>
      </c>
      <c r="Q152" s="27">
        <f>ROUND(IF(ISNA(VLOOKUP($B152,Historical!$A$5:$U$500,COLUMNS($F152:Q152)+6,FALSE)),0,+(VLOOKUP($B152,Historical!$A$5:$U$500,COLUMNS($F152:Q152)+6,FALSE)))/1000,3)</f>
        <v>0</v>
      </c>
      <c r="R152" s="27">
        <f>ROUND(IF(ISNA(VLOOKUP($B152,Historical!$A$5:$U$500,COLUMNS($F152:R152)+6,FALSE)),0,+(VLOOKUP($B152,Historical!$A$5:$U$500,COLUMNS($F152:R152)+6,FALSE)))/1000,3)</f>
        <v>0</v>
      </c>
      <c r="S152" s="150">
        <f t="shared" si="17"/>
        <v>0</v>
      </c>
      <c r="T152" s="144" t="s">
        <v>118</v>
      </c>
    </row>
    <row r="153" spans="1:21" ht="15" customHeight="1">
      <c r="A153" s="142">
        <v>35</v>
      </c>
      <c r="B153" s="86" t="s">
        <v>489</v>
      </c>
      <c r="C153" s="14" t="s">
        <v>490</v>
      </c>
      <c r="D153" s="142"/>
      <c r="E153" s="142"/>
      <c r="F153" s="27">
        <f>ROUND(IF(ISNA(VLOOKUP($B153,Historical!$A$5:$U$500,COLUMNS($F153:F153)+6,FALSE)),0,+(VLOOKUP($B153,Historical!$A$5:$U$500,COLUMNS($F153:F153)+6,FALSE)))/1000,3)</f>
        <v>52270.667999999998</v>
      </c>
      <c r="G153" s="27">
        <f>ROUND(IF(ISNA(VLOOKUP($B153,Historical!$A$5:$U$500,COLUMNS($F153:G153)+6,FALSE)),0,+(VLOOKUP($B153,Historical!$A$5:$U$500,COLUMNS($F153:G153)+6,FALSE)))/1000,3)</f>
        <v>52376.514000000003</v>
      </c>
      <c r="H153" s="27">
        <f>ROUND(IF(ISNA(VLOOKUP($B153,Historical!$A$5:$U$500,COLUMNS($F153:H153)+6,FALSE)),0,+(VLOOKUP($B153,Historical!$A$5:$U$500,COLUMNS($F153:H153)+6,FALSE)))/1000,3)</f>
        <v>52475.035000000003</v>
      </c>
      <c r="I153" s="27">
        <f>ROUND(IF(ISNA(VLOOKUP($B153,Historical!$A$5:$U$500,COLUMNS($F153:I153)+6,FALSE)),0,+(VLOOKUP($B153,Historical!$A$5:$U$500,COLUMNS($F153:I153)+6,FALSE)))/1000,3)</f>
        <v>52579.695</v>
      </c>
      <c r="J153" s="27">
        <f>ROUND(IF(ISNA(VLOOKUP($B153,Historical!$A$5:$U$500,COLUMNS($F153:J153)+6,FALSE)),0,+(VLOOKUP($B153,Historical!$A$5:$U$500,COLUMNS($F153:J153)+6,FALSE)))/1000,3)</f>
        <v>52682.703999999998</v>
      </c>
      <c r="K153" s="27">
        <f>ROUND(IF(ISNA(VLOOKUP($B153,Historical!$A$5:$U$500,COLUMNS($F153:K153)+6,FALSE)),0,+(VLOOKUP($B153,Historical!$A$5:$U$500,COLUMNS($F153:K153)+6,FALSE)))/1000,3)</f>
        <v>52785.713000000003</v>
      </c>
      <c r="L153" s="27">
        <f>ROUND(IF(ISNA(VLOOKUP($B153,Historical!$A$5:$U$500,COLUMNS($F153:L153)+6,FALSE)),0,+(VLOOKUP($B153,Historical!$A$5:$U$500,COLUMNS($F153:L153)+6,FALSE)))/1000,3)</f>
        <v>52944.26</v>
      </c>
      <c r="M153" s="27">
        <f>ROUND(IF(ISNA(VLOOKUP($B153,Historical!$A$5:$U$500,COLUMNS($F153:M153)+6,FALSE)),0,+(VLOOKUP($B153,Historical!$A$5:$U$500,COLUMNS($F153:M153)+6,FALSE)))/1000,3)</f>
        <v>53056.525000000001</v>
      </c>
      <c r="N153" s="27">
        <f>ROUND(IF(ISNA(VLOOKUP($B153,Historical!$A$5:$U$500,COLUMNS($F153:N153)+6,FALSE)),0,+(VLOOKUP($B153,Historical!$A$5:$U$500,COLUMNS($F153:N153)+6,FALSE)))/1000,3)</f>
        <v>53169.875</v>
      </c>
      <c r="O153" s="27">
        <f>ROUND(IF(ISNA(VLOOKUP($B153,Historical!$A$5:$U$500,COLUMNS($F153:O153)+6,FALSE)),0,+(VLOOKUP($B153,Historical!$A$5:$U$500,COLUMNS($F153:O153)+6,FALSE)))/1000,3)</f>
        <v>53284.959000000003</v>
      </c>
      <c r="P153" s="27">
        <f>ROUND(IF(ISNA(VLOOKUP($B153,Historical!$A$5:$U$500,COLUMNS($F153:P153)+6,FALSE)),0,+(VLOOKUP($B153,Historical!$A$5:$U$500,COLUMNS($F153:P153)+6,FALSE)))/1000,3)</f>
        <v>53397.658000000003</v>
      </c>
      <c r="Q153" s="27">
        <f>ROUND(IF(ISNA(VLOOKUP($B153,Historical!$A$5:$U$500,COLUMNS($F153:Q153)+6,FALSE)),0,+(VLOOKUP($B153,Historical!$A$5:$U$500,COLUMNS($F153:Q153)+6,FALSE)))/1000,3)</f>
        <v>54880.95</v>
      </c>
      <c r="R153" s="27">
        <f>ROUND(IF(ISNA(VLOOKUP($B153,Historical!$A$5:$U$500,COLUMNS($F153:R153)+6,FALSE)),0,+(VLOOKUP($B153,Historical!$A$5:$U$500,COLUMNS($F153:R153)+6,FALSE)))/1000,3)</f>
        <v>55086.303</v>
      </c>
      <c r="S153" s="150">
        <f t="shared" si="17"/>
        <v>53153.143000000004</v>
      </c>
      <c r="T153" s="144" t="s">
        <v>421</v>
      </c>
    </row>
    <row r="154" spans="1:21" ht="15" customHeight="1">
      <c r="A154" s="142">
        <v>36</v>
      </c>
      <c r="B154" s="86" t="s">
        <v>491</v>
      </c>
      <c r="C154" s="14" t="s">
        <v>490</v>
      </c>
      <c r="D154" s="142"/>
      <c r="E154" s="142"/>
      <c r="F154" s="27">
        <f>ROUND(IF(ISNA(VLOOKUP($B154,Historical!$A$5:$U$500,COLUMNS($F154:F154)+6,FALSE)),0,+(VLOOKUP($B154,Historical!$A$5:$U$500,COLUMNS($F154:F154)+6,FALSE)))/1000,3)</f>
        <v>1383921.0959999999</v>
      </c>
      <c r="G154" s="27">
        <f>ROUND(IF(ISNA(VLOOKUP($B154,Historical!$A$5:$U$500,COLUMNS($F154:G154)+6,FALSE)),0,+(VLOOKUP($B154,Historical!$A$5:$U$500,COLUMNS($F154:G154)+6,FALSE)))/1000,3)</f>
        <v>1386062.5530000001</v>
      </c>
      <c r="H154" s="27">
        <f>ROUND(IF(ISNA(VLOOKUP($B154,Historical!$A$5:$U$500,COLUMNS($F154:H154)+6,FALSE)),0,+(VLOOKUP($B154,Historical!$A$5:$U$500,COLUMNS($F154:H154)+6,FALSE)))/1000,3)</f>
        <v>1394473.882</v>
      </c>
      <c r="I154" s="27">
        <f>ROUND(IF(ISNA(VLOOKUP($B154,Historical!$A$5:$U$500,COLUMNS($F154:I154)+6,FALSE)),0,+(VLOOKUP($B154,Historical!$A$5:$U$500,COLUMNS($F154:I154)+6,FALSE)))/1000,3)</f>
        <v>1401537.2990000001</v>
      </c>
      <c r="J154" s="27">
        <f>ROUND(IF(ISNA(VLOOKUP($B154,Historical!$A$5:$U$500,COLUMNS($F154:J154)+6,FALSE)),0,+(VLOOKUP($B154,Historical!$A$5:$U$500,COLUMNS($F154:J154)+6,FALSE)))/1000,3)</f>
        <v>1412656.6580000001</v>
      </c>
      <c r="K154" s="27">
        <f>ROUND(IF(ISNA(VLOOKUP($B154,Historical!$A$5:$U$500,COLUMNS($F154:K154)+6,FALSE)),0,+(VLOOKUP($B154,Historical!$A$5:$U$500,COLUMNS($F154:K154)+6,FALSE)))/1000,3)</f>
        <v>1420620.202</v>
      </c>
      <c r="L154" s="27">
        <f>ROUND(IF(ISNA(VLOOKUP($B154,Historical!$A$5:$U$500,COLUMNS($F154:L154)+6,FALSE)),0,+(VLOOKUP($B154,Historical!$A$5:$U$500,COLUMNS($F154:L154)+6,FALSE)))/1000,3)</f>
        <v>1433400.4129999999</v>
      </c>
      <c r="M154" s="27">
        <f>ROUND(IF(ISNA(VLOOKUP($B154,Historical!$A$5:$U$500,COLUMNS($F154:M154)+6,FALSE)),0,+(VLOOKUP($B154,Historical!$A$5:$U$500,COLUMNS($F154:M154)+6,FALSE)))/1000,3)</f>
        <v>1442823.4280000001</v>
      </c>
      <c r="N154" s="27">
        <f>ROUND(IF(ISNA(VLOOKUP($B154,Historical!$A$5:$U$500,COLUMNS($F154:N154)+6,FALSE)),0,+(VLOOKUP($B154,Historical!$A$5:$U$500,COLUMNS($F154:N154)+6,FALSE)))/1000,3)</f>
        <v>1449445.787</v>
      </c>
      <c r="O154" s="27">
        <f>ROUND(IF(ISNA(VLOOKUP($B154,Historical!$A$5:$U$500,COLUMNS($F154:O154)+6,FALSE)),0,+(VLOOKUP($B154,Historical!$A$5:$U$500,COLUMNS($F154:O154)+6,FALSE)))/1000,3)</f>
        <v>1463500.35</v>
      </c>
      <c r="P154" s="27">
        <f>ROUND(IF(ISNA(VLOOKUP($B154,Historical!$A$5:$U$500,COLUMNS($F154:P154)+6,FALSE)),0,+(VLOOKUP($B154,Historical!$A$5:$U$500,COLUMNS($F154:P154)+6,FALSE)))/1000,3)</f>
        <v>1472352.3259999999</v>
      </c>
      <c r="Q154" s="27">
        <f>ROUND(IF(ISNA(VLOOKUP($B154,Historical!$A$5:$U$500,COLUMNS($F154:Q154)+6,FALSE)),0,+(VLOOKUP($B154,Historical!$A$5:$U$500,COLUMNS($F154:Q154)+6,FALSE)))/1000,3)</f>
        <v>1479534.8459999999</v>
      </c>
      <c r="R154" s="27">
        <f>ROUND(IF(ISNA(VLOOKUP($B154,Historical!$A$5:$U$500,COLUMNS($F154:R154)+6,FALSE)),0,+(VLOOKUP($B154,Historical!$A$5:$U$500,COLUMNS($F154:R154)+6,FALSE)))/1000,3)</f>
        <v>1483702.4680000001</v>
      </c>
      <c r="S154" s="150">
        <f t="shared" si="17"/>
        <v>1432617.7929230768</v>
      </c>
      <c r="T154" s="144" t="s">
        <v>421</v>
      </c>
    </row>
    <row r="155" spans="1:21" ht="15" customHeight="1">
      <c r="A155" s="142">
        <v>37</v>
      </c>
      <c r="B155" s="86" t="s">
        <v>492</v>
      </c>
      <c r="C155" s="14" t="s">
        <v>490</v>
      </c>
      <c r="D155" s="142"/>
      <c r="E155" s="142"/>
      <c r="F155" s="27">
        <f>ROUND(IF(ISNA(VLOOKUP($B155,Historical!$A$5:$U$500,COLUMNS($F155:F155)+6,FALSE)),0,+(VLOOKUP($B155,Historical!$A$5:$U$500,COLUMNS($F155:F155)+6,FALSE)))/1000,3)</f>
        <v>153945.03899999999</v>
      </c>
      <c r="G155" s="27">
        <f>ROUND(IF(ISNA(VLOOKUP($B155,Historical!$A$5:$U$500,COLUMNS($F155:G155)+6,FALSE)),0,+(VLOOKUP($B155,Historical!$A$5:$U$500,COLUMNS($F155:G155)+6,FALSE)))/1000,3)</f>
        <v>147972.01</v>
      </c>
      <c r="H155" s="27">
        <f>ROUND(IF(ISNA(VLOOKUP($B155,Historical!$A$5:$U$500,COLUMNS($F155:H155)+6,FALSE)),0,+(VLOOKUP($B155,Historical!$A$5:$U$500,COLUMNS($F155:H155)+6,FALSE)))/1000,3)</f>
        <v>142458.10699999999</v>
      </c>
      <c r="I155" s="27">
        <f>ROUND(IF(ISNA(VLOOKUP($B155,Historical!$A$5:$U$500,COLUMNS($F155:I155)+6,FALSE)),0,+(VLOOKUP($B155,Historical!$A$5:$U$500,COLUMNS($F155:I155)+6,FALSE)))/1000,3)</f>
        <v>147460.15400000001</v>
      </c>
      <c r="J155" s="27">
        <f>ROUND(IF(ISNA(VLOOKUP($B155,Historical!$A$5:$U$500,COLUMNS($F155:J155)+6,FALSE)),0,+(VLOOKUP($B155,Historical!$A$5:$U$500,COLUMNS($F155:J155)+6,FALSE)))/1000,3)</f>
        <v>138959.6</v>
      </c>
      <c r="K155" s="27">
        <f>ROUND(IF(ISNA(VLOOKUP($B155,Historical!$A$5:$U$500,COLUMNS($F155:K155)+6,FALSE)),0,+(VLOOKUP($B155,Historical!$A$5:$U$500,COLUMNS($F155:K155)+6,FALSE)))/1000,3)</f>
        <v>129758.77099999999</v>
      </c>
      <c r="L155" s="27">
        <f>ROUND(IF(ISNA(VLOOKUP($B155,Historical!$A$5:$U$500,COLUMNS($F155:L155)+6,FALSE)),0,+(VLOOKUP($B155,Historical!$A$5:$U$500,COLUMNS($F155:L155)+6,FALSE)))/1000,3)</f>
        <v>114948.59299999999</v>
      </c>
      <c r="M155" s="27">
        <f>ROUND(IF(ISNA(VLOOKUP($B155,Historical!$A$5:$U$500,COLUMNS($F155:M155)+6,FALSE)),0,+(VLOOKUP($B155,Historical!$A$5:$U$500,COLUMNS($F155:M155)+6,FALSE)))/1000,3)</f>
        <v>103059.55899999999</v>
      </c>
      <c r="N155" s="27">
        <f>ROUND(IF(ISNA(VLOOKUP($B155,Historical!$A$5:$U$500,COLUMNS($F155:N155)+6,FALSE)),0,+(VLOOKUP($B155,Historical!$A$5:$U$500,COLUMNS($F155:N155)+6,FALSE)))/1000,3)</f>
        <v>94695.775999999998</v>
      </c>
      <c r="O155" s="27">
        <f>ROUND(IF(ISNA(VLOOKUP($B155,Historical!$A$5:$U$500,COLUMNS($F155:O155)+6,FALSE)),0,+(VLOOKUP($B155,Historical!$A$5:$U$500,COLUMNS($F155:O155)+6,FALSE)))/1000,3)</f>
        <v>78425.305999999997</v>
      </c>
      <c r="P155" s="27">
        <f>ROUND(IF(ISNA(VLOOKUP($B155,Historical!$A$5:$U$500,COLUMNS($F155:P155)+6,FALSE)),0,+(VLOOKUP($B155,Historical!$A$5:$U$500,COLUMNS($F155:P155)+6,FALSE)))/1000,3)</f>
        <v>68491.900999999998</v>
      </c>
      <c r="Q155" s="27">
        <f>ROUND(IF(ISNA(VLOOKUP($B155,Historical!$A$5:$U$500,COLUMNS($F155:Q155)+6,FALSE)),0,+(VLOOKUP($B155,Historical!$A$5:$U$500,COLUMNS($F155:Q155)+6,FALSE)))/1000,3)</f>
        <v>61426.078000000001</v>
      </c>
      <c r="R155" s="27">
        <f>ROUND(IF(ISNA(VLOOKUP($B155,Historical!$A$5:$U$500,COLUMNS($F155:R155)+6,FALSE)),0,+(VLOOKUP($B155,Historical!$A$5:$U$500,COLUMNS($F155:R155)+6,FALSE)))/1000,3)</f>
        <v>58119.338000000003</v>
      </c>
      <c r="S155" s="150">
        <f t="shared" si="17"/>
        <v>110747.71015384616</v>
      </c>
      <c r="T155" s="144" t="s">
        <v>421</v>
      </c>
    </row>
    <row r="156" spans="1:21" ht="15" customHeight="1">
      <c r="A156" s="142">
        <v>38</v>
      </c>
      <c r="B156" s="35"/>
      <c r="C156" s="14"/>
      <c r="D156" s="142" t="s">
        <v>479</v>
      </c>
      <c r="E156" s="142"/>
      <c r="F156" s="163">
        <f t="shared" ref="F156:S156" si="18">SUM(F146:F155)</f>
        <v>2397798.227</v>
      </c>
      <c r="G156" s="163">
        <f t="shared" si="18"/>
        <v>2390727.2510000002</v>
      </c>
      <c r="H156" s="163">
        <f t="shared" si="18"/>
        <v>2390483.3049999997</v>
      </c>
      <c r="I156" s="163">
        <f t="shared" si="18"/>
        <v>2400081.2580000004</v>
      </c>
      <c r="J156" s="163">
        <f t="shared" si="18"/>
        <v>2408961.66</v>
      </c>
      <c r="K156" s="163">
        <f t="shared" si="18"/>
        <v>2397591.2680000002</v>
      </c>
      <c r="L156" s="163">
        <f t="shared" si="18"/>
        <v>2393276.4789999998</v>
      </c>
      <c r="M156" s="163">
        <f t="shared" si="18"/>
        <v>2402078.4350000001</v>
      </c>
      <c r="N156" s="163">
        <f t="shared" si="18"/>
        <v>2390637.4619999998</v>
      </c>
      <c r="O156" s="163">
        <f t="shared" si="18"/>
        <v>2383923.37</v>
      </c>
      <c r="P156" s="163">
        <f t="shared" si="18"/>
        <v>2380592.1800000002</v>
      </c>
      <c r="Q156" s="163">
        <f t="shared" si="18"/>
        <v>2378998.9810000001</v>
      </c>
      <c r="R156" s="163">
        <f t="shared" si="18"/>
        <v>2387573.4300000002</v>
      </c>
      <c r="S156" s="163">
        <f t="shared" si="18"/>
        <v>2392517.1773846149</v>
      </c>
      <c r="T156" s="142"/>
    </row>
    <row r="157" spans="1:21" ht="15" customHeight="1">
      <c r="A157" s="142">
        <v>39</v>
      </c>
      <c r="B157" s="35"/>
      <c r="C157" s="14"/>
      <c r="D157" s="142"/>
      <c r="E157" s="142"/>
      <c r="F157" s="27"/>
      <c r="G157" s="27"/>
      <c r="H157" s="27"/>
      <c r="I157" s="27"/>
      <c r="J157" s="27"/>
      <c r="K157" s="27"/>
      <c r="L157" s="27"/>
      <c r="M157" s="27"/>
      <c r="N157" s="27"/>
      <c r="O157" s="27"/>
      <c r="P157" s="27"/>
      <c r="Q157" s="27"/>
      <c r="R157" s="27"/>
      <c r="S157" s="27"/>
      <c r="T157" s="142"/>
    </row>
    <row r="158" spans="1:21" ht="15" customHeight="1" thickBot="1">
      <c r="A158" s="142">
        <v>40</v>
      </c>
      <c r="B158" s="35"/>
      <c r="C158" s="14" t="s">
        <v>493</v>
      </c>
      <c r="D158" s="142"/>
      <c r="E158" s="142"/>
      <c r="F158" s="164">
        <f t="shared" ref="F158:S158" si="19">F85+F92+F127+F143+F156</f>
        <v>11855260.227</v>
      </c>
      <c r="G158" s="164">
        <f t="shared" si="19"/>
        <v>12652879.272</v>
      </c>
      <c r="H158" s="164">
        <f t="shared" si="19"/>
        <v>12659017.200999999</v>
      </c>
      <c r="I158" s="164">
        <f t="shared" si="19"/>
        <v>12715983.838</v>
      </c>
      <c r="J158" s="164">
        <f t="shared" si="19"/>
        <v>12806378.685999999</v>
      </c>
      <c r="K158" s="164">
        <f t="shared" si="19"/>
        <v>12871215.932999998</v>
      </c>
      <c r="L158" s="164">
        <f t="shared" si="19"/>
        <v>12916362.07</v>
      </c>
      <c r="M158" s="164">
        <f t="shared" si="19"/>
        <v>13021046.095999999</v>
      </c>
      <c r="N158" s="164">
        <f t="shared" si="19"/>
        <v>13088300.948999999</v>
      </c>
      <c r="O158" s="164">
        <f t="shared" si="19"/>
        <v>13083529.401999999</v>
      </c>
      <c r="P158" s="164">
        <f t="shared" si="19"/>
        <v>13086208.384</v>
      </c>
      <c r="Q158" s="164">
        <f t="shared" si="19"/>
        <v>13069915.750999998</v>
      </c>
      <c r="R158" s="164">
        <f t="shared" si="19"/>
        <v>12291169.294999998</v>
      </c>
      <c r="S158" s="164">
        <f t="shared" si="19"/>
        <v>12778251.315692304</v>
      </c>
      <c r="T158" s="142"/>
    </row>
    <row r="159" spans="1:21" ht="15" customHeight="1" thickTop="1">
      <c r="A159" s="142">
        <v>41</v>
      </c>
      <c r="B159" s="142"/>
      <c r="C159" s="142"/>
      <c r="D159" s="142"/>
      <c r="E159" s="142"/>
      <c r="F159" s="142"/>
      <c r="G159" s="142"/>
      <c r="H159" s="142"/>
      <c r="I159" s="142"/>
      <c r="J159" s="142"/>
      <c r="K159" s="142"/>
      <c r="L159" s="142"/>
      <c r="M159" s="142"/>
      <c r="N159" s="142"/>
      <c r="O159" s="142"/>
      <c r="P159" s="142"/>
      <c r="Q159" s="142"/>
      <c r="R159" s="142"/>
      <c r="S159" s="142"/>
      <c r="T159" s="142"/>
      <c r="U159" s="142"/>
    </row>
    <row r="160" spans="1:21" ht="15" customHeight="1">
      <c r="A160" s="142">
        <v>42</v>
      </c>
      <c r="B160" s="142" t="s">
        <v>417</v>
      </c>
      <c r="C160" s="4"/>
      <c r="D160" s="4"/>
      <c r="E160" s="4"/>
      <c r="F160" s="37"/>
      <c r="G160" s="37"/>
      <c r="H160" s="37"/>
      <c r="I160" s="37"/>
      <c r="J160" s="37"/>
      <c r="K160" s="37"/>
      <c r="L160" s="37"/>
      <c r="M160" s="37"/>
      <c r="N160" s="37"/>
      <c r="O160" s="37"/>
      <c r="P160" s="37"/>
      <c r="Q160" s="37"/>
    </row>
    <row r="161" spans="1:21" ht="15" customHeight="1" thickBot="1">
      <c r="A161" s="145">
        <v>43</v>
      </c>
      <c r="B161" s="145" t="s">
        <v>67</v>
      </c>
      <c r="C161" s="1"/>
      <c r="D161" s="1"/>
      <c r="E161" s="1"/>
      <c r="F161" s="165"/>
      <c r="G161" s="165"/>
      <c r="H161" s="165"/>
      <c r="I161" s="165"/>
      <c r="J161" s="165"/>
      <c r="K161" s="165"/>
      <c r="L161" s="165"/>
      <c r="M161" s="165"/>
      <c r="N161" s="165"/>
      <c r="O161" s="165"/>
      <c r="P161" s="165"/>
      <c r="Q161" s="165"/>
      <c r="R161" s="165"/>
      <c r="S161" s="165"/>
      <c r="T161" s="100"/>
    </row>
    <row r="162" spans="1:21" ht="15" customHeight="1">
      <c r="A162" s="4" t="str">
        <f>+$A$54</f>
        <v>Supporting Schedules:</v>
      </c>
      <c r="B162" s="5"/>
      <c r="C162" s="5"/>
      <c r="D162" s="5"/>
      <c r="E162" s="5"/>
      <c r="F162" s="5"/>
      <c r="G162" s="5"/>
      <c r="H162" s="5"/>
      <c r="I162" s="5"/>
      <c r="J162" s="5"/>
      <c r="K162" s="5"/>
      <c r="L162" s="5"/>
      <c r="M162" s="5"/>
      <c r="N162" s="5"/>
      <c r="O162" s="5"/>
      <c r="P162" s="5"/>
      <c r="Q162" s="5"/>
      <c r="R162" s="5" t="s">
        <v>181</v>
      </c>
      <c r="S162" s="5"/>
      <c r="T162" s="5"/>
    </row>
    <row r="163" spans="1:21" s="140" customFormat="1" ht="15" hidden="1" customHeight="1"/>
    <row r="164" spans="1:21" ht="15" hidden="1" customHeight="1" thickBot="1">
      <c r="A164" s="1" t="s">
        <v>340</v>
      </c>
      <c r="B164" s="1"/>
      <c r="C164" s="1"/>
      <c r="D164" s="1"/>
      <c r="E164" s="1"/>
      <c r="F164" s="1"/>
      <c r="G164" s="1"/>
      <c r="H164" s="1"/>
      <c r="I164" s="1" t="s">
        <v>341</v>
      </c>
      <c r="J164" s="1"/>
      <c r="K164" s="1"/>
      <c r="L164" s="1"/>
      <c r="M164" s="1"/>
      <c r="N164" s="1"/>
      <c r="O164" s="1"/>
      <c r="P164" s="1"/>
      <c r="Q164" s="1"/>
      <c r="R164" s="1"/>
      <c r="S164" s="1"/>
      <c r="T164" s="3" t="s">
        <v>494</v>
      </c>
      <c r="U164" s="82" t="s">
        <v>71</v>
      </c>
    </row>
    <row r="165" spans="1:21" ht="15" hidden="1" customHeight="1">
      <c r="A165" s="4" t="s">
        <v>4</v>
      </c>
      <c r="B165" s="4"/>
      <c r="C165" s="4"/>
      <c r="D165" s="4"/>
      <c r="E165" s="4"/>
      <c r="F165" s="4" t="s">
        <v>343</v>
      </c>
      <c r="G165" s="4" t="s">
        <v>344</v>
      </c>
      <c r="H165" s="5"/>
      <c r="I165" s="5"/>
      <c r="J165" s="6"/>
      <c r="K165" s="6"/>
      <c r="L165" s="4"/>
      <c r="M165" s="6"/>
      <c r="N165" s="6"/>
      <c r="O165" s="6"/>
      <c r="P165" s="6"/>
      <c r="Q165" s="6" t="s">
        <v>7</v>
      </c>
      <c r="R165" s="4"/>
      <c r="S165" s="4"/>
      <c r="T165" s="7"/>
    </row>
    <row r="166" spans="1:21" ht="15" hidden="1" customHeight="1">
      <c r="A166" s="4"/>
      <c r="B166" s="4"/>
      <c r="C166" s="4"/>
      <c r="D166" s="4"/>
      <c r="E166" s="4"/>
      <c r="F166" s="4"/>
      <c r="G166" s="4" t="s">
        <v>345</v>
      </c>
      <c r="H166" s="5"/>
      <c r="I166" s="5"/>
      <c r="J166" s="9"/>
      <c r="K166" s="7"/>
      <c r="L166" s="4"/>
      <c r="M166" s="4"/>
      <c r="N166" s="4"/>
      <c r="O166" s="9"/>
      <c r="P166" s="9"/>
      <c r="R166" s="7" t="s">
        <v>9</v>
      </c>
      <c r="S166" s="4"/>
      <c r="T166" s="9"/>
    </row>
    <row r="167" spans="1:21" ht="15" hidden="1" customHeight="1">
      <c r="A167" s="4" t="s">
        <v>10</v>
      </c>
      <c r="B167" s="4"/>
      <c r="C167" s="4"/>
      <c r="D167" s="4"/>
      <c r="E167" s="4"/>
      <c r="F167" s="4"/>
      <c r="G167" s="4" t="s">
        <v>346</v>
      </c>
      <c r="H167" s="4"/>
      <c r="I167" s="4"/>
      <c r="J167" s="9"/>
      <c r="K167" s="7"/>
      <c r="L167" s="9"/>
      <c r="M167" s="4"/>
      <c r="N167" s="4"/>
      <c r="O167" s="4"/>
      <c r="P167" s="4"/>
      <c r="Q167" s="9" t="s">
        <v>12</v>
      </c>
      <c r="R167" s="7" t="s">
        <v>11</v>
      </c>
      <c r="S167" s="4"/>
      <c r="T167" s="9"/>
    </row>
    <row r="168" spans="1:21" ht="15" hidden="1" customHeight="1">
      <c r="A168" s="4"/>
      <c r="B168" s="4"/>
      <c r="C168" s="4"/>
      <c r="D168" s="4"/>
      <c r="E168" s="4"/>
      <c r="F168" s="4"/>
      <c r="G168" s="4"/>
      <c r="H168" s="4"/>
      <c r="I168" s="4"/>
      <c r="J168" s="9"/>
      <c r="K168" s="7"/>
      <c r="L168" s="9"/>
      <c r="M168" s="4"/>
      <c r="N168" s="4"/>
      <c r="O168" s="4"/>
      <c r="P168" s="4"/>
      <c r="R168" s="7" t="s">
        <v>13</v>
      </c>
      <c r="S168" s="4"/>
      <c r="T168" s="9"/>
    </row>
    <row r="169" spans="1:21" ht="15" hidden="1" customHeight="1" thickBot="1">
      <c r="A169" s="2" t="str">
        <f>A6</f>
        <v>Docket No.</v>
      </c>
      <c r="B169" s="2"/>
      <c r="C169" s="1"/>
      <c r="D169" s="1"/>
      <c r="E169" s="1"/>
      <c r="F169" s="1"/>
      <c r="G169" s="1"/>
      <c r="H169" s="1"/>
      <c r="I169" s="2" t="s">
        <v>15</v>
      </c>
      <c r="J169" s="10"/>
      <c r="K169" s="1"/>
      <c r="L169" s="1"/>
      <c r="M169" s="1"/>
      <c r="N169" s="1"/>
      <c r="O169" s="1"/>
      <c r="P169" s="1"/>
      <c r="Q169" s="1"/>
      <c r="R169" s="1" t="str">
        <f t="shared" ref="R169" si="20">R114</f>
        <v>Witness:</v>
      </c>
      <c r="S169" s="1"/>
      <c r="T169" s="1"/>
    </row>
    <row r="170" spans="1:21" ht="15" hidden="1" customHeight="1">
      <c r="A170" s="142"/>
      <c r="B170" s="142"/>
      <c r="C170" s="143"/>
      <c r="D170" s="143"/>
      <c r="E170" s="143"/>
      <c r="F170" s="143" t="s">
        <v>17</v>
      </c>
      <c r="G170" s="143" t="s">
        <v>18</v>
      </c>
      <c r="H170" s="143" t="s">
        <v>19</v>
      </c>
      <c r="I170" s="143" t="s">
        <v>20</v>
      </c>
      <c r="J170" s="143" t="s">
        <v>21</v>
      </c>
      <c r="K170" s="143" t="s">
        <v>22</v>
      </c>
      <c r="L170" s="143" t="s">
        <v>23</v>
      </c>
      <c r="M170" s="143" t="s">
        <v>24</v>
      </c>
      <c r="N170" s="143" t="s">
        <v>25</v>
      </c>
      <c r="O170" s="143" t="s">
        <v>26</v>
      </c>
      <c r="P170" s="143" t="s">
        <v>348</v>
      </c>
      <c r="Q170" s="143" t="s">
        <v>349</v>
      </c>
      <c r="R170" s="143" t="s">
        <v>350</v>
      </c>
      <c r="S170" s="143" t="s">
        <v>351</v>
      </c>
      <c r="T170" s="143" t="s">
        <v>352</v>
      </c>
    </row>
    <row r="171" spans="1:21" ht="15" hidden="1" customHeight="1">
      <c r="A171" s="142"/>
      <c r="B171" s="142"/>
      <c r="C171" s="142"/>
      <c r="D171" s="142"/>
      <c r="E171" s="142"/>
      <c r="F171" s="142"/>
      <c r="G171" s="144"/>
      <c r="H171" s="144"/>
      <c r="I171" s="144"/>
      <c r="J171" s="144"/>
      <c r="K171" s="144"/>
      <c r="L171" s="144"/>
      <c r="M171" s="144"/>
      <c r="N171" s="144"/>
      <c r="O171" s="144"/>
      <c r="P171" s="144"/>
      <c r="Q171" s="144"/>
      <c r="R171" s="144"/>
      <c r="S171" s="144" t="s">
        <v>353</v>
      </c>
      <c r="T171" s="144" t="s">
        <v>354</v>
      </c>
    </row>
    <row r="172" spans="1:21" ht="15" hidden="1" customHeight="1">
      <c r="A172" s="142" t="s">
        <v>35</v>
      </c>
      <c r="B172" s="144" t="s">
        <v>355</v>
      </c>
      <c r="C172" s="144" t="s">
        <v>356</v>
      </c>
      <c r="D172" s="144"/>
      <c r="E172" s="144"/>
      <c r="F172" s="144" t="s">
        <v>357</v>
      </c>
      <c r="G172" s="144" t="s">
        <v>358</v>
      </c>
      <c r="H172" s="144" t="s">
        <v>359</v>
      </c>
      <c r="I172" s="144" t="s">
        <v>360</v>
      </c>
      <c r="J172" s="144" t="s">
        <v>361</v>
      </c>
      <c r="K172" s="144" t="s">
        <v>362</v>
      </c>
      <c r="L172" s="144" t="s">
        <v>363</v>
      </c>
      <c r="M172" s="144" t="s">
        <v>364</v>
      </c>
      <c r="N172" s="144" t="s">
        <v>365</v>
      </c>
      <c r="O172" s="144" t="s">
        <v>366</v>
      </c>
      <c r="P172" s="144" t="s">
        <v>367</v>
      </c>
      <c r="Q172" s="144" t="s">
        <v>368</v>
      </c>
      <c r="R172" s="144" t="s">
        <v>357</v>
      </c>
      <c r="S172" s="144" t="s">
        <v>369</v>
      </c>
      <c r="T172" s="144" t="s">
        <v>370</v>
      </c>
    </row>
    <row r="173" spans="1:21" ht="15" hidden="1" customHeight="1" thickBot="1">
      <c r="A173" s="145" t="s">
        <v>46</v>
      </c>
      <c r="B173" s="146" t="s">
        <v>371</v>
      </c>
      <c r="C173" s="146" t="s">
        <v>372</v>
      </c>
      <c r="D173" s="146"/>
      <c r="E173" s="146"/>
      <c r="F173" s="147">
        <v>2023</v>
      </c>
      <c r="G173" s="147">
        <v>2024</v>
      </c>
      <c r="H173" s="147">
        <v>2024</v>
      </c>
      <c r="I173" s="147">
        <v>2024</v>
      </c>
      <c r="J173" s="147">
        <v>2024</v>
      </c>
      <c r="K173" s="147">
        <v>2024</v>
      </c>
      <c r="L173" s="147">
        <v>2024</v>
      </c>
      <c r="M173" s="147">
        <v>2024</v>
      </c>
      <c r="N173" s="147">
        <v>2024</v>
      </c>
      <c r="O173" s="147">
        <v>2024</v>
      </c>
      <c r="P173" s="147">
        <v>2024</v>
      </c>
      <c r="Q173" s="147">
        <v>2024</v>
      </c>
      <c r="R173" s="147">
        <v>2024</v>
      </c>
      <c r="S173" s="147">
        <v>2024</v>
      </c>
      <c r="T173" s="146" t="s">
        <v>373</v>
      </c>
    </row>
    <row r="174" spans="1:21" ht="15" hidden="1" customHeight="1">
      <c r="A174" s="142">
        <v>1</v>
      </c>
      <c r="B174" s="376" t="s">
        <v>374</v>
      </c>
      <c r="C174" s="103" t="s">
        <v>375</v>
      </c>
      <c r="D174" s="103"/>
      <c r="E174" s="103"/>
      <c r="F174" s="332">
        <f>(SUMIF('Prior Year'!$A:$A,"101",'Prior Year'!G:G)+SUMIF('Prior Year'!$A:$A,"106",'Prior Year'!G:G))/1000</f>
        <v>12516769.770560002</v>
      </c>
      <c r="G174" s="332">
        <f>(SUMIF('Prior Year'!$A:$A,"101",'Prior Year'!H:H)+SUMIF('Prior Year'!$A:$A,"106",'Prior Year'!H:H))/1000</f>
        <v>12602692.180585438</v>
      </c>
      <c r="H174" s="332">
        <f>(SUMIF('Prior Year'!$A:$A,"101",'Prior Year'!I:I)+SUMIF('Prior Year'!$A:$A,"106",'Prior Year'!I:I))/1000</f>
        <v>12703987.164724812</v>
      </c>
      <c r="I174" s="332">
        <f>(SUMIF('Prior Year'!$A:$A,"101",'Prior Year'!J:J)+SUMIF('Prior Year'!$A:$A,"106",'Prior Year'!J:J))/1000</f>
        <v>12840478.437415838</v>
      </c>
      <c r="J174" s="332">
        <f>(SUMIF('Prior Year'!$A:$A,"101",'Prior Year'!K:K)+SUMIF('Prior Year'!$A:$A,"106",'Prior Year'!K:K))/1000</f>
        <v>12918349.747422062</v>
      </c>
      <c r="K174" s="332">
        <f>(SUMIF('Prior Year'!$A:$A,"101",'Prior Year'!L:L)+SUMIF('Prior Year'!$A:$A,"106",'Prior Year'!L:L))/1000</f>
        <v>13021452.70486358</v>
      </c>
      <c r="L174" s="332">
        <f>(SUMIF('Prior Year'!$A:$A,"101",'Prior Year'!M:M)+SUMIF('Prior Year'!$A:$A,"106",'Prior Year'!M:M))/1000</f>
        <v>13095921.572347032</v>
      </c>
      <c r="M174" s="332">
        <f>(SUMIF('Prior Year'!$A:$A,"101",'Prior Year'!N:N)+SUMIF('Prior Year'!$A:$A,"106",'Prior Year'!N:N))/1000</f>
        <v>13130380.676815595</v>
      </c>
      <c r="N174" s="332">
        <f>(SUMIF('Prior Year'!$A:$A,"101",'Prior Year'!O:O)+SUMIF('Prior Year'!$A:$A,"106",'Prior Year'!O:O))/1000</f>
        <v>13178598.243138881</v>
      </c>
      <c r="O174" s="332">
        <f>(SUMIF('Prior Year'!$A:$A,"101",'Prior Year'!P:P)+SUMIF('Prior Year'!$A:$A,"106",'Prior Year'!P:P))/1000</f>
        <v>13253803.800021179</v>
      </c>
      <c r="P174" s="332">
        <f>(SUMIF('Prior Year'!$A:$A,"101",'Prior Year'!Q:Q)+SUMIF('Prior Year'!$A:$A,"106",'Prior Year'!Q:Q))/1000</f>
        <v>13301671.861473238</v>
      </c>
      <c r="Q174" s="332">
        <f>(SUMIF('Prior Year'!$A:$A,"101",'Prior Year'!R:R)+SUMIF('Prior Year'!$A:$A,"106",'Prior Year'!R:R))/1000</f>
        <v>13335890.135172261</v>
      </c>
      <c r="R174" s="332">
        <f>(SUMIF('Prior Year'!$A:$A,"101",'Prior Year'!S:S)+SUMIF('Prior Year'!$A:$A,"106",'Prior Year'!S:S))/1000</f>
        <v>13644133.608581899</v>
      </c>
      <c r="S174" s="390">
        <f>AVERAGE(F174:R174)</f>
        <v>13041856.146393985</v>
      </c>
      <c r="T174" s="144" t="s">
        <v>376</v>
      </c>
      <c r="U174" s="92"/>
    </row>
    <row r="175" spans="1:21" ht="15" hidden="1" customHeight="1">
      <c r="A175" s="142">
        <v>2</v>
      </c>
      <c r="B175" s="151" t="s">
        <v>377</v>
      </c>
      <c r="C175" s="14" t="s">
        <v>378</v>
      </c>
      <c r="D175" s="142"/>
      <c r="E175" s="142"/>
      <c r="F175" s="27">
        <f>(SUMIF('Prior Year'!$A:$A,$B175,'Prior Year'!G:G))/1000</f>
        <v>411.07105999999999</v>
      </c>
      <c r="G175" s="27">
        <f>(SUMIF('Prior Year'!$A:$A,$B175,'Prior Year'!H:H))/1000</f>
        <v>411.07105999999999</v>
      </c>
      <c r="H175" s="27">
        <f>(SUMIF('Prior Year'!$A:$A,$B175,'Prior Year'!I:I))/1000</f>
        <v>411.07105999999999</v>
      </c>
      <c r="I175" s="27">
        <f>(SUMIF('Prior Year'!$A:$A,$B175,'Prior Year'!J:J))/1000</f>
        <v>411.07105999999999</v>
      </c>
      <c r="J175" s="27">
        <f>(SUMIF('Prior Year'!$A:$A,$B175,'Prior Year'!K:K))/1000</f>
        <v>411.07105999999999</v>
      </c>
      <c r="K175" s="27">
        <f>(SUMIF('Prior Year'!$A:$A,$B175,'Prior Year'!L:L))/1000</f>
        <v>411.07105999999999</v>
      </c>
      <c r="L175" s="27">
        <f>(SUMIF('Prior Year'!$A:$A,$B175,'Prior Year'!M:M))/1000</f>
        <v>0</v>
      </c>
      <c r="M175" s="27">
        <f>(SUMIF('Prior Year'!$A:$A,$B175,'Prior Year'!N:N))/1000</f>
        <v>0</v>
      </c>
      <c r="N175" s="27">
        <f>(SUMIF('Prior Year'!$A:$A,$B175,'Prior Year'!O:O))/1000</f>
        <v>0</v>
      </c>
      <c r="O175" s="27">
        <f>(SUMIF('Prior Year'!$A:$A,$B175,'Prior Year'!P:P))/1000</f>
        <v>0</v>
      </c>
      <c r="P175" s="27">
        <f>(SUMIF('Prior Year'!$A:$A,$B175,'Prior Year'!Q:Q))/1000</f>
        <v>0</v>
      </c>
      <c r="Q175" s="27">
        <f>(SUMIF('Prior Year'!$A:$A,$B175,'Prior Year'!R:R))/1000</f>
        <v>0</v>
      </c>
      <c r="R175" s="27">
        <f>(SUMIF('Prior Year'!$A:$A,$B175,'Prior Year'!S:S))/1000</f>
        <v>0</v>
      </c>
      <c r="S175" s="150">
        <f t="shared" ref="S175:S179" si="21">AVERAGE(F175:R175)</f>
        <v>189.72510461538465</v>
      </c>
      <c r="T175" s="144" t="s">
        <v>376</v>
      </c>
      <c r="U175" s="92"/>
    </row>
    <row r="176" spans="1:21" ht="15" hidden="1" customHeight="1">
      <c r="A176" s="142">
        <v>3</v>
      </c>
      <c r="B176" s="86" t="s">
        <v>379</v>
      </c>
      <c r="C176" s="14" t="s">
        <v>380</v>
      </c>
      <c r="D176" s="142"/>
      <c r="E176" s="142"/>
      <c r="F176" s="27">
        <f>(SUMIF('Prior Year'!$A:$A,$B176,'Prior Year'!G:G))/1000</f>
        <v>58127.610409999994</v>
      </c>
      <c r="G176" s="27">
        <f>(SUMIF('Prior Year'!$A:$A,$B176,'Prior Year'!H:H))/1000</f>
        <v>63762.399530000002</v>
      </c>
      <c r="H176" s="27">
        <f>(SUMIF('Prior Year'!$A:$A,$B176,'Prior Year'!I:I))/1000</f>
        <v>63762.399530000002</v>
      </c>
      <c r="I176" s="27">
        <f>(SUMIF('Prior Year'!$A:$A,$B176,'Prior Year'!J:J))/1000</f>
        <v>63762.399530000002</v>
      </c>
      <c r="J176" s="27">
        <f>(SUMIF('Prior Year'!$A:$A,$B176,'Prior Year'!K:K))/1000</f>
        <v>63762.399530000002</v>
      </c>
      <c r="K176" s="27">
        <f>(SUMIF('Prior Year'!$A:$A,$B176,'Prior Year'!L:L))/1000</f>
        <v>63762.399530000002</v>
      </c>
      <c r="L176" s="27">
        <f>(SUMIF('Prior Year'!$A:$A,$B176,'Prior Year'!M:M))/1000</f>
        <v>63762.399530000002</v>
      </c>
      <c r="M176" s="27">
        <f>(SUMIF('Prior Year'!$A:$A,$B176,'Prior Year'!N:N))/1000</f>
        <v>63762.399530000002</v>
      </c>
      <c r="N176" s="27">
        <f>(SUMIF('Prior Year'!$A:$A,$B176,'Prior Year'!O:O))/1000</f>
        <v>63762.399530000002</v>
      </c>
      <c r="O176" s="27">
        <f>(SUMIF('Prior Year'!$A:$A,$B176,'Prior Year'!P:P))/1000</f>
        <v>63762.399530000002</v>
      </c>
      <c r="P176" s="27">
        <f>(SUMIF('Prior Year'!$A:$A,$B176,'Prior Year'!Q:Q))/1000</f>
        <v>63762.399530000002</v>
      </c>
      <c r="Q176" s="27">
        <f>(SUMIF('Prior Year'!$A:$A,$B176,'Prior Year'!R:R))/1000</f>
        <v>64262.399530000002</v>
      </c>
      <c r="R176" s="27">
        <f>(SUMIF('Prior Year'!$A:$A,$B176,'Prior Year'!S:S))/1000</f>
        <v>64262.399530000002</v>
      </c>
      <c r="S176" s="150">
        <f t="shared" si="21"/>
        <v>63405.877290000019</v>
      </c>
      <c r="T176" s="144" t="s">
        <v>376</v>
      </c>
      <c r="U176" s="92"/>
    </row>
    <row r="177" spans="1:22" ht="15" hidden="1" customHeight="1">
      <c r="A177" s="142">
        <v>4</v>
      </c>
      <c r="B177" s="86" t="s">
        <v>381</v>
      </c>
      <c r="C177" s="14" t="s">
        <v>382</v>
      </c>
      <c r="D177" s="142"/>
      <c r="E177" s="142"/>
      <c r="F177" s="27">
        <f>(SUMIF('Prior Year'!$A:$A,$B177,'Prior Year'!G:G))/1000</f>
        <v>1093242.2145499999</v>
      </c>
      <c r="G177" s="27">
        <f>(SUMIF('Prior Year'!$A:$A,$B177,'Prior Year'!H:H))/1000</f>
        <v>1075851.3070199999</v>
      </c>
      <c r="H177" s="27">
        <f>(SUMIF('Prior Year'!$A:$A,$B177,'Prior Year'!I:I))/1000</f>
        <v>1050903.35137</v>
      </c>
      <c r="I177" s="27">
        <f>(SUMIF('Prior Year'!$A:$A,$B177,'Prior Year'!J:J))/1000</f>
        <v>1007196.0872599999</v>
      </c>
      <c r="J177" s="27">
        <f>(SUMIF('Prior Year'!$A:$A,$B177,'Prior Year'!K:K))/1000</f>
        <v>1024366.86627</v>
      </c>
      <c r="K177" s="27">
        <f>(SUMIF('Prior Year'!$A:$A,$B177,'Prior Year'!L:L))/1000</f>
        <v>1016462.76748</v>
      </c>
      <c r="L177" s="27">
        <f>(SUMIF('Prior Year'!$A:$A,$B177,'Prior Year'!M:M))/1000</f>
        <v>1077860.2415199999</v>
      </c>
      <c r="M177" s="27">
        <f>(SUMIF('Prior Year'!$A:$A,$B177,'Prior Year'!N:N))/1000</f>
        <v>1141812.70918</v>
      </c>
      <c r="N177" s="27">
        <f>(SUMIF('Prior Year'!$A:$A,$B177,'Prior Year'!O:O))/1000</f>
        <v>1191970.9697700001</v>
      </c>
      <c r="O177" s="27">
        <f>(SUMIF('Prior Year'!$A:$A,$B177,'Prior Year'!P:P))/1000</f>
        <v>1201453.52254</v>
      </c>
      <c r="P177" s="27">
        <f>(SUMIF('Prior Year'!$A:$A,$B177,'Prior Year'!Q:Q))/1000</f>
        <v>1254488.0989400002</v>
      </c>
      <c r="Q177" s="27">
        <f>(SUMIF('Prior Year'!$A:$A,$B177,'Prior Year'!R:R))/1000</f>
        <v>1309546.8328699998</v>
      </c>
      <c r="R177" s="27">
        <f>(SUMIF('Prior Year'!$A:$A,$B177,'Prior Year'!S:S))/1000</f>
        <v>1082288.9041300002</v>
      </c>
      <c r="S177" s="150">
        <f t="shared" si="21"/>
        <v>1117495.6825307691</v>
      </c>
      <c r="T177" s="144" t="s">
        <v>376</v>
      </c>
    </row>
    <row r="178" spans="1:22" ht="15" hidden="1" customHeight="1">
      <c r="A178" s="142">
        <v>5</v>
      </c>
      <c r="B178" s="153" t="s">
        <v>383</v>
      </c>
      <c r="C178" s="14" t="s">
        <v>384</v>
      </c>
      <c r="D178" s="142"/>
      <c r="E178" s="142"/>
      <c r="F178" s="166">
        <f>(SUMIF('Prior Year'!$A:$A,"108",'Prior Year'!G:G)+SUMIF('Prior Year'!$A:$A,"111",'Prior Year'!G:G)+SUMIF('Prior Year'!$A:$A,"115",'Prior Year'!G:G))/1000</f>
        <v>-3706481.2928299997</v>
      </c>
      <c r="G178" s="166">
        <f>(SUMIF('Prior Year'!$A:$A,"108",'Prior Year'!H:H)+SUMIF('Prior Year'!$A:$A,"111",'Prior Year'!H:H)+SUMIF('Prior Year'!$A:$A,"115",'Prior Year'!H:H))/1000</f>
        <v>-3730565.4337599999</v>
      </c>
      <c r="H178" s="166">
        <f>(SUMIF('Prior Year'!$A:$A,"108",'Prior Year'!I:I)+SUMIF('Prior Year'!$A:$A,"111",'Prior Year'!I:I)+SUMIF('Prior Year'!$A:$A,"115",'Prior Year'!I:I))/1000</f>
        <v>-3748057.5548700001</v>
      </c>
      <c r="I178" s="166">
        <f>(SUMIF('Prior Year'!$A:$A,"108",'Prior Year'!J:J)+SUMIF('Prior Year'!$A:$A,"111",'Prior Year'!J:J)+SUMIF('Prior Year'!$A:$A,"115",'Prior Year'!J:J))/1000</f>
        <v>-3762229.4711799999</v>
      </c>
      <c r="J178" s="166">
        <f>(SUMIF('Prior Year'!$A:$A,"108",'Prior Year'!K:K)+SUMIF('Prior Year'!$A:$A,"111",'Prior Year'!K:K)+SUMIF('Prior Year'!$A:$A,"115",'Prior Year'!K:K))/1000</f>
        <v>-3786364.9539500005</v>
      </c>
      <c r="K178" s="166">
        <f>(SUMIF('Prior Year'!$A:$A,"108",'Prior Year'!L:L)+SUMIF('Prior Year'!$A:$A,"111",'Prior Year'!L:L)+SUMIF('Prior Year'!$A:$A,"115",'Prior Year'!L:L))/1000</f>
        <v>-3788359.5496700001</v>
      </c>
      <c r="L178" s="166">
        <f>(SUMIF('Prior Year'!$A:$A,"108",'Prior Year'!M:M)+SUMIF('Prior Year'!$A:$A,"111",'Prior Year'!M:M)+SUMIF('Prior Year'!$A:$A,"115",'Prior Year'!M:M))/1000</f>
        <v>-3811958.6501099998</v>
      </c>
      <c r="M178" s="166">
        <f>(SUMIF('Prior Year'!$A:$A,"108",'Prior Year'!N:N)+SUMIF('Prior Year'!$A:$A,"111",'Prior Year'!N:N)+SUMIF('Prior Year'!$A:$A,"115",'Prior Year'!N:N))/1000</f>
        <v>-3838855.6319599999</v>
      </c>
      <c r="N178" s="166">
        <f>(SUMIF('Prior Year'!$A:$A,"108",'Prior Year'!O:O)+SUMIF('Prior Year'!$A:$A,"111",'Prior Year'!O:O)+SUMIF('Prior Year'!$A:$A,"115",'Prior Year'!O:O))/1000</f>
        <v>-3866533.2314299997</v>
      </c>
      <c r="O178" s="166">
        <f>(SUMIF('Prior Year'!$A:$A,"108",'Prior Year'!P:P)+SUMIF('Prior Year'!$A:$A,"111",'Prior Year'!P:P)+SUMIF('Prior Year'!$A:$A,"115",'Prior Year'!P:P))/1000</f>
        <v>-3895670.3211500002</v>
      </c>
      <c r="P178" s="166">
        <f>(SUMIF('Prior Year'!$A:$A,"108",'Prior Year'!Q:Q)+SUMIF('Prior Year'!$A:$A,"111",'Prior Year'!Q:Q)+SUMIF('Prior Year'!$A:$A,"115",'Prior Year'!Q:Q))/1000</f>
        <v>-3927001.2088700002</v>
      </c>
      <c r="Q178" s="166">
        <f>(SUMIF('Prior Year'!$A:$A,"108",'Prior Year'!R:R)+SUMIF('Prior Year'!$A:$A,"111",'Prior Year'!R:R)+SUMIF('Prior Year'!$A:$A,"115",'Prior Year'!R:R))/1000</f>
        <v>-3959719.2011500001</v>
      </c>
      <c r="R178" s="166">
        <f>(SUMIF('Prior Year'!$A:$A,"108",'Prior Year'!S:S)+SUMIF('Prior Year'!$A:$A,"111",'Prior Year'!S:S)+SUMIF('Prior Year'!$A:$A,"115",'Prior Year'!S:S))/1000</f>
        <v>-3980373.4702300001</v>
      </c>
      <c r="S178" s="150">
        <f t="shared" si="21"/>
        <v>-3830936.1516276919</v>
      </c>
      <c r="T178" s="144" t="s">
        <v>376</v>
      </c>
      <c r="U178" s="92"/>
    </row>
    <row r="179" spans="1:22" ht="15" hidden="1" customHeight="1">
      <c r="A179" s="142">
        <v>6</v>
      </c>
      <c r="B179" s="35" t="s">
        <v>385</v>
      </c>
      <c r="C179" s="14" t="s">
        <v>386</v>
      </c>
      <c r="D179" s="142"/>
      <c r="E179" s="142"/>
      <c r="F179" s="32">
        <f>(SUMIF('Prior Year'!$A:$A,$B179,'Prior Year'!G:G))/1000</f>
        <v>7484.82276</v>
      </c>
      <c r="G179" s="32">
        <f>(SUMIF('Prior Year'!$A:$A,$B179,'Prior Year'!H:H))/1000</f>
        <v>7484.82276</v>
      </c>
      <c r="H179" s="32">
        <f>(SUMIF('Prior Year'!$A:$A,$B179,'Prior Year'!I:I))/1000</f>
        <v>7484.82276</v>
      </c>
      <c r="I179" s="32">
        <f>(SUMIF('Prior Year'!$A:$A,$B179,'Prior Year'!J:J))/1000</f>
        <v>7484.82276</v>
      </c>
      <c r="J179" s="32">
        <f>(SUMIF('Prior Year'!$A:$A,$B179,'Prior Year'!K:K))/1000</f>
        <v>7484.82276</v>
      </c>
      <c r="K179" s="32">
        <f>(SUMIF('Prior Year'!$A:$A,$B179,'Prior Year'!L:L))/1000</f>
        <v>7484.82276</v>
      </c>
      <c r="L179" s="32">
        <f>(SUMIF('Prior Year'!$A:$A,$B179,'Prior Year'!M:M))/1000</f>
        <v>7484.82276</v>
      </c>
      <c r="M179" s="32">
        <f>(SUMIF('Prior Year'!$A:$A,$B179,'Prior Year'!N:N))/1000</f>
        <v>7484.82276</v>
      </c>
      <c r="N179" s="32">
        <f>(SUMIF('Prior Year'!$A:$A,$B179,'Prior Year'!O:O))/1000</f>
        <v>7484.82276</v>
      </c>
      <c r="O179" s="32">
        <f>(SUMIF('Prior Year'!$A:$A,$B179,'Prior Year'!P:P))/1000</f>
        <v>7484.82276</v>
      </c>
      <c r="P179" s="32">
        <f>(SUMIF('Prior Year'!$A:$A,$B179,'Prior Year'!Q:Q))/1000</f>
        <v>7484.82276</v>
      </c>
      <c r="Q179" s="32">
        <f>(SUMIF('Prior Year'!$A:$A,$B179,'Prior Year'!R:R))/1000</f>
        <v>7484.82276</v>
      </c>
      <c r="R179" s="32">
        <f>(SUMIF('Prior Year'!$A:$A,$B179,'Prior Year'!S:S))/1000</f>
        <v>7484.82276</v>
      </c>
      <c r="S179" s="155">
        <f t="shared" si="21"/>
        <v>7484.8227599999991</v>
      </c>
      <c r="T179" s="144" t="s">
        <v>376</v>
      </c>
      <c r="U179" s="333" t="s">
        <v>387</v>
      </c>
    </row>
    <row r="180" spans="1:22" ht="15" hidden="1" customHeight="1">
      <c r="A180" s="142">
        <v>7</v>
      </c>
      <c r="B180" s="35"/>
      <c r="C180" s="14"/>
      <c r="D180" s="142" t="s">
        <v>388</v>
      </c>
      <c r="E180" s="142"/>
      <c r="F180" s="27">
        <f>SUM(F174:F179)</f>
        <v>9969554.196510002</v>
      </c>
      <c r="G180" s="27">
        <f t="shared" ref="G180:S180" si="22">SUM(G174:G179)</f>
        <v>10019636.347195437</v>
      </c>
      <c r="H180" s="27">
        <f t="shared" si="22"/>
        <v>10078491.254574811</v>
      </c>
      <c r="I180" s="27">
        <f t="shared" si="22"/>
        <v>10157103.346845839</v>
      </c>
      <c r="J180" s="27">
        <f t="shared" si="22"/>
        <v>10228009.953092061</v>
      </c>
      <c r="K180" s="27">
        <f t="shared" si="22"/>
        <v>10321214.216023581</v>
      </c>
      <c r="L180" s="27">
        <f t="shared" si="22"/>
        <v>10433070.386047032</v>
      </c>
      <c r="M180" s="27">
        <f t="shared" si="22"/>
        <v>10504584.976325594</v>
      </c>
      <c r="N180" s="27">
        <f t="shared" si="22"/>
        <v>10575283.203768881</v>
      </c>
      <c r="O180" s="27">
        <f t="shared" si="22"/>
        <v>10630834.223701179</v>
      </c>
      <c r="P180" s="27">
        <f t="shared" si="22"/>
        <v>10700405.973833237</v>
      </c>
      <c r="Q180" s="27">
        <f t="shared" si="22"/>
        <v>10757464.98918226</v>
      </c>
      <c r="R180" s="27">
        <f t="shared" si="22"/>
        <v>10817796.264771899</v>
      </c>
      <c r="S180" s="27">
        <f t="shared" si="22"/>
        <v>10399496.102451677</v>
      </c>
      <c r="T180" s="144"/>
      <c r="U180" s="167">
        <f>+'B-1'!O65</f>
        <v>10419980.577999998</v>
      </c>
      <c r="V180" s="168" t="s">
        <v>389</v>
      </c>
    </row>
    <row r="181" spans="1:22" ht="15" hidden="1" customHeight="1">
      <c r="A181" s="142">
        <v>8</v>
      </c>
      <c r="B181" s="35"/>
      <c r="C181" s="14"/>
      <c r="D181" s="142"/>
      <c r="E181" s="142"/>
      <c r="F181" s="27"/>
      <c r="G181" s="27"/>
      <c r="H181" s="27"/>
      <c r="I181" s="27"/>
      <c r="J181" s="27"/>
      <c r="K181" s="27"/>
      <c r="L181" s="27"/>
      <c r="M181" s="27"/>
      <c r="N181" s="27"/>
      <c r="O181" s="27"/>
      <c r="P181" s="27"/>
      <c r="Q181" s="27"/>
      <c r="R181" s="27"/>
      <c r="S181" s="27"/>
      <c r="T181" s="144"/>
      <c r="U181" s="168">
        <f>+S180-U180</f>
        <v>-20484.475548321381</v>
      </c>
      <c r="V181" s="168" t="s">
        <v>390</v>
      </c>
    </row>
    <row r="182" spans="1:22" ht="15" hidden="1" customHeight="1">
      <c r="A182" s="142">
        <v>9</v>
      </c>
      <c r="B182" s="35"/>
      <c r="C182" s="14" t="s">
        <v>391</v>
      </c>
      <c r="D182" s="142"/>
      <c r="E182" s="142"/>
      <c r="F182" s="27"/>
      <c r="G182" s="27"/>
      <c r="H182" s="27"/>
      <c r="I182" s="27"/>
      <c r="J182" s="27"/>
      <c r="K182" s="27"/>
      <c r="L182" s="27"/>
      <c r="M182" s="27"/>
      <c r="N182" s="27"/>
      <c r="O182" s="27"/>
      <c r="P182" s="27"/>
      <c r="Q182" s="27"/>
      <c r="R182" s="27"/>
      <c r="S182" s="27"/>
      <c r="T182" s="144"/>
      <c r="U182" s="169"/>
    </row>
    <row r="183" spans="1:22" ht="15" hidden="1" customHeight="1">
      <c r="A183" s="142">
        <v>10</v>
      </c>
      <c r="B183" s="35" t="s">
        <v>392</v>
      </c>
      <c r="C183" s="14" t="s">
        <v>266</v>
      </c>
      <c r="D183" s="142"/>
      <c r="E183" s="142"/>
      <c r="F183" s="27">
        <f>(SUMIF('Prior Year'!$A:$A,$B183,'Prior Year'!G:G))/1000</f>
        <v>20624.555809999998</v>
      </c>
      <c r="G183" s="27">
        <f>(SUMIF('Prior Year'!$A:$A,$B183,'Prior Year'!H:H))/1000</f>
        <v>20727.5792</v>
      </c>
      <c r="H183" s="27">
        <f>(SUMIF('Prior Year'!$A:$A,$B183,'Prior Year'!I:I))/1000</f>
        <v>20836.280739999998</v>
      </c>
      <c r="I183" s="27">
        <f>(SUMIF('Prior Year'!$A:$A,$B183,'Prior Year'!J:J))/1000</f>
        <v>20944.98228</v>
      </c>
      <c r="J183" s="27">
        <f>(SUMIF('Prior Year'!$A:$A,$B183,'Prior Year'!K:K))/1000</f>
        <v>21053.683820000002</v>
      </c>
      <c r="K183" s="27">
        <f>(SUMIF('Prior Year'!$A:$A,$B183,'Prior Year'!L:L))/1000</f>
        <v>21096.95534</v>
      </c>
      <c r="L183" s="27">
        <f>(SUMIF('Prior Year'!$A:$A,$B183,'Prior Year'!M:M))/1000</f>
        <v>21994.252199999999</v>
      </c>
      <c r="M183" s="27">
        <f>(SUMIF('Prior Year'!$A:$A,$B183,'Prior Year'!N:N))/1000</f>
        <v>22245.140739999999</v>
      </c>
      <c r="N183" s="27">
        <f>(SUMIF('Prior Year'!$A:$A,$B183,'Prior Year'!O:O))/1000</f>
        <v>23101.551769999998</v>
      </c>
      <c r="O183" s="27">
        <f>(SUMIF('Prior Year'!$A:$A,$B183,'Prior Year'!P:P))/1000</f>
        <v>23227.384440000002</v>
      </c>
      <c r="P183" s="27">
        <f>(SUMIF('Prior Year'!$A:$A,$B183,'Prior Year'!Q:Q))/1000</f>
        <v>23348.67366</v>
      </c>
      <c r="Q183" s="27">
        <f>(SUMIF('Prior Year'!$A:$A,$B183,'Prior Year'!R:R))/1000</f>
        <v>23534.508249999999</v>
      </c>
      <c r="R183" s="27">
        <f>(SUMIF('Prior Year'!$A:$A,$B183,'Prior Year'!S:S))/1000</f>
        <v>24137.134539999999</v>
      </c>
      <c r="S183" s="150">
        <f t="shared" ref="S183:S184" si="23">AVERAGE(F183:R183)</f>
        <v>22067.129445384613</v>
      </c>
      <c r="T183" s="144" t="s">
        <v>393</v>
      </c>
      <c r="U183" s="169"/>
    </row>
    <row r="184" spans="1:22" ht="15" hidden="1" customHeight="1">
      <c r="A184" s="142">
        <v>11</v>
      </c>
      <c r="B184" s="35" t="s">
        <v>394</v>
      </c>
      <c r="C184" s="14" t="s">
        <v>267</v>
      </c>
      <c r="D184" s="142"/>
      <c r="E184" s="142"/>
      <c r="F184" s="32">
        <f>(SUMIF('Prior Year'!$A:$A,$B184,'Prior Year'!G:G))/1000</f>
        <v>-7144.7568499999998</v>
      </c>
      <c r="G184" s="32">
        <f>(SUMIF('Prior Year'!$A:$A,$B184,'Prior Year'!H:H))/1000</f>
        <v>-7221.8034600000001</v>
      </c>
      <c r="H184" s="32">
        <f>(SUMIF('Prior Year'!$A:$A,$B184,'Prior Year'!I:I))/1000</f>
        <v>-7305.21976</v>
      </c>
      <c r="I184" s="32">
        <f>(SUMIF('Prior Year'!$A:$A,$B184,'Prior Year'!J:J))/1000</f>
        <v>-7389.3593000000001</v>
      </c>
      <c r="J184" s="32">
        <f>(SUMIF('Prior Year'!$A:$A,$B184,'Prior Year'!K:K))/1000</f>
        <v>-7474.2220700000007</v>
      </c>
      <c r="K184" s="32">
        <f>(SUMIF('Prior Year'!$A:$A,$B184,'Prior Year'!L:L))/1000</f>
        <v>-7494.37806</v>
      </c>
      <c r="L184" s="32">
        <f>(SUMIF('Prior Year'!$A:$A,$B184,'Prior Year'!M:M))/1000</f>
        <v>-7568.9173000000001</v>
      </c>
      <c r="M184" s="32">
        <f>(SUMIF('Prior Year'!$A:$A,$B184,'Prior Year'!N:N))/1000</f>
        <v>-7599.9077900000002</v>
      </c>
      <c r="N184" s="32">
        <f>(SUMIF('Prior Year'!$A:$A,$B184,'Prior Year'!O:O))/1000</f>
        <v>-7639.0470100000002</v>
      </c>
      <c r="O184" s="32">
        <f>(SUMIF('Prior Year'!$A:$A,$B184,'Prior Year'!P:P))/1000</f>
        <v>-7681.6639400000004</v>
      </c>
      <c r="P184" s="32">
        <f>(SUMIF('Prior Year'!$A:$A,$B184,'Prior Year'!Q:Q))/1000</f>
        <v>-7720.3667400000004</v>
      </c>
      <c r="Q184" s="32">
        <f>(SUMIF('Prior Year'!$A:$A,$B184,'Prior Year'!R:R))/1000</f>
        <v>-7785.2555499999999</v>
      </c>
      <c r="R184" s="32">
        <f>(SUMIF('Prior Year'!$A:$A,$B184,'Prior Year'!S:S))/1000</f>
        <v>-7869.60088</v>
      </c>
      <c r="S184" s="155">
        <f t="shared" si="23"/>
        <v>-7530.3460546153847</v>
      </c>
      <c r="T184" s="144" t="s">
        <v>393</v>
      </c>
      <c r="U184" s="169"/>
    </row>
    <row r="185" spans="1:22" ht="15" hidden="1" customHeight="1">
      <c r="A185" s="142">
        <v>12</v>
      </c>
      <c r="B185" s="142"/>
      <c r="C185" s="14"/>
      <c r="D185" s="142" t="s">
        <v>395</v>
      </c>
      <c r="E185" s="142"/>
      <c r="F185" s="27">
        <f>SUM(F183:F184)</f>
        <v>13479.798959999998</v>
      </c>
      <c r="G185" s="27">
        <f t="shared" ref="G185:S185" si="24">SUM(G183:G184)</f>
        <v>13505.775740000001</v>
      </c>
      <c r="H185" s="27">
        <f t="shared" si="24"/>
        <v>13531.060979999998</v>
      </c>
      <c r="I185" s="27">
        <f t="shared" si="24"/>
        <v>13555.62298</v>
      </c>
      <c r="J185" s="27">
        <f t="shared" si="24"/>
        <v>13579.461750000002</v>
      </c>
      <c r="K185" s="27">
        <f t="shared" si="24"/>
        <v>13602.577280000001</v>
      </c>
      <c r="L185" s="27">
        <f t="shared" si="24"/>
        <v>14425.334899999998</v>
      </c>
      <c r="M185" s="27">
        <f t="shared" si="24"/>
        <v>14645.232949999998</v>
      </c>
      <c r="N185" s="27">
        <f t="shared" si="24"/>
        <v>15462.504759999998</v>
      </c>
      <c r="O185" s="27">
        <f t="shared" si="24"/>
        <v>15545.720500000001</v>
      </c>
      <c r="P185" s="27">
        <f t="shared" si="24"/>
        <v>15628.306919999999</v>
      </c>
      <c r="Q185" s="27">
        <f t="shared" si="24"/>
        <v>15749.252699999999</v>
      </c>
      <c r="R185" s="27">
        <f t="shared" si="24"/>
        <v>16267.533659999999</v>
      </c>
      <c r="S185" s="27">
        <f t="shared" si="24"/>
        <v>14536.783390769229</v>
      </c>
      <c r="T185" s="144"/>
    </row>
    <row r="186" spans="1:22" ht="15" hidden="1" customHeight="1">
      <c r="A186" s="142">
        <v>13</v>
      </c>
      <c r="B186" s="35"/>
      <c r="D186" s="142"/>
      <c r="E186" s="142"/>
      <c r="F186" s="27"/>
      <c r="G186" s="27"/>
      <c r="H186" s="27"/>
      <c r="I186" s="27"/>
      <c r="J186" s="27"/>
      <c r="K186" s="27"/>
      <c r="L186" s="27"/>
      <c r="M186" s="27"/>
      <c r="N186" s="27"/>
      <c r="O186" s="27"/>
      <c r="P186" s="27"/>
      <c r="Q186" s="27"/>
      <c r="R186" s="27"/>
      <c r="S186" s="27"/>
      <c r="T186" s="144"/>
    </row>
    <row r="187" spans="1:22" ht="15" hidden="1" customHeight="1">
      <c r="A187" s="142">
        <v>14</v>
      </c>
      <c r="B187" s="35"/>
      <c r="C187" s="14" t="s">
        <v>396</v>
      </c>
      <c r="D187" s="142"/>
      <c r="E187" s="142"/>
      <c r="F187" s="27"/>
      <c r="G187" s="27"/>
      <c r="H187" s="27"/>
      <c r="I187" s="27"/>
      <c r="J187" s="27"/>
      <c r="K187" s="27"/>
      <c r="L187" s="27"/>
      <c r="M187" s="27"/>
      <c r="N187" s="27"/>
      <c r="O187" s="27"/>
      <c r="P187" s="27"/>
      <c r="Q187" s="27"/>
      <c r="R187" s="27"/>
      <c r="S187" s="27"/>
      <c r="T187" s="144"/>
    </row>
    <row r="188" spans="1:22" ht="15" hidden="1" customHeight="1">
      <c r="A188" s="142">
        <v>15</v>
      </c>
      <c r="B188" s="86" t="s">
        <v>397</v>
      </c>
      <c r="C188" s="14" t="s">
        <v>270</v>
      </c>
      <c r="D188" s="142"/>
      <c r="E188" s="142"/>
      <c r="F188" s="27">
        <f>(SUMIF('Prior Year'!$A:$A,$B188,'Prior Year'!G:G))/1000</f>
        <v>4766.8514100000002</v>
      </c>
      <c r="G188" s="27">
        <f>(SUMIF('Prior Year'!$A:$A,$B188,'Prior Year'!H:H))/1000</f>
        <v>1000</v>
      </c>
      <c r="H188" s="27">
        <f>(SUMIF('Prior Year'!$A:$A,$B188,'Prior Year'!I:I))/1000</f>
        <v>1000</v>
      </c>
      <c r="I188" s="27">
        <f>(SUMIF('Prior Year'!$A:$A,$B188,'Prior Year'!J:J))/1000</f>
        <v>1000</v>
      </c>
      <c r="J188" s="27">
        <f>(SUMIF('Prior Year'!$A:$A,$B188,'Prior Year'!K:K))/1000</f>
        <v>1000</v>
      </c>
      <c r="K188" s="27">
        <f>(SUMIF('Prior Year'!$A:$A,$B188,'Prior Year'!L:L))/1000</f>
        <v>1000</v>
      </c>
      <c r="L188" s="27">
        <f>(SUMIF('Prior Year'!$A:$A,$B188,'Prior Year'!M:M))/1000</f>
        <v>1000</v>
      </c>
      <c r="M188" s="27">
        <f>(SUMIF('Prior Year'!$A:$A,$B188,'Prior Year'!N:N))/1000</f>
        <v>1000</v>
      </c>
      <c r="N188" s="27">
        <f>(SUMIF('Prior Year'!$A:$A,$B188,'Prior Year'!O:O))/1000</f>
        <v>1000</v>
      </c>
      <c r="O188" s="27">
        <f>(SUMIF('Prior Year'!$A:$A,$B188,'Prior Year'!P:P))/1000</f>
        <v>1000</v>
      </c>
      <c r="P188" s="27">
        <f>(SUMIF('Prior Year'!$A:$A,$B188,'Prior Year'!Q:Q))/1000</f>
        <v>1000</v>
      </c>
      <c r="Q188" s="27">
        <f>(SUMIF('Prior Year'!$A:$A,$B188,'Prior Year'!R:R))/1000</f>
        <v>1000</v>
      </c>
      <c r="R188" s="27">
        <f>(SUMIF('Prior Year'!$A:$A,$B188,'Prior Year'!S:S))/1000</f>
        <v>1000</v>
      </c>
      <c r="S188" s="150">
        <f t="shared" ref="S188:S206" si="25">AVERAGE(F188:R188)</f>
        <v>1289.7578007692307</v>
      </c>
      <c r="T188" s="144" t="s">
        <v>118</v>
      </c>
    </row>
    <row r="189" spans="1:22" ht="15" hidden="1" customHeight="1">
      <c r="A189" s="142">
        <v>16</v>
      </c>
      <c r="B189" s="86" t="s">
        <v>398</v>
      </c>
      <c r="C189" s="14" t="s">
        <v>271</v>
      </c>
      <c r="D189" s="142"/>
      <c r="E189" s="142"/>
      <c r="F189" s="27">
        <f>(SUMIF('Prior Year'!$A:$A,$B189,'Prior Year'!G:G))/1000</f>
        <v>0</v>
      </c>
      <c r="G189" s="27">
        <f>(SUMIF('Prior Year'!$A:$A,$B189,'Prior Year'!H:H))/1000</f>
        <v>0</v>
      </c>
      <c r="H189" s="27">
        <f>(SUMIF('Prior Year'!$A:$A,$B189,'Prior Year'!I:I))/1000</f>
        <v>0</v>
      </c>
      <c r="I189" s="27">
        <f>(SUMIF('Prior Year'!$A:$A,$B189,'Prior Year'!J:J))/1000</f>
        <v>0</v>
      </c>
      <c r="J189" s="27">
        <f>(SUMIF('Prior Year'!$A:$A,$B189,'Prior Year'!K:K))/1000</f>
        <v>0</v>
      </c>
      <c r="K189" s="27">
        <f>(SUMIF('Prior Year'!$A:$A,$B189,'Prior Year'!L:L))/1000</f>
        <v>0</v>
      </c>
      <c r="L189" s="27">
        <f>(SUMIF('Prior Year'!$A:$A,$B189,'Prior Year'!M:M))/1000</f>
        <v>0</v>
      </c>
      <c r="M189" s="27">
        <f>(SUMIF('Prior Year'!$A:$A,$B189,'Prior Year'!N:N))/1000</f>
        <v>0</v>
      </c>
      <c r="N189" s="27">
        <f>(SUMIF('Prior Year'!$A:$A,$B189,'Prior Year'!O:O))/1000</f>
        <v>0</v>
      </c>
      <c r="O189" s="27">
        <f>(SUMIF('Prior Year'!$A:$A,$B189,'Prior Year'!P:P))/1000</f>
        <v>0</v>
      </c>
      <c r="P189" s="27">
        <f>(SUMIF('Prior Year'!$A:$A,$B189,'Prior Year'!Q:Q))/1000</f>
        <v>0</v>
      </c>
      <c r="Q189" s="27">
        <f>(SUMIF('Prior Year'!$A:$A,$B189,'Prior Year'!R:R))/1000</f>
        <v>0</v>
      </c>
      <c r="R189" s="27">
        <f>(SUMIF('Prior Year'!$A:$A,$B189,'Prior Year'!S:S))/1000</f>
        <v>0</v>
      </c>
      <c r="S189" s="150">
        <f t="shared" si="25"/>
        <v>0</v>
      </c>
      <c r="T189" s="144" t="s">
        <v>118</v>
      </c>
    </row>
    <row r="190" spans="1:22" ht="15" hidden="1" customHeight="1">
      <c r="A190" s="142">
        <v>17</v>
      </c>
      <c r="B190" s="86" t="s">
        <v>399</v>
      </c>
      <c r="C190" s="14" t="s">
        <v>272</v>
      </c>
      <c r="D190" s="142"/>
      <c r="E190" s="142"/>
      <c r="F190" s="27">
        <f>(SUMIF('Prior Year'!$A:$A,$B190,'Prior Year'!G:G))/1000</f>
        <v>51.065390000000001</v>
      </c>
      <c r="G190" s="27">
        <f>(SUMIF('Prior Year'!$A:$A,$B190,'Prior Year'!H:H))/1000</f>
        <v>52.665390000000002</v>
      </c>
      <c r="H190" s="27">
        <f>(SUMIF('Prior Year'!$A:$A,$B190,'Prior Year'!I:I))/1000</f>
        <v>52.665390000000002</v>
      </c>
      <c r="I190" s="27">
        <f>(SUMIF('Prior Year'!$A:$A,$B190,'Prior Year'!J:J))/1000</f>
        <v>52.665390000000002</v>
      </c>
      <c r="J190" s="27">
        <f>(SUMIF('Prior Year'!$A:$A,$B190,'Prior Year'!K:K))/1000</f>
        <v>52.665390000000002</v>
      </c>
      <c r="K190" s="27">
        <f>(SUMIF('Prior Year'!$A:$A,$B190,'Prior Year'!L:L))/1000</f>
        <v>52.665390000000002</v>
      </c>
      <c r="L190" s="27">
        <f>(SUMIF('Prior Year'!$A:$A,$B190,'Prior Year'!M:M))/1000</f>
        <v>52.665390000000002</v>
      </c>
      <c r="M190" s="27">
        <f>(SUMIF('Prior Year'!$A:$A,$B190,'Prior Year'!N:N))/1000</f>
        <v>52.665390000000002</v>
      </c>
      <c r="N190" s="27">
        <f>(SUMIF('Prior Year'!$A:$A,$B190,'Prior Year'!O:O))/1000</f>
        <v>52.665390000000002</v>
      </c>
      <c r="O190" s="27">
        <f>(SUMIF('Prior Year'!$A:$A,$B190,'Prior Year'!P:P))/1000</f>
        <v>52.665390000000002</v>
      </c>
      <c r="P190" s="27">
        <f>(SUMIF('Prior Year'!$A:$A,$B190,'Prior Year'!Q:Q))/1000</f>
        <v>52.665390000000002</v>
      </c>
      <c r="Q190" s="27">
        <f>(SUMIF('Prior Year'!$A:$A,$B190,'Prior Year'!R:R))/1000</f>
        <v>52.665390000000002</v>
      </c>
      <c r="R190" s="27">
        <f>(SUMIF('Prior Year'!$A:$A,$B190,'Prior Year'!S:S))/1000</f>
        <v>52.665390000000002</v>
      </c>
      <c r="S190" s="150">
        <f t="shared" si="25"/>
        <v>52.54231307692308</v>
      </c>
      <c r="T190" s="144" t="s">
        <v>118</v>
      </c>
    </row>
    <row r="191" spans="1:22" ht="15" hidden="1" customHeight="1">
      <c r="A191" s="142">
        <v>18</v>
      </c>
      <c r="B191" s="86" t="s">
        <v>400</v>
      </c>
      <c r="C191" s="14" t="s">
        <v>273</v>
      </c>
      <c r="D191" s="142"/>
      <c r="E191" s="142"/>
      <c r="F191" s="27">
        <f>(SUMIF('Prior Year'!$A:$A,$B191,'Prior Year'!G:G))/1000</f>
        <v>0</v>
      </c>
      <c r="G191" s="27">
        <f>(SUMIF('Prior Year'!$A:$A,$B191,'Prior Year'!H:H))/1000</f>
        <v>0</v>
      </c>
      <c r="H191" s="27">
        <f>(SUMIF('Prior Year'!$A:$A,$B191,'Prior Year'!I:I))/1000</f>
        <v>0</v>
      </c>
      <c r="I191" s="27">
        <f>(SUMIF('Prior Year'!$A:$A,$B191,'Prior Year'!J:J))/1000</f>
        <v>0</v>
      </c>
      <c r="J191" s="27">
        <f>(SUMIF('Prior Year'!$A:$A,$B191,'Prior Year'!K:K))/1000</f>
        <v>0</v>
      </c>
      <c r="K191" s="27">
        <f>(SUMIF('Prior Year'!$A:$A,$B191,'Prior Year'!L:L))/1000</f>
        <v>0</v>
      </c>
      <c r="L191" s="27">
        <f>(SUMIF('Prior Year'!$A:$A,$B191,'Prior Year'!M:M))/1000</f>
        <v>0</v>
      </c>
      <c r="M191" s="27">
        <f>(SUMIF('Prior Year'!$A:$A,$B191,'Prior Year'!N:N))/1000</f>
        <v>0</v>
      </c>
      <c r="N191" s="27">
        <f>(SUMIF('Prior Year'!$A:$A,$B191,'Prior Year'!O:O))/1000</f>
        <v>0</v>
      </c>
      <c r="O191" s="27">
        <f>(SUMIF('Prior Year'!$A:$A,$B191,'Prior Year'!P:P))/1000</f>
        <v>0</v>
      </c>
      <c r="P191" s="27">
        <f>(SUMIF('Prior Year'!$A:$A,$B191,'Prior Year'!Q:Q))/1000</f>
        <v>0</v>
      </c>
      <c r="Q191" s="27">
        <f>(SUMIF('Prior Year'!$A:$A,$B191,'Prior Year'!R:R))/1000</f>
        <v>0</v>
      </c>
      <c r="R191" s="27">
        <f>(SUMIF('Prior Year'!$A:$A,$B191,'Prior Year'!S:S))/1000</f>
        <v>0</v>
      </c>
      <c r="S191" s="150">
        <f t="shared" si="25"/>
        <v>0</v>
      </c>
      <c r="T191" s="144" t="s">
        <v>118</v>
      </c>
    </row>
    <row r="192" spans="1:22" ht="15" hidden="1" customHeight="1">
      <c r="A192" s="142">
        <v>19</v>
      </c>
      <c r="B192" s="86" t="s">
        <v>401</v>
      </c>
      <c r="C192" s="14" t="s">
        <v>274</v>
      </c>
      <c r="D192" s="142"/>
      <c r="E192" s="142"/>
      <c r="F192" s="27">
        <f>(SUMIF('Prior Year'!$A:$A,$B192,'Prior Year'!G:G))/1000</f>
        <v>0</v>
      </c>
      <c r="G192" s="27">
        <f>(SUMIF('Prior Year'!$A:$A,$B192,'Prior Year'!H:H))/1000</f>
        <v>0</v>
      </c>
      <c r="H192" s="27">
        <f>(SUMIF('Prior Year'!$A:$A,$B192,'Prior Year'!I:I))/1000</f>
        <v>0</v>
      </c>
      <c r="I192" s="27">
        <f>(SUMIF('Prior Year'!$A:$A,$B192,'Prior Year'!J:J))/1000</f>
        <v>0</v>
      </c>
      <c r="J192" s="27">
        <f>(SUMIF('Prior Year'!$A:$A,$B192,'Prior Year'!K:K))/1000</f>
        <v>0</v>
      </c>
      <c r="K192" s="27">
        <f>(SUMIF('Prior Year'!$A:$A,$B192,'Prior Year'!L:L))/1000</f>
        <v>0</v>
      </c>
      <c r="L192" s="27">
        <f>(SUMIF('Prior Year'!$A:$A,$B192,'Prior Year'!M:M))/1000</f>
        <v>0</v>
      </c>
      <c r="M192" s="27">
        <f>(SUMIF('Prior Year'!$A:$A,$B192,'Prior Year'!N:N))/1000</f>
        <v>0</v>
      </c>
      <c r="N192" s="27">
        <f>(SUMIF('Prior Year'!$A:$A,$B192,'Prior Year'!O:O))/1000</f>
        <v>0</v>
      </c>
      <c r="O192" s="27">
        <f>(SUMIF('Prior Year'!$A:$A,$B192,'Prior Year'!P:P))/1000</f>
        <v>0</v>
      </c>
      <c r="P192" s="27">
        <f>(SUMIF('Prior Year'!$A:$A,$B192,'Prior Year'!Q:Q))/1000</f>
        <v>0</v>
      </c>
      <c r="Q192" s="27">
        <f>(SUMIF('Prior Year'!$A:$A,$B192,'Prior Year'!R:R))/1000</f>
        <v>0</v>
      </c>
      <c r="R192" s="27">
        <f>(SUMIF('Prior Year'!$A:$A,$B192,'Prior Year'!S:S))/1000</f>
        <v>0</v>
      </c>
      <c r="S192" s="150">
        <f t="shared" si="25"/>
        <v>0</v>
      </c>
      <c r="T192" s="144" t="s">
        <v>118</v>
      </c>
    </row>
    <row r="193" spans="1:21" ht="15" hidden="1" customHeight="1">
      <c r="A193" s="142">
        <v>20</v>
      </c>
      <c r="B193" s="86" t="s">
        <v>402</v>
      </c>
      <c r="C193" s="14" t="s">
        <v>275</v>
      </c>
      <c r="D193" s="142"/>
      <c r="E193" s="142"/>
      <c r="F193" s="27">
        <f>(SUMIF('Prior Year'!$A:$A,$B193,'Prior Year'!G:G))/1000</f>
        <v>212903.08116</v>
      </c>
      <c r="G193" s="27">
        <f>(SUMIF('Prior Year'!$A:$A,$B193,'Prior Year'!H:H))/1000</f>
        <v>167026.75546000001</v>
      </c>
      <c r="H193" s="27">
        <f>(SUMIF('Prior Year'!$A:$A,$B193,'Prior Year'!I:I))/1000</f>
        <v>158599.63169000001</v>
      </c>
      <c r="I193" s="27">
        <f>(SUMIF('Prior Year'!$A:$A,$B193,'Prior Year'!J:J))/1000</f>
        <v>141218.64997</v>
      </c>
      <c r="J193" s="27">
        <f>(SUMIF('Prior Year'!$A:$A,$B193,'Prior Year'!K:K))/1000</f>
        <v>173407.53674000001</v>
      </c>
      <c r="K193" s="27">
        <f>(SUMIF('Prior Year'!$A:$A,$B193,'Prior Year'!L:L))/1000</f>
        <v>178580.37962999998</v>
      </c>
      <c r="L193" s="27">
        <f>(SUMIF('Prior Year'!$A:$A,$B193,'Prior Year'!M:M))/1000</f>
        <v>197710.70253000001</v>
      </c>
      <c r="M193" s="27">
        <f>(SUMIF('Prior Year'!$A:$A,$B193,'Prior Year'!N:N))/1000</f>
        <v>231319.03981000002</v>
      </c>
      <c r="N193" s="27">
        <f>(SUMIF('Prior Year'!$A:$A,$B193,'Prior Year'!O:O))/1000</f>
        <v>219115.32652999999</v>
      </c>
      <c r="O193" s="27">
        <f>(SUMIF('Prior Year'!$A:$A,$B193,'Prior Year'!P:P))/1000</f>
        <v>248162.99679499998</v>
      </c>
      <c r="P193" s="27">
        <f>(SUMIF('Prior Year'!$A:$A,$B193,'Prior Year'!Q:Q))/1000</f>
        <v>208494.76051499997</v>
      </c>
      <c r="Q193" s="27">
        <f>(SUMIF('Prior Year'!$A:$A,$B193,'Prior Year'!R:R))/1000</f>
        <v>190417.93942500002</v>
      </c>
      <c r="R193" s="27">
        <f>(SUMIF('Prior Year'!$A:$A,$B193,'Prior Year'!S:S))/1000</f>
        <v>188387.48955500001</v>
      </c>
      <c r="S193" s="150">
        <f t="shared" si="25"/>
        <v>193488.02229307691</v>
      </c>
      <c r="T193" s="144" t="s">
        <v>118</v>
      </c>
    </row>
    <row r="194" spans="1:21" ht="15" hidden="1" customHeight="1">
      <c r="A194" s="142">
        <v>21</v>
      </c>
      <c r="B194" s="86" t="s">
        <v>403</v>
      </c>
      <c r="C194" s="14" t="s">
        <v>276</v>
      </c>
      <c r="D194" s="142"/>
      <c r="E194" s="142"/>
      <c r="F194" s="27">
        <f>(SUMIF('Prior Year'!$A:$A,$B194,'Prior Year'!G:G))/1000</f>
        <v>11189.501109999999</v>
      </c>
      <c r="G194" s="27">
        <f>(SUMIF('Prior Year'!$A:$A,$B194,'Prior Year'!H:H))/1000</f>
        <v>7200</v>
      </c>
      <c r="H194" s="27">
        <f>(SUMIF('Prior Year'!$A:$A,$B194,'Prior Year'!I:I))/1000</f>
        <v>7200</v>
      </c>
      <c r="I194" s="27">
        <f>(SUMIF('Prior Year'!$A:$A,$B194,'Prior Year'!J:J))/1000</f>
        <v>7200</v>
      </c>
      <c r="J194" s="27">
        <f>(SUMIF('Prior Year'!$A:$A,$B194,'Prior Year'!K:K))/1000</f>
        <v>7100</v>
      </c>
      <c r="K194" s="27">
        <f>(SUMIF('Prior Year'!$A:$A,$B194,'Prior Year'!L:L))/1000</f>
        <v>7200</v>
      </c>
      <c r="L194" s="27">
        <f>(SUMIF('Prior Year'!$A:$A,$B194,'Prior Year'!M:M))/1000</f>
        <v>7100</v>
      </c>
      <c r="M194" s="27">
        <f>(SUMIF('Prior Year'!$A:$A,$B194,'Prior Year'!N:N))/1000</f>
        <v>7100</v>
      </c>
      <c r="N194" s="27">
        <f>(SUMIF('Prior Year'!$A:$A,$B194,'Prior Year'!O:O))/1000</f>
        <v>7100</v>
      </c>
      <c r="O194" s="27">
        <f>(SUMIF('Prior Year'!$A:$A,$B194,'Prior Year'!P:P))/1000</f>
        <v>7200</v>
      </c>
      <c r="P194" s="27">
        <f>(SUMIF('Prior Year'!$A:$A,$B194,'Prior Year'!Q:Q))/1000</f>
        <v>7200</v>
      </c>
      <c r="Q194" s="27">
        <f>(SUMIF('Prior Year'!$A:$A,$B194,'Prior Year'!R:R))/1000</f>
        <v>7200</v>
      </c>
      <c r="R194" s="27">
        <f>(SUMIF('Prior Year'!$A:$A,$B194,'Prior Year'!S:S))/1000</f>
        <v>7200</v>
      </c>
      <c r="S194" s="150">
        <f t="shared" si="25"/>
        <v>7476.1154699999997</v>
      </c>
      <c r="T194" s="144" t="s">
        <v>118</v>
      </c>
    </row>
    <row r="195" spans="1:21" ht="15" hidden="1" customHeight="1">
      <c r="A195" s="142">
        <v>22</v>
      </c>
      <c r="B195" s="86" t="s">
        <v>404</v>
      </c>
      <c r="C195" s="14" t="s">
        <v>277</v>
      </c>
      <c r="D195" s="142"/>
      <c r="E195" s="142"/>
      <c r="F195" s="27">
        <f>(SUMIF('Prior Year'!$A:$A,$B195,'Prior Year'!G:G))/1000</f>
        <v>-1930.10735</v>
      </c>
      <c r="G195" s="27">
        <f>(SUMIF('Prior Year'!$A:$A,$B195,'Prior Year'!H:H))/1000</f>
        <v>-1639.4845016987999</v>
      </c>
      <c r="H195" s="27">
        <f>(SUMIF('Prior Year'!$A:$A,$B195,'Prior Year'!I:I))/1000</f>
        <v>-1620.0325984920999</v>
      </c>
      <c r="I195" s="27">
        <f>(SUMIF('Prior Year'!$A:$A,$B195,'Prior Year'!J:J))/1000</f>
        <v>-1605.6942692799</v>
      </c>
      <c r="J195" s="27">
        <f>(SUMIF('Prior Year'!$A:$A,$B195,'Prior Year'!K:K))/1000</f>
        <v>-1630.1039525816</v>
      </c>
      <c r="K195" s="27">
        <f>(SUMIF('Prior Year'!$A:$A,$B195,'Prior Year'!L:L))/1000</f>
        <v>-1652.9910261351999</v>
      </c>
      <c r="L195" s="27">
        <f>(SUMIF('Prior Year'!$A:$A,$B195,'Prior Year'!M:M))/1000</f>
        <v>-1681.7282164725</v>
      </c>
      <c r="M195" s="27">
        <f>(SUMIF('Prior Year'!$A:$A,$B195,'Prior Year'!N:N))/1000</f>
        <v>-1706.2760885944999</v>
      </c>
      <c r="N195" s="27">
        <f>(SUMIF('Prior Year'!$A:$A,$B195,'Prior Year'!O:O))/1000</f>
        <v>-1698.2150773180999</v>
      </c>
      <c r="O195" s="27">
        <f>(SUMIF('Prior Year'!$A:$A,$B195,'Prior Year'!P:P))/1000</f>
        <v>-1704.077475498</v>
      </c>
      <c r="P195" s="27">
        <f>(SUMIF('Prior Year'!$A:$A,$B195,'Prior Year'!Q:Q))/1000</f>
        <v>-1677.2285469511</v>
      </c>
      <c r="Q195" s="27">
        <f>(SUMIF('Prior Year'!$A:$A,$B195,'Prior Year'!R:R))/1000</f>
        <v>-1643.4226801760999</v>
      </c>
      <c r="R195" s="27">
        <f>(SUMIF('Prior Year'!$A:$A,$B195,'Prior Year'!S:S))/1000</f>
        <v>-1632.9186677135001</v>
      </c>
      <c r="S195" s="150">
        <f t="shared" si="25"/>
        <v>-1678.6369577624152</v>
      </c>
      <c r="T195" s="144" t="s">
        <v>118</v>
      </c>
    </row>
    <row r="196" spans="1:21" ht="15" hidden="1" customHeight="1">
      <c r="A196" s="142">
        <v>23</v>
      </c>
      <c r="B196" s="86" t="s">
        <v>405</v>
      </c>
      <c r="C196" s="14" t="s">
        <v>495</v>
      </c>
      <c r="D196" s="142"/>
      <c r="E196" s="142"/>
      <c r="F196" s="27">
        <f>(SUMIF('Prior Year'!$A:$A,$B196,'Prior Year'!G:G))/1000</f>
        <v>0</v>
      </c>
      <c r="G196" s="27">
        <f>(SUMIF('Prior Year'!$A:$A,$B196,'Prior Year'!H:H))/1000</f>
        <v>0</v>
      </c>
      <c r="H196" s="27">
        <f>(SUMIF('Prior Year'!$A:$A,$B196,'Prior Year'!I:I))/1000</f>
        <v>0</v>
      </c>
      <c r="I196" s="27">
        <f>(SUMIF('Prior Year'!$A:$A,$B196,'Prior Year'!J:J))/1000</f>
        <v>0</v>
      </c>
      <c r="J196" s="27">
        <f>(SUMIF('Prior Year'!$A:$A,$B196,'Prior Year'!K:K))/1000</f>
        <v>0</v>
      </c>
      <c r="K196" s="27">
        <f>(SUMIF('Prior Year'!$A:$A,$B196,'Prior Year'!L:L))/1000</f>
        <v>0</v>
      </c>
      <c r="L196" s="27">
        <f>(SUMIF('Prior Year'!$A:$A,$B196,'Prior Year'!M:M))/1000</f>
        <v>0</v>
      </c>
      <c r="M196" s="27">
        <f>(SUMIF('Prior Year'!$A:$A,$B196,'Prior Year'!N:N))/1000</f>
        <v>0</v>
      </c>
      <c r="N196" s="27">
        <f>(SUMIF('Prior Year'!$A:$A,$B196,'Prior Year'!O:O))/1000</f>
        <v>0</v>
      </c>
      <c r="O196" s="27">
        <f>(SUMIF('Prior Year'!$A:$A,$B196,'Prior Year'!P:P))/1000</f>
        <v>0</v>
      </c>
      <c r="P196" s="27">
        <f>(SUMIF('Prior Year'!$A:$A,$B196,'Prior Year'!Q:Q))/1000</f>
        <v>0</v>
      </c>
      <c r="Q196" s="27">
        <f>(SUMIF('Prior Year'!$A:$A,$B196,'Prior Year'!R:R))/1000</f>
        <v>0</v>
      </c>
      <c r="R196" s="27">
        <f>(SUMIF('Prior Year'!$A:$A,$B196,'Prior Year'!S:S))/1000</f>
        <v>0</v>
      </c>
      <c r="S196" s="150">
        <f t="shared" si="25"/>
        <v>0</v>
      </c>
      <c r="T196" s="144" t="s">
        <v>118</v>
      </c>
    </row>
    <row r="197" spans="1:21" ht="15" hidden="1" customHeight="1">
      <c r="A197" s="142">
        <v>24</v>
      </c>
      <c r="B197" s="86" t="s">
        <v>406</v>
      </c>
      <c r="C197" s="14" t="s">
        <v>496</v>
      </c>
      <c r="D197" s="142"/>
      <c r="E197" s="142"/>
      <c r="F197" s="27">
        <f>(SUMIF('Prior Year'!$A:$A,$B197,'Prior Year'!G:G))/1000</f>
        <v>16583.20047</v>
      </c>
      <c r="G197" s="27">
        <f>(SUMIF('Prior Year'!$A:$A,$B197,'Prior Year'!H:H))/1000</f>
        <v>13751.354941899501</v>
      </c>
      <c r="H197" s="27">
        <f>(SUMIF('Prior Year'!$A:$A,$B197,'Prior Year'!I:I))/1000</f>
        <v>13751.5155353876</v>
      </c>
      <c r="I197" s="27">
        <f>(SUMIF('Prior Year'!$A:$A,$B197,'Prior Year'!J:J))/1000</f>
        <v>13759.947275460601</v>
      </c>
      <c r="J197" s="27">
        <f>(SUMIF('Prior Year'!$A:$A,$B197,'Prior Year'!K:K))/1000</f>
        <v>13761.375413629399</v>
      </c>
      <c r="K197" s="27">
        <f>(SUMIF('Prior Year'!$A:$A,$B197,'Prior Year'!L:L))/1000</f>
        <v>13614.3797069715</v>
      </c>
      <c r="L197" s="27">
        <f>(SUMIF('Prior Year'!$A:$A,$B197,'Prior Year'!M:M))/1000</f>
        <v>13529.9637495723</v>
      </c>
      <c r="M197" s="27">
        <f>(SUMIF('Prior Year'!$A:$A,$B197,'Prior Year'!N:N))/1000</f>
        <v>13593.367821047601</v>
      </c>
      <c r="N197" s="27">
        <f>(SUMIF('Prior Year'!$A:$A,$B197,'Prior Year'!O:O))/1000</f>
        <v>13739.843954431299</v>
      </c>
      <c r="O197" s="27">
        <f>(SUMIF('Prior Year'!$A:$A,$B197,'Prior Year'!P:P))/1000</f>
        <v>13935.712287013801</v>
      </c>
      <c r="P197" s="27">
        <f>(SUMIF('Prior Year'!$A:$A,$B197,'Prior Year'!Q:Q))/1000</f>
        <v>13860.8120012816</v>
      </c>
      <c r="Q197" s="27">
        <f>(SUMIF('Prior Year'!$A:$A,$B197,'Prior Year'!R:R))/1000</f>
        <v>13972.875080281001</v>
      </c>
      <c r="R197" s="27">
        <f>(SUMIF('Prior Year'!$A:$A,$B197,'Prior Year'!S:S))/1000</f>
        <v>13959.856422638301</v>
      </c>
      <c r="S197" s="150">
        <f t="shared" si="25"/>
        <v>13985.708050739575</v>
      </c>
      <c r="T197" s="144" t="s">
        <v>118</v>
      </c>
    </row>
    <row r="198" spans="1:21" ht="15" hidden="1" customHeight="1">
      <c r="A198" s="142">
        <v>25</v>
      </c>
      <c r="B198" s="86" t="s">
        <v>407</v>
      </c>
      <c r="C198" s="14" t="s">
        <v>279</v>
      </c>
      <c r="D198" s="142"/>
      <c r="E198" s="142"/>
      <c r="F198" s="27">
        <f>(SUMIF('Prior Year'!$A:$A,$B198,'Prior Year'!G:G))/1000</f>
        <v>35600.010369999996</v>
      </c>
      <c r="G198" s="27">
        <f>(SUMIF('Prior Year'!$A:$A,$B198,'Prior Year'!H:H))/1000</f>
        <v>36224</v>
      </c>
      <c r="H198" s="27">
        <f>(SUMIF('Prior Year'!$A:$A,$B198,'Prior Year'!I:I))/1000</f>
        <v>38057</v>
      </c>
      <c r="I198" s="27">
        <f>(SUMIF('Prior Year'!$A:$A,$B198,'Prior Year'!J:J))/1000</f>
        <v>39096</v>
      </c>
      <c r="J198" s="27">
        <f>(SUMIF('Prior Year'!$A:$A,$B198,'Prior Year'!K:K))/1000</f>
        <v>38325</v>
      </c>
      <c r="K198" s="27">
        <f>(SUMIF('Prior Year'!$A:$A,$B198,'Prior Year'!L:L))/1000</f>
        <v>38901</v>
      </c>
      <c r="L198" s="27">
        <f>(SUMIF('Prior Year'!$A:$A,$B198,'Prior Year'!M:M))/1000</f>
        <v>39506</v>
      </c>
      <c r="M198" s="27">
        <f>(SUMIF('Prior Year'!$A:$A,$B198,'Prior Year'!N:N))/1000</f>
        <v>33568</v>
      </c>
      <c r="N198" s="27">
        <f>(SUMIF('Prior Year'!$A:$A,$B198,'Prior Year'!O:O))/1000</f>
        <v>31375</v>
      </c>
      <c r="O198" s="27">
        <f>(SUMIF('Prior Year'!$A:$A,$B198,'Prior Year'!P:P))/1000</f>
        <v>32213</v>
      </c>
      <c r="P198" s="27">
        <f>(SUMIF('Prior Year'!$A:$A,$B198,'Prior Year'!Q:Q))/1000</f>
        <v>32816</v>
      </c>
      <c r="Q198" s="27">
        <f>(SUMIF('Prior Year'!$A:$A,$B198,'Prior Year'!R:R))/1000</f>
        <v>34762</v>
      </c>
      <c r="R198" s="27">
        <f>(SUMIF('Prior Year'!$A:$A,$B198,'Prior Year'!S:S))/1000</f>
        <v>35384</v>
      </c>
      <c r="S198" s="150">
        <f t="shared" si="25"/>
        <v>35832.846951538464</v>
      </c>
      <c r="T198" s="144" t="s">
        <v>118</v>
      </c>
    </row>
    <row r="199" spans="1:21" ht="15" hidden="1" customHeight="1">
      <c r="A199" s="142">
        <v>26</v>
      </c>
      <c r="B199" s="86" t="s">
        <v>408</v>
      </c>
      <c r="C199" s="14" t="s">
        <v>409</v>
      </c>
      <c r="D199" s="142"/>
      <c r="E199" s="142"/>
      <c r="F199" s="27">
        <f>(SUMIF('Prior Year'!$A:$A,$B199,'Prior Year'!G:G))/1000</f>
        <v>0</v>
      </c>
      <c r="G199" s="27">
        <f>(SUMIF('Prior Year'!$A:$A,$B199,'Prior Year'!H:H))/1000</f>
        <v>0</v>
      </c>
      <c r="H199" s="27">
        <f>(SUMIF('Prior Year'!$A:$A,$B199,'Prior Year'!I:I))/1000</f>
        <v>0</v>
      </c>
      <c r="I199" s="27">
        <f>(SUMIF('Prior Year'!$A:$A,$B199,'Prior Year'!J:J))/1000</f>
        <v>0</v>
      </c>
      <c r="J199" s="27">
        <f>(SUMIF('Prior Year'!$A:$A,$B199,'Prior Year'!K:K))/1000</f>
        <v>0</v>
      </c>
      <c r="K199" s="27">
        <f>(SUMIF('Prior Year'!$A:$A,$B199,'Prior Year'!L:L))/1000</f>
        <v>0</v>
      </c>
      <c r="L199" s="27">
        <f>(SUMIF('Prior Year'!$A:$A,$B199,'Prior Year'!M:M))/1000</f>
        <v>0</v>
      </c>
      <c r="M199" s="27">
        <f>(SUMIF('Prior Year'!$A:$A,$B199,'Prior Year'!N:N))/1000</f>
        <v>0</v>
      </c>
      <c r="N199" s="27">
        <f>(SUMIF('Prior Year'!$A:$A,$B199,'Prior Year'!O:O))/1000</f>
        <v>0</v>
      </c>
      <c r="O199" s="27">
        <f>(SUMIF('Prior Year'!$A:$A,$B199,'Prior Year'!P:P))/1000</f>
        <v>0</v>
      </c>
      <c r="P199" s="27">
        <f>(SUMIF('Prior Year'!$A:$A,$B199,'Prior Year'!Q:Q))/1000</f>
        <v>0</v>
      </c>
      <c r="Q199" s="27">
        <f>(SUMIF('Prior Year'!$A:$A,$B199,'Prior Year'!R:R))/1000</f>
        <v>0</v>
      </c>
      <c r="R199" s="27">
        <f>(SUMIF('Prior Year'!$A:$A,$B199,'Prior Year'!S:S))/1000</f>
        <v>0</v>
      </c>
      <c r="S199" s="150">
        <f t="shared" si="25"/>
        <v>0</v>
      </c>
      <c r="T199" s="144" t="s">
        <v>118</v>
      </c>
    </row>
    <row r="200" spans="1:21" ht="15" hidden="1" customHeight="1">
      <c r="A200" s="142">
        <v>27</v>
      </c>
      <c r="B200" s="86" t="s">
        <v>410</v>
      </c>
      <c r="C200" s="14" t="s">
        <v>280</v>
      </c>
      <c r="D200" s="142"/>
      <c r="E200" s="142"/>
      <c r="F200" s="27">
        <f>(SUMIF('Prior Year'!$A:$A,$B200,'Prior Year'!G:G))/1000</f>
        <v>180913.44938999999</v>
      </c>
      <c r="G200" s="27">
        <f>(SUMIF('Prior Year'!$A:$A,$B200,'Prior Year'!H:H))/1000</f>
        <v>179405.88750000001</v>
      </c>
      <c r="H200" s="27">
        <f>(SUMIF('Prior Year'!$A:$A,$B200,'Prior Year'!I:I))/1000</f>
        <v>177898.27499999999</v>
      </c>
      <c r="I200" s="27">
        <f>(SUMIF('Prior Year'!$A:$A,$B200,'Prior Year'!J:J))/1000</f>
        <v>176390.66250000001</v>
      </c>
      <c r="J200" s="27">
        <f>(SUMIF('Prior Year'!$A:$A,$B200,'Prior Year'!K:K))/1000</f>
        <v>174883.05</v>
      </c>
      <c r="K200" s="27">
        <f>(SUMIF('Prior Year'!$A:$A,$B200,'Prior Year'!L:L))/1000</f>
        <v>173375.4375</v>
      </c>
      <c r="L200" s="27">
        <f>(SUMIF('Prior Year'!$A:$A,$B200,'Prior Year'!M:M))/1000</f>
        <v>171867.82500000001</v>
      </c>
      <c r="M200" s="27">
        <f>(SUMIF('Prior Year'!$A:$A,$B200,'Prior Year'!N:N))/1000</f>
        <v>170360.21249999999</v>
      </c>
      <c r="N200" s="27">
        <f>(SUMIF('Prior Year'!$A:$A,$B200,'Prior Year'!O:O))/1000</f>
        <v>168852.6</v>
      </c>
      <c r="O200" s="27">
        <f>(SUMIF('Prior Year'!$A:$A,$B200,'Prior Year'!P:P))/1000</f>
        <v>167344.98749999999</v>
      </c>
      <c r="P200" s="27">
        <f>(SUMIF('Prior Year'!$A:$A,$B200,'Prior Year'!Q:Q))/1000</f>
        <v>165837.375</v>
      </c>
      <c r="Q200" s="27">
        <f>(SUMIF('Prior Year'!$A:$A,$B200,'Prior Year'!R:R))/1000</f>
        <v>164329.76250000001</v>
      </c>
      <c r="R200" s="27">
        <f>(SUMIF('Prior Year'!$A:$A,$B200,'Prior Year'!S:S))/1000</f>
        <v>162822.15</v>
      </c>
      <c r="S200" s="150">
        <f t="shared" si="25"/>
        <v>171867.82110692307</v>
      </c>
      <c r="T200" s="144" t="s">
        <v>118</v>
      </c>
    </row>
    <row r="201" spans="1:21" ht="15" hidden="1" customHeight="1">
      <c r="A201" s="142">
        <v>28</v>
      </c>
      <c r="B201" s="86" t="s">
        <v>411</v>
      </c>
      <c r="C201" s="14" t="s">
        <v>281</v>
      </c>
      <c r="D201" s="142"/>
      <c r="E201" s="142"/>
      <c r="F201" s="27">
        <f>(SUMIF('Prior Year'!$A:$A,$B201,'Prior Year'!G:G))/1000</f>
        <v>0</v>
      </c>
      <c r="G201" s="27">
        <f>(SUMIF('Prior Year'!$A:$A,$B201,'Prior Year'!H:H))/1000</f>
        <v>0</v>
      </c>
      <c r="H201" s="27">
        <f>(SUMIF('Prior Year'!$A:$A,$B201,'Prior Year'!I:I))/1000</f>
        <v>0</v>
      </c>
      <c r="I201" s="27">
        <f>(SUMIF('Prior Year'!$A:$A,$B201,'Prior Year'!J:J))/1000</f>
        <v>0</v>
      </c>
      <c r="J201" s="27">
        <f>(SUMIF('Prior Year'!$A:$A,$B201,'Prior Year'!K:K))/1000</f>
        <v>0</v>
      </c>
      <c r="K201" s="27">
        <f>(SUMIF('Prior Year'!$A:$A,$B201,'Prior Year'!L:L))/1000</f>
        <v>0</v>
      </c>
      <c r="L201" s="27">
        <f>(SUMIF('Prior Year'!$A:$A,$B201,'Prior Year'!M:M))/1000</f>
        <v>0</v>
      </c>
      <c r="M201" s="27">
        <f>(SUMIF('Prior Year'!$A:$A,$B201,'Prior Year'!N:N))/1000</f>
        <v>0</v>
      </c>
      <c r="N201" s="27">
        <f>(SUMIF('Prior Year'!$A:$A,$B201,'Prior Year'!O:O))/1000</f>
        <v>0</v>
      </c>
      <c r="O201" s="27">
        <f>(SUMIF('Prior Year'!$A:$A,$B201,'Prior Year'!P:P))/1000</f>
        <v>0</v>
      </c>
      <c r="P201" s="27">
        <f>(SUMIF('Prior Year'!$A:$A,$B201,'Prior Year'!Q:Q))/1000</f>
        <v>0</v>
      </c>
      <c r="Q201" s="27">
        <f>(SUMIF('Prior Year'!$A:$A,$B201,'Prior Year'!R:R))/1000</f>
        <v>0</v>
      </c>
      <c r="R201" s="27">
        <f>(SUMIF('Prior Year'!$A:$A,$B201,'Prior Year'!S:S))/1000</f>
        <v>0</v>
      </c>
      <c r="S201" s="150">
        <f t="shared" si="25"/>
        <v>0</v>
      </c>
      <c r="T201" s="144" t="s">
        <v>118</v>
      </c>
    </row>
    <row r="202" spans="1:21" ht="15" hidden="1" customHeight="1">
      <c r="A202" s="142">
        <v>29</v>
      </c>
      <c r="B202" s="86" t="s">
        <v>412</v>
      </c>
      <c r="C202" s="14" t="s">
        <v>282</v>
      </c>
      <c r="D202" s="142"/>
      <c r="E202" s="142"/>
      <c r="F202" s="27">
        <f>(SUMIF('Prior Year'!$A:$A,$B202,'Prior Year'!G:G))/1000</f>
        <v>0</v>
      </c>
      <c r="G202" s="27">
        <f>(SUMIF('Prior Year'!$A:$A,$B202,'Prior Year'!H:H))/1000</f>
        <v>0</v>
      </c>
      <c r="H202" s="27">
        <f>(SUMIF('Prior Year'!$A:$A,$B202,'Prior Year'!I:I))/1000</f>
        <v>0</v>
      </c>
      <c r="I202" s="27">
        <f>(SUMIF('Prior Year'!$A:$A,$B202,'Prior Year'!J:J))/1000</f>
        <v>0</v>
      </c>
      <c r="J202" s="27">
        <f>(SUMIF('Prior Year'!$A:$A,$B202,'Prior Year'!K:K))/1000</f>
        <v>0</v>
      </c>
      <c r="K202" s="27">
        <f>(SUMIF('Prior Year'!$A:$A,$B202,'Prior Year'!L:L))/1000</f>
        <v>0</v>
      </c>
      <c r="L202" s="27">
        <f>(SUMIF('Prior Year'!$A:$A,$B202,'Prior Year'!M:M))/1000</f>
        <v>0</v>
      </c>
      <c r="M202" s="27">
        <f>(SUMIF('Prior Year'!$A:$A,$B202,'Prior Year'!N:N))/1000</f>
        <v>0</v>
      </c>
      <c r="N202" s="27">
        <f>(SUMIF('Prior Year'!$A:$A,$B202,'Prior Year'!O:O))/1000</f>
        <v>0</v>
      </c>
      <c r="O202" s="27">
        <f>(SUMIF('Prior Year'!$A:$A,$B202,'Prior Year'!P:P))/1000</f>
        <v>0</v>
      </c>
      <c r="P202" s="27">
        <f>(SUMIF('Prior Year'!$A:$A,$B202,'Prior Year'!Q:Q))/1000</f>
        <v>0</v>
      </c>
      <c r="Q202" s="27">
        <f>(SUMIF('Prior Year'!$A:$A,$B202,'Prior Year'!R:R))/1000</f>
        <v>0</v>
      </c>
      <c r="R202" s="27">
        <f>(SUMIF('Prior Year'!$A:$A,$B202,'Prior Year'!S:S))/1000</f>
        <v>0</v>
      </c>
      <c r="S202" s="150">
        <f t="shared" si="25"/>
        <v>0</v>
      </c>
      <c r="T202" s="144" t="s">
        <v>118</v>
      </c>
    </row>
    <row r="203" spans="1:21" ht="15" hidden="1" customHeight="1">
      <c r="A203" s="142">
        <v>30</v>
      </c>
      <c r="B203" s="86" t="s">
        <v>413</v>
      </c>
      <c r="C203" s="14" t="s">
        <v>283</v>
      </c>
      <c r="D203" s="142"/>
      <c r="E203" s="142"/>
      <c r="F203" s="27">
        <f>(SUMIF('Prior Year'!$A:$A,$B203,'Prior Year'!G:G))/1000</f>
        <v>32486.033239999997</v>
      </c>
      <c r="G203" s="27">
        <f>(SUMIF('Prior Year'!$A:$A,$B203,'Prior Year'!H:H))/1000</f>
        <v>28177.090200177401</v>
      </c>
      <c r="H203" s="27">
        <f>(SUMIF('Prior Year'!$A:$A,$B203,'Prior Year'!I:I))/1000</f>
        <v>23522.1227058357</v>
      </c>
      <c r="I203" s="27">
        <f>(SUMIF('Prior Year'!$A:$A,$B203,'Prior Year'!J:J))/1000</f>
        <v>35680.297692524699</v>
      </c>
      <c r="J203" s="27">
        <f>(SUMIF('Prior Year'!$A:$A,$B203,'Prior Year'!K:K))/1000</f>
        <v>32504.682451158798</v>
      </c>
      <c r="K203" s="27">
        <f>(SUMIF('Prior Year'!$A:$A,$B203,'Prior Year'!L:L))/1000</f>
        <v>25244.289238329602</v>
      </c>
      <c r="L203" s="27">
        <f>(SUMIF('Prior Year'!$A:$A,$B203,'Prior Year'!M:M))/1000</f>
        <v>39573.621804005503</v>
      </c>
      <c r="M203" s="27">
        <f>(SUMIF('Prior Year'!$A:$A,$B203,'Prior Year'!N:N))/1000</f>
        <v>38815.935346875202</v>
      </c>
      <c r="N203" s="27">
        <f>(SUMIF('Prior Year'!$A:$A,$B203,'Prior Year'!O:O))/1000</f>
        <v>34982.420990328399</v>
      </c>
      <c r="O203" s="27">
        <f>(SUMIF('Prior Year'!$A:$A,$B203,'Prior Year'!P:P))/1000</f>
        <v>30675.2112511876</v>
      </c>
      <c r="P203" s="27">
        <f>(SUMIF('Prior Year'!$A:$A,$B203,'Prior Year'!Q:Q))/1000</f>
        <v>28135.1476144802</v>
      </c>
      <c r="Q203" s="27">
        <f>(SUMIF('Prior Year'!$A:$A,$B203,'Prior Year'!R:R))/1000</f>
        <v>24562.406576199901</v>
      </c>
      <c r="R203" s="27">
        <f>(SUMIF('Prior Year'!$A:$A,$B203,'Prior Year'!S:S))/1000</f>
        <v>23846.321866719802</v>
      </c>
      <c r="S203" s="150">
        <f t="shared" si="25"/>
        <v>30631.198536755601</v>
      </c>
      <c r="T203" s="144" t="s">
        <v>118</v>
      </c>
    </row>
    <row r="204" spans="1:21" ht="15" hidden="1" customHeight="1">
      <c r="A204" s="142">
        <v>31</v>
      </c>
      <c r="B204" s="86" t="s">
        <v>414</v>
      </c>
      <c r="C204" s="14" t="s">
        <v>284</v>
      </c>
      <c r="D204" s="142"/>
      <c r="E204" s="142"/>
      <c r="F204" s="27">
        <f>(SUMIF('Prior Year'!$A:$A,$B204,'Prior Year'!G:G))/1000</f>
        <v>0</v>
      </c>
      <c r="G204" s="27">
        <f>(SUMIF('Prior Year'!$A:$A,$B204,'Prior Year'!H:H))/1000</f>
        <v>0</v>
      </c>
      <c r="H204" s="27">
        <f>(SUMIF('Prior Year'!$A:$A,$B204,'Prior Year'!I:I))/1000</f>
        <v>0</v>
      </c>
      <c r="I204" s="27">
        <f>(SUMIF('Prior Year'!$A:$A,$B204,'Prior Year'!J:J))/1000</f>
        <v>0</v>
      </c>
      <c r="J204" s="27">
        <f>(SUMIF('Prior Year'!$A:$A,$B204,'Prior Year'!K:K))/1000</f>
        <v>0</v>
      </c>
      <c r="K204" s="27">
        <f>(SUMIF('Prior Year'!$A:$A,$B204,'Prior Year'!L:L))/1000</f>
        <v>0</v>
      </c>
      <c r="L204" s="27">
        <f>(SUMIF('Prior Year'!$A:$A,$B204,'Prior Year'!M:M))/1000</f>
        <v>0</v>
      </c>
      <c r="M204" s="27">
        <f>(SUMIF('Prior Year'!$A:$A,$B204,'Prior Year'!N:N))/1000</f>
        <v>0</v>
      </c>
      <c r="N204" s="27">
        <f>(SUMIF('Prior Year'!$A:$A,$B204,'Prior Year'!O:O))/1000</f>
        <v>0</v>
      </c>
      <c r="O204" s="27">
        <f>(SUMIF('Prior Year'!$A:$A,$B204,'Prior Year'!P:P))/1000</f>
        <v>0</v>
      </c>
      <c r="P204" s="27">
        <f>(SUMIF('Prior Year'!$A:$A,$B204,'Prior Year'!Q:Q))/1000</f>
        <v>0</v>
      </c>
      <c r="Q204" s="27">
        <f>(SUMIF('Prior Year'!$A:$A,$B204,'Prior Year'!R:R))/1000</f>
        <v>0</v>
      </c>
      <c r="R204" s="27">
        <f>(SUMIF('Prior Year'!$A:$A,$B204,'Prior Year'!S:S))/1000</f>
        <v>0</v>
      </c>
      <c r="S204" s="150">
        <f t="shared" si="25"/>
        <v>0</v>
      </c>
      <c r="T204" s="144" t="s">
        <v>118</v>
      </c>
    </row>
    <row r="205" spans="1:21" ht="15" hidden="1" customHeight="1">
      <c r="A205" s="142">
        <v>32</v>
      </c>
      <c r="B205" s="86" t="s">
        <v>415</v>
      </c>
      <c r="C205" s="14" t="s">
        <v>285</v>
      </c>
      <c r="D205" s="142"/>
      <c r="E205" s="142"/>
      <c r="F205" s="27">
        <f>(SUMIF('Prior Year'!$A:$A,$B205,'Prior Year'!G:G))/1000</f>
        <v>63361.324999999997</v>
      </c>
      <c r="G205" s="27">
        <f>(SUMIF('Prior Year'!$A:$A,$B205,'Prior Year'!H:H))/1000</f>
        <v>71079.751560000106</v>
      </c>
      <c r="H205" s="27">
        <f>(SUMIF('Prior Year'!$A:$A,$B205,'Prior Year'!I:I))/1000</f>
        <v>66032.394340000101</v>
      </c>
      <c r="I205" s="27">
        <f>(SUMIF('Prior Year'!$A:$A,$B205,'Prior Year'!J:J))/1000</f>
        <v>70703.378190000105</v>
      </c>
      <c r="J205" s="27">
        <f>(SUMIF('Prior Year'!$A:$A,$B205,'Prior Year'!K:K))/1000</f>
        <v>75099.687950000109</v>
      </c>
      <c r="K205" s="27">
        <f>(SUMIF('Prior Year'!$A:$A,$B205,'Prior Year'!L:L))/1000</f>
        <v>85408.993080000102</v>
      </c>
      <c r="L205" s="27">
        <f>(SUMIF('Prior Year'!$A:$A,$B205,'Prior Year'!M:M))/1000</f>
        <v>88965.577760000102</v>
      </c>
      <c r="M205" s="27">
        <f>(SUMIF('Prior Year'!$A:$A,$B205,'Prior Year'!N:N))/1000</f>
        <v>91406.8556500001</v>
      </c>
      <c r="N205" s="27">
        <f>(SUMIF('Prior Year'!$A:$A,$B205,'Prior Year'!O:O))/1000</f>
        <v>96000.638670000102</v>
      </c>
      <c r="O205" s="27">
        <f>(SUMIF('Prior Year'!$A:$A,$B205,'Prior Year'!P:P))/1000</f>
        <v>87003.010559999995</v>
      </c>
      <c r="P205" s="27">
        <f>(SUMIF('Prior Year'!$A:$A,$B205,'Prior Year'!Q:Q))/1000</f>
        <v>82052.839860000109</v>
      </c>
      <c r="Q205" s="27">
        <f>(SUMIF('Prior Year'!$A:$A,$B205,'Prior Year'!R:R))/1000</f>
        <v>72936.599240000098</v>
      </c>
      <c r="R205" s="27">
        <f>(SUMIF('Prior Year'!$A:$A,$B205,'Prior Year'!S:S))/1000</f>
        <v>73385.642000000109</v>
      </c>
      <c r="S205" s="150">
        <f t="shared" si="25"/>
        <v>78725.899527692396</v>
      </c>
      <c r="T205" s="144" t="s">
        <v>118</v>
      </c>
    </row>
    <row r="206" spans="1:21" ht="15" hidden="1" customHeight="1">
      <c r="A206" s="142">
        <v>33</v>
      </c>
      <c r="B206" s="86" t="s">
        <v>416</v>
      </c>
      <c r="C206" s="14" t="s">
        <v>286</v>
      </c>
      <c r="D206" s="142"/>
      <c r="E206" s="142"/>
      <c r="F206" s="32">
        <f>(SUMIF('Prior Year'!$A:$A,$B206,'Prior Year'!G:G))/1000</f>
        <v>665.07920999999999</v>
      </c>
      <c r="G206" s="32">
        <f>(SUMIF('Prior Year'!$A:$A,$B206,'Prior Year'!H:H))/1000</f>
        <v>528</v>
      </c>
      <c r="H206" s="32">
        <f>(SUMIF('Prior Year'!$A:$A,$B206,'Prior Year'!I:I))/1000</f>
        <v>528</v>
      </c>
      <c r="I206" s="32">
        <f>(SUMIF('Prior Year'!$A:$A,$B206,'Prior Year'!J:J))/1000</f>
        <v>528</v>
      </c>
      <c r="J206" s="32">
        <f>(SUMIF('Prior Year'!$A:$A,$B206,'Prior Year'!K:K))/1000</f>
        <v>528</v>
      </c>
      <c r="K206" s="32">
        <f>(SUMIF('Prior Year'!$A:$A,$B206,'Prior Year'!L:L))/1000</f>
        <v>528</v>
      </c>
      <c r="L206" s="32">
        <f>(SUMIF('Prior Year'!$A:$A,$B206,'Prior Year'!M:M))/1000</f>
        <v>528</v>
      </c>
      <c r="M206" s="32">
        <f>(SUMIF('Prior Year'!$A:$A,$B206,'Prior Year'!N:N))/1000</f>
        <v>528</v>
      </c>
      <c r="N206" s="32">
        <f>(SUMIF('Prior Year'!$A:$A,$B206,'Prior Year'!O:O))/1000</f>
        <v>528</v>
      </c>
      <c r="O206" s="32">
        <f>(SUMIF('Prior Year'!$A:$A,$B206,'Prior Year'!P:P))/1000</f>
        <v>528</v>
      </c>
      <c r="P206" s="32">
        <f>(SUMIF('Prior Year'!$A:$A,$B206,'Prior Year'!Q:Q))/1000</f>
        <v>528</v>
      </c>
      <c r="Q206" s="32">
        <f>(SUMIF('Prior Year'!$A:$A,$B206,'Prior Year'!R:R))/1000</f>
        <v>528</v>
      </c>
      <c r="R206" s="32">
        <f>(SUMIF('Prior Year'!$A:$A,$B206,'Prior Year'!S:S))/1000</f>
        <v>528</v>
      </c>
      <c r="S206" s="155">
        <f t="shared" si="25"/>
        <v>538.54455461538464</v>
      </c>
      <c r="T206" s="144" t="s">
        <v>118</v>
      </c>
    </row>
    <row r="207" spans="1:21" ht="15" hidden="1" customHeight="1">
      <c r="A207" s="142">
        <v>34</v>
      </c>
      <c r="B207" s="35"/>
      <c r="C207" s="14"/>
      <c r="D207" s="142" t="s">
        <v>396</v>
      </c>
      <c r="E207" s="142"/>
      <c r="F207" s="27">
        <f t="shared" ref="F207:S207" si="26">SUM(F188:F206)</f>
        <v>556589.48939999996</v>
      </c>
      <c r="G207" s="27">
        <f t="shared" si="26"/>
        <v>502806.02055037825</v>
      </c>
      <c r="H207" s="27">
        <f t="shared" si="26"/>
        <v>485021.57206273131</v>
      </c>
      <c r="I207" s="27">
        <f t="shared" si="26"/>
        <v>484023.90674870554</v>
      </c>
      <c r="J207" s="27">
        <f t="shared" si="26"/>
        <v>515031.89399220678</v>
      </c>
      <c r="K207" s="27">
        <f t="shared" si="26"/>
        <v>522252.15351916599</v>
      </c>
      <c r="L207" s="27">
        <f t="shared" si="26"/>
        <v>558152.62801710551</v>
      </c>
      <c r="M207" s="27">
        <f t="shared" si="26"/>
        <v>586037.80042932858</v>
      </c>
      <c r="N207" s="27">
        <f t="shared" si="26"/>
        <v>571048.2804574417</v>
      </c>
      <c r="O207" s="27">
        <f t="shared" si="26"/>
        <v>586411.50630770344</v>
      </c>
      <c r="P207" s="27">
        <f t="shared" si="26"/>
        <v>538300.3718338107</v>
      </c>
      <c r="Q207" s="27">
        <f t="shared" si="26"/>
        <v>508118.82553130493</v>
      </c>
      <c r="R207" s="27">
        <f t="shared" si="26"/>
        <v>504933.20656664472</v>
      </c>
      <c r="S207" s="27">
        <f t="shared" si="26"/>
        <v>532209.81964742509</v>
      </c>
      <c r="T207" s="27"/>
    </row>
    <row r="208" spans="1:21" ht="15" hidden="1" customHeight="1">
      <c r="A208" s="142">
        <v>35</v>
      </c>
      <c r="B208" s="35"/>
      <c r="C208" s="14"/>
      <c r="D208" s="142"/>
      <c r="E208" s="142"/>
      <c r="F208" s="27"/>
      <c r="G208" s="27"/>
      <c r="H208" s="27"/>
      <c r="I208" s="27"/>
      <c r="J208" s="27"/>
      <c r="K208" s="27"/>
      <c r="L208" s="27"/>
      <c r="M208" s="27"/>
      <c r="N208" s="27"/>
      <c r="O208" s="27"/>
      <c r="P208" s="27"/>
      <c r="Q208" s="27"/>
      <c r="R208" s="27"/>
      <c r="S208" s="27"/>
      <c r="T208" s="27"/>
      <c r="U208" s="92"/>
    </row>
    <row r="209" spans="1:20" ht="15" hidden="1" customHeight="1">
      <c r="A209" s="142">
        <v>36</v>
      </c>
      <c r="B209" s="142"/>
      <c r="C209" s="142"/>
      <c r="D209" s="142"/>
      <c r="E209" s="142"/>
      <c r="F209" s="142"/>
      <c r="G209" s="142"/>
      <c r="H209" s="142"/>
      <c r="I209" s="142"/>
      <c r="J209" s="142"/>
      <c r="K209" s="142"/>
      <c r="L209" s="142"/>
      <c r="M209" s="142"/>
      <c r="N209" s="142"/>
      <c r="O209" s="142"/>
      <c r="P209" s="142"/>
      <c r="Q209" s="142"/>
      <c r="R209" s="142"/>
      <c r="S209" s="142"/>
      <c r="T209" s="142"/>
    </row>
    <row r="210" spans="1:20" ht="15" hidden="1" customHeight="1">
      <c r="A210" s="142">
        <v>37</v>
      </c>
      <c r="B210" s="142"/>
      <c r="C210" s="142"/>
      <c r="D210" s="142"/>
      <c r="E210" s="142"/>
      <c r="F210" s="142"/>
      <c r="G210" s="142"/>
      <c r="H210" s="142"/>
      <c r="I210" s="142"/>
      <c r="J210" s="142"/>
      <c r="K210" s="142"/>
      <c r="L210" s="142"/>
      <c r="M210" s="142"/>
      <c r="N210" s="142"/>
      <c r="O210" s="142"/>
      <c r="P210" s="142"/>
      <c r="Q210" s="142"/>
      <c r="R210" s="142"/>
      <c r="S210" s="142"/>
      <c r="T210" s="142"/>
    </row>
    <row r="211" spans="1:20" ht="15" hidden="1" customHeight="1">
      <c r="A211" s="142">
        <v>38</v>
      </c>
      <c r="B211" s="142"/>
      <c r="C211" s="142"/>
      <c r="D211" s="142"/>
      <c r="E211" s="142"/>
      <c r="F211" s="142"/>
      <c r="G211" s="142"/>
      <c r="H211" s="142"/>
      <c r="I211" s="142"/>
      <c r="J211" s="142"/>
      <c r="K211" s="142"/>
      <c r="L211" s="142"/>
      <c r="M211" s="142"/>
      <c r="N211" s="142"/>
      <c r="O211" s="142"/>
      <c r="P211" s="142"/>
      <c r="Q211" s="142"/>
      <c r="R211" s="142"/>
      <c r="S211" s="142"/>
      <c r="T211" s="142"/>
    </row>
    <row r="212" spans="1:20" ht="15" hidden="1" customHeight="1">
      <c r="A212" s="142">
        <v>39</v>
      </c>
      <c r="B212" s="142"/>
      <c r="C212" s="142"/>
      <c r="D212" s="142"/>
      <c r="E212" s="142"/>
      <c r="F212" s="142"/>
      <c r="G212" s="142"/>
      <c r="H212" s="142"/>
      <c r="I212" s="142"/>
      <c r="J212" s="142"/>
      <c r="K212" s="142"/>
      <c r="L212" s="142"/>
      <c r="M212" s="142"/>
      <c r="N212" s="142"/>
      <c r="O212" s="142"/>
      <c r="P212" s="142"/>
      <c r="Q212" s="142"/>
      <c r="R212" s="142"/>
      <c r="S212" s="142"/>
      <c r="T212" s="142"/>
    </row>
    <row r="213" spans="1:20" ht="15" hidden="1" customHeight="1">
      <c r="A213" s="142">
        <v>40</v>
      </c>
      <c r="B213" s="142"/>
      <c r="C213" s="142"/>
      <c r="D213" s="142"/>
      <c r="E213" s="142"/>
      <c r="F213" s="142"/>
      <c r="G213" s="142"/>
      <c r="H213" s="142"/>
      <c r="I213" s="142"/>
      <c r="J213" s="142"/>
      <c r="K213" s="142"/>
      <c r="L213" s="142"/>
      <c r="M213" s="142"/>
      <c r="N213" s="142"/>
      <c r="O213" s="142"/>
      <c r="P213" s="142"/>
      <c r="Q213" s="142"/>
      <c r="R213" s="142"/>
      <c r="S213" s="142"/>
      <c r="T213" s="142"/>
    </row>
    <row r="214" spans="1:20" ht="15" hidden="1" customHeight="1">
      <c r="A214" s="142">
        <v>41</v>
      </c>
      <c r="B214" s="142"/>
      <c r="C214" s="142"/>
      <c r="D214" s="142"/>
      <c r="E214" s="142"/>
      <c r="F214" s="142"/>
      <c r="G214" s="142"/>
      <c r="H214" s="142"/>
      <c r="I214" s="142"/>
      <c r="J214" s="142"/>
      <c r="K214" s="142"/>
      <c r="L214" s="142"/>
      <c r="M214" s="142"/>
      <c r="N214" s="142"/>
      <c r="O214" s="142"/>
      <c r="P214" s="142"/>
      <c r="Q214" s="142"/>
      <c r="R214" s="142"/>
      <c r="S214" s="142"/>
      <c r="T214" s="142"/>
    </row>
    <row r="215" spans="1:20" ht="15" hidden="1" customHeight="1">
      <c r="A215" s="4">
        <v>42</v>
      </c>
      <c r="B215" s="142" t="s">
        <v>417</v>
      </c>
      <c r="C215" s="4"/>
      <c r="D215" s="4"/>
      <c r="E215" s="4"/>
      <c r="F215" s="37"/>
      <c r="G215" s="37"/>
      <c r="H215" s="37"/>
      <c r="I215" s="37"/>
      <c r="J215" s="37"/>
      <c r="K215" s="37"/>
      <c r="L215" s="37"/>
      <c r="M215" s="37"/>
      <c r="N215" s="37"/>
      <c r="O215" s="37"/>
      <c r="P215" s="37"/>
      <c r="Q215" s="37"/>
    </row>
    <row r="216" spans="1:20" ht="15" hidden="1" customHeight="1" thickBot="1">
      <c r="A216" s="1">
        <v>43</v>
      </c>
      <c r="B216" s="145" t="s">
        <v>67</v>
      </c>
      <c r="C216" s="1"/>
      <c r="D216" s="1"/>
      <c r="E216" s="1"/>
      <c r="F216" s="1"/>
      <c r="G216" s="1"/>
      <c r="H216" s="1"/>
      <c r="I216" s="1"/>
      <c r="J216" s="1"/>
      <c r="K216" s="1"/>
      <c r="L216" s="1"/>
      <c r="M216" s="1"/>
      <c r="N216" s="1"/>
      <c r="O216" s="1"/>
      <c r="P216" s="1"/>
      <c r="Q216" s="1"/>
      <c r="R216" s="1"/>
      <c r="S216" s="1"/>
      <c r="T216" s="100"/>
    </row>
    <row r="217" spans="1:20" ht="15" hidden="1" customHeight="1">
      <c r="A217" s="5" t="s">
        <v>180</v>
      </c>
      <c r="B217" s="5"/>
      <c r="C217" s="5"/>
      <c r="D217" s="5"/>
      <c r="E217" s="5"/>
      <c r="F217" s="5"/>
      <c r="G217" s="5"/>
      <c r="H217" s="5"/>
      <c r="I217" s="5"/>
      <c r="J217" s="5"/>
      <c r="K217" s="5"/>
      <c r="L217" s="5"/>
      <c r="M217" s="5"/>
      <c r="N217" s="5"/>
      <c r="O217" s="5"/>
      <c r="P217" s="5"/>
      <c r="Q217" s="5"/>
      <c r="R217" s="5" t="s">
        <v>181</v>
      </c>
      <c r="S217" s="5"/>
      <c r="T217" s="5"/>
    </row>
    <row r="218" spans="1:20" ht="15" hidden="1" customHeight="1" thickBot="1">
      <c r="A218" s="1" t="str">
        <f>+$A$164</f>
        <v>SCHEDULE B-3</v>
      </c>
      <c r="B218" s="1"/>
      <c r="C218" s="1"/>
      <c r="D218" s="1"/>
      <c r="E218" s="1"/>
      <c r="F218" s="1"/>
      <c r="G218" s="1"/>
      <c r="H218" s="1"/>
      <c r="I218" s="1" t="str">
        <f>+$I$164</f>
        <v>13 MONTH AVERAGE BALANCE SHEET - SYSTEM BASIS</v>
      </c>
      <c r="J218" s="1"/>
      <c r="K218" s="1"/>
      <c r="L218" s="1"/>
      <c r="M218" s="1"/>
      <c r="N218" s="1"/>
      <c r="O218" s="1"/>
      <c r="P218" s="1"/>
      <c r="Q218" s="1"/>
      <c r="R218" s="1"/>
      <c r="S218" s="1"/>
      <c r="T218" s="3" t="s">
        <v>497</v>
      </c>
    </row>
    <row r="219" spans="1:20" ht="15" hidden="1" customHeight="1">
      <c r="A219" s="4" t="s">
        <v>4</v>
      </c>
      <c r="B219" s="4"/>
      <c r="C219" s="4"/>
      <c r="D219" s="4"/>
      <c r="E219" s="4"/>
      <c r="F219" s="4" t="s">
        <v>343</v>
      </c>
      <c r="G219" s="4" t="str">
        <f>+$G$165</f>
        <v>Derive the 13-month average system balance sheet by primary account by month for the test year, the prior year</v>
      </c>
      <c r="H219" s="5"/>
      <c r="I219" s="5"/>
      <c r="J219" s="6"/>
      <c r="K219" s="6"/>
      <c r="L219" s="4"/>
      <c r="M219" s="6"/>
      <c r="N219" s="6"/>
      <c r="O219" s="6"/>
      <c r="P219" s="6"/>
      <c r="Q219" s="6" t="s">
        <v>7</v>
      </c>
      <c r="R219" s="4"/>
      <c r="S219" s="4"/>
      <c r="T219" s="7"/>
    </row>
    <row r="220" spans="1:20" ht="15" hidden="1" customHeight="1">
      <c r="A220" s="4"/>
      <c r="B220" s="4"/>
      <c r="C220" s="4"/>
      <c r="D220" s="4"/>
      <c r="E220" s="4"/>
      <c r="F220" s="4"/>
      <c r="G220" s="4" t="str">
        <f>+$G$166</f>
        <v>and the most recent historical year.  For accounts including non-electric utility amounts, show these</v>
      </c>
      <c r="H220" s="5"/>
      <c r="I220" s="5"/>
      <c r="J220" s="9"/>
      <c r="K220" s="7"/>
      <c r="L220" s="4"/>
      <c r="M220" s="4"/>
      <c r="N220" s="4"/>
      <c r="O220" s="4"/>
      <c r="P220" s="9"/>
      <c r="R220" s="7" t="str">
        <f>+$R$166</f>
        <v>Projected Test Year Ended 12/31/2025</v>
      </c>
      <c r="S220" s="4"/>
      <c r="T220" s="9"/>
    </row>
    <row r="221" spans="1:20" ht="15" hidden="1" customHeight="1">
      <c r="A221" s="4" t="s">
        <v>10</v>
      </c>
      <c r="B221" s="4"/>
      <c r="C221" s="4"/>
      <c r="D221" s="4"/>
      <c r="E221" s="4"/>
      <c r="F221" s="4"/>
      <c r="G221" s="4" t="str">
        <f>+$G$167</f>
        <v>amounts as a separate sub-account.</v>
      </c>
      <c r="H221" s="4"/>
      <c r="I221" s="4"/>
      <c r="J221" s="9"/>
      <c r="K221" s="7"/>
      <c r="L221" s="9"/>
      <c r="M221" s="4"/>
      <c r="N221" s="4"/>
      <c r="O221" s="4"/>
      <c r="P221" s="4"/>
      <c r="Q221" s="9" t="s">
        <v>12</v>
      </c>
      <c r="R221" s="7" t="str">
        <f>+$R$167</f>
        <v>Projected Prior Year Ended 12/31/2024</v>
      </c>
      <c r="S221" s="4"/>
      <c r="T221" s="9"/>
    </row>
    <row r="222" spans="1:20" ht="15" hidden="1" customHeight="1">
      <c r="A222" s="4"/>
      <c r="B222" s="4"/>
      <c r="C222" s="4"/>
      <c r="D222" s="4"/>
      <c r="E222" s="4"/>
      <c r="F222" s="4"/>
      <c r="G222" s="4"/>
      <c r="H222" s="4"/>
      <c r="I222" s="4"/>
      <c r="J222" s="9"/>
      <c r="K222" s="7"/>
      <c r="L222" s="9"/>
      <c r="M222" s="4"/>
      <c r="N222" s="4"/>
      <c r="O222" s="4"/>
      <c r="P222" s="4"/>
      <c r="R222" s="7" t="str">
        <f>+$R$168</f>
        <v>Historical Prior Year Ended 12/31/2023</v>
      </c>
      <c r="S222" s="4"/>
      <c r="T222" s="9"/>
    </row>
    <row r="223" spans="1:20" ht="15" hidden="1" customHeight="1" thickBot="1">
      <c r="A223" s="2" t="str">
        <f>A60</f>
        <v>Docket No.</v>
      </c>
      <c r="B223" s="2"/>
      <c r="C223" s="1"/>
      <c r="D223" s="1"/>
      <c r="E223" s="1"/>
      <c r="F223" s="1"/>
      <c r="G223" s="1"/>
      <c r="H223" s="1"/>
      <c r="I223" s="2" t="s">
        <v>15</v>
      </c>
      <c r="J223" s="10"/>
      <c r="K223" s="1"/>
      <c r="L223" s="1"/>
      <c r="M223" s="1"/>
      <c r="N223" s="1"/>
      <c r="O223" s="1"/>
      <c r="P223" s="1"/>
      <c r="Q223" s="1"/>
      <c r="R223" s="2" t="str">
        <f>R169</f>
        <v>Witness:</v>
      </c>
      <c r="S223" s="1"/>
      <c r="T223" s="1"/>
    </row>
    <row r="224" spans="1:20" ht="15" hidden="1" customHeight="1">
      <c r="A224" s="142"/>
      <c r="B224" s="142"/>
      <c r="C224" s="143"/>
      <c r="D224" s="143"/>
      <c r="E224" s="143"/>
      <c r="F224" s="143" t="s">
        <v>17</v>
      </c>
      <c r="G224" s="143" t="s">
        <v>18</v>
      </c>
      <c r="H224" s="143" t="s">
        <v>19</v>
      </c>
      <c r="I224" s="143" t="s">
        <v>20</v>
      </c>
      <c r="J224" s="143" t="s">
        <v>21</v>
      </c>
      <c r="K224" s="143" t="s">
        <v>22</v>
      </c>
      <c r="L224" s="143" t="s">
        <v>23</v>
      </c>
      <c r="M224" s="143" t="s">
        <v>24</v>
      </c>
      <c r="N224" s="143" t="s">
        <v>25</v>
      </c>
      <c r="O224" s="143" t="s">
        <v>26</v>
      </c>
      <c r="P224" s="143" t="s">
        <v>348</v>
      </c>
      <c r="Q224" s="143" t="s">
        <v>349</v>
      </c>
      <c r="R224" s="143" t="s">
        <v>350</v>
      </c>
      <c r="S224" s="143" t="s">
        <v>351</v>
      </c>
      <c r="T224" s="143" t="s">
        <v>352</v>
      </c>
    </row>
    <row r="225" spans="1:21" ht="15" hidden="1" customHeight="1">
      <c r="A225" s="142"/>
      <c r="B225" s="142"/>
      <c r="C225" s="142"/>
      <c r="D225" s="142"/>
      <c r="E225" s="142"/>
      <c r="F225" s="144"/>
      <c r="G225" s="144"/>
      <c r="H225" s="144"/>
      <c r="I225" s="144"/>
      <c r="J225" s="144"/>
      <c r="K225" s="144"/>
      <c r="L225" s="144"/>
      <c r="M225" s="144"/>
      <c r="N225" s="144"/>
      <c r="O225" s="144"/>
      <c r="P225" s="144"/>
      <c r="Q225" s="144"/>
      <c r="R225" s="144"/>
      <c r="S225" s="144" t="s">
        <v>353</v>
      </c>
      <c r="T225" s="144" t="s">
        <v>354</v>
      </c>
    </row>
    <row r="226" spans="1:21" ht="15" hidden="1" customHeight="1">
      <c r="A226" s="142" t="s">
        <v>35</v>
      </c>
      <c r="B226" s="144" t="s">
        <v>355</v>
      </c>
      <c r="C226" s="144" t="s">
        <v>356</v>
      </c>
      <c r="D226" s="144"/>
      <c r="E226" s="144"/>
      <c r="F226" s="144" t="s">
        <v>357</v>
      </c>
      <c r="G226" s="144" t="s">
        <v>358</v>
      </c>
      <c r="H226" s="144" t="s">
        <v>359</v>
      </c>
      <c r="I226" s="144" t="s">
        <v>360</v>
      </c>
      <c r="J226" s="144" t="s">
        <v>361</v>
      </c>
      <c r="K226" s="144" t="s">
        <v>362</v>
      </c>
      <c r="L226" s="144" t="s">
        <v>363</v>
      </c>
      <c r="M226" s="144" t="s">
        <v>364</v>
      </c>
      <c r="N226" s="144" t="s">
        <v>365</v>
      </c>
      <c r="O226" s="144" t="s">
        <v>366</v>
      </c>
      <c r="P226" s="144" t="s">
        <v>367</v>
      </c>
      <c r="Q226" s="144" t="s">
        <v>368</v>
      </c>
      <c r="R226" s="144" t="s">
        <v>357</v>
      </c>
      <c r="S226" s="144" t="s">
        <v>369</v>
      </c>
      <c r="T226" s="144" t="s">
        <v>370</v>
      </c>
    </row>
    <row r="227" spans="1:21" ht="15" hidden="1" customHeight="1" thickBot="1">
      <c r="A227" s="145" t="s">
        <v>46</v>
      </c>
      <c r="B227" s="146" t="s">
        <v>371</v>
      </c>
      <c r="C227" s="146" t="s">
        <v>372</v>
      </c>
      <c r="D227" s="146"/>
      <c r="E227" s="146"/>
      <c r="F227" s="147">
        <f>F173</f>
        <v>2023</v>
      </c>
      <c r="G227" s="147">
        <f t="shared" ref="G227:S227" si="27">G173</f>
        <v>2024</v>
      </c>
      <c r="H227" s="147">
        <f t="shared" si="27"/>
        <v>2024</v>
      </c>
      <c r="I227" s="147">
        <f t="shared" si="27"/>
        <v>2024</v>
      </c>
      <c r="J227" s="147">
        <f t="shared" si="27"/>
        <v>2024</v>
      </c>
      <c r="K227" s="147">
        <f t="shared" si="27"/>
        <v>2024</v>
      </c>
      <c r="L227" s="147">
        <f t="shared" si="27"/>
        <v>2024</v>
      </c>
      <c r="M227" s="147">
        <f t="shared" si="27"/>
        <v>2024</v>
      </c>
      <c r="N227" s="147">
        <f t="shared" si="27"/>
        <v>2024</v>
      </c>
      <c r="O227" s="147">
        <f t="shared" si="27"/>
        <v>2024</v>
      </c>
      <c r="P227" s="147">
        <f t="shared" si="27"/>
        <v>2024</v>
      </c>
      <c r="Q227" s="147">
        <f t="shared" si="27"/>
        <v>2024</v>
      </c>
      <c r="R227" s="147">
        <f t="shared" si="27"/>
        <v>2024</v>
      </c>
      <c r="S227" s="147">
        <f t="shared" si="27"/>
        <v>2024</v>
      </c>
      <c r="T227" s="146" t="s">
        <v>373</v>
      </c>
    </row>
    <row r="228" spans="1:21" ht="15" hidden="1" customHeight="1">
      <c r="A228" s="142">
        <v>1</v>
      </c>
      <c r="B228" s="86"/>
      <c r="C228" s="14" t="s">
        <v>292</v>
      </c>
      <c r="D228" s="14"/>
      <c r="E228" s="14"/>
      <c r="F228" s="14"/>
      <c r="G228" s="14"/>
      <c r="H228" s="14"/>
      <c r="I228" s="14"/>
      <c r="J228" s="14"/>
      <c r="K228" s="14"/>
      <c r="L228" s="14"/>
      <c r="M228" s="14"/>
      <c r="N228" s="14"/>
      <c r="O228" s="14"/>
      <c r="P228" s="14"/>
      <c r="Q228" s="14"/>
      <c r="R228" s="14"/>
      <c r="S228" s="14"/>
      <c r="T228" s="142"/>
    </row>
    <row r="229" spans="1:21" ht="15" hidden="1" customHeight="1">
      <c r="A229" s="142">
        <v>2</v>
      </c>
      <c r="B229" s="35" t="s">
        <v>419</v>
      </c>
      <c r="C229" s="14" t="s">
        <v>420</v>
      </c>
      <c r="D229" s="142"/>
      <c r="E229" s="142"/>
      <c r="F229" s="27">
        <f>(SUMIF('Prior Year'!$A:$A,$B229,'Prior Year'!G:G))/1000</f>
        <v>28262.912219999998</v>
      </c>
      <c r="G229" s="27">
        <f>(SUMIF('Prior Year'!$A:$A,$B229,'Prior Year'!H:H))/1000</f>
        <v>30067.734109999998</v>
      </c>
      <c r="H229" s="27">
        <f>(SUMIF('Prior Year'!$A:$A,$B229,'Prior Year'!I:I))/1000</f>
        <v>29839.222679999999</v>
      </c>
      <c r="I229" s="27">
        <f>(SUMIF('Prior Year'!$A:$A,$B229,'Prior Year'!J:J))/1000</f>
        <v>29619.032219999997</v>
      </c>
      <c r="J229" s="27">
        <f>(SUMIF('Prior Year'!$A:$A,$B229,'Prior Year'!K:K))/1000</f>
        <v>29398.841760000003</v>
      </c>
      <c r="K229" s="27">
        <f>(SUMIF('Prior Year'!$A:$A,$B229,'Prior Year'!L:L))/1000</f>
        <v>29178.651300000001</v>
      </c>
      <c r="L229" s="27">
        <f>(SUMIF('Prior Year'!$A:$A,$B229,'Prior Year'!M:M))/1000</f>
        <v>28958.46084</v>
      </c>
      <c r="M229" s="27">
        <f>(SUMIF('Prior Year'!$A:$A,$B229,'Prior Year'!N:N))/1000</f>
        <v>28801.550340000002</v>
      </c>
      <c r="N229" s="27">
        <f>(SUMIF('Prior Year'!$A:$A,$B229,'Prior Year'!O:O))/1000</f>
        <v>28644.63984</v>
      </c>
      <c r="O229" s="27">
        <f>(SUMIF('Prior Year'!$A:$A,$B229,'Prior Year'!P:P))/1000</f>
        <v>28487.729339999998</v>
      </c>
      <c r="P229" s="27">
        <f>(SUMIF('Prior Year'!$A:$A,$B229,'Prior Year'!Q:Q))/1000</f>
        <v>28330.81884</v>
      </c>
      <c r="Q229" s="27">
        <f>(SUMIF('Prior Year'!$A:$A,$B229,'Prior Year'!R:R))/1000</f>
        <v>28173.908339999998</v>
      </c>
      <c r="R229" s="27">
        <f>(SUMIF('Prior Year'!$A:$A,$B229,'Prior Year'!S:S))/1000</f>
        <v>28016.99784</v>
      </c>
      <c r="S229" s="150">
        <f t="shared" ref="S229:S236" si="28">AVERAGE(F229:R229)</f>
        <v>28906.1922823077</v>
      </c>
      <c r="T229" s="144" t="s">
        <v>421</v>
      </c>
    </row>
    <row r="230" spans="1:21" ht="15" hidden="1" customHeight="1">
      <c r="A230" s="142">
        <v>3</v>
      </c>
      <c r="B230" s="86" t="s">
        <v>422</v>
      </c>
      <c r="C230" s="103" t="s">
        <v>289</v>
      </c>
      <c r="D230" s="334"/>
      <c r="E230" s="334"/>
      <c r="F230" s="105">
        <f>(SUMIF('Prior Year'!$A:$A,$B230,'Prior Year'!G:G))/1000-F231</f>
        <v>873708.43613000005</v>
      </c>
      <c r="G230" s="105">
        <f>(SUMIF('Prior Year'!$A:$A,$B230,'Prior Year'!H:H))/1000-G231</f>
        <v>869392.80517685751</v>
      </c>
      <c r="H230" s="105">
        <f>(SUMIF('Prior Year'!$A:$A,$B230,'Prior Year'!I:I))/1000-H231</f>
        <v>861700.89937471994</v>
      </c>
      <c r="I230" s="105">
        <f>(SUMIF('Prior Year'!$A:$A,$B230,'Prior Year'!J:J))/1000-I231</f>
        <v>855201.21803651378</v>
      </c>
      <c r="J230" s="105">
        <f>(SUMIF('Prior Year'!$A:$A,$B230,'Prior Year'!K:K))/1000-J231</f>
        <v>843356.10561587918</v>
      </c>
      <c r="K230" s="105">
        <f>(SUMIF('Prior Year'!$A:$A,$B230,'Prior Year'!L:L))/1000-K231</f>
        <v>833257.95288137335</v>
      </c>
      <c r="L230" s="105">
        <f>(SUMIF('Prior Year'!$A:$A,$B230,'Prior Year'!M:M))/1000-L231</f>
        <v>816724.94519442157</v>
      </c>
      <c r="M230" s="105">
        <f>(SUMIF('Prior Year'!$A:$A,$B230,'Prior Year'!N:N))/1000-M231</f>
        <v>800199.58669119992</v>
      </c>
      <c r="N230" s="105">
        <f>(SUMIF('Prior Year'!$A:$A,$B230,'Prior Year'!O:O))/1000-N231</f>
        <v>785178.40141562477</v>
      </c>
      <c r="O230" s="105">
        <f>(SUMIF('Prior Year'!$A:$A,$B230,'Prior Year'!P:P))/1000-O231</f>
        <v>777074.92953568161</v>
      </c>
      <c r="P230" s="105">
        <f>(SUMIF('Prior Year'!$A:$A,$B230,'Prior Year'!Q:Q))/1000-P231</f>
        <v>775409.19828323496</v>
      </c>
      <c r="Q230" s="105">
        <f>(SUMIF('Prior Year'!$A:$A,$B230,'Prior Year'!R:R))/1000-Q231</f>
        <v>773892.54274873238</v>
      </c>
      <c r="R230" s="105">
        <f>(SUMIF('Prior Year'!$A:$A,$B230,'Prior Year'!S:S))/1000-R231</f>
        <v>774404.84215279436</v>
      </c>
      <c r="S230" s="391">
        <f t="shared" si="28"/>
        <v>818423.22024900268</v>
      </c>
      <c r="T230" s="144" t="s">
        <v>423</v>
      </c>
    </row>
    <row r="231" spans="1:21" ht="15" hidden="1" customHeight="1">
      <c r="A231" s="142">
        <v>4</v>
      </c>
      <c r="B231" s="86" t="s">
        <v>422</v>
      </c>
      <c r="C231" s="14" t="s">
        <v>424</v>
      </c>
      <c r="D231" s="142"/>
      <c r="E231" s="142"/>
      <c r="F231" s="27">
        <f>(SUMIF('Prior Year'!$C:$C,"1823610",'Prior Year'!G:G))/1000</f>
        <v>111138.80381</v>
      </c>
      <c r="G231" s="27">
        <f>(SUMIF('Prior Year'!$C:$C,"1823610",'Prior Year'!H:H))/1000</f>
        <v>111306.45608</v>
      </c>
      <c r="H231" s="27">
        <f>(SUMIF('Prior Year'!$C:$C,"1823610",'Prior Year'!I:I))/1000</f>
        <v>111564.41708</v>
      </c>
      <c r="I231" s="27">
        <f>(SUMIF('Prior Year'!$C:$C,"1823610",'Prior Year'!J:J))/1000</f>
        <v>111828.62208</v>
      </c>
      <c r="J231" s="27">
        <f>(SUMIF('Prior Year'!$C:$C,"1823610",'Prior Year'!K:K))/1000</f>
        <v>112156.33207999999</v>
      </c>
      <c r="K231" s="27">
        <f>(SUMIF('Prior Year'!$C:$C,"1823610",'Prior Year'!L:L))/1000</f>
        <v>112531.40407999999</v>
      </c>
      <c r="L231" s="27">
        <f>(SUMIF('Prior Year'!$C:$C,"1823610",'Prior Year'!M:M))/1000</f>
        <v>112979.00808</v>
      </c>
      <c r="M231" s="27">
        <f>(SUMIF('Prior Year'!$C:$C,"1823610",'Prior Year'!N:N))/1000</f>
        <v>113520.63208</v>
      </c>
      <c r="N231" s="27">
        <f>(SUMIF('Prior Year'!$C:$C,"1823610",'Prior Year'!O:O))/1000</f>
        <v>114134.45008</v>
      </c>
      <c r="O231" s="27">
        <f>(SUMIF('Prior Year'!$C:$C,"1823610",'Prior Year'!P:P))/1000</f>
        <v>115732.96807999999</v>
      </c>
      <c r="P231" s="27">
        <f>(SUMIF('Prior Year'!$C:$C,"1823610",'Prior Year'!Q:Q))/1000</f>
        <v>116449.46308</v>
      </c>
      <c r="Q231" s="27">
        <f>(SUMIF('Prior Year'!$C:$C,"1823610",'Prior Year'!R:R))/1000</f>
        <v>117239.73308000001</v>
      </c>
      <c r="R231" s="27">
        <f>(SUMIF('Prior Year'!$C:$C,"1823610",'Prior Year'!S:S))/1000</f>
        <v>117987.58408</v>
      </c>
      <c r="S231" s="150">
        <f t="shared" si="28"/>
        <v>113736.14413615383</v>
      </c>
      <c r="T231" s="144" t="s">
        <v>425</v>
      </c>
    </row>
    <row r="232" spans="1:21" ht="15" hidden="1" customHeight="1">
      <c r="A232" s="142">
        <v>5</v>
      </c>
      <c r="B232" s="86" t="s">
        <v>426</v>
      </c>
      <c r="C232" s="14" t="s">
        <v>290</v>
      </c>
      <c r="D232" s="142"/>
      <c r="E232" s="142"/>
      <c r="F232" s="27">
        <f>(SUMIF('Prior Year'!$A:$A,$B232,'Prior Year'!G:G))/1000</f>
        <v>10078.821820000001</v>
      </c>
      <c r="G232" s="27">
        <f>(SUMIF('Prior Year'!$A:$A,$B232,'Prior Year'!H:H))/1000</f>
        <v>11176.821550000001</v>
      </c>
      <c r="H232" s="27">
        <f>(SUMIF('Prior Year'!$A:$A,$B232,'Prior Year'!I:I))/1000</f>
        <v>12283.821550000001</v>
      </c>
      <c r="I232" s="27">
        <f>(SUMIF('Prior Year'!$A:$A,$B232,'Prior Year'!J:J))/1000</f>
        <v>13665.821550000001</v>
      </c>
      <c r="J232" s="27">
        <f>(SUMIF('Prior Year'!$A:$A,$B232,'Prior Year'!K:K))/1000</f>
        <v>14648.821550000001</v>
      </c>
      <c r="K232" s="27">
        <f>(SUMIF('Prior Year'!$A:$A,$B232,'Prior Year'!L:L))/1000</f>
        <v>15664.821550000001</v>
      </c>
      <c r="L232" s="27">
        <f>(SUMIF('Prior Year'!$A:$A,$B232,'Prior Year'!M:M))/1000</f>
        <v>16519.821550000001</v>
      </c>
      <c r="M232" s="27">
        <f>(SUMIF('Prior Year'!$A:$A,$B232,'Prior Year'!N:N))/1000</f>
        <v>16971.821550000001</v>
      </c>
      <c r="N232" s="27">
        <f>(SUMIF('Prior Year'!$A:$A,$B232,'Prior Year'!O:O))/1000</f>
        <v>17607.821550000001</v>
      </c>
      <c r="O232" s="27">
        <f>(SUMIF('Prior Year'!$A:$A,$B232,'Prior Year'!P:P))/1000</f>
        <v>17908.821550000001</v>
      </c>
      <c r="P232" s="27">
        <f>(SUMIF('Prior Year'!$A:$A,$B232,'Prior Year'!Q:Q))/1000</f>
        <v>18200.821550000001</v>
      </c>
      <c r="Q232" s="27">
        <f>(SUMIF('Prior Year'!$A:$A,$B232,'Prior Year'!R:R))/1000</f>
        <v>18685.821550000001</v>
      </c>
      <c r="R232" s="27">
        <f>(SUMIF('Prior Year'!$A:$A,$B232,'Prior Year'!S:S))/1000</f>
        <v>14320.821550000001</v>
      </c>
      <c r="S232" s="150">
        <f t="shared" si="28"/>
        <v>15210.36003230769</v>
      </c>
      <c r="T232" s="144" t="s">
        <v>118</v>
      </c>
    </row>
    <row r="233" spans="1:21" ht="15" hidden="1" customHeight="1">
      <c r="A233" s="142">
        <v>6</v>
      </c>
      <c r="B233" s="86" t="s">
        <v>427</v>
      </c>
      <c r="C233" s="14" t="s">
        <v>291</v>
      </c>
      <c r="D233" s="142"/>
      <c r="E233" s="142"/>
      <c r="F233" s="27">
        <f>(SUMIF('Prior Year'!$A:$A,$B233,'Prior Year'!G:G))/1000</f>
        <v>76.622309999999999</v>
      </c>
      <c r="G233" s="27">
        <f>(SUMIF('Prior Year'!$A:$A,$B233,'Prior Year'!H:H))/1000</f>
        <v>0</v>
      </c>
      <c r="H233" s="27">
        <f>(SUMIF('Prior Year'!$A:$A,$B233,'Prior Year'!I:I))/1000</f>
        <v>0</v>
      </c>
      <c r="I233" s="27">
        <f>(SUMIF('Prior Year'!$A:$A,$B233,'Prior Year'!J:J))/1000</f>
        <v>0</v>
      </c>
      <c r="J233" s="27">
        <f>(SUMIF('Prior Year'!$A:$A,$B233,'Prior Year'!K:K))/1000</f>
        <v>0</v>
      </c>
      <c r="K233" s="27">
        <f>(SUMIF('Prior Year'!$A:$A,$B233,'Prior Year'!L:L))/1000</f>
        <v>0</v>
      </c>
      <c r="L233" s="27">
        <f>(SUMIF('Prior Year'!$A:$A,$B233,'Prior Year'!M:M))/1000</f>
        <v>0</v>
      </c>
      <c r="M233" s="27">
        <f>(SUMIF('Prior Year'!$A:$A,$B233,'Prior Year'!N:N))/1000</f>
        <v>0</v>
      </c>
      <c r="N233" s="27">
        <f>(SUMIF('Prior Year'!$A:$A,$B233,'Prior Year'!O:O))/1000</f>
        <v>0</v>
      </c>
      <c r="O233" s="27">
        <f>(SUMIF('Prior Year'!$A:$A,$B233,'Prior Year'!P:P))/1000</f>
        <v>0</v>
      </c>
      <c r="P233" s="27">
        <f>(SUMIF('Prior Year'!$A:$A,$B233,'Prior Year'!Q:Q))/1000</f>
        <v>0</v>
      </c>
      <c r="Q233" s="27">
        <f>(SUMIF('Prior Year'!$A:$A,$B233,'Prior Year'!R:R))/1000</f>
        <v>0</v>
      </c>
      <c r="R233" s="27">
        <f>(SUMIF('Prior Year'!$A:$A,$B233,'Prior Year'!S:S))/1000</f>
        <v>0</v>
      </c>
      <c r="S233" s="150">
        <f t="shared" si="28"/>
        <v>5.8940238461538463</v>
      </c>
      <c r="T233" s="144" t="s">
        <v>118</v>
      </c>
    </row>
    <row r="234" spans="1:21" ht="15" hidden="1" customHeight="1">
      <c r="A234" s="142">
        <v>7</v>
      </c>
      <c r="B234" s="86" t="s">
        <v>428</v>
      </c>
      <c r="C234" s="14" t="s">
        <v>498</v>
      </c>
      <c r="D234" s="142"/>
      <c r="E234" s="142"/>
      <c r="F234" s="27">
        <f>(SUMIF('Prior Year'!$A:$A,$B234,'Prior Year'!G:G))/1000</f>
        <v>8801.2809499999985</v>
      </c>
      <c r="G234" s="27">
        <f>(SUMIF('Prior Year'!$A:$A,$B234,'Prior Year'!H:H))/1000</f>
        <v>8136.9135733332996</v>
      </c>
      <c r="H234" s="27">
        <f>(SUMIF('Prior Year'!$A:$A,$B234,'Prior Year'!I:I))/1000</f>
        <v>9557.0543866666994</v>
      </c>
      <c r="I234" s="27">
        <f>(SUMIF('Prior Year'!$A:$A,$B234,'Prior Year'!J:J))/1000</f>
        <v>8351.0973699999995</v>
      </c>
      <c r="J234" s="27">
        <f>(SUMIF('Prior Year'!$A:$A,$B234,'Prior Year'!K:K))/1000</f>
        <v>8305.2724833332995</v>
      </c>
      <c r="K234" s="27">
        <f>(SUMIF('Prior Year'!$A:$A,$B234,'Prior Year'!L:L))/1000</f>
        <v>8145.1676991667</v>
      </c>
      <c r="L234" s="27">
        <f>(SUMIF('Prior Year'!$A:$A,$B234,'Prior Year'!M:M))/1000</f>
        <v>8580.5828350000011</v>
      </c>
      <c r="M234" s="27">
        <f>(SUMIF('Prior Year'!$A:$A,$B234,'Prior Year'!N:N))/1000</f>
        <v>10839.521040833301</v>
      </c>
      <c r="N234" s="27">
        <f>(SUMIF('Prior Year'!$A:$A,$B234,'Prior Year'!O:O))/1000</f>
        <v>11366.5790766667</v>
      </c>
      <c r="O234" s="27">
        <f>(SUMIF('Prior Year'!$A:$A,$B234,'Prior Year'!P:P))/1000</f>
        <v>11218.2085625</v>
      </c>
      <c r="P234" s="27">
        <f>(SUMIF('Prior Year'!$A:$A,$B234,'Prior Year'!Q:Q))/1000</f>
        <v>7516.3285650000007</v>
      </c>
      <c r="Q234" s="27">
        <f>(SUMIF('Prior Year'!$A:$A,$B234,'Prior Year'!R:R))/1000</f>
        <v>7517.5812874999992</v>
      </c>
      <c r="R234" s="27">
        <f>(SUMIF('Prior Year'!$A:$A,$B234,'Prior Year'!S:S))/1000</f>
        <v>5745.2926600000001</v>
      </c>
      <c r="S234" s="150">
        <f t="shared" si="28"/>
        <v>8775.4523453846159</v>
      </c>
      <c r="T234" s="144" t="s">
        <v>118</v>
      </c>
    </row>
    <row r="235" spans="1:21" ht="15" hidden="1" customHeight="1">
      <c r="A235" s="142">
        <v>8</v>
      </c>
      <c r="B235" s="157" t="s">
        <v>429</v>
      </c>
      <c r="C235" s="14" t="s">
        <v>430</v>
      </c>
      <c r="D235" s="142"/>
      <c r="E235" s="142"/>
      <c r="F235" s="27">
        <f>(SUMIF('Prior Year'!$A:$A,$B235,'Prior Year'!G:G))/1000</f>
        <v>2917.0327599999996</v>
      </c>
      <c r="G235" s="27">
        <f>(SUMIF('Prior Year'!$A:$A,$B235,'Prior Year'!H:H))/1000</f>
        <v>2885.1861899999999</v>
      </c>
      <c r="H235" s="27">
        <f>(SUMIF('Prior Year'!$A:$A,$B235,'Prior Year'!I:I))/1000</f>
        <v>2853.3396200000002</v>
      </c>
      <c r="I235" s="27">
        <f>(SUMIF('Prior Year'!$A:$A,$B235,'Prior Year'!J:J))/1000</f>
        <v>2821.49305</v>
      </c>
      <c r="J235" s="27">
        <f>(SUMIF('Prior Year'!$A:$A,$B235,'Prior Year'!K:K))/1000</f>
        <v>2789.6464799999999</v>
      </c>
      <c r="K235" s="27">
        <f>(SUMIF('Prior Year'!$A:$A,$B235,'Prior Year'!L:L))/1000</f>
        <v>2757.7999100000002</v>
      </c>
      <c r="L235" s="27">
        <f>(SUMIF('Prior Year'!$A:$A,$B235,'Prior Year'!M:M))/1000</f>
        <v>2725.95334</v>
      </c>
      <c r="M235" s="27">
        <f>(SUMIF('Prior Year'!$A:$A,$B235,'Prior Year'!N:N))/1000</f>
        <v>2694.1067699999999</v>
      </c>
      <c r="N235" s="27">
        <f>(SUMIF('Prior Year'!$A:$A,$B235,'Prior Year'!O:O))/1000</f>
        <v>2662.2602000000002</v>
      </c>
      <c r="O235" s="27">
        <f>(SUMIF('Prior Year'!$A:$A,$B235,'Prior Year'!P:P))/1000</f>
        <v>2630.41363</v>
      </c>
      <c r="P235" s="27">
        <f>(SUMIF('Prior Year'!$A:$A,$B235,'Prior Year'!Q:Q))/1000</f>
        <v>2598.5670599999999</v>
      </c>
      <c r="Q235" s="27">
        <f>(SUMIF('Prior Year'!$A:$A,$B235,'Prior Year'!R:R))/1000</f>
        <v>2566.7204900000002</v>
      </c>
      <c r="R235" s="27">
        <f>(SUMIF('Prior Year'!$A:$A,$B235,'Prior Year'!S:S))/1000</f>
        <v>2534.87392</v>
      </c>
      <c r="S235" s="150">
        <f t="shared" si="28"/>
        <v>2725.95334</v>
      </c>
      <c r="T235" s="144" t="s">
        <v>421</v>
      </c>
    </row>
    <row r="236" spans="1:21" ht="15" hidden="1" customHeight="1">
      <c r="A236" s="142">
        <v>9</v>
      </c>
      <c r="B236" s="35" t="s">
        <v>431</v>
      </c>
      <c r="C236" s="14" t="s">
        <v>432</v>
      </c>
      <c r="D236" s="142"/>
      <c r="E236" s="142"/>
      <c r="F236" s="32">
        <f>(SUMIF('Prior Year'!$A:$A,$B236,'Prior Year'!G:G))/1000</f>
        <v>716561.90119</v>
      </c>
      <c r="G236" s="32">
        <f>(SUMIF('Prior Year'!$A:$A,$B236,'Prior Year'!H:H))/1000</f>
        <v>721746.77490999945</v>
      </c>
      <c r="H236" s="32">
        <f>(SUMIF('Prior Year'!$A:$A,$B236,'Prior Year'!I:I))/1000</f>
        <v>724791.47890999948</v>
      </c>
      <c r="I236" s="32">
        <f>(SUMIF('Prior Year'!$A:$A,$B236,'Prior Year'!J:J))/1000</f>
        <v>728187.23890999949</v>
      </c>
      <c r="J236" s="32">
        <f>(SUMIF('Prior Year'!$A:$A,$B236,'Prior Year'!K:K))/1000</f>
        <v>731886.95890999946</v>
      </c>
      <c r="K236" s="32">
        <f>(SUMIF('Prior Year'!$A:$A,$B236,'Prior Year'!L:L))/1000</f>
        <v>736219.70990999963</v>
      </c>
      <c r="L236" s="32">
        <f>(SUMIF('Prior Year'!$A:$A,$B236,'Prior Year'!M:M))/1000</f>
        <v>740072.02190999966</v>
      </c>
      <c r="M236" s="32">
        <f>(SUMIF('Prior Year'!$A:$A,$B236,'Prior Year'!N:N))/1000</f>
        <v>744048.54890999966</v>
      </c>
      <c r="N236" s="32">
        <f>(SUMIF('Prior Year'!$A:$A,$B236,'Prior Year'!O:O))/1000</f>
        <v>747924.91290999972</v>
      </c>
      <c r="O236" s="32">
        <f>(SUMIF('Prior Year'!$A:$A,$B236,'Prior Year'!P:P))/1000</f>
        <v>758886.70390999969</v>
      </c>
      <c r="P236" s="32">
        <f>(SUMIF('Prior Year'!$A:$A,$B236,'Prior Year'!Q:Q))/1000</f>
        <v>762304.63190999976</v>
      </c>
      <c r="Q236" s="32">
        <f>(SUMIF('Prior Year'!$A:$A,$B236,'Prior Year'!R:R))/1000</f>
        <v>765046.93990999972</v>
      </c>
      <c r="R236" s="32">
        <f>(SUMIF('Prior Year'!$A:$A,$B236,'Prior Year'!S:S))/1000</f>
        <v>768014.36690999975</v>
      </c>
      <c r="S236" s="155">
        <f t="shared" si="28"/>
        <v>741976.32223923027</v>
      </c>
      <c r="T236" s="144" t="s">
        <v>421</v>
      </c>
    </row>
    <row r="237" spans="1:21" ht="15" hidden="1" customHeight="1">
      <c r="A237" s="142">
        <v>10</v>
      </c>
      <c r="B237" s="35"/>
      <c r="C237" s="14"/>
      <c r="D237" s="142" t="s">
        <v>292</v>
      </c>
      <c r="E237" s="142"/>
      <c r="F237" s="27">
        <f t="shared" ref="F237:S237" si="29">SUM(F229:F236)</f>
        <v>1751545.81119</v>
      </c>
      <c r="G237" s="27">
        <f t="shared" si="29"/>
        <v>1754712.6915901904</v>
      </c>
      <c r="H237" s="27">
        <f t="shared" si="29"/>
        <v>1752590.2336013862</v>
      </c>
      <c r="I237" s="27">
        <f t="shared" si="29"/>
        <v>1749674.5232165135</v>
      </c>
      <c r="J237" s="27">
        <f t="shared" si="29"/>
        <v>1742541.9788792119</v>
      </c>
      <c r="K237" s="27">
        <f t="shared" si="29"/>
        <v>1737755.5073305396</v>
      </c>
      <c r="L237" s="27">
        <f t="shared" si="29"/>
        <v>1726560.7937494211</v>
      </c>
      <c r="M237" s="27">
        <f t="shared" si="29"/>
        <v>1717075.7673820327</v>
      </c>
      <c r="N237" s="27">
        <f t="shared" si="29"/>
        <v>1707519.0650722911</v>
      </c>
      <c r="O237" s="27">
        <f t="shared" si="29"/>
        <v>1711939.7746081813</v>
      </c>
      <c r="P237" s="27">
        <f t="shared" si="29"/>
        <v>1710809.8292882347</v>
      </c>
      <c r="Q237" s="27">
        <f t="shared" si="29"/>
        <v>1713123.2474062322</v>
      </c>
      <c r="R237" s="27">
        <f t="shared" si="29"/>
        <v>1711024.7791127942</v>
      </c>
      <c r="S237" s="27">
        <f t="shared" si="29"/>
        <v>1729759.5386482328</v>
      </c>
      <c r="T237" s="142"/>
      <c r="U237" s="92"/>
    </row>
    <row r="238" spans="1:21" ht="15" hidden="1" customHeight="1">
      <c r="A238" s="142">
        <v>11</v>
      </c>
      <c r="B238" s="35"/>
      <c r="C238" s="14"/>
      <c r="D238" s="142"/>
      <c r="E238" s="142"/>
      <c r="F238" s="27"/>
      <c r="G238" s="27"/>
      <c r="H238" s="27"/>
      <c r="I238" s="27"/>
      <c r="J238" s="27"/>
      <c r="K238" s="27"/>
      <c r="L238" s="27"/>
      <c r="M238" s="27"/>
      <c r="N238" s="27"/>
      <c r="O238" s="27"/>
      <c r="P238" s="27"/>
      <c r="Q238" s="27"/>
      <c r="R238" s="27"/>
      <c r="S238" s="27"/>
      <c r="T238" s="142"/>
    </row>
    <row r="239" spans="1:21" ht="15" hidden="1" customHeight="1" thickBot="1">
      <c r="A239" s="142">
        <v>12</v>
      </c>
      <c r="B239" s="35"/>
      <c r="C239" s="14" t="s">
        <v>433</v>
      </c>
      <c r="D239" s="142"/>
      <c r="E239" s="142"/>
      <c r="F239" s="158">
        <f t="shared" ref="F239:S239" si="30">+F180+F185+F207+F237</f>
        <v>12291169.296060001</v>
      </c>
      <c r="G239" s="158">
        <f t="shared" si="30"/>
        <v>12290660.835076004</v>
      </c>
      <c r="H239" s="158">
        <f t="shared" si="30"/>
        <v>12329634.121218927</v>
      </c>
      <c r="I239" s="158">
        <f t="shared" si="30"/>
        <v>12404357.39979106</v>
      </c>
      <c r="J239" s="158">
        <f t="shared" si="30"/>
        <v>12499163.287713479</v>
      </c>
      <c r="K239" s="158">
        <f t="shared" si="30"/>
        <v>12594824.454153288</v>
      </c>
      <c r="L239" s="158">
        <f t="shared" si="30"/>
        <v>12732209.142713558</v>
      </c>
      <c r="M239" s="158">
        <f t="shared" si="30"/>
        <v>12822343.777086956</v>
      </c>
      <c r="N239" s="158">
        <f t="shared" si="30"/>
        <v>12869313.054058615</v>
      </c>
      <c r="O239" s="158">
        <f t="shared" si="30"/>
        <v>12944731.225117063</v>
      </c>
      <c r="P239" s="158">
        <f t="shared" si="30"/>
        <v>12965144.481875282</v>
      </c>
      <c r="Q239" s="158">
        <f t="shared" si="30"/>
        <v>12994456.314819798</v>
      </c>
      <c r="R239" s="158">
        <f t="shared" si="30"/>
        <v>13050021.784111338</v>
      </c>
      <c r="S239" s="158">
        <f t="shared" si="30"/>
        <v>12676002.244138105</v>
      </c>
      <c r="T239" s="142"/>
      <c r="U239" s="159"/>
    </row>
    <row r="240" spans="1:21" ht="15" hidden="1" customHeight="1" thickTop="1">
      <c r="A240" s="142">
        <v>13</v>
      </c>
      <c r="B240" s="142"/>
      <c r="C240" s="142"/>
      <c r="D240" s="142"/>
      <c r="E240" s="142"/>
      <c r="F240" s="142"/>
      <c r="G240" s="142"/>
      <c r="H240" s="142"/>
      <c r="I240" s="142"/>
      <c r="J240" s="142"/>
      <c r="K240" s="142"/>
      <c r="L240" s="142"/>
      <c r="M240" s="142"/>
      <c r="N240" s="142"/>
      <c r="O240" s="142"/>
      <c r="P240" s="142"/>
      <c r="Q240" s="142"/>
      <c r="R240" s="142"/>
      <c r="S240" s="142"/>
      <c r="T240" s="142"/>
    </row>
    <row r="241" spans="1:20" ht="15" hidden="1" customHeight="1">
      <c r="A241" s="142">
        <v>14</v>
      </c>
      <c r="B241" s="35"/>
      <c r="C241" s="14" t="s">
        <v>434</v>
      </c>
      <c r="D241" s="142"/>
      <c r="E241" s="142"/>
      <c r="F241" s="142"/>
      <c r="G241" s="142"/>
      <c r="H241" s="142"/>
      <c r="I241" s="142"/>
      <c r="J241" s="142"/>
      <c r="K241" s="142"/>
      <c r="L241" s="142"/>
      <c r="M241" s="142"/>
      <c r="N241" s="142"/>
      <c r="O241" s="142"/>
      <c r="P241" s="142"/>
      <c r="Q241" s="142"/>
      <c r="R241" s="142"/>
      <c r="S241" s="142"/>
      <c r="T241" s="142"/>
    </row>
    <row r="242" spans="1:20" ht="15" hidden="1" customHeight="1">
      <c r="A242" s="142">
        <v>15</v>
      </c>
      <c r="B242" s="35"/>
      <c r="C242" s="14"/>
      <c r="D242" s="142"/>
      <c r="E242" s="142"/>
      <c r="F242" s="27"/>
      <c r="G242" s="27"/>
      <c r="H242" s="27"/>
      <c r="I242" s="27"/>
      <c r="J242" s="27"/>
      <c r="K242" s="27"/>
      <c r="L242" s="27"/>
      <c r="M242" s="27"/>
      <c r="N242" s="27"/>
      <c r="O242" s="27"/>
      <c r="P242" s="27"/>
      <c r="Q242" s="27"/>
      <c r="R242" s="27"/>
      <c r="S242" s="27"/>
      <c r="T242" s="142"/>
    </row>
    <row r="243" spans="1:20" ht="15" hidden="1" customHeight="1">
      <c r="A243" s="142">
        <v>16</v>
      </c>
      <c r="B243" s="35" t="s">
        <v>435</v>
      </c>
      <c r="C243" s="14" t="s">
        <v>436</v>
      </c>
      <c r="D243" s="142"/>
      <c r="E243" s="142"/>
      <c r="F243" s="27">
        <f>(SUMIF('Prior Year'!$A:$A,$B243,'Prior Year'!G:G))/1000</f>
        <v>119696.78817</v>
      </c>
      <c r="G243" s="27">
        <f>(SUMIF('Prior Year'!$A:$A,$B243,'Prior Year'!H:H))/1000</f>
        <v>119696.8</v>
      </c>
      <c r="H243" s="27">
        <f>(SUMIF('Prior Year'!$A:$A,$B243,'Prior Year'!I:I))/1000</f>
        <v>119696.8</v>
      </c>
      <c r="I243" s="27">
        <f>(SUMIF('Prior Year'!$A:$A,$B243,'Prior Year'!J:J))/1000</f>
        <v>119696.8</v>
      </c>
      <c r="J243" s="27">
        <f>(SUMIF('Prior Year'!$A:$A,$B243,'Prior Year'!K:K))/1000</f>
        <v>119696.8</v>
      </c>
      <c r="K243" s="27">
        <f>(SUMIF('Prior Year'!$A:$A,$B243,'Prior Year'!L:L))/1000</f>
        <v>119696.8</v>
      </c>
      <c r="L243" s="27">
        <f>(SUMIF('Prior Year'!$A:$A,$B243,'Prior Year'!M:M))/1000</f>
        <v>119696.8</v>
      </c>
      <c r="M243" s="27">
        <f>(SUMIF('Prior Year'!$A:$A,$B243,'Prior Year'!N:N))/1000</f>
        <v>119696.8</v>
      </c>
      <c r="N243" s="27">
        <f>(SUMIF('Prior Year'!$A:$A,$B243,'Prior Year'!O:O))/1000</f>
        <v>119696.8</v>
      </c>
      <c r="O243" s="27">
        <f>(SUMIF('Prior Year'!$A:$A,$B243,'Prior Year'!P:P))/1000</f>
        <v>119696.8</v>
      </c>
      <c r="P243" s="27">
        <f>(SUMIF('Prior Year'!$A:$A,$B243,'Prior Year'!Q:Q))/1000</f>
        <v>119696.8</v>
      </c>
      <c r="Q243" s="27">
        <f>(SUMIF('Prior Year'!$A:$A,$B243,'Prior Year'!R:R))/1000</f>
        <v>119696.8</v>
      </c>
      <c r="R243" s="27">
        <f>(SUMIF('Prior Year'!$A:$A,$B243,'Prior Year'!S:S))/1000</f>
        <v>119696.8</v>
      </c>
      <c r="S243" s="150">
        <f t="shared" ref="S243:S247" si="31">AVERAGE(F243:R243)</f>
        <v>119696.79909000003</v>
      </c>
      <c r="T243" s="144" t="s">
        <v>421</v>
      </c>
    </row>
    <row r="244" spans="1:20" ht="15" hidden="1" customHeight="1">
      <c r="A244" s="142">
        <v>17</v>
      </c>
      <c r="B244" s="35" t="s">
        <v>437</v>
      </c>
      <c r="C244" s="14" t="s">
        <v>438</v>
      </c>
      <c r="D244" s="142"/>
      <c r="E244" s="142"/>
      <c r="F244" s="27">
        <f>(SUMIF('Prior Year'!$A:$A,$B244,'Prior Year'!G:G))/1000</f>
        <v>4385840.2494899994</v>
      </c>
      <c r="G244" s="27">
        <f>(SUMIF('Prior Year'!$A:$A,$B244,'Prior Year'!H:H))/1000</f>
        <v>4385840.2</v>
      </c>
      <c r="H244" s="27">
        <f>(SUMIF('Prior Year'!$A:$A,$B244,'Prior Year'!I:I))/1000</f>
        <v>4685840.2</v>
      </c>
      <c r="I244" s="27">
        <f>(SUMIF('Prior Year'!$A:$A,$B244,'Prior Year'!J:J))/1000</f>
        <v>4685840.2</v>
      </c>
      <c r="J244" s="27">
        <f>(SUMIF('Prior Year'!$A:$A,$B244,'Prior Year'!K:K))/1000</f>
        <v>4685840.2</v>
      </c>
      <c r="K244" s="27">
        <f>(SUMIF('Prior Year'!$A:$A,$B244,'Prior Year'!L:L))/1000</f>
        <v>4880840.2</v>
      </c>
      <c r="L244" s="27">
        <f>(SUMIF('Prior Year'!$A:$A,$B244,'Prior Year'!M:M))/1000</f>
        <v>4880840.2</v>
      </c>
      <c r="M244" s="27">
        <f>(SUMIF('Prior Year'!$A:$A,$B244,'Prior Year'!N:N))/1000</f>
        <v>4880840.2</v>
      </c>
      <c r="N244" s="27">
        <f>(SUMIF('Prior Year'!$A:$A,$B244,'Prior Year'!O:O))/1000</f>
        <v>4950840.2</v>
      </c>
      <c r="O244" s="27">
        <f>(SUMIF('Prior Year'!$A:$A,$B244,'Prior Year'!P:P))/1000</f>
        <v>4950840.2</v>
      </c>
      <c r="P244" s="27">
        <f>(SUMIF('Prior Year'!$A:$A,$B244,'Prior Year'!Q:Q))/1000</f>
        <v>4950840.2</v>
      </c>
      <c r="Q244" s="27">
        <f>(SUMIF('Prior Year'!$A:$A,$B244,'Prior Year'!R:R))/1000</f>
        <v>4985840.2</v>
      </c>
      <c r="R244" s="27">
        <f>(SUMIF('Prior Year'!$A:$A,$B244,'Prior Year'!S:S))/1000</f>
        <v>4985840.2</v>
      </c>
      <c r="S244" s="150">
        <f t="shared" si="31"/>
        <v>4791994.0499607706</v>
      </c>
      <c r="T244" s="144" t="s">
        <v>421</v>
      </c>
    </row>
    <row r="245" spans="1:20" ht="15" hidden="1" customHeight="1">
      <c r="A245" s="142">
        <v>18</v>
      </c>
      <c r="B245" s="35" t="s">
        <v>439</v>
      </c>
      <c r="C245" s="14" t="s">
        <v>440</v>
      </c>
      <c r="D245" s="142"/>
      <c r="E245" s="142"/>
      <c r="F245" s="27">
        <f>(SUMIF('Prior Year'!$A:$A,$B245,'Prior Year'!G:G))/1000</f>
        <v>-700.92051000000004</v>
      </c>
      <c r="G245" s="27">
        <f>(SUMIF('Prior Year'!$A:$A,$B245,'Prior Year'!H:H))/1000</f>
        <v>-700.9</v>
      </c>
      <c r="H245" s="27">
        <f>(SUMIF('Prior Year'!$A:$A,$B245,'Prior Year'!I:I))/1000</f>
        <v>-700.9</v>
      </c>
      <c r="I245" s="27">
        <f>(SUMIF('Prior Year'!$A:$A,$B245,'Prior Year'!J:J))/1000</f>
        <v>-700.9</v>
      </c>
      <c r="J245" s="27">
        <f>(SUMIF('Prior Year'!$A:$A,$B245,'Prior Year'!K:K))/1000</f>
        <v>-700.9</v>
      </c>
      <c r="K245" s="27">
        <f>(SUMIF('Prior Year'!$A:$A,$B245,'Prior Year'!L:L))/1000</f>
        <v>-700.9</v>
      </c>
      <c r="L245" s="27">
        <f>(SUMIF('Prior Year'!$A:$A,$B245,'Prior Year'!M:M))/1000</f>
        <v>-700.9</v>
      </c>
      <c r="M245" s="27">
        <f>(SUMIF('Prior Year'!$A:$A,$B245,'Prior Year'!N:N))/1000</f>
        <v>-700.9</v>
      </c>
      <c r="N245" s="27">
        <f>(SUMIF('Prior Year'!$A:$A,$B245,'Prior Year'!O:O))/1000</f>
        <v>-700.9</v>
      </c>
      <c r="O245" s="27">
        <f>(SUMIF('Prior Year'!$A:$A,$B245,'Prior Year'!P:P))/1000</f>
        <v>-700.9</v>
      </c>
      <c r="P245" s="27">
        <f>(SUMIF('Prior Year'!$A:$A,$B245,'Prior Year'!Q:Q))/1000</f>
        <v>-700.9</v>
      </c>
      <c r="Q245" s="27">
        <f>(SUMIF('Prior Year'!$A:$A,$B245,'Prior Year'!R:R))/1000</f>
        <v>-700.9</v>
      </c>
      <c r="R245" s="27">
        <f>(SUMIF('Prior Year'!$A:$A,$B245,'Prior Year'!S:S))/1000</f>
        <v>-700.9</v>
      </c>
      <c r="S245" s="150">
        <f t="shared" si="31"/>
        <v>-700.90157769230746</v>
      </c>
      <c r="T245" s="144" t="s">
        <v>421</v>
      </c>
    </row>
    <row r="246" spans="1:20" ht="15" hidden="1" customHeight="1">
      <c r="A246" s="142">
        <v>19</v>
      </c>
      <c r="B246" s="35" t="s">
        <v>441</v>
      </c>
      <c r="C246" s="14" t="s">
        <v>442</v>
      </c>
      <c r="D246" s="142"/>
      <c r="E246" s="142"/>
      <c r="F246" s="27">
        <f>(SUMIF('Prior Year'!$A:$A,$B246,'Prior Year'!G:G))/1000</f>
        <v>218642.89891999998</v>
      </c>
      <c r="G246" s="27">
        <f>(SUMIF('Prior Year'!$A:$A,$B246,'Prior Year'!H:H))/1000</f>
        <v>246088.18720544298</v>
      </c>
      <c r="H246" s="27">
        <f>(SUMIF('Prior Year'!$A:$A,$B246,'Prior Year'!I:I))/1000</f>
        <v>182452.96457003098</v>
      </c>
      <c r="I246" s="27">
        <f>(SUMIF('Prior Year'!$A:$A,$B246,'Prior Year'!J:J))/1000</f>
        <v>199497.08512180598</v>
      </c>
      <c r="J246" s="27">
        <f>(SUMIF('Prior Year'!$A:$A,$B246,'Prior Year'!K:K))/1000</f>
        <v>229809.985854189</v>
      </c>
      <c r="K246" s="27">
        <f>(SUMIF('Prior Year'!$A:$A,$B246,'Prior Year'!L:L))/1000</f>
        <v>207289.08195145099</v>
      </c>
      <c r="L246" s="27">
        <f>(SUMIF('Prior Year'!$A:$A,$B246,'Prior Year'!M:M))/1000</f>
        <v>256867.93939724902</v>
      </c>
      <c r="M246" s="27">
        <f>(SUMIF('Prior Year'!$A:$A,$B246,'Prior Year'!N:N))/1000</f>
        <v>313384.96753623598</v>
      </c>
      <c r="N246" s="27">
        <f>(SUMIF('Prior Year'!$A:$A,$B246,'Prior Year'!O:O))/1000</f>
        <v>248261.03510493002</v>
      </c>
      <c r="O246" s="27">
        <f>(SUMIF('Prior Year'!$A:$A,$B246,'Prior Year'!P:P))/1000</f>
        <v>303010.90593296301</v>
      </c>
      <c r="P246" s="27">
        <f>(SUMIF('Prior Year'!$A:$A,$B246,'Prior Year'!Q:Q))/1000</f>
        <v>343126.93084127299</v>
      </c>
      <c r="Q246" s="27">
        <f>(SUMIF('Prior Year'!$A:$A,$B246,'Prior Year'!R:R))/1000</f>
        <v>198474.812884215</v>
      </c>
      <c r="R246" s="27">
        <f>(SUMIF('Prior Year'!$A:$A,$B246,'Prior Year'!S:S))/1000</f>
        <v>220252.162617942</v>
      </c>
      <c r="S246" s="150">
        <f t="shared" si="31"/>
        <v>243627.61214905599</v>
      </c>
      <c r="T246" s="144" t="s">
        <v>421</v>
      </c>
    </row>
    <row r="247" spans="1:20" ht="15" hidden="1" customHeight="1">
      <c r="A247" s="142">
        <v>20</v>
      </c>
      <c r="B247" s="35" t="s">
        <v>443</v>
      </c>
      <c r="C247" s="14" t="s">
        <v>444</v>
      </c>
      <c r="D247" s="142"/>
      <c r="E247" s="142"/>
      <c r="F247" s="32">
        <f>(SUMIF('Prior Year'!$A:$A,$B247,'Prior Year'!G:G))/1000</f>
        <v>-737.78826000000004</v>
      </c>
      <c r="G247" s="32">
        <f>(SUMIF('Prior Year'!$A:$A,$B247,'Prior Year'!H:H))/1000</f>
        <v>-729.6417300004</v>
      </c>
      <c r="H247" s="32">
        <f>(SUMIF('Prior Year'!$A:$A,$B247,'Prior Year'!I:I))/1000</f>
        <v>-721.49076000039997</v>
      </c>
      <c r="I247" s="32">
        <f>(SUMIF('Prior Year'!$A:$A,$B247,'Prior Year'!J:J))/1000</f>
        <v>-713.33979000040006</v>
      </c>
      <c r="J247" s="32">
        <f>(SUMIF('Prior Year'!$A:$A,$B247,'Prior Year'!K:K))/1000</f>
        <v>-705.18882000039991</v>
      </c>
      <c r="K247" s="32">
        <f>(SUMIF('Prior Year'!$A:$A,$B247,'Prior Year'!L:L))/1000</f>
        <v>-697.03785000029995</v>
      </c>
      <c r="L247" s="32">
        <f>(SUMIF('Prior Year'!$A:$A,$B247,'Prior Year'!M:M))/1000</f>
        <v>-688.88688000030004</v>
      </c>
      <c r="M247" s="32">
        <f>(SUMIF('Prior Year'!$A:$A,$B247,'Prior Year'!N:N))/1000</f>
        <v>-680.73591000030001</v>
      </c>
      <c r="N247" s="32">
        <f>(SUMIF('Prior Year'!$A:$A,$B247,'Prior Year'!O:O))/1000</f>
        <v>-672.58494000029998</v>
      </c>
      <c r="O247" s="32">
        <f>(SUMIF('Prior Year'!$A:$A,$B247,'Prior Year'!P:P))/1000</f>
        <v>-664.43397000029995</v>
      </c>
      <c r="P247" s="32">
        <f>(SUMIF('Prior Year'!$A:$A,$B247,'Prior Year'!Q:Q))/1000</f>
        <v>-656.28300000030004</v>
      </c>
      <c r="Q247" s="32">
        <f>(SUMIF('Prior Year'!$A:$A,$B247,'Prior Year'!R:R))/1000</f>
        <v>-648.13203000030001</v>
      </c>
      <c r="R247" s="32">
        <f>(SUMIF('Prior Year'!$A:$A,$B247,'Prior Year'!S:S))/1000</f>
        <v>-639.98106000030009</v>
      </c>
      <c r="S247" s="155">
        <f t="shared" si="31"/>
        <v>-688.88653846184627</v>
      </c>
      <c r="T247" s="144" t="s">
        <v>421</v>
      </c>
    </row>
    <row r="248" spans="1:20" ht="15" hidden="1" customHeight="1">
      <c r="A248" s="142">
        <v>21</v>
      </c>
      <c r="B248" s="35"/>
      <c r="C248" s="14"/>
      <c r="D248" s="142" t="s">
        <v>434</v>
      </c>
      <c r="E248" s="142"/>
      <c r="F248" s="27">
        <f>SUM(F243:F247)</f>
        <v>4722741.2278099991</v>
      </c>
      <c r="G248" s="27">
        <f t="shared" ref="G248:S248" si="32">SUM(G243:G247)</f>
        <v>4750194.6454754425</v>
      </c>
      <c r="H248" s="27">
        <f t="shared" si="32"/>
        <v>4986567.5738100298</v>
      </c>
      <c r="I248" s="27">
        <f t="shared" si="32"/>
        <v>5003619.8453318048</v>
      </c>
      <c r="J248" s="27">
        <f t="shared" si="32"/>
        <v>5033940.8970341878</v>
      </c>
      <c r="K248" s="27">
        <f t="shared" si="32"/>
        <v>5206428.1441014502</v>
      </c>
      <c r="L248" s="27">
        <f t="shared" si="32"/>
        <v>5256015.1525172489</v>
      </c>
      <c r="M248" s="27">
        <f t="shared" si="32"/>
        <v>5312540.3316262355</v>
      </c>
      <c r="N248" s="27">
        <f t="shared" si="32"/>
        <v>5317424.5501649296</v>
      </c>
      <c r="O248" s="27">
        <f t="shared" si="32"/>
        <v>5372182.5719629619</v>
      </c>
      <c r="P248" s="27">
        <f t="shared" si="32"/>
        <v>5412306.7478412716</v>
      </c>
      <c r="Q248" s="27">
        <f t="shared" si="32"/>
        <v>5302662.7808542149</v>
      </c>
      <c r="R248" s="27">
        <f t="shared" si="32"/>
        <v>5324448.2815579418</v>
      </c>
      <c r="S248" s="27">
        <f t="shared" si="32"/>
        <v>5153928.6730836723</v>
      </c>
      <c r="T248" s="142"/>
    </row>
    <row r="249" spans="1:20" ht="15" hidden="1" customHeight="1">
      <c r="A249" s="142">
        <v>22</v>
      </c>
      <c r="B249" s="35"/>
      <c r="C249" s="142"/>
      <c r="D249" s="142"/>
      <c r="E249" s="142"/>
      <c r="F249" s="27"/>
      <c r="G249" s="27"/>
      <c r="H249" s="27"/>
      <c r="I249" s="27"/>
      <c r="J249" s="27"/>
      <c r="K249" s="27"/>
      <c r="L249" s="27"/>
      <c r="M249" s="27"/>
      <c r="N249" s="27"/>
      <c r="O249" s="27"/>
      <c r="P249" s="27"/>
      <c r="Q249" s="27"/>
      <c r="R249" s="27"/>
      <c r="S249" s="27"/>
      <c r="T249" s="142"/>
    </row>
    <row r="250" spans="1:20" ht="15" hidden="1" customHeight="1">
      <c r="A250" s="142">
        <v>23</v>
      </c>
      <c r="B250" s="35"/>
      <c r="C250" s="14" t="s">
        <v>445</v>
      </c>
      <c r="D250" s="142"/>
      <c r="E250" s="142"/>
      <c r="F250" s="27"/>
      <c r="G250" s="27"/>
      <c r="H250" s="27"/>
      <c r="I250" s="27"/>
      <c r="J250" s="27"/>
      <c r="K250" s="27"/>
      <c r="L250" s="27"/>
      <c r="M250" s="27"/>
      <c r="N250" s="27"/>
      <c r="O250" s="27"/>
      <c r="P250" s="27"/>
      <c r="Q250" s="27"/>
      <c r="R250" s="27"/>
      <c r="S250" s="27"/>
      <c r="T250" s="142"/>
    </row>
    <row r="251" spans="1:20" ht="15" hidden="1" customHeight="1">
      <c r="A251" s="142">
        <v>24</v>
      </c>
      <c r="B251" s="142"/>
      <c r="C251" s="142"/>
      <c r="D251" s="142"/>
      <c r="E251" s="142"/>
      <c r="F251" s="142"/>
      <c r="G251" s="142"/>
      <c r="H251" s="142"/>
      <c r="I251" s="142"/>
      <c r="J251" s="142"/>
      <c r="K251" s="142"/>
      <c r="L251" s="142"/>
      <c r="M251" s="142"/>
      <c r="N251" s="142"/>
      <c r="O251" s="142"/>
      <c r="P251" s="142"/>
      <c r="Q251" s="142"/>
      <c r="R251" s="142"/>
      <c r="S251" s="142"/>
      <c r="T251" s="142"/>
    </row>
    <row r="252" spans="1:20" ht="15" hidden="1" customHeight="1">
      <c r="A252" s="142">
        <v>25</v>
      </c>
      <c r="B252" s="35" t="s">
        <v>446</v>
      </c>
      <c r="C252" s="14" t="s">
        <v>447</v>
      </c>
      <c r="D252" s="142"/>
      <c r="E252" s="142"/>
      <c r="F252" s="27">
        <f>(SUMIF('Prior Year'!$A:$A,$B252,'Prior Year'!G:G))/1000</f>
        <v>3775000</v>
      </c>
      <c r="G252" s="27">
        <f>(SUMIF('Prior Year'!$A:$A,$B252,'Prior Year'!H:H))/1000</f>
        <v>4275000</v>
      </c>
      <c r="H252" s="27">
        <f>(SUMIF('Prior Year'!$A:$A,$B252,'Prior Year'!I:I))/1000</f>
        <v>4275000</v>
      </c>
      <c r="I252" s="27">
        <f>(SUMIF('Prior Year'!$A:$A,$B252,'Prior Year'!J:J))/1000</f>
        <v>4275000</v>
      </c>
      <c r="J252" s="27">
        <f>(SUMIF('Prior Year'!$A:$A,$B252,'Prior Year'!K:K))/1000</f>
        <v>4275000</v>
      </c>
      <c r="K252" s="27">
        <f>(SUMIF('Prior Year'!$A:$A,$B252,'Prior Year'!L:L))/1000</f>
        <v>4275000</v>
      </c>
      <c r="L252" s="27">
        <f>(SUMIF('Prior Year'!$A:$A,$B252,'Prior Year'!M:M))/1000</f>
        <v>4275000</v>
      </c>
      <c r="M252" s="27">
        <f>(SUMIF('Prior Year'!$A:$A,$B252,'Prior Year'!N:N))/1000</f>
        <v>3975000</v>
      </c>
      <c r="N252" s="27">
        <f>(SUMIF('Prior Year'!$A:$A,$B252,'Prior Year'!O:O))/1000</f>
        <v>3975000</v>
      </c>
      <c r="O252" s="27">
        <f>(SUMIF('Prior Year'!$A:$A,$B252,'Prior Year'!P:P))/1000</f>
        <v>3975000</v>
      </c>
      <c r="P252" s="27">
        <f>(SUMIF('Prior Year'!$A:$A,$B252,'Prior Year'!Q:Q))/1000</f>
        <v>3975000</v>
      </c>
      <c r="Q252" s="27">
        <f>(SUMIF('Prior Year'!$A:$A,$B252,'Prior Year'!R:R))/1000</f>
        <v>3975000</v>
      </c>
      <c r="R252" s="27">
        <f>(SUMIF('Prior Year'!$A:$A,$B252,'Prior Year'!S:S))/1000</f>
        <v>3975000</v>
      </c>
      <c r="S252" s="150">
        <f t="shared" ref="S252:S254" si="33">AVERAGE(F252:R252)</f>
        <v>4098076.923076923</v>
      </c>
      <c r="T252" s="144" t="s">
        <v>421</v>
      </c>
    </row>
    <row r="253" spans="1:20" ht="15" hidden="1" customHeight="1">
      <c r="A253" s="142">
        <v>26</v>
      </c>
      <c r="B253" s="35" t="s">
        <v>448</v>
      </c>
      <c r="C253" s="14" t="s">
        <v>449</v>
      </c>
      <c r="D253" s="142"/>
      <c r="E253" s="142"/>
      <c r="F253" s="27">
        <f>(SUMIF('Prior Year'!$A:$A,$B253,'Prior Year'!G:G))/1000</f>
        <v>0</v>
      </c>
      <c r="G253" s="27">
        <f>(SUMIF('Prior Year'!$A:$A,$B253,'Prior Year'!H:H))/1000</f>
        <v>0</v>
      </c>
      <c r="H253" s="27">
        <f>(SUMIF('Prior Year'!$A:$A,$B253,'Prior Year'!I:I))/1000</f>
        <v>0</v>
      </c>
      <c r="I253" s="27">
        <f>(SUMIF('Prior Year'!$A:$A,$B253,'Prior Year'!J:J))/1000</f>
        <v>0</v>
      </c>
      <c r="J253" s="27">
        <f>(SUMIF('Prior Year'!$A:$A,$B253,'Prior Year'!K:K))/1000</f>
        <v>0</v>
      </c>
      <c r="K253" s="27">
        <f>(SUMIF('Prior Year'!$A:$A,$B253,'Prior Year'!L:L))/1000</f>
        <v>0</v>
      </c>
      <c r="L253" s="27">
        <f>(SUMIF('Prior Year'!$A:$A,$B253,'Prior Year'!M:M))/1000</f>
        <v>0</v>
      </c>
      <c r="M253" s="27">
        <f>(SUMIF('Prior Year'!$A:$A,$B253,'Prior Year'!N:N))/1000</f>
        <v>0</v>
      </c>
      <c r="N253" s="27">
        <f>(SUMIF('Prior Year'!$A:$A,$B253,'Prior Year'!O:O))/1000</f>
        <v>0</v>
      </c>
      <c r="O253" s="27">
        <f>(SUMIF('Prior Year'!$A:$A,$B253,'Prior Year'!P:P))/1000</f>
        <v>0</v>
      </c>
      <c r="P253" s="27">
        <f>(SUMIF('Prior Year'!$A:$A,$B253,'Prior Year'!Q:Q))/1000</f>
        <v>0</v>
      </c>
      <c r="Q253" s="27">
        <f>(SUMIF('Prior Year'!$A:$A,$B253,'Prior Year'!R:R))/1000</f>
        <v>0</v>
      </c>
      <c r="R253" s="27">
        <f>(SUMIF('Prior Year'!$A:$A,$B253,'Prior Year'!S:S))/1000</f>
        <v>0</v>
      </c>
      <c r="S253" s="150">
        <f t="shared" si="33"/>
        <v>0</v>
      </c>
      <c r="T253" s="144" t="s">
        <v>421</v>
      </c>
    </row>
    <row r="254" spans="1:20" ht="15" hidden="1" customHeight="1">
      <c r="A254" s="142">
        <v>27</v>
      </c>
      <c r="B254" s="35" t="s">
        <v>450</v>
      </c>
      <c r="C254" s="14" t="s">
        <v>451</v>
      </c>
      <c r="D254" s="142"/>
      <c r="E254" s="142"/>
      <c r="F254" s="32">
        <f>(SUMIF('Prior Year'!$A:$A,$B254,'Prior Year'!G:G))/1000</f>
        <v>-10645.719499999999</v>
      </c>
      <c r="G254" s="32">
        <f>(SUMIF('Prior Year'!$A:$A,$B254,'Prior Year'!H:H))/1000</f>
        <v>-13593.814470000001</v>
      </c>
      <c r="H254" s="32">
        <f>(SUMIF('Prior Year'!$A:$A,$B254,'Prior Year'!I:I))/1000</f>
        <v>-13491.909439999999</v>
      </c>
      <c r="I254" s="32">
        <f>(SUMIF('Prior Year'!$A:$A,$B254,'Prior Year'!J:J))/1000</f>
        <v>-13390.00441</v>
      </c>
      <c r="J254" s="32">
        <f>(SUMIF('Prior Year'!$A:$A,$B254,'Prior Year'!K:K))/1000</f>
        <v>-13288.099380000001</v>
      </c>
      <c r="K254" s="32">
        <f>(SUMIF('Prior Year'!$A:$A,$B254,'Prior Year'!L:L))/1000</f>
        <v>-13186.19435</v>
      </c>
      <c r="L254" s="32">
        <f>(SUMIF('Prior Year'!$A:$A,$B254,'Prior Year'!M:M))/1000</f>
        <v>-13084.28932</v>
      </c>
      <c r="M254" s="32">
        <f>(SUMIF('Prior Year'!$A:$A,$B254,'Prior Year'!N:N))/1000</f>
        <v>-12987.150039999999</v>
      </c>
      <c r="N254" s="32">
        <f>(SUMIF('Prior Year'!$A:$A,$B254,'Prior Year'!O:O))/1000</f>
        <v>-12890.010759999999</v>
      </c>
      <c r="O254" s="32">
        <f>(SUMIF('Prior Year'!$A:$A,$B254,'Prior Year'!P:P))/1000</f>
        <v>-12792.87148</v>
      </c>
      <c r="P254" s="32">
        <f>(SUMIF('Prior Year'!$A:$A,$B254,'Prior Year'!Q:Q))/1000</f>
        <v>-12695.732199999999</v>
      </c>
      <c r="Q254" s="32">
        <f>(SUMIF('Prior Year'!$A:$A,$B254,'Prior Year'!R:R))/1000</f>
        <v>-12598.592919999999</v>
      </c>
      <c r="R254" s="32">
        <f>(SUMIF('Prior Year'!$A:$A,$B254,'Prior Year'!S:S))/1000</f>
        <v>-12501.45364</v>
      </c>
      <c r="S254" s="155">
        <f t="shared" si="33"/>
        <v>-12857.372454615384</v>
      </c>
      <c r="T254" s="144" t="s">
        <v>421</v>
      </c>
    </row>
    <row r="255" spans="1:20" ht="15" hidden="1" customHeight="1">
      <c r="A255" s="142">
        <v>28</v>
      </c>
      <c r="B255" s="35"/>
      <c r="C255" s="14"/>
      <c r="D255" s="142" t="s">
        <v>445</v>
      </c>
      <c r="E255" s="142"/>
      <c r="F255" s="27">
        <f>SUM(F252:F254)</f>
        <v>3764354.2804999999</v>
      </c>
      <c r="G255" s="27">
        <f t="shared" ref="G255:S255" si="34">SUM(G252:G254)</f>
        <v>4261406.1855300004</v>
      </c>
      <c r="H255" s="27">
        <f t="shared" si="34"/>
        <v>4261508.0905600004</v>
      </c>
      <c r="I255" s="27">
        <f t="shared" si="34"/>
        <v>4261609.9955900004</v>
      </c>
      <c r="J255" s="27">
        <f t="shared" si="34"/>
        <v>4261711.9006200004</v>
      </c>
      <c r="K255" s="27">
        <f t="shared" si="34"/>
        <v>4261813.8056500005</v>
      </c>
      <c r="L255" s="27">
        <f t="shared" si="34"/>
        <v>4261915.7106799996</v>
      </c>
      <c r="M255" s="27">
        <f t="shared" si="34"/>
        <v>3962012.8499599998</v>
      </c>
      <c r="N255" s="27">
        <f t="shared" si="34"/>
        <v>3962109.98924</v>
      </c>
      <c r="O255" s="27">
        <f t="shared" si="34"/>
        <v>3962207.1285199998</v>
      </c>
      <c r="P255" s="27">
        <f t="shared" si="34"/>
        <v>3962304.2678</v>
      </c>
      <c r="Q255" s="27">
        <f t="shared" si="34"/>
        <v>3962401.4070799998</v>
      </c>
      <c r="R255" s="27">
        <f t="shared" si="34"/>
        <v>3962498.54636</v>
      </c>
      <c r="S255" s="27">
        <f t="shared" si="34"/>
        <v>4085219.5506223077</v>
      </c>
      <c r="T255" s="142"/>
    </row>
    <row r="256" spans="1:20" ht="15" hidden="1" customHeight="1">
      <c r="A256" s="142">
        <v>29</v>
      </c>
      <c r="B256" s="142"/>
      <c r="C256" s="142"/>
      <c r="D256" s="142"/>
      <c r="E256" s="142"/>
      <c r="F256" s="142"/>
      <c r="G256" s="142"/>
      <c r="H256" s="142"/>
      <c r="I256" s="142"/>
      <c r="J256" s="142"/>
      <c r="K256" s="142"/>
      <c r="L256" s="142"/>
      <c r="M256" s="142"/>
      <c r="N256" s="142"/>
      <c r="O256" s="142"/>
      <c r="P256" s="142"/>
      <c r="Q256" s="142"/>
      <c r="R256" s="142"/>
      <c r="S256" s="142"/>
      <c r="T256" s="142"/>
    </row>
    <row r="257" spans="1:20" ht="15" hidden="1" customHeight="1">
      <c r="A257" s="142">
        <v>30</v>
      </c>
      <c r="B257" s="35"/>
      <c r="C257" s="14"/>
      <c r="D257" s="142"/>
      <c r="E257" s="142"/>
      <c r="F257" s="27"/>
      <c r="G257" s="27"/>
      <c r="H257" s="27"/>
      <c r="I257" s="27"/>
      <c r="J257" s="27"/>
      <c r="K257" s="27"/>
      <c r="L257" s="27"/>
      <c r="M257" s="27"/>
      <c r="N257" s="27"/>
      <c r="O257" s="27"/>
      <c r="P257" s="27"/>
      <c r="Q257" s="27"/>
      <c r="R257" s="27"/>
      <c r="S257" s="27"/>
      <c r="T257" s="142"/>
    </row>
    <row r="258" spans="1:20" ht="15" hidden="1" customHeight="1">
      <c r="A258" s="142">
        <v>31</v>
      </c>
      <c r="B258" s="142"/>
      <c r="C258" s="142"/>
      <c r="D258" s="142"/>
      <c r="E258" s="142"/>
      <c r="F258" s="142"/>
      <c r="G258" s="142"/>
      <c r="H258" s="142"/>
      <c r="I258" s="142"/>
      <c r="J258" s="142"/>
      <c r="K258" s="142"/>
      <c r="L258" s="142"/>
      <c r="M258" s="142"/>
      <c r="N258" s="142"/>
      <c r="O258" s="142"/>
      <c r="P258" s="142"/>
      <c r="Q258" s="142"/>
      <c r="R258" s="142"/>
      <c r="S258" s="142"/>
      <c r="T258" s="142"/>
    </row>
    <row r="259" spans="1:20" ht="15" hidden="1" customHeight="1">
      <c r="A259" s="142">
        <v>32</v>
      </c>
      <c r="B259" s="142"/>
      <c r="C259" s="142"/>
      <c r="D259" s="142"/>
      <c r="E259" s="142"/>
      <c r="F259" s="142"/>
      <c r="G259" s="142"/>
      <c r="H259" s="142"/>
      <c r="I259" s="142"/>
      <c r="J259" s="142"/>
      <c r="K259" s="142"/>
      <c r="L259" s="142"/>
      <c r="M259" s="142"/>
      <c r="N259" s="142"/>
      <c r="O259" s="142"/>
      <c r="P259" s="142"/>
      <c r="Q259" s="142"/>
      <c r="R259" s="142"/>
      <c r="S259" s="142"/>
      <c r="T259" s="142"/>
    </row>
    <row r="260" spans="1:20" ht="15" hidden="1" customHeight="1">
      <c r="A260" s="142">
        <v>33</v>
      </c>
      <c r="B260" s="142"/>
      <c r="C260" s="142"/>
      <c r="D260" s="142"/>
      <c r="E260" s="142"/>
      <c r="F260" s="142"/>
      <c r="G260" s="142"/>
      <c r="H260" s="142"/>
      <c r="I260" s="142"/>
      <c r="J260" s="142"/>
      <c r="K260" s="142"/>
      <c r="L260" s="142"/>
      <c r="M260" s="142"/>
      <c r="N260" s="142"/>
      <c r="O260" s="142"/>
      <c r="P260" s="142"/>
      <c r="Q260" s="142"/>
      <c r="R260" s="142"/>
      <c r="S260" s="142"/>
      <c r="T260" s="142"/>
    </row>
    <row r="261" spans="1:20" ht="15" hidden="1" customHeight="1">
      <c r="A261" s="142">
        <v>34</v>
      </c>
      <c r="B261" s="142"/>
      <c r="C261" s="142"/>
      <c r="D261" s="142"/>
      <c r="E261" s="142"/>
      <c r="F261" s="142"/>
      <c r="G261" s="142"/>
      <c r="H261" s="142"/>
      <c r="I261" s="142"/>
      <c r="J261" s="142"/>
      <c r="K261" s="142"/>
      <c r="L261" s="142"/>
      <c r="M261" s="142"/>
      <c r="N261" s="142"/>
      <c r="O261" s="142"/>
      <c r="P261" s="142"/>
      <c r="Q261" s="142"/>
      <c r="R261" s="142"/>
      <c r="S261" s="142"/>
      <c r="T261" s="142"/>
    </row>
    <row r="262" spans="1:20" ht="15" hidden="1" customHeight="1">
      <c r="A262" s="142">
        <v>35</v>
      </c>
      <c r="B262" s="142"/>
      <c r="C262" s="142"/>
      <c r="D262" s="142"/>
      <c r="E262" s="142"/>
      <c r="F262" s="142"/>
      <c r="G262" s="142"/>
      <c r="H262" s="142"/>
      <c r="I262" s="142"/>
      <c r="J262" s="142"/>
      <c r="K262" s="142"/>
      <c r="L262" s="142"/>
      <c r="M262" s="142"/>
      <c r="N262" s="142"/>
      <c r="O262" s="142"/>
      <c r="P262" s="142"/>
      <c r="Q262" s="142"/>
      <c r="R262" s="142"/>
      <c r="S262" s="142"/>
      <c r="T262" s="142"/>
    </row>
    <row r="263" spans="1:20" ht="15" hidden="1" customHeight="1">
      <c r="A263" s="142">
        <v>36</v>
      </c>
      <c r="B263" s="142"/>
      <c r="C263" s="14"/>
      <c r="D263" s="142"/>
      <c r="E263" s="142"/>
      <c r="F263" s="27"/>
      <c r="G263" s="161"/>
      <c r="H263" s="161"/>
      <c r="I263" s="161"/>
      <c r="J263" s="161"/>
      <c r="K263" s="161"/>
      <c r="L263" s="161"/>
      <c r="M263" s="161"/>
      <c r="N263" s="161"/>
      <c r="O263" s="161"/>
      <c r="P263" s="161"/>
      <c r="Q263" s="161"/>
      <c r="R263" s="161"/>
      <c r="S263" s="161"/>
      <c r="T263" s="142"/>
    </row>
    <row r="264" spans="1:20" ht="15" hidden="1" customHeight="1">
      <c r="A264" s="142">
        <v>37</v>
      </c>
      <c r="B264" s="142"/>
      <c r="C264" s="14"/>
      <c r="D264" s="142"/>
      <c r="E264" s="142"/>
      <c r="F264" s="27"/>
      <c r="G264" s="161"/>
      <c r="H264" s="161"/>
      <c r="I264" s="161"/>
      <c r="J264" s="161"/>
      <c r="K264" s="161"/>
      <c r="L264" s="161"/>
      <c r="M264" s="161"/>
      <c r="N264" s="161"/>
      <c r="O264" s="161"/>
      <c r="P264" s="161"/>
      <c r="Q264" s="161"/>
      <c r="R264" s="161"/>
      <c r="S264" s="161"/>
      <c r="T264" s="142"/>
    </row>
    <row r="265" spans="1:20" ht="15" hidden="1" customHeight="1">
      <c r="A265" s="142">
        <v>38</v>
      </c>
      <c r="B265" s="142"/>
      <c r="C265" s="14"/>
      <c r="D265" s="142"/>
      <c r="E265" s="142"/>
      <c r="F265" s="27"/>
      <c r="G265" s="161"/>
      <c r="H265" s="161"/>
      <c r="I265" s="161"/>
      <c r="J265" s="161"/>
      <c r="K265" s="161"/>
      <c r="L265" s="161"/>
      <c r="M265" s="161"/>
      <c r="N265" s="161"/>
      <c r="O265" s="161"/>
      <c r="P265" s="161"/>
      <c r="Q265" s="161"/>
      <c r="R265" s="161"/>
      <c r="S265" s="161"/>
      <c r="T265" s="142"/>
    </row>
    <row r="266" spans="1:20" ht="15" hidden="1" customHeight="1">
      <c r="A266" s="142">
        <v>39</v>
      </c>
      <c r="B266" s="142"/>
      <c r="C266" s="14"/>
      <c r="D266" s="142"/>
      <c r="E266" s="142"/>
      <c r="F266" s="27"/>
      <c r="G266" s="161"/>
      <c r="H266" s="161"/>
      <c r="I266" s="161"/>
      <c r="J266" s="161"/>
      <c r="K266" s="161"/>
      <c r="L266" s="161"/>
      <c r="M266" s="161"/>
      <c r="N266" s="161"/>
      <c r="O266" s="161"/>
      <c r="P266" s="161"/>
      <c r="Q266" s="161"/>
      <c r="R266" s="161"/>
      <c r="S266" s="161"/>
      <c r="T266" s="142"/>
    </row>
    <row r="267" spans="1:20" ht="15" hidden="1" customHeight="1">
      <c r="A267" s="142">
        <v>40</v>
      </c>
      <c r="B267" s="142"/>
      <c r="C267" s="14"/>
      <c r="D267" s="142"/>
      <c r="E267" s="142"/>
      <c r="F267" s="27"/>
      <c r="G267" s="161"/>
      <c r="H267" s="161"/>
      <c r="I267" s="161"/>
      <c r="J267" s="161"/>
      <c r="K267" s="161"/>
      <c r="L267" s="161"/>
      <c r="M267" s="161"/>
      <c r="N267" s="161"/>
      <c r="O267" s="161"/>
      <c r="P267" s="161"/>
      <c r="Q267" s="161"/>
      <c r="R267" s="161"/>
      <c r="S267" s="161"/>
      <c r="T267" s="142"/>
    </row>
    <row r="268" spans="1:20" ht="15" hidden="1" customHeight="1">
      <c r="A268" s="142">
        <v>41</v>
      </c>
      <c r="B268" s="142"/>
      <c r="C268" s="142"/>
      <c r="D268" s="142"/>
      <c r="E268" s="142"/>
      <c r="F268" s="142"/>
      <c r="G268" s="142"/>
      <c r="H268" s="142"/>
      <c r="I268" s="142"/>
      <c r="J268" s="142"/>
      <c r="K268" s="142"/>
      <c r="L268" s="142"/>
      <c r="M268" s="142"/>
      <c r="N268" s="142"/>
      <c r="O268" s="142"/>
      <c r="P268" s="142"/>
      <c r="Q268" s="142"/>
      <c r="R268" s="142"/>
      <c r="S268" s="142"/>
      <c r="T268" s="142"/>
    </row>
    <row r="269" spans="1:20" ht="15" hidden="1" customHeight="1">
      <c r="A269" s="142">
        <v>42</v>
      </c>
      <c r="B269" s="142" t="s">
        <v>417</v>
      </c>
      <c r="C269" s="4"/>
      <c r="D269" s="4"/>
      <c r="E269" s="4"/>
      <c r="F269" s="37"/>
      <c r="G269" s="37"/>
      <c r="H269" s="37"/>
      <c r="I269" s="37"/>
      <c r="J269" s="37"/>
      <c r="K269" s="37"/>
      <c r="L269" s="37"/>
      <c r="M269" s="37"/>
      <c r="N269" s="37"/>
      <c r="O269" s="37"/>
      <c r="P269" s="37"/>
      <c r="Q269" s="37"/>
    </row>
    <row r="270" spans="1:20" ht="15" hidden="1" customHeight="1" thickBot="1">
      <c r="A270" s="145">
        <v>43</v>
      </c>
      <c r="B270" s="145" t="s">
        <v>67</v>
      </c>
      <c r="C270" s="1"/>
      <c r="D270" s="1"/>
      <c r="E270" s="1"/>
      <c r="F270" s="1"/>
      <c r="G270" s="1"/>
      <c r="H270" s="1"/>
      <c r="I270" s="1"/>
      <c r="J270" s="1"/>
      <c r="K270" s="1"/>
      <c r="L270" s="1"/>
      <c r="M270" s="1"/>
      <c r="N270" s="1"/>
      <c r="O270" s="1"/>
      <c r="P270" s="1"/>
      <c r="Q270" s="1"/>
      <c r="R270" s="1"/>
      <c r="S270" s="1"/>
      <c r="T270" s="100"/>
    </row>
    <row r="271" spans="1:20" ht="15" hidden="1" customHeight="1">
      <c r="A271" s="4" t="str">
        <f>+$A$217</f>
        <v>Supporting Schedules:</v>
      </c>
      <c r="B271" s="5"/>
      <c r="C271" s="5"/>
      <c r="D271" s="5"/>
      <c r="E271" s="5"/>
      <c r="F271" s="5"/>
      <c r="G271" s="5"/>
      <c r="H271" s="5"/>
      <c r="I271" s="5"/>
      <c r="J271" s="5"/>
      <c r="K271" s="5"/>
      <c r="L271" s="5"/>
      <c r="M271" s="5"/>
      <c r="N271" s="5"/>
      <c r="O271" s="5"/>
      <c r="P271" s="5"/>
      <c r="Q271" s="5"/>
      <c r="R271" s="5" t="s">
        <v>181</v>
      </c>
      <c r="S271" s="5"/>
      <c r="T271" s="5"/>
    </row>
    <row r="272" spans="1:20" ht="15" hidden="1" customHeight="1" thickBot="1">
      <c r="A272" s="1" t="str">
        <f>+$A$164</f>
        <v>SCHEDULE B-3</v>
      </c>
      <c r="B272" s="1"/>
      <c r="C272" s="1"/>
      <c r="D272" s="1"/>
      <c r="E272" s="1"/>
      <c r="F272" s="1"/>
      <c r="G272" s="1"/>
      <c r="H272" s="1"/>
      <c r="I272" s="1" t="str">
        <f>+$I$164</f>
        <v>13 MONTH AVERAGE BALANCE SHEET - SYSTEM BASIS</v>
      </c>
      <c r="J272" s="1"/>
      <c r="K272" s="1"/>
      <c r="L272" s="1"/>
      <c r="M272" s="1"/>
      <c r="N272" s="1"/>
      <c r="O272" s="1"/>
      <c r="P272" s="1"/>
      <c r="Q272" s="1"/>
      <c r="R272" s="1"/>
      <c r="S272" s="1"/>
      <c r="T272" s="3" t="s">
        <v>499</v>
      </c>
    </row>
    <row r="273" spans="1:20" ht="15" hidden="1" customHeight="1">
      <c r="A273" s="4" t="s">
        <v>4</v>
      </c>
      <c r="B273" s="4"/>
      <c r="C273" s="4"/>
      <c r="D273" s="4"/>
      <c r="E273" s="4"/>
      <c r="F273" s="4" t="s">
        <v>343</v>
      </c>
      <c r="G273" s="4" t="str">
        <f>+$G$165</f>
        <v>Derive the 13-month average system balance sheet by primary account by month for the test year, the prior year</v>
      </c>
      <c r="H273" s="5"/>
      <c r="I273" s="5"/>
      <c r="J273" s="6"/>
      <c r="K273" s="6"/>
      <c r="L273" s="4"/>
      <c r="M273" s="6"/>
      <c r="N273" s="6"/>
      <c r="O273" s="6"/>
      <c r="P273" s="6"/>
      <c r="Q273" s="6" t="s">
        <v>7</v>
      </c>
      <c r="R273" s="4"/>
      <c r="S273" s="4"/>
      <c r="T273" s="7"/>
    </row>
    <row r="274" spans="1:20" ht="15" hidden="1" customHeight="1">
      <c r="A274" s="4"/>
      <c r="B274" s="4"/>
      <c r="C274" s="4"/>
      <c r="D274" s="4"/>
      <c r="E274" s="4"/>
      <c r="F274" s="4"/>
      <c r="G274" s="4" t="str">
        <f>+$G$166</f>
        <v>and the most recent historical year.  For accounts including non-electric utility amounts, show these</v>
      </c>
      <c r="H274" s="5"/>
      <c r="I274" s="5"/>
      <c r="J274" s="9"/>
      <c r="K274" s="7"/>
      <c r="L274" s="4"/>
      <c r="M274" s="4"/>
      <c r="N274" s="4"/>
      <c r="O274" s="4"/>
      <c r="P274" s="9"/>
      <c r="R274" s="7" t="str">
        <f>+$R$166</f>
        <v>Projected Test Year Ended 12/31/2025</v>
      </c>
      <c r="S274" s="4"/>
      <c r="T274" s="9"/>
    </row>
    <row r="275" spans="1:20" ht="15" hidden="1" customHeight="1">
      <c r="A275" s="4" t="s">
        <v>10</v>
      </c>
      <c r="B275" s="4"/>
      <c r="C275" s="4"/>
      <c r="D275" s="4"/>
      <c r="E275" s="4"/>
      <c r="F275" s="4"/>
      <c r="G275" s="4" t="str">
        <f>+$G$167</f>
        <v>amounts as a separate sub-account.</v>
      </c>
      <c r="H275" s="4"/>
      <c r="I275" s="4"/>
      <c r="J275" s="9"/>
      <c r="K275" s="7"/>
      <c r="L275" s="9"/>
      <c r="M275" s="4"/>
      <c r="N275" s="4"/>
      <c r="O275" s="4"/>
      <c r="P275" s="4"/>
      <c r="Q275" s="9" t="s">
        <v>12</v>
      </c>
      <c r="R275" s="7" t="str">
        <f>+$R$167</f>
        <v>Projected Prior Year Ended 12/31/2024</v>
      </c>
      <c r="S275" s="4"/>
      <c r="T275" s="9"/>
    </row>
    <row r="276" spans="1:20" ht="15" hidden="1" customHeight="1">
      <c r="A276" s="4"/>
      <c r="B276" s="4"/>
      <c r="C276" s="4"/>
      <c r="D276" s="4"/>
      <c r="E276" s="4"/>
      <c r="F276" s="4"/>
      <c r="G276" s="4"/>
      <c r="H276" s="4"/>
      <c r="I276" s="4"/>
      <c r="J276" s="9"/>
      <c r="K276" s="7"/>
      <c r="L276" s="9"/>
      <c r="M276" s="4"/>
      <c r="N276" s="4"/>
      <c r="O276" s="4"/>
      <c r="P276" s="4"/>
      <c r="R276" s="7" t="str">
        <f>+$R$168</f>
        <v>Historical Prior Year Ended 12/31/2023</v>
      </c>
      <c r="S276" s="4"/>
      <c r="T276" s="9"/>
    </row>
    <row r="277" spans="1:20" ht="15" hidden="1" customHeight="1" thickBot="1">
      <c r="A277" s="2" t="str">
        <f>A114</f>
        <v>Docket No.</v>
      </c>
      <c r="B277" s="2"/>
      <c r="C277" s="1"/>
      <c r="D277" s="1"/>
      <c r="E277" s="1"/>
      <c r="F277" s="1"/>
      <c r="G277" s="1"/>
      <c r="H277" s="1"/>
      <c r="I277" s="2" t="s">
        <v>15</v>
      </c>
      <c r="J277" s="10"/>
      <c r="K277" s="1"/>
      <c r="L277" s="1"/>
      <c r="M277" s="1"/>
      <c r="N277" s="1"/>
      <c r="O277" s="1"/>
      <c r="P277" s="1"/>
      <c r="Q277" s="1"/>
      <c r="R277" s="2" t="str">
        <f>R223</f>
        <v>Witness:</v>
      </c>
      <c r="S277" s="1"/>
      <c r="T277" s="1"/>
    </row>
    <row r="278" spans="1:20" ht="15" hidden="1" customHeight="1">
      <c r="A278" s="142"/>
      <c r="B278" s="142"/>
      <c r="C278" s="143"/>
      <c r="D278" s="143"/>
      <c r="E278" s="143"/>
      <c r="F278" s="143" t="s">
        <v>17</v>
      </c>
      <c r="G278" s="143" t="s">
        <v>18</v>
      </c>
      <c r="H278" s="143" t="s">
        <v>19</v>
      </c>
      <c r="I278" s="143" t="s">
        <v>20</v>
      </c>
      <c r="J278" s="143" t="s">
        <v>21</v>
      </c>
      <c r="K278" s="143" t="s">
        <v>22</v>
      </c>
      <c r="L278" s="143" t="s">
        <v>23</v>
      </c>
      <c r="M278" s="143" t="s">
        <v>24</v>
      </c>
      <c r="N278" s="143" t="s">
        <v>25</v>
      </c>
      <c r="O278" s="143" t="s">
        <v>26</v>
      </c>
      <c r="P278" s="143" t="s">
        <v>348</v>
      </c>
      <c r="Q278" s="143" t="s">
        <v>349</v>
      </c>
      <c r="R278" s="143" t="s">
        <v>350</v>
      </c>
      <c r="S278" s="143" t="s">
        <v>351</v>
      </c>
      <c r="T278" s="143" t="s">
        <v>352</v>
      </c>
    </row>
    <row r="279" spans="1:20" ht="15" hidden="1" customHeight="1">
      <c r="A279" s="142"/>
      <c r="B279" s="142"/>
      <c r="C279" s="142"/>
      <c r="D279" s="142"/>
      <c r="E279" s="142"/>
      <c r="F279" s="144"/>
      <c r="G279" s="144"/>
      <c r="H279" s="144"/>
      <c r="I279" s="144"/>
      <c r="J279" s="144"/>
      <c r="K279" s="144"/>
      <c r="L279" s="144"/>
      <c r="M279" s="144"/>
      <c r="N279" s="144"/>
      <c r="O279" s="144"/>
      <c r="P279" s="144"/>
      <c r="Q279" s="144"/>
      <c r="R279" s="144"/>
      <c r="S279" s="144" t="s">
        <v>353</v>
      </c>
      <c r="T279" s="144" t="s">
        <v>354</v>
      </c>
    </row>
    <row r="280" spans="1:20" ht="15" hidden="1" customHeight="1">
      <c r="A280" s="142" t="s">
        <v>35</v>
      </c>
      <c r="B280" s="144" t="s">
        <v>355</v>
      </c>
      <c r="C280" s="144" t="s">
        <v>356</v>
      </c>
      <c r="D280" s="144"/>
      <c r="E280" s="144"/>
      <c r="F280" s="144" t="s">
        <v>357</v>
      </c>
      <c r="G280" s="144" t="s">
        <v>358</v>
      </c>
      <c r="H280" s="144" t="s">
        <v>359</v>
      </c>
      <c r="I280" s="144" t="s">
        <v>360</v>
      </c>
      <c r="J280" s="144" t="s">
        <v>361</v>
      </c>
      <c r="K280" s="144" t="s">
        <v>362</v>
      </c>
      <c r="L280" s="144" t="s">
        <v>363</v>
      </c>
      <c r="M280" s="144" t="s">
        <v>364</v>
      </c>
      <c r="N280" s="144" t="s">
        <v>365</v>
      </c>
      <c r="O280" s="144" t="s">
        <v>366</v>
      </c>
      <c r="P280" s="144" t="s">
        <v>367</v>
      </c>
      <c r="Q280" s="144" t="s">
        <v>368</v>
      </c>
      <c r="R280" s="144" t="s">
        <v>357</v>
      </c>
      <c r="S280" s="144" t="s">
        <v>369</v>
      </c>
      <c r="T280" s="144" t="s">
        <v>370</v>
      </c>
    </row>
    <row r="281" spans="1:20" ht="15" hidden="1" customHeight="1" thickBot="1">
      <c r="A281" s="145" t="s">
        <v>46</v>
      </c>
      <c r="B281" s="146" t="s">
        <v>371</v>
      </c>
      <c r="C281" s="146" t="s">
        <v>372</v>
      </c>
      <c r="D281" s="146"/>
      <c r="E281" s="146"/>
      <c r="F281" s="147">
        <f>F173</f>
        <v>2023</v>
      </c>
      <c r="G281" s="147">
        <f t="shared" ref="G281:S281" si="35">G173</f>
        <v>2024</v>
      </c>
      <c r="H281" s="147">
        <f t="shared" si="35"/>
        <v>2024</v>
      </c>
      <c r="I281" s="147">
        <f t="shared" si="35"/>
        <v>2024</v>
      </c>
      <c r="J281" s="147">
        <f t="shared" si="35"/>
        <v>2024</v>
      </c>
      <c r="K281" s="147">
        <f t="shared" si="35"/>
        <v>2024</v>
      </c>
      <c r="L281" s="147">
        <f t="shared" si="35"/>
        <v>2024</v>
      </c>
      <c r="M281" s="147">
        <f t="shared" si="35"/>
        <v>2024</v>
      </c>
      <c r="N281" s="147">
        <f t="shared" si="35"/>
        <v>2024</v>
      </c>
      <c r="O281" s="147">
        <f t="shared" si="35"/>
        <v>2024</v>
      </c>
      <c r="P281" s="147">
        <f t="shared" si="35"/>
        <v>2024</v>
      </c>
      <c r="Q281" s="147">
        <f t="shared" si="35"/>
        <v>2024</v>
      </c>
      <c r="R281" s="147">
        <f t="shared" si="35"/>
        <v>2024</v>
      </c>
      <c r="S281" s="147">
        <f t="shared" si="35"/>
        <v>2024</v>
      </c>
      <c r="T281" s="146" t="s">
        <v>373</v>
      </c>
    </row>
    <row r="282" spans="1:20" ht="15" hidden="1" customHeight="1">
      <c r="A282" s="142">
        <v>1</v>
      </c>
      <c r="B282" s="142"/>
      <c r="C282" s="142" t="s">
        <v>337</v>
      </c>
      <c r="D282" s="142"/>
      <c r="E282" s="142"/>
      <c r="F282" s="142"/>
      <c r="G282" s="142"/>
      <c r="H282" s="142"/>
      <c r="I282" s="142"/>
      <c r="J282" s="142"/>
      <c r="K282" s="142"/>
      <c r="L282" s="142"/>
      <c r="M282" s="142"/>
      <c r="N282" s="142"/>
      <c r="O282" s="142"/>
      <c r="P282" s="142"/>
      <c r="Q282" s="142"/>
      <c r="R282" s="142"/>
      <c r="S282" s="142"/>
      <c r="T282" s="142"/>
    </row>
    <row r="283" spans="1:20" ht="15" hidden="1" customHeight="1">
      <c r="A283" s="142">
        <v>2</v>
      </c>
      <c r="B283" s="86" t="s">
        <v>453</v>
      </c>
      <c r="C283" s="14" t="s">
        <v>296</v>
      </c>
      <c r="D283" s="142"/>
      <c r="E283" s="142"/>
      <c r="F283" s="27">
        <f>(SUMIF('Prior Year'!$A:$A,$B283,'Prior Year'!G:G))/1000</f>
        <v>22880.584179999998</v>
      </c>
      <c r="G283" s="27">
        <f>(SUMIF('Prior Year'!$A:$A,$B283,'Prior Year'!H:H))/1000</f>
        <v>34163.254327925802</v>
      </c>
      <c r="H283" s="27">
        <f>(SUMIF('Prior Year'!$A:$A,$B283,'Prior Year'!I:I))/1000</f>
        <v>34119.322174466703</v>
      </c>
      <c r="I283" s="27">
        <f>(SUMIF('Prior Year'!$A:$A,$B283,'Prior Year'!J:J))/1000</f>
        <v>33632.954918725402</v>
      </c>
      <c r="J283" s="27">
        <f>(SUMIF('Prior Year'!$A:$A,$B283,'Prior Year'!K:K))/1000</f>
        <v>33588.898950708797</v>
      </c>
      <c r="K283" s="27">
        <f>(SUMIF('Prior Year'!$A:$A,$B283,'Prior Year'!L:L))/1000</f>
        <v>33544.238332189801</v>
      </c>
      <c r="L283" s="27">
        <f>(SUMIF('Prior Year'!$A:$A,$B283,'Prior Year'!M:M))/1000</f>
        <v>33053.103239634598</v>
      </c>
      <c r="M283" s="27">
        <f>(SUMIF('Prior Year'!$A:$A,$B283,'Prior Year'!N:N))/1000</f>
        <v>33008.316753909203</v>
      </c>
      <c r="N283" s="27">
        <f>(SUMIF('Prior Year'!$A:$A,$B283,'Prior Year'!O:O))/1000</f>
        <v>32963.467202157102</v>
      </c>
      <c r="O283" s="27">
        <f>(SUMIF('Prior Year'!$A:$A,$B283,'Prior Year'!P:P))/1000</f>
        <v>32465.421085088099</v>
      </c>
      <c r="P283" s="27">
        <f>(SUMIF('Prior Year'!$A:$A,$B283,'Prior Year'!Q:Q))/1000</f>
        <v>32420.445134738799</v>
      </c>
      <c r="Q283" s="27">
        <f>(SUMIF('Prior Year'!$A:$A,$B283,'Prior Year'!R:R))/1000</f>
        <v>32375.405851568597</v>
      </c>
      <c r="R283" s="27">
        <f>(SUMIF('Prior Year'!$A:$A,$B283,'Prior Year'!S:S))/1000</f>
        <v>32374.9976804035</v>
      </c>
      <c r="S283" s="150">
        <f t="shared" ref="S283:S289" si="36">AVERAGE(F283:R283)</f>
        <v>32353.108448578187</v>
      </c>
      <c r="T283" s="144" t="s">
        <v>118</v>
      </c>
    </row>
    <row r="284" spans="1:20" ht="15" hidden="1" customHeight="1">
      <c r="A284" s="142">
        <v>3</v>
      </c>
      <c r="B284" s="86" t="s">
        <v>454</v>
      </c>
      <c r="C284" s="14" t="s">
        <v>338</v>
      </c>
      <c r="D284" s="142"/>
      <c r="E284" s="142"/>
      <c r="F284" s="166">
        <f>(VLOOKUP($B284,'Prior Year'!$B:$U,'Prior Year'!G$5-1,FALSE))/1000</f>
        <v>0</v>
      </c>
      <c r="G284" s="166">
        <f>(VLOOKUP($B284,'Prior Year'!$B:$U,'Prior Year'!H$5-1,FALSE))/1000</f>
        <v>0</v>
      </c>
      <c r="H284" s="166">
        <f>(VLOOKUP($B284,'Prior Year'!$B:$U,'Prior Year'!I$5-1,FALSE))/1000</f>
        <v>0</v>
      </c>
      <c r="I284" s="166">
        <f>(VLOOKUP($B284,'Prior Year'!$B:$U,'Prior Year'!J$5-1,FALSE))/1000</f>
        <v>0</v>
      </c>
      <c r="J284" s="166">
        <f>(VLOOKUP($B284,'Prior Year'!$B:$U,'Prior Year'!K$5-1,FALSE))/1000</f>
        <v>0</v>
      </c>
      <c r="K284" s="166">
        <f>(VLOOKUP($B284,'Prior Year'!$B:$U,'Prior Year'!L$5-1,FALSE))/1000</f>
        <v>1705.2384500000001</v>
      </c>
      <c r="L284" s="166">
        <f>(VLOOKUP($B284,'Prior Year'!$B:$U,'Prior Year'!M$5-1,FALSE))/1000</f>
        <v>2586.5201066667</v>
      </c>
      <c r="M284" s="166">
        <f>(VLOOKUP($B284,'Prior Year'!$B:$U,'Prior Year'!N$5-1,FALSE))/1000</f>
        <v>5364.9790566666998</v>
      </c>
      <c r="N284" s="166">
        <f>(VLOOKUP($B284,'Prior Year'!$B:$U,'Prior Year'!O$5-1,FALSE))/1000</f>
        <v>8127.0818766666998</v>
      </c>
      <c r="O284" s="166">
        <f>(VLOOKUP($B284,'Prior Year'!$B:$U,'Prior Year'!P$5-1,FALSE))/1000</f>
        <v>11105.4091166667</v>
      </c>
      <c r="P284" s="166">
        <f>(VLOOKUP($B284,'Prior Year'!$B:$U,'Prior Year'!Q$5-1,FALSE))/1000</f>
        <v>13702.134916666699</v>
      </c>
      <c r="Q284" s="166">
        <f>(VLOOKUP($B284,'Prior Year'!$B:$U,'Prior Year'!R$5-1,FALSE))/1000</f>
        <v>15842.2034966667</v>
      </c>
      <c r="R284" s="166">
        <f>(VLOOKUP($B284,'Prior Year'!$B:$U,'Prior Year'!S$5-1,FALSE))/1000</f>
        <v>17835.4555666667</v>
      </c>
      <c r="S284" s="150">
        <f t="shared" si="36"/>
        <v>5866.8478912820683</v>
      </c>
      <c r="T284" s="144" t="s">
        <v>118</v>
      </c>
    </row>
    <row r="285" spans="1:20" ht="15" hidden="1" customHeight="1">
      <c r="A285" s="142">
        <v>4</v>
      </c>
      <c r="B285" s="86" t="s">
        <v>455</v>
      </c>
      <c r="C285" s="14" t="s">
        <v>456</v>
      </c>
      <c r="D285" s="142"/>
      <c r="E285" s="142"/>
      <c r="F285" s="166">
        <f>(VLOOKUP($B285,'Prior Year'!$B:$U,'Prior Year'!G$5-1,FALSE))/1000</f>
        <v>7974.6270000000004</v>
      </c>
      <c r="G285" s="166">
        <f>(VLOOKUP($B285,'Prior Year'!$B:$U,'Prior Year'!H$5-1,FALSE))/1000</f>
        <v>7970.6976110421001</v>
      </c>
      <c r="H285" s="166">
        <f>(VLOOKUP($B285,'Prior Year'!$B:$U,'Prior Year'!I$5-1,FALSE))/1000</f>
        <v>7966.7671110420006</v>
      </c>
      <c r="I285" s="166">
        <f>(VLOOKUP($B285,'Prior Year'!$B:$U,'Prior Year'!J$5-1,FALSE))/1000</f>
        <v>7962.8366110421002</v>
      </c>
      <c r="J285" s="166">
        <f>(VLOOKUP($B285,'Prior Year'!$B:$U,'Prior Year'!K$5-1,FALSE))/1000</f>
        <v>7958.9061110420998</v>
      </c>
      <c r="K285" s="166">
        <f>(VLOOKUP($B285,'Prior Year'!$B:$U,'Prior Year'!L$5-1,FALSE))/1000</f>
        <v>7954.9756110420003</v>
      </c>
      <c r="L285" s="166">
        <f>(VLOOKUP($B285,'Prior Year'!$B:$U,'Prior Year'!M$5-1,FALSE))/1000</f>
        <v>7951.0451110421</v>
      </c>
      <c r="M285" s="166">
        <f>(VLOOKUP($B285,'Prior Year'!$B:$U,'Prior Year'!N$5-1,FALSE))/1000</f>
        <v>7947.1146110420996</v>
      </c>
      <c r="N285" s="166">
        <f>(VLOOKUP($B285,'Prior Year'!$B:$U,'Prior Year'!O$5-1,FALSE))/1000</f>
        <v>7943.184111042</v>
      </c>
      <c r="O285" s="166">
        <f>(VLOOKUP($B285,'Prior Year'!$B:$U,'Prior Year'!P$5-1,FALSE))/1000</f>
        <v>7939.2536110420997</v>
      </c>
      <c r="P285" s="166">
        <f>(VLOOKUP($B285,'Prior Year'!$B:$U,'Prior Year'!Q$5-1,FALSE))/1000</f>
        <v>7935.3231110421002</v>
      </c>
      <c r="Q285" s="166">
        <f>(VLOOKUP($B285,'Prior Year'!$B:$U,'Prior Year'!R$5-1,FALSE))/1000</f>
        <v>7931.3926110420007</v>
      </c>
      <c r="R285" s="166">
        <f>(VLOOKUP($B285,'Prior Year'!$B:$U,'Prior Year'!S$5-1,FALSE))/1000</f>
        <v>7927.4621110421003</v>
      </c>
      <c r="S285" s="150">
        <f t="shared" si="36"/>
        <v>7951.045025577293</v>
      </c>
      <c r="T285" s="144" t="s">
        <v>118</v>
      </c>
    </row>
    <row r="286" spans="1:20" ht="15" hidden="1" customHeight="1">
      <c r="A286" s="142">
        <v>5</v>
      </c>
      <c r="B286" s="86" t="s">
        <v>457</v>
      </c>
      <c r="C286" s="14" t="s">
        <v>458</v>
      </c>
      <c r="D286" s="142"/>
      <c r="E286" s="142"/>
      <c r="F286" s="166">
        <f>(VLOOKUP($B286,'Prior Year'!$B:$U,'Prior Year'!G$5-1,FALSE))/1000</f>
        <v>102007.17685999999</v>
      </c>
      <c r="G286" s="166">
        <f>(VLOOKUP($B286,'Prior Year'!$B:$U,'Prior Year'!H$5-1,FALSE))/1000</f>
        <v>98559.045230000003</v>
      </c>
      <c r="H286" s="166">
        <f>(VLOOKUP($B286,'Prior Year'!$B:$U,'Prior Year'!I$5-1,FALSE))/1000</f>
        <v>98084.711230000001</v>
      </c>
      <c r="I286" s="166">
        <f>(VLOOKUP($B286,'Prior Year'!$B:$U,'Prior Year'!J$5-1,FALSE))/1000</f>
        <v>97803.801229999997</v>
      </c>
      <c r="J286" s="166">
        <f>(VLOOKUP($B286,'Prior Year'!$B:$U,'Prior Year'!K$5-1,FALSE))/1000</f>
        <v>94517.468229999999</v>
      </c>
      <c r="K286" s="166">
        <f>(VLOOKUP($B286,'Prior Year'!$B:$U,'Prior Year'!L$5-1,FALSE))/1000</f>
        <v>93493.134230000011</v>
      </c>
      <c r="L286" s="166">
        <f>(VLOOKUP($B286,'Prior Year'!$B:$U,'Prior Year'!M$5-1,FALSE))/1000</f>
        <v>93437.224230000007</v>
      </c>
      <c r="M286" s="166">
        <f>(VLOOKUP($B286,'Prior Year'!$B:$U,'Prior Year'!N$5-1,FALSE))/1000</f>
        <v>89950.891230000008</v>
      </c>
      <c r="N286" s="166">
        <f>(VLOOKUP($B286,'Prior Year'!$B:$U,'Prior Year'!O$5-1,FALSE))/1000</f>
        <v>89126.557230000006</v>
      </c>
      <c r="O286" s="166">
        <f>(VLOOKUP($B286,'Prior Year'!$B:$U,'Prior Year'!P$5-1,FALSE))/1000</f>
        <v>86083.647230000002</v>
      </c>
      <c r="P286" s="166">
        <f>(VLOOKUP($B286,'Prior Year'!$B:$U,'Prior Year'!Q$5-1,FALSE))/1000</f>
        <v>85284.314230000004</v>
      </c>
      <c r="Q286" s="166">
        <f>(VLOOKUP($B286,'Prior Year'!$B:$U,'Prior Year'!R$5-1,FALSE))/1000</f>
        <v>84259.980230000001</v>
      </c>
      <c r="R286" s="166">
        <f>(VLOOKUP($B286,'Prior Year'!$B:$U,'Prior Year'!S$5-1,FALSE))/1000</f>
        <v>84079.070229999998</v>
      </c>
      <c r="S286" s="150">
        <f t="shared" si="36"/>
        <v>92052.847816923095</v>
      </c>
      <c r="T286" s="144" t="s">
        <v>118</v>
      </c>
    </row>
    <row r="287" spans="1:20" ht="15" hidden="1" customHeight="1">
      <c r="A287" s="142">
        <v>6</v>
      </c>
      <c r="B287" s="86" t="s">
        <v>459</v>
      </c>
      <c r="C287" s="14" t="s">
        <v>460</v>
      </c>
      <c r="D287" s="142"/>
      <c r="E287" s="142"/>
      <c r="F287" s="166">
        <f>(VLOOKUP($B287,'Prior Year'!$B:$U,'Prior Year'!G$5-1,FALSE))/1000</f>
        <v>782.70402999999999</v>
      </c>
      <c r="G287" s="166">
        <f>(VLOOKUP($B287,'Prior Year'!$B:$U,'Prior Year'!H$5-1,FALSE))/1000</f>
        <v>783</v>
      </c>
      <c r="H287" s="166">
        <f>(VLOOKUP($B287,'Prior Year'!$B:$U,'Prior Year'!I$5-1,FALSE))/1000</f>
        <v>783</v>
      </c>
      <c r="I287" s="166">
        <f>(VLOOKUP($B287,'Prior Year'!$B:$U,'Prior Year'!J$5-1,FALSE))/1000</f>
        <v>783</v>
      </c>
      <c r="J287" s="166">
        <f>(VLOOKUP($B287,'Prior Year'!$B:$U,'Prior Year'!K$5-1,FALSE))/1000</f>
        <v>783</v>
      </c>
      <c r="K287" s="166">
        <f>(VLOOKUP($B287,'Prior Year'!$B:$U,'Prior Year'!L$5-1,FALSE))/1000</f>
        <v>783</v>
      </c>
      <c r="L287" s="166">
        <f>(VLOOKUP($B287,'Prior Year'!$B:$U,'Prior Year'!M$5-1,FALSE))/1000</f>
        <v>783</v>
      </c>
      <c r="M287" s="166">
        <f>(VLOOKUP($B287,'Prior Year'!$B:$U,'Prior Year'!N$5-1,FALSE))/1000</f>
        <v>783</v>
      </c>
      <c r="N287" s="166">
        <f>(VLOOKUP($B287,'Prior Year'!$B:$U,'Prior Year'!O$5-1,FALSE))/1000</f>
        <v>783</v>
      </c>
      <c r="O287" s="166">
        <f>(VLOOKUP($B287,'Prior Year'!$B:$U,'Prior Year'!P$5-1,FALSE))/1000</f>
        <v>783</v>
      </c>
      <c r="P287" s="166">
        <f>(VLOOKUP($B287,'Prior Year'!$B:$U,'Prior Year'!Q$5-1,FALSE))/1000</f>
        <v>783</v>
      </c>
      <c r="Q287" s="166">
        <f>(VLOOKUP($B287,'Prior Year'!$B:$U,'Prior Year'!R$5-1,FALSE))/1000</f>
        <v>783</v>
      </c>
      <c r="R287" s="166">
        <f>(VLOOKUP($B287,'Prior Year'!$B:$U,'Prior Year'!S$5-1,FALSE))/1000</f>
        <v>783</v>
      </c>
      <c r="S287" s="150">
        <f t="shared" si="36"/>
        <v>782.97723307692308</v>
      </c>
      <c r="T287" s="144" t="s">
        <v>118</v>
      </c>
    </row>
    <row r="288" spans="1:20" ht="15" hidden="1" customHeight="1">
      <c r="A288" s="142">
        <v>7</v>
      </c>
      <c r="B288" s="86" t="s">
        <v>461</v>
      </c>
      <c r="C288" s="14" t="s">
        <v>462</v>
      </c>
      <c r="D288" s="142"/>
      <c r="E288" s="142"/>
      <c r="F288" s="27">
        <f>(SUMIF('Prior Year'!$A:$A,$B288,'Prior Year'!G:G))/1000</f>
        <v>0</v>
      </c>
      <c r="G288" s="27">
        <f>(SUMIF('Prior Year'!$A:$A,$B288,'Prior Year'!H:H))/1000</f>
        <v>0</v>
      </c>
      <c r="H288" s="27">
        <f>(SUMIF('Prior Year'!$A:$A,$B288,'Prior Year'!I:I))/1000</f>
        <v>0</v>
      </c>
      <c r="I288" s="27">
        <f>(SUMIF('Prior Year'!$A:$A,$B288,'Prior Year'!J:J))/1000</f>
        <v>0</v>
      </c>
      <c r="J288" s="27">
        <f>(SUMIF('Prior Year'!$A:$A,$B288,'Prior Year'!K:K))/1000</f>
        <v>0</v>
      </c>
      <c r="K288" s="27">
        <f>(SUMIF('Prior Year'!$A:$A,$B288,'Prior Year'!L:L))/1000</f>
        <v>0</v>
      </c>
      <c r="L288" s="27">
        <f>(SUMIF('Prior Year'!$A:$A,$B288,'Prior Year'!M:M))/1000</f>
        <v>0</v>
      </c>
      <c r="M288" s="27">
        <f>(SUMIF('Prior Year'!$A:$A,$B288,'Prior Year'!N:N))/1000</f>
        <v>0</v>
      </c>
      <c r="N288" s="27">
        <f>(SUMIF('Prior Year'!$A:$A,$B288,'Prior Year'!O:O))/1000</f>
        <v>0</v>
      </c>
      <c r="O288" s="27">
        <f>(SUMIF('Prior Year'!$A:$A,$B288,'Prior Year'!P:P))/1000</f>
        <v>0</v>
      </c>
      <c r="P288" s="27">
        <f>(SUMIF('Prior Year'!$A:$A,$B288,'Prior Year'!Q:Q))/1000</f>
        <v>0</v>
      </c>
      <c r="Q288" s="27">
        <f>(SUMIF('Prior Year'!$A:$A,$B288,'Prior Year'!R:R))/1000</f>
        <v>0</v>
      </c>
      <c r="R288" s="27">
        <f>(SUMIF('Prior Year'!$A:$A,$B288,'Prior Year'!S:S))/1000</f>
        <v>0</v>
      </c>
      <c r="S288" s="150">
        <f t="shared" si="36"/>
        <v>0</v>
      </c>
      <c r="T288" s="144" t="s">
        <v>118</v>
      </c>
    </row>
    <row r="289" spans="1:25" ht="15" hidden="1" customHeight="1">
      <c r="A289" s="142">
        <v>8</v>
      </c>
      <c r="B289" s="86" t="s">
        <v>463</v>
      </c>
      <c r="C289" s="14" t="s">
        <v>254</v>
      </c>
      <c r="D289" s="142"/>
      <c r="E289" s="142"/>
      <c r="F289" s="32">
        <f>(SUMIF('Prior Year'!$A:$A,$B289,'Prior Year'!G:G))/1000</f>
        <v>32144.872230000001</v>
      </c>
      <c r="G289" s="32">
        <f>(SUMIF('Prior Year'!$A:$A,$B289,'Prior Year'!H:H))/1000</f>
        <v>32278.8092</v>
      </c>
      <c r="H289" s="32">
        <f>(SUMIF('Prior Year'!$A:$A,$B289,'Prior Year'!I:I))/1000</f>
        <v>32413.304239999998</v>
      </c>
      <c r="I289" s="32">
        <f>(SUMIF('Prior Year'!$A:$A,$B289,'Prior Year'!J:J))/1000</f>
        <v>32548.359670000002</v>
      </c>
      <c r="J289" s="32">
        <f>(SUMIF('Prior Year'!$A:$A,$B289,'Prior Year'!K:K))/1000</f>
        <v>32683.97784</v>
      </c>
      <c r="K289" s="32">
        <f>(SUMIF('Prior Year'!$A:$A,$B289,'Prior Year'!L:L))/1000</f>
        <v>32820.161079999998</v>
      </c>
      <c r="L289" s="32">
        <f>(SUMIF('Prior Year'!$A:$A,$B289,'Prior Year'!M:M))/1000</f>
        <v>32956.911749999999</v>
      </c>
      <c r="M289" s="32">
        <f>(SUMIF('Prior Year'!$A:$A,$B289,'Prior Year'!N:N))/1000</f>
        <v>33094.232219999998</v>
      </c>
      <c r="N289" s="32">
        <f>(SUMIF('Prior Year'!$A:$A,$B289,'Prior Year'!O:O))/1000</f>
        <v>33232.12485</v>
      </c>
      <c r="O289" s="32">
        <f>(SUMIF('Prior Year'!$A:$A,$B289,'Prior Year'!P:P))/1000</f>
        <v>33370.592039999996</v>
      </c>
      <c r="P289" s="32">
        <f>(SUMIF('Prior Year'!$A:$A,$B289,'Prior Year'!Q:Q))/1000</f>
        <v>33509.636170000005</v>
      </c>
      <c r="Q289" s="32">
        <f>(SUMIF('Prior Year'!$A:$A,$B289,'Prior Year'!R:R))/1000</f>
        <v>33649.25965</v>
      </c>
      <c r="R289" s="32">
        <f>(SUMIF('Prior Year'!$A:$A,$B289,'Prior Year'!S:S))/1000</f>
        <v>33789.464899999999</v>
      </c>
      <c r="S289" s="155">
        <f t="shared" si="36"/>
        <v>32960.900449230772</v>
      </c>
      <c r="T289" s="144" t="s">
        <v>118</v>
      </c>
    </row>
    <row r="290" spans="1:25" ht="15" hidden="1" customHeight="1">
      <c r="A290" s="142">
        <v>9</v>
      </c>
      <c r="B290" s="35"/>
      <c r="C290" s="14"/>
      <c r="D290" s="142" t="s">
        <v>337</v>
      </c>
      <c r="E290" s="142"/>
      <c r="F290" s="27">
        <f>SUM(F283:F289)</f>
        <v>165789.96429999999</v>
      </c>
      <c r="G290" s="27">
        <f t="shared" ref="G290:S290" si="37">SUM(G283:G289)</f>
        <v>173754.8063689679</v>
      </c>
      <c r="H290" s="27">
        <f t="shared" si="37"/>
        <v>173367.10475550868</v>
      </c>
      <c r="I290" s="27">
        <f t="shared" si="37"/>
        <v>172730.95242976749</v>
      </c>
      <c r="J290" s="27">
        <f t="shared" si="37"/>
        <v>169532.25113175091</v>
      </c>
      <c r="K290" s="27">
        <f t="shared" si="37"/>
        <v>170300.74770323181</v>
      </c>
      <c r="L290" s="27">
        <f t="shared" si="37"/>
        <v>170767.80443734341</v>
      </c>
      <c r="M290" s="27">
        <f t="shared" si="37"/>
        <v>170148.53387161801</v>
      </c>
      <c r="N290" s="27">
        <f t="shared" si="37"/>
        <v>172175.4152698658</v>
      </c>
      <c r="O290" s="27">
        <f t="shared" si="37"/>
        <v>171747.32308279688</v>
      </c>
      <c r="P290" s="27">
        <f t="shared" si="37"/>
        <v>173634.85356244762</v>
      </c>
      <c r="Q290" s="27">
        <f t="shared" si="37"/>
        <v>174841.2418392773</v>
      </c>
      <c r="R290" s="27">
        <f t="shared" si="37"/>
        <v>176789.45048811228</v>
      </c>
      <c r="S290" s="27">
        <f t="shared" si="37"/>
        <v>171967.72686466834</v>
      </c>
      <c r="T290" s="142"/>
    </row>
    <row r="291" spans="1:25" ht="15" hidden="1" customHeight="1">
      <c r="A291" s="142">
        <v>10</v>
      </c>
      <c r="B291" s="142"/>
      <c r="C291" s="142"/>
      <c r="D291" s="142"/>
      <c r="E291" s="142"/>
      <c r="F291" s="142"/>
      <c r="G291" s="142"/>
      <c r="H291" s="142"/>
      <c r="I291" s="142"/>
      <c r="J291" s="142"/>
      <c r="K291" s="142"/>
      <c r="L291" s="142"/>
      <c r="M291" s="142"/>
      <c r="N291" s="142"/>
      <c r="O291" s="142"/>
      <c r="P291" s="142"/>
      <c r="Q291" s="142"/>
      <c r="R291" s="142"/>
      <c r="S291" s="142"/>
      <c r="T291" s="142"/>
    </row>
    <row r="292" spans="1:25" ht="15" hidden="1" customHeight="1">
      <c r="A292" s="142">
        <v>11</v>
      </c>
      <c r="B292" s="142"/>
      <c r="C292" s="142" t="s">
        <v>464</v>
      </c>
      <c r="D292" s="142"/>
      <c r="E292" s="14"/>
      <c r="F292" s="27"/>
      <c r="G292" s="27"/>
      <c r="H292" s="27"/>
      <c r="I292" s="27"/>
      <c r="J292" s="27"/>
      <c r="K292" s="27"/>
      <c r="L292" s="27"/>
      <c r="M292" s="27"/>
      <c r="N292" s="27"/>
      <c r="O292" s="27"/>
      <c r="P292" s="27"/>
      <c r="Q292" s="27"/>
      <c r="R292" s="27"/>
      <c r="S292" s="150"/>
      <c r="T292" s="142"/>
    </row>
    <row r="293" spans="1:25" ht="15" hidden="1" customHeight="1">
      <c r="A293" s="142">
        <v>12</v>
      </c>
      <c r="B293" s="86" t="s">
        <v>465</v>
      </c>
      <c r="C293" s="14" t="s">
        <v>466</v>
      </c>
      <c r="D293" s="14"/>
      <c r="E293" s="142"/>
      <c r="F293" s="27">
        <f>(SUMIF('Prior Year'!$A:$A,$B293,'Prior Year'!G:G))/1000</f>
        <v>706000</v>
      </c>
      <c r="G293" s="27">
        <f>(SUMIF('Prior Year'!$A:$A,$B293,'Prior Year'!H:H))/1000</f>
        <v>253875.21716501299</v>
      </c>
      <c r="H293" s="27">
        <f>(SUMIF('Prior Year'!$A:$A,$B293,'Prior Year'!I:I))/1000</f>
        <v>23112.680197484602</v>
      </c>
      <c r="I293" s="27">
        <f>(SUMIF('Prior Year'!$A:$A,$B293,'Prior Year'!J:J))/1000</f>
        <v>69456.980805116211</v>
      </c>
      <c r="J293" s="27">
        <f>(SUMIF('Prior Year'!$A:$A,$B293,'Prior Year'!K:K))/1000</f>
        <v>132240.94463739099</v>
      </c>
      <c r="K293" s="27">
        <f>(SUMIF('Prior Year'!$A:$A,$B293,'Prior Year'!L:L))/1000</f>
        <v>3610.1544458916001</v>
      </c>
      <c r="L293" s="27">
        <f>(SUMIF('Prior Year'!$A:$A,$B293,'Prior Year'!M:M))/1000</f>
        <v>40187.817569180399</v>
      </c>
      <c r="M293" s="27">
        <f>(SUMIF('Prior Year'!$A:$A,$B293,'Prior Year'!N:N))/1000</f>
        <v>391732.415857944</v>
      </c>
      <c r="N293" s="27">
        <f>(SUMIF('Prior Year'!$A:$A,$B293,'Prior Year'!O:O))/1000</f>
        <v>392354.48129397997</v>
      </c>
      <c r="O293" s="27">
        <f>(SUMIF('Prior Year'!$A:$A,$B293,'Prior Year'!P:P))/1000</f>
        <v>424115.79908827</v>
      </c>
      <c r="P293" s="27">
        <f>(SUMIF('Prior Year'!$A:$A,$B293,'Prior Year'!Q:Q))/1000</f>
        <v>348298.23424191598</v>
      </c>
      <c r="Q293" s="27">
        <f>(SUMIF('Prior Year'!$A:$A,$B293,'Prior Year'!R:R))/1000</f>
        <v>603052.46914338693</v>
      </c>
      <c r="R293" s="27">
        <f>(SUMIF('Prior Year'!$A:$A,$B293,'Prior Year'!S:S))/1000</f>
        <v>595364.85717259895</v>
      </c>
      <c r="S293" s="150">
        <f t="shared" ref="S293:S305" si="38">AVERAGE(F293:R293)</f>
        <v>306415.5424321671</v>
      </c>
      <c r="T293" s="144" t="s">
        <v>421</v>
      </c>
      <c r="U293" s="86"/>
    </row>
    <row r="294" spans="1:25" ht="15" hidden="1" customHeight="1">
      <c r="A294" s="142">
        <v>13</v>
      </c>
      <c r="B294" s="86" t="s">
        <v>467</v>
      </c>
      <c r="C294" s="14" t="s">
        <v>301</v>
      </c>
      <c r="D294" s="142"/>
      <c r="E294" s="142"/>
      <c r="F294" s="27">
        <f>(SUMIF('Prior Year'!$A:$A,$B294,'Prior Year'!G:G))/1000</f>
        <v>320892.31177999999</v>
      </c>
      <c r="G294" s="27">
        <f>(SUMIF('Prior Year'!$A:$A,$B294,'Prior Year'!H:H))/1000</f>
        <v>222368.3246219666</v>
      </c>
      <c r="H294" s="27">
        <f>(SUMIF('Prior Year'!$A:$A,$B294,'Prior Year'!I:I))/1000</f>
        <v>227528.49878225091</v>
      </c>
      <c r="I294" s="27">
        <f>(SUMIF('Prior Year'!$A:$A,$B294,'Prior Year'!J:J))/1000</f>
        <v>221517.18951220959</v>
      </c>
      <c r="J294" s="27">
        <f>(SUMIF('Prior Year'!$A:$A,$B294,'Prior Year'!K:K))/1000</f>
        <v>213476.60488897099</v>
      </c>
      <c r="K294" s="27">
        <f>(SUMIF('Prior Year'!$A:$A,$B294,'Prior Year'!L:L))/1000</f>
        <v>250184.68695991518</v>
      </c>
      <c r="L294" s="27">
        <f>(SUMIF('Prior Year'!$A:$A,$B294,'Prior Year'!M:M))/1000</f>
        <v>292070.77918831719</v>
      </c>
      <c r="M294" s="27">
        <f>(SUMIF('Prior Year'!$A:$A,$B294,'Prior Year'!N:N))/1000</f>
        <v>246427.34771153179</v>
      </c>
      <c r="N294" s="27">
        <f>(SUMIF('Prior Year'!$A:$A,$B294,'Prior Year'!O:O))/1000</f>
        <v>247604.95804764819</v>
      </c>
      <c r="O294" s="27">
        <f>(SUMIF('Prior Year'!$A:$A,$B294,'Prior Year'!P:P))/1000</f>
        <v>225796.8182167896</v>
      </c>
      <c r="P294" s="27">
        <f>(SUMIF('Prior Year'!$A:$A,$B294,'Prior Year'!Q:Q))/1000</f>
        <v>233312.76704401121</v>
      </c>
      <c r="Q294" s="27">
        <f>(SUMIF('Prior Year'!$A:$A,$B294,'Prior Year'!R:R))/1000</f>
        <v>197673.92478381432</v>
      </c>
      <c r="R294" s="27">
        <f>(SUMIF('Prior Year'!$A:$A,$B294,'Prior Year'!S:S))/1000</f>
        <v>254338.7841293402</v>
      </c>
      <c r="S294" s="150">
        <f t="shared" si="38"/>
        <v>242553.30735898198</v>
      </c>
      <c r="T294" s="144" t="s">
        <v>118</v>
      </c>
      <c r="U294" s="151"/>
    </row>
    <row r="295" spans="1:25" ht="15" hidden="1" customHeight="1">
      <c r="A295" s="142">
        <v>14</v>
      </c>
      <c r="B295" s="86" t="s">
        <v>468</v>
      </c>
      <c r="C295" s="162" t="s">
        <v>302</v>
      </c>
      <c r="D295" s="142"/>
      <c r="E295" s="142"/>
      <c r="F295" s="27">
        <f>(SUMIF('Prior Year'!$A:$A,$B295,'Prior Year'!G:G))/1000</f>
        <v>0</v>
      </c>
      <c r="G295" s="27">
        <f>(SUMIF('Prior Year'!$A:$A,$B295,'Prior Year'!H:H))/1000</f>
        <v>0</v>
      </c>
      <c r="H295" s="27">
        <f>(SUMIF('Prior Year'!$A:$A,$B295,'Prior Year'!I:I))/1000</f>
        <v>0</v>
      </c>
      <c r="I295" s="27">
        <f>(SUMIF('Prior Year'!$A:$A,$B295,'Prior Year'!J:J))/1000</f>
        <v>0</v>
      </c>
      <c r="J295" s="27">
        <f>(SUMIF('Prior Year'!$A:$A,$B295,'Prior Year'!K:K))/1000</f>
        <v>0</v>
      </c>
      <c r="K295" s="27">
        <f>(SUMIF('Prior Year'!$A:$A,$B295,'Prior Year'!L:L))/1000</f>
        <v>0</v>
      </c>
      <c r="L295" s="27">
        <f>(SUMIF('Prior Year'!$A:$A,$B295,'Prior Year'!M:M))/1000</f>
        <v>0</v>
      </c>
      <c r="M295" s="27">
        <f>(SUMIF('Prior Year'!$A:$A,$B295,'Prior Year'!N:N))/1000</f>
        <v>0</v>
      </c>
      <c r="N295" s="27">
        <f>(SUMIF('Prior Year'!$A:$A,$B295,'Prior Year'!O:O))/1000</f>
        <v>0</v>
      </c>
      <c r="O295" s="27">
        <f>(SUMIF('Prior Year'!$A:$A,$B295,'Prior Year'!P:P))/1000</f>
        <v>0</v>
      </c>
      <c r="P295" s="27">
        <f>(SUMIF('Prior Year'!$A:$A,$B295,'Prior Year'!Q:Q))/1000</f>
        <v>0</v>
      </c>
      <c r="Q295" s="27">
        <f>(SUMIF('Prior Year'!$A:$A,$B295,'Prior Year'!R:R))/1000</f>
        <v>0</v>
      </c>
      <c r="R295" s="27">
        <f>(SUMIF('Prior Year'!$A:$A,$B295,'Prior Year'!S:S))/1000</f>
        <v>0</v>
      </c>
      <c r="S295" s="150">
        <f t="shared" si="38"/>
        <v>0</v>
      </c>
      <c r="T295" s="144" t="s">
        <v>421</v>
      </c>
      <c r="U295" s="170" t="s">
        <v>500</v>
      </c>
      <c r="V295" s="335"/>
    </row>
    <row r="296" spans="1:25" ht="15" hidden="1" customHeight="1">
      <c r="A296" s="142">
        <v>15</v>
      </c>
      <c r="B296" s="86" t="s">
        <v>469</v>
      </c>
      <c r="C296" s="14" t="s">
        <v>303</v>
      </c>
      <c r="D296" s="142"/>
      <c r="E296" s="142"/>
      <c r="F296" s="27">
        <f>(SUMIF('Prior Year'!$A:$A,$B296,'Prior Year'!G:G))/1000</f>
        <v>10201.85887</v>
      </c>
      <c r="G296" s="27">
        <f>(SUMIF('Prior Year'!$A:$A,$B296,'Prior Year'!H:H))/1000</f>
        <v>11285.338220000001</v>
      </c>
      <c r="H296" s="27">
        <f>(SUMIF('Prior Year'!$A:$A,$B296,'Prior Year'!I:I))/1000</f>
        <v>11013.98321</v>
      </c>
      <c r="I296" s="27">
        <f>(SUMIF('Prior Year'!$A:$A,$B296,'Prior Year'!J:J))/1000</f>
        <v>10948.220929999999</v>
      </c>
      <c r="J296" s="27">
        <f>(SUMIF('Prior Year'!$A:$A,$B296,'Prior Year'!K:K))/1000</f>
        <v>10949.67829</v>
      </c>
      <c r="K296" s="27">
        <f>(SUMIF('Prior Year'!$A:$A,$B296,'Prior Year'!L:L))/1000</f>
        <v>12044.990760000001</v>
      </c>
      <c r="L296" s="27">
        <f>(SUMIF('Prior Year'!$A:$A,$B296,'Prior Year'!M:M))/1000</f>
        <v>13084.711019999999</v>
      </c>
      <c r="M296" s="27">
        <f>(SUMIF('Prior Year'!$A:$A,$B296,'Prior Year'!N:N))/1000</f>
        <v>13582.96263</v>
      </c>
      <c r="N296" s="27">
        <f>(SUMIF('Prior Year'!$A:$A,$B296,'Prior Year'!O:O))/1000</f>
        <v>13728.186810000001</v>
      </c>
      <c r="O296" s="27">
        <f>(SUMIF('Prior Year'!$A:$A,$B296,'Prior Year'!P:P))/1000</f>
        <v>13382.229720000001</v>
      </c>
      <c r="P296" s="27">
        <f>(SUMIF('Prior Year'!$A:$A,$B296,'Prior Year'!Q:Q))/1000</f>
        <v>12499.18641</v>
      </c>
      <c r="Q296" s="27">
        <f>(SUMIF('Prior Year'!$A:$A,$B296,'Prior Year'!R:R))/1000</f>
        <v>11570.23573</v>
      </c>
      <c r="R296" s="27">
        <f>(SUMIF('Prior Year'!$A:$A,$B296,'Prior Year'!S:S))/1000</f>
        <v>11940.227210000001</v>
      </c>
      <c r="S296" s="150">
        <f t="shared" si="38"/>
        <v>12017.831523846156</v>
      </c>
      <c r="T296" s="144" t="s">
        <v>118</v>
      </c>
      <c r="U296" s="151"/>
    </row>
    <row r="297" spans="1:25" ht="15" hidden="1" customHeight="1">
      <c r="A297" s="142">
        <v>16</v>
      </c>
      <c r="B297" s="86" t="s">
        <v>470</v>
      </c>
      <c r="C297" s="14" t="s">
        <v>471</v>
      </c>
      <c r="D297" s="142"/>
      <c r="E297" s="142"/>
      <c r="F297" s="27">
        <f>(SUMIF('Prior Year'!$A:$A,$B297,'Prior Year'!G:G))/1000</f>
        <v>120634.37643999999</v>
      </c>
      <c r="G297" s="27">
        <f>(SUMIF('Prior Year'!$A:$A,$B297,'Prior Year'!H:H))/1000</f>
        <v>120684.640763517</v>
      </c>
      <c r="H297" s="27">
        <f>(SUMIF('Prior Year'!$A:$A,$B297,'Prior Year'!I:I))/1000</f>
        <v>120734.926030501</v>
      </c>
      <c r="I297" s="27">
        <f>(SUMIF('Prior Year'!$A:$A,$B297,'Prior Year'!J:J))/1000</f>
        <v>120785.23224968099</v>
      </c>
      <c r="J297" s="27">
        <f>(SUMIF('Prior Year'!$A:$A,$B297,'Prior Year'!K:K))/1000</f>
        <v>120835.559429785</v>
      </c>
      <c r="K297" s="27">
        <f>(SUMIF('Prior Year'!$A:$A,$B297,'Prior Year'!L:L))/1000</f>
        <v>120885.907579547</v>
      </c>
      <c r="L297" s="27">
        <f>(SUMIF('Prior Year'!$A:$A,$B297,'Prior Year'!M:M))/1000</f>
        <v>120936.27670770501</v>
      </c>
      <c r="M297" s="27">
        <f>(SUMIF('Prior Year'!$A:$A,$B297,'Prior Year'!N:N))/1000</f>
        <v>120986.66682299999</v>
      </c>
      <c r="N297" s="27">
        <f>(SUMIF('Prior Year'!$A:$A,$B297,'Prior Year'!O:O))/1000</f>
        <v>121037.077934177</v>
      </c>
      <c r="O297" s="27">
        <f>(SUMIF('Prior Year'!$A:$A,$B297,'Prior Year'!P:P))/1000</f>
        <v>121087.510049982</v>
      </c>
      <c r="P297" s="27">
        <f>(SUMIF('Prior Year'!$A:$A,$B297,'Prior Year'!Q:Q))/1000</f>
        <v>121137.96317916999</v>
      </c>
      <c r="Q297" s="27">
        <f>(SUMIF('Prior Year'!$A:$A,$B297,'Prior Year'!R:R))/1000</f>
        <v>121188.437330495</v>
      </c>
      <c r="R297" s="27">
        <f>(SUMIF('Prior Year'!$A:$A,$B297,'Prior Year'!S:S))/1000</f>
        <v>121238.932512716</v>
      </c>
      <c r="S297" s="150">
        <f t="shared" si="38"/>
        <v>120936.42361771353</v>
      </c>
      <c r="T297" s="413" t="s">
        <v>421</v>
      </c>
      <c r="U297" s="35"/>
      <c r="V297" s="35"/>
      <c r="W297" s="35"/>
      <c r="X297" s="35"/>
      <c r="Y297" s="35"/>
    </row>
    <row r="298" spans="1:25" ht="15" hidden="1" customHeight="1">
      <c r="A298" s="142">
        <v>17</v>
      </c>
      <c r="B298" s="86" t="s">
        <v>472</v>
      </c>
      <c r="C298" s="14" t="s">
        <v>304</v>
      </c>
      <c r="D298" s="142"/>
      <c r="E298" s="142"/>
      <c r="F298" s="27">
        <f>(SUMIF('Prior Year'!$A:$A,$B298,'Prior Year'!G:G))/1000-F299</f>
        <v>25824.920440000002</v>
      </c>
      <c r="G298" s="27">
        <f>(SUMIF('Prior Year'!$A:$A,$B298,'Prior Year'!H:H))/1000-G299</f>
        <v>34194.059389582901</v>
      </c>
      <c r="H298" s="27">
        <f>(SUMIF('Prior Year'!$A:$A,$B298,'Prior Year'!I:I))/1000-H299</f>
        <v>42235.677437757098</v>
      </c>
      <c r="I298" s="27">
        <f>(SUMIF('Prior Year'!$A:$A,$B298,'Prior Year'!J:J))/1000-I299</f>
        <v>30428.458454316398</v>
      </c>
      <c r="J298" s="27">
        <f>(SUMIF('Prior Year'!$A:$A,$B298,'Prior Year'!K:K))/1000-J299</f>
        <v>24523.853026695298</v>
      </c>
      <c r="K298" s="27">
        <f>(SUMIF('Prior Year'!$A:$A,$B298,'Prior Year'!L:L))/1000-K299</f>
        <v>41755.005781730702</v>
      </c>
      <c r="L298" s="27">
        <f>(SUMIF('Prior Year'!$A:$A,$B298,'Prior Year'!M:M))/1000-L299</f>
        <v>45269.613970467602</v>
      </c>
      <c r="M298" s="27">
        <f>(SUMIF('Prior Year'!$A:$A,$B298,'Prior Year'!N:N))/1000-M299</f>
        <v>69118.45934855449</v>
      </c>
      <c r="N298" s="27">
        <f>(SUMIF('Prior Year'!$A:$A,$B298,'Prior Year'!O:O))/1000-N299</f>
        <v>92648.621084112703</v>
      </c>
      <c r="O298" s="27">
        <f>(SUMIF('Prior Year'!$A:$A,$B298,'Prior Year'!P:P))/1000-O299</f>
        <v>93128.210932003611</v>
      </c>
      <c r="P298" s="27">
        <f>(SUMIF('Prior Year'!$A:$A,$B298,'Prior Year'!Q:Q))/1000-P299</f>
        <v>105790.3084845605</v>
      </c>
      <c r="Q298" s="27">
        <f>(SUMIF('Prior Year'!$A:$A,$B298,'Prior Year'!R:R))/1000-Q299</f>
        <v>23907.6806004143</v>
      </c>
      <c r="R298" s="27">
        <f>(SUMIF('Prior Year'!$A:$A,$B298,'Prior Year'!S:S))/1000-R299</f>
        <v>12474.93725925</v>
      </c>
      <c r="S298" s="150">
        <f t="shared" si="38"/>
        <v>49330.754323803507</v>
      </c>
      <c r="T298" s="413" t="s">
        <v>118</v>
      </c>
      <c r="U298" s="35"/>
      <c r="V298" s="35"/>
      <c r="W298" s="35"/>
      <c r="X298" s="35"/>
      <c r="Y298" s="35"/>
    </row>
    <row r="299" spans="1:25" ht="15" hidden="1" customHeight="1">
      <c r="A299" s="142">
        <v>18</v>
      </c>
      <c r="B299" s="86" t="s">
        <v>472</v>
      </c>
      <c r="C299" s="14" t="s">
        <v>304</v>
      </c>
      <c r="D299" s="142"/>
      <c r="E299" s="142"/>
      <c r="F299" s="27">
        <f>(SUMIF('Prior Year'!$A:$A,"236nu",'Prior Year'!G:G))/1000</f>
        <v>-14616.289719999999</v>
      </c>
      <c r="G299" s="27">
        <f>(SUMIF('Prior Year'!$A:$A,"236nu",'Prior Year'!H:H))/1000</f>
        <v>-15002.72172</v>
      </c>
      <c r="H299" s="27">
        <f>(SUMIF('Prior Year'!$A:$A,"236nu",'Prior Year'!I:I))/1000</f>
        <v>-15421.298719999999</v>
      </c>
      <c r="I299" s="27">
        <f>(SUMIF('Prior Year'!$A:$A,"236nu",'Prior Year'!J:J))/1000</f>
        <v>-5051.0827199999994</v>
      </c>
      <c r="J299" s="27">
        <f>(SUMIF('Prior Year'!$A:$A,"236nu",'Prior Year'!K:K))/1000</f>
        <v>-666.72171999999932</v>
      </c>
      <c r="K299" s="27">
        <f>(SUMIF('Prior Year'!$A:$A,"236nu",'Prior Year'!L:L))/1000</f>
        <v>-1062.4607199999994</v>
      </c>
      <c r="L299" s="27">
        <f>(SUMIF('Prior Year'!$A:$A,"236nu",'Prior Year'!M:M))/1000</f>
        <v>273.76328000000069</v>
      </c>
      <c r="M299" s="27">
        <f>(SUMIF('Prior Year'!$A:$A,"236nu",'Prior Year'!N:N))/1000</f>
        <v>-799.47571999999923</v>
      </c>
      <c r="N299" s="27">
        <f>(SUMIF('Prior Year'!$A:$A,"236nu",'Prior Year'!O:O))/1000</f>
        <v>-1491.5127199999993</v>
      </c>
      <c r="O299" s="27">
        <f>(SUMIF('Prior Year'!$A:$A,"236nu",'Prior Year'!P:P))/1000</f>
        <v>-1024.6237199999994</v>
      </c>
      <c r="P299" s="27">
        <f>(SUMIF('Prior Year'!$A:$A,"236nu",'Prior Year'!Q:Q))/1000</f>
        <v>-1339.8877199999993</v>
      </c>
      <c r="Q299" s="27">
        <f>(SUMIF('Prior Year'!$A:$A,"236nu",'Prior Year'!R:R))/1000</f>
        <v>-1663.6907199999994</v>
      </c>
      <c r="R299" s="27">
        <f>(SUMIF('Prior Year'!$A:$A,"236nu",'Prior Year'!S:S))/1000</f>
        <v>450.32028000000065</v>
      </c>
      <c r="S299" s="150">
        <f t="shared" si="38"/>
        <v>-4416.5909507692304</v>
      </c>
      <c r="T299" s="413" t="s">
        <v>393</v>
      </c>
      <c r="U299" s="35"/>
      <c r="V299" s="35"/>
      <c r="W299" s="35"/>
      <c r="X299" s="35"/>
      <c r="Y299" s="35"/>
    </row>
    <row r="300" spans="1:25" ht="15" hidden="1" customHeight="1">
      <c r="A300" s="142">
        <v>19</v>
      </c>
      <c r="B300" s="86" t="s">
        <v>473</v>
      </c>
      <c r="C300" s="14" t="s">
        <v>306</v>
      </c>
      <c r="D300" s="142"/>
      <c r="E300" s="142"/>
      <c r="F300" s="27">
        <f>(SUMIF('Prior Year'!$A:$A,$B300,'Prior Year'!G:G))/1000</f>
        <v>28439.716840000001</v>
      </c>
      <c r="G300" s="27">
        <f>(SUMIF('Prior Year'!$A:$A,$B300,'Prior Year'!H:H))/1000</f>
        <v>29591.297195268398</v>
      </c>
      <c r="H300" s="27">
        <f>(SUMIF('Prior Year'!$A:$A,$B300,'Prior Year'!I:I))/1000</f>
        <v>44627.588829847999</v>
      </c>
      <c r="I300" s="27">
        <f>(SUMIF('Prior Year'!$A:$A,$B300,'Prior Year'!J:J))/1000</f>
        <v>48471.565992010102</v>
      </c>
      <c r="J300" s="27">
        <f>(SUMIF('Prior Year'!$A:$A,$B300,'Prior Year'!K:K))/1000</f>
        <v>64105.339101436999</v>
      </c>
      <c r="K300" s="27">
        <f>(SUMIF('Prior Year'!$A:$A,$B300,'Prior Year'!L:L))/1000</f>
        <v>52044.569100345201</v>
      </c>
      <c r="L300" s="27">
        <f>(SUMIF('Prior Year'!$A:$A,$B300,'Prior Year'!M:M))/1000</f>
        <v>46349.927203795698</v>
      </c>
      <c r="M300" s="27">
        <f>(SUMIF('Prior Year'!$A:$A,$B300,'Prior Year'!N:N))/1000</f>
        <v>51710.904427628098</v>
      </c>
      <c r="N300" s="27">
        <f>(SUMIF('Prior Year'!$A:$A,$B300,'Prior Year'!O:O))/1000</f>
        <v>60363.355102330002</v>
      </c>
      <c r="O300" s="27">
        <f>(SUMIF('Prior Year'!$A:$A,$B300,'Prior Year'!P:P))/1000</f>
        <v>48920.2628566313</v>
      </c>
      <c r="P300" s="27">
        <f>(SUMIF('Prior Year'!$A:$A,$B300,'Prior Year'!Q:Q))/1000</f>
        <v>63514.274977524801</v>
      </c>
      <c r="Q300" s="27">
        <f>(SUMIF('Prior Year'!$A:$A,$B300,'Prior Year'!R:R))/1000</f>
        <v>50595.293619069394</v>
      </c>
      <c r="R300" s="27">
        <f>(SUMIF('Prior Year'!$A:$A,$B300,'Prior Year'!S:S))/1000</f>
        <v>35201.520636353802</v>
      </c>
      <c r="S300" s="150">
        <f t="shared" si="38"/>
        <v>47995.047375557057</v>
      </c>
      <c r="T300" s="413" t="s">
        <v>118</v>
      </c>
      <c r="U300" s="35"/>
      <c r="V300" s="35"/>
      <c r="W300" s="35"/>
      <c r="X300" s="35"/>
      <c r="Y300" s="35"/>
    </row>
    <row r="301" spans="1:25" ht="15" hidden="1" customHeight="1">
      <c r="A301" s="142">
        <v>20</v>
      </c>
      <c r="B301" s="86" t="s">
        <v>474</v>
      </c>
      <c r="C301" s="14" t="s">
        <v>307</v>
      </c>
      <c r="D301" s="142"/>
      <c r="E301" s="142"/>
      <c r="F301" s="27">
        <f>(SUMIF('Prior Year'!$A:$A,$B301,'Prior Year'!G:G))/1000</f>
        <v>0</v>
      </c>
      <c r="G301" s="27">
        <f>(SUMIF('Prior Year'!$A:$A,$B301,'Prior Year'!H:H))/1000</f>
        <v>0</v>
      </c>
      <c r="H301" s="27">
        <f>(SUMIF('Prior Year'!$A:$A,$B301,'Prior Year'!I:I))/1000</f>
        <v>0</v>
      </c>
      <c r="I301" s="27">
        <f>(SUMIF('Prior Year'!$A:$A,$B301,'Prior Year'!J:J))/1000</f>
        <v>0</v>
      </c>
      <c r="J301" s="27">
        <f>(SUMIF('Prior Year'!$A:$A,$B301,'Prior Year'!K:K))/1000</f>
        <v>0</v>
      </c>
      <c r="K301" s="27">
        <f>(SUMIF('Prior Year'!$A:$A,$B301,'Prior Year'!L:L))/1000</f>
        <v>0</v>
      </c>
      <c r="L301" s="27">
        <f>(SUMIF('Prior Year'!$A:$A,$B301,'Prior Year'!M:M))/1000</f>
        <v>0</v>
      </c>
      <c r="M301" s="27">
        <f>(SUMIF('Prior Year'!$A:$A,$B301,'Prior Year'!N:N))/1000</f>
        <v>0</v>
      </c>
      <c r="N301" s="27">
        <f>(SUMIF('Prior Year'!$A:$A,$B301,'Prior Year'!O:O))/1000</f>
        <v>0</v>
      </c>
      <c r="O301" s="27">
        <f>(SUMIF('Prior Year'!$A:$A,$B301,'Prior Year'!P:P))/1000</f>
        <v>0</v>
      </c>
      <c r="P301" s="27">
        <f>(SUMIF('Prior Year'!$A:$A,$B301,'Prior Year'!Q:Q))/1000</f>
        <v>0</v>
      </c>
      <c r="Q301" s="27">
        <f>(SUMIF('Prior Year'!$A:$A,$B301,'Prior Year'!R:R))/1000</f>
        <v>0</v>
      </c>
      <c r="R301" s="27">
        <f>(SUMIF('Prior Year'!$A:$A,$B301,'Prior Year'!S:S))/1000</f>
        <v>0</v>
      </c>
      <c r="S301" s="150">
        <f t="shared" si="38"/>
        <v>0</v>
      </c>
      <c r="T301" s="413" t="s">
        <v>118</v>
      </c>
      <c r="U301" s="35"/>
      <c r="V301" s="35"/>
      <c r="W301" s="35"/>
      <c r="X301" s="35"/>
      <c r="Y301" s="35"/>
    </row>
    <row r="302" spans="1:25" ht="15" hidden="1" customHeight="1">
      <c r="A302" s="142">
        <v>21</v>
      </c>
      <c r="B302" s="86" t="s">
        <v>475</v>
      </c>
      <c r="C302" s="14" t="s">
        <v>308</v>
      </c>
      <c r="D302" s="142"/>
      <c r="E302" s="142"/>
      <c r="F302" s="27">
        <f>(SUMIF('Prior Year'!$A:$A,$B302,'Prior Year'!G:G))/1000</f>
        <v>10948.055890000001</v>
      </c>
      <c r="G302" s="27">
        <f>(SUMIF('Prior Year'!$A:$A,$B302,'Prior Year'!H:H))/1000</f>
        <v>12043.0921800001</v>
      </c>
      <c r="H302" s="27">
        <f>(SUMIF('Prior Year'!$A:$A,$B302,'Prior Year'!I:I))/1000</f>
        <v>12152.69218</v>
      </c>
      <c r="I302" s="27">
        <f>(SUMIF('Prior Year'!$A:$A,$B302,'Prior Year'!J:J))/1000</f>
        <v>12206.892180000101</v>
      </c>
      <c r="J302" s="27">
        <f>(SUMIF('Prior Year'!$A:$A,$B302,'Prior Year'!K:K))/1000</f>
        <v>12410.09218</v>
      </c>
      <c r="K302" s="27">
        <f>(SUMIF('Prior Year'!$A:$A,$B302,'Prior Year'!L:L))/1000</f>
        <v>13262.09218</v>
      </c>
      <c r="L302" s="27">
        <f>(SUMIF('Prior Year'!$A:$A,$B302,'Prior Year'!M:M))/1000</f>
        <v>14134.892179999899</v>
      </c>
      <c r="M302" s="27">
        <f>(SUMIF('Prior Year'!$A:$A,$B302,'Prior Year'!N:N))/1000</f>
        <v>14640.09218</v>
      </c>
      <c r="N302" s="27">
        <f>(SUMIF('Prior Year'!$A:$A,$B302,'Prior Year'!O:O))/1000</f>
        <v>15218.45218</v>
      </c>
      <c r="O302" s="27">
        <f>(SUMIF('Prior Year'!$A:$A,$B302,'Prior Year'!P:P))/1000</f>
        <v>15446.572179999999</v>
      </c>
      <c r="P302" s="27">
        <f>(SUMIF('Prior Year'!$A:$A,$B302,'Prior Year'!Q:Q))/1000</f>
        <v>14377.07618</v>
      </c>
      <c r="Q302" s="27">
        <f>(SUMIF('Prior Year'!$A:$A,$B302,'Prior Year'!R:R))/1000</f>
        <v>13314.340179999999</v>
      </c>
      <c r="R302" s="27">
        <f>(SUMIF('Prior Year'!$A:$A,$B302,'Prior Year'!S:S))/1000</f>
        <v>13498.4601800001</v>
      </c>
      <c r="S302" s="150">
        <f t="shared" si="38"/>
        <v>13357.907850000016</v>
      </c>
      <c r="T302" s="413" t="s">
        <v>118</v>
      </c>
      <c r="U302" s="35"/>
      <c r="V302" s="35"/>
      <c r="W302" s="35"/>
      <c r="X302" s="35"/>
      <c r="Y302" s="35"/>
    </row>
    <row r="303" spans="1:25" ht="15" hidden="1" customHeight="1">
      <c r="A303" s="142">
        <v>22</v>
      </c>
      <c r="B303" s="86" t="s">
        <v>476</v>
      </c>
      <c r="C303" s="14" t="s">
        <v>309</v>
      </c>
      <c r="D303" s="142"/>
      <c r="E303" s="142"/>
      <c r="F303" s="27">
        <f>(SUMIF('Prior Year'!$A:$A,$B303,'Prior Year'!G:G))/1000</f>
        <v>39977.160109999997</v>
      </c>
      <c r="G303" s="27">
        <f>(SUMIF('Prior Year'!$A:$A,$B303,'Prior Year'!H:H))/1000</f>
        <v>39567.949289999997</v>
      </c>
      <c r="H303" s="27">
        <f>(SUMIF('Prior Year'!$A:$A,$B303,'Prior Year'!I:I))/1000</f>
        <v>39661.949289999997</v>
      </c>
      <c r="I303" s="27">
        <f>(SUMIF('Prior Year'!$A:$A,$B303,'Prior Year'!J:J))/1000</f>
        <v>38435.7701848258</v>
      </c>
      <c r="J303" s="27">
        <f>(SUMIF('Prior Year'!$A:$A,$B303,'Prior Year'!K:K))/1000</f>
        <v>38513.7701848258</v>
      </c>
      <c r="K303" s="27">
        <f>(SUMIF('Prior Year'!$A:$A,$B303,'Prior Year'!L:L))/1000</f>
        <v>38568.7701848258</v>
      </c>
      <c r="L303" s="27">
        <f>(SUMIF('Prior Year'!$A:$A,$B303,'Prior Year'!M:M))/1000</f>
        <v>39379.718219651804</v>
      </c>
      <c r="M303" s="27">
        <f>(SUMIF('Prior Year'!$A:$A,$B303,'Prior Year'!N:N))/1000</f>
        <v>39390.718219651804</v>
      </c>
      <c r="N303" s="27">
        <f>(SUMIF('Prior Year'!$A:$A,$B303,'Prior Year'!O:O))/1000</f>
        <v>39435.718219651804</v>
      </c>
      <c r="O303" s="27">
        <f>(SUMIF('Prior Year'!$A:$A,$B303,'Prior Year'!P:P))/1000</f>
        <v>40215.666254477597</v>
      </c>
      <c r="P303" s="27">
        <f>(SUMIF('Prior Year'!$A:$A,$B303,'Prior Year'!Q:Q))/1000</f>
        <v>40260.666254477597</v>
      </c>
      <c r="Q303" s="27">
        <f>(SUMIF('Prior Year'!$A:$A,$B303,'Prior Year'!R:R))/1000</f>
        <v>40305.666254477597</v>
      </c>
      <c r="R303" s="27">
        <f>(SUMIF('Prior Year'!$A:$A,$B303,'Prior Year'!S:S))/1000</f>
        <v>40869.614289303499</v>
      </c>
      <c r="S303" s="150">
        <f t="shared" si="38"/>
        <v>39583.318227397613</v>
      </c>
      <c r="T303" s="413" t="s">
        <v>118</v>
      </c>
      <c r="U303" s="35"/>
      <c r="V303" s="35"/>
      <c r="W303" s="35"/>
      <c r="X303" s="35"/>
      <c r="Y303" s="35"/>
    </row>
    <row r="304" spans="1:25" ht="15" hidden="1" customHeight="1">
      <c r="A304" s="142">
        <v>23</v>
      </c>
      <c r="B304" s="86" t="s">
        <v>477</v>
      </c>
      <c r="C304" s="14" t="s">
        <v>310</v>
      </c>
      <c r="D304" s="142"/>
      <c r="E304" s="142"/>
      <c r="F304" s="27">
        <f>(SUMIF('Prior Year'!$A:$A,$B304,'Prior Year'!G:G))/1000</f>
        <v>2408.2833700000001</v>
      </c>
      <c r="G304" s="27">
        <f>(SUMIF('Prior Year'!$A:$A,$B304,'Prior Year'!H:H))/1000</f>
        <v>2219.9759631821003</v>
      </c>
      <c r="H304" s="27">
        <f>(SUMIF('Prior Year'!$A:$A,$B304,'Prior Year'!I:I))/1000</f>
        <v>2221.9567459735999</v>
      </c>
      <c r="I304" s="27">
        <f>(SUMIF('Prior Year'!$A:$A,$B304,'Prior Year'!J:J))/1000</f>
        <v>2246.7646784258</v>
      </c>
      <c r="J304" s="27">
        <f>(SUMIF('Prior Year'!$A:$A,$B304,'Prior Year'!K:K))/1000</f>
        <v>2248.7510436868001</v>
      </c>
      <c r="K304" s="27">
        <f>(SUMIF('Prior Year'!$A:$A,$B304,'Prior Year'!L:L))/1000</f>
        <v>2250.7521533762997</v>
      </c>
      <c r="L304" s="27">
        <f>(SUMIF('Prior Year'!$A:$A,$B304,'Prior Year'!M:M))/1000</f>
        <v>2275.8106437300999</v>
      </c>
      <c r="M304" s="27">
        <f>(SUMIF('Prior Year'!$A:$A,$B304,'Prior Year'!N:N))/1000</f>
        <v>2277.8173931307001</v>
      </c>
      <c r="N304" s="27">
        <f>(SUMIF('Prior Year'!$A:$A,$B304,'Prior Year'!O:O))/1000</f>
        <v>2279.8269683326998</v>
      </c>
      <c r="O304" s="27">
        <f>(SUMIF('Prior Year'!$A:$A,$B304,'Prior Year'!P:P))/1000</f>
        <v>2305.1733054913998</v>
      </c>
      <c r="P304" s="27">
        <f>(SUMIF('Prior Year'!$A:$A,$B304,'Prior Year'!Q:Q))/1000</f>
        <v>2307.1885442390999</v>
      </c>
      <c r="Q304" s="27">
        <f>(SUMIF('Prior Year'!$A:$A,$B304,'Prior Year'!R:R))/1000</f>
        <v>2309.2066207424</v>
      </c>
      <c r="R304" s="27">
        <f>(SUMIF('Prior Year'!$A:$A,$B304,'Prior Year'!S:S))/1000</f>
        <v>1831.3990999980001</v>
      </c>
      <c r="S304" s="150">
        <f t="shared" si="38"/>
        <v>2244.8389638699232</v>
      </c>
      <c r="T304" s="413" t="s">
        <v>118</v>
      </c>
      <c r="U304" s="35"/>
      <c r="V304" s="35"/>
      <c r="W304" s="35"/>
      <c r="X304" s="35"/>
      <c r="Y304" s="35"/>
    </row>
    <row r="305" spans="1:25" ht="15" hidden="1" customHeight="1">
      <c r="A305" s="142">
        <v>24</v>
      </c>
      <c r="B305" s="86" t="s">
        <v>478</v>
      </c>
      <c r="C305" s="14" t="s">
        <v>286</v>
      </c>
      <c r="D305" s="142"/>
      <c r="E305" s="142"/>
      <c r="F305" s="32">
        <f>(SUMIF('Prior Year'!$A:$A,$B305,'Prior Year'!G:G))/1000</f>
        <v>0</v>
      </c>
      <c r="G305" s="32">
        <f>(SUMIF('Prior Year'!$A:$A,$B305,'Prior Year'!H:H))/1000</f>
        <v>0</v>
      </c>
      <c r="H305" s="32">
        <f>(SUMIF('Prior Year'!$A:$A,$B305,'Prior Year'!I:I))/1000</f>
        <v>0</v>
      </c>
      <c r="I305" s="32">
        <f>(SUMIF('Prior Year'!$A:$A,$B305,'Prior Year'!J:J))/1000</f>
        <v>0</v>
      </c>
      <c r="J305" s="32">
        <f>(SUMIF('Prior Year'!$A:$A,$B305,'Prior Year'!K:K))/1000</f>
        <v>0</v>
      </c>
      <c r="K305" s="32">
        <f>(SUMIF('Prior Year'!$A:$A,$B305,'Prior Year'!L:L))/1000</f>
        <v>0</v>
      </c>
      <c r="L305" s="32">
        <f>(SUMIF('Prior Year'!$A:$A,$B305,'Prior Year'!M:M))/1000</f>
        <v>0</v>
      </c>
      <c r="M305" s="32">
        <f>(SUMIF('Prior Year'!$A:$A,$B305,'Prior Year'!N:N))/1000</f>
        <v>0</v>
      </c>
      <c r="N305" s="32">
        <f>(SUMIF('Prior Year'!$A:$A,$B305,'Prior Year'!O:O))/1000</f>
        <v>0</v>
      </c>
      <c r="O305" s="32">
        <f>(SUMIF('Prior Year'!$A:$A,$B305,'Prior Year'!P:P))/1000</f>
        <v>0</v>
      </c>
      <c r="P305" s="32">
        <f>(SUMIF('Prior Year'!$A:$A,$B305,'Prior Year'!Q:Q))/1000</f>
        <v>0</v>
      </c>
      <c r="Q305" s="32">
        <f>(SUMIF('Prior Year'!$A:$A,$B305,'Prior Year'!R:R))/1000</f>
        <v>0</v>
      </c>
      <c r="R305" s="32">
        <f>(SUMIF('Prior Year'!$A:$A,$B305,'Prior Year'!S:S))/1000</f>
        <v>0</v>
      </c>
      <c r="S305" s="155">
        <f t="shared" si="38"/>
        <v>0</v>
      </c>
      <c r="T305" s="413" t="s">
        <v>118</v>
      </c>
      <c r="U305" s="35"/>
      <c r="V305" s="35"/>
      <c r="W305" s="35"/>
      <c r="X305" s="35"/>
      <c r="Y305" s="35"/>
    </row>
    <row r="306" spans="1:25" ht="15" hidden="1" customHeight="1">
      <c r="A306" s="142">
        <v>25</v>
      </c>
      <c r="B306" s="35"/>
      <c r="C306" s="14"/>
      <c r="D306" s="142" t="s">
        <v>464</v>
      </c>
      <c r="E306" s="142"/>
      <c r="F306" s="27">
        <f t="shared" ref="F306:S306" si="39">SUM(F293:F305)</f>
        <v>1250710.39402</v>
      </c>
      <c r="G306" s="27">
        <f t="shared" si="39"/>
        <v>710827.17306853016</v>
      </c>
      <c r="H306" s="27">
        <f t="shared" si="39"/>
        <v>507868.65398381522</v>
      </c>
      <c r="I306" s="27">
        <f t="shared" si="39"/>
        <v>549445.99226658512</v>
      </c>
      <c r="J306" s="27">
        <f t="shared" si="39"/>
        <v>618637.87106279191</v>
      </c>
      <c r="K306" s="27">
        <f t="shared" si="39"/>
        <v>533544.46842563187</v>
      </c>
      <c r="L306" s="27">
        <f t="shared" si="39"/>
        <v>613963.30998284766</v>
      </c>
      <c r="M306" s="27">
        <f t="shared" si="39"/>
        <v>949067.90887144103</v>
      </c>
      <c r="N306" s="27">
        <f t="shared" si="39"/>
        <v>983179.16492023249</v>
      </c>
      <c r="O306" s="27">
        <f t="shared" si="39"/>
        <v>983373.61888364539</v>
      </c>
      <c r="P306" s="27">
        <f t="shared" si="39"/>
        <v>940157.77759589907</v>
      </c>
      <c r="Q306" s="27">
        <f t="shared" si="39"/>
        <v>1062253.5635423998</v>
      </c>
      <c r="R306" s="27">
        <f t="shared" si="39"/>
        <v>1087209.0527695604</v>
      </c>
      <c r="S306" s="27">
        <f t="shared" si="39"/>
        <v>830018.38072256756</v>
      </c>
      <c r="T306" s="334"/>
      <c r="U306" s="35"/>
      <c r="V306" s="35"/>
      <c r="W306" s="35"/>
      <c r="X306" s="35"/>
      <c r="Y306" s="35"/>
    </row>
    <row r="307" spans="1:25" ht="15" hidden="1" customHeight="1">
      <c r="A307" s="142">
        <v>26</v>
      </c>
      <c r="B307" s="35"/>
      <c r="C307" s="14"/>
      <c r="D307" s="142"/>
      <c r="E307" s="142"/>
      <c r="F307" s="142"/>
      <c r="G307" s="142"/>
      <c r="H307" s="142"/>
      <c r="I307" s="142"/>
      <c r="J307" s="142"/>
      <c r="K307" s="142"/>
      <c r="L307" s="142"/>
      <c r="M307" s="142"/>
      <c r="N307" s="142"/>
      <c r="O307" s="142"/>
      <c r="P307" s="142"/>
      <c r="Q307" s="142"/>
      <c r="R307" s="142"/>
      <c r="S307" s="142"/>
      <c r="T307" s="334"/>
      <c r="U307" s="35"/>
      <c r="V307" s="35"/>
      <c r="W307" s="35"/>
      <c r="X307" s="35"/>
      <c r="Y307" s="35"/>
    </row>
    <row r="308" spans="1:25" ht="15" hidden="1" customHeight="1">
      <c r="A308" s="142">
        <v>27</v>
      </c>
      <c r="B308" s="35"/>
      <c r="C308" s="142" t="s">
        <v>479</v>
      </c>
      <c r="D308" s="142"/>
      <c r="E308" s="142"/>
      <c r="F308" s="142"/>
      <c r="G308" s="142"/>
      <c r="H308" s="142"/>
      <c r="I308" s="142"/>
      <c r="J308" s="142"/>
      <c r="K308" s="142"/>
      <c r="L308" s="142"/>
      <c r="M308" s="142"/>
      <c r="N308" s="142"/>
      <c r="O308" s="142"/>
      <c r="P308" s="142"/>
      <c r="Q308" s="142"/>
      <c r="R308" s="142"/>
      <c r="S308" s="142"/>
      <c r="T308" s="334"/>
      <c r="U308" s="35"/>
      <c r="V308" s="35"/>
      <c r="W308" s="35"/>
      <c r="X308" s="35"/>
      <c r="Y308" s="35"/>
    </row>
    <row r="309" spans="1:25" ht="15" hidden="1" customHeight="1">
      <c r="A309" s="142">
        <v>28</v>
      </c>
      <c r="B309" s="86" t="s">
        <v>480</v>
      </c>
      <c r="C309" s="14" t="s">
        <v>313</v>
      </c>
      <c r="D309" s="142"/>
      <c r="E309" s="142"/>
      <c r="F309" s="27">
        <f>(SUMIF('Prior Year'!$A:$A,$B309,'Prior Year'!G:G))/1000-F310</f>
        <v>30209.5085</v>
      </c>
      <c r="G309" s="27">
        <f>(SUMIF('Prior Year'!$A:$A,$B309,'Prior Year'!H:H))/1000-G310</f>
        <v>30048.417234761801</v>
      </c>
      <c r="H309" s="27">
        <f>(SUMIF('Prior Year'!$A:$A,$B309,'Prior Year'!I:I))/1000-H310</f>
        <v>31726.441461231101</v>
      </c>
      <c r="I309" s="27">
        <f>(SUMIF('Prior Year'!$A:$A,$B309,'Prior Year'!J:J))/1000-I310</f>
        <v>32054.678755257497</v>
      </c>
      <c r="J309" s="27">
        <f>(SUMIF('Prior Year'!$A:$A,$B309,'Prior Year'!K:K))/1000-J310</f>
        <v>27027.576086510799</v>
      </c>
      <c r="K309" s="27">
        <f>(SUMIF('Prior Year'!$A:$A,$B309,'Prior Year'!L:L))/1000-K310</f>
        <v>28858.251476195499</v>
      </c>
      <c r="L309" s="27">
        <f>(SUMIF('Prior Year'!$A:$A,$B309,'Prior Year'!M:M))/1000-L310</f>
        <v>32838.6093557309</v>
      </c>
      <c r="M309" s="27">
        <f>(SUMIF('Prior Year'!$A:$A,$B309,'Prior Year'!N:N))/1000-M310</f>
        <v>28377.3937357986</v>
      </c>
      <c r="N309" s="27">
        <f>(SUMIF('Prior Year'!$A:$A,$B309,'Prior Year'!O:O))/1000-N310</f>
        <v>28730.7506979965</v>
      </c>
      <c r="O309" s="27">
        <f>(SUMIF('Prior Year'!$A:$A,$B309,'Prior Year'!P:P))/1000-O310</f>
        <v>31772.863605962899</v>
      </c>
      <c r="P309" s="27">
        <f>(SUMIF('Prior Year'!$A:$A,$B309,'Prior Year'!Q:Q))/1000-P310</f>
        <v>33743.822724322803</v>
      </c>
      <c r="Q309" s="27">
        <f>(SUMIF('Prior Year'!$A:$A,$B309,'Prior Year'!R:R))/1000-Q310</f>
        <v>35386.053515369196</v>
      </c>
      <c r="R309" s="27">
        <f>(SUMIF('Prior Year'!$A:$A,$B309,'Prior Year'!S:S))/1000-R310</f>
        <v>38095.902782142497</v>
      </c>
      <c r="S309" s="150">
        <f t="shared" ref="S309:S318" si="40">AVERAGE(F309:R309)</f>
        <v>31451.559225483084</v>
      </c>
      <c r="T309" s="413" t="s">
        <v>118</v>
      </c>
      <c r="U309" s="35"/>
      <c r="V309" s="35"/>
      <c r="W309" s="35"/>
      <c r="X309" s="35"/>
      <c r="Y309" s="35"/>
    </row>
    <row r="310" spans="1:25" ht="15" hidden="1" customHeight="1">
      <c r="A310" s="142">
        <v>29</v>
      </c>
      <c r="B310" s="86" t="s">
        <v>480</v>
      </c>
      <c r="C310" s="14" t="s">
        <v>313</v>
      </c>
      <c r="D310" s="142"/>
      <c r="E310" s="142"/>
      <c r="F310" s="27">
        <f>-(SUMIF('Prior Year'!$A:$A,"253nu",'Prior Year'!G:G))/1000</f>
        <v>0</v>
      </c>
      <c r="G310" s="27">
        <f>-(SUMIF('Prior Year'!$A:$A,"253nu",'Prior Year'!H:H))/1000</f>
        <v>0</v>
      </c>
      <c r="H310" s="27">
        <f>-(SUMIF('Prior Year'!$A:$A,"253nu",'Prior Year'!I:I))/1000</f>
        <v>0</v>
      </c>
      <c r="I310" s="27">
        <f>-(SUMIF('Prior Year'!$A:$A,"253nu",'Prior Year'!J:J))/1000</f>
        <v>0</v>
      </c>
      <c r="J310" s="27">
        <f>-(SUMIF('Prior Year'!$A:$A,"253nu",'Prior Year'!K:K))/1000</f>
        <v>0</v>
      </c>
      <c r="K310" s="27">
        <f>-(SUMIF('Prior Year'!$A:$A,"253nu",'Prior Year'!L:L))/1000</f>
        <v>0</v>
      </c>
      <c r="L310" s="27">
        <f>-(SUMIF('Prior Year'!$A:$A,"253nu",'Prior Year'!M:M))/1000</f>
        <v>0</v>
      </c>
      <c r="M310" s="27">
        <f>-(SUMIF('Prior Year'!$A:$A,"253nu",'Prior Year'!N:N))/1000</f>
        <v>0</v>
      </c>
      <c r="N310" s="27">
        <f>-(SUMIF('Prior Year'!$A:$A,"253nu",'Prior Year'!O:O))/1000</f>
        <v>0</v>
      </c>
      <c r="O310" s="27">
        <f>-(SUMIF('Prior Year'!$A:$A,"253nu",'Prior Year'!P:P))/1000</f>
        <v>0</v>
      </c>
      <c r="P310" s="27">
        <f>-(SUMIF('Prior Year'!$A:$A,"253nu",'Prior Year'!Q:Q))/1000</f>
        <v>0</v>
      </c>
      <c r="Q310" s="27">
        <f>-(SUMIF('Prior Year'!$A:$A,"253nu",'Prior Year'!R:R))/1000</f>
        <v>0</v>
      </c>
      <c r="R310" s="27">
        <f>-(SUMIF('Prior Year'!$A:$A,"253nu",'Prior Year'!S:S))/1000</f>
        <v>0</v>
      </c>
      <c r="S310" s="150">
        <f t="shared" si="40"/>
        <v>0</v>
      </c>
      <c r="T310" s="413" t="s">
        <v>393</v>
      </c>
      <c r="U310" s="35"/>
      <c r="V310" s="35"/>
      <c r="W310" s="35"/>
      <c r="X310" s="35"/>
      <c r="Y310" s="35"/>
    </row>
    <row r="311" spans="1:25" ht="15" hidden="1" customHeight="1">
      <c r="A311" s="142">
        <v>30</v>
      </c>
      <c r="B311" s="86" t="s">
        <v>481</v>
      </c>
      <c r="C311" s="14" t="s">
        <v>314</v>
      </c>
      <c r="D311" s="142"/>
      <c r="E311" s="142"/>
      <c r="F311" s="27">
        <f>(SUMIF('Prior Year'!$A:$A,$B311,'Prior Year'!G:G))/1000-F312</f>
        <v>46610.012390000047</v>
      </c>
      <c r="G311" s="27">
        <f>(SUMIF('Prior Year'!$A:$A,$B311,'Prior Year'!H:H))/1000-G312</f>
        <v>47361.501288303174</v>
      </c>
      <c r="H311" s="27">
        <f>(SUMIF('Prior Year'!$A:$A,$B311,'Prior Year'!I:I))/1000-H312</f>
        <v>48429.946538343094</v>
      </c>
      <c r="I311" s="27">
        <f>(SUMIF('Prior Year'!$A:$A,$B311,'Prior Year'!J:J))/1000-I312</f>
        <v>49546.004307640833</v>
      </c>
      <c r="J311" s="27">
        <f>(SUMIF('Prior Year'!$A:$A,$B311,'Prior Year'!K:K))/1000-J312</f>
        <v>51639.99366823805</v>
      </c>
      <c r="K311" s="27">
        <f>(SUMIF('Prior Year'!$A:$A,$B311,'Prior Year'!L:L))/1000-K312</f>
        <v>54801.622686775867</v>
      </c>
      <c r="L311" s="27">
        <f>(SUMIF('Prior Year'!$A:$A,$B311,'Prior Year'!M:M))/1000-L312</f>
        <v>58167.048630388686</v>
      </c>
      <c r="M311" s="27">
        <f>(SUMIF('Prior Year'!$A:$A,$B311,'Prior Year'!N:N))/1000-M312</f>
        <v>61303.294911863108</v>
      </c>
      <c r="N311" s="27">
        <f>(SUMIF('Prior Year'!$A:$A,$B311,'Prior Year'!O:O))/1000-N312</f>
        <v>65947.441655590199</v>
      </c>
      <c r="O311" s="27">
        <f>(SUMIF('Prior Year'!$A:$A,$B311,'Prior Year'!P:P))/1000-O312</f>
        <v>81988.98695169593</v>
      </c>
      <c r="P311" s="27">
        <f>(SUMIF('Prior Year'!$A:$A,$B311,'Prior Year'!Q:Q))/1000-P312</f>
        <v>97357.85624134005</v>
      </c>
      <c r="Q311" s="27">
        <f>(SUMIF('Prior Year'!$A:$A,$B311,'Prior Year'!R:R))/1000-Q312</f>
        <v>106660.25387853506</v>
      </c>
      <c r="R311" s="27">
        <f>(SUMIF('Prior Year'!$A:$A,$B311,'Prior Year'!S:S))/1000-R312</f>
        <v>103582.11704357975</v>
      </c>
      <c r="S311" s="150">
        <f t="shared" si="40"/>
        <v>67184.313860945666</v>
      </c>
      <c r="T311" s="413" t="s">
        <v>118</v>
      </c>
      <c r="U311" s="35"/>
      <c r="V311" s="35"/>
      <c r="W311" s="35"/>
      <c r="X311" s="35"/>
      <c r="Y311" s="35"/>
    </row>
    <row r="312" spans="1:25" ht="15" hidden="1" customHeight="1">
      <c r="A312" s="142">
        <v>31</v>
      </c>
      <c r="B312" s="151" t="s">
        <v>481</v>
      </c>
      <c r="C312" s="14" t="s">
        <v>482</v>
      </c>
      <c r="D312" s="142"/>
      <c r="E312" s="142"/>
      <c r="F312" s="27">
        <f>(SUMIF('Prior Year'!$C:$C,"2540610",'Prior Year'!G:G))/1000</f>
        <v>476702.07682999998</v>
      </c>
      <c r="G312" s="27">
        <f>(SUMIF('Prior Year'!$C:$C,"2540610",'Prior Year'!H:H))/1000</f>
        <v>473537.62086000002</v>
      </c>
      <c r="H312" s="27">
        <f>(SUMIF('Prior Year'!$C:$C,"2540610",'Prior Year'!I:I))/1000</f>
        <v>470450.36586000002</v>
      </c>
      <c r="I312" s="27">
        <f>(SUMIF('Prior Year'!$C:$C,"2540610",'Prior Year'!J:J))/1000</f>
        <v>474297.90085999999</v>
      </c>
      <c r="J312" s="27">
        <f>(SUMIF('Prior Year'!$C:$C,"2540610",'Prior Year'!K:K))/1000</f>
        <v>471133.26086000004</v>
      </c>
      <c r="K312" s="27">
        <f>(SUMIF('Prior Year'!$C:$C,"2540610",'Prior Year'!L:L))/1000</f>
        <v>467968.62086000002</v>
      </c>
      <c r="L312" s="27">
        <f>(SUMIF('Prior Year'!$C:$C,"2540610",'Prior Year'!M:M))/1000</f>
        <v>464680.06786000001</v>
      </c>
      <c r="M312" s="27">
        <f>(SUMIF('Prior Year'!$C:$C,"2540610",'Prior Year'!N:N))/1000</f>
        <v>461515.42686000001</v>
      </c>
      <c r="N312" s="27">
        <f>(SUMIF('Prior Year'!$C:$C,"2540610",'Prior Year'!O:O))/1000</f>
        <v>458350.78685999999</v>
      </c>
      <c r="O312" s="27">
        <f>(SUMIF('Prior Year'!$C:$C,"2540610",'Prior Year'!P:P))/1000</f>
        <v>445634.45286000002</v>
      </c>
      <c r="P312" s="27">
        <f>(SUMIF('Prior Year'!$C:$C,"2540610",'Prior Year'!Q:Q))/1000</f>
        <v>442456.96386000002</v>
      </c>
      <c r="Q312" s="27">
        <f>(SUMIF('Prior Year'!$C:$C,"2540610",'Prior Year'!R:R))/1000</f>
        <v>439279.47486000002</v>
      </c>
      <c r="R312" s="27">
        <f>(SUMIF('Prior Year'!$C:$C,"2540610",'Prior Year'!S:S))/1000</f>
        <v>440307.18586000003</v>
      </c>
      <c r="S312" s="150">
        <f t="shared" si="40"/>
        <v>460485.7080884616</v>
      </c>
      <c r="T312" s="413" t="s">
        <v>421</v>
      </c>
      <c r="U312" s="35"/>
      <c r="V312" s="35"/>
      <c r="W312" s="35"/>
      <c r="X312" s="35"/>
      <c r="Y312" s="35"/>
    </row>
    <row r="313" spans="1:25" ht="15" hidden="1" customHeight="1">
      <c r="A313" s="142">
        <v>32</v>
      </c>
      <c r="B313" s="86" t="s">
        <v>483</v>
      </c>
      <c r="C313" s="14" t="s">
        <v>484</v>
      </c>
      <c r="D313" s="142"/>
      <c r="E313" s="142"/>
      <c r="F313" s="27">
        <f>(SUMIF('Prior Year'!$A:$A,$B313,'Prior Year'!G:G))/1000</f>
        <v>237151.59927000001</v>
      </c>
      <c r="G313" s="27">
        <f>(SUMIF('Prior Year'!$A:$A,$B313,'Prior Year'!H:H))/1000</f>
        <v>236478.49919</v>
      </c>
      <c r="H313" s="27">
        <f>(SUMIF('Prior Year'!$A:$A,$B313,'Prior Year'!I:I))/1000</f>
        <v>236079.87518999999</v>
      </c>
      <c r="I313" s="27">
        <f>(SUMIF('Prior Year'!$A:$A,$B313,'Prior Year'!J:J))/1000</f>
        <v>235406.14319</v>
      </c>
      <c r="J313" s="27">
        <f>(SUMIF('Prior Year'!$A:$A,$B313,'Prior Year'!K:K))/1000</f>
        <v>234732.41118999998</v>
      </c>
      <c r="K313" s="27">
        <f>(SUMIF('Prior Year'!$A:$A,$B313,'Prior Year'!L:L))/1000</f>
        <v>234058.67919</v>
      </c>
      <c r="L313" s="27">
        <f>(SUMIF('Prior Year'!$A:$A,$B313,'Prior Year'!M:M))/1000</f>
        <v>233384.94719000001</v>
      </c>
      <c r="M313" s="27">
        <f>(SUMIF('Prior Year'!$A:$A,$B313,'Prior Year'!N:N))/1000</f>
        <v>232711.21518999999</v>
      </c>
      <c r="N313" s="27">
        <f>(SUMIF('Prior Year'!$A:$A,$B313,'Prior Year'!O:O))/1000</f>
        <v>232037.48319</v>
      </c>
      <c r="O313" s="27">
        <f>(SUMIF('Prior Year'!$A:$A,$B313,'Prior Year'!P:P))/1000</f>
        <v>236844.75119000001</v>
      </c>
      <c r="P313" s="27">
        <f>(SUMIF('Prior Year'!$A:$A,$B313,'Prior Year'!Q:Q))/1000</f>
        <v>236125.34419</v>
      </c>
      <c r="Q313" s="27">
        <f>(SUMIF('Prior Year'!$A:$A,$B313,'Prior Year'!R:R))/1000</f>
        <v>235405.93719</v>
      </c>
      <c r="R313" s="27">
        <f>(SUMIF('Prior Year'!$A:$A,$B313,'Prior Year'!S:S))/1000</f>
        <v>234686.52019000001</v>
      </c>
      <c r="S313" s="150">
        <f t="shared" si="40"/>
        <v>235007.95427307693</v>
      </c>
      <c r="T313" s="413" t="s">
        <v>421</v>
      </c>
      <c r="U313" s="35"/>
      <c r="V313" s="35"/>
      <c r="W313" s="35"/>
      <c r="X313" s="35"/>
      <c r="Y313" s="35"/>
    </row>
    <row r="314" spans="1:25" ht="15" hidden="1" customHeight="1">
      <c r="A314" s="142">
        <v>33</v>
      </c>
      <c r="B314" s="86" t="s">
        <v>485</v>
      </c>
      <c r="C314" s="14" t="s">
        <v>486</v>
      </c>
      <c r="D314" s="142"/>
      <c r="E314" s="142"/>
      <c r="F314" s="27">
        <f>(SUMIF('Prior Year'!$A:$A,$B314,'Prior Year'!G:G))/1000</f>
        <v>-7.8761200000000002</v>
      </c>
      <c r="G314" s="27">
        <f>(SUMIF('Prior Year'!$A:$A,$B314,'Prior Year'!H:H))/1000</f>
        <v>-7.8761200000000002</v>
      </c>
      <c r="H314" s="27">
        <f>(SUMIF('Prior Year'!$A:$A,$B314,'Prior Year'!I:I))/1000</f>
        <v>-7.8761200000000002</v>
      </c>
      <c r="I314" s="27">
        <f>(SUMIF('Prior Year'!$A:$A,$B314,'Prior Year'!J:J))/1000</f>
        <v>-7.8761200000000002</v>
      </c>
      <c r="J314" s="27">
        <f>(SUMIF('Prior Year'!$A:$A,$B314,'Prior Year'!K:K))/1000</f>
        <v>-7.8761200000000002</v>
      </c>
      <c r="K314" s="27">
        <f>(SUMIF('Prior Year'!$A:$A,$B314,'Prior Year'!L:L))/1000</f>
        <v>-7.8761200000000002</v>
      </c>
      <c r="L314" s="27">
        <f>(SUMIF('Prior Year'!$A:$A,$B314,'Prior Year'!M:M))/1000</f>
        <v>-7.8761200000000002</v>
      </c>
      <c r="M314" s="27">
        <f>(SUMIF('Prior Year'!$A:$A,$B314,'Prior Year'!N:N))/1000</f>
        <v>-7.8761200000000002</v>
      </c>
      <c r="N314" s="27">
        <f>(SUMIF('Prior Year'!$A:$A,$B314,'Prior Year'!O:O))/1000</f>
        <v>-7.8761200000000002</v>
      </c>
      <c r="O314" s="27">
        <f>(SUMIF('Prior Year'!$A:$A,$B314,'Prior Year'!P:P))/1000</f>
        <v>-7.8761200000000002</v>
      </c>
      <c r="P314" s="27">
        <f>(SUMIF('Prior Year'!$A:$A,$B314,'Prior Year'!Q:Q))/1000</f>
        <v>-7.8761200000000002</v>
      </c>
      <c r="Q314" s="27">
        <f>(SUMIF('Prior Year'!$A:$A,$B314,'Prior Year'!R:R))/1000</f>
        <v>-7.8761200000000002</v>
      </c>
      <c r="R314" s="27">
        <f>(SUMIF('Prior Year'!$A:$A,$B314,'Prior Year'!S:S))/1000</f>
        <v>-7.8761200000000002</v>
      </c>
      <c r="S314" s="150">
        <f t="shared" si="40"/>
        <v>-7.8761200000000002</v>
      </c>
      <c r="T314" s="413" t="s">
        <v>118</v>
      </c>
      <c r="U314" s="35"/>
      <c r="V314" s="35"/>
      <c r="W314" s="35"/>
      <c r="X314" s="35"/>
      <c r="Y314" s="35"/>
    </row>
    <row r="315" spans="1:25" ht="15" hidden="1" customHeight="1">
      <c r="A315" s="142">
        <v>34</v>
      </c>
      <c r="B315" s="86" t="s">
        <v>487</v>
      </c>
      <c r="C315" s="14" t="s">
        <v>488</v>
      </c>
      <c r="D315" s="142"/>
      <c r="E315" s="142"/>
      <c r="F315" s="27">
        <f>(SUMIF('Prior Year'!$A:$A,$B315,'Prior Year'!G:G))/1000</f>
        <v>0</v>
      </c>
      <c r="G315" s="27">
        <f>(SUMIF('Prior Year'!$A:$A,$B315,'Prior Year'!H:H))/1000</f>
        <v>0</v>
      </c>
      <c r="H315" s="27">
        <f>(SUMIF('Prior Year'!$A:$A,$B315,'Prior Year'!I:I))/1000</f>
        <v>0</v>
      </c>
      <c r="I315" s="27">
        <f>(SUMIF('Prior Year'!$A:$A,$B315,'Prior Year'!J:J))/1000</f>
        <v>0</v>
      </c>
      <c r="J315" s="27">
        <f>(SUMIF('Prior Year'!$A:$A,$B315,'Prior Year'!K:K))/1000</f>
        <v>0</v>
      </c>
      <c r="K315" s="27">
        <f>(SUMIF('Prior Year'!$A:$A,$B315,'Prior Year'!L:L))/1000</f>
        <v>0</v>
      </c>
      <c r="L315" s="27">
        <f>(SUMIF('Prior Year'!$A:$A,$B315,'Prior Year'!M:M))/1000</f>
        <v>0</v>
      </c>
      <c r="M315" s="27">
        <f>(SUMIF('Prior Year'!$A:$A,$B315,'Prior Year'!N:N))/1000</f>
        <v>0</v>
      </c>
      <c r="N315" s="27">
        <f>(SUMIF('Prior Year'!$A:$A,$B315,'Prior Year'!O:O))/1000</f>
        <v>0</v>
      </c>
      <c r="O315" s="27">
        <f>(SUMIF('Prior Year'!$A:$A,$B315,'Prior Year'!P:P))/1000</f>
        <v>0</v>
      </c>
      <c r="P315" s="27">
        <f>(SUMIF('Prior Year'!$A:$A,$B315,'Prior Year'!Q:Q))/1000</f>
        <v>0</v>
      </c>
      <c r="Q315" s="27">
        <f>(SUMIF('Prior Year'!$A:$A,$B315,'Prior Year'!R:R))/1000</f>
        <v>0</v>
      </c>
      <c r="R315" s="27">
        <f>(SUMIF('Prior Year'!$A:$A,$B315,'Prior Year'!S:S))/1000</f>
        <v>0</v>
      </c>
      <c r="S315" s="150">
        <f t="shared" si="40"/>
        <v>0</v>
      </c>
      <c r="T315" s="413" t="s">
        <v>118</v>
      </c>
      <c r="U315" s="35"/>
      <c r="V315" s="35"/>
      <c r="W315" s="35"/>
      <c r="X315" s="35"/>
      <c r="Y315" s="35"/>
    </row>
    <row r="316" spans="1:25" ht="15" hidden="1" customHeight="1">
      <c r="A316" s="142">
        <v>35</v>
      </c>
      <c r="B316" s="86" t="s">
        <v>489</v>
      </c>
      <c r="C316" s="14" t="s">
        <v>490</v>
      </c>
      <c r="D316" s="142"/>
      <c r="E316" s="142"/>
      <c r="F316" s="27">
        <f>(SUMIF('Prior Year'!$A:$A,$B316,'Prior Year'!G:G))/1000</f>
        <v>55086.302539999997</v>
      </c>
      <c r="G316" s="27">
        <f>(SUMIF('Prior Year'!$A:$A,$B316,'Prior Year'!H:H))/1000</f>
        <v>54923.09319</v>
      </c>
      <c r="H316" s="27">
        <f>(SUMIF('Prior Year'!$A:$A,$B316,'Prior Year'!I:I))/1000</f>
        <v>54759.891189999995</v>
      </c>
      <c r="I316" s="27">
        <f>(SUMIF('Prior Year'!$A:$A,$B316,'Prior Year'!J:J))/1000</f>
        <v>54596.689189999997</v>
      </c>
      <c r="J316" s="27">
        <f>(SUMIF('Prior Year'!$A:$A,$B316,'Prior Year'!K:K))/1000</f>
        <v>54433.48719</v>
      </c>
      <c r="K316" s="27">
        <f>(SUMIF('Prior Year'!$A:$A,$B316,'Prior Year'!L:L))/1000</f>
        <v>54270.285189999995</v>
      </c>
      <c r="L316" s="27">
        <f>(SUMIF('Prior Year'!$A:$A,$B316,'Prior Year'!M:M))/1000</f>
        <v>54107.083189999998</v>
      </c>
      <c r="M316" s="27">
        <f>(SUMIF('Prior Year'!$A:$A,$B316,'Prior Year'!N:N))/1000</f>
        <v>53943.88119</v>
      </c>
      <c r="N316" s="27">
        <f>(SUMIF('Prior Year'!$A:$A,$B316,'Prior Year'!O:O))/1000</f>
        <v>53780.679189999995</v>
      </c>
      <c r="O316" s="27">
        <f>(SUMIF('Prior Year'!$A:$A,$B316,'Prior Year'!P:P))/1000</f>
        <v>53617.477189999998</v>
      </c>
      <c r="P316" s="27">
        <f>(SUMIF('Prior Year'!$A:$A,$B316,'Prior Year'!Q:Q))/1000</f>
        <v>53454.27519</v>
      </c>
      <c r="Q316" s="27">
        <f>(SUMIF('Prior Year'!$A:$A,$B316,'Prior Year'!R:R))/1000</f>
        <v>53291.073189999996</v>
      </c>
      <c r="R316" s="27">
        <f>(SUMIF('Prior Year'!$A:$A,$B316,'Prior Year'!S:S))/1000</f>
        <v>53127.871189999998</v>
      </c>
      <c r="S316" s="150">
        <f t="shared" si="40"/>
        <v>54107.083755384614</v>
      </c>
      <c r="T316" s="144" t="s">
        <v>421</v>
      </c>
      <c r="U316" s="35"/>
      <c r="V316" s="35"/>
      <c r="W316" s="35"/>
      <c r="X316" s="35"/>
      <c r="Y316" s="35"/>
    </row>
    <row r="317" spans="1:25" ht="15" hidden="1" customHeight="1">
      <c r="A317" s="142">
        <v>36</v>
      </c>
      <c r="B317" s="86" t="s">
        <v>491</v>
      </c>
      <c r="C317" s="14" t="s">
        <v>490</v>
      </c>
      <c r="D317" s="142"/>
      <c r="E317" s="142"/>
      <c r="F317" s="27">
        <f>(SUMIF('Prior Year'!$A:$A,$B317,'Prior Year'!G:G))/1000</f>
        <v>1483702.4676700002</v>
      </c>
      <c r="G317" s="27">
        <f>(SUMIF('Prior Year'!$A:$A,$B317,'Prior Year'!H:H))/1000</f>
        <v>1491515.3282099999</v>
      </c>
      <c r="H317" s="27">
        <f>(SUMIF('Prior Year'!$A:$A,$B317,'Prior Year'!I:I))/1000</f>
        <v>1499524.8392100001</v>
      </c>
      <c r="I317" s="27">
        <f>(SUMIF('Prior Year'!$A:$A,$B317,'Prior Year'!J:J))/1000</f>
        <v>1502318.1272100001</v>
      </c>
      <c r="J317" s="27">
        <f>(SUMIF('Prior Year'!$A:$A,$B317,'Prior Year'!K:K))/1000</f>
        <v>1510204.8082099999</v>
      </c>
      <c r="K317" s="27">
        <f>(SUMIF('Prior Year'!$A:$A,$B317,'Prior Year'!L:L))/1000</f>
        <v>1518818.1122099999</v>
      </c>
      <c r="L317" s="27">
        <f>(SUMIF('Prior Year'!$A:$A,$B317,'Prior Year'!M:M))/1000</f>
        <v>1527054.4752100001</v>
      </c>
      <c r="M317" s="27">
        <f>(SUMIF('Prior Year'!$A:$A,$B317,'Prior Year'!N:N))/1000</f>
        <v>1535235.6232100001</v>
      </c>
      <c r="N317" s="27">
        <f>(SUMIF('Prior Year'!$A:$A,$B317,'Prior Year'!O:O))/1000</f>
        <v>1543403.15121</v>
      </c>
      <c r="O317" s="27">
        <f>(SUMIF('Prior Year'!$A:$A,$B317,'Prior Year'!P:P))/1000</f>
        <v>1560469.5022100001</v>
      </c>
      <c r="P317" s="27">
        <f>(SUMIF('Prior Year'!$A:$A,$B317,'Prior Year'!Q:Q))/1000</f>
        <v>1568612.5762100001</v>
      </c>
      <c r="Q317" s="27">
        <f>(SUMIF('Prior Year'!$A:$A,$B317,'Prior Year'!R:R))/1000</f>
        <v>1576790.55421</v>
      </c>
      <c r="R317" s="27">
        <f>(SUMIF('Prior Year'!$A:$A,$B317,'Prior Year'!S:S))/1000</f>
        <v>1581777.67221</v>
      </c>
      <c r="S317" s="150">
        <f t="shared" si="40"/>
        <v>1530725.1720915386</v>
      </c>
      <c r="T317" s="144" t="s">
        <v>421</v>
      </c>
      <c r="U317" s="35"/>
      <c r="V317" s="35"/>
      <c r="W317" s="35"/>
      <c r="X317" s="35"/>
      <c r="Y317" s="35"/>
    </row>
    <row r="318" spans="1:25" ht="15" hidden="1" customHeight="1">
      <c r="A318" s="142">
        <v>37</v>
      </c>
      <c r="B318" s="86" t="s">
        <v>492</v>
      </c>
      <c r="C318" s="14" t="s">
        <v>490</v>
      </c>
      <c r="D318" s="142"/>
      <c r="E318" s="142"/>
      <c r="F318" s="32">
        <f>(SUMIF('Prior Year'!$A:$A,$B318,'Prior Year'!G:G))/1000</f>
        <v>58119.338349999998</v>
      </c>
      <c r="G318" s="32">
        <f>(SUMIF('Prior Year'!$A:$A,$B318,'Prior Year'!H:H))/1000</f>
        <v>60621.440780000004</v>
      </c>
      <c r="H318" s="32">
        <f>(SUMIF('Prior Year'!$A:$A,$B318,'Prior Year'!I:I))/1000</f>
        <v>59359.214780000002</v>
      </c>
      <c r="I318" s="32">
        <f>(SUMIF('Prior Year'!$A:$A,$B318,'Prior Year'!J:J))/1000</f>
        <v>68738.946779999998</v>
      </c>
      <c r="J318" s="32">
        <f>(SUMIF('Prior Year'!$A:$A,$B318,'Prior Year'!K:K))/1000</f>
        <v>66176.706780000008</v>
      </c>
      <c r="K318" s="32">
        <f>(SUMIF('Prior Year'!$A:$A,$B318,'Prior Year'!L:L))/1000</f>
        <v>63969.592779999999</v>
      </c>
      <c r="L318" s="32">
        <f>(SUMIF('Prior Year'!$A:$A,$B318,'Prior Year'!M:M))/1000</f>
        <v>59322.809780000003</v>
      </c>
      <c r="M318" s="32">
        <f>(SUMIF('Prior Year'!$A:$A,$B318,'Prior Year'!N:N))/1000</f>
        <v>55495.193780000001</v>
      </c>
      <c r="N318" s="32">
        <f>(SUMIF('Prior Year'!$A:$A,$B318,'Prior Year'!O:O))/1000</f>
        <v>52181.517780000002</v>
      </c>
      <c r="O318" s="32">
        <f>(SUMIF('Prior Year'!$A:$A,$B318,'Prior Year'!P:P))/1000</f>
        <v>44900.424780000001</v>
      </c>
      <c r="P318" s="32">
        <f>(SUMIF('Prior Year'!$A:$A,$B318,'Prior Year'!Q:Q))/1000</f>
        <v>44997.872779999998</v>
      </c>
      <c r="Q318" s="32">
        <f>(SUMIF('Prior Year'!$A:$A,$B318,'Prior Year'!R:R))/1000</f>
        <v>45491.850780000001</v>
      </c>
      <c r="R318" s="32">
        <f>(SUMIF('Prior Year'!$A:$A,$B318,'Prior Year'!S:S))/1000</f>
        <v>47507.059780000003</v>
      </c>
      <c r="S318" s="155">
        <f t="shared" si="40"/>
        <v>55913.997669999997</v>
      </c>
      <c r="T318" s="144" t="s">
        <v>421</v>
      </c>
      <c r="U318" s="35"/>
      <c r="V318" s="35"/>
      <c r="W318" s="35"/>
      <c r="X318" s="35"/>
      <c r="Y318" s="35"/>
    </row>
    <row r="319" spans="1:25" ht="15" hidden="1" customHeight="1">
      <c r="A319" s="142">
        <v>38</v>
      </c>
      <c r="B319" s="35"/>
      <c r="C319" s="14"/>
      <c r="D319" s="142" t="s">
        <v>479</v>
      </c>
      <c r="E319" s="142"/>
      <c r="F319" s="163">
        <f>SUM(F309:F318)</f>
        <v>2387573.42943</v>
      </c>
      <c r="G319" s="163">
        <f t="shared" ref="G319:S319" si="41">SUM(G309:G318)</f>
        <v>2394478.0246330649</v>
      </c>
      <c r="H319" s="163">
        <f t="shared" si="41"/>
        <v>2400322.6981095746</v>
      </c>
      <c r="I319" s="163">
        <f t="shared" si="41"/>
        <v>2416950.6141728982</v>
      </c>
      <c r="J319" s="163">
        <f t="shared" si="41"/>
        <v>2415340.3678647489</v>
      </c>
      <c r="K319" s="163">
        <f t="shared" si="41"/>
        <v>2422737.2882729713</v>
      </c>
      <c r="L319" s="163">
        <f t="shared" si="41"/>
        <v>2429547.1650961195</v>
      </c>
      <c r="M319" s="163">
        <f t="shared" si="41"/>
        <v>2428574.1527576619</v>
      </c>
      <c r="N319" s="163">
        <f t="shared" si="41"/>
        <v>2434423.9344635862</v>
      </c>
      <c r="O319" s="163">
        <f t="shared" si="41"/>
        <v>2455220.582667659</v>
      </c>
      <c r="P319" s="163">
        <f t="shared" si="41"/>
        <v>2476740.8350756625</v>
      </c>
      <c r="Q319" s="163">
        <f t="shared" si="41"/>
        <v>2492297.3215039042</v>
      </c>
      <c r="R319" s="163">
        <f t="shared" si="41"/>
        <v>2499076.4529357217</v>
      </c>
      <c r="S319" s="163">
        <f t="shared" si="41"/>
        <v>2434867.9128448903</v>
      </c>
      <c r="T319" s="142"/>
      <c r="U319" s="35"/>
      <c r="V319" s="35"/>
      <c r="W319" s="35"/>
      <c r="X319" s="35"/>
      <c r="Y319" s="35"/>
    </row>
    <row r="320" spans="1:25" ht="15" hidden="1" customHeight="1">
      <c r="A320" s="142">
        <v>39</v>
      </c>
      <c r="B320" s="35"/>
      <c r="C320" s="14"/>
      <c r="D320" s="142"/>
      <c r="E320" s="142"/>
      <c r="F320" s="27"/>
      <c r="G320" s="27"/>
      <c r="H320" s="27"/>
      <c r="I320" s="27"/>
      <c r="J320" s="27"/>
      <c r="K320" s="27"/>
      <c r="L320" s="27"/>
      <c r="M320" s="27"/>
      <c r="N320" s="27"/>
      <c r="O320" s="27"/>
      <c r="P320" s="27"/>
      <c r="Q320" s="27"/>
      <c r="R320" s="27"/>
      <c r="S320" s="27"/>
      <c r="T320" s="142"/>
    </row>
    <row r="321" spans="1:23" ht="15" hidden="1" customHeight="1" thickBot="1">
      <c r="A321" s="142">
        <v>40</v>
      </c>
      <c r="B321" s="35"/>
      <c r="C321" s="14" t="s">
        <v>493</v>
      </c>
      <c r="D321" s="142"/>
      <c r="E321" s="142"/>
      <c r="F321" s="164">
        <f>F248+F255+F290+F306+F319</f>
        <v>12291169.29606</v>
      </c>
      <c r="G321" s="164">
        <f t="shared" ref="G321:R321" si="42">G248+G255+G290+G306+G319</f>
        <v>12290660.835076006</v>
      </c>
      <c r="H321" s="164">
        <f t="shared" si="42"/>
        <v>12329634.121218927</v>
      </c>
      <c r="I321" s="164">
        <f t="shared" si="42"/>
        <v>12404357.399791054</v>
      </c>
      <c r="J321" s="164">
        <f t="shared" si="42"/>
        <v>12499163.287713481</v>
      </c>
      <c r="K321" s="164">
        <f t="shared" si="42"/>
        <v>12594824.454153286</v>
      </c>
      <c r="L321" s="164">
        <f t="shared" si="42"/>
        <v>12732209.142713558</v>
      </c>
      <c r="M321" s="164">
        <f t="shared" si="42"/>
        <v>12822343.777086955</v>
      </c>
      <c r="N321" s="164">
        <f t="shared" si="42"/>
        <v>12869313.054058615</v>
      </c>
      <c r="O321" s="164">
        <f t="shared" si="42"/>
        <v>12944731.225117061</v>
      </c>
      <c r="P321" s="164">
        <f t="shared" si="42"/>
        <v>12965144.481875282</v>
      </c>
      <c r="Q321" s="164">
        <f t="shared" si="42"/>
        <v>12994456.314819794</v>
      </c>
      <c r="R321" s="164">
        <f t="shared" si="42"/>
        <v>13050021.784111336</v>
      </c>
      <c r="S321" s="164">
        <f>S248+S255+S290+S306+S319</f>
        <v>12676002.244138107</v>
      </c>
      <c r="T321" s="142"/>
    </row>
    <row r="322" spans="1:23" ht="15" hidden="1" customHeight="1" thickTop="1">
      <c r="A322" s="142">
        <v>41</v>
      </c>
      <c r="B322" s="142"/>
      <c r="C322" s="142"/>
      <c r="D322" s="142"/>
      <c r="E322" s="9" t="s">
        <v>501</v>
      </c>
      <c r="F322" s="578">
        <f>F239-F321</f>
        <v>0</v>
      </c>
      <c r="G322" s="578">
        <f t="shared" ref="G322:S322" si="43">G239-G321</f>
        <v>0</v>
      </c>
      <c r="H322" s="578">
        <f t="shared" si="43"/>
        <v>0</v>
      </c>
      <c r="I322" s="578">
        <f t="shared" si="43"/>
        <v>0</v>
      </c>
      <c r="J322" s="578">
        <f t="shared" si="43"/>
        <v>0</v>
      </c>
      <c r="K322" s="578">
        <f t="shared" si="43"/>
        <v>0</v>
      </c>
      <c r="L322" s="578">
        <f t="shared" si="43"/>
        <v>0</v>
      </c>
      <c r="M322" s="578">
        <f t="shared" si="43"/>
        <v>0</v>
      </c>
      <c r="N322" s="578">
        <f t="shared" si="43"/>
        <v>0</v>
      </c>
      <c r="O322" s="578">
        <f t="shared" si="43"/>
        <v>0</v>
      </c>
      <c r="P322" s="578">
        <f t="shared" si="43"/>
        <v>0</v>
      </c>
      <c r="Q322" s="578">
        <f t="shared" si="43"/>
        <v>0</v>
      </c>
      <c r="R322" s="578">
        <f t="shared" si="43"/>
        <v>0</v>
      </c>
      <c r="S322" s="578">
        <f t="shared" si="43"/>
        <v>0</v>
      </c>
      <c r="T322" s="142"/>
    </row>
    <row r="323" spans="1:23" ht="15" hidden="1" customHeight="1">
      <c r="A323" s="142">
        <v>42</v>
      </c>
      <c r="B323" s="142" t="s">
        <v>417</v>
      </c>
      <c r="C323" s="4"/>
      <c r="D323" s="4"/>
    </row>
    <row r="324" spans="1:23" ht="15" hidden="1" customHeight="1" thickBot="1">
      <c r="A324" s="145">
        <v>43</v>
      </c>
      <c r="B324" s="145" t="s">
        <v>67</v>
      </c>
      <c r="C324" s="1"/>
      <c r="D324" s="1"/>
      <c r="E324" s="1"/>
      <c r="F324" s="165"/>
      <c r="G324" s="165"/>
      <c r="H324" s="165"/>
      <c r="I324" s="165"/>
      <c r="J324" s="165"/>
      <c r="K324" s="165"/>
      <c r="L324" s="165"/>
      <c r="M324" s="165"/>
      <c r="N324" s="165"/>
      <c r="O324" s="165"/>
      <c r="P324" s="165"/>
      <c r="Q324" s="165"/>
      <c r="R324" s="165"/>
      <c r="S324" s="165"/>
      <c r="T324" s="100"/>
    </row>
    <row r="325" spans="1:23" ht="15" customHeight="1">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row>
    <row r="326" spans="1:23" ht="15" customHeight="1" thickBot="1">
      <c r="A326" s="1" t="s">
        <v>340</v>
      </c>
      <c r="B326" s="1"/>
      <c r="C326" s="1"/>
      <c r="D326" s="1"/>
      <c r="E326" s="1"/>
      <c r="F326" s="1"/>
      <c r="G326" s="1"/>
      <c r="H326" s="1"/>
      <c r="I326" s="1" t="s">
        <v>341</v>
      </c>
      <c r="J326" s="1"/>
      <c r="K326" s="1"/>
      <c r="L326" s="1"/>
      <c r="M326" s="1"/>
      <c r="N326" s="1"/>
      <c r="O326" s="1"/>
      <c r="P326" s="1"/>
      <c r="Q326" s="1"/>
      <c r="R326" s="1"/>
      <c r="S326" s="1"/>
      <c r="T326" s="3" t="s">
        <v>502</v>
      </c>
      <c r="U326" s="82" t="s">
        <v>73</v>
      </c>
    </row>
    <row r="327" spans="1:23" ht="15" customHeight="1">
      <c r="A327" s="4" t="s">
        <v>4</v>
      </c>
      <c r="B327" s="4"/>
      <c r="C327" s="4"/>
      <c r="D327" s="4"/>
      <c r="E327" s="4"/>
      <c r="F327" s="4" t="s">
        <v>343</v>
      </c>
      <c r="G327" s="4" t="s">
        <v>344</v>
      </c>
      <c r="H327" s="5"/>
      <c r="I327" s="5"/>
      <c r="J327" s="6"/>
      <c r="K327" s="6"/>
      <c r="L327" s="4"/>
      <c r="M327" s="6"/>
      <c r="N327" s="6"/>
      <c r="O327" s="6"/>
      <c r="P327" s="6"/>
      <c r="Q327" s="6" t="s">
        <v>7</v>
      </c>
      <c r="R327" s="4"/>
      <c r="S327" s="4"/>
      <c r="T327" s="7"/>
    </row>
    <row r="328" spans="1:23" ht="15" customHeight="1">
      <c r="A328" s="4"/>
      <c r="B328" s="4"/>
      <c r="C328" s="4"/>
      <c r="D328" s="4"/>
      <c r="E328" s="4"/>
      <c r="F328" s="4"/>
      <c r="G328" s="4" t="s">
        <v>345</v>
      </c>
      <c r="H328" s="5"/>
      <c r="I328" s="5"/>
      <c r="J328" s="9"/>
      <c r="K328" s="7"/>
      <c r="L328" s="4"/>
      <c r="M328" s="4"/>
      <c r="N328" s="4"/>
      <c r="O328" s="9"/>
      <c r="P328" s="9"/>
      <c r="Q328" s="9" t="s">
        <v>12</v>
      </c>
      <c r="R328" s="7" t="str">
        <f>+$R$166</f>
        <v>Projected Test Year Ended 12/31/2025</v>
      </c>
      <c r="S328" s="4"/>
      <c r="T328" s="9"/>
    </row>
    <row r="329" spans="1:23" ht="15" customHeight="1">
      <c r="A329" s="4" t="s">
        <v>10</v>
      </c>
      <c r="B329" s="4"/>
      <c r="C329" s="4"/>
      <c r="D329" s="4"/>
      <c r="E329" s="4"/>
      <c r="F329" s="4"/>
      <c r="G329" s="4" t="s">
        <v>346</v>
      </c>
      <c r="H329" s="4"/>
      <c r="I329" s="4"/>
      <c r="J329" s="9"/>
      <c r="K329" s="7"/>
      <c r="L329" s="9"/>
      <c r="M329" s="4"/>
      <c r="N329" s="4"/>
      <c r="O329" s="4"/>
      <c r="P329" s="4"/>
      <c r="R329" s="7" t="str">
        <f>+$R$167</f>
        <v>Projected Prior Year Ended 12/31/2024</v>
      </c>
      <c r="S329" s="4"/>
      <c r="T329" s="9"/>
    </row>
    <row r="330" spans="1:23" ht="15" customHeight="1">
      <c r="A330" s="4"/>
      <c r="B330" s="4"/>
      <c r="C330" s="4"/>
      <c r="D330" s="4"/>
      <c r="E330" s="4"/>
      <c r="F330" s="4"/>
      <c r="G330" s="4"/>
      <c r="H330" s="4"/>
      <c r="I330" s="4"/>
      <c r="J330" s="9"/>
      <c r="K330" s="7"/>
      <c r="L330" s="9"/>
      <c r="M330" s="4"/>
      <c r="N330" s="4"/>
      <c r="O330" s="4"/>
      <c r="P330" s="4"/>
      <c r="R330" s="7" t="str">
        <f>+$R$168</f>
        <v>Historical Prior Year Ended 12/31/2023</v>
      </c>
      <c r="S330" s="4"/>
      <c r="T330" s="9"/>
    </row>
    <row r="331" spans="1:23" ht="15" customHeight="1" thickBot="1">
      <c r="A331" s="2" t="str">
        <f>A169</f>
        <v>Docket No.</v>
      </c>
      <c r="B331" s="2"/>
      <c r="C331" s="1"/>
      <c r="D331" s="1"/>
      <c r="E331" s="1"/>
      <c r="F331" s="1"/>
      <c r="G331" s="1"/>
      <c r="H331" s="1"/>
      <c r="I331" s="2" t="s">
        <v>15</v>
      </c>
      <c r="J331" s="10"/>
      <c r="K331" s="1"/>
      <c r="L331" s="1"/>
      <c r="M331" s="1"/>
      <c r="N331" s="1"/>
      <c r="O331" s="1"/>
      <c r="P331" s="1"/>
      <c r="Q331" s="1"/>
      <c r="R331" s="2" t="str">
        <f>R277</f>
        <v>Witness:</v>
      </c>
      <c r="S331" s="1"/>
      <c r="T331" s="1"/>
    </row>
    <row r="332" spans="1:23" ht="15" customHeight="1">
      <c r="A332" s="142"/>
      <c r="B332" s="142"/>
      <c r="C332" s="143"/>
      <c r="D332" s="143"/>
      <c r="E332" s="143"/>
      <c r="F332" s="143" t="s">
        <v>17</v>
      </c>
      <c r="G332" s="143" t="s">
        <v>18</v>
      </c>
      <c r="H332" s="143" t="s">
        <v>19</v>
      </c>
      <c r="I332" s="143" t="s">
        <v>20</v>
      </c>
      <c r="J332" s="143" t="s">
        <v>21</v>
      </c>
      <c r="K332" s="143" t="s">
        <v>22</v>
      </c>
      <c r="L332" s="143" t="s">
        <v>23</v>
      </c>
      <c r="M332" s="143" t="s">
        <v>24</v>
      </c>
      <c r="N332" s="143" t="s">
        <v>25</v>
      </c>
      <c r="O332" s="143" t="s">
        <v>26</v>
      </c>
      <c r="P332" s="143" t="s">
        <v>348</v>
      </c>
      <c r="Q332" s="143" t="s">
        <v>349</v>
      </c>
      <c r="R332" s="143" t="s">
        <v>350</v>
      </c>
      <c r="S332" s="143" t="s">
        <v>351</v>
      </c>
      <c r="T332" s="143" t="s">
        <v>352</v>
      </c>
    </row>
    <row r="333" spans="1:23" ht="15" customHeight="1">
      <c r="A333" s="142"/>
      <c r="B333" s="142"/>
      <c r="C333" s="142"/>
      <c r="D333" s="142"/>
      <c r="E333" s="142"/>
      <c r="F333" s="142"/>
      <c r="G333" s="142"/>
      <c r="H333" s="144"/>
      <c r="I333" s="144"/>
      <c r="J333" s="144"/>
      <c r="K333" s="144"/>
      <c r="L333" s="144"/>
      <c r="M333" s="144"/>
      <c r="N333" s="144"/>
      <c r="O333" s="144"/>
      <c r="P333" s="144"/>
      <c r="Q333" s="144"/>
      <c r="R333" s="144"/>
      <c r="S333" s="144" t="s">
        <v>353</v>
      </c>
      <c r="T333" s="144" t="s">
        <v>354</v>
      </c>
    </row>
    <row r="334" spans="1:23" ht="15" customHeight="1">
      <c r="A334" s="142" t="s">
        <v>35</v>
      </c>
      <c r="B334" s="144" t="s">
        <v>355</v>
      </c>
      <c r="C334" s="144" t="s">
        <v>356</v>
      </c>
      <c r="D334" s="144"/>
      <c r="E334" s="144"/>
      <c r="F334" s="144" t="s">
        <v>357</v>
      </c>
      <c r="G334" s="144" t="s">
        <v>358</v>
      </c>
      <c r="H334" s="144" t="s">
        <v>359</v>
      </c>
      <c r="I334" s="144" t="s">
        <v>360</v>
      </c>
      <c r="J334" s="144" t="s">
        <v>361</v>
      </c>
      <c r="K334" s="144" t="s">
        <v>362</v>
      </c>
      <c r="L334" s="144" t="s">
        <v>363</v>
      </c>
      <c r="M334" s="144" t="s">
        <v>364</v>
      </c>
      <c r="N334" s="144" t="s">
        <v>365</v>
      </c>
      <c r="O334" s="144" t="s">
        <v>366</v>
      </c>
      <c r="P334" s="144" t="s">
        <v>367</v>
      </c>
      <c r="Q334" s="144" t="s">
        <v>368</v>
      </c>
      <c r="R334" s="144" t="s">
        <v>357</v>
      </c>
      <c r="S334" s="144" t="s">
        <v>369</v>
      </c>
      <c r="T334" s="144" t="s">
        <v>370</v>
      </c>
    </row>
    <row r="335" spans="1:23" ht="15" customHeight="1" thickBot="1">
      <c r="A335" s="145" t="s">
        <v>46</v>
      </c>
      <c r="B335" s="146" t="s">
        <v>371</v>
      </c>
      <c r="C335" s="146" t="s">
        <v>372</v>
      </c>
      <c r="D335" s="146"/>
      <c r="E335" s="146"/>
      <c r="F335" s="147">
        <v>2024</v>
      </c>
      <c r="G335" s="147">
        <v>2025</v>
      </c>
      <c r="H335" s="147">
        <v>2025</v>
      </c>
      <c r="I335" s="147">
        <v>2025</v>
      </c>
      <c r="J335" s="147">
        <v>2025</v>
      </c>
      <c r="K335" s="147">
        <v>2025</v>
      </c>
      <c r="L335" s="147">
        <v>2025</v>
      </c>
      <c r="M335" s="147">
        <v>2025</v>
      </c>
      <c r="N335" s="147">
        <v>2025</v>
      </c>
      <c r="O335" s="147">
        <v>2025</v>
      </c>
      <c r="P335" s="147">
        <v>2025</v>
      </c>
      <c r="Q335" s="147">
        <v>2025</v>
      </c>
      <c r="R335" s="147">
        <v>2025</v>
      </c>
      <c r="S335" s="147">
        <v>2025</v>
      </c>
      <c r="T335" s="146" t="s">
        <v>373</v>
      </c>
    </row>
    <row r="336" spans="1:23" ht="15" customHeight="1">
      <c r="A336" s="142">
        <v>1</v>
      </c>
      <c r="B336" s="411" t="s">
        <v>374</v>
      </c>
      <c r="C336" s="103" t="s">
        <v>375</v>
      </c>
      <c r="D336" s="103"/>
      <c r="E336" s="103"/>
      <c r="F336" s="332">
        <f>(SUMIF('Test Year'!$A:$A,"101",'Test Year'!G:G)+SUMIF('Test Year'!$A:$A,"106",'Test Year'!G:G))/1000</f>
        <v>13644133.608581899</v>
      </c>
      <c r="G336" s="332">
        <f>(SUMIF('Test Year'!$A:$A,"101",'Test Year'!H:H)+SUMIF('Test Year'!$A:$A,"106",'Test Year'!H:H))/1000</f>
        <v>13682864.868953461</v>
      </c>
      <c r="H336" s="332">
        <f>(SUMIF('Test Year'!$A:$A,"101",'Test Year'!I:I)+SUMIF('Test Year'!$A:$A,"106",'Test Year'!I:I))/1000</f>
        <v>13757291.073174685</v>
      </c>
      <c r="I336" s="332">
        <f>(SUMIF('Test Year'!$A:$A,"101",'Test Year'!J:J)+SUMIF('Test Year'!$A:$A,"106",'Test Year'!J:J))/1000</f>
        <v>13809780.496186282</v>
      </c>
      <c r="J336" s="332">
        <f>(SUMIF('Test Year'!$A:$A,"101",'Test Year'!K:K)+SUMIF('Test Year'!$A:$A,"106",'Test Year'!K:K))/1000</f>
        <v>14041323.311505234</v>
      </c>
      <c r="K336" s="332">
        <f>(SUMIF('Test Year'!$A:$A,"101",'Test Year'!L:L)+SUMIF('Test Year'!$A:$A,"106",'Test Year'!L:L))/1000</f>
        <v>14337874.054904759</v>
      </c>
      <c r="L336" s="332">
        <f>(SUMIF('Test Year'!$A:$A,"101",'Test Year'!M:M)+SUMIF('Test Year'!$A:$A,"106",'Test Year'!M:M))/1000</f>
        <v>14730317.14057433</v>
      </c>
      <c r="M336" s="332">
        <f>(SUMIF('Test Year'!$A:$A,"101",'Test Year'!N:N)+SUMIF('Test Year'!$A:$A,"106",'Test Year'!N:N))/1000</f>
        <v>14786878.635699656</v>
      </c>
      <c r="N336" s="332">
        <f>(SUMIF('Test Year'!$A:$A,"101",'Test Year'!O:O)+SUMIF('Test Year'!$A:$A,"106",'Test Year'!O:O))/1000</f>
        <v>14852102.609014792</v>
      </c>
      <c r="O336" s="332">
        <f>(SUMIF('Test Year'!$A:$A,"101",'Test Year'!P:P)+SUMIF('Test Year'!$A:$A,"106",'Test Year'!P:P))/1000</f>
        <v>14921275.291785734</v>
      </c>
      <c r="P336" s="332">
        <f>(SUMIF('Test Year'!$A:$A,"101",'Test Year'!Q:Q)+SUMIF('Test Year'!$A:$A,"106",'Test Year'!Q:Q))/1000</f>
        <v>14989366.342380067</v>
      </c>
      <c r="Q336" s="332">
        <f>(SUMIF('Test Year'!$A:$A,"101",'Test Year'!R:R)+SUMIF('Test Year'!$A:$A,"106",'Test Year'!R:R))/1000</f>
        <v>15031509.265745381</v>
      </c>
      <c r="R336" s="332">
        <f>(SUMIF('Test Year'!$A:$A,"101",'Test Year'!S:S)+SUMIF('Test Year'!$A:$A,"106",'Test Year'!S:S))/1000</f>
        <v>15445340.775741311</v>
      </c>
      <c r="S336" s="390">
        <f>AVERAGE(F336:R336)</f>
        <v>14463850.574942123</v>
      </c>
      <c r="T336" s="144" t="s">
        <v>376</v>
      </c>
    </row>
    <row r="337" spans="1:22" ht="15" customHeight="1">
      <c r="A337" s="142">
        <v>2</v>
      </c>
      <c r="B337" s="407" t="s">
        <v>377</v>
      </c>
      <c r="C337" s="14" t="s">
        <v>378</v>
      </c>
      <c r="D337" s="142"/>
      <c r="E337" s="142"/>
      <c r="F337" s="27">
        <f>(SUMIF('Test Year'!$A:$A,$B337,'Test Year'!G:G))/1000</f>
        <v>0</v>
      </c>
      <c r="G337" s="27">
        <f>(SUMIF('Test Year'!$A:$A,$B337,'Test Year'!H:H))/1000</f>
        <v>0</v>
      </c>
      <c r="H337" s="27">
        <f>(SUMIF('Test Year'!$A:$A,$B337,'Test Year'!I:I))/1000</f>
        <v>0</v>
      </c>
      <c r="I337" s="27">
        <f>(SUMIF('Test Year'!$A:$A,$B337,'Test Year'!J:J))/1000</f>
        <v>0</v>
      </c>
      <c r="J337" s="27">
        <f>(SUMIF('Test Year'!$A:$A,$B337,'Test Year'!K:K))/1000</f>
        <v>0</v>
      </c>
      <c r="K337" s="27">
        <f>(SUMIF('Test Year'!$A:$A,$B337,'Test Year'!L:L))/1000</f>
        <v>0</v>
      </c>
      <c r="L337" s="27">
        <f>(SUMIF('Test Year'!$A:$A,$B337,'Test Year'!M:M))/1000</f>
        <v>0</v>
      </c>
      <c r="M337" s="27">
        <f>(SUMIF('Test Year'!$A:$A,$B337,'Test Year'!N:N))/1000</f>
        <v>0</v>
      </c>
      <c r="N337" s="27">
        <f>(SUMIF('Test Year'!$A:$A,$B337,'Test Year'!O:O))/1000</f>
        <v>0</v>
      </c>
      <c r="O337" s="27">
        <f>(SUMIF('Test Year'!$A:$A,$B337,'Test Year'!P:P))/1000</f>
        <v>0</v>
      </c>
      <c r="P337" s="27">
        <f>(SUMIF('Test Year'!$A:$A,$B337,'Test Year'!Q:Q))/1000</f>
        <v>0</v>
      </c>
      <c r="Q337" s="27">
        <f>(SUMIF('Test Year'!$A:$A,$B337,'Test Year'!R:R))/1000</f>
        <v>0</v>
      </c>
      <c r="R337" s="27">
        <f>(SUMIF('Test Year'!$A:$A,$B337,'Test Year'!S:S))/1000</f>
        <v>0</v>
      </c>
      <c r="S337" s="150">
        <f t="shared" ref="S337:S341" si="44">AVERAGE(F337:R337)</f>
        <v>0</v>
      </c>
      <c r="T337" s="144" t="s">
        <v>376</v>
      </c>
    </row>
    <row r="338" spans="1:22" ht="15" customHeight="1">
      <c r="A338" s="142">
        <v>3</v>
      </c>
      <c r="B338" s="407" t="s">
        <v>379</v>
      </c>
      <c r="C338" s="14" t="s">
        <v>380</v>
      </c>
      <c r="D338" s="142"/>
      <c r="E338" s="142"/>
      <c r="F338" s="27">
        <f>(SUMIF('Test Year'!$A:$A,$B338,'Test Year'!G:G))/1000</f>
        <v>64262.399530000002</v>
      </c>
      <c r="G338" s="27">
        <f>(SUMIF('Test Year'!$A:$A,$B338,'Test Year'!H:H))/1000</f>
        <v>64262.399530000002</v>
      </c>
      <c r="H338" s="27">
        <f>(SUMIF('Test Year'!$A:$A,$B338,'Test Year'!I:I))/1000</f>
        <v>70262.399529999995</v>
      </c>
      <c r="I338" s="27">
        <f>(SUMIF('Test Year'!$A:$A,$B338,'Test Year'!J:J))/1000</f>
        <v>70262.399529999995</v>
      </c>
      <c r="J338" s="27">
        <f>(SUMIF('Test Year'!$A:$A,$B338,'Test Year'!K:K))/1000</f>
        <v>70262.399529999995</v>
      </c>
      <c r="K338" s="27">
        <f>(SUMIF('Test Year'!$A:$A,$B338,'Test Year'!L:L))/1000</f>
        <v>70262.399529999995</v>
      </c>
      <c r="L338" s="27">
        <f>(SUMIF('Test Year'!$A:$A,$B338,'Test Year'!M:M))/1000</f>
        <v>70264.952269999994</v>
      </c>
      <c r="M338" s="27">
        <f>(SUMIF('Test Year'!$A:$A,$B338,'Test Year'!N:N))/1000</f>
        <v>70264.952269999994</v>
      </c>
      <c r="N338" s="27">
        <f>(SUMIF('Test Year'!$A:$A,$B338,'Test Year'!O:O))/1000</f>
        <v>70264.952269999994</v>
      </c>
      <c r="O338" s="27">
        <f>(SUMIF('Test Year'!$A:$A,$B338,'Test Year'!P:P))/1000</f>
        <v>70764.952269999994</v>
      </c>
      <c r="P338" s="27">
        <f>(SUMIF('Test Year'!$A:$A,$B338,'Test Year'!Q:Q))/1000</f>
        <v>70764.952269999994</v>
      </c>
      <c r="Q338" s="27">
        <f>(SUMIF('Test Year'!$A:$A,$B338,'Test Year'!R:R))/1000</f>
        <v>70764.952269999994</v>
      </c>
      <c r="R338" s="27">
        <f>(SUMIF('Test Year'!$A:$A,$B338,'Test Year'!S:S))/1000</f>
        <v>70764.952269999994</v>
      </c>
      <c r="S338" s="150">
        <f t="shared" si="44"/>
        <v>69494.543313076923</v>
      </c>
      <c r="T338" s="144" t="s">
        <v>376</v>
      </c>
      <c r="U338" s="92"/>
    </row>
    <row r="339" spans="1:22" ht="15" customHeight="1">
      <c r="A339" s="142">
        <v>4</v>
      </c>
      <c r="B339" s="407" t="s">
        <v>381</v>
      </c>
      <c r="C339" s="14" t="s">
        <v>382</v>
      </c>
      <c r="D339" s="142"/>
      <c r="E339" s="142"/>
      <c r="F339" s="27">
        <f>(SUMIF('Test Year'!$A:$A,$B339,'Test Year'!G:G))/1000</f>
        <v>1082288.9041300002</v>
      </c>
      <c r="G339" s="27">
        <f>(SUMIF('Test Year'!$A:$A,$B339,'Test Year'!H:H))/1000</f>
        <v>1214318.4979300001</v>
      </c>
      <c r="H339" s="27">
        <f>(SUMIF('Test Year'!$A:$A,$B339,'Test Year'!I:I))/1000</f>
        <v>1262739.75125</v>
      </c>
      <c r="I339" s="27">
        <f>(SUMIF('Test Year'!$A:$A,$B339,'Test Year'!J:J))/1000</f>
        <v>1343231.8840099999</v>
      </c>
      <c r="J339" s="27">
        <f>(SUMIF('Test Year'!$A:$A,$B339,'Test Year'!K:K))/1000</f>
        <v>1234133.48172</v>
      </c>
      <c r="K339" s="27">
        <f>(SUMIF('Test Year'!$A:$A,$B339,'Test Year'!L:L))/1000</f>
        <v>1049240.1589800001</v>
      </c>
      <c r="L339" s="27">
        <f>(SUMIF('Test Year'!$A:$A,$B339,'Test Year'!M:M))/1000</f>
        <v>826404.68528999994</v>
      </c>
      <c r="M339" s="27">
        <f>(SUMIF('Test Year'!$A:$A,$B339,'Test Year'!N:N))/1000</f>
        <v>945656.79655999993</v>
      </c>
      <c r="N339" s="27">
        <f>(SUMIF('Test Year'!$A:$A,$B339,'Test Year'!O:O))/1000</f>
        <v>974098.32690999995</v>
      </c>
      <c r="O339" s="27">
        <f>(SUMIF('Test Year'!$A:$A,$B339,'Test Year'!P:P))/1000</f>
        <v>989658.22541999992</v>
      </c>
      <c r="P339" s="27">
        <f>(SUMIF('Test Year'!$A:$A,$B339,'Test Year'!Q:Q))/1000</f>
        <v>996139.25525000005</v>
      </c>
      <c r="Q339" s="27">
        <f>(SUMIF('Test Year'!$A:$A,$B339,'Test Year'!R:R))/1000</f>
        <v>1026714.72187</v>
      </c>
      <c r="R339" s="27">
        <f>(SUMIF('Test Year'!$A:$A,$B339,'Test Year'!S:S))/1000</f>
        <v>711966.47315999994</v>
      </c>
      <c r="S339" s="150">
        <f t="shared" si="44"/>
        <v>1050507.0124984616</v>
      </c>
      <c r="T339" s="144" t="s">
        <v>376</v>
      </c>
    </row>
    <row r="340" spans="1:22" ht="15" customHeight="1">
      <c r="A340" s="142">
        <v>5</v>
      </c>
      <c r="B340" s="405" t="s">
        <v>383</v>
      </c>
      <c r="C340" s="14" t="s">
        <v>384</v>
      </c>
      <c r="D340" s="142"/>
      <c r="E340" s="142"/>
      <c r="F340" s="414">
        <f>(SUMIF('Test Year'!$A:$A,"108",'Test Year'!G:G)+SUMIF('Test Year'!$A:$A,"111",'Test Year'!G:G)+SUMIF('Test Year'!$A:$A,"115",'Test Year'!G:G))/1000</f>
        <v>-3980373.4702300001</v>
      </c>
      <c r="G340" s="414">
        <f>(SUMIF('Test Year'!$A:$A,"108",'Test Year'!H:H)+SUMIF('Test Year'!$A:$A,"111",'Test Year'!H:H)+SUMIF('Test Year'!$A:$A,"115",'Test Year'!H:H))/1000</f>
        <v>-4004846.8232000005</v>
      </c>
      <c r="H340" s="414">
        <f>(SUMIF('Test Year'!$A:$A,"108",'Test Year'!I:I)+SUMIF('Test Year'!$A:$A,"111",'Test Year'!I:I)+SUMIF('Test Year'!$A:$A,"115",'Test Year'!I:I))/1000</f>
        <v>-4040951.67876</v>
      </c>
      <c r="I340" s="414">
        <f>(SUMIF('Test Year'!$A:$A,"108",'Test Year'!J:J)+SUMIF('Test Year'!$A:$A,"111",'Test Year'!J:J)+SUMIF('Test Year'!$A:$A,"115",'Test Year'!J:J))/1000</f>
        <v>-4074134.1877400004</v>
      </c>
      <c r="J340" s="414">
        <f>(SUMIF('Test Year'!$A:$A,"108",'Test Year'!K:K)+SUMIF('Test Year'!$A:$A,"111",'Test Year'!K:K)+SUMIF('Test Year'!$A:$A,"115",'Test Year'!K:K))/1000</f>
        <v>-4109334.2864500005</v>
      </c>
      <c r="K340" s="414">
        <f>(SUMIF('Test Year'!$A:$A,"108",'Test Year'!L:L)+SUMIF('Test Year'!$A:$A,"111",'Test Year'!L:L)+SUMIF('Test Year'!$A:$A,"115",'Test Year'!L:L))/1000</f>
        <v>-4126458.7408600003</v>
      </c>
      <c r="L340" s="414">
        <f>(SUMIF('Test Year'!$A:$A,"108",'Test Year'!M:M)+SUMIF('Test Year'!$A:$A,"111",'Test Year'!M:M)+SUMIF('Test Year'!$A:$A,"115",'Test Year'!M:M))/1000</f>
        <v>-4160185.3361200006</v>
      </c>
      <c r="M340" s="414">
        <f>(SUMIF('Test Year'!$A:$A,"108",'Test Year'!N:N)+SUMIF('Test Year'!$A:$A,"111",'Test Year'!N:N)+SUMIF('Test Year'!$A:$A,"115",'Test Year'!N:N))/1000</f>
        <v>-4196079.4878200004</v>
      </c>
      <c r="N340" s="414">
        <f>(SUMIF('Test Year'!$A:$A,"108",'Test Year'!O:O)+SUMIF('Test Year'!$A:$A,"111",'Test Year'!O:O)+SUMIF('Test Year'!$A:$A,"115",'Test Year'!O:O))/1000</f>
        <v>-4235433.9975000005</v>
      </c>
      <c r="O340" s="414">
        <f>(SUMIF('Test Year'!$A:$A,"108",'Test Year'!P:P)+SUMIF('Test Year'!$A:$A,"111",'Test Year'!P:P)+SUMIF('Test Year'!$A:$A,"115",'Test Year'!P:P))/1000</f>
        <v>-4272317.9975300003</v>
      </c>
      <c r="P340" s="414">
        <f>(SUMIF('Test Year'!$A:$A,"108",'Test Year'!Q:Q)+SUMIF('Test Year'!$A:$A,"111",'Test Year'!Q:Q)+SUMIF('Test Year'!$A:$A,"115",'Test Year'!Q:Q))/1000</f>
        <v>-4302600.9471900007</v>
      </c>
      <c r="Q340" s="414">
        <f>(SUMIF('Test Year'!$A:$A,"108",'Test Year'!R:R)+SUMIF('Test Year'!$A:$A,"111",'Test Year'!R:R)+SUMIF('Test Year'!$A:$A,"115",'Test Year'!R:R))/1000</f>
        <v>-4340494.89805</v>
      </c>
      <c r="R340" s="414">
        <f>(SUMIF('Test Year'!$A:$A,"108",'Test Year'!S:S)+SUMIF('Test Year'!$A:$A,"111",'Test Year'!S:S)+SUMIF('Test Year'!$A:$A,"115",'Test Year'!S:S))/1000</f>
        <v>-4362242.9645300005</v>
      </c>
      <c r="S340" s="150">
        <f t="shared" si="44"/>
        <v>-4169650.3704600004</v>
      </c>
      <c r="T340" s="144" t="s">
        <v>376</v>
      </c>
      <c r="U340" s="92"/>
    </row>
    <row r="341" spans="1:22" ht="15" customHeight="1">
      <c r="A341" s="142">
        <v>6</v>
      </c>
      <c r="B341" s="408" t="s">
        <v>385</v>
      </c>
      <c r="C341" s="14" t="s">
        <v>386</v>
      </c>
      <c r="D341" s="142"/>
      <c r="E341" s="142"/>
      <c r="F341" s="32">
        <f>(SUMIF('Test Year'!$A:$A,$B341,'Test Year'!G:G))/1000</f>
        <v>7484.82276</v>
      </c>
      <c r="G341" s="32">
        <f>(SUMIF('Test Year'!$A:$A,$B341,'Test Year'!H:H))/1000</f>
        <v>7484.82276</v>
      </c>
      <c r="H341" s="32">
        <f>(SUMIF('Test Year'!$A:$A,$B341,'Test Year'!I:I))/1000</f>
        <v>7484.82276</v>
      </c>
      <c r="I341" s="32">
        <f>(SUMIF('Test Year'!$A:$A,$B341,'Test Year'!J:J))/1000</f>
        <v>7484.82276</v>
      </c>
      <c r="J341" s="32">
        <f>(SUMIF('Test Year'!$A:$A,$B341,'Test Year'!K:K))/1000</f>
        <v>7484.82276</v>
      </c>
      <c r="K341" s="32">
        <f>(SUMIF('Test Year'!$A:$A,$B341,'Test Year'!L:L))/1000</f>
        <v>7484.82276</v>
      </c>
      <c r="L341" s="32">
        <f>(SUMIF('Test Year'!$A:$A,$B341,'Test Year'!M:M))/1000</f>
        <v>7484.82276</v>
      </c>
      <c r="M341" s="32">
        <f>(SUMIF('Test Year'!$A:$A,$B341,'Test Year'!N:N))/1000</f>
        <v>7484.82276</v>
      </c>
      <c r="N341" s="32">
        <f>(SUMIF('Test Year'!$A:$A,$B341,'Test Year'!O:O))/1000</f>
        <v>7484.82276</v>
      </c>
      <c r="O341" s="32">
        <f>(SUMIF('Test Year'!$A:$A,$B341,'Test Year'!P:P))/1000</f>
        <v>7484.82276</v>
      </c>
      <c r="P341" s="32">
        <f>(SUMIF('Test Year'!$A:$A,$B341,'Test Year'!Q:Q))/1000</f>
        <v>7484.82276</v>
      </c>
      <c r="Q341" s="32">
        <f>(SUMIF('Test Year'!$A:$A,$B341,'Test Year'!R:R))/1000</f>
        <v>7484.82276</v>
      </c>
      <c r="R341" s="32">
        <f>(SUMIF('Test Year'!$A:$A,$B341,'Test Year'!S:S))/1000</f>
        <v>7484.82276</v>
      </c>
      <c r="S341" s="155">
        <f t="shared" si="44"/>
        <v>7484.8227599999991</v>
      </c>
      <c r="T341" s="144" t="s">
        <v>376</v>
      </c>
      <c r="U341" s="333" t="s">
        <v>387</v>
      </c>
    </row>
    <row r="342" spans="1:22" ht="15" customHeight="1">
      <c r="A342" s="142">
        <v>7</v>
      </c>
      <c r="B342" s="408"/>
      <c r="C342" s="14"/>
      <c r="D342" s="142" t="s">
        <v>388</v>
      </c>
      <c r="E342" s="142"/>
      <c r="F342" s="27">
        <f>SUM(F336:F341)</f>
        <v>10817796.264771899</v>
      </c>
      <c r="G342" s="27">
        <f t="shared" ref="G342:S342" si="45">SUM(G336:G341)</f>
        <v>10964083.76597346</v>
      </c>
      <c r="H342" s="27">
        <f t="shared" si="45"/>
        <v>11056826.367954686</v>
      </c>
      <c r="I342" s="27">
        <f t="shared" si="45"/>
        <v>11156625.414746283</v>
      </c>
      <c r="J342" s="27">
        <f t="shared" si="45"/>
        <v>11243869.729065234</v>
      </c>
      <c r="K342" s="27">
        <f t="shared" si="45"/>
        <v>11338402.695314759</v>
      </c>
      <c r="L342" s="27">
        <f t="shared" si="45"/>
        <v>11474286.26477433</v>
      </c>
      <c r="M342" s="27">
        <f t="shared" si="45"/>
        <v>11614205.719469655</v>
      </c>
      <c r="N342" s="27">
        <f t="shared" si="45"/>
        <v>11668516.713454792</v>
      </c>
      <c r="O342" s="27">
        <f t="shared" si="45"/>
        <v>11716865.294705734</v>
      </c>
      <c r="P342" s="27">
        <f t="shared" si="45"/>
        <v>11761154.425470065</v>
      </c>
      <c r="Q342" s="27">
        <f t="shared" si="45"/>
        <v>11795978.86459538</v>
      </c>
      <c r="R342" s="27">
        <f t="shared" si="45"/>
        <v>11873314.059401311</v>
      </c>
      <c r="S342" s="27">
        <f t="shared" si="45"/>
        <v>11421686.583053663</v>
      </c>
      <c r="T342" s="144"/>
      <c r="U342" s="167">
        <f>'B-1'!O117</f>
        <v>11421686.583000001</v>
      </c>
      <c r="V342" s="168" t="s">
        <v>389</v>
      </c>
    </row>
    <row r="343" spans="1:22" ht="15" customHeight="1">
      <c r="A343" s="142">
        <v>8</v>
      </c>
      <c r="B343" s="408"/>
      <c r="C343" s="14"/>
      <c r="D343" s="142"/>
      <c r="E343" s="142"/>
      <c r="F343" s="27"/>
      <c r="G343" s="27"/>
      <c r="H343" s="27"/>
      <c r="I343" s="27"/>
      <c r="J343" s="27"/>
      <c r="K343" s="27"/>
      <c r="L343" s="27"/>
      <c r="M343" s="27"/>
      <c r="N343" s="27"/>
      <c r="O343" s="27"/>
      <c r="P343" s="27"/>
      <c r="Q343" s="27"/>
      <c r="R343" s="27"/>
      <c r="S343" s="27"/>
      <c r="T343" s="144"/>
      <c r="U343" s="168">
        <f>+S342-U342</f>
        <v>5.3662806749343872E-5</v>
      </c>
      <c r="V343" s="168" t="s">
        <v>390</v>
      </c>
    </row>
    <row r="344" spans="1:22" ht="15" customHeight="1">
      <c r="A344" s="142">
        <v>9</v>
      </c>
      <c r="B344" s="408"/>
      <c r="C344" s="14" t="s">
        <v>391</v>
      </c>
      <c r="D344" s="142"/>
      <c r="E344" s="142"/>
      <c r="F344" s="27"/>
      <c r="G344" s="27"/>
      <c r="H344" s="27"/>
      <c r="I344" s="27"/>
      <c r="J344" s="27"/>
      <c r="K344" s="27"/>
      <c r="L344" s="27"/>
      <c r="M344" s="27"/>
      <c r="N344" s="27"/>
      <c r="O344" s="27"/>
      <c r="P344" s="27"/>
      <c r="Q344" s="27"/>
      <c r="R344" s="27"/>
      <c r="S344" s="27"/>
      <c r="T344" s="144"/>
      <c r="U344" s="169"/>
    </row>
    <row r="345" spans="1:22" ht="15" customHeight="1">
      <c r="A345" s="142">
        <v>10</v>
      </c>
      <c r="B345" s="408" t="s">
        <v>392</v>
      </c>
      <c r="C345" s="14" t="s">
        <v>266</v>
      </c>
      <c r="D345" s="142"/>
      <c r="E345" s="142"/>
      <c r="F345" s="27">
        <f>(SUMIF('Test Year'!$A:$A,$B345,'Test Year'!G:G))/1000</f>
        <v>24137.134539999999</v>
      </c>
      <c r="G345" s="27">
        <f>(SUMIF('Test Year'!$A:$A,$B345,'Test Year'!H:H))/1000</f>
        <v>24216.635353333302</v>
      </c>
      <c r="H345" s="27">
        <f>(SUMIF('Test Year'!$A:$A,$B345,'Test Year'!I:I))/1000</f>
        <v>24302.119289999999</v>
      </c>
      <c r="I345" s="27">
        <f>(SUMIF('Test Year'!$A:$A,$B345,'Test Year'!J:J))/1000</f>
        <v>24386.070516666699</v>
      </c>
      <c r="J345" s="27">
        <f>(SUMIF('Test Year'!$A:$A,$B345,'Test Year'!K:K))/1000</f>
        <v>24470.572623333301</v>
      </c>
      <c r="K345" s="27">
        <f>(SUMIF('Test Year'!$A:$A,$B345,'Test Year'!L:L))/1000</f>
        <v>24540.049289999999</v>
      </c>
      <c r="L345" s="27">
        <f>(SUMIF('Test Year'!$A:$A,$B345,'Test Year'!M:M))/1000</f>
        <v>24618.124826666703</v>
      </c>
      <c r="M345" s="27">
        <f>(SUMIF('Test Year'!$A:$A,$B345,'Test Year'!N:N))/1000</f>
        <v>24587.1591833333</v>
      </c>
      <c r="N345" s="27">
        <f>(SUMIF('Test Year'!$A:$A,$B345,'Test Year'!O:O))/1000</f>
        <v>24605.693019999999</v>
      </c>
      <c r="O345" s="27">
        <f>(SUMIF('Test Year'!$A:$A,$B345,'Test Year'!P:P))/1000</f>
        <v>24669.9467766667</v>
      </c>
      <c r="P345" s="27">
        <f>(SUMIF('Test Year'!$A:$A,$B345,'Test Year'!Q:Q))/1000</f>
        <v>24707.308053333301</v>
      </c>
      <c r="Q345" s="27">
        <f>(SUMIF('Test Year'!$A:$A,$B345,'Test Year'!R:R))/1000</f>
        <v>24808.146479999999</v>
      </c>
      <c r="R345" s="27">
        <f>(SUMIF('Test Year'!$A:$A,$B345,'Test Year'!S:S))/1000</f>
        <v>24891.627456666702</v>
      </c>
      <c r="S345" s="150">
        <f t="shared" ref="S345:S346" si="46">AVERAGE(F345:R345)</f>
        <v>24533.891339230773</v>
      </c>
      <c r="T345" s="144" t="s">
        <v>393</v>
      </c>
    </row>
    <row r="346" spans="1:22" ht="15" customHeight="1">
      <c r="A346" s="142">
        <v>11</v>
      </c>
      <c r="B346" s="408" t="s">
        <v>394</v>
      </c>
      <c r="C346" s="14" t="s">
        <v>267</v>
      </c>
      <c r="D346" s="142"/>
      <c r="E346" s="142"/>
      <c r="F346" s="32">
        <f>(SUMIF('Test Year'!$A:$A,$B346,'Test Year'!G:G))/1000</f>
        <v>-7869.60088</v>
      </c>
      <c r="G346" s="32">
        <f>(SUMIF('Test Year'!$A:$A,$B346,'Test Year'!H:H))/1000</f>
        <v>-7928.8322099999996</v>
      </c>
      <c r="H346" s="32">
        <f>(SUMIF('Test Year'!$A:$A,$B346,'Test Year'!I:I))/1000</f>
        <v>-7994.6067699999994</v>
      </c>
      <c r="I346" s="32">
        <f>(SUMIF('Test Year'!$A:$A,$B346,'Test Year'!J:J))/1000</f>
        <v>-8059.4422699999996</v>
      </c>
      <c r="J346" s="32">
        <f>(SUMIF('Test Year'!$A:$A,$B346,'Test Year'!K:K))/1000</f>
        <v>-8125.4136600000002</v>
      </c>
      <c r="K346" s="32">
        <f>(SUMIF('Test Year'!$A:$A,$B346,'Test Year'!L:L))/1000</f>
        <v>-8176.9477300000008</v>
      </c>
      <c r="L346" s="32">
        <f>(SUMIF('Test Year'!$A:$A,$B346,'Test Year'!M:M))/1000</f>
        <v>-8237.5848999999998</v>
      </c>
      <c r="M346" s="32">
        <f>(SUMIF('Test Year'!$A:$A,$B346,'Test Year'!N:N))/1000</f>
        <v>-8189.7331299999996</v>
      </c>
      <c r="N346" s="32">
        <f>(SUMIF('Test Year'!$A:$A,$B346,'Test Year'!O:O))/1000</f>
        <v>-8191.3242699999992</v>
      </c>
      <c r="O346" s="32">
        <f>(SUMIF('Test Year'!$A:$A,$B346,'Test Year'!P:P))/1000</f>
        <v>-8238.8551299999999</v>
      </c>
      <c r="P346" s="32">
        <f>(SUMIF('Test Year'!$A:$A,$B346,'Test Year'!Q:Q))/1000</f>
        <v>-8259.9685800000007</v>
      </c>
      <c r="Q346" s="32">
        <f>(SUMIF('Test Year'!$A:$A,$B346,'Test Year'!R:R))/1000</f>
        <v>-8344.8840899999996</v>
      </c>
      <c r="R346" s="32">
        <f>(SUMIF('Test Year'!$A:$A,$B346,'Test Year'!S:S))/1000</f>
        <v>-8408.9433000000008</v>
      </c>
      <c r="S346" s="155">
        <f t="shared" si="46"/>
        <v>-8155.8566861538466</v>
      </c>
      <c r="T346" s="144" t="s">
        <v>393</v>
      </c>
    </row>
    <row r="347" spans="1:22" ht="15" customHeight="1">
      <c r="A347" s="142">
        <v>12</v>
      </c>
      <c r="B347" s="144"/>
      <c r="C347" s="14"/>
      <c r="D347" s="142" t="s">
        <v>395</v>
      </c>
      <c r="E347" s="142"/>
      <c r="F347" s="27">
        <f>SUM(F345:F346)</f>
        <v>16267.533659999999</v>
      </c>
      <c r="G347" s="27">
        <f t="shared" ref="G347:S347" si="47">SUM(G345:G346)</f>
        <v>16287.803143333302</v>
      </c>
      <c r="H347" s="27">
        <f t="shared" si="47"/>
        <v>16307.51252</v>
      </c>
      <c r="I347" s="27">
        <f t="shared" si="47"/>
        <v>16326.6282466667</v>
      </c>
      <c r="J347" s="27">
        <f t="shared" si="47"/>
        <v>16345.158963333301</v>
      </c>
      <c r="K347" s="27">
        <f t="shared" si="47"/>
        <v>16363.101559999999</v>
      </c>
      <c r="L347" s="27">
        <f t="shared" si="47"/>
        <v>16380.539926666703</v>
      </c>
      <c r="M347" s="27">
        <f t="shared" si="47"/>
        <v>16397.4260533333</v>
      </c>
      <c r="N347" s="27">
        <f t="shared" si="47"/>
        <v>16414.368750000001</v>
      </c>
      <c r="O347" s="27">
        <f t="shared" si="47"/>
        <v>16431.0916466667</v>
      </c>
      <c r="P347" s="27">
        <f t="shared" si="47"/>
        <v>16447.339473333301</v>
      </c>
      <c r="Q347" s="27">
        <f t="shared" si="47"/>
        <v>16463.26239</v>
      </c>
      <c r="R347" s="27">
        <f t="shared" si="47"/>
        <v>16482.684156666699</v>
      </c>
      <c r="S347" s="27">
        <f t="shared" si="47"/>
        <v>16378.034653076927</v>
      </c>
      <c r="T347" s="144"/>
    </row>
    <row r="348" spans="1:22" ht="15" customHeight="1">
      <c r="A348" s="142">
        <v>13</v>
      </c>
      <c r="B348" s="408"/>
      <c r="D348" s="142"/>
      <c r="E348" s="142"/>
      <c r="F348" s="27"/>
      <c r="G348" s="27"/>
      <c r="H348" s="27"/>
      <c r="I348" s="27"/>
      <c r="J348" s="27"/>
      <c r="K348" s="27"/>
      <c r="L348" s="27"/>
      <c r="M348" s="27"/>
      <c r="N348" s="27"/>
      <c r="O348" s="27"/>
      <c r="P348" s="27"/>
      <c r="Q348" s="27"/>
      <c r="R348" s="27"/>
      <c r="S348" s="27"/>
      <c r="T348" s="144"/>
    </row>
    <row r="349" spans="1:22" ht="15" customHeight="1">
      <c r="A349" s="142">
        <v>14</v>
      </c>
      <c r="B349" s="408"/>
      <c r="C349" s="14" t="s">
        <v>396</v>
      </c>
      <c r="D349" s="142"/>
      <c r="E349" s="142"/>
      <c r="F349" s="27"/>
      <c r="G349" s="27"/>
      <c r="H349" s="27"/>
      <c r="I349" s="27"/>
      <c r="J349" s="27"/>
      <c r="K349" s="27"/>
      <c r="L349" s="27"/>
      <c r="M349" s="27"/>
      <c r="N349" s="27"/>
      <c r="O349" s="27"/>
      <c r="P349" s="27"/>
      <c r="Q349" s="27"/>
      <c r="R349" s="27"/>
      <c r="S349" s="27"/>
      <c r="T349" s="144"/>
    </row>
    <row r="350" spans="1:22" ht="15" customHeight="1">
      <c r="A350" s="142">
        <v>15</v>
      </c>
      <c r="B350" s="407" t="s">
        <v>397</v>
      </c>
      <c r="C350" s="14" t="s">
        <v>270</v>
      </c>
      <c r="D350" s="142"/>
      <c r="E350" s="142"/>
      <c r="F350" s="27">
        <f>(SUMIF('Test Year'!$A:$A,$B350,'Test Year'!G:G))/1000</f>
        <v>1000</v>
      </c>
      <c r="G350" s="27">
        <f>(SUMIF('Test Year'!$A:$A,$B350,'Test Year'!H:H))/1000</f>
        <v>1000</v>
      </c>
      <c r="H350" s="27">
        <f>(SUMIF('Test Year'!$A:$A,$B350,'Test Year'!I:I))/1000</f>
        <v>1000</v>
      </c>
      <c r="I350" s="27">
        <f>(SUMIF('Test Year'!$A:$A,$B350,'Test Year'!J:J))/1000</f>
        <v>1000</v>
      </c>
      <c r="J350" s="27">
        <f>(SUMIF('Test Year'!$A:$A,$B350,'Test Year'!K:K))/1000</f>
        <v>1000</v>
      </c>
      <c r="K350" s="27">
        <f>(SUMIF('Test Year'!$A:$A,$B350,'Test Year'!L:L))/1000</f>
        <v>1000</v>
      </c>
      <c r="L350" s="27">
        <f>(SUMIF('Test Year'!$A:$A,$B350,'Test Year'!M:M))/1000</f>
        <v>1000</v>
      </c>
      <c r="M350" s="27">
        <f>(SUMIF('Test Year'!$A:$A,$B350,'Test Year'!N:N))/1000</f>
        <v>1000</v>
      </c>
      <c r="N350" s="27">
        <f>(SUMIF('Test Year'!$A:$A,$B350,'Test Year'!O:O))/1000</f>
        <v>1000</v>
      </c>
      <c r="O350" s="27">
        <f>(SUMIF('Test Year'!$A:$A,$B350,'Test Year'!P:P))/1000</f>
        <v>1000</v>
      </c>
      <c r="P350" s="27">
        <f>(SUMIF('Test Year'!$A:$A,$B350,'Test Year'!Q:Q))/1000</f>
        <v>1000</v>
      </c>
      <c r="Q350" s="27">
        <f>(SUMIF('Test Year'!$A:$A,$B350,'Test Year'!R:R))/1000</f>
        <v>1000</v>
      </c>
      <c r="R350" s="27">
        <f>(SUMIF('Test Year'!$A:$A,$B350,'Test Year'!S:S))/1000</f>
        <v>1000</v>
      </c>
      <c r="S350" s="150">
        <f t="shared" ref="S350:S368" si="48">AVERAGE(F350:R350)</f>
        <v>1000</v>
      </c>
      <c r="T350" s="144" t="s">
        <v>118</v>
      </c>
    </row>
    <row r="351" spans="1:22" ht="15" customHeight="1">
      <c r="A351" s="142">
        <v>16</v>
      </c>
      <c r="B351" s="407" t="s">
        <v>398</v>
      </c>
      <c r="C351" s="14" t="s">
        <v>271</v>
      </c>
      <c r="D351" s="142"/>
      <c r="E351" s="142"/>
      <c r="F351" s="27">
        <f>(SUMIF('Test Year'!$A:$A,$B351,'Test Year'!G:G))/1000</f>
        <v>0</v>
      </c>
      <c r="G351" s="27">
        <f>(SUMIF('Test Year'!$A:$A,$B351,'Test Year'!H:H))/1000</f>
        <v>0</v>
      </c>
      <c r="H351" s="27">
        <f>(SUMIF('Test Year'!$A:$A,$B351,'Test Year'!I:I))/1000</f>
        <v>0</v>
      </c>
      <c r="I351" s="27">
        <f>(SUMIF('Test Year'!$A:$A,$B351,'Test Year'!J:J))/1000</f>
        <v>0</v>
      </c>
      <c r="J351" s="27">
        <f>(SUMIF('Test Year'!$A:$A,$B351,'Test Year'!K:K))/1000</f>
        <v>0</v>
      </c>
      <c r="K351" s="27">
        <f>(SUMIF('Test Year'!$A:$A,$B351,'Test Year'!L:L))/1000</f>
        <v>0</v>
      </c>
      <c r="L351" s="27">
        <f>(SUMIF('Test Year'!$A:$A,$B351,'Test Year'!M:M))/1000</f>
        <v>0</v>
      </c>
      <c r="M351" s="27">
        <f>(SUMIF('Test Year'!$A:$A,$B351,'Test Year'!N:N))/1000</f>
        <v>0</v>
      </c>
      <c r="N351" s="27">
        <f>(SUMIF('Test Year'!$A:$A,$B351,'Test Year'!O:O))/1000</f>
        <v>0</v>
      </c>
      <c r="O351" s="27">
        <f>(SUMIF('Test Year'!$A:$A,$B351,'Test Year'!P:P))/1000</f>
        <v>0</v>
      </c>
      <c r="P351" s="27">
        <f>(SUMIF('Test Year'!$A:$A,$B351,'Test Year'!Q:Q))/1000</f>
        <v>0</v>
      </c>
      <c r="Q351" s="27">
        <f>(SUMIF('Test Year'!$A:$A,$B351,'Test Year'!R:R))/1000</f>
        <v>0</v>
      </c>
      <c r="R351" s="27">
        <f>(SUMIF('Test Year'!$A:$A,$B351,'Test Year'!S:S))/1000</f>
        <v>0</v>
      </c>
      <c r="S351" s="150">
        <f t="shared" si="48"/>
        <v>0</v>
      </c>
      <c r="T351" s="144" t="s">
        <v>118</v>
      </c>
    </row>
    <row r="352" spans="1:22" ht="15" customHeight="1">
      <c r="A352" s="142">
        <v>17</v>
      </c>
      <c r="B352" s="407" t="s">
        <v>399</v>
      </c>
      <c r="C352" s="14" t="s">
        <v>272</v>
      </c>
      <c r="D352" s="142"/>
      <c r="E352" s="142"/>
      <c r="F352" s="27">
        <f>(SUMIF('Test Year'!$A:$A,$B352,'Test Year'!G:G))/1000</f>
        <v>52.665390000000002</v>
      </c>
      <c r="G352" s="27">
        <f>(SUMIF('Test Year'!$A:$A,$B352,'Test Year'!H:H))/1000</f>
        <v>52.665390000000002</v>
      </c>
      <c r="H352" s="27">
        <f>(SUMIF('Test Year'!$A:$A,$B352,'Test Year'!I:I))/1000</f>
        <v>52.665390000000002</v>
      </c>
      <c r="I352" s="27">
        <f>(SUMIF('Test Year'!$A:$A,$B352,'Test Year'!J:J))/1000</f>
        <v>52.665390000000002</v>
      </c>
      <c r="J352" s="27">
        <f>(SUMIF('Test Year'!$A:$A,$B352,'Test Year'!K:K))/1000</f>
        <v>52.665390000000002</v>
      </c>
      <c r="K352" s="27">
        <f>(SUMIF('Test Year'!$A:$A,$B352,'Test Year'!L:L))/1000</f>
        <v>52.665390000000002</v>
      </c>
      <c r="L352" s="27">
        <f>(SUMIF('Test Year'!$A:$A,$B352,'Test Year'!M:M))/1000</f>
        <v>52.665390000000002</v>
      </c>
      <c r="M352" s="27">
        <f>(SUMIF('Test Year'!$A:$A,$B352,'Test Year'!N:N))/1000</f>
        <v>52.665390000000002</v>
      </c>
      <c r="N352" s="27">
        <f>(SUMIF('Test Year'!$A:$A,$B352,'Test Year'!O:O))/1000</f>
        <v>52.665390000000002</v>
      </c>
      <c r="O352" s="27">
        <f>(SUMIF('Test Year'!$A:$A,$B352,'Test Year'!P:P))/1000</f>
        <v>52.665390000000002</v>
      </c>
      <c r="P352" s="27">
        <f>(SUMIF('Test Year'!$A:$A,$B352,'Test Year'!Q:Q))/1000</f>
        <v>52.665390000000002</v>
      </c>
      <c r="Q352" s="27">
        <f>(SUMIF('Test Year'!$A:$A,$B352,'Test Year'!R:R))/1000</f>
        <v>52.665390000000002</v>
      </c>
      <c r="R352" s="27">
        <f>(SUMIF('Test Year'!$A:$A,$B352,'Test Year'!S:S))/1000</f>
        <v>52.665390000000002</v>
      </c>
      <c r="S352" s="150">
        <f t="shared" si="48"/>
        <v>52.665390000000002</v>
      </c>
      <c r="T352" s="144" t="s">
        <v>118</v>
      </c>
    </row>
    <row r="353" spans="1:20" ht="15" customHeight="1">
      <c r="A353" s="142">
        <v>18</v>
      </c>
      <c r="B353" s="407" t="s">
        <v>400</v>
      </c>
      <c r="C353" s="14" t="s">
        <v>273</v>
      </c>
      <c r="D353" s="142"/>
      <c r="E353" s="142"/>
      <c r="F353" s="27">
        <f>(SUMIF('Test Year'!$A:$A,$B353,'Test Year'!G:G))/1000</f>
        <v>0</v>
      </c>
      <c r="G353" s="27">
        <f>(SUMIF('Test Year'!$A:$A,$B353,'Test Year'!H:H))/1000</f>
        <v>0</v>
      </c>
      <c r="H353" s="27">
        <f>(SUMIF('Test Year'!$A:$A,$B353,'Test Year'!I:I))/1000</f>
        <v>0</v>
      </c>
      <c r="I353" s="27">
        <f>(SUMIF('Test Year'!$A:$A,$B353,'Test Year'!J:J))/1000</f>
        <v>0</v>
      </c>
      <c r="J353" s="27">
        <f>(SUMIF('Test Year'!$A:$A,$B353,'Test Year'!K:K))/1000</f>
        <v>0</v>
      </c>
      <c r="K353" s="27">
        <f>(SUMIF('Test Year'!$A:$A,$B353,'Test Year'!L:L))/1000</f>
        <v>0</v>
      </c>
      <c r="L353" s="27">
        <f>(SUMIF('Test Year'!$A:$A,$B353,'Test Year'!M:M))/1000</f>
        <v>0</v>
      </c>
      <c r="M353" s="27">
        <f>(SUMIF('Test Year'!$A:$A,$B353,'Test Year'!N:N))/1000</f>
        <v>0</v>
      </c>
      <c r="N353" s="27">
        <f>(SUMIF('Test Year'!$A:$A,$B353,'Test Year'!O:O))/1000</f>
        <v>0</v>
      </c>
      <c r="O353" s="27">
        <f>(SUMIF('Test Year'!$A:$A,$B353,'Test Year'!P:P))/1000</f>
        <v>0</v>
      </c>
      <c r="P353" s="27">
        <f>(SUMIF('Test Year'!$A:$A,$B353,'Test Year'!Q:Q))/1000</f>
        <v>0</v>
      </c>
      <c r="Q353" s="27">
        <f>(SUMIF('Test Year'!$A:$A,$B353,'Test Year'!R:R))/1000</f>
        <v>0</v>
      </c>
      <c r="R353" s="27">
        <f>(SUMIF('Test Year'!$A:$A,$B353,'Test Year'!S:S))/1000</f>
        <v>0</v>
      </c>
      <c r="S353" s="150">
        <f t="shared" si="48"/>
        <v>0</v>
      </c>
      <c r="T353" s="144" t="s">
        <v>118</v>
      </c>
    </row>
    <row r="354" spans="1:20" ht="15" customHeight="1">
      <c r="A354" s="142">
        <v>19</v>
      </c>
      <c r="B354" s="407" t="s">
        <v>401</v>
      </c>
      <c r="C354" s="14" t="s">
        <v>274</v>
      </c>
      <c r="D354" s="142"/>
      <c r="E354" s="142"/>
      <c r="F354" s="27">
        <f>(SUMIF('Test Year'!$A:$A,$B354,'Test Year'!G:G))/1000</f>
        <v>0</v>
      </c>
      <c r="G354" s="27">
        <f>(SUMIF('Test Year'!$A:$A,$B354,'Test Year'!H:H))/1000</f>
        <v>0</v>
      </c>
      <c r="H354" s="27">
        <f>(SUMIF('Test Year'!$A:$A,$B354,'Test Year'!I:I))/1000</f>
        <v>0</v>
      </c>
      <c r="I354" s="27">
        <f>(SUMIF('Test Year'!$A:$A,$B354,'Test Year'!J:J))/1000</f>
        <v>0</v>
      </c>
      <c r="J354" s="27">
        <f>(SUMIF('Test Year'!$A:$A,$B354,'Test Year'!K:K))/1000</f>
        <v>0</v>
      </c>
      <c r="K354" s="27">
        <f>(SUMIF('Test Year'!$A:$A,$B354,'Test Year'!L:L))/1000</f>
        <v>0</v>
      </c>
      <c r="L354" s="27">
        <f>(SUMIF('Test Year'!$A:$A,$B354,'Test Year'!M:M))/1000</f>
        <v>0</v>
      </c>
      <c r="M354" s="27">
        <f>(SUMIF('Test Year'!$A:$A,$B354,'Test Year'!N:N))/1000</f>
        <v>0</v>
      </c>
      <c r="N354" s="27">
        <f>(SUMIF('Test Year'!$A:$A,$B354,'Test Year'!O:O))/1000</f>
        <v>0</v>
      </c>
      <c r="O354" s="27">
        <f>(SUMIF('Test Year'!$A:$A,$B354,'Test Year'!P:P))/1000</f>
        <v>0</v>
      </c>
      <c r="P354" s="27">
        <f>(SUMIF('Test Year'!$A:$A,$B354,'Test Year'!Q:Q))/1000</f>
        <v>0</v>
      </c>
      <c r="Q354" s="27">
        <f>(SUMIF('Test Year'!$A:$A,$B354,'Test Year'!R:R))/1000</f>
        <v>0</v>
      </c>
      <c r="R354" s="27">
        <f>(SUMIF('Test Year'!$A:$A,$B354,'Test Year'!S:S))/1000</f>
        <v>0</v>
      </c>
      <c r="S354" s="150">
        <f t="shared" si="48"/>
        <v>0</v>
      </c>
      <c r="T354" s="144" t="s">
        <v>118</v>
      </c>
    </row>
    <row r="355" spans="1:20" ht="15" customHeight="1">
      <c r="A355" s="142">
        <v>20</v>
      </c>
      <c r="B355" s="407" t="s">
        <v>402</v>
      </c>
      <c r="C355" s="14" t="s">
        <v>275</v>
      </c>
      <c r="D355" s="142"/>
      <c r="E355" s="142"/>
      <c r="F355" s="27">
        <f>(SUMIF('Test Year'!$A:$A,$B355,'Test Year'!G:G))/1000</f>
        <v>188387.48955500001</v>
      </c>
      <c r="G355" s="27">
        <f>(SUMIF('Test Year'!$A:$A,$B355,'Test Year'!H:H))/1000</f>
        <v>173009.24699983399</v>
      </c>
      <c r="H355" s="27">
        <f>(SUMIF('Test Year'!$A:$A,$B355,'Test Year'!I:I))/1000</f>
        <v>165047.29721224299</v>
      </c>
      <c r="I355" s="27">
        <f>(SUMIF('Test Year'!$A:$A,$B355,'Test Year'!J:J))/1000</f>
        <v>140015.68188247998</v>
      </c>
      <c r="J355" s="27">
        <f>(SUMIF('Test Year'!$A:$A,$B355,'Test Year'!K:K))/1000</f>
        <v>154991.57990402498</v>
      </c>
      <c r="K355" s="27">
        <f>(SUMIF('Test Year'!$A:$A,$B355,'Test Year'!L:L))/1000</f>
        <v>163881.39873599203</v>
      </c>
      <c r="L355" s="27">
        <f>(SUMIF('Test Year'!$A:$A,$B355,'Test Year'!M:M))/1000</f>
        <v>188769.35361418501</v>
      </c>
      <c r="M355" s="27">
        <f>(SUMIF('Test Year'!$A:$A,$B355,'Test Year'!N:N))/1000</f>
        <v>210495.25239529699</v>
      </c>
      <c r="N355" s="27">
        <f>(SUMIF('Test Year'!$A:$A,$B355,'Test Year'!O:O))/1000</f>
        <v>196848.32361847401</v>
      </c>
      <c r="O355" s="27">
        <f>(SUMIF('Test Year'!$A:$A,$B355,'Test Year'!P:P))/1000</f>
        <v>222306.767605311</v>
      </c>
      <c r="P355" s="27">
        <f>(SUMIF('Test Year'!$A:$A,$B355,'Test Year'!Q:Q))/1000</f>
        <v>200264.03837330799</v>
      </c>
      <c r="Q355" s="27">
        <f>(SUMIF('Test Year'!$A:$A,$B355,'Test Year'!R:R))/1000</f>
        <v>181498.08889238501</v>
      </c>
      <c r="R355" s="27">
        <f>(SUMIF('Test Year'!$A:$A,$B355,'Test Year'!S:S))/1000</f>
        <v>174116.23838903298</v>
      </c>
      <c r="S355" s="150">
        <f t="shared" si="48"/>
        <v>181510.05824442819</v>
      </c>
      <c r="T355" s="144" t="s">
        <v>118</v>
      </c>
    </row>
    <row r="356" spans="1:20" ht="15" customHeight="1">
      <c r="A356" s="142">
        <v>21</v>
      </c>
      <c r="B356" s="407" t="s">
        <v>403</v>
      </c>
      <c r="C356" s="14" t="s">
        <v>276</v>
      </c>
      <c r="D356" s="142"/>
      <c r="E356" s="142"/>
      <c r="F356" s="27">
        <f>(SUMIF('Test Year'!$A:$A,$B356,'Test Year'!G:G))/1000</f>
        <v>7200</v>
      </c>
      <c r="G356" s="27">
        <f>(SUMIF('Test Year'!$A:$A,$B356,'Test Year'!H:H))/1000</f>
        <v>7421.3059499999999</v>
      </c>
      <c r="H356" s="27">
        <f>(SUMIF('Test Year'!$A:$A,$B356,'Test Year'!I:I))/1000</f>
        <v>7434.4967500000002</v>
      </c>
      <c r="I356" s="27">
        <f>(SUMIF('Test Year'!$A:$A,$B356,'Test Year'!J:J))/1000</f>
        <v>7402.6173499999995</v>
      </c>
      <c r="J356" s="27">
        <f>(SUMIF('Test Year'!$A:$A,$B356,'Test Year'!K:K))/1000</f>
        <v>7349.9479499999998</v>
      </c>
      <c r="K356" s="27">
        <f>(SUMIF('Test Year'!$A:$A,$B356,'Test Year'!L:L))/1000</f>
        <v>7374.7675499999996</v>
      </c>
      <c r="L356" s="27">
        <f>(SUMIF('Test Year'!$A:$A,$B356,'Test Year'!M:M))/1000</f>
        <v>7308.3637500000004</v>
      </c>
      <c r="M356" s="27">
        <f>(SUMIF('Test Year'!$A:$A,$B356,'Test Year'!N:N))/1000</f>
        <v>7322.3229499999998</v>
      </c>
      <c r="N356" s="27">
        <f>(SUMIF('Test Year'!$A:$A,$B356,'Test Year'!O:O))/1000</f>
        <v>7326.9763499999999</v>
      </c>
      <c r="O356" s="27">
        <f>(SUMIF('Test Year'!$A:$A,$B356,'Test Year'!P:P))/1000</f>
        <v>7367.35095</v>
      </c>
      <c r="P356" s="27">
        <f>(SUMIF('Test Year'!$A:$A,$B356,'Test Year'!Q:Q))/1000</f>
        <v>7369.9241500000007</v>
      </c>
      <c r="Q356" s="27">
        <f>(SUMIF('Test Year'!$A:$A,$B356,'Test Year'!R:R))/1000</f>
        <v>7410.3399500000005</v>
      </c>
      <c r="R356" s="27">
        <f>(SUMIF('Test Year'!$A:$A,$B356,'Test Year'!S:S))/1000</f>
        <v>7380.4119500000006</v>
      </c>
      <c r="S356" s="150">
        <f t="shared" si="48"/>
        <v>7359.1404307692301</v>
      </c>
      <c r="T356" s="144" t="s">
        <v>118</v>
      </c>
    </row>
    <row r="357" spans="1:20" ht="15" customHeight="1">
      <c r="A357" s="142">
        <v>22</v>
      </c>
      <c r="B357" s="407" t="s">
        <v>404</v>
      </c>
      <c r="C357" s="14" t="s">
        <v>277</v>
      </c>
      <c r="D357" s="142"/>
      <c r="E357" s="142"/>
      <c r="F357" s="27">
        <f>(SUMIF('Test Year'!$A:$A,$B357,'Test Year'!G:G))/1000</f>
        <v>-1632.9186677135001</v>
      </c>
      <c r="G357" s="27">
        <f>(SUMIF('Test Year'!$A:$A,$B357,'Test Year'!H:H))/1000</f>
        <v>-1635.1986410513</v>
      </c>
      <c r="H357" s="27">
        <f>(SUMIF('Test Year'!$A:$A,$B357,'Test Year'!I:I))/1000</f>
        <v>-1620.4669520412999</v>
      </c>
      <c r="I357" s="27">
        <f>(SUMIF('Test Year'!$A:$A,$B357,'Test Year'!J:J))/1000</f>
        <v>-1605.4653161810002</v>
      </c>
      <c r="J357" s="27">
        <f>(SUMIF('Test Year'!$A:$A,$B357,'Test Year'!K:K))/1000</f>
        <v>-1625.0720627957999</v>
      </c>
      <c r="K357" s="27">
        <f>(SUMIF('Test Year'!$A:$A,$B357,'Test Year'!L:L))/1000</f>
        <v>-1648.6907433268</v>
      </c>
      <c r="L357" s="27">
        <f>(SUMIF('Test Year'!$A:$A,$B357,'Test Year'!M:M))/1000</f>
        <v>-1676.8203370260999</v>
      </c>
      <c r="M357" s="27">
        <f>(SUMIF('Test Year'!$A:$A,$B357,'Test Year'!N:N))/1000</f>
        <v>-1699.8243491972999</v>
      </c>
      <c r="N357" s="27">
        <f>(SUMIF('Test Year'!$A:$A,$B357,'Test Year'!O:O))/1000</f>
        <v>-1690.1785661128999</v>
      </c>
      <c r="O357" s="27">
        <f>(SUMIF('Test Year'!$A:$A,$B357,'Test Year'!P:P))/1000</f>
        <v>-1697.2563299955</v>
      </c>
      <c r="P357" s="27">
        <f>(SUMIF('Test Year'!$A:$A,$B357,'Test Year'!Q:Q))/1000</f>
        <v>-1668.2916619067</v>
      </c>
      <c r="Q357" s="27">
        <f>(SUMIF('Test Year'!$A:$A,$B357,'Test Year'!R:R))/1000</f>
        <v>-1636.9082698927998</v>
      </c>
      <c r="R357" s="27">
        <f>(SUMIF('Test Year'!$A:$A,$B357,'Test Year'!S:S))/1000</f>
        <v>-1625.6640538892002</v>
      </c>
      <c r="S357" s="150">
        <f t="shared" si="48"/>
        <v>-1650.9812270100153</v>
      </c>
      <c r="T357" s="144" t="s">
        <v>118</v>
      </c>
    </row>
    <row r="358" spans="1:20" ht="15" customHeight="1">
      <c r="A358" s="142">
        <v>23</v>
      </c>
      <c r="B358" s="407" t="s">
        <v>405</v>
      </c>
      <c r="C358" s="14" t="s">
        <v>495</v>
      </c>
      <c r="D358" s="142"/>
      <c r="E358" s="142"/>
      <c r="F358" s="27">
        <f>(SUMIF('Test Year'!$A:$A,$B358,'Test Year'!G:G))/1000</f>
        <v>0</v>
      </c>
      <c r="G358" s="27">
        <f>(SUMIF('Test Year'!$A:$A,$B358,'Test Year'!H:H))/1000</f>
        <v>0</v>
      </c>
      <c r="H358" s="27">
        <f>(SUMIF('Test Year'!$A:$A,$B358,'Test Year'!I:I))/1000</f>
        <v>0</v>
      </c>
      <c r="I358" s="27">
        <f>(SUMIF('Test Year'!$A:$A,$B358,'Test Year'!J:J))/1000</f>
        <v>0</v>
      </c>
      <c r="J358" s="27">
        <f>(SUMIF('Test Year'!$A:$A,$B358,'Test Year'!K:K))/1000</f>
        <v>0</v>
      </c>
      <c r="K358" s="27">
        <f>(SUMIF('Test Year'!$A:$A,$B358,'Test Year'!L:L))/1000</f>
        <v>0</v>
      </c>
      <c r="L358" s="27">
        <f>(SUMIF('Test Year'!$A:$A,$B358,'Test Year'!M:M))/1000</f>
        <v>0</v>
      </c>
      <c r="M358" s="27">
        <f>(SUMIF('Test Year'!$A:$A,$B358,'Test Year'!N:N))/1000</f>
        <v>0</v>
      </c>
      <c r="N358" s="27">
        <f>(SUMIF('Test Year'!$A:$A,$B358,'Test Year'!O:O))/1000</f>
        <v>0</v>
      </c>
      <c r="O358" s="27">
        <f>(SUMIF('Test Year'!$A:$A,$B358,'Test Year'!P:P))/1000</f>
        <v>0</v>
      </c>
      <c r="P358" s="27">
        <f>(SUMIF('Test Year'!$A:$A,$B358,'Test Year'!Q:Q))/1000</f>
        <v>0</v>
      </c>
      <c r="Q358" s="27">
        <f>(SUMIF('Test Year'!$A:$A,$B358,'Test Year'!R:R))/1000</f>
        <v>0</v>
      </c>
      <c r="R358" s="27">
        <f>(SUMIF('Test Year'!$A:$A,$B358,'Test Year'!S:S))/1000</f>
        <v>0</v>
      </c>
      <c r="S358" s="150">
        <f t="shared" si="48"/>
        <v>0</v>
      </c>
      <c r="T358" s="144" t="s">
        <v>118</v>
      </c>
    </row>
    <row r="359" spans="1:20" ht="15" customHeight="1">
      <c r="A359" s="142">
        <v>24</v>
      </c>
      <c r="B359" s="407" t="s">
        <v>406</v>
      </c>
      <c r="C359" s="14" t="s">
        <v>496</v>
      </c>
      <c r="D359" s="142"/>
      <c r="E359" s="142"/>
      <c r="F359" s="27">
        <f>(SUMIF('Test Year'!$A:$A,$B359,'Test Year'!G:G))/1000</f>
        <v>13959.856422638301</v>
      </c>
      <c r="G359" s="27">
        <f>(SUMIF('Test Year'!$A:$A,$B359,'Test Year'!H:H))/1000</f>
        <v>13090.069084339499</v>
      </c>
      <c r="H359" s="27">
        <f>(SUMIF('Test Year'!$A:$A,$B359,'Test Year'!I:I))/1000</f>
        <v>13252.895376709699</v>
      </c>
      <c r="I359" s="27">
        <f>(SUMIF('Test Year'!$A:$A,$B359,'Test Year'!J:J))/1000</f>
        <v>13593.2206556895</v>
      </c>
      <c r="J359" s="27">
        <f>(SUMIF('Test Year'!$A:$A,$B359,'Test Year'!K:K))/1000</f>
        <v>13545.1941461844</v>
      </c>
      <c r="K359" s="27">
        <f>(SUMIF('Test Year'!$A:$A,$B359,'Test Year'!L:L))/1000</f>
        <v>13518.6044581714</v>
      </c>
      <c r="L359" s="27">
        <f>(SUMIF('Test Year'!$A:$A,$B359,'Test Year'!M:M))/1000</f>
        <v>13515.7182641704</v>
      </c>
      <c r="M359" s="27">
        <f>(SUMIF('Test Year'!$A:$A,$B359,'Test Year'!N:N))/1000</f>
        <v>13695.1370338569</v>
      </c>
      <c r="N359" s="27">
        <f>(SUMIF('Test Year'!$A:$A,$B359,'Test Year'!O:O))/1000</f>
        <v>13697.8187070563</v>
      </c>
      <c r="O359" s="27">
        <f>(SUMIF('Test Year'!$A:$A,$B359,'Test Year'!P:P))/1000</f>
        <v>13610.8706793324</v>
      </c>
      <c r="P359" s="27">
        <f>(SUMIF('Test Year'!$A:$A,$B359,'Test Year'!Q:Q))/1000</f>
        <v>13984.823202485</v>
      </c>
      <c r="Q359" s="27">
        <f>(SUMIF('Test Year'!$A:$A,$B359,'Test Year'!R:R))/1000</f>
        <v>14120.4044339804</v>
      </c>
      <c r="R359" s="27">
        <f>(SUMIF('Test Year'!$A:$A,$B359,'Test Year'!S:S))/1000</f>
        <v>14237.267852737199</v>
      </c>
      <c r="S359" s="150">
        <f t="shared" si="48"/>
        <v>13678.6061782578</v>
      </c>
      <c r="T359" s="144" t="s">
        <v>118</v>
      </c>
    </row>
    <row r="360" spans="1:20" ht="15" customHeight="1">
      <c r="A360" s="142">
        <v>25</v>
      </c>
      <c r="B360" s="407" t="s">
        <v>407</v>
      </c>
      <c r="C360" s="14" t="s">
        <v>279</v>
      </c>
      <c r="D360" s="142"/>
      <c r="E360" s="142"/>
      <c r="F360" s="27">
        <f>(SUMIF('Test Year'!$A:$A,$B360,'Test Year'!G:G))/1000</f>
        <v>35384</v>
      </c>
      <c r="G360" s="27">
        <f>(SUMIF('Test Year'!$A:$A,$B360,'Test Year'!H:H))/1000</f>
        <v>36662</v>
      </c>
      <c r="H360" s="27">
        <f>(SUMIF('Test Year'!$A:$A,$B360,'Test Year'!I:I))/1000</f>
        <v>37797</v>
      </c>
      <c r="I360" s="27">
        <f>(SUMIF('Test Year'!$A:$A,$B360,'Test Year'!J:J))/1000</f>
        <v>38154</v>
      </c>
      <c r="J360" s="27">
        <f>(SUMIF('Test Year'!$A:$A,$B360,'Test Year'!K:K))/1000</f>
        <v>38047</v>
      </c>
      <c r="K360" s="27">
        <f>(SUMIF('Test Year'!$A:$A,$B360,'Test Year'!L:L))/1000</f>
        <v>37974</v>
      </c>
      <c r="L360" s="27">
        <f>(SUMIF('Test Year'!$A:$A,$B360,'Test Year'!M:M))/1000</f>
        <v>37937</v>
      </c>
      <c r="M360" s="27">
        <f>(SUMIF('Test Year'!$A:$A,$B360,'Test Year'!N:N))/1000</f>
        <v>35507</v>
      </c>
      <c r="N360" s="27">
        <f>(SUMIF('Test Year'!$A:$A,$B360,'Test Year'!O:O))/1000</f>
        <v>35438</v>
      </c>
      <c r="O360" s="27">
        <f>(SUMIF('Test Year'!$A:$A,$B360,'Test Year'!P:P))/1000</f>
        <v>36894</v>
      </c>
      <c r="P360" s="27">
        <f>(SUMIF('Test Year'!$A:$A,$B360,'Test Year'!Q:Q))/1000</f>
        <v>36847</v>
      </c>
      <c r="Q360" s="27">
        <f>(SUMIF('Test Year'!$A:$A,$B360,'Test Year'!R:R))/1000</f>
        <v>36023</v>
      </c>
      <c r="R360" s="27">
        <f>(SUMIF('Test Year'!$A:$A,$B360,'Test Year'!S:S))/1000</f>
        <v>36044</v>
      </c>
      <c r="S360" s="150">
        <f t="shared" si="48"/>
        <v>36823.692307692305</v>
      </c>
      <c r="T360" s="144" t="s">
        <v>118</v>
      </c>
    </row>
    <row r="361" spans="1:20" ht="15" customHeight="1">
      <c r="A361" s="142">
        <v>26</v>
      </c>
      <c r="B361" s="407" t="s">
        <v>408</v>
      </c>
      <c r="C361" s="14" t="s">
        <v>409</v>
      </c>
      <c r="D361" s="142"/>
      <c r="E361" s="142"/>
      <c r="F361" s="27">
        <f>(SUMIF('Test Year'!$A:$A,$B361,'Test Year'!G:G))/1000</f>
        <v>0</v>
      </c>
      <c r="G361" s="27">
        <f>(SUMIF('Test Year'!$A:$A,$B361,'Test Year'!H:H))/1000</f>
        <v>0</v>
      </c>
      <c r="H361" s="27">
        <f>(SUMIF('Test Year'!$A:$A,$B361,'Test Year'!I:I))/1000</f>
        <v>0</v>
      </c>
      <c r="I361" s="27">
        <f>(SUMIF('Test Year'!$A:$A,$B361,'Test Year'!J:J))/1000</f>
        <v>0</v>
      </c>
      <c r="J361" s="27">
        <f>(SUMIF('Test Year'!$A:$A,$B361,'Test Year'!K:K))/1000</f>
        <v>0</v>
      </c>
      <c r="K361" s="27">
        <f>(SUMIF('Test Year'!$A:$A,$B361,'Test Year'!L:L))/1000</f>
        <v>0</v>
      </c>
      <c r="L361" s="27">
        <f>(SUMIF('Test Year'!$A:$A,$B361,'Test Year'!M:M))/1000</f>
        <v>0</v>
      </c>
      <c r="M361" s="27">
        <f>(SUMIF('Test Year'!$A:$A,$B361,'Test Year'!N:N))/1000</f>
        <v>0</v>
      </c>
      <c r="N361" s="27">
        <f>(SUMIF('Test Year'!$A:$A,$B361,'Test Year'!O:O))/1000</f>
        <v>0</v>
      </c>
      <c r="O361" s="27">
        <f>(SUMIF('Test Year'!$A:$A,$B361,'Test Year'!P:P))/1000</f>
        <v>0</v>
      </c>
      <c r="P361" s="27">
        <f>(SUMIF('Test Year'!$A:$A,$B361,'Test Year'!Q:Q))/1000</f>
        <v>0</v>
      </c>
      <c r="Q361" s="27">
        <f>(SUMIF('Test Year'!$A:$A,$B361,'Test Year'!R:R))/1000</f>
        <v>0</v>
      </c>
      <c r="R361" s="27">
        <f>(SUMIF('Test Year'!$A:$A,$B361,'Test Year'!S:S))/1000</f>
        <v>0</v>
      </c>
      <c r="S361" s="150">
        <f t="shared" si="48"/>
        <v>0</v>
      </c>
      <c r="T361" s="144" t="s">
        <v>118</v>
      </c>
    </row>
    <row r="362" spans="1:20" ht="15" customHeight="1">
      <c r="A362" s="142">
        <v>27</v>
      </c>
      <c r="B362" s="407" t="s">
        <v>410</v>
      </c>
      <c r="C362" s="14" t="s">
        <v>280</v>
      </c>
      <c r="D362" s="142"/>
      <c r="E362" s="142" t="s">
        <v>503</v>
      </c>
      <c r="F362" s="27">
        <f>(SUMIF('Test Year'!$A:$A,$B362,'Test Year'!G:G))/1000</f>
        <v>162822.15</v>
      </c>
      <c r="G362" s="27">
        <f>(SUMIF('Test Year'!$A:$A,$B362,'Test Year'!H:H))/1000</f>
        <v>162822.15</v>
      </c>
      <c r="H362" s="27">
        <f>(SUMIF('Test Year'!$A:$A,$B362,'Test Year'!I:I))/1000</f>
        <v>162822.15</v>
      </c>
      <c r="I362" s="27">
        <f>(SUMIF('Test Year'!$A:$A,$B362,'Test Year'!J:J))/1000</f>
        <v>162822.15</v>
      </c>
      <c r="J362" s="27">
        <f>(SUMIF('Test Year'!$A:$A,$B362,'Test Year'!K:K))/1000</f>
        <v>162822.15</v>
      </c>
      <c r="K362" s="27">
        <f>(SUMIF('Test Year'!$A:$A,$B362,'Test Year'!L:L))/1000</f>
        <v>162822.15</v>
      </c>
      <c r="L362" s="27">
        <f>(SUMIF('Test Year'!$A:$A,$B362,'Test Year'!M:M))/1000</f>
        <v>162822.15</v>
      </c>
      <c r="M362" s="27">
        <f>(SUMIF('Test Year'!$A:$A,$B362,'Test Year'!N:N))/1000</f>
        <v>162822.15</v>
      </c>
      <c r="N362" s="27">
        <f>(SUMIF('Test Year'!$A:$A,$B362,'Test Year'!O:O))/1000</f>
        <v>162822.15</v>
      </c>
      <c r="O362" s="27">
        <f>(SUMIF('Test Year'!$A:$A,$B362,'Test Year'!P:P))/1000</f>
        <v>162822.15</v>
      </c>
      <c r="P362" s="27">
        <f>(SUMIF('Test Year'!$A:$A,$B362,'Test Year'!Q:Q))/1000</f>
        <v>162822.15</v>
      </c>
      <c r="Q362" s="27">
        <f>(SUMIF('Test Year'!$A:$A,$B362,'Test Year'!R:R))/1000</f>
        <v>162822.15</v>
      </c>
      <c r="R362" s="27">
        <f>(SUMIF('Test Year'!$A:$A,$B362,'Test Year'!S:S))/1000</f>
        <v>162822.15</v>
      </c>
      <c r="S362" s="150">
        <f t="shared" si="48"/>
        <v>162822.14999999997</v>
      </c>
      <c r="T362" s="144" t="s">
        <v>118</v>
      </c>
    </row>
    <row r="363" spans="1:20" ht="15" customHeight="1">
      <c r="A363" s="142">
        <v>28</v>
      </c>
      <c r="B363" s="407" t="s">
        <v>411</v>
      </c>
      <c r="C363" s="14" t="s">
        <v>281</v>
      </c>
      <c r="D363" s="142"/>
      <c r="E363" s="142"/>
      <c r="F363" s="27">
        <f>(SUMIF('Test Year'!$A:$A,$B363,'Test Year'!G:G))/1000</f>
        <v>0</v>
      </c>
      <c r="G363" s="27">
        <f>(SUMIF('Test Year'!$A:$A,$B363,'Test Year'!H:H))/1000</f>
        <v>0</v>
      </c>
      <c r="H363" s="27">
        <f>(SUMIF('Test Year'!$A:$A,$B363,'Test Year'!I:I))/1000</f>
        <v>0</v>
      </c>
      <c r="I363" s="27">
        <f>(SUMIF('Test Year'!$A:$A,$B363,'Test Year'!J:J))/1000</f>
        <v>0</v>
      </c>
      <c r="J363" s="27">
        <f>(SUMIF('Test Year'!$A:$A,$B363,'Test Year'!K:K))/1000</f>
        <v>0</v>
      </c>
      <c r="K363" s="27">
        <f>(SUMIF('Test Year'!$A:$A,$B363,'Test Year'!L:L))/1000</f>
        <v>0</v>
      </c>
      <c r="L363" s="27">
        <f>(SUMIF('Test Year'!$A:$A,$B363,'Test Year'!M:M))/1000</f>
        <v>0</v>
      </c>
      <c r="M363" s="27">
        <f>(SUMIF('Test Year'!$A:$A,$B363,'Test Year'!N:N))/1000</f>
        <v>0</v>
      </c>
      <c r="N363" s="27">
        <f>(SUMIF('Test Year'!$A:$A,$B363,'Test Year'!O:O))/1000</f>
        <v>0</v>
      </c>
      <c r="O363" s="27">
        <f>(SUMIF('Test Year'!$A:$A,$B363,'Test Year'!P:P))/1000</f>
        <v>0</v>
      </c>
      <c r="P363" s="27">
        <f>(SUMIF('Test Year'!$A:$A,$B363,'Test Year'!Q:Q))/1000</f>
        <v>0</v>
      </c>
      <c r="Q363" s="27">
        <f>(SUMIF('Test Year'!$A:$A,$B363,'Test Year'!R:R))/1000</f>
        <v>0</v>
      </c>
      <c r="R363" s="27">
        <f>(SUMIF('Test Year'!$A:$A,$B363,'Test Year'!S:S))/1000</f>
        <v>0</v>
      </c>
      <c r="S363" s="150">
        <f t="shared" si="48"/>
        <v>0</v>
      </c>
      <c r="T363" s="144" t="s">
        <v>118</v>
      </c>
    </row>
    <row r="364" spans="1:20" ht="15" customHeight="1">
      <c r="A364" s="142">
        <v>29</v>
      </c>
      <c r="B364" s="407" t="s">
        <v>412</v>
      </c>
      <c r="C364" s="14" t="s">
        <v>282</v>
      </c>
      <c r="D364" s="142"/>
      <c r="E364" s="142"/>
      <c r="F364" s="27">
        <f>(SUMIF('Test Year'!$A:$A,$B364,'Test Year'!G:G))/1000</f>
        <v>0</v>
      </c>
      <c r="G364" s="27">
        <f>(SUMIF('Test Year'!$A:$A,$B364,'Test Year'!H:H))/1000</f>
        <v>0</v>
      </c>
      <c r="H364" s="27">
        <f>(SUMIF('Test Year'!$A:$A,$B364,'Test Year'!I:I))/1000</f>
        <v>0</v>
      </c>
      <c r="I364" s="27">
        <f>(SUMIF('Test Year'!$A:$A,$B364,'Test Year'!J:J))/1000</f>
        <v>0</v>
      </c>
      <c r="J364" s="27">
        <f>(SUMIF('Test Year'!$A:$A,$B364,'Test Year'!K:K))/1000</f>
        <v>0</v>
      </c>
      <c r="K364" s="27">
        <f>(SUMIF('Test Year'!$A:$A,$B364,'Test Year'!L:L))/1000</f>
        <v>0</v>
      </c>
      <c r="L364" s="27">
        <f>(SUMIF('Test Year'!$A:$A,$B364,'Test Year'!M:M))/1000</f>
        <v>0</v>
      </c>
      <c r="M364" s="27">
        <f>(SUMIF('Test Year'!$A:$A,$B364,'Test Year'!N:N))/1000</f>
        <v>0</v>
      </c>
      <c r="N364" s="27">
        <f>(SUMIF('Test Year'!$A:$A,$B364,'Test Year'!O:O))/1000</f>
        <v>0</v>
      </c>
      <c r="O364" s="27">
        <f>(SUMIF('Test Year'!$A:$A,$B364,'Test Year'!P:P))/1000</f>
        <v>0</v>
      </c>
      <c r="P364" s="27">
        <f>(SUMIF('Test Year'!$A:$A,$B364,'Test Year'!Q:Q))/1000</f>
        <v>0</v>
      </c>
      <c r="Q364" s="27">
        <f>(SUMIF('Test Year'!$A:$A,$B364,'Test Year'!R:R))/1000</f>
        <v>0</v>
      </c>
      <c r="R364" s="27">
        <f>(SUMIF('Test Year'!$A:$A,$B364,'Test Year'!S:S))/1000</f>
        <v>0</v>
      </c>
      <c r="S364" s="150">
        <f t="shared" si="48"/>
        <v>0</v>
      </c>
      <c r="T364" s="144" t="s">
        <v>118</v>
      </c>
    </row>
    <row r="365" spans="1:20" ht="15" customHeight="1">
      <c r="A365" s="142">
        <v>30</v>
      </c>
      <c r="B365" s="407" t="s">
        <v>413</v>
      </c>
      <c r="C365" s="14" t="s">
        <v>283</v>
      </c>
      <c r="D365" s="142"/>
      <c r="E365" s="142"/>
      <c r="F365" s="27">
        <f>(SUMIF('Test Year'!$A:$A,$B365,'Test Year'!G:G))/1000</f>
        <v>23846.321866719802</v>
      </c>
      <c r="G365" s="27">
        <f>(SUMIF('Test Year'!$A:$A,$B365,'Test Year'!H:H))/1000</f>
        <v>26545.2174082768</v>
      </c>
      <c r="H365" s="27">
        <f>(SUMIF('Test Year'!$A:$A,$B365,'Test Year'!I:I))/1000</f>
        <v>23099.6313877297</v>
      </c>
      <c r="I365" s="27">
        <f>(SUMIF('Test Year'!$A:$A,$B365,'Test Year'!J:J))/1000</f>
        <v>34167.462464924996</v>
      </c>
      <c r="J365" s="27">
        <f>(SUMIF('Test Year'!$A:$A,$B365,'Test Year'!K:K))/1000</f>
        <v>30083.894349361799</v>
      </c>
      <c r="K365" s="27">
        <f>(SUMIF('Test Year'!$A:$A,$B365,'Test Year'!L:L))/1000</f>
        <v>26174.077231496598</v>
      </c>
      <c r="L365" s="27">
        <f>(SUMIF('Test Year'!$A:$A,$B365,'Test Year'!M:M))/1000</f>
        <v>42599.0362254992</v>
      </c>
      <c r="M365" s="27">
        <f>(SUMIF('Test Year'!$A:$A,$B365,'Test Year'!N:N))/1000</f>
        <v>40940.094114392603</v>
      </c>
      <c r="N365" s="27">
        <f>(SUMIF('Test Year'!$A:$A,$B365,'Test Year'!O:O))/1000</f>
        <v>37304.5713021712</v>
      </c>
      <c r="O365" s="27">
        <f>(SUMIF('Test Year'!$A:$A,$B365,'Test Year'!P:P))/1000</f>
        <v>32990.471889352302</v>
      </c>
      <c r="P365" s="27">
        <f>(SUMIF('Test Year'!$A:$A,$B365,'Test Year'!Q:Q))/1000</f>
        <v>29666.102099628901</v>
      </c>
      <c r="Q365" s="27">
        <f>(SUMIF('Test Year'!$A:$A,$B365,'Test Year'!R:R))/1000</f>
        <v>26490.491907150801</v>
      </c>
      <c r="R365" s="27">
        <f>(SUMIF('Test Year'!$A:$A,$B365,'Test Year'!S:S))/1000</f>
        <v>24364.502786596298</v>
      </c>
      <c r="S365" s="150">
        <f t="shared" si="48"/>
        <v>30636.298079484692</v>
      </c>
      <c r="T365" s="144" t="s">
        <v>118</v>
      </c>
    </row>
    <row r="366" spans="1:20" ht="15" customHeight="1">
      <c r="A366" s="142">
        <v>31</v>
      </c>
      <c r="B366" s="407" t="s">
        <v>414</v>
      </c>
      <c r="C366" s="14" t="s">
        <v>284</v>
      </c>
      <c r="D366" s="142"/>
      <c r="E366" s="142"/>
      <c r="F366" s="27">
        <f>(SUMIF('Test Year'!$A:$A,$B366,'Test Year'!G:G))/1000</f>
        <v>0</v>
      </c>
      <c r="G366" s="27">
        <f>(SUMIF('Test Year'!$A:$A,$B366,'Test Year'!H:H))/1000</f>
        <v>0</v>
      </c>
      <c r="H366" s="27">
        <f>(SUMIF('Test Year'!$A:$A,$B366,'Test Year'!I:I))/1000</f>
        <v>0</v>
      </c>
      <c r="I366" s="27">
        <f>(SUMIF('Test Year'!$A:$A,$B366,'Test Year'!J:J))/1000</f>
        <v>0</v>
      </c>
      <c r="J366" s="27">
        <f>(SUMIF('Test Year'!$A:$A,$B366,'Test Year'!K:K))/1000</f>
        <v>0</v>
      </c>
      <c r="K366" s="27">
        <f>(SUMIF('Test Year'!$A:$A,$B366,'Test Year'!L:L))/1000</f>
        <v>0</v>
      </c>
      <c r="L366" s="27">
        <f>(SUMIF('Test Year'!$A:$A,$B366,'Test Year'!M:M))/1000</f>
        <v>0</v>
      </c>
      <c r="M366" s="27">
        <f>(SUMIF('Test Year'!$A:$A,$B366,'Test Year'!N:N))/1000</f>
        <v>0</v>
      </c>
      <c r="N366" s="27">
        <f>(SUMIF('Test Year'!$A:$A,$B366,'Test Year'!O:O))/1000</f>
        <v>0</v>
      </c>
      <c r="O366" s="27">
        <f>(SUMIF('Test Year'!$A:$A,$B366,'Test Year'!P:P))/1000</f>
        <v>0</v>
      </c>
      <c r="P366" s="27">
        <f>(SUMIF('Test Year'!$A:$A,$B366,'Test Year'!Q:Q))/1000</f>
        <v>0</v>
      </c>
      <c r="Q366" s="27">
        <f>(SUMIF('Test Year'!$A:$A,$B366,'Test Year'!R:R))/1000</f>
        <v>0</v>
      </c>
      <c r="R366" s="27">
        <f>(SUMIF('Test Year'!$A:$A,$B366,'Test Year'!S:S))/1000</f>
        <v>0</v>
      </c>
      <c r="S366" s="150">
        <f t="shared" si="48"/>
        <v>0</v>
      </c>
      <c r="T366" s="144" t="s">
        <v>118</v>
      </c>
    </row>
    <row r="367" spans="1:20" ht="15" customHeight="1">
      <c r="A367" s="142">
        <v>32</v>
      </c>
      <c r="B367" s="407" t="s">
        <v>415</v>
      </c>
      <c r="C367" s="14" t="s">
        <v>285</v>
      </c>
      <c r="D367" s="142"/>
      <c r="E367" s="142"/>
      <c r="F367" s="27">
        <f>(SUMIF('Test Year'!$A:$A,$B367,'Test Year'!G:G))/1000</f>
        <v>73385.642000000109</v>
      </c>
      <c r="G367" s="27">
        <f>(SUMIF('Test Year'!$A:$A,$B367,'Test Year'!H:H))/1000</f>
        <v>71061.000329999995</v>
      </c>
      <c r="H367" s="27">
        <f>(SUMIF('Test Year'!$A:$A,$B367,'Test Year'!I:I))/1000</f>
        <v>65978.523000000001</v>
      </c>
      <c r="I367" s="27">
        <f>(SUMIF('Test Year'!$A:$A,$B367,'Test Year'!J:J))/1000</f>
        <v>70682.535999999993</v>
      </c>
      <c r="J367" s="27">
        <f>(SUMIF('Test Year'!$A:$A,$B367,'Test Year'!K:K))/1000</f>
        <v>75107.868000000002</v>
      </c>
      <c r="K367" s="27">
        <f>(SUMIF('Test Year'!$A:$A,$B367,'Test Year'!L:L))/1000</f>
        <v>85428.983999999997</v>
      </c>
      <c r="L367" s="27">
        <f>(SUMIF('Test Year'!$A:$A,$B367,'Test Year'!M:M))/1000</f>
        <v>89018.442999999999</v>
      </c>
      <c r="M367" s="27">
        <f>(SUMIF('Test Year'!$A:$A,$B367,'Test Year'!N:N))/1000</f>
        <v>91484.849000000002</v>
      </c>
      <c r="N367" s="27">
        <f>(SUMIF('Test Year'!$A:$A,$B367,'Test Year'!O:O))/1000</f>
        <v>96122.569000000003</v>
      </c>
      <c r="O367" s="27">
        <f>(SUMIF('Test Year'!$A:$A,$B367,'Test Year'!P:P))/1000</f>
        <v>87044.013999999996</v>
      </c>
      <c r="P367" s="27">
        <f>(SUMIF('Test Year'!$A:$A,$B367,'Test Year'!Q:Q))/1000</f>
        <v>82054.445999999996</v>
      </c>
      <c r="Q367" s="27">
        <f>(SUMIF('Test Year'!$A:$A,$B367,'Test Year'!R:R))/1000</f>
        <v>72861.231</v>
      </c>
      <c r="R367" s="27">
        <f>(SUMIF('Test Year'!$A:$A,$B367,'Test Year'!S:S))/1000</f>
        <v>73315.543000000005</v>
      </c>
      <c r="S367" s="150">
        <f t="shared" si="48"/>
        <v>79503.511410000021</v>
      </c>
      <c r="T367" s="144" t="s">
        <v>118</v>
      </c>
    </row>
    <row r="368" spans="1:20" ht="15" customHeight="1">
      <c r="A368" s="142">
        <v>33</v>
      </c>
      <c r="B368" s="407" t="s">
        <v>416</v>
      </c>
      <c r="C368" s="14" t="s">
        <v>286</v>
      </c>
      <c r="D368" s="142"/>
      <c r="E368" s="142"/>
      <c r="F368" s="32">
        <f>(SUMIF('Test Year'!$A:$A,$B368,'Test Year'!G:G))/1000</f>
        <v>528</v>
      </c>
      <c r="G368" s="32">
        <f>(SUMIF('Test Year'!$A:$A,$B368,'Test Year'!H:H))/1000</f>
        <v>528</v>
      </c>
      <c r="H368" s="32">
        <f>(SUMIF('Test Year'!$A:$A,$B368,'Test Year'!I:I))/1000</f>
        <v>528</v>
      </c>
      <c r="I368" s="32">
        <f>(SUMIF('Test Year'!$A:$A,$B368,'Test Year'!J:J))/1000</f>
        <v>528</v>
      </c>
      <c r="J368" s="32">
        <f>(SUMIF('Test Year'!$A:$A,$B368,'Test Year'!K:K))/1000</f>
        <v>528</v>
      </c>
      <c r="K368" s="32">
        <f>(SUMIF('Test Year'!$A:$A,$B368,'Test Year'!L:L))/1000</f>
        <v>528</v>
      </c>
      <c r="L368" s="32">
        <f>(SUMIF('Test Year'!$A:$A,$B368,'Test Year'!M:M))/1000</f>
        <v>528</v>
      </c>
      <c r="M368" s="32">
        <f>(SUMIF('Test Year'!$A:$A,$B368,'Test Year'!N:N))/1000</f>
        <v>528</v>
      </c>
      <c r="N368" s="32">
        <f>(SUMIF('Test Year'!$A:$A,$B368,'Test Year'!O:O))/1000</f>
        <v>528</v>
      </c>
      <c r="O368" s="32">
        <f>(SUMIF('Test Year'!$A:$A,$B368,'Test Year'!P:P))/1000</f>
        <v>528</v>
      </c>
      <c r="P368" s="32">
        <f>(SUMIF('Test Year'!$A:$A,$B368,'Test Year'!Q:Q))/1000</f>
        <v>528</v>
      </c>
      <c r="Q368" s="32">
        <f>(SUMIF('Test Year'!$A:$A,$B368,'Test Year'!R:R))/1000</f>
        <v>528</v>
      </c>
      <c r="R368" s="32">
        <f>(SUMIF('Test Year'!$A:$A,$B368,'Test Year'!S:S))/1000</f>
        <v>528</v>
      </c>
      <c r="S368" s="155">
        <f t="shared" si="48"/>
        <v>528</v>
      </c>
      <c r="T368" s="144" t="s">
        <v>118</v>
      </c>
    </row>
    <row r="369" spans="1:21" ht="15" customHeight="1">
      <c r="A369" s="142">
        <v>34</v>
      </c>
      <c r="B369" s="35"/>
      <c r="C369" s="14"/>
      <c r="D369" s="142" t="s">
        <v>396</v>
      </c>
      <c r="E369" s="142"/>
      <c r="F369" s="27">
        <f t="shared" ref="F369:S369" si="49">SUM(F350:F368)</f>
        <v>504933.20656664472</v>
      </c>
      <c r="G369" s="27">
        <f t="shared" si="49"/>
        <v>490556.45652139897</v>
      </c>
      <c r="H369" s="27">
        <f t="shared" si="49"/>
        <v>475392.19216464111</v>
      </c>
      <c r="I369" s="27">
        <f t="shared" si="49"/>
        <v>466812.86842691351</v>
      </c>
      <c r="J369" s="27">
        <f t="shared" si="49"/>
        <v>481903.22767677542</v>
      </c>
      <c r="K369" s="27">
        <f t="shared" si="49"/>
        <v>497105.95662233321</v>
      </c>
      <c r="L369" s="27">
        <f t="shared" si="49"/>
        <v>541873.90990682854</v>
      </c>
      <c r="M369" s="27">
        <f t="shared" si="49"/>
        <v>562147.64653434919</v>
      </c>
      <c r="N369" s="27">
        <f t="shared" si="49"/>
        <v>549450.89580158866</v>
      </c>
      <c r="O369" s="27">
        <f t="shared" si="49"/>
        <v>562919.03418400022</v>
      </c>
      <c r="P369" s="27">
        <f t="shared" si="49"/>
        <v>532920.85755351523</v>
      </c>
      <c r="Q369" s="27">
        <f t="shared" si="49"/>
        <v>501169.46330362337</v>
      </c>
      <c r="R369" s="27">
        <f t="shared" si="49"/>
        <v>492235.1153144773</v>
      </c>
      <c r="S369" s="27">
        <f t="shared" si="49"/>
        <v>512263.14081362222</v>
      </c>
      <c r="T369" s="27"/>
    </row>
    <row r="370" spans="1:21" ht="15" customHeight="1">
      <c r="A370" s="142">
        <v>35</v>
      </c>
      <c r="B370" s="35"/>
      <c r="C370" s="14"/>
      <c r="D370" s="142"/>
      <c r="E370" s="142"/>
      <c r="F370" s="27"/>
      <c r="G370" s="27"/>
      <c r="H370" s="27"/>
      <c r="I370" s="27"/>
      <c r="J370" s="27"/>
      <c r="K370" s="27"/>
      <c r="L370" s="27"/>
      <c r="M370" s="27"/>
      <c r="N370" s="27"/>
      <c r="O370" s="27"/>
      <c r="P370" s="27"/>
      <c r="Q370" s="27"/>
      <c r="R370" s="27"/>
      <c r="S370" s="27"/>
      <c r="T370" s="27"/>
      <c r="U370" s="92"/>
    </row>
    <row r="371" spans="1:21" ht="15" customHeight="1">
      <c r="A371" s="142">
        <v>36</v>
      </c>
      <c r="B371" s="142"/>
      <c r="C371" s="142"/>
      <c r="D371" s="142"/>
      <c r="E371" s="142"/>
      <c r="F371" s="142"/>
      <c r="G371" s="142"/>
      <c r="H371" s="142"/>
      <c r="I371" s="142"/>
      <c r="J371" s="142"/>
      <c r="K371" s="142"/>
      <c r="L371" s="142"/>
      <c r="M371" s="142"/>
      <c r="N371" s="142"/>
      <c r="O371" s="142"/>
      <c r="P371" s="142"/>
      <c r="Q371" s="142"/>
      <c r="R371" s="142"/>
      <c r="S371" s="142"/>
      <c r="T371" s="142"/>
    </row>
    <row r="372" spans="1:21" ht="15" customHeight="1">
      <c r="A372" s="142">
        <v>37</v>
      </c>
      <c r="B372" s="142"/>
      <c r="C372" s="142"/>
      <c r="D372" s="142"/>
      <c r="E372" s="142"/>
      <c r="F372" s="142"/>
      <c r="G372" s="142"/>
      <c r="H372" s="142"/>
      <c r="I372" s="142"/>
      <c r="J372" s="142"/>
      <c r="K372" s="142"/>
      <c r="L372" s="142"/>
      <c r="M372" s="142"/>
      <c r="N372" s="142"/>
      <c r="O372" s="142"/>
      <c r="P372" s="142"/>
      <c r="Q372" s="142"/>
      <c r="R372" s="142"/>
      <c r="S372" s="142"/>
      <c r="T372" s="142"/>
    </row>
    <row r="373" spans="1:21" ht="15" customHeight="1">
      <c r="A373" s="142">
        <v>38</v>
      </c>
      <c r="B373" s="142"/>
      <c r="C373" s="142"/>
      <c r="D373" s="142"/>
      <c r="E373" s="142"/>
      <c r="F373" s="142"/>
      <c r="G373" s="142"/>
      <c r="H373" s="142"/>
      <c r="I373" s="142"/>
      <c r="J373" s="142"/>
      <c r="K373" s="142"/>
      <c r="L373" s="142"/>
      <c r="M373" s="142"/>
      <c r="N373" s="142"/>
      <c r="O373" s="142"/>
      <c r="P373" s="142"/>
      <c r="Q373" s="142"/>
      <c r="R373" s="142"/>
      <c r="S373" s="142"/>
      <c r="T373" s="142"/>
    </row>
    <row r="374" spans="1:21" ht="15" customHeight="1">
      <c r="A374" s="142">
        <v>39</v>
      </c>
      <c r="B374" s="142"/>
      <c r="C374" s="142"/>
      <c r="D374" s="142"/>
      <c r="E374" s="142"/>
      <c r="F374" s="142"/>
      <c r="G374" s="142"/>
      <c r="H374" s="142"/>
      <c r="I374" s="142"/>
      <c r="J374" s="142"/>
      <c r="K374" s="142"/>
      <c r="L374" s="142"/>
      <c r="M374" s="142"/>
      <c r="N374" s="142"/>
      <c r="O374" s="142"/>
      <c r="P374" s="142"/>
      <c r="Q374" s="142"/>
      <c r="R374" s="142"/>
      <c r="S374" s="142"/>
      <c r="T374" s="142"/>
    </row>
    <row r="375" spans="1:21" ht="15" customHeight="1">
      <c r="A375" s="142">
        <v>40</v>
      </c>
      <c r="B375" s="142"/>
      <c r="C375" s="142"/>
      <c r="D375" s="142"/>
      <c r="E375" s="142"/>
      <c r="F375" s="142"/>
      <c r="G375" s="142"/>
      <c r="H375" s="142"/>
      <c r="I375" s="142"/>
      <c r="J375" s="142"/>
      <c r="K375" s="142"/>
      <c r="L375" s="142"/>
      <c r="M375" s="142"/>
      <c r="N375" s="142"/>
      <c r="O375" s="142"/>
      <c r="P375" s="142"/>
      <c r="Q375" s="142"/>
      <c r="R375" s="142"/>
      <c r="S375" s="142"/>
      <c r="T375" s="142"/>
    </row>
    <row r="376" spans="1:21" ht="15" customHeight="1">
      <c r="A376" s="142">
        <v>41</v>
      </c>
      <c r="B376" s="142"/>
      <c r="C376" s="142"/>
      <c r="D376" s="142"/>
      <c r="E376" s="142"/>
      <c r="F376" s="142"/>
      <c r="G376" s="142"/>
      <c r="H376" s="142"/>
      <c r="I376" s="142"/>
      <c r="J376" s="142"/>
      <c r="K376" s="142"/>
      <c r="L376" s="142"/>
      <c r="M376" s="142"/>
      <c r="N376" s="142"/>
      <c r="O376" s="142"/>
      <c r="P376" s="142"/>
      <c r="Q376" s="142"/>
      <c r="R376" s="142"/>
      <c r="S376" s="142"/>
      <c r="T376" s="142"/>
    </row>
    <row r="377" spans="1:21" ht="15" customHeight="1">
      <c r="A377" s="4">
        <v>42</v>
      </c>
      <c r="B377" s="142" t="s">
        <v>417</v>
      </c>
      <c r="C377" s="4"/>
      <c r="D377" s="4"/>
      <c r="E377" s="4"/>
      <c r="F377" s="37"/>
      <c r="G377" s="37"/>
      <c r="H377" s="37"/>
      <c r="I377" s="37"/>
      <c r="J377" s="37"/>
      <c r="K377" s="37"/>
      <c r="L377" s="37"/>
      <c r="M377" s="37"/>
      <c r="N377" s="37"/>
      <c r="O377" s="37"/>
      <c r="P377" s="37"/>
      <c r="Q377" s="37"/>
    </row>
    <row r="378" spans="1:21" ht="15" customHeight="1" thickBot="1">
      <c r="A378" s="1">
        <v>43</v>
      </c>
      <c r="B378" s="145" t="s">
        <v>67</v>
      </c>
      <c r="C378" s="1"/>
      <c r="D378" s="1"/>
      <c r="E378" s="1"/>
      <c r="F378" s="1"/>
      <c r="G378" s="1"/>
      <c r="H378" s="1"/>
      <c r="I378" s="1"/>
      <c r="J378" s="1"/>
      <c r="K378" s="1"/>
      <c r="L378" s="1"/>
      <c r="M378" s="1"/>
      <c r="N378" s="1"/>
      <c r="O378" s="1"/>
      <c r="P378" s="1"/>
      <c r="Q378" s="1"/>
      <c r="R378" s="1"/>
      <c r="S378" s="1"/>
      <c r="T378" s="100"/>
    </row>
    <row r="379" spans="1:21" ht="15" customHeight="1">
      <c r="A379" s="5" t="s">
        <v>180</v>
      </c>
      <c r="B379" s="5"/>
      <c r="C379" s="5"/>
      <c r="D379" s="5"/>
      <c r="E379" s="5"/>
      <c r="F379" s="5"/>
      <c r="G379" s="5"/>
      <c r="H379" s="5"/>
      <c r="I379" s="5"/>
      <c r="J379" s="5"/>
      <c r="K379" s="5"/>
      <c r="L379" s="5"/>
      <c r="M379" s="5"/>
      <c r="N379" s="5"/>
      <c r="O379" s="5"/>
      <c r="P379" s="5"/>
      <c r="Q379" s="5"/>
      <c r="R379" s="5" t="s">
        <v>181</v>
      </c>
      <c r="S379" s="5"/>
      <c r="T379" s="5"/>
    </row>
    <row r="380" spans="1:21" ht="15" customHeight="1" thickBot="1">
      <c r="A380" s="1" t="str">
        <f>+$A$164</f>
        <v>SCHEDULE B-3</v>
      </c>
      <c r="B380" s="1"/>
      <c r="C380" s="1"/>
      <c r="D380" s="1"/>
      <c r="E380" s="1"/>
      <c r="F380" s="1"/>
      <c r="G380" s="1"/>
      <c r="H380" s="1"/>
      <c r="I380" s="1" t="str">
        <f>+$I$164</f>
        <v>13 MONTH AVERAGE BALANCE SHEET - SYSTEM BASIS</v>
      </c>
      <c r="J380" s="1"/>
      <c r="K380" s="1"/>
      <c r="L380" s="1"/>
      <c r="M380" s="1"/>
      <c r="N380" s="1"/>
      <c r="O380" s="1"/>
      <c r="P380" s="1"/>
      <c r="Q380" s="1"/>
      <c r="R380" s="1"/>
      <c r="S380" s="1"/>
      <c r="T380" s="3" t="s">
        <v>504</v>
      </c>
    </row>
    <row r="381" spans="1:21" ht="15" customHeight="1">
      <c r="A381" s="4" t="s">
        <v>4</v>
      </c>
      <c r="B381" s="4"/>
      <c r="C381" s="4"/>
      <c r="D381" s="4"/>
      <c r="E381" s="4"/>
      <c r="F381" s="4" t="s">
        <v>343</v>
      </c>
      <c r="G381" s="4" t="str">
        <f>+$G$165</f>
        <v>Derive the 13-month average system balance sheet by primary account by month for the test year, the prior year</v>
      </c>
      <c r="H381" s="5"/>
      <c r="I381" s="5"/>
      <c r="J381" s="6"/>
      <c r="K381" s="6"/>
      <c r="L381" s="4"/>
      <c r="M381" s="6"/>
      <c r="N381" s="6"/>
      <c r="O381" s="6"/>
      <c r="P381" s="6"/>
      <c r="Q381" s="6" t="s">
        <v>7</v>
      </c>
      <c r="R381" s="4"/>
      <c r="S381" s="4"/>
      <c r="T381" s="7"/>
    </row>
    <row r="382" spans="1:21" ht="15" customHeight="1">
      <c r="A382" s="4"/>
      <c r="B382" s="4"/>
      <c r="C382" s="4"/>
      <c r="D382" s="4"/>
      <c r="E382" s="4"/>
      <c r="F382" s="4"/>
      <c r="G382" s="4" t="str">
        <f>+$G$166</f>
        <v>and the most recent historical year.  For accounts including non-electric utility amounts, show these</v>
      </c>
      <c r="H382" s="5"/>
      <c r="I382" s="5"/>
      <c r="J382" s="9"/>
      <c r="K382" s="7"/>
      <c r="L382" s="4"/>
      <c r="M382" s="4"/>
      <c r="N382" s="4"/>
      <c r="O382" s="4"/>
      <c r="P382" s="9"/>
      <c r="Q382" s="9" t="s">
        <v>12</v>
      </c>
      <c r="R382" s="7" t="str">
        <f>+$R$166</f>
        <v>Projected Test Year Ended 12/31/2025</v>
      </c>
      <c r="S382" s="4"/>
      <c r="T382" s="9"/>
    </row>
    <row r="383" spans="1:21" ht="15" customHeight="1">
      <c r="A383" s="4" t="s">
        <v>10</v>
      </c>
      <c r="B383" s="4"/>
      <c r="C383" s="4"/>
      <c r="D383" s="4"/>
      <c r="E383" s="4"/>
      <c r="F383" s="4"/>
      <c r="G383" s="4" t="str">
        <f>+$G$167</f>
        <v>amounts as a separate sub-account.</v>
      </c>
      <c r="H383" s="4"/>
      <c r="I383" s="4"/>
      <c r="J383" s="9"/>
      <c r="K383" s="7"/>
      <c r="L383" s="9"/>
      <c r="M383" s="4"/>
      <c r="N383" s="4"/>
      <c r="O383" s="4"/>
      <c r="P383" s="4"/>
      <c r="R383" s="7" t="str">
        <f>+$R$167</f>
        <v>Projected Prior Year Ended 12/31/2024</v>
      </c>
      <c r="S383" s="4"/>
      <c r="T383" s="9"/>
    </row>
    <row r="384" spans="1:21" ht="15" customHeight="1">
      <c r="A384" s="4"/>
      <c r="B384" s="4"/>
      <c r="C384" s="4"/>
      <c r="D384" s="4"/>
      <c r="E384" s="4"/>
      <c r="F384" s="4"/>
      <c r="G384" s="4"/>
      <c r="H384" s="4"/>
      <c r="I384" s="4"/>
      <c r="J384" s="9"/>
      <c r="K384" s="7"/>
      <c r="L384" s="9"/>
      <c r="M384" s="4"/>
      <c r="N384" s="4"/>
      <c r="O384" s="4"/>
      <c r="P384" s="4"/>
      <c r="R384" s="7" t="str">
        <f>+$R$168</f>
        <v>Historical Prior Year Ended 12/31/2023</v>
      </c>
      <c r="S384" s="4"/>
      <c r="T384" s="9"/>
    </row>
    <row r="385" spans="1:21" ht="15" customHeight="1" thickBot="1">
      <c r="A385" s="2" t="str">
        <f>A223</f>
        <v>Docket No.</v>
      </c>
      <c r="B385" s="2"/>
      <c r="C385" s="1"/>
      <c r="D385" s="1"/>
      <c r="E385" s="1"/>
      <c r="F385" s="1"/>
      <c r="G385" s="1"/>
      <c r="H385" s="1"/>
      <c r="I385" s="2" t="s">
        <v>15</v>
      </c>
      <c r="J385" s="10"/>
      <c r="K385" s="1"/>
      <c r="L385" s="1"/>
      <c r="M385" s="1"/>
      <c r="N385" s="1"/>
      <c r="O385" s="1"/>
      <c r="P385" s="1"/>
      <c r="Q385" s="1"/>
      <c r="R385" s="2" t="str">
        <f>R331</f>
        <v>Witness:</v>
      </c>
      <c r="S385" s="1"/>
      <c r="T385" s="1"/>
    </row>
    <row r="386" spans="1:21" ht="15" customHeight="1">
      <c r="A386" s="142"/>
      <c r="B386" s="142"/>
      <c r="C386" s="143"/>
      <c r="D386" s="143"/>
      <c r="E386" s="143"/>
      <c r="F386" s="143" t="s">
        <v>17</v>
      </c>
      <c r="G386" s="143" t="s">
        <v>18</v>
      </c>
      <c r="H386" s="143" t="s">
        <v>19</v>
      </c>
      <c r="I386" s="143" t="s">
        <v>20</v>
      </c>
      <c r="J386" s="143" t="s">
        <v>21</v>
      </c>
      <c r="K386" s="143" t="s">
        <v>22</v>
      </c>
      <c r="L386" s="143" t="s">
        <v>23</v>
      </c>
      <c r="M386" s="143" t="s">
        <v>24</v>
      </c>
      <c r="N386" s="143" t="s">
        <v>25</v>
      </c>
      <c r="O386" s="143" t="s">
        <v>26</v>
      </c>
      <c r="P386" s="143" t="s">
        <v>348</v>
      </c>
      <c r="Q386" s="143" t="s">
        <v>349</v>
      </c>
      <c r="R386" s="143" t="s">
        <v>350</v>
      </c>
      <c r="S386" s="143" t="s">
        <v>351</v>
      </c>
      <c r="T386" s="143" t="s">
        <v>352</v>
      </c>
    </row>
    <row r="387" spans="1:21" ht="15" customHeight="1">
      <c r="A387" s="142"/>
      <c r="B387" s="142"/>
      <c r="C387" s="142"/>
      <c r="D387" s="142"/>
      <c r="E387" s="142"/>
      <c r="F387" s="144"/>
      <c r="G387" s="144"/>
      <c r="H387" s="144"/>
      <c r="I387" s="144"/>
      <c r="J387" s="144"/>
      <c r="K387" s="144"/>
      <c r="L387" s="144"/>
      <c r="M387" s="144"/>
      <c r="N387" s="144"/>
      <c r="O387" s="144"/>
      <c r="P387" s="144"/>
      <c r="Q387" s="144"/>
      <c r="R387" s="144"/>
      <c r="S387" s="144" t="s">
        <v>353</v>
      </c>
      <c r="T387" s="144" t="s">
        <v>354</v>
      </c>
    </row>
    <row r="388" spans="1:21" ht="15" customHeight="1">
      <c r="A388" s="142" t="s">
        <v>35</v>
      </c>
      <c r="B388" s="144" t="s">
        <v>355</v>
      </c>
      <c r="C388" s="144" t="s">
        <v>356</v>
      </c>
      <c r="D388" s="144"/>
      <c r="E388" s="144"/>
      <c r="F388" s="144" t="s">
        <v>357</v>
      </c>
      <c r="G388" s="144" t="s">
        <v>358</v>
      </c>
      <c r="H388" s="144" t="s">
        <v>359</v>
      </c>
      <c r="I388" s="144" t="s">
        <v>360</v>
      </c>
      <c r="J388" s="144" t="s">
        <v>361</v>
      </c>
      <c r="K388" s="144" t="s">
        <v>362</v>
      </c>
      <c r="L388" s="144" t="s">
        <v>363</v>
      </c>
      <c r="M388" s="144" t="s">
        <v>364</v>
      </c>
      <c r="N388" s="144" t="s">
        <v>365</v>
      </c>
      <c r="O388" s="144" t="s">
        <v>366</v>
      </c>
      <c r="P388" s="144" t="s">
        <v>367</v>
      </c>
      <c r="Q388" s="144" t="s">
        <v>368</v>
      </c>
      <c r="R388" s="144" t="s">
        <v>357</v>
      </c>
      <c r="S388" s="144" t="s">
        <v>369</v>
      </c>
      <c r="T388" s="144" t="s">
        <v>370</v>
      </c>
    </row>
    <row r="389" spans="1:21" ht="15" customHeight="1" thickBot="1">
      <c r="A389" s="145" t="s">
        <v>46</v>
      </c>
      <c r="B389" s="146" t="s">
        <v>371</v>
      </c>
      <c r="C389" s="146" t="s">
        <v>372</v>
      </c>
      <c r="D389" s="146"/>
      <c r="E389" s="146"/>
      <c r="F389" s="147">
        <f>F335</f>
        <v>2024</v>
      </c>
      <c r="G389" s="147">
        <f t="shared" ref="G389:S389" si="50">G335</f>
        <v>2025</v>
      </c>
      <c r="H389" s="147">
        <f t="shared" si="50"/>
        <v>2025</v>
      </c>
      <c r="I389" s="147">
        <f t="shared" si="50"/>
        <v>2025</v>
      </c>
      <c r="J389" s="147">
        <f t="shared" si="50"/>
        <v>2025</v>
      </c>
      <c r="K389" s="147">
        <f t="shared" si="50"/>
        <v>2025</v>
      </c>
      <c r="L389" s="147">
        <f t="shared" si="50"/>
        <v>2025</v>
      </c>
      <c r="M389" s="147">
        <f t="shared" si="50"/>
        <v>2025</v>
      </c>
      <c r="N389" s="147">
        <f t="shared" si="50"/>
        <v>2025</v>
      </c>
      <c r="O389" s="147">
        <f t="shared" si="50"/>
        <v>2025</v>
      </c>
      <c r="P389" s="147">
        <f t="shared" si="50"/>
        <v>2025</v>
      </c>
      <c r="Q389" s="147">
        <f t="shared" si="50"/>
        <v>2025</v>
      </c>
      <c r="R389" s="147">
        <f t="shared" si="50"/>
        <v>2025</v>
      </c>
      <c r="S389" s="147">
        <f t="shared" si="50"/>
        <v>2025</v>
      </c>
      <c r="T389" s="146" t="s">
        <v>373</v>
      </c>
    </row>
    <row r="390" spans="1:21" ht="15" customHeight="1">
      <c r="A390" s="142">
        <v>1</v>
      </c>
      <c r="B390" s="86"/>
      <c r="C390" s="14" t="s">
        <v>292</v>
      </c>
      <c r="D390" s="14"/>
      <c r="E390" s="14"/>
      <c r="F390" s="14"/>
      <c r="G390" s="14"/>
      <c r="H390" s="14"/>
      <c r="I390" s="14"/>
      <c r="J390" s="14"/>
      <c r="K390" s="14"/>
      <c r="L390" s="14"/>
      <c r="M390" s="14"/>
      <c r="N390" s="14"/>
      <c r="O390" s="14"/>
      <c r="P390" s="14"/>
      <c r="Q390" s="14"/>
      <c r="R390" s="14"/>
      <c r="S390" s="14"/>
      <c r="T390" s="142"/>
    </row>
    <row r="391" spans="1:21" ht="15" customHeight="1">
      <c r="A391" s="142">
        <v>2</v>
      </c>
      <c r="B391" s="408" t="s">
        <v>419</v>
      </c>
      <c r="C391" s="14" t="s">
        <v>420</v>
      </c>
      <c r="D391" s="142"/>
      <c r="E391" s="142"/>
      <c r="F391" s="27">
        <f>(SUMIF('Test Year'!$A:$A,$B391,'Test Year'!G:G))/1000</f>
        <v>28016.99784</v>
      </c>
      <c r="G391" s="27">
        <f>(SUMIF('Test Year'!$A:$A,$B391,'Test Year'!H:H))/1000</f>
        <v>27868.408309999999</v>
      </c>
      <c r="H391" s="27">
        <f>(SUMIF('Test Year'!$A:$A,$B391,'Test Year'!I:I))/1000</f>
        <v>27703.17684</v>
      </c>
      <c r="I391" s="27">
        <f>(SUMIF('Test Year'!$A:$A,$B391,'Test Year'!J:J))/1000</f>
        <v>30046.266339999998</v>
      </c>
      <c r="J391" s="27">
        <f>(SUMIF('Test Year'!$A:$A,$B391,'Test Year'!K:K))/1000</f>
        <v>29868.522840000001</v>
      </c>
      <c r="K391" s="27">
        <f>(SUMIF('Test Year'!$A:$A,$B391,'Test Year'!L:L))/1000</f>
        <v>29690.779340000001</v>
      </c>
      <c r="L391" s="27">
        <f>(SUMIF('Test Year'!$A:$A,$B391,'Test Year'!M:M))/1000</f>
        <v>29325.53484</v>
      </c>
      <c r="M391" s="27">
        <f>(SUMIF('Test Year'!$A:$A,$B391,'Test Year'!N:N))/1000</f>
        <v>29147.79134</v>
      </c>
      <c r="N391" s="27">
        <f>(SUMIF('Test Year'!$A:$A,$B391,'Test Year'!O:O))/1000</f>
        <v>28970.047839999999</v>
      </c>
      <c r="O391" s="27">
        <f>(SUMIF('Test Year'!$A:$A,$B391,'Test Year'!P:P))/1000</f>
        <v>28792.304339999999</v>
      </c>
      <c r="P391" s="27">
        <f>(SUMIF('Test Year'!$A:$A,$B391,'Test Year'!Q:Q))/1000</f>
        <v>28614.560839999998</v>
      </c>
      <c r="Q391" s="27">
        <f>(SUMIF('Test Year'!$A:$A,$B391,'Test Year'!R:R))/1000</f>
        <v>28436.817340000001</v>
      </c>
      <c r="R391" s="27">
        <f>(SUMIF('Test Year'!$A:$A,$B391,'Test Year'!S:S))/1000</f>
        <v>28259.073840000001</v>
      </c>
      <c r="S391" s="150">
        <f t="shared" ref="S391:S398" si="51">AVERAGE(F391:R391)</f>
        <v>28826.17553</v>
      </c>
      <c r="T391" s="144" t="s">
        <v>421</v>
      </c>
      <c r="U391" s="170" t="s">
        <v>505</v>
      </c>
    </row>
    <row r="392" spans="1:21" ht="15" customHeight="1">
      <c r="A392" s="142">
        <v>3</v>
      </c>
      <c r="B392" s="407" t="s">
        <v>422</v>
      </c>
      <c r="C392" s="103" t="s">
        <v>289</v>
      </c>
      <c r="D392" s="334"/>
      <c r="E392" s="334"/>
      <c r="F392" s="105">
        <f>(SUMIF('Test Year'!$A:$A,$B392,'Test Year'!G:G))/1000-F393</f>
        <v>774404.84215279436</v>
      </c>
      <c r="G392" s="105">
        <f>(SUMIF('Test Year'!$A:$A,$B392,'Test Year'!H:H))/1000-G393</f>
        <v>774292.1614299604</v>
      </c>
      <c r="H392" s="105">
        <f>(SUMIF('Test Year'!$A:$A,$B392,'Test Year'!I:I))/1000-H393</f>
        <v>778202.96914077306</v>
      </c>
      <c r="I392" s="105">
        <f>(SUMIF('Test Year'!$A:$A,$B392,'Test Year'!J:J))/1000-I393</f>
        <v>782009.65733508358</v>
      </c>
      <c r="J392" s="105">
        <f>(SUMIF('Test Year'!$A:$A,$B392,'Test Year'!K:K))/1000-J393</f>
        <v>786830.71656175156</v>
      </c>
      <c r="K392" s="105">
        <f>(SUMIF('Test Year'!$A:$A,$B392,'Test Year'!L:L))/1000-K393</f>
        <v>789224.35253260424</v>
      </c>
      <c r="L392" s="105">
        <f>(SUMIF('Test Year'!$A:$A,$B392,'Test Year'!M:M))/1000-L393</f>
        <v>790170.88001173548</v>
      </c>
      <c r="M392" s="105">
        <f>(SUMIF('Test Year'!$A:$A,$B392,'Test Year'!N:N))/1000-M393</f>
        <v>790874.71797063621</v>
      </c>
      <c r="N392" s="105">
        <f>(SUMIF('Test Year'!$A:$A,$B392,'Test Year'!O:O))/1000-N393</f>
        <v>792339.58994973672</v>
      </c>
      <c r="O392" s="105">
        <f>(SUMIF('Test Year'!$A:$A,$B392,'Test Year'!P:P))/1000-O393</f>
        <v>792499.40921341302</v>
      </c>
      <c r="P392" s="105">
        <f>(SUMIF('Test Year'!$A:$A,$B392,'Test Year'!Q:Q))/1000-P393</f>
        <v>794765.36713000503</v>
      </c>
      <c r="Q392" s="105">
        <f>(SUMIF('Test Year'!$A:$A,$B392,'Test Year'!R:R))/1000-Q393</f>
        <v>797166.91387150809</v>
      </c>
      <c r="R392" s="105">
        <f>(SUMIF('Test Year'!$A:$A,$B392,'Test Year'!S:S))/1000-R393</f>
        <v>802420.84783367673</v>
      </c>
      <c r="S392" s="391">
        <f t="shared" si="51"/>
        <v>788092.49424105207</v>
      </c>
      <c r="T392" s="144" t="s">
        <v>423</v>
      </c>
      <c r="U392" s="92"/>
    </row>
    <row r="393" spans="1:21" ht="15" customHeight="1">
      <c r="A393" s="142">
        <v>4</v>
      </c>
      <c r="B393" s="407" t="s">
        <v>422</v>
      </c>
      <c r="C393" s="14" t="s">
        <v>424</v>
      </c>
      <c r="D393" s="142"/>
      <c r="E393" s="142"/>
      <c r="F393" s="27">
        <f>(SUMIF('Test Year'!$C:$C,"1823610",'Test Year'!G:G))/1000</f>
        <v>117987.58408</v>
      </c>
      <c r="G393" s="27">
        <f>(SUMIF('Test Year'!$C:$C,"1823610",'Test Year'!H:H))/1000</f>
        <v>118667.98992000001</v>
      </c>
      <c r="H393" s="27">
        <f>(SUMIF('Test Year'!$C:$C,"1823610",'Test Year'!I:I))/1000</f>
        <v>122035.60358</v>
      </c>
      <c r="I393" s="27">
        <f>(SUMIF('Test Year'!$C:$C,"1823610",'Test Year'!J:J))/1000</f>
        <v>122873.79601000001</v>
      </c>
      <c r="J393" s="27">
        <f>(SUMIF('Test Year'!$C:$C,"1823610",'Test Year'!K:K))/1000</f>
        <v>128055.50658</v>
      </c>
      <c r="K393" s="27">
        <f>(SUMIF('Test Year'!$C:$C,"1823610",'Test Year'!L:L))/1000</f>
        <v>128660.73722</v>
      </c>
      <c r="L393" s="27">
        <f>(SUMIF('Test Year'!$C:$C,"1823610",'Test Year'!M:M))/1000</f>
        <v>128985.17848</v>
      </c>
      <c r="M393" s="27">
        <f>(SUMIF('Test Year'!$C:$C,"1823610",'Test Year'!N:N))/1000</f>
        <v>129208.58441</v>
      </c>
      <c r="N393" s="27">
        <f>(SUMIF('Test Year'!$C:$C,"1823610",'Test Year'!O:O))/1000</f>
        <v>129512.79351999999</v>
      </c>
      <c r="O393" s="27">
        <f>(SUMIF('Test Year'!$C:$C,"1823610",'Test Year'!P:P))/1000</f>
        <v>129871.13397</v>
      </c>
      <c r="P393" s="27">
        <f>(SUMIF('Test Year'!$C:$C,"1823610",'Test Year'!Q:Q))/1000</f>
        <v>130255.53947</v>
      </c>
      <c r="Q393" s="27">
        <f>(SUMIF('Test Year'!$C:$C,"1823610",'Test Year'!R:R))/1000</f>
        <v>130660.0048</v>
      </c>
      <c r="R393" s="27">
        <f>(SUMIF('Test Year'!$C:$C,"1823610",'Test Year'!S:S))/1000</f>
        <v>131185.92519000001</v>
      </c>
      <c r="S393" s="150">
        <f t="shared" si="51"/>
        <v>126766.18286384617</v>
      </c>
      <c r="T393" s="144" t="s">
        <v>425</v>
      </c>
      <c r="U393" s="92"/>
    </row>
    <row r="394" spans="1:21" ht="15" customHeight="1">
      <c r="A394" s="142">
        <v>5</v>
      </c>
      <c r="B394" s="407" t="s">
        <v>426</v>
      </c>
      <c r="C394" s="14" t="s">
        <v>290</v>
      </c>
      <c r="D394" s="142"/>
      <c r="E394" s="142"/>
      <c r="F394" s="27">
        <f>(SUMIF('Test Year'!$A:$A,$B394,'Test Year'!G:G))/1000</f>
        <v>14320.821550000001</v>
      </c>
      <c r="G394" s="27">
        <f>(SUMIF('Test Year'!$A:$A,$B394,'Test Year'!H:H))/1000</f>
        <v>6756.8215499999997</v>
      </c>
      <c r="H394" s="27">
        <f>(SUMIF('Test Year'!$A:$A,$B394,'Test Year'!I:I))/1000</f>
        <v>6803.8215499999997</v>
      </c>
      <c r="I394" s="27">
        <f>(SUMIF('Test Year'!$A:$A,$B394,'Test Year'!J:J))/1000</f>
        <v>6884.8215499999997</v>
      </c>
      <c r="J394" s="27">
        <f>(SUMIF('Test Year'!$A:$A,$B394,'Test Year'!K:K))/1000</f>
        <v>6952.8215499999997</v>
      </c>
      <c r="K394" s="27">
        <f>(SUMIF('Test Year'!$A:$A,$B394,'Test Year'!L:L))/1000</f>
        <v>6990.8215499999997</v>
      </c>
      <c r="L394" s="27">
        <f>(SUMIF('Test Year'!$A:$A,$B394,'Test Year'!M:M))/1000</f>
        <v>7028.8215499999997</v>
      </c>
      <c r="M394" s="27">
        <f>(SUMIF('Test Year'!$A:$A,$B394,'Test Year'!N:N))/1000</f>
        <v>7091.8215499999997</v>
      </c>
      <c r="N394" s="27">
        <f>(SUMIF('Test Year'!$A:$A,$B394,'Test Year'!O:O))/1000</f>
        <v>7129.8215499999997</v>
      </c>
      <c r="O394" s="27">
        <f>(SUMIF('Test Year'!$A:$A,$B394,'Test Year'!P:P))/1000</f>
        <v>3866.8215499999997</v>
      </c>
      <c r="P394" s="27">
        <f>(SUMIF('Test Year'!$A:$A,$B394,'Test Year'!Q:Q))/1000</f>
        <v>3904.8215499999997</v>
      </c>
      <c r="Q394" s="27">
        <f>(SUMIF('Test Year'!$A:$A,$B394,'Test Year'!R:R))/1000</f>
        <v>3942.8215499999997</v>
      </c>
      <c r="R394" s="27">
        <f>(SUMIF('Test Year'!$A:$A,$B394,'Test Year'!S:S))/1000</f>
        <v>3692.8215499999997</v>
      </c>
      <c r="S394" s="150">
        <f t="shared" si="51"/>
        <v>6566.744626923075</v>
      </c>
      <c r="T394" s="144" t="s">
        <v>118</v>
      </c>
    </row>
    <row r="395" spans="1:21" ht="15" customHeight="1">
      <c r="A395" s="142">
        <v>6</v>
      </c>
      <c r="B395" s="407" t="s">
        <v>427</v>
      </c>
      <c r="C395" s="14" t="s">
        <v>291</v>
      </c>
      <c r="D395" s="142"/>
      <c r="E395" s="142"/>
      <c r="F395" s="27">
        <f>(SUMIF('Test Year'!$A:$A,$B395,'Test Year'!G:G))/1000</f>
        <v>0</v>
      </c>
      <c r="G395" s="27">
        <f>(SUMIF('Test Year'!$A:$A,$B395,'Test Year'!H:H))/1000</f>
        <v>0</v>
      </c>
      <c r="H395" s="27">
        <f>(SUMIF('Test Year'!$A:$A,$B395,'Test Year'!I:I))/1000</f>
        <v>0</v>
      </c>
      <c r="I395" s="27">
        <f>(SUMIF('Test Year'!$A:$A,$B395,'Test Year'!J:J))/1000</f>
        <v>0</v>
      </c>
      <c r="J395" s="27">
        <f>(SUMIF('Test Year'!$A:$A,$B395,'Test Year'!K:K))/1000</f>
        <v>0</v>
      </c>
      <c r="K395" s="27">
        <f>(SUMIF('Test Year'!$A:$A,$B395,'Test Year'!L:L))/1000</f>
        <v>0</v>
      </c>
      <c r="L395" s="27">
        <f>(SUMIF('Test Year'!$A:$A,$B395,'Test Year'!M:M))/1000</f>
        <v>0</v>
      </c>
      <c r="M395" s="27">
        <f>(SUMIF('Test Year'!$A:$A,$B395,'Test Year'!N:N))/1000</f>
        <v>0</v>
      </c>
      <c r="N395" s="27">
        <f>(SUMIF('Test Year'!$A:$A,$B395,'Test Year'!O:O))/1000</f>
        <v>0</v>
      </c>
      <c r="O395" s="27">
        <f>(SUMIF('Test Year'!$A:$A,$B395,'Test Year'!P:P))/1000</f>
        <v>0</v>
      </c>
      <c r="P395" s="27">
        <f>(SUMIF('Test Year'!$A:$A,$B395,'Test Year'!Q:Q))/1000</f>
        <v>0</v>
      </c>
      <c r="Q395" s="27">
        <f>(SUMIF('Test Year'!$A:$A,$B395,'Test Year'!R:R))/1000</f>
        <v>0</v>
      </c>
      <c r="R395" s="27">
        <f>(SUMIF('Test Year'!$A:$A,$B395,'Test Year'!S:S))/1000</f>
        <v>0</v>
      </c>
      <c r="S395" s="150">
        <f t="shared" si="51"/>
        <v>0</v>
      </c>
      <c r="T395" s="144" t="s">
        <v>118</v>
      </c>
    </row>
    <row r="396" spans="1:21" ht="15" customHeight="1">
      <c r="A396" s="142">
        <v>7</v>
      </c>
      <c r="B396" s="407" t="s">
        <v>428</v>
      </c>
      <c r="C396" s="14" t="s">
        <v>498</v>
      </c>
      <c r="D396" s="142"/>
      <c r="E396" s="142"/>
      <c r="F396" s="27">
        <f>(SUMIF('Test Year'!$A:$A,$B396,'Test Year'!G:G))/1000</f>
        <v>5745.2926600000001</v>
      </c>
      <c r="G396" s="27">
        <f>(SUMIF('Test Year'!$A:$A,$B396,'Test Year'!H:H))/1000</f>
        <v>3140.0285699999999</v>
      </c>
      <c r="H396" s="27">
        <f>(SUMIF('Test Year'!$A:$A,$B396,'Test Year'!I:I))/1000</f>
        <v>3275.6271000000002</v>
      </c>
      <c r="I396" s="27">
        <f>(SUMIF('Test Year'!$A:$A,$B396,'Test Year'!J:J))/1000</f>
        <v>3040.4160400000001</v>
      </c>
      <c r="J396" s="27">
        <f>(SUMIF('Test Year'!$A:$A,$B396,'Test Year'!K:K))/1000</f>
        <v>2954.19299</v>
      </c>
      <c r="K396" s="27">
        <f>(SUMIF('Test Year'!$A:$A,$B396,'Test Year'!L:L))/1000</f>
        <v>2828.6259799999998</v>
      </c>
      <c r="L396" s="27">
        <f>(SUMIF('Test Year'!$A:$A,$B396,'Test Year'!M:M))/1000</f>
        <v>3118.5788900000002</v>
      </c>
      <c r="M396" s="27">
        <f>(SUMIF('Test Year'!$A:$A,$B396,'Test Year'!N:N))/1000</f>
        <v>5276.0548699999999</v>
      </c>
      <c r="N396" s="27">
        <f>(SUMIF('Test Year'!$A:$A,$B396,'Test Year'!O:O))/1000</f>
        <v>5607.6506799999997</v>
      </c>
      <c r="O396" s="27">
        <f>(SUMIF('Test Year'!$A:$A,$B396,'Test Year'!P:P))/1000</f>
        <v>5263.8179400000008</v>
      </c>
      <c r="P396" s="27">
        <f>(SUMIF('Test Year'!$A:$A,$B396,'Test Year'!Q:Q))/1000</f>
        <v>5144.0990499999998</v>
      </c>
      <c r="Q396" s="27">
        <f>(SUMIF('Test Year'!$A:$A,$B396,'Test Year'!R:R))/1000</f>
        <v>5053.5128800000002</v>
      </c>
      <c r="R396" s="27">
        <f>(SUMIF('Test Year'!$A:$A,$B396,'Test Year'!S:S))/1000</f>
        <v>2988.3853599999998</v>
      </c>
      <c r="S396" s="150">
        <f t="shared" si="51"/>
        <v>4110.4833084615384</v>
      </c>
      <c r="T396" s="144" t="s">
        <v>118</v>
      </c>
    </row>
    <row r="397" spans="1:21" ht="15" customHeight="1">
      <c r="A397" s="142">
        <v>8</v>
      </c>
      <c r="B397" s="412" t="s">
        <v>429</v>
      </c>
      <c r="C397" s="14" t="s">
        <v>430</v>
      </c>
      <c r="D397" s="142"/>
      <c r="E397" s="142"/>
      <c r="F397" s="27">
        <f>(SUMIF('Test Year'!$A:$A,$B397,'Test Year'!G:G))/1000</f>
        <v>2534.87392</v>
      </c>
      <c r="G397" s="27">
        <f>(SUMIF('Test Year'!$A:$A,$B397,'Test Year'!H:H))/1000</f>
        <v>2885.1861899999999</v>
      </c>
      <c r="H397" s="27">
        <f>(SUMIF('Test Year'!$A:$A,$B397,'Test Year'!I:I))/1000</f>
        <v>2853.3396200000002</v>
      </c>
      <c r="I397" s="27">
        <f>(SUMIF('Test Year'!$A:$A,$B397,'Test Year'!J:J))/1000</f>
        <v>2821.49305</v>
      </c>
      <c r="J397" s="27">
        <f>(SUMIF('Test Year'!$A:$A,$B397,'Test Year'!K:K))/1000</f>
        <v>2789.6464799999999</v>
      </c>
      <c r="K397" s="27">
        <f>(SUMIF('Test Year'!$A:$A,$B397,'Test Year'!L:L))/1000</f>
        <v>2757.7999100000002</v>
      </c>
      <c r="L397" s="27">
        <f>(SUMIF('Test Year'!$A:$A,$B397,'Test Year'!M:M))/1000</f>
        <v>2725.95334</v>
      </c>
      <c r="M397" s="27">
        <f>(SUMIF('Test Year'!$A:$A,$B397,'Test Year'!N:N))/1000</f>
        <v>2694.1067699999999</v>
      </c>
      <c r="N397" s="27">
        <f>(SUMIF('Test Year'!$A:$A,$B397,'Test Year'!O:O))/1000</f>
        <v>2662.2602000000002</v>
      </c>
      <c r="O397" s="27">
        <f>(SUMIF('Test Year'!$A:$A,$B397,'Test Year'!P:P))/1000</f>
        <v>2630.41363</v>
      </c>
      <c r="P397" s="27">
        <f>(SUMIF('Test Year'!$A:$A,$B397,'Test Year'!Q:Q))/1000</f>
        <v>2598.5670599999999</v>
      </c>
      <c r="Q397" s="27">
        <f>(SUMIF('Test Year'!$A:$A,$B397,'Test Year'!R:R))/1000</f>
        <v>2566.7204900000002</v>
      </c>
      <c r="R397" s="27">
        <f>(SUMIF('Test Year'!$A:$A,$B397,'Test Year'!S:S))/1000</f>
        <v>2534.87392</v>
      </c>
      <c r="S397" s="150">
        <f t="shared" si="51"/>
        <v>2696.5565061538464</v>
      </c>
      <c r="T397" s="144" t="s">
        <v>421</v>
      </c>
    </row>
    <row r="398" spans="1:21" ht="15" customHeight="1">
      <c r="A398" s="142">
        <v>9</v>
      </c>
      <c r="B398" s="408" t="s">
        <v>431</v>
      </c>
      <c r="C398" s="14" t="s">
        <v>432</v>
      </c>
      <c r="D398" s="142"/>
      <c r="E398" s="142"/>
      <c r="F398" s="32">
        <f>(SUMIF('Test Year'!$A:$A,$B398,'Test Year'!G:G))/1000</f>
        <v>768014.36690999975</v>
      </c>
      <c r="G398" s="32">
        <f>(SUMIF('Test Year'!$A:$A,$B398,'Test Year'!H:H))/1000</f>
        <v>771155.59033999953</v>
      </c>
      <c r="H398" s="32">
        <f>(SUMIF('Test Year'!$A:$A,$B398,'Test Year'!I:I))/1000</f>
        <v>793953.96616999956</v>
      </c>
      <c r="I398" s="32">
        <f>(SUMIF('Test Year'!$A:$A,$B398,'Test Year'!J:J))/1000</f>
        <v>797202.2900799996</v>
      </c>
      <c r="J398" s="32">
        <f>(SUMIF('Test Year'!$A:$A,$B398,'Test Year'!K:K))/1000</f>
        <v>834679.55777999957</v>
      </c>
      <c r="K398" s="32">
        <f>(SUMIF('Test Year'!$A:$A,$B398,'Test Year'!L:L))/1000</f>
        <v>839628.07681999973</v>
      </c>
      <c r="L398" s="32">
        <f>(SUMIF('Test Year'!$A:$A,$B398,'Test Year'!M:M))/1000</f>
        <v>843501.75456999964</v>
      </c>
      <c r="M398" s="32">
        <f>(SUMIF('Test Year'!$A:$A,$B398,'Test Year'!N:N))/1000</f>
        <v>847516.11798999971</v>
      </c>
      <c r="N398" s="32">
        <f>(SUMIF('Test Year'!$A:$A,$B398,'Test Year'!O:O))/1000</f>
        <v>851727.1286599997</v>
      </c>
      <c r="O398" s="32">
        <f>(SUMIF('Test Year'!$A:$A,$B398,'Test Year'!P:P))/1000</f>
        <v>854909.99592999974</v>
      </c>
      <c r="P398" s="32">
        <f>(SUMIF('Test Year'!$A:$A,$B398,'Test Year'!Q:Q))/1000</f>
        <v>858928.00052999973</v>
      </c>
      <c r="Q398" s="32">
        <f>(SUMIF('Test Year'!$A:$A,$B398,'Test Year'!R:R))/1000</f>
        <v>862235.8947899997</v>
      </c>
      <c r="R398" s="32">
        <f>(SUMIF('Test Year'!$A:$A,$B398,'Test Year'!S:S))/1000</f>
        <v>866921.80000999977</v>
      </c>
      <c r="S398" s="155">
        <f t="shared" si="51"/>
        <v>830028.81081384583</v>
      </c>
      <c r="T398" s="144" t="s">
        <v>421</v>
      </c>
      <c r="U398" s="92"/>
    </row>
    <row r="399" spans="1:21" ht="15" customHeight="1">
      <c r="A399" s="142">
        <v>10</v>
      </c>
      <c r="B399" s="408"/>
      <c r="C399" s="14"/>
      <c r="D399" s="142" t="s">
        <v>292</v>
      </c>
      <c r="E399" s="142"/>
      <c r="F399" s="27">
        <f t="shared" ref="F399:S399" si="52">SUM(F391:F398)</f>
        <v>1711024.7791127942</v>
      </c>
      <c r="G399" s="27">
        <f t="shared" si="52"/>
        <v>1704766.1863099597</v>
      </c>
      <c r="H399" s="27">
        <f t="shared" si="52"/>
        <v>1734828.5040007727</v>
      </c>
      <c r="I399" s="27">
        <f t="shared" si="52"/>
        <v>1744878.7404050832</v>
      </c>
      <c r="J399" s="27">
        <f t="shared" si="52"/>
        <v>1792130.9647817512</v>
      </c>
      <c r="K399" s="27">
        <f t="shared" si="52"/>
        <v>1799781.1933526038</v>
      </c>
      <c r="L399" s="27">
        <f t="shared" si="52"/>
        <v>1804856.701681735</v>
      </c>
      <c r="M399" s="27">
        <f t="shared" si="52"/>
        <v>1811809.1949006359</v>
      </c>
      <c r="N399" s="27">
        <f t="shared" si="52"/>
        <v>1817949.2923997364</v>
      </c>
      <c r="O399" s="27">
        <f t="shared" si="52"/>
        <v>1817833.8965734127</v>
      </c>
      <c r="P399" s="27">
        <f t="shared" si="52"/>
        <v>1824210.9556300049</v>
      </c>
      <c r="Q399" s="27">
        <f t="shared" si="52"/>
        <v>1830062.6857215078</v>
      </c>
      <c r="R399" s="27">
        <f t="shared" si="52"/>
        <v>1838003.7277036766</v>
      </c>
      <c r="S399" s="27">
        <f t="shared" si="52"/>
        <v>1787087.4478902826</v>
      </c>
      <c r="T399" s="142"/>
      <c r="U399" s="92"/>
    </row>
    <row r="400" spans="1:21" ht="15" customHeight="1">
      <c r="A400" s="142">
        <v>11</v>
      </c>
      <c r="B400" s="408"/>
      <c r="C400" s="14"/>
      <c r="D400" s="142"/>
      <c r="E400" s="142"/>
      <c r="F400" s="27"/>
      <c r="G400" s="27"/>
      <c r="H400" s="27"/>
      <c r="I400" s="27"/>
      <c r="J400" s="27"/>
      <c r="K400" s="27"/>
      <c r="L400" s="27"/>
      <c r="M400" s="27"/>
      <c r="N400" s="27"/>
      <c r="O400" s="27"/>
      <c r="P400" s="27"/>
      <c r="Q400" s="27"/>
      <c r="R400" s="27"/>
      <c r="S400" s="27"/>
      <c r="T400" s="142"/>
    </row>
    <row r="401" spans="1:21" ht="15" customHeight="1" thickBot="1">
      <c r="A401" s="142">
        <v>12</v>
      </c>
      <c r="B401" s="408"/>
      <c r="C401" s="14" t="s">
        <v>433</v>
      </c>
      <c r="D401" s="142"/>
      <c r="E401" s="142"/>
      <c r="F401" s="158">
        <f t="shared" ref="F401:S401" si="53">+F342+F347+F369+F399</f>
        <v>13050021.784111338</v>
      </c>
      <c r="G401" s="158">
        <f t="shared" si="53"/>
        <v>13175694.211948153</v>
      </c>
      <c r="H401" s="158">
        <f t="shared" si="53"/>
        <v>13283354.576640099</v>
      </c>
      <c r="I401" s="158">
        <f t="shared" si="53"/>
        <v>13384643.651824946</v>
      </c>
      <c r="J401" s="158">
        <f t="shared" si="53"/>
        <v>13534249.080487095</v>
      </c>
      <c r="K401" s="158">
        <f t="shared" si="53"/>
        <v>13651652.946849696</v>
      </c>
      <c r="L401" s="158">
        <f t="shared" si="53"/>
        <v>13837397.41628956</v>
      </c>
      <c r="M401" s="158">
        <f t="shared" si="53"/>
        <v>14004559.986957975</v>
      </c>
      <c r="N401" s="158">
        <f t="shared" si="53"/>
        <v>14052331.270406118</v>
      </c>
      <c r="O401" s="158">
        <f t="shared" si="53"/>
        <v>14114049.317109814</v>
      </c>
      <c r="P401" s="158">
        <f t="shared" si="53"/>
        <v>14134733.578126919</v>
      </c>
      <c r="Q401" s="158">
        <f t="shared" si="53"/>
        <v>14143674.276010511</v>
      </c>
      <c r="R401" s="158">
        <f t="shared" si="53"/>
        <v>14220035.586576134</v>
      </c>
      <c r="S401" s="158">
        <f t="shared" si="53"/>
        <v>13737415.206410646</v>
      </c>
      <c r="T401" s="142"/>
      <c r="U401" s="159"/>
    </row>
    <row r="402" spans="1:21" ht="15" customHeight="1" thickTop="1">
      <c r="A402" s="142">
        <v>13</v>
      </c>
      <c r="B402" s="144"/>
      <c r="C402" s="142"/>
      <c r="D402" s="142"/>
      <c r="E402" s="142"/>
      <c r="F402" s="142"/>
      <c r="G402" s="142"/>
      <c r="H402" s="142"/>
      <c r="I402" s="142"/>
      <c r="J402" s="142"/>
      <c r="K402" s="142"/>
      <c r="L402" s="142"/>
      <c r="M402" s="142"/>
      <c r="N402" s="142"/>
      <c r="O402" s="142"/>
      <c r="P402" s="142"/>
      <c r="Q402" s="142"/>
      <c r="R402" s="142"/>
      <c r="S402" s="142"/>
      <c r="T402" s="142"/>
    </row>
    <row r="403" spans="1:21" ht="15" customHeight="1">
      <c r="A403" s="142">
        <v>14</v>
      </c>
      <c r="B403" s="408"/>
      <c r="C403" s="14" t="s">
        <v>434</v>
      </c>
      <c r="D403" s="142"/>
      <c r="E403" s="142"/>
      <c r="F403" s="142"/>
      <c r="G403" s="142"/>
      <c r="H403" s="142"/>
      <c r="I403" s="142"/>
      <c r="J403" s="142"/>
      <c r="K403" s="142"/>
      <c r="L403" s="142"/>
      <c r="M403" s="142"/>
      <c r="N403" s="142"/>
      <c r="O403" s="142"/>
      <c r="P403" s="142"/>
      <c r="Q403" s="142"/>
      <c r="R403" s="142"/>
      <c r="S403" s="142"/>
      <c r="T403" s="142"/>
    </row>
    <row r="404" spans="1:21" ht="15" customHeight="1">
      <c r="A404" s="142">
        <v>15</v>
      </c>
      <c r="B404" s="408"/>
      <c r="C404" s="14"/>
      <c r="D404" s="142"/>
      <c r="E404" s="142"/>
      <c r="F404" s="27"/>
      <c r="G404" s="27"/>
      <c r="H404" s="27"/>
      <c r="I404" s="27"/>
      <c r="J404" s="27"/>
      <c r="K404" s="27"/>
      <c r="L404" s="27"/>
      <c r="M404" s="27"/>
      <c r="N404" s="27"/>
      <c r="O404" s="27"/>
      <c r="P404" s="27"/>
      <c r="Q404" s="27"/>
      <c r="R404" s="27"/>
      <c r="S404" s="27"/>
      <c r="T404" s="142"/>
    </row>
    <row r="405" spans="1:21" ht="15" customHeight="1">
      <c r="A405" s="142">
        <v>16</v>
      </c>
      <c r="B405" s="408" t="s">
        <v>435</v>
      </c>
      <c r="C405" s="14" t="s">
        <v>436</v>
      </c>
      <c r="D405" s="142"/>
      <c r="E405" s="142"/>
      <c r="F405" s="27">
        <f>(SUMIF('Test Year'!$A:$A,$B405,'Test Year'!G:G))/1000</f>
        <v>119696.8</v>
      </c>
      <c r="G405" s="27">
        <f>(SUMIF('Test Year'!$A:$A,$B405,'Test Year'!H:H))/1000</f>
        <v>119696.8</v>
      </c>
      <c r="H405" s="27">
        <f>(SUMIF('Test Year'!$A:$A,$B405,'Test Year'!I:I))/1000</f>
        <v>119696.8</v>
      </c>
      <c r="I405" s="27">
        <f>(SUMIF('Test Year'!$A:$A,$B405,'Test Year'!J:J))/1000</f>
        <v>119696.8</v>
      </c>
      <c r="J405" s="27">
        <f>(SUMIF('Test Year'!$A:$A,$B405,'Test Year'!K:K))/1000</f>
        <v>119696.8</v>
      </c>
      <c r="K405" s="27">
        <f>(SUMIF('Test Year'!$A:$A,$B405,'Test Year'!L:L))/1000</f>
        <v>119696.8</v>
      </c>
      <c r="L405" s="27">
        <f>(SUMIF('Test Year'!$A:$A,$B405,'Test Year'!M:M))/1000</f>
        <v>119696.8</v>
      </c>
      <c r="M405" s="27">
        <f>(SUMIF('Test Year'!$A:$A,$B405,'Test Year'!N:N))/1000</f>
        <v>119696.8</v>
      </c>
      <c r="N405" s="27">
        <f>(SUMIF('Test Year'!$A:$A,$B405,'Test Year'!O:O))/1000</f>
        <v>119696.8</v>
      </c>
      <c r="O405" s="27">
        <f>(SUMIF('Test Year'!$A:$A,$B405,'Test Year'!P:P))/1000</f>
        <v>119696.8</v>
      </c>
      <c r="P405" s="27">
        <f>(SUMIF('Test Year'!$A:$A,$B405,'Test Year'!Q:Q))/1000</f>
        <v>119696.8</v>
      </c>
      <c r="Q405" s="27">
        <f>(SUMIF('Test Year'!$A:$A,$B405,'Test Year'!R:R))/1000</f>
        <v>119696.8</v>
      </c>
      <c r="R405" s="27">
        <f>(SUMIF('Test Year'!$A:$A,$B405,'Test Year'!S:S))/1000</f>
        <v>119696.8</v>
      </c>
      <c r="S405" s="150">
        <f t="shared" ref="S405:S409" si="54">AVERAGE(F405:R405)</f>
        <v>119696.80000000003</v>
      </c>
      <c r="T405" s="144" t="s">
        <v>421</v>
      </c>
    </row>
    <row r="406" spans="1:21" ht="15" customHeight="1">
      <c r="A406" s="142">
        <v>17</v>
      </c>
      <c r="B406" s="408" t="s">
        <v>437</v>
      </c>
      <c r="C406" s="14" t="s">
        <v>438</v>
      </c>
      <c r="D406" s="142"/>
      <c r="E406" s="142"/>
      <c r="F406" s="27">
        <f>(SUMIF('Test Year'!$A:$A,$B406,'Test Year'!G:G))/1000</f>
        <v>4985840.2</v>
      </c>
      <c r="G406" s="27">
        <f>(SUMIF('Test Year'!$A:$A,$B406,'Test Year'!H:H))/1000</f>
        <v>4985840.2</v>
      </c>
      <c r="H406" s="27">
        <f>(SUMIF('Test Year'!$A:$A,$B406,'Test Year'!I:I))/1000</f>
        <v>5145840.2</v>
      </c>
      <c r="I406" s="27">
        <f>(SUMIF('Test Year'!$A:$A,$B406,'Test Year'!J:J))/1000</f>
        <v>5145840.2</v>
      </c>
      <c r="J406" s="27">
        <f>(SUMIF('Test Year'!$A:$A,$B406,'Test Year'!K:K))/1000</f>
        <v>5145840.2</v>
      </c>
      <c r="K406" s="27">
        <f>(SUMIF('Test Year'!$A:$A,$B406,'Test Year'!L:L))/1000</f>
        <v>5300840.2</v>
      </c>
      <c r="L406" s="27">
        <f>(SUMIF('Test Year'!$A:$A,$B406,'Test Year'!M:M))/1000</f>
        <v>5300840.2</v>
      </c>
      <c r="M406" s="27">
        <f>(SUMIF('Test Year'!$A:$A,$B406,'Test Year'!N:N))/1000</f>
        <v>5300840.2</v>
      </c>
      <c r="N406" s="27">
        <f>(SUMIF('Test Year'!$A:$A,$B406,'Test Year'!O:O))/1000</f>
        <v>5450840.2000000002</v>
      </c>
      <c r="O406" s="27">
        <f>(SUMIF('Test Year'!$A:$A,$B406,'Test Year'!P:P))/1000</f>
        <v>5450840.2000000002</v>
      </c>
      <c r="P406" s="27">
        <f>(SUMIF('Test Year'!$A:$A,$B406,'Test Year'!Q:Q))/1000</f>
        <v>5450840.2000000002</v>
      </c>
      <c r="Q406" s="27">
        <f>(SUMIF('Test Year'!$A:$A,$B406,'Test Year'!R:R))/1000</f>
        <v>5565840.2000000002</v>
      </c>
      <c r="R406" s="27">
        <f>(SUMIF('Test Year'!$A:$A,$B406,'Test Year'!S:S))/1000</f>
        <v>5565840.2000000002</v>
      </c>
      <c r="S406" s="150">
        <f t="shared" si="54"/>
        <v>5291994.0461538471</v>
      </c>
      <c r="T406" s="144" t="s">
        <v>421</v>
      </c>
    </row>
    <row r="407" spans="1:21" ht="15" customHeight="1">
      <c r="A407" s="142">
        <v>18</v>
      </c>
      <c r="B407" s="408" t="s">
        <v>439</v>
      </c>
      <c r="C407" s="14" t="s">
        <v>440</v>
      </c>
      <c r="D407" s="142"/>
      <c r="E407" s="142"/>
      <c r="F407" s="27">
        <f>(SUMIF('Test Year'!$A:$A,$B407,'Test Year'!G:G))/1000</f>
        <v>-700.9</v>
      </c>
      <c r="G407" s="27">
        <f>(SUMIF('Test Year'!$A:$A,$B407,'Test Year'!H:H))/1000</f>
        <v>-700.9</v>
      </c>
      <c r="H407" s="27">
        <f>(SUMIF('Test Year'!$A:$A,$B407,'Test Year'!I:I))/1000</f>
        <v>-700.9</v>
      </c>
      <c r="I407" s="27">
        <f>(SUMIF('Test Year'!$A:$A,$B407,'Test Year'!J:J))/1000</f>
        <v>-700.9</v>
      </c>
      <c r="J407" s="27">
        <f>(SUMIF('Test Year'!$A:$A,$B407,'Test Year'!K:K))/1000</f>
        <v>-700.9</v>
      </c>
      <c r="K407" s="27">
        <f>(SUMIF('Test Year'!$A:$A,$B407,'Test Year'!L:L))/1000</f>
        <v>-700.9</v>
      </c>
      <c r="L407" s="27">
        <f>(SUMIF('Test Year'!$A:$A,$B407,'Test Year'!M:M))/1000</f>
        <v>-700.9</v>
      </c>
      <c r="M407" s="27">
        <f>(SUMIF('Test Year'!$A:$A,$B407,'Test Year'!N:N))/1000</f>
        <v>-700.9</v>
      </c>
      <c r="N407" s="27">
        <f>(SUMIF('Test Year'!$A:$A,$B407,'Test Year'!O:O))/1000</f>
        <v>-700.9</v>
      </c>
      <c r="O407" s="27">
        <f>(SUMIF('Test Year'!$A:$A,$B407,'Test Year'!P:P))/1000</f>
        <v>-700.9</v>
      </c>
      <c r="P407" s="27">
        <f>(SUMIF('Test Year'!$A:$A,$B407,'Test Year'!Q:Q))/1000</f>
        <v>-700.9</v>
      </c>
      <c r="Q407" s="27">
        <f>(SUMIF('Test Year'!$A:$A,$B407,'Test Year'!R:R))/1000</f>
        <v>-700.9</v>
      </c>
      <c r="R407" s="27">
        <f>(SUMIF('Test Year'!$A:$A,$B407,'Test Year'!S:S))/1000</f>
        <v>-700.9</v>
      </c>
      <c r="S407" s="150">
        <f t="shared" si="54"/>
        <v>-700.89999999999975</v>
      </c>
      <c r="T407" s="144" t="s">
        <v>421</v>
      </c>
    </row>
    <row r="408" spans="1:21" ht="15" customHeight="1">
      <c r="A408" s="142">
        <v>19</v>
      </c>
      <c r="B408" s="408" t="s">
        <v>441</v>
      </c>
      <c r="C408" s="14" t="s">
        <v>442</v>
      </c>
      <c r="D408" s="142"/>
      <c r="E408" s="142"/>
      <c r="F408" s="27">
        <f>(SUMIF('Test Year'!$A:$A,$B408,'Test Year'!G:G))/1000</f>
        <v>220252.162617942</v>
      </c>
      <c r="G408" s="27">
        <f>(SUMIF('Test Year'!$A:$A,$B408,'Test Year'!H:H))/1000</f>
        <v>249197.47295984102</v>
      </c>
      <c r="H408" s="27">
        <f>(SUMIF('Test Year'!$A:$A,$B408,'Test Year'!I:I))/1000</f>
        <v>187957.93965559901</v>
      </c>
      <c r="I408" s="27">
        <f>(SUMIF('Test Year'!$A:$A,$B408,'Test Year'!J:J))/1000</f>
        <v>207636.87295460099</v>
      </c>
      <c r="J408" s="27">
        <f>(SUMIF('Test Year'!$A:$A,$B408,'Test Year'!K:K))/1000</f>
        <v>238440.591939048</v>
      </c>
      <c r="K408" s="27">
        <f>(SUMIF('Test Year'!$A:$A,$B408,'Test Year'!L:L))/1000</f>
        <v>207498.48499128301</v>
      </c>
      <c r="L408" s="27">
        <f>(SUMIF('Test Year'!$A:$A,$B408,'Test Year'!M:M))/1000</f>
        <v>254959.36925075998</v>
      </c>
      <c r="M408" s="27">
        <f>(SUMIF('Test Year'!$A:$A,$B408,'Test Year'!N:N))/1000</f>
        <v>308954.61665669002</v>
      </c>
      <c r="N408" s="27">
        <f>(SUMIF('Test Year'!$A:$A,$B408,'Test Year'!O:O))/1000</f>
        <v>242825.25534687701</v>
      </c>
      <c r="O408" s="27">
        <f>(SUMIF('Test Year'!$A:$A,$B408,'Test Year'!P:P))/1000</f>
        <v>294000.31182010606</v>
      </c>
      <c r="P408" s="27">
        <f>(SUMIF('Test Year'!$A:$A,$B408,'Test Year'!Q:Q))/1000</f>
        <v>327392.87427941797</v>
      </c>
      <c r="Q408" s="27">
        <f>(SUMIF('Test Year'!$A:$A,$B408,'Test Year'!R:R))/1000</f>
        <v>186334.37271725197</v>
      </c>
      <c r="R408" s="27">
        <f>(SUMIF('Test Year'!$A:$A,$B408,'Test Year'!S:S))/1000</f>
        <v>199314.50254972698</v>
      </c>
      <c r="S408" s="150">
        <f t="shared" si="54"/>
        <v>240366.52521070337</v>
      </c>
      <c r="T408" s="144" t="s">
        <v>421</v>
      </c>
    </row>
    <row r="409" spans="1:21" ht="15" customHeight="1">
      <c r="A409" s="142">
        <v>20</v>
      </c>
      <c r="B409" s="408" t="s">
        <v>443</v>
      </c>
      <c r="C409" s="14" t="s">
        <v>444</v>
      </c>
      <c r="D409" s="142"/>
      <c r="E409" s="142"/>
      <c r="F409" s="32">
        <f>(SUMIF('Test Year'!$A:$A,$B409,'Test Year'!G:G))/1000</f>
        <v>-639.98106000030009</v>
      </c>
      <c r="G409" s="32">
        <f>(SUMIF('Test Year'!$A:$A,$B409,'Test Year'!H:H))/1000</f>
        <v>-729.63989000039999</v>
      </c>
      <c r="H409" s="32">
        <f>(SUMIF('Test Year'!$A:$A,$B409,'Test Year'!I:I))/1000</f>
        <v>-721.48909000039998</v>
      </c>
      <c r="I409" s="32">
        <f>(SUMIF('Test Year'!$A:$A,$B409,'Test Year'!J:J))/1000</f>
        <v>-713.33829000040009</v>
      </c>
      <c r="J409" s="32">
        <f>(SUMIF('Test Year'!$A:$A,$B409,'Test Year'!K:K))/1000</f>
        <v>-705.1874800004</v>
      </c>
      <c r="K409" s="32">
        <f>(SUMIF('Test Year'!$A:$A,$B409,'Test Year'!L:L))/1000</f>
        <v>-697.03668000030007</v>
      </c>
      <c r="L409" s="32">
        <f>(SUMIF('Test Year'!$A:$A,$B409,'Test Year'!M:M))/1000</f>
        <v>-688.88588000030006</v>
      </c>
      <c r="M409" s="32">
        <f>(SUMIF('Test Year'!$A:$A,$B409,'Test Year'!N:N))/1000</f>
        <v>-680.73507000029997</v>
      </c>
      <c r="N409" s="32">
        <f>(SUMIF('Test Year'!$A:$A,$B409,'Test Year'!O:O))/1000</f>
        <v>-672.58427000029997</v>
      </c>
      <c r="O409" s="32">
        <f>(SUMIF('Test Year'!$A:$A,$B409,'Test Year'!P:P))/1000</f>
        <v>-664.43347000029996</v>
      </c>
      <c r="P409" s="32">
        <f>(SUMIF('Test Year'!$A:$A,$B409,'Test Year'!Q:Q))/1000</f>
        <v>-656.28267000030007</v>
      </c>
      <c r="Q409" s="32">
        <f>(SUMIF('Test Year'!$A:$A,$B409,'Test Year'!R:R))/1000</f>
        <v>-648.13186000029998</v>
      </c>
      <c r="R409" s="32">
        <f>(SUMIF('Test Year'!$A:$A,$B409,'Test Year'!S:S))/1000</f>
        <v>-639.98106000030009</v>
      </c>
      <c r="S409" s="155">
        <f t="shared" si="54"/>
        <v>-681.36205923110003</v>
      </c>
      <c r="T409" s="144" t="s">
        <v>421</v>
      </c>
    </row>
    <row r="410" spans="1:21" ht="15" customHeight="1">
      <c r="A410" s="142">
        <v>21</v>
      </c>
      <c r="B410" s="408"/>
      <c r="C410" s="14"/>
      <c r="D410" s="142" t="s">
        <v>434</v>
      </c>
      <c r="E410" s="142"/>
      <c r="F410" s="27">
        <f>SUM(F405:F409)</f>
        <v>5324448.2815579418</v>
      </c>
      <c r="G410" s="27">
        <f t="shared" ref="G410:S410" si="55">SUM(G405:G409)</f>
        <v>5353303.9330698401</v>
      </c>
      <c r="H410" s="27">
        <f t="shared" si="55"/>
        <v>5452072.5505655985</v>
      </c>
      <c r="I410" s="27">
        <f t="shared" si="55"/>
        <v>5471759.6346646007</v>
      </c>
      <c r="J410" s="27">
        <f t="shared" si="55"/>
        <v>5502571.5044590468</v>
      </c>
      <c r="K410" s="27">
        <f t="shared" si="55"/>
        <v>5626637.5483112829</v>
      </c>
      <c r="L410" s="27">
        <f t="shared" si="55"/>
        <v>5674106.5833707601</v>
      </c>
      <c r="M410" s="27">
        <f t="shared" si="55"/>
        <v>5728109.9815866891</v>
      </c>
      <c r="N410" s="27">
        <f t="shared" si="55"/>
        <v>5811988.7710768757</v>
      </c>
      <c r="O410" s="27">
        <f t="shared" si="55"/>
        <v>5863171.9783501048</v>
      </c>
      <c r="P410" s="27">
        <f t="shared" si="55"/>
        <v>5896572.6916094171</v>
      </c>
      <c r="Q410" s="27">
        <f t="shared" si="55"/>
        <v>5870522.3408572515</v>
      </c>
      <c r="R410" s="27">
        <f t="shared" si="55"/>
        <v>5883510.621489726</v>
      </c>
      <c r="S410" s="27">
        <f t="shared" si="55"/>
        <v>5650675.1093053194</v>
      </c>
      <c r="T410" s="142"/>
    </row>
    <row r="411" spans="1:21" ht="15" customHeight="1">
      <c r="A411" s="142">
        <v>22</v>
      </c>
      <c r="B411" s="408"/>
      <c r="C411" s="142"/>
      <c r="D411" s="142"/>
      <c r="E411" s="142"/>
      <c r="F411" s="27"/>
      <c r="G411" s="27"/>
      <c r="H411" s="27"/>
      <c r="I411" s="27"/>
      <c r="J411" s="27"/>
      <c r="K411" s="27"/>
      <c r="L411" s="27"/>
      <c r="M411" s="27"/>
      <c r="N411" s="27"/>
      <c r="O411" s="27"/>
      <c r="P411" s="27"/>
      <c r="Q411" s="27"/>
      <c r="R411" s="27"/>
      <c r="S411" s="27"/>
      <c r="T411" s="142"/>
    </row>
    <row r="412" spans="1:21" ht="15" customHeight="1">
      <c r="A412" s="142">
        <v>23</v>
      </c>
      <c r="B412" s="408"/>
      <c r="C412" s="14" t="s">
        <v>445</v>
      </c>
      <c r="D412" s="142"/>
      <c r="E412" s="142"/>
      <c r="F412" s="27"/>
      <c r="G412" s="27"/>
      <c r="H412" s="27"/>
      <c r="I412" s="27"/>
      <c r="J412" s="27"/>
      <c r="K412" s="27"/>
      <c r="L412" s="27"/>
      <c r="M412" s="27"/>
      <c r="N412" s="27"/>
      <c r="O412" s="27"/>
      <c r="P412" s="27"/>
      <c r="Q412" s="27"/>
      <c r="R412" s="27"/>
      <c r="S412" s="27"/>
      <c r="T412" s="142"/>
    </row>
    <row r="413" spans="1:21" ht="15" customHeight="1">
      <c r="A413" s="142">
        <v>24</v>
      </c>
      <c r="B413" s="144"/>
      <c r="C413" s="142"/>
      <c r="D413" s="142"/>
      <c r="E413" s="142"/>
      <c r="F413" s="142"/>
      <c r="G413" s="142"/>
      <c r="H413" s="142"/>
      <c r="I413" s="142"/>
      <c r="J413" s="142"/>
      <c r="K413" s="142"/>
      <c r="L413" s="142"/>
      <c r="M413" s="142"/>
      <c r="N413" s="142"/>
      <c r="O413" s="142"/>
      <c r="P413" s="142"/>
      <c r="Q413" s="142"/>
      <c r="R413" s="142"/>
      <c r="S413" s="142"/>
      <c r="T413" s="142"/>
    </row>
    <row r="414" spans="1:21" ht="15" customHeight="1">
      <c r="A414" s="142">
        <v>25</v>
      </c>
      <c r="B414" s="408" t="s">
        <v>446</v>
      </c>
      <c r="C414" s="14" t="s">
        <v>447</v>
      </c>
      <c r="D414" s="142"/>
      <c r="E414" s="142"/>
      <c r="F414" s="27">
        <f>(SUMIF('Test Year'!$A:$A,$B414,'Test Year'!G:G))/1000</f>
        <v>3975000</v>
      </c>
      <c r="G414" s="27">
        <f>(SUMIF('Test Year'!$A:$A,$B414,'Test Year'!H:H))/1000</f>
        <v>3975000</v>
      </c>
      <c r="H414" s="27">
        <f>(SUMIF('Test Year'!$A:$A,$B414,'Test Year'!I:I))/1000</f>
        <v>3975000</v>
      </c>
      <c r="I414" s="27">
        <f>(SUMIF('Test Year'!$A:$A,$B414,'Test Year'!J:J))/1000</f>
        <v>4475000</v>
      </c>
      <c r="J414" s="27">
        <f>(SUMIF('Test Year'!$A:$A,$B414,'Test Year'!K:K))/1000</f>
        <v>4475000</v>
      </c>
      <c r="K414" s="27">
        <f>(SUMIF('Test Year'!$A:$A,$B414,'Test Year'!L:L))/1000</f>
        <v>4475000</v>
      </c>
      <c r="L414" s="27">
        <f>(SUMIF('Test Year'!$A:$A,$B414,'Test Year'!M:M))/1000</f>
        <v>4475000</v>
      </c>
      <c r="M414" s="27">
        <f>(SUMIF('Test Year'!$A:$A,$B414,'Test Year'!N:N))/1000</f>
        <v>4475000</v>
      </c>
      <c r="N414" s="27">
        <f>(SUMIF('Test Year'!$A:$A,$B414,'Test Year'!O:O))/1000</f>
        <v>4475000</v>
      </c>
      <c r="O414" s="27">
        <f>(SUMIF('Test Year'!$A:$A,$B414,'Test Year'!P:P))/1000</f>
        <v>4475000</v>
      </c>
      <c r="P414" s="27">
        <f>(SUMIF('Test Year'!$A:$A,$B414,'Test Year'!Q:Q))/1000</f>
        <v>4475000</v>
      </c>
      <c r="Q414" s="27">
        <f>(SUMIF('Test Year'!$A:$A,$B414,'Test Year'!R:R))/1000</f>
        <v>4475000</v>
      </c>
      <c r="R414" s="27">
        <f>(SUMIF('Test Year'!$A:$A,$B414,'Test Year'!S:S))/1000</f>
        <v>4475000</v>
      </c>
      <c r="S414" s="150">
        <f t="shared" ref="S414:S416" si="56">AVERAGE(F414:R414)</f>
        <v>4359615.384615385</v>
      </c>
      <c r="T414" s="144" t="s">
        <v>421</v>
      </c>
    </row>
    <row r="415" spans="1:21" ht="15" customHeight="1">
      <c r="A415" s="142">
        <v>26</v>
      </c>
      <c r="B415" s="408" t="s">
        <v>448</v>
      </c>
      <c r="C415" s="14" t="s">
        <v>449</v>
      </c>
      <c r="D415" s="142"/>
      <c r="E415" s="142"/>
      <c r="F415" s="27">
        <f>(SUMIF('Test Year'!$A:$A,$B415,'Test Year'!G:G))/1000</f>
        <v>0</v>
      </c>
      <c r="G415" s="27">
        <f>(SUMIF('Test Year'!$A:$A,$B415,'Test Year'!H:H))/1000</f>
        <v>0</v>
      </c>
      <c r="H415" s="27">
        <f>(SUMIF('Test Year'!$A:$A,$B415,'Test Year'!I:I))/1000</f>
        <v>0</v>
      </c>
      <c r="I415" s="27">
        <f>(SUMIF('Test Year'!$A:$A,$B415,'Test Year'!J:J))/1000</f>
        <v>0</v>
      </c>
      <c r="J415" s="27">
        <f>(SUMIF('Test Year'!$A:$A,$B415,'Test Year'!K:K))/1000</f>
        <v>0</v>
      </c>
      <c r="K415" s="27">
        <f>(SUMIF('Test Year'!$A:$A,$B415,'Test Year'!L:L))/1000</f>
        <v>0</v>
      </c>
      <c r="L415" s="27">
        <f>(SUMIF('Test Year'!$A:$A,$B415,'Test Year'!M:M))/1000</f>
        <v>0</v>
      </c>
      <c r="M415" s="27">
        <f>(SUMIF('Test Year'!$A:$A,$B415,'Test Year'!N:N))/1000</f>
        <v>0</v>
      </c>
      <c r="N415" s="27">
        <f>(SUMIF('Test Year'!$A:$A,$B415,'Test Year'!O:O))/1000</f>
        <v>0</v>
      </c>
      <c r="O415" s="27">
        <f>(SUMIF('Test Year'!$A:$A,$B415,'Test Year'!P:P))/1000</f>
        <v>0</v>
      </c>
      <c r="P415" s="27">
        <f>(SUMIF('Test Year'!$A:$A,$B415,'Test Year'!Q:Q))/1000</f>
        <v>0</v>
      </c>
      <c r="Q415" s="27">
        <f>(SUMIF('Test Year'!$A:$A,$B415,'Test Year'!R:R))/1000</f>
        <v>0</v>
      </c>
      <c r="R415" s="27">
        <f>(SUMIF('Test Year'!$A:$A,$B415,'Test Year'!S:S))/1000</f>
        <v>0</v>
      </c>
      <c r="S415" s="150">
        <f t="shared" si="56"/>
        <v>0</v>
      </c>
      <c r="T415" s="144" t="s">
        <v>421</v>
      </c>
    </row>
    <row r="416" spans="1:21" ht="15" customHeight="1">
      <c r="A416" s="142">
        <v>27</v>
      </c>
      <c r="B416" s="408" t="s">
        <v>450</v>
      </c>
      <c r="C416" s="14" t="s">
        <v>451</v>
      </c>
      <c r="D416" s="142"/>
      <c r="E416" s="142"/>
      <c r="F416" s="32">
        <f>(SUMIF('Test Year'!$A:$A,$B416,'Test Year'!G:G))/1000</f>
        <v>-12501.45364</v>
      </c>
      <c r="G416" s="32">
        <f>(SUMIF('Test Year'!$A:$A,$B416,'Test Year'!H:H))/1000</f>
        <v>-12404.31436</v>
      </c>
      <c r="H416" s="32">
        <f>(SUMIF('Test Year'!$A:$A,$B416,'Test Year'!I:I))/1000</f>
        <v>-14807.175080000001</v>
      </c>
      <c r="I416" s="32">
        <f>(SUMIF('Test Year'!$A:$A,$B416,'Test Year'!J:J))/1000</f>
        <v>-14689.202800000001</v>
      </c>
      <c r="J416" s="32">
        <f>(SUMIF('Test Year'!$A:$A,$B416,'Test Year'!K:K))/1000</f>
        <v>-14571.230519999999</v>
      </c>
      <c r="K416" s="32">
        <f>(SUMIF('Test Year'!$A:$A,$B416,'Test Year'!L:L))/1000</f>
        <v>-14453.258240000001</v>
      </c>
      <c r="L416" s="32">
        <f>(SUMIF('Test Year'!$A:$A,$B416,'Test Year'!M:M))/1000</f>
        <v>-14335.285960000001</v>
      </c>
      <c r="M416" s="32">
        <f>(SUMIF('Test Year'!$A:$A,$B416,'Test Year'!N:N))/1000</f>
        <v>-14217.313679999999</v>
      </c>
      <c r="N416" s="32">
        <f>(SUMIF('Test Year'!$A:$A,$B416,'Test Year'!O:O))/1000</f>
        <v>-14099.341400000001</v>
      </c>
      <c r="O416" s="32">
        <f>(SUMIF('Test Year'!$A:$A,$B416,'Test Year'!P:P))/1000</f>
        <v>-13981.369119999999</v>
      </c>
      <c r="P416" s="32">
        <f>(SUMIF('Test Year'!$A:$A,$B416,'Test Year'!Q:Q))/1000</f>
        <v>-13863.396839999999</v>
      </c>
      <c r="Q416" s="32">
        <f>(SUMIF('Test Year'!$A:$A,$B416,'Test Year'!R:R))/1000</f>
        <v>-13745.424560000001</v>
      </c>
      <c r="R416" s="32">
        <f>(SUMIF('Test Year'!$A:$A,$B416,'Test Year'!S:S))/1000</f>
        <v>-13627.45228</v>
      </c>
      <c r="S416" s="155">
        <f t="shared" si="56"/>
        <v>-13945.862959999999</v>
      </c>
      <c r="T416" s="144" t="s">
        <v>421</v>
      </c>
    </row>
    <row r="417" spans="1:20" ht="15" customHeight="1">
      <c r="A417" s="142">
        <v>28</v>
      </c>
      <c r="B417" s="35"/>
      <c r="C417" s="14"/>
      <c r="D417" s="142" t="s">
        <v>445</v>
      </c>
      <c r="E417" s="142"/>
      <c r="F417" s="27">
        <f>SUM(F414:F416)</f>
        <v>3962498.54636</v>
      </c>
      <c r="G417" s="27">
        <f t="shared" ref="G417:S417" si="57">SUM(G414:G416)</f>
        <v>3962595.6856399998</v>
      </c>
      <c r="H417" s="27">
        <f t="shared" si="57"/>
        <v>3960192.82492</v>
      </c>
      <c r="I417" s="27">
        <f t="shared" si="57"/>
        <v>4460310.7971999999</v>
      </c>
      <c r="J417" s="27">
        <f t="shared" si="57"/>
        <v>4460428.7694800003</v>
      </c>
      <c r="K417" s="27">
        <f t="shared" si="57"/>
        <v>4460546.7417599997</v>
      </c>
      <c r="L417" s="27">
        <f t="shared" si="57"/>
        <v>4460664.71404</v>
      </c>
      <c r="M417" s="27">
        <f t="shared" si="57"/>
        <v>4460782.6863200003</v>
      </c>
      <c r="N417" s="27">
        <f t="shared" si="57"/>
        <v>4460900.6585999997</v>
      </c>
      <c r="O417" s="27">
        <f t="shared" si="57"/>
        <v>4461018.6308800001</v>
      </c>
      <c r="P417" s="27">
        <f t="shared" si="57"/>
        <v>4461136.6031600004</v>
      </c>
      <c r="Q417" s="27">
        <f t="shared" si="57"/>
        <v>4461254.5754399998</v>
      </c>
      <c r="R417" s="27">
        <f t="shared" si="57"/>
        <v>4461372.5477200001</v>
      </c>
      <c r="S417" s="27">
        <f t="shared" si="57"/>
        <v>4345669.5216553854</v>
      </c>
      <c r="T417" s="142"/>
    </row>
    <row r="418" spans="1:20" ht="15" customHeight="1">
      <c r="A418" s="142">
        <v>29</v>
      </c>
      <c r="B418" s="142"/>
      <c r="C418" s="142"/>
      <c r="D418" s="142"/>
      <c r="E418" s="142"/>
      <c r="F418" s="142"/>
      <c r="G418" s="142"/>
      <c r="H418" s="142"/>
      <c r="I418" s="142"/>
      <c r="J418" s="142"/>
      <c r="K418" s="142"/>
      <c r="L418" s="142"/>
      <c r="M418" s="142"/>
      <c r="N418" s="142"/>
      <c r="O418" s="142"/>
      <c r="P418" s="142"/>
      <c r="Q418" s="142"/>
      <c r="R418" s="142"/>
      <c r="S418" s="142"/>
      <c r="T418" s="142"/>
    </row>
    <row r="419" spans="1:20" ht="15" customHeight="1">
      <c r="A419" s="142">
        <v>30</v>
      </c>
      <c r="B419" s="35"/>
      <c r="C419" s="14"/>
      <c r="D419" s="142"/>
      <c r="E419" s="142"/>
      <c r="F419" s="27"/>
      <c r="G419" s="27"/>
      <c r="H419" s="27"/>
      <c r="I419" s="27"/>
      <c r="J419" s="27"/>
      <c r="K419" s="27"/>
      <c r="L419" s="27"/>
      <c r="M419" s="27"/>
      <c r="N419" s="27"/>
      <c r="O419" s="27"/>
      <c r="P419" s="27"/>
      <c r="Q419" s="27"/>
      <c r="R419" s="27"/>
      <c r="S419" s="27"/>
      <c r="T419" s="142"/>
    </row>
    <row r="420" spans="1:20" ht="15" customHeight="1">
      <c r="A420" s="142">
        <v>31</v>
      </c>
      <c r="B420" s="142"/>
      <c r="C420" s="142"/>
      <c r="D420" s="142"/>
      <c r="E420" s="142"/>
      <c r="F420" s="142"/>
      <c r="G420" s="142"/>
      <c r="H420" s="142"/>
      <c r="I420" s="142"/>
      <c r="J420" s="142"/>
      <c r="K420" s="142"/>
      <c r="L420" s="142"/>
      <c r="M420" s="142"/>
      <c r="N420" s="142"/>
      <c r="O420" s="142"/>
      <c r="P420" s="142"/>
      <c r="Q420" s="142"/>
      <c r="R420" s="142"/>
      <c r="S420" s="142"/>
      <c r="T420" s="142"/>
    </row>
    <row r="421" spans="1:20" ht="15" customHeight="1">
      <c r="A421" s="142">
        <v>32</v>
      </c>
      <c r="B421" s="142"/>
      <c r="C421" s="142"/>
      <c r="D421" s="142"/>
      <c r="E421" s="142"/>
      <c r="F421" s="142"/>
      <c r="G421" s="142"/>
      <c r="H421" s="142"/>
      <c r="I421" s="142"/>
      <c r="J421" s="142"/>
      <c r="K421" s="142"/>
      <c r="L421" s="142"/>
      <c r="M421" s="142"/>
      <c r="N421" s="142"/>
      <c r="O421" s="142"/>
      <c r="P421" s="142"/>
      <c r="Q421" s="142"/>
      <c r="R421" s="142"/>
      <c r="S421" s="142"/>
      <c r="T421" s="142"/>
    </row>
    <row r="422" spans="1:20" ht="15" customHeight="1">
      <c r="A422" s="142">
        <v>33</v>
      </c>
      <c r="B422" s="142"/>
      <c r="C422" s="142"/>
      <c r="D422" s="142"/>
      <c r="E422" s="142"/>
      <c r="F422" s="142"/>
      <c r="G422" s="142"/>
      <c r="H422" s="142"/>
      <c r="I422" s="142"/>
      <c r="J422" s="142"/>
      <c r="K422" s="142"/>
      <c r="L422" s="142"/>
      <c r="M422" s="142"/>
      <c r="N422" s="142"/>
      <c r="O422" s="142"/>
      <c r="P422" s="142"/>
      <c r="Q422" s="142"/>
      <c r="R422" s="142"/>
      <c r="S422" s="142"/>
      <c r="T422" s="142"/>
    </row>
    <row r="423" spans="1:20" ht="15" customHeight="1">
      <c r="A423" s="142">
        <v>34</v>
      </c>
      <c r="B423" s="142"/>
      <c r="C423" s="142"/>
      <c r="D423" s="142"/>
      <c r="E423" s="142"/>
      <c r="F423" s="142"/>
      <c r="G423" s="142"/>
      <c r="H423" s="142"/>
      <c r="I423" s="142"/>
      <c r="J423" s="142"/>
      <c r="K423" s="142"/>
      <c r="L423" s="142"/>
      <c r="M423" s="142"/>
      <c r="N423" s="142"/>
      <c r="O423" s="142"/>
      <c r="P423" s="142"/>
      <c r="Q423" s="142"/>
      <c r="R423" s="142"/>
      <c r="S423" s="142"/>
      <c r="T423" s="142"/>
    </row>
    <row r="424" spans="1:20" ht="15" customHeight="1">
      <c r="A424" s="142">
        <v>35</v>
      </c>
      <c r="B424" s="142"/>
      <c r="C424" s="142"/>
      <c r="D424" s="142"/>
      <c r="E424" s="142"/>
      <c r="F424" s="142"/>
      <c r="G424" s="142"/>
      <c r="H424" s="142"/>
      <c r="I424" s="142"/>
      <c r="J424" s="142"/>
      <c r="K424" s="142"/>
      <c r="L424" s="142"/>
      <c r="M424" s="142"/>
      <c r="N424" s="142"/>
      <c r="O424" s="142"/>
      <c r="P424" s="142"/>
      <c r="Q424" s="142"/>
      <c r="R424" s="142"/>
      <c r="S424" s="142"/>
      <c r="T424" s="142"/>
    </row>
    <row r="425" spans="1:20" ht="15" customHeight="1">
      <c r="A425" s="142">
        <v>36</v>
      </c>
      <c r="B425" s="142"/>
      <c r="C425" s="14"/>
      <c r="D425" s="142"/>
      <c r="E425" s="142"/>
      <c r="F425" s="27"/>
      <c r="G425" s="161"/>
      <c r="H425" s="161"/>
      <c r="I425" s="161"/>
      <c r="J425" s="161"/>
      <c r="K425" s="161"/>
      <c r="L425" s="161"/>
      <c r="M425" s="161"/>
      <c r="N425" s="161"/>
      <c r="O425" s="161"/>
      <c r="P425" s="161"/>
      <c r="Q425" s="161"/>
      <c r="R425" s="161"/>
      <c r="S425" s="161"/>
      <c r="T425" s="142"/>
    </row>
    <row r="426" spans="1:20" ht="15" customHeight="1">
      <c r="A426" s="142">
        <v>37</v>
      </c>
      <c r="B426" s="142"/>
      <c r="C426" s="14"/>
      <c r="D426" s="142"/>
      <c r="E426" s="142"/>
      <c r="F426" s="27"/>
      <c r="G426" s="161"/>
      <c r="H426" s="161"/>
      <c r="I426" s="161"/>
      <c r="J426" s="161"/>
      <c r="K426" s="161"/>
      <c r="L426" s="161"/>
      <c r="M426" s="161"/>
      <c r="N426" s="161"/>
      <c r="O426" s="161"/>
      <c r="P426" s="161"/>
      <c r="Q426" s="161"/>
      <c r="R426" s="161"/>
      <c r="S426" s="161"/>
      <c r="T426" s="142"/>
    </row>
    <row r="427" spans="1:20" ht="15" customHeight="1">
      <c r="A427" s="142">
        <v>38</v>
      </c>
      <c r="B427" s="142"/>
      <c r="C427" s="14"/>
      <c r="D427" s="142"/>
      <c r="E427" s="142"/>
      <c r="F427" s="27"/>
      <c r="G427" s="161"/>
      <c r="H427" s="161"/>
      <c r="I427" s="161"/>
      <c r="J427" s="161"/>
      <c r="K427" s="161"/>
      <c r="L427" s="161"/>
      <c r="M427" s="161"/>
      <c r="N427" s="161"/>
      <c r="O427" s="161"/>
      <c r="P427" s="161"/>
      <c r="Q427" s="161"/>
      <c r="R427" s="161"/>
      <c r="S427" s="161"/>
      <c r="T427" s="142"/>
    </row>
    <row r="428" spans="1:20" ht="15" customHeight="1">
      <c r="A428" s="142">
        <v>39</v>
      </c>
      <c r="B428" s="142"/>
      <c r="C428" s="14"/>
      <c r="D428" s="142"/>
      <c r="E428" s="142"/>
      <c r="F428" s="27"/>
      <c r="G428" s="161"/>
      <c r="H428" s="161"/>
      <c r="I428" s="161"/>
      <c r="J428" s="161"/>
      <c r="K428" s="161"/>
      <c r="L428" s="161"/>
      <c r="M428" s="161"/>
      <c r="N428" s="161"/>
      <c r="O428" s="161"/>
      <c r="P428" s="161"/>
      <c r="Q428" s="161"/>
      <c r="R428" s="161"/>
      <c r="S428" s="161"/>
      <c r="T428" s="142"/>
    </row>
    <row r="429" spans="1:20" ht="15" customHeight="1">
      <c r="A429" s="142">
        <v>40</v>
      </c>
      <c r="B429" s="142"/>
      <c r="C429" s="14"/>
      <c r="D429" s="142"/>
      <c r="E429" s="142"/>
      <c r="F429" s="27"/>
      <c r="G429" s="161"/>
      <c r="H429" s="161"/>
      <c r="I429" s="161"/>
      <c r="J429" s="161"/>
      <c r="K429" s="161"/>
      <c r="L429" s="161"/>
      <c r="M429" s="161"/>
      <c r="N429" s="161"/>
      <c r="O429" s="161"/>
      <c r="P429" s="161"/>
      <c r="Q429" s="161"/>
      <c r="R429" s="161"/>
      <c r="S429" s="161"/>
      <c r="T429" s="142"/>
    </row>
    <row r="430" spans="1:20" ht="15" customHeight="1">
      <c r="A430" s="142">
        <v>41</v>
      </c>
      <c r="B430" s="142"/>
      <c r="C430" s="142"/>
      <c r="D430" s="142"/>
      <c r="E430" s="142"/>
      <c r="F430" s="142"/>
      <c r="G430" s="142"/>
      <c r="H430" s="142"/>
      <c r="I430" s="142"/>
      <c r="J430" s="142"/>
      <c r="K430" s="142"/>
      <c r="L430" s="142"/>
      <c r="M430" s="142"/>
      <c r="N430" s="142"/>
      <c r="O430" s="142"/>
      <c r="P430" s="142"/>
      <c r="Q430" s="142"/>
      <c r="R430" s="142"/>
      <c r="S430" s="142"/>
      <c r="T430" s="142"/>
    </row>
    <row r="431" spans="1:20" ht="15" customHeight="1">
      <c r="A431" s="142">
        <v>42</v>
      </c>
      <c r="B431" s="142" t="s">
        <v>417</v>
      </c>
      <c r="C431" s="4"/>
      <c r="D431" s="4"/>
      <c r="E431" s="4"/>
      <c r="F431" s="37"/>
      <c r="G431" s="37"/>
      <c r="H431" s="37"/>
      <c r="I431" s="37"/>
      <c r="J431" s="37"/>
      <c r="K431" s="37"/>
      <c r="L431" s="37"/>
      <c r="M431" s="37"/>
      <c r="N431" s="37"/>
      <c r="O431" s="37"/>
      <c r="P431" s="37"/>
      <c r="Q431" s="37"/>
    </row>
    <row r="432" spans="1:20" ht="15" customHeight="1" thickBot="1">
      <c r="A432" s="145">
        <v>43</v>
      </c>
      <c r="B432" s="145" t="s">
        <v>67</v>
      </c>
      <c r="C432" s="1"/>
      <c r="D432" s="1"/>
      <c r="E432" s="1"/>
      <c r="F432" s="1"/>
      <c r="G432" s="1"/>
      <c r="H432" s="1"/>
      <c r="I432" s="1"/>
      <c r="J432" s="1"/>
      <c r="K432" s="1"/>
      <c r="L432" s="1"/>
      <c r="M432" s="1"/>
      <c r="N432" s="1"/>
      <c r="O432" s="1"/>
      <c r="P432" s="1"/>
      <c r="Q432" s="1"/>
      <c r="R432" s="1"/>
      <c r="S432" s="1"/>
      <c r="T432" s="100"/>
    </row>
    <row r="433" spans="1:20" ht="15" customHeight="1">
      <c r="A433" s="4" t="str">
        <f>+$A$217</f>
        <v>Supporting Schedules:</v>
      </c>
      <c r="B433" s="5"/>
      <c r="C433" s="5"/>
      <c r="D433" s="5"/>
      <c r="E433" s="5"/>
      <c r="F433" s="5"/>
      <c r="G433" s="5"/>
      <c r="H433" s="5"/>
      <c r="I433" s="5"/>
      <c r="J433" s="5"/>
      <c r="K433" s="5"/>
      <c r="L433" s="5"/>
      <c r="M433" s="5"/>
      <c r="N433" s="5"/>
      <c r="O433" s="5"/>
      <c r="P433" s="5"/>
      <c r="Q433" s="5"/>
      <c r="R433" s="5" t="s">
        <v>181</v>
      </c>
      <c r="S433" s="5"/>
      <c r="T433" s="5"/>
    </row>
    <row r="434" spans="1:20" ht="15" customHeight="1" thickBot="1">
      <c r="A434" s="1" t="str">
        <f>+$A$164</f>
        <v>SCHEDULE B-3</v>
      </c>
      <c r="B434" s="1"/>
      <c r="C434" s="1"/>
      <c r="D434" s="1"/>
      <c r="E434" s="1"/>
      <c r="F434" s="1"/>
      <c r="G434" s="1"/>
      <c r="H434" s="1"/>
      <c r="I434" s="1" t="str">
        <f>+$I$164</f>
        <v>13 MONTH AVERAGE BALANCE SHEET - SYSTEM BASIS</v>
      </c>
      <c r="J434" s="1"/>
      <c r="K434" s="1"/>
      <c r="L434" s="1"/>
      <c r="M434" s="1"/>
      <c r="N434" s="1"/>
      <c r="O434" s="1"/>
      <c r="P434" s="1"/>
      <c r="Q434" s="1"/>
      <c r="R434" s="1"/>
      <c r="S434" s="1"/>
      <c r="T434" s="3" t="s">
        <v>506</v>
      </c>
    </row>
    <row r="435" spans="1:20" ht="15" customHeight="1">
      <c r="A435" s="4" t="s">
        <v>4</v>
      </c>
      <c r="B435" s="4"/>
      <c r="C435" s="4"/>
      <c r="D435" s="4"/>
      <c r="E435" s="4"/>
      <c r="F435" s="4" t="s">
        <v>343</v>
      </c>
      <c r="G435" s="4" t="str">
        <f>+$G$165</f>
        <v>Derive the 13-month average system balance sheet by primary account by month for the test year, the prior year</v>
      </c>
      <c r="H435" s="5"/>
      <c r="I435" s="5"/>
      <c r="J435" s="6"/>
      <c r="K435" s="6"/>
      <c r="L435" s="4"/>
      <c r="M435" s="6"/>
      <c r="N435" s="6"/>
      <c r="O435" s="6"/>
      <c r="P435" s="6"/>
      <c r="Q435" s="6" t="s">
        <v>7</v>
      </c>
      <c r="R435" s="4"/>
      <c r="S435" s="4"/>
      <c r="T435" s="7"/>
    </row>
    <row r="436" spans="1:20" ht="15" customHeight="1">
      <c r="A436" s="4"/>
      <c r="B436" s="4"/>
      <c r="C436" s="4"/>
      <c r="D436" s="4"/>
      <c r="E436" s="4"/>
      <c r="F436" s="4"/>
      <c r="G436" s="4" t="str">
        <f>+$G$166</f>
        <v>and the most recent historical year.  For accounts including non-electric utility amounts, show these</v>
      </c>
      <c r="H436" s="5"/>
      <c r="I436" s="5"/>
      <c r="J436" s="9"/>
      <c r="K436" s="7"/>
      <c r="L436" s="4"/>
      <c r="M436" s="4"/>
      <c r="N436" s="4"/>
      <c r="O436" s="4"/>
      <c r="P436" s="9"/>
      <c r="Q436" s="9" t="s">
        <v>12</v>
      </c>
      <c r="R436" s="7" t="str">
        <f>+$R$166</f>
        <v>Projected Test Year Ended 12/31/2025</v>
      </c>
      <c r="S436" s="4"/>
      <c r="T436" s="9"/>
    </row>
    <row r="437" spans="1:20" ht="15" customHeight="1">
      <c r="A437" s="4" t="s">
        <v>10</v>
      </c>
      <c r="B437" s="4"/>
      <c r="C437" s="4"/>
      <c r="D437" s="4"/>
      <c r="E437" s="4"/>
      <c r="F437" s="4"/>
      <c r="G437" s="4" t="str">
        <f>+$G$167</f>
        <v>amounts as a separate sub-account.</v>
      </c>
      <c r="H437" s="4"/>
      <c r="I437" s="4"/>
      <c r="J437" s="9"/>
      <c r="K437" s="7"/>
      <c r="L437" s="9"/>
      <c r="M437" s="4"/>
      <c r="N437" s="4"/>
      <c r="O437" s="4"/>
      <c r="P437" s="4"/>
      <c r="R437" s="7" t="str">
        <f>+$R$167</f>
        <v>Projected Prior Year Ended 12/31/2024</v>
      </c>
      <c r="S437" s="4"/>
      <c r="T437" s="9"/>
    </row>
    <row r="438" spans="1:20" ht="15" customHeight="1">
      <c r="A438" s="4"/>
      <c r="B438" s="4"/>
      <c r="C438" s="4"/>
      <c r="D438" s="4"/>
      <c r="E438" s="4"/>
      <c r="F438" s="4"/>
      <c r="G438" s="4"/>
      <c r="H438" s="4"/>
      <c r="I438" s="4"/>
      <c r="J438" s="9"/>
      <c r="K438" s="7"/>
      <c r="L438" s="9"/>
      <c r="M438" s="4"/>
      <c r="N438" s="4"/>
      <c r="O438" s="4"/>
      <c r="P438" s="4"/>
      <c r="R438" s="7" t="str">
        <f>+$R$168</f>
        <v>Historical Prior Year Ended 12/31/2023</v>
      </c>
      <c r="S438" s="4"/>
      <c r="T438" s="9"/>
    </row>
    <row r="439" spans="1:20" ht="15" customHeight="1" thickBot="1">
      <c r="A439" s="2" t="str">
        <f>A277</f>
        <v>Docket No.</v>
      </c>
      <c r="B439" s="2"/>
      <c r="C439" s="1"/>
      <c r="D439" s="1"/>
      <c r="E439" s="1"/>
      <c r="F439" s="1"/>
      <c r="G439" s="1"/>
      <c r="H439" s="1"/>
      <c r="I439" s="2" t="s">
        <v>15</v>
      </c>
      <c r="J439" s="10"/>
      <c r="K439" s="1"/>
      <c r="L439" s="1"/>
      <c r="M439" s="1"/>
      <c r="N439" s="1"/>
      <c r="O439" s="1"/>
      <c r="P439" s="1"/>
      <c r="Q439" s="1"/>
      <c r="R439" s="2" t="str">
        <f>R385</f>
        <v>Witness:</v>
      </c>
      <c r="S439" s="1"/>
      <c r="T439" s="1"/>
    </row>
    <row r="440" spans="1:20" ht="15" customHeight="1">
      <c r="A440" s="142"/>
      <c r="B440" s="142"/>
      <c r="C440" s="143"/>
      <c r="D440" s="143"/>
      <c r="E440" s="143"/>
      <c r="F440" s="143" t="s">
        <v>17</v>
      </c>
      <c r="G440" s="143" t="s">
        <v>18</v>
      </c>
      <c r="H440" s="143" t="s">
        <v>19</v>
      </c>
      <c r="I440" s="143" t="s">
        <v>20</v>
      </c>
      <c r="J440" s="143" t="s">
        <v>21</v>
      </c>
      <c r="K440" s="143" t="s">
        <v>22</v>
      </c>
      <c r="L440" s="143" t="s">
        <v>23</v>
      </c>
      <c r="M440" s="143" t="s">
        <v>24</v>
      </c>
      <c r="N440" s="143" t="s">
        <v>25</v>
      </c>
      <c r="O440" s="143" t="s">
        <v>26</v>
      </c>
      <c r="P440" s="143" t="s">
        <v>348</v>
      </c>
      <c r="Q440" s="143" t="s">
        <v>349</v>
      </c>
      <c r="R440" s="143" t="s">
        <v>350</v>
      </c>
      <c r="S440" s="143" t="s">
        <v>351</v>
      </c>
      <c r="T440" s="143" t="s">
        <v>352</v>
      </c>
    </row>
    <row r="441" spans="1:20" ht="15" customHeight="1">
      <c r="A441" s="142"/>
      <c r="B441" s="142"/>
      <c r="C441" s="142"/>
      <c r="D441" s="142"/>
      <c r="E441" s="142"/>
      <c r="F441" s="144"/>
      <c r="G441" s="144"/>
      <c r="H441" s="144"/>
      <c r="I441" s="144"/>
      <c r="J441" s="144"/>
      <c r="K441" s="144"/>
      <c r="L441" s="144"/>
      <c r="M441" s="144"/>
      <c r="N441" s="144"/>
      <c r="O441" s="144"/>
      <c r="P441" s="144"/>
      <c r="Q441" s="144"/>
      <c r="R441" s="144"/>
      <c r="S441" s="144" t="s">
        <v>353</v>
      </c>
      <c r="T441" s="144" t="s">
        <v>354</v>
      </c>
    </row>
    <row r="442" spans="1:20" ht="15" customHeight="1">
      <c r="A442" s="142" t="s">
        <v>35</v>
      </c>
      <c r="B442" s="144" t="s">
        <v>355</v>
      </c>
      <c r="C442" s="144" t="s">
        <v>356</v>
      </c>
      <c r="D442" s="144"/>
      <c r="E442" s="144"/>
      <c r="F442" s="144" t="s">
        <v>357</v>
      </c>
      <c r="G442" s="144" t="s">
        <v>358</v>
      </c>
      <c r="H442" s="144" t="s">
        <v>359</v>
      </c>
      <c r="I442" s="144" t="s">
        <v>360</v>
      </c>
      <c r="J442" s="144" t="s">
        <v>361</v>
      </c>
      <c r="K442" s="144" t="s">
        <v>362</v>
      </c>
      <c r="L442" s="144" t="s">
        <v>363</v>
      </c>
      <c r="M442" s="144" t="s">
        <v>364</v>
      </c>
      <c r="N442" s="144" t="s">
        <v>365</v>
      </c>
      <c r="O442" s="144" t="s">
        <v>366</v>
      </c>
      <c r="P442" s="144" t="s">
        <v>367</v>
      </c>
      <c r="Q442" s="144" t="s">
        <v>368</v>
      </c>
      <c r="R442" s="144" t="s">
        <v>357</v>
      </c>
      <c r="S442" s="144" t="s">
        <v>369</v>
      </c>
      <c r="T442" s="144" t="s">
        <v>370</v>
      </c>
    </row>
    <row r="443" spans="1:20" ht="15" customHeight="1" thickBot="1">
      <c r="A443" s="145" t="s">
        <v>46</v>
      </c>
      <c r="B443" s="146" t="s">
        <v>371</v>
      </c>
      <c r="C443" s="146" t="s">
        <v>372</v>
      </c>
      <c r="D443" s="146"/>
      <c r="E443" s="146"/>
      <c r="F443" s="147">
        <f>F335</f>
        <v>2024</v>
      </c>
      <c r="G443" s="147">
        <f t="shared" ref="G443:S443" si="58">G335</f>
        <v>2025</v>
      </c>
      <c r="H443" s="147">
        <f t="shared" si="58"/>
        <v>2025</v>
      </c>
      <c r="I443" s="147">
        <f t="shared" si="58"/>
        <v>2025</v>
      </c>
      <c r="J443" s="147">
        <f t="shared" si="58"/>
        <v>2025</v>
      </c>
      <c r="K443" s="147">
        <f t="shared" si="58"/>
        <v>2025</v>
      </c>
      <c r="L443" s="147">
        <f t="shared" si="58"/>
        <v>2025</v>
      </c>
      <c r="M443" s="147">
        <f t="shared" si="58"/>
        <v>2025</v>
      </c>
      <c r="N443" s="147">
        <f t="shared" si="58"/>
        <v>2025</v>
      </c>
      <c r="O443" s="147">
        <f t="shared" si="58"/>
        <v>2025</v>
      </c>
      <c r="P443" s="147">
        <f t="shared" si="58"/>
        <v>2025</v>
      </c>
      <c r="Q443" s="147">
        <f t="shared" si="58"/>
        <v>2025</v>
      </c>
      <c r="R443" s="147">
        <f t="shared" si="58"/>
        <v>2025</v>
      </c>
      <c r="S443" s="147">
        <f t="shared" si="58"/>
        <v>2025</v>
      </c>
      <c r="T443" s="146" t="s">
        <v>373</v>
      </c>
    </row>
    <row r="444" spans="1:20" ht="15" customHeight="1">
      <c r="A444" s="142">
        <v>1</v>
      </c>
      <c r="B444" s="142"/>
      <c r="C444" s="142" t="s">
        <v>337</v>
      </c>
      <c r="D444" s="142"/>
      <c r="E444" s="142"/>
      <c r="F444" s="142"/>
      <c r="G444" s="142"/>
      <c r="H444" s="142"/>
      <c r="I444" s="142"/>
      <c r="J444" s="142"/>
      <c r="K444" s="142"/>
      <c r="L444" s="142"/>
      <c r="M444" s="142"/>
      <c r="N444" s="142"/>
      <c r="O444" s="142"/>
      <c r="P444" s="142"/>
      <c r="Q444" s="142"/>
      <c r="R444" s="142"/>
      <c r="S444" s="334"/>
      <c r="T444" s="334"/>
    </row>
    <row r="445" spans="1:20" ht="15" customHeight="1">
      <c r="A445" s="142">
        <v>2</v>
      </c>
      <c r="B445" s="407" t="s">
        <v>453</v>
      </c>
      <c r="C445" s="14" t="s">
        <v>296</v>
      </c>
      <c r="D445" s="142"/>
      <c r="E445" s="142"/>
      <c r="F445" s="27">
        <f>(SUMIF('Test Year'!$A:$A,$B445,'Test Year'!G:G))/1000</f>
        <v>32374.9976804035</v>
      </c>
      <c r="G445" s="27">
        <f>(SUMIF('Test Year'!$A:$A,$B445,'Test Year'!H:H))/1000</f>
        <v>32343.736136528998</v>
      </c>
      <c r="H445" s="27">
        <f>(SUMIF('Test Year'!$A:$A,$B445,'Test Year'!I:I))/1000</f>
        <v>32311.710364902898</v>
      </c>
      <c r="I445" s="27">
        <f>(SUMIF('Test Year'!$A:$A,$B445,'Test Year'!J:J))/1000</f>
        <v>32279.684887395098</v>
      </c>
      <c r="J445" s="27">
        <f>(SUMIF('Test Year'!$A:$A,$B445,'Test Year'!K:K))/1000</f>
        <v>32247.659916442903</v>
      </c>
      <c r="K445" s="27">
        <f>(SUMIF('Test Year'!$A:$A,$B445,'Test Year'!L:L))/1000</f>
        <v>32215.080849410901</v>
      </c>
      <c r="L445" s="27">
        <f>(SUMIF('Test Year'!$A:$A,$B445,'Test Year'!M:M))/1000</f>
        <v>32182.501932230301</v>
      </c>
      <c r="M445" s="27">
        <f>(SUMIF('Test Year'!$A:$A,$B445,'Test Year'!N:N))/1000</f>
        <v>32149.028306661698</v>
      </c>
      <c r="N445" s="27">
        <f>(SUMIF('Test Year'!$A:$A,$B445,'Test Year'!O:O))/1000</f>
        <v>32115.551933949399</v>
      </c>
      <c r="O445" s="27">
        <f>(SUMIF('Test Year'!$A:$A,$B445,'Test Year'!P:P))/1000</f>
        <v>32082.0730179661</v>
      </c>
      <c r="P445" s="27">
        <f>(SUMIF('Test Year'!$A:$A,$B445,'Test Year'!Q:Q))/1000</f>
        <v>32048.5917638397</v>
      </c>
      <c r="Q445" s="27">
        <f>(SUMIF('Test Year'!$A:$A,$B445,'Test Year'!R:R))/1000</f>
        <v>32015.108377960602</v>
      </c>
      <c r="R445" s="27">
        <f>(SUMIF('Test Year'!$A:$A,$B445,'Test Year'!S:S))/1000</f>
        <v>31980.0766468652</v>
      </c>
      <c r="S445" s="391">
        <f t="shared" ref="S445:S451" si="59">AVERAGE(F445:R445)</f>
        <v>32180.446293427492</v>
      </c>
      <c r="T445" s="413" t="s">
        <v>118</v>
      </c>
    </row>
    <row r="446" spans="1:20" ht="15" customHeight="1">
      <c r="A446" s="142">
        <v>3</v>
      </c>
      <c r="B446" s="407" t="s">
        <v>454</v>
      </c>
      <c r="C446" s="14" t="s">
        <v>338</v>
      </c>
      <c r="D446" s="142"/>
      <c r="E446" s="142"/>
      <c r="F446" s="414">
        <f>(VLOOKUP($B446,'Test Year'!$B:$U,'Test Year'!G$5-1,FALSE))/1000</f>
        <v>17835.4555666667</v>
      </c>
      <c r="G446" s="414">
        <f>(VLOOKUP($B446,'Test Year'!$B:$U,'Test Year'!H$5-1,FALSE))/1000</f>
        <v>17835.4555666667</v>
      </c>
      <c r="H446" s="414">
        <f>(VLOOKUP($B446,'Test Year'!$B:$U,'Test Year'!I$5-1,FALSE))/1000</f>
        <v>17835.4555666667</v>
      </c>
      <c r="I446" s="414">
        <f>(VLOOKUP($B446,'Test Year'!$B:$U,'Test Year'!J$5-1,FALSE))/1000</f>
        <v>17835.4555666667</v>
      </c>
      <c r="J446" s="414">
        <f>(VLOOKUP($B446,'Test Year'!$B:$U,'Test Year'!K$5-1,FALSE))/1000</f>
        <v>17835.4555666667</v>
      </c>
      <c r="K446" s="414">
        <f>(VLOOKUP($B446,'Test Year'!$B:$U,'Test Year'!L$5-1,FALSE))/1000</f>
        <v>17835.4555666667</v>
      </c>
      <c r="L446" s="414">
        <f>(VLOOKUP($B446,'Test Year'!$B:$U,'Test Year'!M$5-1,FALSE))/1000</f>
        <v>17835.4555666667</v>
      </c>
      <c r="M446" s="414">
        <f>(VLOOKUP($B446,'Test Year'!$B:$U,'Test Year'!N$5-1,FALSE))/1000</f>
        <v>17835.4555666667</v>
      </c>
      <c r="N446" s="414">
        <f>(VLOOKUP($B446,'Test Year'!$B:$U,'Test Year'!O$5-1,FALSE))/1000</f>
        <v>17835.4555666667</v>
      </c>
      <c r="O446" s="414">
        <f>(VLOOKUP($B446,'Test Year'!$B:$U,'Test Year'!P$5-1,FALSE))/1000</f>
        <v>17835.4555666667</v>
      </c>
      <c r="P446" s="414">
        <f>(VLOOKUP($B446,'Test Year'!$B:$U,'Test Year'!Q$5-1,FALSE))/1000</f>
        <v>17835.4555666667</v>
      </c>
      <c r="Q446" s="414">
        <f>(VLOOKUP($B446,'Test Year'!$B:$U,'Test Year'!R$5-1,FALSE))/1000</f>
        <v>17835.4555666667</v>
      </c>
      <c r="R446" s="414">
        <f>(VLOOKUP($B446,'Test Year'!$B:$U,'Test Year'!S$5-1,FALSE))/1000</f>
        <v>17835.4555666667</v>
      </c>
      <c r="S446" s="391">
        <f t="shared" si="59"/>
        <v>17835.4555666667</v>
      </c>
      <c r="T446" s="413" t="s">
        <v>118</v>
      </c>
    </row>
    <row r="447" spans="1:20" ht="15" customHeight="1">
      <c r="A447" s="142">
        <v>4</v>
      </c>
      <c r="B447" s="407" t="s">
        <v>455</v>
      </c>
      <c r="C447" s="14" t="s">
        <v>456</v>
      </c>
      <c r="D447" s="142"/>
      <c r="E447" s="142"/>
      <c r="F447" s="414">
        <f>(VLOOKUP($B447,'Test Year'!$B:$U,'Test Year'!G$5-1,FALSE))/1000</f>
        <v>7927.4621110421003</v>
      </c>
      <c r="G447" s="414">
        <f>(VLOOKUP($B447,'Test Year'!$B:$U,'Test Year'!H$5-1,FALSE))/1000</f>
        <v>7933.2283333333007</v>
      </c>
      <c r="H447" s="414">
        <f>(VLOOKUP($B447,'Test Year'!$B:$U,'Test Year'!I$5-1,FALSE))/1000</f>
        <v>7938.9946666666992</v>
      </c>
      <c r="I447" s="414">
        <f>(VLOOKUP($B447,'Test Year'!$B:$U,'Test Year'!J$5-1,FALSE))/1000</f>
        <v>7944.7610000000004</v>
      </c>
      <c r="J447" s="414">
        <f>(VLOOKUP($B447,'Test Year'!$B:$U,'Test Year'!K$5-1,FALSE))/1000</f>
        <v>7950.5273333333007</v>
      </c>
      <c r="K447" s="414">
        <f>(VLOOKUP($B447,'Test Year'!$B:$U,'Test Year'!L$5-1,FALSE))/1000</f>
        <v>7956.2936666666992</v>
      </c>
      <c r="L447" s="414">
        <f>(VLOOKUP($B447,'Test Year'!$B:$U,'Test Year'!M$5-1,FALSE))/1000</f>
        <v>7962.06</v>
      </c>
      <c r="M447" s="414">
        <f>(VLOOKUP($B447,'Test Year'!$B:$U,'Test Year'!N$5-1,FALSE))/1000</f>
        <v>7967.8263333333007</v>
      </c>
      <c r="N447" s="414">
        <f>(VLOOKUP($B447,'Test Year'!$B:$U,'Test Year'!O$5-1,FALSE))/1000</f>
        <v>7973.5926666666992</v>
      </c>
      <c r="O447" s="414">
        <f>(VLOOKUP($B447,'Test Year'!$B:$U,'Test Year'!P$5-1,FALSE))/1000</f>
        <v>7979.3590000000004</v>
      </c>
      <c r="P447" s="414">
        <f>(VLOOKUP($B447,'Test Year'!$B:$U,'Test Year'!Q$5-1,FALSE))/1000</f>
        <v>7985.1253333333007</v>
      </c>
      <c r="Q447" s="414">
        <f>(VLOOKUP($B447,'Test Year'!$B:$U,'Test Year'!R$5-1,FALSE))/1000</f>
        <v>7990.8916666666992</v>
      </c>
      <c r="R447" s="414">
        <f>(VLOOKUP($B447,'Test Year'!$B:$U,'Test Year'!S$5-1,FALSE))/1000</f>
        <v>7996.6580000000004</v>
      </c>
      <c r="S447" s="391">
        <f t="shared" si="59"/>
        <v>7962.0600085416991</v>
      </c>
      <c r="T447" s="413" t="s">
        <v>118</v>
      </c>
    </row>
    <row r="448" spans="1:20" ht="15" customHeight="1">
      <c r="A448" s="142">
        <v>5</v>
      </c>
      <c r="B448" s="407" t="s">
        <v>457</v>
      </c>
      <c r="C448" s="14" t="s">
        <v>458</v>
      </c>
      <c r="D448" s="142"/>
      <c r="E448" s="142"/>
      <c r="F448" s="414">
        <f>(VLOOKUP($B448,'Test Year'!$B:$U,'Test Year'!G$5-1,FALSE))/1000</f>
        <v>84079.070229999998</v>
      </c>
      <c r="G448" s="414">
        <f>(VLOOKUP($B448,'Test Year'!$B:$U,'Test Year'!H$5-1,FALSE))/1000</f>
        <v>80976.14923000001</v>
      </c>
      <c r="H448" s="414">
        <f>(VLOOKUP($B448,'Test Year'!$B:$U,'Test Year'!I$5-1,FALSE))/1000</f>
        <v>80501.815230000007</v>
      </c>
      <c r="I448" s="414">
        <f>(VLOOKUP($B448,'Test Year'!$B:$U,'Test Year'!J$5-1,FALSE))/1000</f>
        <v>81027.631229999999</v>
      </c>
      <c r="J448" s="414">
        <f>(VLOOKUP($B448,'Test Year'!$B:$U,'Test Year'!K$5-1,FALSE))/1000</f>
        <v>77774.710229999997</v>
      </c>
      <c r="K448" s="414">
        <f>(VLOOKUP($B448,'Test Year'!$B:$U,'Test Year'!L$5-1,FALSE))/1000</f>
        <v>76750.376230000009</v>
      </c>
      <c r="L448" s="414">
        <f>(VLOOKUP($B448,'Test Year'!$B:$U,'Test Year'!M$5-1,FALSE))/1000</f>
        <v>77501.192230000001</v>
      </c>
      <c r="M448" s="414">
        <f>(VLOOKUP($B448,'Test Year'!$B:$U,'Test Year'!N$5-1,FALSE))/1000</f>
        <v>74048.271229999998</v>
      </c>
      <c r="N448" s="414">
        <f>(VLOOKUP($B448,'Test Year'!$B:$U,'Test Year'!O$5-1,FALSE))/1000</f>
        <v>73223.93723000001</v>
      </c>
      <c r="O448" s="414">
        <f>(VLOOKUP($B448,'Test Year'!$B:$U,'Test Year'!P$5-1,FALSE))/1000</f>
        <v>70988.753230000002</v>
      </c>
      <c r="P448" s="414">
        <f>(VLOOKUP($B448,'Test Year'!$B:$U,'Test Year'!Q$5-1,FALSE))/1000</f>
        <v>70221.833230000004</v>
      </c>
      <c r="Q448" s="414">
        <f>(VLOOKUP($B448,'Test Year'!$B:$U,'Test Year'!R$5-1,FALSE))/1000</f>
        <v>69197.499230000001</v>
      </c>
      <c r="R448" s="414">
        <f>(VLOOKUP($B448,'Test Year'!$B:$U,'Test Year'!S$5-1,FALSE))/1000</f>
        <v>69823.314230000004</v>
      </c>
      <c r="S448" s="391">
        <f t="shared" si="59"/>
        <v>75854.965614615387</v>
      </c>
      <c r="T448" s="413" t="s">
        <v>118</v>
      </c>
    </row>
    <row r="449" spans="1:23" ht="15" customHeight="1">
      <c r="A449" s="142">
        <v>6</v>
      </c>
      <c r="B449" s="407" t="s">
        <v>459</v>
      </c>
      <c r="C449" s="14" t="s">
        <v>460</v>
      </c>
      <c r="D449" s="142"/>
      <c r="E449" s="142"/>
      <c r="F449" s="414">
        <f>(VLOOKUP($B449,'Test Year'!$B:$U,'Test Year'!G$5-1,FALSE))/1000</f>
        <v>783</v>
      </c>
      <c r="G449" s="414">
        <f>(VLOOKUP($B449,'Test Year'!$B:$U,'Test Year'!H$5-1,FALSE))/1000</f>
        <v>783</v>
      </c>
      <c r="H449" s="414">
        <f>(VLOOKUP($B449,'Test Year'!$B:$U,'Test Year'!I$5-1,FALSE))/1000</f>
        <v>783</v>
      </c>
      <c r="I449" s="414">
        <f>(VLOOKUP($B449,'Test Year'!$B:$U,'Test Year'!J$5-1,FALSE))/1000</f>
        <v>783</v>
      </c>
      <c r="J449" s="414">
        <f>(VLOOKUP($B449,'Test Year'!$B:$U,'Test Year'!K$5-1,FALSE))/1000</f>
        <v>783</v>
      </c>
      <c r="K449" s="414">
        <f>(VLOOKUP($B449,'Test Year'!$B:$U,'Test Year'!L$5-1,FALSE))/1000</f>
        <v>783</v>
      </c>
      <c r="L449" s="414">
        <f>(VLOOKUP($B449,'Test Year'!$B:$U,'Test Year'!M$5-1,FALSE))/1000</f>
        <v>783</v>
      </c>
      <c r="M449" s="414">
        <f>(VLOOKUP($B449,'Test Year'!$B:$U,'Test Year'!N$5-1,FALSE))/1000</f>
        <v>783</v>
      </c>
      <c r="N449" s="414">
        <f>(VLOOKUP($B449,'Test Year'!$B:$U,'Test Year'!O$5-1,FALSE))/1000</f>
        <v>783</v>
      </c>
      <c r="O449" s="414">
        <f>(VLOOKUP($B449,'Test Year'!$B:$U,'Test Year'!P$5-1,FALSE))/1000</f>
        <v>783</v>
      </c>
      <c r="P449" s="414">
        <f>(VLOOKUP($B449,'Test Year'!$B:$U,'Test Year'!Q$5-1,FALSE))/1000</f>
        <v>783</v>
      </c>
      <c r="Q449" s="414">
        <f>(VLOOKUP($B449,'Test Year'!$B:$U,'Test Year'!R$5-1,FALSE))/1000</f>
        <v>783</v>
      </c>
      <c r="R449" s="414">
        <f>(VLOOKUP($B449,'Test Year'!$B:$U,'Test Year'!S$5-1,FALSE))/1000</f>
        <v>783</v>
      </c>
      <c r="S449" s="391">
        <f t="shared" si="59"/>
        <v>783</v>
      </c>
      <c r="T449" s="413" t="s">
        <v>118</v>
      </c>
    </row>
    <row r="450" spans="1:23" ht="15" customHeight="1">
      <c r="A450" s="142">
        <v>7</v>
      </c>
      <c r="B450" s="407" t="s">
        <v>461</v>
      </c>
      <c r="C450" s="14" t="s">
        <v>462</v>
      </c>
      <c r="D450" s="142"/>
      <c r="E450" s="142"/>
      <c r="F450" s="27">
        <f>(SUMIF('Test Year'!$A:$A,$B450,'Test Year'!G:G))/1000</f>
        <v>0</v>
      </c>
      <c r="G450" s="27">
        <f>(SUMIF('Test Year'!$A:$A,$B450,'Test Year'!H:H))/1000</f>
        <v>0</v>
      </c>
      <c r="H450" s="27">
        <f>(SUMIF('Test Year'!$A:$A,$B450,'Test Year'!I:I))/1000</f>
        <v>0</v>
      </c>
      <c r="I450" s="27">
        <f>(SUMIF('Test Year'!$A:$A,$B450,'Test Year'!J:J))/1000</f>
        <v>0</v>
      </c>
      <c r="J450" s="27">
        <f>(SUMIF('Test Year'!$A:$A,$B450,'Test Year'!K:K))/1000</f>
        <v>0</v>
      </c>
      <c r="K450" s="27">
        <f>(SUMIF('Test Year'!$A:$A,$B450,'Test Year'!L:L))/1000</f>
        <v>0</v>
      </c>
      <c r="L450" s="27">
        <f>(SUMIF('Test Year'!$A:$A,$B450,'Test Year'!M:M))/1000</f>
        <v>0</v>
      </c>
      <c r="M450" s="27">
        <f>(SUMIF('Test Year'!$A:$A,$B450,'Test Year'!N:N))/1000</f>
        <v>0</v>
      </c>
      <c r="N450" s="27">
        <f>(SUMIF('Test Year'!$A:$A,$B450,'Test Year'!O:O))/1000</f>
        <v>0</v>
      </c>
      <c r="O450" s="27">
        <f>(SUMIF('Test Year'!$A:$A,$B450,'Test Year'!P:P))/1000</f>
        <v>0</v>
      </c>
      <c r="P450" s="27">
        <f>(SUMIF('Test Year'!$A:$A,$B450,'Test Year'!Q:Q))/1000</f>
        <v>0</v>
      </c>
      <c r="Q450" s="27">
        <f>(SUMIF('Test Year'!$A:$A,$B450,'Test Year'!R:R))/1000</f>
        <v>0</v>
      </c>
      <c r="R450" s="27">
        <f>(SUMIF('Test Year'!$A:$A,$B450,'Test Year'!S:S))/1000</f>
        <v>0</v>
      </c>
      <c r="S450" s="391">
        <f t="shared" si="59"/>
        <v>0</v>
      </c>
      <c r="T450" s="413" t="s">
        <v>118</v>
      </c>
    </row>
    <row r="451" spans="1:23" ht="15" customHeight="1">
      <c r="A451" s="142">
        <v>8</v>
      </c>
      <c r="B451" s="407" t="s">
        <v>463</v>
      </c>
      <c r="C451" s="14" t="s">
        <v>254</v>
      </c>
      <c r="D451" s="142"/>
      <c r="E451" s="142"/>
      <c r="F451" s="32">
        <f>(SUMIF('Test Year'!$A:$A,$B451,'Test Year'!G:G))/1000</f>
        <v>33789.464899999999</v>
      </c>
      <c r="G451" s="32">
        <f>(SUMIF('Test Year'!$A:$A,$B451,'Test Year'!H:H))/1000</f>
        <v>33930.254340000007</v>
      </c>
      <c r="H451" s="32">
        <f>(SUMIF('Test Year'!$A:$A,$B451,'Test Year'!I:I))/1000</f>
        <v>34071.630400000002</v>
      </c>
      <c r="I451" s="32">
        <f>(SUMIF('Test Year'!$A:$A,$B451,'Test Year'!J:J))/1000</f>
        <v>34213.595529999999</v>
      </c>
      <c r="J451" s="32">
        <f>(SUMIF('Test Year'!$A:$A,$B451,'Test Year'!K:K))/1000</f>
        <v>34356.152179999997</v>
      </c>
      <c r="K451" s="32">
        <f>(SUMIF('Test Year'!$A:$A,$B451,'Test Year'!L:L))/1000</f>
        <v>34499.302810000001</v>
      </c>
      <c r="L451" s="32">
        <f>(SUMIF('Test Year'!$A:$A,$B451,'Test Year'!M:M))/1000</f>
        <v>34643.049909999994</v>
      </c>
      <c r="M451" s="32">
        <f>(SUMIF('Test Year'!$A:$A,$B451,'Test Year'!N:N))/1000</f>
        <v>34787.395950000006</v>
      </c>
      <c r="N451" s="32">
        <f>(SUMIF('Test Year'!$A:$A,$B451,'Test Year'!O:O))/1000</f>
        <v>34932.343430000001</v>
      </c>
      <c r="O451" s="32">
        <f>(SUMIF('Test Year'!$A:$A,$B451,'Test Year'!P:P))/1000</f>
        <v>35077.89486</v>
      </c>
      <c r="P451" s="32">
        <f>(SUMIF('Test Year'!$A:$A,$B451,'Test Year'!Q:Q))/1000</f>
        <v>35224.052759999999</v>
      </c>
      <c r="Q451" s="32">
        <f>(SUMIF('Test Year'!$A:$A,$B451,'Test Year'!R:R))/1000</f>
        <v>35370.819649999998</v>
      </c>
      <c r="R451" s="32">
        <f>(SUMIF('Test Year'!$A:$A,$B451,'Test Year'!S:S))/1000</f>
        <v>35518.198069999999</v>
      </c>
      <c r="S451" s="415">
        <f t="shared" si="59"/>
        <v>34647.242676153845</v>
      </c>
      <c r="T451" s="413" t="s">
        <v>118</v>
      </c>
    </row>
    <row r="452" spans="1:23" ht="15" customHeight="1">
      <c r="A452" s="142">
        <v>9</v>
      </c>
      <c r="B452" s="408"/>
      <c r="C452" s="14"/>
      <c r="D452" s="142" t="s">
        <v>337</v>
      </c>
      <c r="E452" s="142"/>
      <c r="F452" s="27">
        <f>SUM(F445:F451)</f>
        <v>176789.45048811228</v>
      </c>
      <c r="G452" s="27">
        <f t="shared" ref="G452:S452" si="60">SUM(G445:G451)</f>
        <v>173801.82360652901</v>
      </c>
      <c r="H452" s="27">
        <f t="shared" si="60"/>
        <v>173442.60622823631</v>
      </c>
      <c r="I452" s="27">
        <f t="shared" si="60"/>
        <v>174084.12821406178</v>
      </c>
      <c r="J452" s="27">
        <f t="shared" si="60"/>
        <v>170947.50522644291</v>
      </c>
      <c r="K452" s="27">
        <f t="shared" si="60"/>
        <v>170039.50912274429</v>
      </c>
      <c r="L452" s="27">
        <f t="shared" si="60"/>
        <v>170907.259638897</v>
      </c>
      <c r="M452" s="27">
        <f t="shared" si="60"/>
        <v>167570.97738666172</v>
      </c>
      <c r="N452" s="27">
        <f t="shared" si="60"/>
        <v>166863.88082728282</v>
      </c>
      <c r="O452" s="27">
        <f t="shared" si="60"/>
        <v>164746.53567463282</v>
      </c>
      <c r="P452" s="27">
        <f t="shared" si="60"/>
        <v>164098.05865383969</v>
      </c>
      <c r="Q452" s="27">
        <f t="shared" si="60"/>
        <v>163192.774491294</v>
      </c>
      <c r="R452" s="27">
        <f t="shared" si="60"/>
        <v>163936.7025135319</v>
      </c>
      <c r="S452" s="105">
        <f t="shared" si="60"/>
        <v>169263.1701594051</v>
      </c>
      <c r="T452" s="334"/>
    </row>
    <row r="453" spans="1:23" ht="15" customHeight="1">
      <c r="A453" s="142">
        <v>10</v>
      </c>
      <c r="B453" s="144"/>
      <c r="C453" s="142"/>
      <c r="D453" s="142"/>
      <c r="E453" s="142"/>
      <c r="F453" s="142"/>
      <c r="G453" s="142"/>
      <c r="H453" s="142"/>
      <c r="I453" s="142"/>
      <c r="J453" s="142"/>
      <c r="K453" s="142"/>
      <c r="L453" s="142"/>
      <c r="M453" s="142"/>
      <c r="N453" s="142"/>
      <c r="O453" s="142"/>
      <c r="P453" s="142"/>
      <c r="Q453" s="142"/>
      <c r="R453" s="142"/>
      <c r="S453" s="334"/>
      <c r="T453" s="334"/>
    </row>
    <row r="454" spans="1:23" ht="15" customHeight="1">
      <c r="A454" s="142">
        <v>11</v>
      </c>
      <c r="B454" s="144"/>
      <c r="C454" s="142" t="s">
        <v>464</v>
      </c>
      <c r="D454" s="142"/>
      <c r="E454" s="14"/>
      <c r="F454" s="27"/>
      <c r="G454" s="27"/>
      <c r="H454" s="27"/>
      <c r="I454" s="27"/>
      <c r="J454" s="27"/>
      <c r="K454" s="27"/>
      <c r="L454" s="27"/>
      <c r="M454" s="27"/>
      <c r="N454" s="27"/>
      <c r="O454" s="27"/>
      <c r="P454" s="27"/>
      <c r="Q454" s="27"/>
      <c r="R454" s="27"/>
      <c r="S454" s="391"/>
      <c r="T454" s="334"/>
    </row>
    <row r="455" spans="1:23" ht="15" customHeight="1">
      <c r="A455" s="142">
        <v>12</v>
      </c>
      <c r="B455" s="407" t="s">
        <v>465</v>
      </c>
      <c r="C455" s="14" t="s">
        <v>466</v>
      </c>
      <c r="D455" s="14"/>
      <c r="E455" s="142"/>
      <c r="F455" s="27">
        <f>(SUMIF('Test Year'!$A:$A,$B455,'Test Year'!G:G))/1000</f>
        <v>595364.85717259895</v>
      </c>
      <c r="G455" s="27">
        <f>(SUMIF('Test Year'!$A:$A,$B455,'Test Year'!H:H))/1000</f>
        <v>598422.40124888893</v>
      </c>
      <c r="H455" s="27">
        <f>(SUMIF('Test Year'!$A:$A,$B455,'Test Year'!I:I))/1000</f>
        <v>655705.08729093603</v>
      </c>
      <c r="I455" s="27">
        <f>(SUMIF('Test Year'!$A:$A,$B455,'Test Year'!J:J))/1000</f>
        <v>260252.506725691</v>
      </c>
      <c r="J455" s="27">
        <f>(SUMIF('Test Year'!$A:$A,$B455,'Test Year'!K:K))/1000</f>
        <v>333921.04664845299</v>
      </c>
      <c r="K455" s="27">
        <f>(SUMIF('Test Year'!$A:$A,$B455,'Test Year'!L:L))/1000</f>
        <v>304118.43847153697</v>
      </c>
      <c r="L455" s="27">
        <f>(SUMIF('Test Year'!$A:$A,$B455,'Test Year'!M:M))/1000</f>
        <v>369466.30793546303</v>
      </c>
      <c r="M455" s="27">
        <f>(SUMIF('Test Year'!$A:$A,$B455,'Test Year'!N:N))/1000</f>
        <v>437362.47203191102</v>
      </c>
      <c r="N455" s="27">
        <f>(SUMIF('Test Year'!$A:$A,$B455,'Test Year'!O:O))/1000</f>
        <v>456960.32966298005</v>
      </c>
      <c r="O455" s="27">
        <f>(SUMIF('Test Year'!$A:$A,$B455,'Test Year'!P:P))/1000</f>
        <v>471462.43003022304</v>
      </c>
      <c r="P455" s="27">
        <f>(SUMIF('Test Year'!$A:$A,$B455,'Test Year'!Q:Q))/1000</f>
        <v>432650.86985359597</v>
      </c>
      <c r="Q455" s="27">
        <f>(SUMIF('Test Year'!$A:$A,$B455,'Test Year'!R:R))/1000</f>
        <v>596370.82103931799</v>
      </c>
      <c r="R455" s="27">
        <f>(SUMIF('Test Year'!$A:$A,$B455,'Test Year'!S:S))/1000</f>
        <v>553907.77794710698</v>
      </c>
      <c r="S455" s="391">
        <f t="shared" ref="S455:S467" si="61">AVERAGE(F455:R455)</f>
        <v>466612.71892759262</v>
      </c>
      <c r="T455" s="413" t="s">
        <v>421</v>
      </c>
      <c r="U455" s="86"/>
    </row>
    <row r="456" spans="1:23" ht="15" customHeight="1">
      <c r="A456" s="142">
        <v>13</v>
      </c>
      <c r="B456" s="407" t="s">
        <v>467</v>
      </c>
      <c r="C456" s="14" t="s">
        <v>301</v>
      </c>
      <c r="D456" s="142"/>
      <c r="E456" s="142"/>
      <c r="F456" s="27">
        <f>(SUMIF('Test Year'!$A:$A,$B456,'Test Year'!G:G))/1000</f>
        <v>254338.7841293402</v>
      </c>
      <c r="G456" s="27">
        <f>(SUMIF('Test Year'!$A:$A,$B456,'Test Year'!H:H))/1000</f>
        <v>339737.63067706447</v>
      </c>
      <c r="H456" s="27">
        <f>(SUMIF('Test Year'!$A:$A,$B456,'Test Year'!I:I))/1000</f>
        <v>247478.1504243924</v>
      </c>
      <c r="I456" s="27">
        <f>(SUMIF('Test Year'!$A:$A,$B456,'Test Year'!J:J))/1000</f>
        <v>227390.35162002148</v>
      </c>
      <c r="J456" s="27">
        <f>(SUMIF('Test Year'!$A:$A,$B456,'Test Year'!K:K))/1000</f>
        <v>220884.40795066368</v>
      </c>
      <c r="K456" s="27">
        <f>(SUMIF('Test Year'!$A:$A,$B456,'Test Year'!L:L))/1000</f>
        <v>235318.00419600762</v>
      </c>
      <c r="L456" s="27">
        <f>(SUMIF('Test Year'!$A:$A,$B456,'Test Year'!M:M))/1000</f>
        <v>298071.72948933329</v>
      </c>
      <c r="M456" s="27">
        <f>(SUMIF('Test Year'!$A:$A,$B456,'Test Year'!N:N))/1000</f>
        <v>315776.79757735698</v>
      </c>
      <c r="N456" s="27">
        <f>(SUMIF('Test Year'!$A:$A,$B456,'Test Year'!O:O))/1000</f>
        <v>230719.80245241421</v>
      </c>
      <c r="O456" s="27">
        <f>(SUMIF('Test Year'!$A:$A,$B456,'Test Year'!P:P))/1000</f>
        <v>237948.96251088221</v>
      </c>
      <c r="P456" s="27">
        <f>(SUMIF('Test Year'!$A:$A,$B456,'Test Year'!Q:Q))/1000</f>
        <v>240980.5465916385</v>
      </c>
      <c r="Q456" s="27">
        <f>(SUMIF('Test Year'!$A:$A,$B456,'Test Year'!R:R))/1000</f>
        <v>222959.03291933628</v>
      </c>
      <c r="R456" s="27">
        <f>(SUMIF('Test Year'!$A:$A,$B456,'Test Year'!S:S))/1000</f>
        <v>338131.36555483082</v>
      </c>
      <c r="S456" s="391">
        <f t="shared" si="61"/>
        <v>262287.35123794485</v>
      </c>
      <c r="T456" s="413" t="s">
        <v>118</v>
      </c>
      <c r="U456" s="151"/>
    </row>
    <row r="457" spans="1:23" ht="15" customHeight="1">
      <c r="A457" s="142">
        <v>14</v>
      </c>
      <c r="B457" s="407" t="s">
        <v>468</v>
      </c>
      <c r="C457" s="162" t="s">
        <v>302</v>
      </c>
      <c r="D457" s="142"/>
      <c r="E457" s="142"/>
      <c r="F457" s="27">
        <f>(SUMIF('Test Year'!$A:$A,$B457,'Test Year'!G:G))/1000</f>
        <v>0</v>
      </c>
      <c r="G457" s="27">
        <f>(SUMIF('Test Year'!$A:$A,$B457,'Test Year'!H:H))/1000</f>
        <v>0</v>
      </c>
      <c r="H457" s="27">
        <f>(SUMIF('Test Year'!$A:$A,$B457,'Test Year'!I:I))/1000</f>
        <v>0</v>
      </c>
      <c r="I457" s="27">
        <f>(SUMIF('Test Year'!$A:$A,$B457,'Test Year'!J:J))/1000</f>
        <v>0</v>
      </c>
      <c r="J457" s="27">
        <f>(SUMIF('Test Year'!$A:$A,$B457,'Test Year'!K:K))/1000</f>
        <v>0</v>
      </c>
      <c r="K457" s="27">
        <f>(SUMIF('Test Year'!$A:$A,$B457,'Test Year'!L:L))/1000</f>
        <v>0</v>
      </c>
      <c r="L457" s="27">
        <f>(SUMIF('Test Year'!$A:$A,$B457,'Test Year'!M:M))/1000</f>
        <v>0</v>
      </c>
      <c r="M457" s="27">
        <f>(SUMIF('Test Year'!$A:$A,$B457,'Test Year'!N:N))/1000</f>
        <v>0</v>
      </c>
      <c r="N457" s="27">
        <f>(SUMIF('Test Year'!$A:$A,$B457,'Test Year'!O:O))/1000</f>
        <v>0</v>
      </c>
      <c r="O457" s="27">
        <f>(SUMIF('Test Year'!$A:$A,$B457,'Test Year'!P:P))/1000</f>
        <v>0</v>
      </c>
      <c r="P457" s="27">
        <f>(SUMIF('Test Year'!$A:$A,$B457,'Test Year'!Q:Q))/1000</f>
        <v>0</v>
      </c>
      <c r="Q457" s="27">
        <f>(SUMIF('Test Year'!$A:$A,$B457,'Test Year'!R:R))/1000</f>
        <v>0</v>
      </c>
      <c r="R457" s="27">
        <f>(SUMIF('Test Year'!$A:$A,$B457,'Test Year'!S:S))/1000</f>
        <v>0</v>
      </c>
      <c r="S457" s="391">
        <f t="shared" si="61"/>
        <v>0</v>
      </c>
      <c r="T457" s="413" t="s">
        <v>421</v>
      </c>
      <c r="U457" s="170" t="s">
        <v>500</v>
      </c>
      <c r="V457" s="335"/>
    </row>
    <row r="458" spans="1:23" ht="15" customHeight="1">
      <c r="A458" s="142">
        <v>15</v>
      </c>
      <c r="B458" s="407" t="s">
        <v>469</v>
      </c>
      <c r="C458" s="14" t="s">
        <v>303</v>
      </c>
      <c r="D458" s="142"/>
      <c r="E458" s="142"/>
      <c r="F458" s="27">
        <f>(SUMIF('Test Year'!$A:$A,$B458,'Test Year'!G:G))/1000</f>
        <v>11940.227210000001</v>
      </c>
      <c r="G458" s="27">
        <f>(SUMIF('Test Year'!$A:$A,$B458,'Test Year'!H:H))/1000</f>
        <v>9848.4336426465015</v>
      </c>
      <c r="H458" s="27">
        <f>(SUMIF('Test Year'!$A:$A,$B458,'Test Year'!I:I))/1000</f>
        <v>9701.8713093057995</v>
      </c>
      <c r="I458" s="27">
        <f>(SUMIF('Test Year'!$A:$A,$B458,'Test Year'!J:J))/1000</f>
        <v>9697.9249325976998</v>
      </c>
      <c r="J458" s="27">
        <f>(SUMIF('Test Year'!$A:$A,$B458,'Test Year'!K:K))/1000</f>
        <v>9707.2878082184016</v>
      </c>
      <c r="K458" s="27">
        <f>(SUMIF('Test Year'!$A:$A,$B458,'Test Year'!L:L))/1000</f>
        <v>10899.3507640184</v>
      </c>
      <c r="L458" s="27">
        <f>(SUMIF('Test Year'!$A:$A,$B458,'Test Year'!M:M))/1000</f>
        <v>11983.3351633573</v>
      </c>
      <c r="M458" s="27">
        <f>(SUMIF('Test Year'!$A:$A,$B458,'Test Year'!N:N))/1000</f>
        <v>13279.255065015699</v>
      </c>
      <c r="N458" s="27">
        <f>(SUMIF('Test Year'!$A:$A,$B458,'Test Year'!O:O))/1000</f>
        <v>13475.250425035199</v>
      </c>
      <c r="O458" s="27">
        <f>(SUMIF('Test Year'!$A:$A,$B458,'Test Year'!P:P))/1000</f>
        <v>13212.9381018323</v>
      </c>
      <c r="P458" s="27">
        <f>(SUMIF('Test Year'!$A:$A,$B458,'Test Year'!Q:Q))/1000</f>
        <v>12240.444733210099</v>
      </c>
      <c r="Q458" s="27">
        <f>(SUMIF('Test Year'!$A:$A,$B458,'Test Year'!R:R))/1000</f>
        <v>11262.0493756712</v>
      </c>
      <c r="R458" s="27">
        <f>(SUMIF('Test Year'!$A:$A,$B458,'Test Year'!S:S))/1000</f>
        <v>11344.714865146199</v>
      </c>
      <c r="S458" s="391">
        <f t="shared" si="61"/>
        <v>11430.237184311907</v>
      </c>
      <c r="T458" s="413" t="s">
        <v>118</v>
      </c>
      <c r="U458" s="151"/>
    </row>
    <row r="459" spans="1:23" ht="15" customHeight="1">
      <c r="A459" s="142">
        <v>16</v>
      </c>
      <c r="B459" s="407" t="s">
        <v>470</v>
      </c>
      <c r="C459" s="14" t="s">
        <v>471</v>
      </c>
      <c r="D459" s="142"/>
      <c r="E459" s="142"/>
      <c r="F459" s="27">
        <f>(SUMIF('Test Year'!$A:$A,$B459,'Test Year'!G:G))/1000</f>
        <v>121238.932512716</v>
      </c>
      <c r="G459" s="27">
        <f>(SUMIF('Test Year'!$A:$A,$B459,'Test Year'!H:H))/1000</f>
        <v>121289.44873459599</v>
      </c>
      <c r="H459" s="27">
        <f>(SUMIF('Test Year'!$A:$A,$B459,'Test Year'!I:I))/1000</f>
        <v>121339.98600490201</v>
      </c>
      <c r="I459" s="27">
        <f>(SUMIF('Test Year'!$A:$A,$B459,'Test Year'!J:J))/1000</f>
        <v>121390.54433240401</v>
      </c>
      <c r="J459" s="27">
        <f>(SUMIF('Test Year'!$A:$A,$B459,'Test Year'!K:K))/1000</f>
        <v>121441.12372587601</v>
      </c>
      <c r="K459" s="27">
        <f>(SUMIF('Test Year'!$A:$A,$B459,'Test Year'!L:L))/1000</f>
        <v>121491.724194095</v>
      </c>
      <c r="L459" s="27">
        <f>(SUMIF('Test Year'!$A:$A,$B459,'Test Year'!M:M))/1000</f>
        <v>121542.34574584299</v>
      </c>
      <c r="M459" s="27">
        <f>(SUMIF('Test Year'!$A:$A,$B459,'Test Year'!N:N))/1000</f>
        <v>121592.988389903</v>
      </c>
      <c r="N459" s="27">
        <f>(SUMIF('Test Year'!$A:$A,$B459,'Test Year'!O:O))/1000</f>
        <v>121643.652135066</v>
      </c>
      <c r="O459" s="27">
        <f>(SUMIF('Test Year'!$A:$A,$B459,'Test Year'!P:P))/1000</f>
        <v>121694.336990122</v>
      </c>
      <c r="P459" s="27">
        <f>(SUMIF('Test Year'!$A:$A,$B459,'Test Year'!Q:Q))/1000</f>
        <v>121745.04296386801</v>
      </c>
      <c r="Q459" s="27">
        <f>(SUMIF('Test Year'!$A:$A,$B459,'Test Year'!R:R))/1000</f>
        <v>121795.77006510299</v>
      </c>
      <c r="R459" s="27">
        <f>(SUMIF('Test Year'!$A:$A,$B459,'Test Year'!S:S))/1000</f>
        <v>121846.51830263001</v>
      </c>
      <c r="S459" s="391">
        <f t="shared" si="61"/>
        <v>121542.49339208646</v>
      </c>
      <c r="T459" s="413" t="s">
        <v>421</v>
      </c>
      <c r="U459" s="35"/>
      <c r="V459" s="35"/>
      <c r="W459" s="35"/>
    </row>
    <row r="460" spans="1:23" ht="15" customHeight="1">
      <c r="A460" s="142">
        <v>17</v>
      </c>
      <c r="B460" s="407" t="s">
        <v>472</v>
      </c>
      <c r="C460" s="14" t="s">
        <v>304</v>
      </c>
      <c r="D460" s="142"/>
      <c r="E460" s="142"/>
      <c r="F460" s="27">
        <f>(SUMIF('Test Year'!$A:$A,$B460,'Test Year'!G:G))/1000-F461</f>
        <v>13375.57781925</v>
      </c>
      <c r="G460" s="27">
        <f>(SUMIF('Test Year'!$A:$A,$B460,'Test Year'!H:H))/1000-G461</f>
        <v>21580.069094605104</v>
      </c>
      <c r="H460" s="27">
        <f>(SUMIF('Test Year'!$A:$A,$B460,'Test Year'!I:I))/1000-H461</f>
        <v>28251.991076593804</v>
      </c>
      <c r="I460" s="27">
        <f>(SUMIF('Test Year'!$A:$A,$B460,'Test Year'!J:J))/1000-I461</f>
        <v>24600.627060391598</v>
      </c>
      <c r="J460" s="27">
        <f>(SUMIF('Test Year'!$A:$A,$B460,'Test Year'!K:K))/1000-J461</f>
        <v>24896.842118750003</v>
      </c>
      <c r="K460" s="27">
        <f>(SUMIF('Test Year'!$A:$A,$B460,'Test Year'!L:L))/1000-K461</f>
        <v>38755.181821656304</v>
      </c>
      <c r="L460" s="27">
        <f>(SUMIF('Test Year'!$A:$A,$B460,'Test Year'!M:M))/1000-L461</f>
        <v>48601.213566763101</v>
      </c>
      <c r="M460" s="27">
        <f>(SUMIF('Test Year'!$A:$A,$B460,'Test Year'!N:N))/1000-M461</f>
        <v>65447.77435498601</v>
      </c>
      <c r="N460" s="27">
        <f>(SUMIF('Test Year'!$A:$A,$B460,'Test Year'!O:O))/1000-N461</f>
        <v>83284.358410206289</v>
      </c>
      <c r="O460" s="27">
        <f>(SUMIF('Test Year'!$A:$A,$B460,'Test Year'!P:P))/1000-O461</f>
        <v>89940.270243481602</v>
      </c>
      <c r="P460" s="27">
        <f>(SUMIF('Test Year'!$A:$A,$B460,'Test Year'!Q:Q))/1000-P461</f>
        <v>99729.040885115101</v>
      </c>
      <c r="Q460" s="27">
        <f>(SUMIF('Test Year'!$A:$A,$B460,'Test Year'!R:R))/1000-Q461</f>
        <v>13178.867498976801</v>
      </c>
      <c r="R460" s="27">
        <f>(SUMIF('Test Year'!$A:$A,$B460,'Test Year'!S:S))/1000-R461</f>
        <v>12894.823216446701</v>
      </c>
      <c r="S460" s="391">
        <f t="shared" si="61"/>
        <v>43425.895166709408</v>
      </c>
      <c r="T460" s="413" t="s">
        <v>118</v>
      </c>
      <c r="U460" s="35"/>
      <c r="V460" s="35"/>
      <c r="W460" s="35"/>
    </row>
    <row r="461" spans="1:23" ht="15" customHeight="1">
      <c r="A461" s="142">
        <v>18</v>
      </c>
      <c r="B461" s="407" t="s">
        <v>472</v>
      </c>
      <c r="C461" s="14" t="s">
        <v>304</v>
      </c>
      <c r="D461" s="142"/>
      <c r="E461" s="142"/>
      <c r="F461" s="27">
        <f>-(SUMIF('Test Year'!$A:$A,"236nu",'Test Year'!G:G))/1000</f>
        <v>-450.32028000000065</v>
      </c>
      <c r="G461" s="27">
        <f>-(SUMIF('Test Year'!$A:$A,"236nu",'Test Year'!H:H))/1000</f>
        <v>-145.17647000000068</v>
      </c>
      <c r="H461" s="27">
        <f>-(SUMIF('Test Year'!$A:$A,"236nu",'Test Year'!I:I))/1000</f>
        <v>201.87690999999933</v>
      </c>
      <c r="I461" s="27">
        <f>-(SUMIF('Test Year'!$A:$A,"236nu",'Test Year'!J:J))/1000</f>
        <v>1115.8421299999991</v>
      </c>
      <c r="J461" s="27">
        <f>-(SUMIF('Test Year'!$A:$A,"236nu",'Test Year'!K:K))/1000</f>
        <v>618.61201999999912</v>
      </c>
      <c r="K461" s="27">
        <f>-(SUMIF('Test Year'!$A:$A,"236nu",'Test Year'!L:L))/1000</f>
        <v>979.05820999999901</v>
      </c>
      <c r="L461" s="27">
        <f>-(SUMIF('Test Year'!$A:$A,"236nu",'Test Year'!M:M))/1000</f>
        <v>336.36081999999897</v>
      </c>
      <c r="M461" s="27">
        <f>-(SUMIF('Test Year'!$A:$A,"236nu",'Test Year'!N:N))/1000</f>
        <v>1407.1980399999989</v>
      </c>
      <c r="N461" s="27">
        <f>-(SUMIF('Test Year'!$A:$A,"236nu",'Test Year'!O:O))/1000</f>
        <v>2111.3919899999987</v>
      </c>
      <c r="O461" s="27">
        <f>-(SUMIF('Test Year'!$A:$A,"236nu",'Test Year'!P:P))/1000</f>
        <v>1455.112339999999</v>
      </c>
      <c r="P461" s="27">
        <f>-(SUMIF('Test Year'!$A:$A,"236nu",'Test Year'!Q:Q))/1000</f>
        <v>1831.0067899999988</v>
      </c>
      <c r="Q461" s="27">
        <f>-(SUMIF('Test Year'!$A:$A,"236nu",'Test Year'!R:R))/1000</f>
        <v>2217.0677899999987</v>
      </c>
      <c r="R461" s="27">
        <f>-(SUMIF('Test Year'!$A:$A,"236nu",'Test Year'!S:S))/1000</f>
        <v>-45.876050000001165</v>
      </c>
      <c r="S461" s="391">
        <f t="shared" si="61"/>
        <v>894.78109538461445</v>
      </c>
      <c r="T461" s="413" t="s">
        <v>393</v>
      </c>
      <c r="U461" s="446">
        <f>SUM(S460:S461)</f>
        <v>44320.676262094021</v>
      </c>
      <c r="V461" s="35"/>
      <c r="W461" s="35"/>
    </row>
    <row r="462" spans="1:23" ht="15" customHeight="1">
      <c r="A462" s="142">
        <v>19</v>
      </c>
      <c r="B462" s="407" t="s">
        <v>473</v>
      </c>
      <c r="C462" s="14" t="s">
        <v>306</v>
      </c>
      <c r="D462" s="142"/>
      <c r="E462" s="142"/>
      <c r="F462" s="27">
        <f>(SUMIF('Test Year'!$A:$A,$B462,'Test Year'!G:G))/1000</f>
        <v>35201.520636353802</v>
      </c>
      <c r="G462" s="27">
        <f>(SUMIF('Test Year'!$A:$A,$B462,'Test Year'!H:H))/1000</f>
        <v>33897.180190670806</v>
      </c>
      <c r="H462" s="27">
        <f>(SUMIF('Test Year'!$A:$A,$B462,'Test Year'!I:I))/1000</f>
        <v>48561.636644592101</v>
      </c>
      <c r="I462" s="27">
        <f>(SUMIF('Test Year'!$A:$A,$B462,'Test Year'!J:J))/1000</f>
        <v>39209.230128644202</v>
      </c>
      <c r="J462" s="27">
        <f>(SUMIF('Test Year'!$A:$A,$B462,'Test Year'!K:K))/1000</f>
        <v>55820.195583833301</v>
      </c>
      <c r="K462" s="27">
        <f>(SUMIF('Test Year'!$A:$A,$B462,'Test Year'!L:L))/1000</f>
        <v>44872.746143696597</v>
      </c>
      <c r="L462" s="27">
        <f>(SUMIF('Test Year'!$A:$A,$B462,'Test Year'!M:M))/1000</f>
        <v>40279.159729879902</v>
      </c>
      <c r="M462" s="27">
        <f>(SUMIF('Test Year'!$A:$A,$B462,'Test Year'!N:N))/1000</f>
        <v>49478.948601337295</v>
      </c>
      <c r="N462" s="27">
        <f>(SUMIF('Test Year'!$A:$A,$B462,'Test Year'!O:O))/1000</f>
        <v>60038.928277803199</v>
      </c>
      <c r="O462" s="27">
        <f>(SUMIF('Test Year'!$A:$A,$B462,'Test Year'!P:P))/1000</f>
        <v>52801.305604492096</v>
      </c>
      <c r="P462" s="27">
        <f>(SUMIF('Test Year'!$A:$A,$B462,'Test Year'!Q:Q))/1000</f>
        <v>69471.935775480801</v>
      </c>
      <c r="Q462" s="27">
        <f>(SUMIF('Test Year'!$A:$A,$B462,'Test Year'!R:R))/1000</f>
        <v>46287.4916466383</v>
      </c>
      <c r="R462" s="27">
        <f>(SUMIF('Test Year'!$A:$A,$B462,'Test Year'!S:S))/1000</f>
        <v>32834.563451576098</v>
      </c>
      <c r="S462" s="391">
        <f t="shared" si="61"/>
        <v>46827.295570384485</v>
      </c>
      <c r="T462" s="413" t="s">
        <v>118</v>
      </c>
      <c r="U462" s="446">
        <f>SUM(S472)</f>
        <v>0</v>
      </c>
      <c r="V462" s="35"/>
      <c r="W462" s="35"/>
    </row>
    <row r="463" spans="1:23" ht="15" customHeight="1">
      <c r="A463" s="142">
        <v>20</v>
      </c>
      <c r="B463" s="407" t="s">
        <v>474</v>
      </c>
      <c r="C463" s="14" t="s">
        <v>307</v>
      </c>
      <c r="D463" s="142"/>
      <c r="E463" s="142"/>
      <c r="F463" s="27">
        <f>(SUMIF('Test Year'!$A:$A,$B463,'Test Year'!G:G))/1000</f>
        <v>0</v>
      </c>
      <c r="G463" s="27">
        <f>(SUMIF('Test Year'!$A:$A,$B463,'Test Year'!H:H))/1000</f>
        <v>0</v>
      </c>
      <c r="H463" s="27">
        <f>(SUMIF('Test Year'!$A:$A,$B463,'Test Year'!I:I))/1000</f>
        <v>0</v>
      </c>
      <c r="I463" s="27">
        <f>(SUMIF('Test Year'!$A:$A,$B463,'Test Year'!J:J))/1000</f>
        <v>0</v>
      </c>
      <c r="J463" s="27">
        <f>(SUMIF('Test Year'!$A:$A,$B463,'Test Year'!K:K))/1000</f>
        <v>0</v>
      </c>
      <c r="K463" s="27">
        <f>(SUMIF('Test Year'!$A:$A,$B463,'Test Year'!L:L))/1000</f>
        <v>0</v>
      </c>
      <c r="L463" s="27">
        <f>(SUMIF('Test Year'!$A:$A,$B463,'Test Year'!M:M))/1000</f>
        <v>0</v>
      </c>
      <c r="M463" s="27">
        <f>(SUMIF('Test Year'!$A:$A,$B463,'Test Year'!N:N))/1000</f>
        <v>0</v>
      </c>
      <c r="N463" s="27">
        <f>(SUMIF('Test Year'!$A:$A,$B463,'Test Year'!O:O))/1000</f>
        <v>0</v>
      </c>
      <c r="O463" s="27">
        <f>(SUMIF('Test Year'!$A:$A,$B463,'Test Year'!P:P))/1000</f>
        <v>0</v>
      </c>
      <c r="P463" s="27">
        <f>(SUMIF('Test Year'!$A:$A,$B463,'Test Year'!Q:Q))/1000</f>
        <v>0</v>
      </c>
      <c r="Q463" s="27">
        <f>(SUMIF('Test Year'!$A:$A,$B463,'Test Year'!R:R))/1000</f>
        <v>0</v>
      </c>
      <c r="R463" s="27">
        <f>(SUMIF('Test Year'!$A:$A,$B463,'Test Year'!S:S))/1000</f>
        <v>0</v>
      </c>
      <c r="S463" s="391">
        <f t="shared" si="61"/>
        <v>0</v>
      </c>
      <c r="T463" s="413" t="s">
        <v>118</v>
      </c>
      <c r="U463" s="35"/>
      <c r="V463" s="35"/>
      <c r="W463" s="35"/>
    </row>
    <row r="464" spans="1:23" ht="15" customHeight="1">
      <c r="A464" s="142">
        <v>21</v>
      </c>
      <c r="B464" s="407" t="s">
        <v>475</v>
      </c>
      <c r="C464" s="14" t="s">
        <v>308</v>
      </c>
      <c r="D464" s="142"/>
      <c r="E464" s="142"/>
      <c r="F464" s="27">
        <f>(SUMIF('Test Year'!$A:$A,$B464,'Test Year'!G:G))/1000</f>
        <v>13498.4601800001</v>
      </c>
      <c r="G464" s="27">
        <f>(SUMIF('Test Year'!$A:$A,$B464,'Test Year'!H:H))/1000</f>
        <v>12702.4601799999</v>
      </c>
      <c r="H464" s="27">
        <f>(SUMIF('Test Year'!$A:$A,$B464,'Test Year'!I:I))/1000</f>
        <v>12862.3801800001</v>
      </c>
      <c r="I464" s="27">
        <f>(SUMIF('Test Year'!$A:$A,$B464,'Test Year'!J:J))/1000</f>
        <v>12773.820179999899</v>
      </c>
      <c r="J464" s="27">
        <f>(SUMIF('Test Year'!$A:$A,$B464,'Test Year'!K:K))/1000</f>
        <v>13220.660180000101</v>
      </c>
      <c r="K464" s="27">
        <f>(SUMIF('Test Year'!$A:$A,$B464,'Test Year'!L:L))/1000</f>
        <v>13896.46018</v>
      </c>
      <c r="L464" s="27">
        <f>(SUMIF('Test Year'!$A:$A,$B464,'Test Year'!M:M))/1000</f>
        <v>14763.420179999999</v>
      </c>
      <c r="M464" s="27">
        <f>(SUMIF('Test Year'!$A:$A,$B464,'Test Year'!N:N))/1000</f>
        <v>15349.06018</v>
      </c>
      <c r="N464" s="27">
        <f>(SUMIF('Test Year'!$A:$A,$B464,'Test Year'!O:O))/1000</f>
        <v>16002.240179999999</v>
      </c>
      <c r="O464" s="27">
        <f>(SUMIF('Test Year'!$A:$A,$B464,'Test Year'!P:P))/1000</f>
        <v>16211.7001799999</v>
      </c>
      <c r="P464" s="27">
        <f>(SUMIF('Test Year'!$A:$A,$B464,'Test Year'!Q:Q))/1000</f>
        <v>15119.78498</v>
      </c>
      <c r="Q464" s="27">
        <f>(SUMIF('Test Year'!$A:$A,$B464,'Test Year'!R:R))/1000</f>
        <v>13950.181779999901</v>
      </c>
      <c r="R464" s="27">
        <f>(SUMIF('Test Year'!$A:$A,$B464,'Test Year'!S:S))/1000</f>
        <v>14342.125779999998</v>
      </c>
      <c r="S464" s="391">
        <f t="shared" si="61"/>
        <v>14207.134949230762</v>
      </c>
      <c r="T464" s="413" t="s">
        <v>118</v>
      </c>
      <c r="U464" s="35"/>
      <c r="V464" s="35"/>
      <c r="W464" s="35"/>
    </row>
    <row r="465" spans="1:23" ht="15" customHeight="1">
      <c r="A465" s="142">
        <v>22</v>
      </c>
      <c r="B465" s="407" t="s">
        <v>476</v>
      </c>
      <c r="C465" s="14" t="s">
        <v>309</v>
      </c>
      <c r="D465" s="142"/>
      <c r="E465" s="142"/>
      <c r="F465" s="27">
        <f>(SUMIF('Test Year'!$A:$A,$B465,'Test Year'!G:G))/1000</f>
        <v>40869.614289303499</v>
      </c>
      <c r="G465" s="27">
        <f>(SUMIF('Test Year'!$A:$A,$B465,'Test Year'!H:H))/1000</f>
        <v>40681.7911093035</v>
      </c>
      <c r="H465" s="27">
        <f>(SUMIF('Test Year'!$A:$A,$B465,'Test Year'!I:I))/1000</f>
        <v>40775.7911093035</v>
      </c>
      <c r="I465" s="27">
        <f>(SUMIF('Test Year'!$A:$A,$B465,'Test Year'!J:J))/1000</f>
        <v>40601.597965887195</v>
      </c>
      <c r="J465" s="27">
        <f>(SUMIF('Test Year'!$A:$A,$B465,'Test Year'!K:K))/1000</f>
        <v>40679.597965887195</v>
      </c>
      <c r="K465" s="27">
        <f>(SUMIF('Test Year'!$A:$A,$B465,'Test Year'!L:L))/1000</f>
        <v>40734.597965887195</v>
      </c>
      <c r="L465" s="27">
        <f>(SUMIF('Test Year'!$A:$A,$B465,'Test Year'!M:M))/1000</f>
        <v>41597.857204693195</v>
      </c>
      <c r="M465" s="27">
        <f>(SUMIF('Test Year'!$A:$A,$B465,'Test Year'!N:N))/1000</f>
        <v>41608.857204693195</v>
      </c>
      <c r="N465" s="27">
        <f>(SUMIF('Test Year'!$A:$A,$B465,'Test Year'!O:O))/1000</f>
        <v>41653.857204693195</v>
      </c>
      <c r="O465" s="27">
        <f>(SUMIF('Test Year'!$A:$A,$B465,'Test Year'!P:P))/1000</f>
        <v>42486.116443499202</v>
      </c>
      <c r="P465" s="27">
        <f>(SUMIF('Test Year'!$A:$A,$B465,'Test Year'!Q:Q))/1000</f>
        <v>42531.116443499202</v>
      </c>
      <c r="Q465" s="27">
        <f>(SUMIF('Test Year'!$A:$A,$B465,'Test Year'!R:R))/1000</f>
        <v>42576.116443499202</v>
      </c>
      <c r="R465" s="27">
        <f>(SUMIF('Test Year'!$A:$A,$B465,'Test Year'!S:S))/1000</f>
        <v>43192.375682305101</v>
      </c>
      <c r="S465" s="391">
        <f t="shared" si="61"/>
        <v>41537.637464034953</v>
      </c>
      <c r="T465" s="413" t="s">
        <v>118</v>
      </c>
      <c r="U465" s="35"/>
      <c r="V465" s="35"/>
      <c r="W465" s="35"/>
    </row>
    <row r="466" spans="1:23" ht="15" customHeight="1">
      <c r="A466" s="142">
        <v>23</v>
      </c>
      <c r="B466" s="407" t="s">
        <v>477</v>
      </c>
      <c r="C466" s="14" t="s">
        <v>310</v>
      </c>
      <c r="D466" s="142"/>
      <c r="E466" s="142"/>
      <c r="F466" s="27">
        <f>(SUMIF('Test Year'!$A:$A,$B466,'Test Year'!G:G))/1000</f>
        <v>1831.3990999980001</v>
      </c>
      <c r="G466" s="27">
        <f>(SUMIF('Test Year'!$A:$A,$B466,'Test Year'!H:H))/1000</f>
        <v>1672.5069455502</v>
      </c>
      <c r="H466" s="27">
        <f>(SUMIF('Test Year'!$A:$A,$B466,'Test Year'!I:I))/1000</f>
        <v>1513.1432575342999</v>
      </c>
      <c r="I466" s="27">
        <f>(SUMIF('Test Year'!$A:$A,$B466,'Test Year'!J:J))/1000</f>
        <v>1353.2700313303001</v>
      </c>
      <c r="J466" s="27">
        <f>(SUMIF('Test Year'!$A:$A,$B466,'Test Year'!K:K))/1000</f>
        <v>1192.8856458079999</v>
      </c>
      <c r="K466" s="27">
        <f>(SUMIF('Test Year'!$A:$A,$B466,'Test Year'!L:L))/1000</f>
        <v>1032.0006764397999</v>
      </c>
      <c r="L466" s="27">
        <f>(SUMIF('Test Year'!$A:$A,$B466,'Test Year'!M:M))/1000</f>
        <v>870.60130740429997</v>
      </c>
      <c r="M466" s="27">
        <f>(SUMIF('Test Year'!$A:$A,$B466,'Test Year'!N:N))/1000</f>
        <v>708.70172860950004</v>
      </c>
      <c r="N466" s="27">
        <f>(SUMIF('Test Year'!$A:$A,$B466,'Test Year'!O:O))/1000</f>
        <v>546.28453074330002</v>
      </c>
      <c r="O466" s="27">
        <f>(SUMIF('Test Year'!$A:$A,$B466,'Test Year'!P:P))/1000</f>
        <v>383.34806712199997</v>
      </c>
      <c r="P466" s="27">
        <f>(SUMIF('Test Year'!$A:$A,$B466,'Test Year'!Q:Q))/1000</f>
        <v>387.17593584010001</v>
      </c>
      <c r="Q466" s="27">
        <f>(SUMIF('Test Year'!$A:$A,$B466,'Test Year'!R:R))/1000</f>
        <v>391.01375446560002</v>
      </c>
      <c r="R466" s="27">
        <f>(SUMIF('Test Year'!$A:$A,$B466,'Test Year'!S:S))/1000</f>
        <v>394.92103353840002</v>
      </c>
      <c r="S466" s="391">
        <f t="shared" si="61"/>
        <v>944.40400110644623</v>
      </c>
      <c r="T466" s="413" t="s">
        <v>118</v>
      </c>
      <c r="U466" s="35"/>
      <c r="V466" s="35"/>
      <c r="W466" s="35"/>
    </row>
    <row r="467" spans="1:23" ht="15" customHeight="1">
      <c r="A467" s="142">
        <v>24</v>
      </c>
      <c r="B467" s="407" t="s">
        <v>478</v>
      </c>
      <c r="C467" s="14" t="s">
        <v>286</v>
      </c>
      <c r="D467" s="142"/>
      <c r="E467" s="142"/>
      <c r="F467" s="32">
        <f>(SUMIF('Test Year'!$A:$A,$B467,'Test Year'!G:G))/1000</f>
        <v>0</v>
      </c>
      <c r="G467" s="32">
        <f>(SUMIF('Test Year'!$A:$A,$B467,'Test Year'!H:H))/1000</f>
        <v>0</v>
      </c>
      <c r="H467" s="32">
        <f>(SUMIF('Test Year'!$A:$A,$B467,'Test Year'!I:I))/1000</f>
        <v>0</v>
      </c>
      <c r="I467" s="32">
        <f>(SUMIF('Test Year'!$A:$A,$B467,'Test Year'!J:J))/1000</f>
        <v>0</v>
      </c>
      <c r="J467" s="32">
        <f>(SUMIF('Test Year'!$A:$A,$B467,'Test Year'!K:K))/1000</f>
        <v>0</v>
      </c>
      <c r="K467" s="32">
        <f>(SUMIF('Test Year'!$A:$A,$B467,'Test Year'!L:L))/1000</f>
        <v>0</v>
      </c>
      <c r="L467" s="32">
        <f>(SUMIF('Test Year'!$A:$A,$B467,'Test Year'!M:M))/1000</f>
        <v>0</v>
      </c>
      <c r="M467" s="32">
        <f>(SUMIF('Test Year'!$A:$A,$B467,'Test Year'!N:N))/1000</f>
        <v>0</v>
      </c>
      <c r="N467" s="32">
        <f>(SUMIF('Test Year'!$A:$A,$B467,'Test Year'!O:O))/1000</f>
        <v>0</v>
      </c>
      <c r="O467" s="32">
        <f>(SUMIF('Test Year'!$A:$A,$B467,'Test Year'!P:P))/1000</f>
        <v>0</v>
      </c>
      <c r="P467" s="32">
        <f>(SUMIF('Test Year'!$A:$A,$B467,'Test Year'!Q:Q))/1000</f>
        <v>0</v>
      </c>
      <c r="Q467" s="32">
        <f>(SUMIF('Test Year'!$A:$A,$B467,'Test Year'!R:R))/1000</f>
        <v>0</v>
      </c>
      <c r="R467" s="32">
        <f>(SUMIF('Test Year'!$A:$A,$B467,'Test Year'!S:S))/1000</f>
        <v>0</v>
      </c>
      <c r="S467" s="415">
        <f t="shared" si="61"/>
        <v>0</v>
      </c>
      <c r="T467" s="413" t="s">
        <v>118</v>
      </c>
      <c r="U467" s="35"/>
      <c r="V467" s="35"/>
      <c r="W467" s="35"/>
    </row>
    <row r="468" spans="1:23" ht="15" customHeight="1">
      <c r="A468" s="142">
        <v>25</v>
      </c>
      <c r="B468" s="408"/>
      <c r="C468" s="14"/>
      <c r="D468" s="142" t="s">
        <v>464</v>
      </c>
      <c r="E468" s="142"/>
      <c r="F468" s="27">
        <f t="shared" ref="F468:S468" si="62">SUM(F455:F467)</f>
        <v>1087209.0527695604</v>
      </c>
      <c r="G468" s="27">
        <f t="shared" si="62"/>
        <v>1179686.7453533253</v>
      </c>
      <c r="H468" s="27">
        <f t="shared" si="62"/>
        <v>1166391.9142075602</v>
      </c>
      <c r="I468" s="27">
        <f t="shared" si="62"/>
        <v>738385.71510696737</v>
      </c>
      <c r="J468" s="27">
        <f t="shared" si="62"/>
        <v>822382.65964748955</v>
      </c>
      <c r="K468" s="27">
        <f t="shared" si="62"/>
        <v>812097.56262333796</v>
      </c>
      <c r="L468" s="27">
        <f t="shared" si="62"/>
        <v>947512.33114273718</v>
      </c>
      <c r="M468" s="27">
        <f t="shared" si="62"/>
        <v>1062012.0531738128</v>
      </c>
      <c r="N468" s="27">
        <f t="shared" si="62"/>
        <v>1026436.0952689415</v>
      </c>
      <c r="O468" s="27">
        <f t="shared" si="62"/>
        <v>1047596.5205116544</v>
      </c>
      <c r="P468" s="27">
        <f t="shared" si="62"/>
        <v>1036686.9649522479</v>
      </c>
      <c r="Q468" s="27">
        <f t="shared" si="62"/>
        <v>1070988.412313008</v>
      </c>
      <c r="R468" s="27">
        <f t="shared" si="62"/>
        <v>1128843.3097835802</v>
      </c>
      <c r="S468" s="105">
        <f t="shared" si="62"/>
        <v>1009709.9489887865</v>
      </c>
      <c r="T468" s="334"/>
      <c r="U468" s="35"/>
      <c r="V468" s="35"/>
      <c r="W468" s="35"/>
    </row>
    <row r="469" spans="1:23" ht="15" customHeight="1">
      <c r="A469" s="142">
        <v>26</v>
      </c>
      <c r="B469" s="408"/>
      <c r="C469" s="14"/>
      <c r="D469" s="142"/>
      <c r="E469" s="142"/>
      <c r="F469" s="142"/>
      <c r="G469" s="142"/>
      <c r="H469" s="142"/>
      <c r="I469" s="142"/>
      <c r="J469" s="142"/>
      <c r="K469" s="142"/>
      <c r="L469" s="142"/>
      <c r="M469" s="142"/>
      <c r="N469" s="142"/>
      <c r="O469" s="142"/>
      <c r="P469" s="142"/>
      <c r="Q469" s="142"/>
      <c r="R469" s="142"/>
      <c r="S469" s="334"/>
      <c r="T469" s="334"/>
      <c r="U469" s="35"/>
      <c r="V469" s="35"/>
      <c r="W469" s="35"/>
    </row>
    <row r="470" spans="1:23" ht="15" customHeight="1">
      <c r="A470" s="142">
        <v>27</v>
      </c>
      <c r="B470" s="408"/>
      <c r="C470" s="142" t="s">
        <v>479</v>
      </c>
      <c r="D470" s="142"/>
      <c r="E470" s="142"/>
      <c r="F470" s="142"/>
      <c r="G470" s="142"/>
      <c r="H470" s="142"/>
      <c r="I470" s="142"/>
      <c r="J470" s="142"/>
      <c r="K470" s="142"/>
      <c r="L470" s="142"/>
      <c r="M470" s="142"/>
      <c r="N470" s="142"/>
      <c r="O470" s="142"/>
      <c r="P470" s="142"/>
      <c r="Q470" s="142"/>
      <c r="R470" s="142"/>
      <c r="S470" s="334"/>
      <c r="T470" s="334"/>
      <c r="U470" s="35"/>
      <c r="V470" s="35"/>
      <c r="W470" s="35"/>
    </row>
    <row r="471" spans="1:23" ht="15" customHeight="1">
      <c r="A471" s="142">
        <v>28</v>
      </c>
      <c r="B471" s="407" t="s">
        <v>480</v>
      </c>
      <c r="C471" s="14" t="s">
        <v>313</v>
      </c>
      <c r="D471" s="142"/>
      <c r="E471" s="142"/>
      <c r="F471" s="27">
        <f>(SUMIF('Test Year'!$A:$A,$B471,'Test Year'!G:G))/1000-F472</f>
        <v>38095.902782142497</v>
      </c>
      <c r="G471" s="27">
        <f>(SUMIF('Test Year'!$A:$A,$B471,'Test Year'!H:H))/1000-G472</f>
        <v>48733.488673501</v>
      </c>
      <c r="H471" s="27">
        <f>(SUMIF('Test Year'!$A:$A,$B471,'Test Year'!I:I))/1000-H472</f>
        <v>50597.464078821693</v>
      </c>
      <c r="I471" s="27">
        <f>(SUMIF('Test Year'!$A:$A,$B471,'Test Year'!J:J))/1000-I472</f>
        <v>47459.862379175</v>
      </c>
      <c r="J471" s="27">
        <f>(SUMIF('Test Year'!$A:$A,$B471,'Test Year'!K:K))/1000-J472</f>
        <v>45638.536178742499</v>
      </c>
      <c r="K471" s="27">
        <f>(SUMIF('Test Year'!$A:$A,$B471,'Test Year'!L:L))/1000-K472</f>
        <v>46474.827189593394</v>
      </c>
      <c r="L471" s="27">
        <f>(SUMIF('Test Year'!$A:$A,$B471,'Test Year'!M:M))/1000-L472</f>
        <v>42648.314895821495</v>
      </c>
      <c r="M471" s="27">
        <f>(SUMIF('Test Year'!$A:$A,$B471,'Test Year'!N:N))/1000-M472</f>
        <v>39427.322898039398</v>
      </c>
      <c r="N471" s="27">
        <f>(SUMIF('Test Year'!$A:$A,$B471,'Test Year'!O:O))/1000-N472</f>
        <v>35523.171071460703</v>
      </c>
      <c r="O471" s="27">
        <f>(SUMIF('Test Year'!$A:$A,$B471,'Test Year'!P:P))/1000-O472</f>
        <v>26564.114122590097</v>
      </c>
      <c r="P471" s="27">
        <f>(SUMIF('Test Year'!$A:$A,$B471,'Test Year'!Q:Q))/1000-P472</f>
        <v>19267.8607842411</v>
      </c>
      <c r="Q471" s="27">
        <f>(SUMIF('Test Year'!$A:$A,$B471,'Test Year'!R:R))/1000-Q472</f>
        <v>14546.107606709</v>
      </c>
      <c r="R471" s="27">
        <f>(SUMIF('Test Year'!$A:$A,$B471,'Test Year'!S:S))/1000-R472</f>
        <v>15778.410867560999</v>
      </c>
      <c r="S471" s="391">
        <f t="shared" ref="S471:S480" si="63">AVERAGE(F471:R471)</f>
        <v>36211.952579107608</v>
      </c>
      <c r="T471" s="413" t="s">
        <v>118</v>
      </c>
      <c r="U471" s="35"/>
      <c r="V471" s="35"/>
      <c r="W471" s="35"/>
    </row>
    <row r="472" spans="1:23" ht="15" customHeight="1">
      <c r="A472" s="142">
        <v>29</v>
      </c>
      <c r="B472" s="407" t="s">
        <v>480</v>
      </c>
      <c r="C472" s="14" t="s">
        <v>313</v>
      </c>
      <c r="D472" s="142"/>
      <c r="E472" s="142"/>
      <c r="F472" s="27">
        <f>-(SUMIF('Test Year'!$A:$A,"253nu",'Test Year'!G:G))/1000</f>
        <v>0</v>
      </c>
      <c r="G472" s="27">
        <f>-(SUMIF('Test Year'!$A:$A,"253nu",'Test Year'!H:H))/1000</f>
        <v>0</v>
      </c>
      <c r="H472" s="27">
        <f>-(SUMIF('Test Year'!$A:$A,"253nu",'Test Year'!I:I))/1000</f>
        <v>0</v>
      </c>
      <c r="I472" s="27">
        <f>-(SUMIF('Test Year'!$A:$A,"253nu",'Test Year'!J:J))/1000</f>
        <v>0</v>
      </c>
      <c r="J472" s="27">
        <f>-(SUMIF('Test Year'!$A:$A,"253nu",'Test Year'!K:K))/1000</f>
        <v>0</v>
      </c>
      <c r="K472" s="27">
        <f>-(SUMIF('Test Year'!$A:$A,"253nu",'Test Year'!L:L))/1000</f>
        <v>0</v>
      </c>
      <c r="L472" s="27">
        <f>-(SUMIF('Test Year'!$A:$A,"253nu",'Test Year'!M:M))/1000</f>
        <v>0</v>
      </c>
      <c r="M472" s="27">
        <f>-(SUMIF('Test Year'!$A:$A,"253nu",'Test Year'!N:N))/1000</f>
        <v>0</v>
      </c>
      <c r="N472" s="27">
        <f>-(SUMIF('Test Year'!$A:$A,"253nu",'Test Year'!O:O))/1000</f>
        <v>0</v>
      </c>
      <c r="O472" s="27">
        <f>-(SUMIF('Test Year'!$A:$A,"253nu",'Test Year'!P:P))/1000</f>
        <v>0</v>
      </c>
      <c r="P472" s="27">
        <f>-(SUMIF('Test Year'!$A:$A,"253nu",'Test Year'!Q:Q))/1000</f>
        <v>0</v>
      </c>
      <c r="Q472" s="27">
        <f>-(SUMIF('Test Year'!$A:$A,"253nu",'Test Year'!R:R))/1000</f>
        <v>0</v>
      </c>
      <c r="R472" s="27">
        <f>-(SUMIF('Test Year'!$A:$A,"253nu",'Test Year'!S:S))/1000</f>
        <v>0</v>
      </c>
      <c r="S472" s="391">
        <f t="shared" si="63"/>
        <v>0</v>
      </c>
      <c r="T472" s="413" t="s">
        <v>393</v>
      </c>
      <c r="U472" s="35"/>
      <c r="V472" s="35"/>
      <c r="W472" s="35"/>
    </row>
    <row r="473" spans="1:23" ht="15" customHeight="1">
      <c r="A473" s="142">
        <v>30</v>
      </c>
      <c r="B473" s="407" t="s">
        <v>481</v>
      </c>
      <c r="C473" s="14" t="s">
        <v>314</v>
      </c>
      <c r="D473" s="142"/>
      <c r="E473" s="142"/>
      <c r="F473" s="27">
        <f>(SUMIF('Test Year'!$A:$A,$B473,'Test Year'!G:G))/1000-F474</f>
        <v>103582.11704357975</v>
      </c>
      <c r="G473" s="27">
        <f>(SUMIF('Test Year'!$A:$A,$B473,'Test Year'!H:H))/1000-G474</f>
        <v>95496.182104954321</v>
      </c>
      <c r="H473" s="27">
        <f>(SUMIF('Test Year'!$A:$A,$B473,'Test Year'!I:I))/1000-H474</f>
        <v>91760.955589880759</v>
      </c>
      <c r="I473" s="27">
        <f>(SUMIF('Test Year'!$A:$A,$B473,'Test Year'!J:J))/1000-I474</f>
        <v>87534.473460141744</v>
      </c>
      <c r="J473" s="27">
        <f>(SUMIF('Test Year'!$A:$A,$B473,'Test Year'!K:K))/1000-J474</f>
        <v>84930.101205369516</v>
      </c>
      <c r="K473" s="27">
        <f>(SUMIF('Test Year'!$A:$A,$B473,'Test Year'!L:L))/1000-K474</f>
        <v>84488.131112736533</v>
      </c>
      <c r="L473" s="27">
        <f>(SUMIF('Test Year'!$A:$A,$B473,'Test Year'!M:M))/1000-L474</f>
        <v>88083.153611346148</v>
      </c>
      <c r="M473" s="27">
        <f>(SUMIF('Test Year'!$A:$A,$B473,'Test Year'!N:N))/1000-M474</f>
        <v>90096.150832770218</v>
      </c>
      <c r="N473" s="27">
        <f>(SUMIF('Test Year'!$A:$A,$B473,'Test Year'!O:O))/1000-N474</f>
        <v>90847.591271554586</v>
      </c>
      <c r="O473" s="27">
        <f>(SUMIF('Test Year'!$A:$A,$B473,'Test Year'!P:P))/1000-O474</f>
        <v>98927.045020829886</v>
      </c>
      <c r="P473" s="27">
        <f>(SUMIF('Test Year'!$A:$A,$B473,'Test Year'!Q:Q))/1000-P474</f>
        <v>101338.5363771753</v>
      </c>
      <c r="Q473" s="27">
        <f>(SUMIF('Test Year'!$A:$A,$B473,'Test Year'!R:R))/1000-Q474</f>
        <v>103454.9410322464</v>
      </c>
      <c r="R473" s="27">
        <f>(SUMIF('Test Year'!$A:$A,$B473,'Test Year'!S:S))/1000-R474</f>
        <v>95693.258131729905</v>
      </c>
      <c r="S473" s="391">
        <f t="shared" si="63"/>
        <v>93556.356676485768</v>
      </c>
      <c r="T473" s="413" t="s">
        <v>118</v>
      </c>
      <c r="U473" s="35"/>
      <c r="V473" s="35"/>
      <c r="W473" s="35"/>
    </row>
    <row r="474" spans="1:23" ht="15" customHeight="1">
      <c r="A474" s="142">
        <v>31</v>
      </c>
      <c r="B474" s="407" t="s">
        <v>481</v>
      </c>
      <c r="C474" s="14" t="s">
        <v>482</v>
      </c>
      <c r="D474" s="142"/>
      <c r="E474" s="142"/>
      <c r="F474" s="27">
        <f>(SUMIF('Test Year'!$C:$C,"2540610",'Test Year'!G:G))/1000</f>
        <v>440307.18586000003</v>
      </c>
      <c r="G474" s="27">
        <f>(SUMIF('Test Year'!$C:$C,"2540610",'Test Year'!H:H))/1000</f>
        <v>437080.47891000001</v>
      </c>
      <c r="H474" s="27">
        <f>(SUMIF('Test Year'!$C:$C,"2540610",'Test Year'!I:I))/1000</f>
        <v>438133.01233</v>
      </c>
      <c r="I474" s="27">
        <f>(SUMIF('Test Year'!$C:$C,"2540610",'Test Year'!J:J))/1000</f>
        <v>440690.19731000002</v>
      </c>
      <c r="J474" s="27">
        <f>(SUMIF('Test Year'!$C:$C,"2540610",'Test Year'!K:K))/1000</f>
        <v>444642.19554000004</v>
      </c>
      <c r="K474" s="27">
        <f>(SUMIF('Test Year'!$C:$C,"2540610",'Test Year'!L:L))/1000</f>
        <v>441319.70837000001</v>
      </c>
      <c r="L474" s="27">
        <f>(SUMIF('Test Year'!$C:$C,"2540610",'Test Year'!M:M))/1000</f>
        <v>437814.46724999999</v>
      </c>
      <c r="M474" s="27">
        <f>(SUMIF('Test Year'!$C:$C,"2540610",'Test Year'!N:N))/1000</f>
        <v>434491.98012999998</v>
      </c>
      <c r="N474" s="27">
        <f>(SUMIF('Test Year'!$C:$C,"2540610",'Test Year'!O:O))/1000</f>
        <v>431169.49288999999</v>
      </c>
      <c r="O474" s="27">
        <f>(SUMIF('Test Year'!$C:$C,"2540610",'Test Year'!P:P))/1000</f>
        <v>414317.53959</v>
      </c>
      <c r="P474" s="27">
        <f>(SUMIF('Test Year'!$C:$C,"2540610",'Test Year'!Q:Q))/1000</f>
        <v>410995.05232000002</v>
      </c>
      <c r="Q474" s="27">
        <f>(SUMIF('Test Year'!$C:$C,"2540610",'Test Year'!R:R))/1000</f>
        <v>407672.56520999997</v>
      </c>
      <c r="R474" s="27">
        <f>(SUMIF('Test Year'!$C:$C,"2540610",'Test Year'!S:S))/1000</f>
        <v>412649.03360000002</v>
      </c>
      <c r="S474" s="391">
        <f t="shared" si="63"/>
        <v>430098.68533153838</v>
      </c>
      <c r="T474" s="413" t="s">
        <v>421</v>
      </c>
      <c r="U474" s="35"/>
      <c r="V474" s="35"/>
      <c r="W474" s="35"/>
    </row>
    <row r="475" spans="1:23" ht="15" customHeight="1">
      <c r="A475" s="142">
        <v>32</v>
      </c>
      <c r="B475" s="407" t="s">
        <v>483</v>
      </c>
      <c r="C475" s="14" t="s">
        <v>484</v>
      </c>
      <c r="D475" s="142"/>
      <c r="E475" s="142"/>
      <c r="F475" s="27">
        <f>(SUMIF('Test Year'!$A:$A,$B475,'Test Year'!G:G))/1000</f>
        <v>234686.52019000001</v>
      </c>
      <c r="G475" s="27">
        <f>(SUMIF('Test Year'!$A:$A,$B475,'Test Year'!H:H))/1000</f>
        <v>233862.15002999999</v>
      </c>
      <c r="H475" s="27">
        <f>(SUMIF('Test Year'!$A:$A,$B475,'Test Year'!I:I))/1000</f>
        <v>248250.47985</v>
      </c>
      <c r="I475" s="27">
        <f>(SUMIF('Test Year'!$A:$A,$B475,'Test Year'!J:J))/1000</f>
        <v>247299.33769999997</v>
      </c>
      <c r="J475" s="27">
        <f>(SUMIF('Test Year'!$A:$A,$B475,'Test Year'!K:K))/1000</f>
        <v>271995.26455000002</v>
      </c>
      <c r="K475" s="27">
        <f>(SUMIF('Test Year'!$A:$A,$B475,'Test Year'!L:L))/1000</f>
        <v>270830.39573000005</v>
      </c>
      <c r="L475" s="27">
        <f>(SUMIF('Test Year'!$A:$A,$B475,'Test Year'!M:M))/1000</f>
        <v>269665.52692999999</v>
      </c>
      <c r="M475" s="27">
        <f>(SUMIF('Test Year'!$A:$A,$B475,'Test Year'!N:N))/1000</f>
        <v>268500.65813</v>
      </c>
      <c r="N475" s="27">
        <f>(SUMIF('Test Year'!$A:$A,$B475,'Test Year'!O:O))/1000</f>
        <v>267335.78931000002</v>
      </c>
      <c r="O475" s="27">
        <f>(SUMIF('Test Year'!$A:$A,$B475,'Test Year'!P:P))/1000</f>
        <v>266170.92050999997</v>
      </c>
      <c r="P475" s="27">
        <f>(SUMIF('Test Year'!$A:$A,$B475,'Test Year'!Q:Q))/1000</f>
        <v>265006.05171000003</v>
      </c>
      <c r="Q475" s="27">
        <f>(SUMIF('Test Year'!$A:$A,$B475,'Test Year'!R:R))/1000</f>
        <v>263841.18289</v>
      </c>
      <c r="R475" s="27">
        <f>(SUMIF('Test Year'!$A:$A,$B475,'Test Year'!S:S))/1000</f>
        <v>264120.66729000001</v>
      </c>
      <c r="S475" s="391">
        <f t="shared" si="63"/>
        <v>259351.14960153846</v>
      </c>
      <c r="T475" s="413" t="s">
        <v>421</v>
      </c>
      <c r="U475" s="35"/>
      <c r="V475" s="35"/>
      <c r="W475" s="35"/>
    </row>
    <row r="476" spans="1:23" ht="15" customHeight="1">
      <c r="A476" s="142">
        <v>33</v>
      </c>
      <c r="B476" s="407" t="s">
        <v>485</v>
      </c>
      <c r="C476" s="14" t="s">
        <v>486</v>
      </c>
      <c r="D476" s="142"/>
      <c r="E476" s="142"/>
      <c r="F476" s="27">
        <f>(SUMIF('Test Year'!$A:$A,$B476,'Test Year'!G:G))/1000</f>
        <v>-7.8761200000000002</v>
      </c>
      <c r="G476" s="27">
        <f>(SUMIF('Test Year'!$A:$A,$B476,'Test Year'!H:H))/1000</f>
        <v>-7.8761200000000002</v>
      </c>
      <c r="H476" s="27">
        <f>(SUMIF('Test Year'!$A:$A,$B476,'Test Year'!I:I))/1000</f>
        <v>-7.8761200000000002</v>
      </c>
      <c r="I476" s="27">
        <f>(SUMIF('Test Year'!$A:$A,$B476,'Test Year'!J:J))/1000</f>
        <v>-7.8761200000000002</v>
      </c>
      <c r="J476" s="27">
        <f>(SUMIF('Test Year'!$A:$A,$B476,'Test Year'!K:K))/1000</f>
        <v>-7.8761200000000002</v>
      </c>
      <c r="K476" s="27">
        <f>(SUMIF('Test Year'!$A:$A,$B476,'Test Year'!L:L))/1000</f>
        <v>-7.8761200000000002</v>
      </c>
      <c r="L476" s="27">
        <f>(SUMIF('Test Year'!$A:$A,$B476,'Test Year'!M:M))/1000</f>
        <v>-7.8761200000000002</v>
      </c>
      <c r="M476" s="27">
        <f>(SUMIF('Test Year'!$A:$A,$B476,'Test Year'!N:N))/1000</f>
        <v>-7.8761200000000002</v>
      </c>
      <c r="N476" s="27">
        <f>(SUMIF('Test Year'!$A:$A,$B476,'Test Year'!O:O))/1000</f>
        <v>-7.8761200000000002</v>
      </c>
      <c r="O476" s="27">
        <f>(SUMIF('Test Year'!$A:$A,$B476,'Test Year'!P:P))/1000</f>
        <v>-7.8761200000000002</v>
      </c>
      <c r="P476" s="27">
        <f>(SUMIF('Test Year'!$A:$A,$B476,'Test Year'!Q:Q))/1000</f>
        <v>-7.8761200000000002</v>
      </c>
      <c r="Q476" s="27">
        <f>(SUMIF('Test Year'!$A:$A,$B476,'Test Year'!R:R))/1000</f>
        <v>-7.8761200000000002</v>
      </c>
      <c r="R476" s="27">
        <f>(SUMIF('Test Year'!$A:$A,$B476,'Test Year'!S:S))/1000</f>
        <v>-7.8761200000000002</v>
      </c>
      <c r="S476" s="391">
        <f t="shared" si="63"/>
        <v>-7.8761200000000002</v>
      </c>
      <c r="T476" s="413" t="s">
        <v>118</v>
      </c>
      <c r="U476" s="35"/>
      <c r="V476" s="35"/>
      <c r="W476" s="35"/>
    </row>
    <row r="477" spans="1:23" ht="15" customHeight="1">
      <c r="A477" s="142">
        <v>34</v>
      </c>
      <c r="B477" s="407" t="s">
        <v>487</v>
      </c>
      <c r="C477" s="14" t="s">
        <v>488</v>
      </c>
      <c r="D477" s="142"/>
      <c r="E477" s="142"/>
      <c r="F477" s="27">
        <f>(SUMIF('Test Year'!$A:$A,$B477,'Test Year'!G:G))/1000</f>
        <v>0</v>
      </c>
      <c r="G477" s="27">
        <f>(SUMIF('Test Year'!$A:$A,$B477,'Test Year'!H:H))/1000</f>
        <v>0</v>
      </c>
      <c r="H477" s="27">
        <f>(SUMIF('Test Year'!$A:$A,$B477,'Test Year'!I:I))/1000</f>
        <v>0</v>
      </c>
      <c r="I477" s="27">
        <f>(SUMIF('Test Year'!$A:$A,$B477,'Test Year'!J:J))/1000</f>
        <v>0</v>
      </c>
      <c r="J477" s="27">
        <f>(SUMIF('Test Year'!$A:$A,$B477,'Test Year'!K:K))/1000</f>
        <v>0</v>
      </c>
      <c r="K477" s="27">
        <f>(SUMIF('Test Year'!$A:$A,$B477,'Test Year'!L:L))/1000</f>
        <v>0</v>
      </c>
      <c r="L477" s="27">
        <f>(SUMIF('Test Year'!$A:$A,$B477,'Test Year'!M:M))/1000</f>
        <v>0</v>
      </c>
      <c r="M477" s="27">
        <f>(SUMIF('Test Year'!$A:$A,$B477,'Test Year'!N:N))/1000</f>
        <v>0</v>
      </c>
      <c r="N477" s="27">
        <f>(SUMIF('Test Year'!$A:$A,$B477,'Test Year'!O:O))/1000</f>
        <v>0</v>
      </c>
      <c r="O477" s="27">
        <f>(SUMIF('Test Year'!$A:$A,$B477,'Test Year'!P:P))/1000</f>
        <v>0</v>
      </c>
      <c r="P477" s="27">
        <f>(SUMIF('Test Year'!$A:$A,$B477,'Test Year'!Q:Q))/1000</f>
        <v>0</v>
      </c>
      <c r="Q477" s="27">
        <f>(SUMIF('Test Year'!$A:$A,$B477,'Test Year'!R:R))/1000</f>
        <v>0</v>
      </c>
      <c r="R477" s="27">
        <f>(SUMIF('Test Year'!$A:$A,$B477,'Test Year'!S:S))/1000</f>
        <v>0</v>
      </c>
      <c r="S477" s="391">
        <f t="shared" si="63"/>
        <v>0</v>
      </c>
      <c r="T477" s="413" t="s">
        <v>118</v>
      </c>
      <c r="U477" s="35"/>
      <c r="V477" s="35"/>
      <c r="W477" s="35"/>
    </row>
    <row r="478" spans="1:23" ht="15" customHeight="1">
      <c r="A478" s="142">
        <v>35</v>
      </c>
      <c r="B478" s="407" t="s">
        <v>489</v>
      </c>
      <c r="C478" s="14" t="s">
        <v>490</v>
      </c>
      <c r="D478" s="142"/>
      <c r="E478" s="142"/>
      <c r="F478" s="27">
        <f>(SUMIF('Test Year'!$A:$A,$B478,'Test Year'!G:G))/1000</f>
        <v>53127.871189999998</v>
      </c>
      <c r="G478" s="27">
        <f>(SUMIF('Test Year'!$A:$A,$B478,'Test Year'!H:H))/1000</f>
        <v>52922.970030000004</v>
      </c>
      <c r="H478" s="27">
        <f>(SUMIF('Test Year'!$A:$A,$B478,'Test Year'!I:I))/1000</f>
        <v>52718.068880000006</v>
      </c>
      <c r="I478" s="27">
        <f>(SUMIF('Test Year'!$A:$A,$B478,'Test Year'!J:J))/1000</f>
        <v>52513.167719999998</v>
      </c>
      <c r="J478" s="27">
        <f>(SUMIF('Test Year'!$A:$A,$B478,'Test Year'!K:K))/1000</f>
        <v>52308.266579999996</v>
      </c>
      <c r="K478" s="27">
        <f>(SUMIF('Test Year'!$A:$A,$B478,'Test Year'!L:L))/1000</f>
        <v>52103.365420000002</v>
      </c>
      <c r="L478" s="27">
        <f>(SUMIF('Test Year'!$A:$A,$B478,'Test Year'!M:M))/1000</f>
        <v>51898.464270000004</v>
      </c>
      <c r="M478" s="27">
        <f>(SUMIF('Test Year'!$A:$A,$B478,'Test Year'!N:N))/1000</f>
        <v>51693.563110000003</v>
      </c>
      <c r="N478" s="27">
        <f>(SUMIF('Test Year'!$A:$A,$B478,'Test Year'!O:O))/1000</f>
        <v>51488.661959999998</v>
      </c>
      <c r="O478" s="27">
        <f>(SUMIF('Test Year'!$A:$A,$B478,'Test Year'!P:P))/1000</f>
        <v>51283.760799999996</v>
      </c>
      <c r="P478" s="27">
        <f>(SUMIF('Test Year'!$A:$A,$B478,'Test Year'!Q:Q))/1000</f>
        <v>51078.859659999995</v>
      </c>
      <c r="Q478" s="27">
        <f>(SUMIF('Test Year'!$A:$A,$B478,'Test Year'!R:R))/1000</f>
        <v>50873.958500000001</v>
      </c>
      <c r="R478" s="27">
        <f>(SUMIF('Test Year'!$A:$A,$B478,'Test Year'!S:S))/1000</f>
        <v>50669.057350000003</v>
      </c>
      <c r="S478" s="391">
        <f t="shared" si="63"/>
        <v>51898.464266923067</v>
      </c>
      <c r="T478" s="413" t="s">
        <v>421</v>
      </c>
      <c r="U478" s="35"/>
      <c r="V478" s="35"/>
      <c r="W478" s="35"/>
    </row>
    <row r="479" spans="1:23" ht="15" customHeight="1">
      <c r="A479" s="142">
        <v>36</v>
      </c>
      <c r="B479" s="407" t="s">
        <v>491</v>
      </c>
      <c r="C479" s="14" t="s">
        <v>490</v>
      </c>
      <c r="D479" s="142"/>
      <c r="E479" s="142"/>
      <c r="F479" s="27">
        <f>(SUMIF('Test Year'!$A:$A,$B479,'Test Year'!G:G))/1000</f>
        <v>1581777.67221</v>
      </c>
      <c r="G479" s="27">
        <f>(SUMIF('Test Year'!$A:$A,$B479,'Test Year'!H:H))/1000</f>
        <v>1588611.27308</v>
      </c>
      <c r="H479" s="27">
        <f>(SUMIF('Test Year'!$A:$A,$B479,'Test Year'!I:I))/1000</f>
        <v>1597454.60329</v>
      </c>
      <c r="I479" s="27">
        <f>(SUMIF('Test Year'!$A:$A,$B479,'Test Year'!J:J))/1000</f>
        <v>1600086.35675</v>
      </c>
      <c r="J479" s="27">
        <f>(SUMIF('Test Year'!$A:$A,$B479,'Test Year'!K:K))/1000</f>
        <v>1610383.8557899999</v>
      </c>
      <c r="K479" s="27">
        <f>(SUMIF('Test Year'!$A:$A,$B479,'Test Year'!L:L))/1000</f>
        <v>1617254.7098699999</v>
      </c>
      <c r="L479" s="27">
        <f>(SUMIF('Test Year'!$A:$A,$B479,'Test Year'!M:M))/1000</f>
        <v>1624031.08027</v>
      </c>
      <c r="M479" s="27">
        <f>(SUMIF('Test Year'!$A:$A,$B479,'Test Year'!N:N))/1000</f>
        <v>1630565.5366700001</v>
      </c>
      <c r="N479" s="27">
        <f>(SUMIF('Test Year'!$A:$A,$B479,'Test Year'!O:O))/1000</f>
        <v>1637209.1066500002</v>
      </c>
      <c r="O479" s="27">
        <f>(SUMIF('Test Year'!$A:$A,$B479,'Test Year'!P:P))/1000</f>
        <v>1653946.4476099999</v>
      </c>
      <c r="P479" s="27">
        <f>(SUMIF('Test Year'!$A:$A,$B479,'Test Year'!Q:Q))/1000</f>
        <v>1660685.1313800002</v>
      </c>
      <c r="Q479" s="27">
        <f>(SUMIF('Test Year'!$A:$A,$B479,'Test Year'!R:R))/1000</f>
        <v>1667304.7337200001</v>
      </c>
      <c r="R479" s="27">
        <f>(SUMIF('Test Year'!$A:$A,$B479,'Test Year'!S:S))/1000</f>
        <v>1668101.44719</v>
      </c>
      <c r="S479" s="391">
        <f t="shared" si="63"/>
        <v>1625954.7657292311</v>
      </c>
      <c r="T479" s="413" t="s">
        <v>421</v>
      </c>
      <c r="U479" s="35"/>
      <c r="V479" s="35"/>
      <c r="W479" s="35"/>
    </row>
    <row r="480" spans="1:23" ht="15" customHeight="1">
      <c r="A480" s="142">
        <v>37</v>
      </c>
      <c r="B480" s="407" t="s">
        <v>492</v>
      </c>
      <c r="C480" s="14" t="s">
        <v>490</v>
      </c>
      <c r="D480" s="142"/>
      <c r="E480" s="142"/>
      <c r="F480" s="32">
        <f>(SUMIF('Test Year'!$A:$A,$B480,'Test Year'!G:G))/1000</f>
        <v>47507.059780000003</v>
      </c>
      <c r="G480" s="32">
        <f>(SUMIF('Test Year'!$A:$A,$B480,'Test Year'!H:H))/1000</f>
        <v>49607.35757</v>
      </c>
      <c r="H480" s="32">
        <f>(SUMIF('Test Year'!$A:$A,$B480,'Test Year'!I:I))/1000</f>
        <v>52347.972820000003</v>
      </c>
      <c r="I480" s="32">
        <f>(SUMIF('Test Year'!$A:$A,$B480,'Test Year'!J:J))/1000</f>
        <v>64527.85744</v>
      </c>
      <c r="J480" s="32">
        <f>(SUMIF('Test Year'!$A:$A,$B480,'Test Year'!K:K))/1000</f>
        <v>68028.297950000007</v>
      </c>
      <c r="K480" s="32">
        <f>(SUMIF('Test Year'!$A:$A,$B480,'Test Year'!L:L))/1000</f>
        <v>69868.32346</v>
      </c>
      <c r="L480" s="32">
        <f>(SUMIF('Test Year'!$A:$A,$B480,'Test Year'!M:M))/1000</f>
        <v>70073.396989999994</v>
      </c>
      <c r="M480" s="32">
        <f>(SUMIF('Test Year'!$A:$A,$B480,'Test Year'!N:N))/1000</f>
        <v>71316.952839999998</v>
      </c>
      <c r="N480" s="32">
        <f>(SUMIF('Test Year'!$A:$A,$B480,'Test Year'!O:O))/1000</f>
        <v>72575.927599999995</v>
      </c>
      <c r="O480" s="32">
        <f>(SUMIF('Test Year'!$A:$A,$B480,'Test Year'!P:P))/1000</f>
        <v>66313.700159999993</v>
      </c>
      <c r="P480" s="32">
        <f>(SUMIF('Test Year'!$A:$A,$B480,'Test Year'!Q:Q))/1000</f>
        <v>67875.643639999995</v>
      </c>
      <c r="Q480" s="32">
        <f>(SUMIF('Test Year'!$A:$A,$B480,'Test Year'!R:R))/1000</f>
        <v>70030.560069999992</v>
      </c>
      <c r="R480" s="32">
        <f>(SUMIF('Test Year'!$A:$A,$B480,'Test Year'!S:S))/1000</f>
        <v>75368.406760000013</v>
      </c>
      <c r="S480" s="415">
        <f t="shared" si="63"/>
        <v>65033.958236923077</v>
      </c>
      <c r="T480" s="413" t="s">
        <v>421</v>
      </c>
      <c r="U480" s="35"/>
      <c r="V480" s="35"/>
      <c r="W480" s="35"/>
    </row>
    <row r="481" spans="1:23" ht="15" customHeight="1">
      <c r="A481" s="142">
        <v>38</v>
      </c>
      <c r="B481" s="35"/>
      <c r="C481" s="14"/>
      <c r="D481" s="142" t="s">
        <v>479</v>
      </c>
      <c r="E481" s="142"/>
      <c r="F481" s="163">
        <f>SUM(F471:F480)</f>
        <v>2499076.4529357217</v>
      </c>
      <c r="G481" s="163">
        <f t="shared" ref="G481:S481" si="64">SUM(G471:G480)</f>
        <v>2506306.0242784554</v>
      </c>
      <c r="H481" s="163">
        <f t="shared" si="64"/>
        <v>2531254.6807187023</v>
      </c>
      <c r="I481" s="163">
        <f t="shared" si="64"/>
        <v>2540103.3766393168</v>
      </c>
      <c r="J481" s="163">
        <f t="shared" si="64"/>
        <v>2577918.6416741121</v>
      </c>
      <c r="K481" s="163">
        <f t="shared" si="64"/>
        <v>2582331.5850323299</v>
      </c>
      <c r="L481" s="163">
        <f t="shared" si="64"/>
        <v>2584206.5280971671</v>
      </c>
      <c r="M481" s="163">
        <f t="shared" si="64"/>
        <v>2586084.2884908095</v>
      </c>
      <c r="N481" s="163">
        <f t="shared" si="64"/>
        <v>2586141.8646330154</v>
      </c>
      <c r="O481" s="163">
        <f t="shared" si="64"/>
        <v>2577515.65169342</v>
      </c>
      <c r="P481" s="163">
        <f t="shared" si="64"/>
        <v>2576239.2597514163</v>
      </c>
      <c r="Q481" s="163">
        <f t="shared" si="64"/>
        <v>2577716.1729089557</v>
      </c>
      <c r="R481" s="163">
        <f t="shared" si="64"/>
        <v>2582372.4050692911</v>
      </c>
      <c r="S481" s="416">
        <f t="shared" si="64"/>
        <v>2562097.4563017474</v>
      </c>
      <c r="T481" s="417"/>
      <c r="U481" s="35"/>
      <c r="V481" s="35"/>
      <c r="W481" s="35"/>
    </row>
    <row r="482" spans="1:23" ht="15" customHeight="1">
      <c r="A482" s="142">
        <v>39</v>
      </c>
      <c r="B482" s="35"/>
      <c r="C482" s="14"/>
      <c r="D482" s="142"/>
      <c r="E482" s="142"/>
      <c r="F482" s="27"/>
      <c r="G482" s="27"/>
      <c r="H482" s="27"/>
      <c r="I482" s="27"/>
      <c r="J482" s="27"/>
      <c r="K482" s="27"/>
      <c r="L482" s="27"/>
      <c r="M482" s="27"/>
      <c r="N482" s="27"/>
      <c r="O482" s="27"/>
      <c r="P482" s="27"/>
      <c r="Q482" s="27"/>
      <c r="R482" s="27"/>
      <c r="S482" s="105"/>
      <c r="T482" s="334"/>
    </row>
    <row r="483" spans="1:23" ht="15" customHeight="1" thickBot="1">
      <c r="A483" s="142">
        <v>40</v>
      </c>
      <c r="B483" s="35"/>
      <c r="C483" s="14" t="s">
        <v>493</v>
      </c>
      <c r="D483" s="142"/>
      <c r="E483" s="142"/>
      <c r="F483" s="164">
        <f>F410+F417+F452+F468+F481</f>
        <v>13050021.784111336</v>
      </c>
      <c r="G483" s="164">
        <f t="shared" ref="G483:R483" si="65">G410+G417+G452+G468+G481</f>
        <v>13175694.211948149</v>
      </c>
      <c r="H483" s="164">
        <f t="shared" si="65"/>
        <v>13283354.576640099</v>
      </c>
      <c r="I483" s="164">
        <f t="shared" si="65"/>
        <v>13384643.651824947</v>
      </c>
      <c r="J483" s="164">
        <f t="shared" si="65"/>
        <v>13534249.080487091</v>
      </c>
      <c r="K483" s="164">
        <f t="shared" si="65"/>
        <v>13651652.946849696</v>
      </c>
      <c r="L483" s="164">
        <f t="shared" si="65"/>
        <v>13837397.41628956</v>
      </c>
      <c r="M483" s="164">
        <f t="shared" si="65"/>
        <v>14004559.986957973</v>
      </c>
      <c r="N483" s="164">
        <f t="shared" si="65"/>
        <v>14052331.270406116</v>
      </c>
      <c r="O483" s="164">
        <f t="shared" si="65"/>
        <v>14114049.317109814</v>
      </c>
      <c r="P483" s="164">
        <f t="shared" si="65"/>
        <v>14134733.57812692</v>
      </c>
      <c r="Q483" s="164">
        <f t="shared" si="65"/>
        <v>14143674.27601051</v>
      </c>
      <c r="R483" s="164">
        <f t="shared" si="65"/>
        <v>14220035.58657613</v>
      </c>
      <c r="S483" s="418">
        <f>S410+S417+S452+S468+S481</f>
        <v>13737415.206410643</v>
      </c>
      <c r="T483" s="334"/>
    </row>
    <row r="484" spans="1:23" ht="15" customHeight="1" thickTop="1">
      <c r="A484" s="142">
        <v>41</v>
      </c>
      <c r="B484" s="142"/>
      <c r="C484" s="142"/>
      <c r="D484" s="142"/>
      <c r="E484" s="142"/>
      <c r="F484" s="142"/>
      <c r="G484" s="142"/>
      <c r="H484" s="142"/>
      <c r="I484" s="142"/>
      <c r="J484" s="142"/>
      <c r="K484" s="142"/>
      <c r="L484" s="142"/>
      <c r="M484" s="142"/>
      <c r="N484" s="142"/>
      <c r="O484" s="142"/>
      <c r="P484" s="142"/>
      <c r="Q484" s="142"/>
      <c r="R484" s="142"/>
      <c r="S484" s="142"/>
      <c r="T484" s="142"/>
    </row>
    <row r="485" spans="1:23" ht="15" customHeight="1">
      <c r="A485" s="142">
        <v>42</v>
      </c>
      <c r="B485" s="142" t="s">
        <v>417</v>
      </c>
      <c r="C485" s="4"/>
      <c r="D485" s="4"/>
    </row>
    <row r="486" spans="1:23" ht="15" customHeight="1" thickBot="1">
      <c r="A486" s="145">
        <v>43</v>
      </c>
      <c r="B486" s="145" t="s">
        <v>67</v>
      </c>
      <c r="C486" s="1"/>
      <c r="D486" s="1"/>
      <c r="E486" s="1"/>
      <c r="F486" s="165"/>
      <c r="G486" s="165"/>
      <c r="H486" s="165"/>
      <c r="I486" s="165"/>
      <c r="J486" s="165"/>
      <c r="K486" s="165"/>
      <c r="L486" s="165"/>
      <c r="M486" s="165"/>
      <c r="N486" s="165"/>
      <c r="O486" s="165"/>
      <c r="P486" s="165"/>
      <c r="Q486" s="165"/>
      <c r="R486" s="165"/>
      <c r="S486" s="165"/>
      <c r="T486" s="100"/>
    </row>
    <row r="488" spans="1:23" ht="15" customHeight="1">
      <c r="B488" s="171" t="s">
        <v>507</v>
      </c>
      <c r="C488" s="172" t="s">
        <v>508</v>
      </c>
      <c r="E488" s="9" t="s">
        <v>509</v>
      </c>
      <c r="F488" s="56">
        <f>F401-('Test Year'!G1)/1000</f>
        <v>0</v>
      </c>
      <c r="G488" s="56">
        <f>G401-('Test Year'!H1)/1000</f>
        <v>0</v>
      </c>
      <c r="H488" s="56">
        <f>H401-('Test Year'!I1)/1000</f>
        <v>0</v>
      </c>
      <c r="I488" s="56">
        <f>I401-('Test Year'!J1)/1000</f>
        <v>0</v>
      </c>
      <c r="J488" s="56">
        <f>J401-('Test Year'!K1)/1000</f>
        <v>0</v>
      </c>
      <c r="K488" s="56">
        <f>K401-('Test Year'!L1)/1000</f>
        <v>0</v>
      </c>
      <c r="L488" s="56">
        <f>L401-('Test Year'!M1)/1000</f>
        <v>0</v>
      </c>
      <c r="M488" s="56">
        <f>M401-('Test Year'!N1)/1000</f>
        <v>0</v>
      </c>
      <c r="N488" s="56">
        <f>N401-('Test Year'!O1)/1000</f>
        <v>0</v>
      </c>
      <c r="O488" s="56">
        <f>O401-('Test Year'!P1)/1000</f>
        <v>0</v>
      </c>
      <c r="P488" s="56">
        <f>P401-('Test Year'!Q1)/1000</f>
        <v>0</v>
      </c>
      <c r="Q488" s="56">
        <f>Q401-('Test Year'!R1)/1000</f>
        <v>0</v>
      </c>
      <c r="R488" s="56">
        <f>R401-('Test Year'!S1)/1000</f>
        <v>0</v>
      </c>
      <c r="S488" s="56">
        <f>S401-('Test Year'!U1)/1000</f>
        <v>0</v>
      </c>
    </row>
    <row r="489" spans="1:23" ht="15" customHeight="1">
      <c r="E489" s="9" t="s">
        <v>510</v>
      </c>
      <c r="F489" s="56">
        <f>F483-('Test Year'!G2)/1000</f>
        <v>0</v>
      </c>
      <c r="G489" s="56">
        <f>G483-('Test Year'!H2)/1000</f>
        <v>0</v>
      </c>
      <c r="H489" s="56">
        <f>H483-('Test Year'!I2)/1000</f>
        <v>0</v>
      </c>
      <c r="I489" s="56">
        <f>I483-('Test Year'!J2)/1000</f>
        <v>0</v>
      </c>
      <c r="J489" s="56">
        <f>J483-('Test Year'!K2)/1000</f>
        <v>0</v>
      </c>
      <c r="K489" s="56">
        <f>K483-('Test Year'!L2)/1000</f>
        <v>0</v>
      </c>
      <c r="L489" s="56">
        <f>L483-('Test Year'!M2)/1000</f>
        <v>0</v>
      </c>
      <c r="M489" s="56">
        <f>M483-('Test Year'!N2)/1000</f>
        <v>0</v>
      </c>
      <c r="N489" s="56">
        <f>N483-('Test Year'!O2)/1000</f>
        <v>0</v>
      </c>
      <c r="O489" s="56">
        <f>O483-('Test Year'!P2)/1000</f>
        <v>0</v>
      </c>
      <c r="P489" s="56">
        <f>P483-('Test Year'!Q2)/1000</f>
        <v>0</v>
      </c>
      <c r="Q489" s="56">
        <f>Q483-('Test Year'!R2)/1000</f>
        <v>0</v>
      </c>
      <c r="R489" s="56">
        <f>R483-('Test Year'!S2)/1000</f>
        <v>0</v>
      </c>
      <c r="S489" s="56">
        <f>S483-('Test Year'!U2)/1000</f>
        <v>0</v>
      </c>
    </row>
    <row r="490" spans="1:23" ht="15" customHeight="1">
      <c r="E490" s="9"/>
      <c r="F490" s="4"/>
      <c r="G490" s="4"/>
      <c r="H490" s="4"/>
      <c r="I490" s="4"/>
      <c r="J490" s="4"/>
      <c r="K490" s="4"/>
      <c r="L490" s="4"/>
      <c r="M490" s="4"/>
      <c r="N490" s="4"/>
      <c r="O490" s="4"/>
      <c r="P490" s="4"/>
      <c r="Q490" s="4"/>
      <c r="R490" s="4"/>
      <c r="S490" s="4"/>
    </row>
    <row r="491" spans="1:23" ht="15" customHeight="1">
      <c r="E491" s="9" t="s">
        <v>501</v>
      </c>
      <c r="F491" s="173">
        <f>F401-F483</f>
        <v>0</v>
      </c>
      <c r="G491" s="173">
        <f t="shared" ref="G491:S491" si="66">G401-G483</f>
        <v>0</v>
      </c>
      <c r="H491" s="173">
        <f t="shared" si="66"/>
        <v>0</v>
      </c>
      <c r="I491" s="173">
        <f t="shared" si="66"/>
        <v>0</v>
      </c>
      <c r="J491" s="173">
        <f t="shared" si="66"/>
        <v>0</v>
      </c>
      <c r="K491" s="173">
        <f t="shared" si="66"/>
        <v>0</v>
      </c>
      <c r="L491" s="173">
        <f t="shared" si="66"/>
        <v>0</v>
      </c>
      <c r="M491" s="173">
        <f t="shared" si="66"/>
        <v>0</v>
      </c>
      <c r="N491" s="173">
        <f t="shared" si="66"/>
        <v>0</v>
      </c>
      <c r="O491" s="173">
        <f t="shared" si="66"/>
        <v>0</v>
      </c>
      <c r="P491" s="173">
        <f t="shared" si="66"/>
        <v>0</v>
      </c>
      <c r="Q491" s="173">
        <f t="shared" si="66"/>
        <v>0</v>
      </c>
      <c r="R491" s="173">
        <f t="shared" si="66"/>
        <v>0</v>
      </c>
      <c r="S491" s="173">
        <f t="shared" si="66"/>
        <v>0</v>
      </c>
    </row>
  </sheetData>
  <printOptions horizontalCentered="1" verticalCentered="1"/>
  <pageMargins left="0.7" right="0.7" top="0.75" bottom="0.75" header="0.3" footer="0.3"/>
  <pageSetup paperSize="9" scale="57" fitToHeight="0" orientation="landscape" r:id="rId1"/>
  <rowBreaks count="7" manualBreakCount="7">
    <brk id="54" max="19" man="1"/>
    <brk id="108" max="19" man="1"/>
    <brk id="217" max="19" man="1"/>
    <brk id="271" max="19" man="1"/>
    <brk id="325" max="16383" man="1"/>
    <brk id="379" max="16383" man="1"/>
    <brk id="433" max="16383" man="1"/>
  </rowBreaks>
  <colBreaks count="1" manualBreakCount="1">
    <brk id="20" max="1048575" man="1"/>
  </colBreaks>
  <customProperties>
    <customPr name="EpmWorksheetKeyString_GUID" r:id="rId2"/>
  </customProperties>
  <ignoredErrors>
    <ignoredError sqref="B337:B368 B391:B416 B445:B480" numberStoredAsText="1"/>
  </ignoredError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90B7D-2AD5-483E-9BBC-C0ED816D2B6A}">
  <sheetPr>
    <tabColor rgb="FFFFE8B9"/>
    <pageSetUpPr fitToPage="1"/>
  </sheetPr>
  <dimension ref="A1:W168"/>
  <sheetViews>
    <sheetView topLeftCell="A106" zoomScaleNormal="100" zoomScaleSheetLayoutView="100" workbookViewId="0">
      <selection activeCell="L121" sqref="L121"/>
    </sheetView>
  </sheetViews>
  <sheetFormatPr defaultColWidth="9.109375" defaultRowHeight="15.9" customHeight="1"/>
  <cols>
    <col min="1" max="1" width="4.6640625" style="81" customWidth="1"/>
    <col min="2" max="2" width="11.33203125" style="81" customWidth="1"/>
    <col min="3" max="9" width="10.6640625" style="81" customWidth="1"/>
    <col min="10" max="10" width="14.44140625" style="81" customWidth="1"/>
    <col min="11" max="11" width="10.6640625" style="300" customWidth="1"/>
    <col min="12" max="12" width="14.44140625" style="81" customWidth="1"/>
    <col min="13" max="13" width="10.44140625" style="81" bestFit="1" customWidth="1"/>
    <col min="14" max="15" width="8.88671875" style="81" customWidth="1"/>
    <col min="16" max="18" width="10.6640625" style="81" customWidth="1"/>
    <col min="19" max="19" width="8.88671875" style="81" customWidth="1"/>
    <col min="20" max="20" width="11.109375" style="81" customWidth="1"/>
    <col min="21" max="21" width="8.109375" style="81" customWidth="1"/>
    <col min="22" max="22" width="13.109375" style="81" customWidth="1"/>
    <col min="23" max="23" width="12.5546875" style="81" customWidth="1"/>
    <col min="24" max="16384" width="9.109375" style="81"/>
  </cols>
  <sheetData>
    <row r="1" spans="1:22" ht="15.9" customHeight="1" thickBot="1">
      <c r="A1" s="1" t="s">
        <v>511</v>
      </c>
      <c r="B1" s="1"/>
      <c r="C1" s="1"/>
      <c r="D1" s="1"/>
      <c r="E1" s="1"/>
      <c r="F1" s="1"/>
      <c r="G1" s="1"/>
      <c r="H1" s="1"/>
      <c r="I1" s="1" t="s">
        <v>512</v>
      </c>
      <c r="J1" s="1"/>
      <c r="K1" s="533"/>
      <c r="L1" s="1"/>
      <c r="M1" s="1"/>
      <c r="N1" s="1"/>
      <c r="O1" s="1"/>
      <c r="P1" s="1"/>
      <c r="Q1" s="1"/>
      <c r="R1" s="1"/>
      <c r="S1" s="1" t="s">
        <v>2</v>
      </c>
      <c r="T1" s="82" t="s">
        <v>513</v>
      </c>
    </row>
    <row r="2" spans="1:22" ht="15.9" customHeight="1">
      <c r="A2" s="4" t="s">
        <v>4</v>
      </c>
      <c r="B2" s="4"/>
      <c r="C2" s="4"/>
      <c r="D2" s="4"/>
      <c r="E2" s="4" t="s">
        <v>514</v>
      </c>
      <c r="F2" s="4"/>
      <c r="G2" s="4" t="s">
        <v>515</v>
      </c>
      <c r="H2" s="5"/>
      <c r="I2" s="5"/>
      <c r="J2" s="6"/>
      <c r="K2" s="6"/>
      <c r="L2" s="4"/>
      <c r="M2" s="6"/>
      <c r="N2" s="6"/>
      <c r="O2" s="6"/>
      <c r="P2" s="6" t="s">
        <v>7</v>
      </c>
      <c r="Q2" s="4"/>
      <c r="R2" s="4"/>
      <c r="S2" s="7"/>
      <c r="T2" s="82"/>
    </row>
    <row r="3" spans="1:22" ht="15.9" customHeight="1">
      <c r="A3" s="4"/>
      <c r="B3" s="4"/>
      <c r="C3" s="4"/>
      <c r="D3" s="4"/>
      <c r="E3" s="4"/>
      <c r="F3" s="4"/>
      <c r="G3" s="4" t="s">
        <v>516</v>
      </c>
      <c r="H3" s="5"/>
      <c r="I3" s="5"/>
      <c r="J3" s="9"/>
      <c r="K3" s="7"/>
      <c r="L3" s="4"/>
      <c r="M3" s="4"/>
      <c r="N3" s="4"/>
      <c r="O3" s="9"/>
      <c r="P3" s="9"/>
      <c r="Q3" s="7" t="s">
        <v>9</v>
      </c>
      <c r="R3" s="4"/>
      <c r="S3" s="9"/>
    </row>
    <row r="4" spans="1:22" ht="15.9" customHeight="1">
      <c r="A4" s="4" t="s">
        <v>10</v>
      </c>
      <c r="B4" s="4"/>
      <c r="C4" s="4"/>
      <c r="D4" s="4"/>
      <c r="E4" s="4"/>
      <c r="F4" s="4"/>
      <c r="G4" s="4"/>
      <c r="H4" s="4"/>
      <c r="I4" s="4"/>
      <c r="J4" s="9"/>
      <c r="K4" s="7"/>
      <c r="L4" s="9"/>
      <c r="M4" s="4"/>
      <c r="N4" s="4"/>
      <c r="O4" s="4"/>
      <c r="P4" s="9"/>
      <c r="Q4" s="7" t="s">
        <v>11</v>
      </c>
      <c r="R4" s="4"/>
      <c r="S4" s="9"/>
    </row>
    <row r="5" spans="1:22" ht="15.9" customHeight="1">
      <c r="A5" s="4"/>
      <c r="B5" s="4"/>
      <c r="C5" s="4"/>
      <c r="D5" s="4"/>
      <c r="E5" s="4"/>
      <c r="F5" s="4"/>
      <c r="G5" s="4"/>
      <c r="H5" s="4"/>
      <c r="I5" s="4"/>
      <c r="J5" s="9"/>
      <c r="K5" s="7"/>
      <c r="L5" s="9"/>
      <c r="M5" s="4"/>
      <c r="N5" s="4"/>
      <c r="O5" s="4"/>
      <c r="P5" s="9" t="s">
        <v>12</v>
      </c>
      <c r="Q5" s="7" t="s">
        <v>13</v>
      </c>
      <c r="R5" s="4"/>
      <c r="S5" s="9"/>
    </row>
    <row r="6" spans="1:22" ht="15.9" customHeight="1" thickBot="1">
      <c r="A6" s="2" t="s">
        <v>517</v>
      </c>
      <c r="B6" s="2"/>
      <c r="C6" s="1"/>
      <c r="D6" s="1"/>
      <c r="E6" s="1"/>
      <c r="F6" s="1"/>
      <c r="G6" s="1"/>
      <c r="H6" s="1"/>
      <c r="I6" s="2" t="s">
        <v>15</v>
      </c>
      <c r="J6" s="10"/>
      <c r="K6" s="533"/>
      <c r="L6" s="1"/>
      <c r="M6" s="1"/>
      <c r="N6" s="1"/>
      <c r="O6" s="1"/>
      <c r="P6" s="1"/>
      <c r="Q6" s="2" t="s">
        <v>16</v>
      </c>
      <c r="R6" s="1"/>
      <c r="S6" s="1"/>
    </row>
    <row r="7" spans="1:22" ht="15.9" customHeight="1">
      <c r="A7" s="534"/>
      <c r="B7" s="534"/>
      <c r="C7" s="535"/>
      <c r="D7" s="535"/>
      <c r="E7" s="535"/>
      <c r="F7" s="535"/>
      <c r="G7" s="535"/>
      <c r="H7" s="535"/>
      <c r="I7" s="535"/>
      <c r="J7" s="535" t="s">
        <v>518</v>
      </c>
      <c r="K7" s="536"/>
      <c r="L7" s="535" t="s">
        <v>519</v>
      </c>
      <c r="M7" s="535"/>
      <c r="N7" s="535"/>
      <c r="O7" s="535"/>
      <c r="P7" s="535"/>
      <c r="Q7" s="535"/>
      <c r="R7" s="535"/>
      <c r="S7" s="535"/>
    </row>
    <row r="8" spans="1:22" ht="15.9" customHeight="1">
      <c r="A8" s="534"/>
      <c r="B8" s="534"/>
      <c r="C8" s="534"/>
      <c r="D8" s="534"/>
      <c r="E8" s="534"/>
      <c r="F8" s="534"/>
      <c r="G8" s="534"/>
      <c r="H8" s="534"/>
      <c r="I8" s="537"/>
      <c r="J8" s="537" t="s">
        <v>520</v>
      </c>
      <c r="K8" s="538"/>
      <c r="L8" s="537" t="s">
        <v>520</v>
      </c>
      <c r="M8" s="537"/>
      <c r="N8" s="537"/>
      <c r="O8" s="534"/>
      <c r="P8" s="534"/>
      <c r="Q8" s="534"/>
      <c r="R8" s="534"/>
      <c r="S8" s="537"/>
    </row>
    <row r="9" spans="1:22" ht="15.9" customHeight="1">
      <c r="A9" s="534" t="s">
        <v>35</v>
      </c>
      <c r="B9" s="537" t="s">
        <v>355</v>
      </c>
      <c r="C9" s="537" t="s">
        <v>355</v>
      </c>
      <c r="D9" s="537"/>
      <c r="E9" s="537"/>
      <c r="F9" s="535"/>
      <c r="G9" s="535"/>
      <c r="H9" s="535"/>
      <c r="I9" s="535"/>
      <c r="J9" s="537" t="s">
        <v>369</v>
      </c>
      <c r="K9" s="536"/>
      <c r="L9" s="537" t="s">
        <v>369</v>
      </c>
      <c r="M9" s="535"/>
      <c r="N9" s="535"/>
      <c r="O9" s="535"/>
      <c r="P9" s="535"/>
      <c r="Q9" s="535"/>
      <c r="R9" s="535"/>
      <c r="S9" s="537"/>
    </row>
    <row r="10" spans="1:22" ht="15.9" customHeight="1" thickBot="1">
      <c r="A10" s="539" t="s">
        <v>46</v>
      </c>
      <c r="B10" s="540" t="s">
        <v>371</v>
      </c>
      <c r="C10" s="540" t="s">
        <v>372</v>
      </c>
      <c r="D10" s="540"/>
      <c r="E10" s="540"/>
      <c r="F10" s="540"/>
      <c r="G10" s="540"/>
      <c r="H10" s="540"/>
      <c r="I10" s="540"/>
      <c r="J10" s="541">
        <v>2022</v>
      </c>
      <c r="K10" s="542"/>
      <c r="L10" s="541">
        <v>2023</v>
      </c>
      <c r="M10" s="541"/>
      <c r="N10" s="541"/>
      <c r="O10" s="541"/>
      <c r="P10" s="541"/>
      <c r="Q10" s="541"/>
      <c r="R10" s="541"/>
      <c r="S10" s="541"/>
    </row>
    <row r="11" spans="1:22" ht="15.9" customHeight="1">
      <c r="A11" s="534">
        <v>1</v>
      </c>
      <c r="L11" s="258"/>
      <c r="M11" s="258"/>
      <c r="N11" s="545"/>
      <c r="O11" s="258"/>
      <c r="S11" s="27"/>
      <c r="T11" s="92"/>
      <c r="U11" s="546"/>
      <c r="V11" s="159"/>
    </row>
    <row r="12" spans="1:22" ht="15.9" customHeight="1">
      <c r="A12" s="534">
        <v>2</v>
      </c>
      <c r="B12" s="151" t="s">
        <v>374</v>
      </c>
      <c r="C12" s="543" t="s">
        <v>375</v>
      </c>
      <c r="D12" s="543"/>
      <c r="E12" s="543"/>
      <c r="F12" s="543"/>
      <c r="G12" s="543"/>
      <c r="H12" s="543"/>
      <c r="I12" s="27"/>
      <c r="J12" s="27">
        <f>+'B-3 2022'!S11</f>
        <v>10742914.449692309</v>
      </c>
      <c r="K12" s="544"/>
      <c r="L12" s="27">
        <f>'B-3'!S11</f>
        <v>11872652.288230767</v>
      </c>
      <c r="M12" s="258"/>
      <c r="N12" s="545"/>
      <c r="O12" s="162"/>
      <c r="S12" s="56"/>
      <c r="T12" s="92"/>
      <c r="U12" s="546"/>
    </row>
    <row r="13" spans="1:22" ht="15.9" customHeight="1">
      <c r="A13" s="534">
        <v>3</v>
      </c>
      <c r="B13" s="50" t="s">
        <v>377</v>
      </c>
      <c r="C13" s="543" t="s">
        <v>378</v>
      </c>
      <c r="D13" s="547"/>
      <c r="E13" s="547"/>
      <c r="F13" s="543"/>
      <c r="G13" s="543"/>
      <c r="H13" s="548"/>
      <c r="I13" s="548"/>
      <c r="J13" s="27">
        <f>+'B-3 2022'!S12</f>
        <v>876.06665615384611</v>
      </c>
      <c r="K13" s="549"/>
      <c r="L13" s="27">
        <f>'B-3'!S12</f>
        <v>276.11430307692302</v>
      </c>
      <c r="M13" s="258"/>
      <c r="N13" s="545"/>
      <c r="O13" s="150"/>
      <c r="S13" s="37"/>
      <c r="T13" s="92"/>
      <c r="U13" s="546"/>
    </row>
    <row r="14" spans="1:22" ht="15.9" customHeight="1">
      <c r="A14" s="534">
        <v>4</v>
      </c>
      <c r="B14" s="50" t="s">
        <v>379</v>
      </c>
      <c r="C14" s="543" t="s">
        <v>380</v>
      </c>
      <c r="D14" s="547"/>
      <c r="E14" s="547"/>
      <c r="F14" s="548"/>
      <c r="G14" s="548"/>
      <c r="H14" s="548"/>
      <c r="I14" s="548"/>
      <c r="J14" s="27">
        <f>+'B-3 2022'!S13</f>
        <v>55267.096000000005</v>
      </c>
      <c r="K14" s="549"/>
      <c r="L14" s="27">
        <f>'B-3'!S13</f>
        <v>55938.784076923068</v>
      </c>
      <c r="M14" s="258"/>
      <c r="N14" s="545"/>
      <c r="O14" s="150"/>
      <c r="S14" s="4"/>
      <c r="T14" s="92"/>
      <c r="U14" s="546"/>
    </row>
    <row r="15" spans="1:22" ht="15.9" customHeight="1">
      <c r="A15" s="534">
        <v>5</v>
      </c>
      <c r="B15" s="50" t="s">
        <v>381</v>
      </c>
      <c r="C15" s="543" t="s">
        <v>382</v>
      </c>
      <c r="D15" s="547"/>
      <c r="E15" s="547"/>
      <c r="F15" s="548"/>
      <c r="G15" s="548"/>
      <c r="H15" s="548"/>
      <c r="I15" s="548"/>
      <c r="J15" s="27">
        <f>+'B-3 2022'!S14</f>
        <v>1193537.0737692306</v>
      </c>
      <c r="K15" s="549"/>
      <c r="L15" s="27">
        <f>'B-3'!S14</f>
        <v>1098847.3053076921</v>
      </c>
      <c r="M15" s="258"/>
      <c r="N15" s="545"/>
      <c r="O15" s="150"/>
      <c r="S15" s="56"/>
      <c r="T15" s="92"/>
      <c r="U15" s="546"/>
    </row>
    <row r="16" spans="1:22" ht="15.9" customHeight="1">
      <c r="A16" s="534">
        <v>6</v>
      </c>
      <c r="B16" s="153" t="s">
        <v>383</v>
      </c>
      <c r="C16" s="543" t="s">
        <v>384</v>
      </c>
      <c r="D16" s="547"/>
      <c r="E16" s="547"/>
      <c r="F16" s="548"/>
      <c r="G16" s="548"/>
      <c r="H16" s="548"/>
      <c r="I16" s="548"/>
      <c r="J16" s="27">
        <f>+'B-3 2022'!S15</f>
        <v>-3332644.512461538</v>
      </c>
      <c r="K16" s="549"/>
      <c r="L16" s="27">
        <f>'B-3'!S15</f>
        <v>-3574431.0101538459</v>
      </c>
      <c r="M16" s="258"/>
      <c r="N16" s="545"/>
      <c r="O16" s="150"/>
      <c r="S16" s="56"/>
      <c r="T16" s="92"/>
      <c r="U16" s="546"/>
      <c r="V16" s="551"/>
    </row>
    <row r="17" spans="1:22" ht="15.9" customHeight="1">
      <c r="A17" s="534">
        <v>7</v>
      </c>
      <c r="B17" s="550" t="s">
        <v>385</v>
      </c>
      <c r="C17" s="543" t="s">
        <v>386</v>
      </c>
      <c r="D17" s="547"/>
      <c r="E17" s="547"/>
      <c r="F17" s="548"/>
      <c r="G17" s="548"/>
      <c r="H17" s="548"/>
      <c r="I17" s="548"/>
      <c r="J17" s="32">
        <f>+'B-3 2022'!S16</f>
        <v>7484.823000000003</v>
      </c>
      <c r="K17" s="549"/>
      <c r="L17" s="32">
        <f>'B-3'!S16</f>
        <v>7484.823000000003</v>
      </c>
      <c r="M17" s="258"/>
      <c r="N17" s="545"/>
      <c r="O17" s="150"/>
      <c r="S17" s="56"/>
      <c r="T17" s="92"/>
      <c r="U17" s="546"/>
    </row>
    <row r="18" spans="1:22" ht="15.9" customHeight="1">
      <c r="A18" s="534">
        <v>8</v>
      </c>
      <c r="B18" s="35"/>
      <c r="C18" s="543"/>
      <c r="D18" s="547" t="s">
        <v>388</v>
      </c>
      <c r="E18" s="547"/>
      <c r="F18" s="548"/>
      <c r="G18" s="548"/>
      <c r="H18" s="548"/>
      <c r="I18" s="548"/>
      <c r="J18" s="27">
        <f t="shared" ref="J18" si="0">SUM(J12:J17)</f>
        <v>8667434.9966561571</v>
      </c>
      <c r="K18" s="549"/>
      <c r="L18" s="27">
        <f>SUM(L12:L17)</f>
        <v>9460768.3047646154</v>
      </c>
      <c r="M18" s="258"/>
      <c r="N18" s="545"/>
      <c r="O18" s="150"/>
      <c r="S18" s="4"/>
      <c r="T18" s="92"/>
      <c r="U18" s="546"/>
    </row>
    <row r="19" spans="1:22" ht="15.9" customHeight="1">
      <c r="A19" s="534">
        <v>9</v>
      </c>
      <c r="B19" s="35"/>
      <c r="C19" s="543"/>
      <c r="D19" s="547"/>
      <c r="E19" s="547"/>
      <c r="F19" s="548"/>
      <c r="G19" s="548"/>
      <c r="H19" s="548"/>
      <c r="I19" s="548"/>
      <c r="J19" s="27"/>
      <c r="K19" s="549"/>
      <c r="L19" s="27"/>
      <c r="M19" s="258"/>
      <c r="N19" s="545"/>
      <c r="O19" s="150"/>
      <c r="S19" s="4"/>
      <c r="T19" s="92"/>
      <c r="U19" s="546"/>
      <c r="V19" s="92"/>
    </row>
    <row r="20" spans="1:22" ht="15.9" customHeight="1">
      <c r="A20" s="534">
        <v>10</v>
      </c>
      <c r="B20" s="35"/>
      <c r="C20" s="543" t="s">
        <v>391</v>
      </c>
      <c r="D20" s="547"/>
      <c r="E20" s="547"/>
      <c r="F20" s="548"/>
      <c r="G20" s="548"/>
      <c r="H20" s="548"/>
      <c r="I20" s="548"/>
      <c r="J20" s="27"/>
      <c r="K20" s="549"/>
      <c r="L20" s="27"/>
      <c r="M20" s="258"/>
      <c r="N20" s="545"/>
      <c r="O20" s="150"/>
      <c r="S20" s="4"/>
      <c r="T20" s="92"/>
      <c r="U20" s="546"/>
    </row>
    <row r="21" spans="1:22" ht="15.9" customHeight="1">
      <c r="A21" s="534">
        <v>11</v>
      </c>
      <c r="B21" s="35" t="s">
        <v>392</v>
      </c>
      <c r="C21" s="543" t="s">
        <v>266</v>
      </c>
      <c r="D21" s="547"/>
      <c r="E21" s="547"/>
      <c r="F21" s="548"/>
      <c r="G21" s="548"/>
      <c r="H21" s="548"/>
      <c r="I21" s="548"/>
      <c r="J21" s="27">
        <f>+'B-3 2022'!S20</f>
        <v>14905.139384615384</v>
      </c>
      <c r="K21" s="549"/>
      <c r="L21" s="27">
        <f>+'B-3'!S20</f>
        <v>20529.177384615385</v>
      </c>
      <c r="M21" s="258"/>
      <c r="N21" s="545"/>
      <c r="O21" s="150"/>
      <c r="S21" s="4"/>
      <c r="T21" s="92"/>
      <c r="U21" s="546"/>
    </row>
    <row r="22" spans="1:22" ht="15.9" customHeight="1">
      <c r="A22" s="534">
        <v>12</v>
      </c>
      <c r="B22" s="50" t="s">
        <v>394</v>
      </c>
      <c r="C22" s="543" t="s">
        <v>267</v>
      </c>
      <c r="D22" s="547"/>
      <c r="E22" s="547"/>
      <c r="F22" s="548"/>
      <c r="G22" s="548"/>
      <c r="H22" s="548"/>
      <c r="I22" s="548"/>
      <c r="J22" s="32">
        <f>+'B-3 2022'!S21</f>
        <v>-7453.0701538461535</v>
      </c>
      <c r="K22" s="549"/>
      <c r="L22" s="32">
        <f>+'B-3'!S21</f>
        <v>-8081.8633076923088</v>
      </c>
      <c r="M22" s="258"/>
      <c r="N22" s="545"/>
      <c r="O22" s="150"/>
      <c r="S22" s="56"/>
      <c r="T22" s="92"/>
      <c r="U22" s="546"/>
    </row>
    <row r="23" spans="1:22" ht="15.9" customHeight="1">
      <c r="A23" s="534">
        <v>13</v>
      </c>
      <c r="B23" s="50"/>
      <c r="C23" s="543"/>
      <c r="D23" s="547" t="s">
        <v>395</v>
      </c>
      <c r="E23" s="547"/>
      <c r="F23" s="548"/>
      <c r="G23" s="548"/>
      <c r="H23" s="548"/>
      <c r="I23" s="548"/>
      <c r="J23" s="27">
        <f t="shared" ref="J23" si="1">SUM(J21:J22)</f>
        <v>7452.0692307692307</v>
      </c>
      <c r="K23" s="549"/>
      <c r="L23" s="27">
        <f>SUM(L21:L22)</f>
        <v>12447.314076923076</v>
      </c>
      <c r="M23" s="258"/>
      <c r="N23" s="545"/>
      <c r="O23" s="150"/>
      <c r="S23" s="4"/>
      <c r="T23" s="92"/>
      <c r="U23" s="546"/>
    </row>
    <row r="24" spans="1:22" ht="15.9" customHeight="1">
      <c r="A24" s="534">
        <v>14</v>
      </c>
      <c r="B24" s="151"/>
      <c r="C24" s="543" t="s">
        <v>396</v>
      </c>
      <c r="D24" s="547"/>
      <c r="E24" s="547"/>
      <c r="F24" s="548"/>
      <c r="G24" s="548"/>
      <c r="H24" s="548"/>
      <c r="I24" s="548"/>
      <c r="J24" s="27"/>
      <c r="K24" s="549"/>
      <c r="L24" s="27"/>
      <c r="M24" s="258"/>
      <c r="N24" s="545"/>
      <c r="O24" s="150"/>
      <c r="S24" s="56"/>
      <c r="T24" s="92"/>
      <c r="U24" s="546"/>
    </row>
    <row r="25" spans="1:22" ht="15.9" customHeight="1">
      <c r="A25" s="534">
        <v>15</v>
      </c>
      <c r="B25" s="35"/>
      <c r="C25" s="543"/>
      <c r="D25" s="547"/>
      <c r="E25" s="547"/>
      <c r="F25" s="548"/>
      <c r="G25" s="548"/>
      <c r="H25" s="548"/>
      <c r="I25" s="548"/>
      <c r="J25" s="27"/>
      <c r="K25" s="549"/>
      <c r="L25" s="27"/>
      <c r="M25" s="258"/>
      <c r="N25" s="545"/>
      <c r="O25" s="150"/>
      <c r="S25" s="4"/>
      <c r="T25" s="92"/>
      <c r="U25" s="546"/>
    </row>
    <row r="26" spans="1:22" ht="15.9" customHeight="1">
      <c r="A26" s="534">
        <v>16</v>
      </c>
      <c r="B26" s="35" t="s">
        <v>397</v>
      </c>
      <c r="C26" s="543" t="s">
        <v>270</v>
      </c>
      <c r="D26" s="547"/>
      <c r="E26" s="547"/>
      <c r="F26" s="548"/>
      <c r="G26" s="548"/>
      <c r="H26" s="548"/>
      <c r="I26" s="548"/>
      <c r="J26" s="27">
        <f>+'B-3 2022'!S25</f>
        <v>29622.528615384621</v>
      </c>
      <c r="K26" s="549"/>
      <c r="L26" s="27">
        <f>+'B-3'!S25</f>
        <v>7887.6853076923062</v>
      </c>
      <c r="M26" s="258"/>
      <c r="N26" s="545"/>
      <c r="O26" s="150"/>
      <c r="S26" s="4"/>
      <c r="T26" s="92"/>
      <c r="U26" s="546"/>
    </row>
    <row r="27" spans="1:22" ht="15.9" customHeight="1">
      <c r="A27" s="534">
        <v>17</v>
      </c>
      <c r="B27" s="35" t="s">
        <v>398</v>
      </c>
      <c r="C27" s="543" t="s">
        <v>271</v>
      </c>
      <c r="D27" s="547"/>
      <c r="E27" s="547"/>
      <c r="F27" s="548"/>
      <c r="G27" s="548"/>
      <c r="H27" s="548"/>
      <c r="I27" s="548"/>
      <c r="J27" s="27">
        <f>+'B-3 2022'!S26</f>
        <v>0</v>
      </c>
      <c r="K27" s="549"/>
      <c r="L27" s="27">
        <f>+'B-3'!S26</f>
        <v>0</v>
      </c>
      <c r="M27" s="258"/>
      <c r="N27" s="545"/>
      <c r="O27" s="150"/>
      <c r="S27" s="4"/>
      <c r="T27" s="92"/>
      <c r="U27" s="546"/>
    </row>
    <row r="28" spans="1:22" ht="15.9" customHeight="1">
      <c r="A28" s="534">
        <v>18</v>
      </c>
      <c r="B28" s="35" t="s">
        <v>399</v>
      </c>
      <c r="C28" s="543" t="s">
        <v>272</v>
      </c>
      <c r="D28" s="547"/>
      <c r="E28" s="547"/>
      <c r="F28" s="548"/>
      <c r="G28" s="548"/>
      <c r="H28" s="548"/>
      <c r="I28" s="548"/>
      <c r="J28" s="27">
        <f>+'B-3 2022'!S27</f>
        <v>51.834230769230771</v>
      </c>
      <c r="K28" s="549"/>
      <c r="L28" s="27">
        <f>+'B-3'!S27</f>
        <v>51.065000000000005</v>
      </c>
      <c r="M28" s="258"/>
      <c r="N28" s="545"/>
      <c r="O28" s="150"/>
      <c r="S28" s="4"/>
      <c r="T28" s="92"/>
      <c r="U28" s="546"/>
    </row>
    <row r="29" spans="1:22" ht="15.9" customHeight="1">
      <c r="A29" s="534">
        <v>19</v>
      </c>
      <c r="B29" s="50" t="s">
        <v>400</v>
      </c>
      <c r="C29" s="543" t="s">
        <v>273</v>
      </c>
      <c r="D29" s="547"/>
      <c r="E29" s="547"/>
      <c r="F29" s="548"/>
      <c r="G29" s="548"/>
      <c r="H29" s="548"/>
      <c r="I29" s="548"/>
      <c r="J29" s="27">
        <f>+'B-3 2022'!S28</f>
        <v>0</v>
      </c>
      <c r="K29" s="549"/>
      <c r="L29" s="27">
        <f>+'B-3'!S28</f>
        <v>0</v>
      </c>
      <c r="M29" s="258"/>
      <c r="N29" s="545"/>
      <c r="O29" s="150"/>
      <c r="S29" s="56"/>
      <c r="T29" s="92"/>
      <c r="U29" s="546"/>
    </row>
    <row r="30" spans="1:22" ht="15.9" customHeight="1">
      <c r="A30" s="534">
        <v>20</v>
      </c>
      <c r="B30" s="50" t="s">
        <v>401</v>
      </c>
      <c r="C30" s="543" t="s">
        <v>274</v>
      </c>
      <c r="D30" s="547"/>
      <c r="E30" s="547"/>
      <c r="F30" s="548"/>
      <c r="G30" s="548"/>
      <c r="H30" s="548"/>
      <c r="I30" s="548"/>
      <c r="J30" s="27">
        <f>+'B-3 2022'!S29</f>
        <v>0</v>
      </c>
      <c r="K30" s="549"/>
      <c r="L30" s="27">
        <f>+'B-3'!S29</f>
        <v>0</v>
      </c>
      <c r="M30" s="258"/>
      <c r="N30" s="545"/>
      <c r="O30" s="150"/>
      <c r="S30" s="27"/>
      <c r="T30" s="92"/>
      <c r="U30" s="546"/>
    </row>
    <row r="31" spans="1:22" ht="15.9" customHeight="1">
      <c r="A31" s="534">
        <v>21</v>
      </c>
      <c r="B31" s="151" t="s">
        <v>402</v>
      </c>
      <c r="C31" s="543" t="s">
        <v>275</v>
      </c>
      <c r="D31" s="547"/>
      <c r="E31" s="547"/>
      <c r="F31" s="548"/>
      <c r="G31" s="548"/>
      <c r="H31" s="548"/>
      <c r="I31" s="548"/>
      <c r="J31" s="27">
        <f>+'B-3 2022'!S30</f>
        <v>168430.15646153846</v>
      </c>
      <c r="K31" s="549"/>
      <c r="L31" s="27">
        <f>+'B-3'!S30</f>
        <v>209726.43892307693</v>
      </c>
      <c r="M31" s="258"/>
      <c r="N31" s="545"/>
      <c r="O31" s="150"/>
      <c r="P31" s="150"/>
      <c r="Q31" s="150"/>
      <c r="R31" s="27"/>
      <c r="S31" s="27"/>
      <c r="T31" s="92"/>
      <c r="U31" s="546"/>
    </row>
    <row r="32" spans="1:22" ht="15.9" customHeight="1">
      <c r="A32" s="534">
        <v>22</v>
      </c>
      <c r="B32" s="50" t="s">
        <v>403</v>
      </c>
      <c r="C32" s="543" t="s">
        <v>276</v>
      </c>
      <c r="D32" s="547"/>
      <c r="E32" s="547"/>
      <c r="F32" s="548"/>
      <c r="G32" s="548"/>
      <c r="H32" s="548"/>
      <c r="I32" s="548"/>
      <c r="J32" s="27">
        <f>+'B-3 2022'!S31</f>
        <v>8446.4895384615393</v>
      </c>
      <c r="K32" s="549"/>
      <c r="L32" s="27">
        <f>+'B-3'!S31</f>
        <v>12068.695307692307</v>
      </c>
      <c r="M32" s="258"/>
      <c r="N32" s="545"/>
      <c r="O32" s="150"/>
      <c r="P32" s="150"/>
      <c r="Q32" s="150"/>
      <c r="T32" s="92"/>
      <c r="U32" s="546"/>
    </row>
    <row r="33" spans="1:21" ht="15.9" customHeight="1">
      <c r="A33" s="534">
        <v>23</v>
      </c>
      <c r="B33" s="50" t="s">
        <v>404</v>
      </c>
      <c r="C33" s="543" t="s">
        <v>277</v>
      </c>
      <c r="D33" s="547"/>
      <c r="E33" s="547"/>
      <c r="F33" s="548"/>
      <c r="G33" s="548"/>
      <c r="H33" s="548"/>
      <c r="I33" s="548"/>
      <c r="J33" s="27">
        <f>+'B-3 2022'!S32</f>
        <v>-4108.3297692307688</v>
      </c>
      <c r="K33" s="549"/>
      <c r="L33" s="27">
        <f>+'B-3'!S32</f>
        <v>-2368.9103846153848</v>
      </c>
      <c r="M33" s="258"/>
      <c r="N33" s="545"/>
      <c r="O33" s="150"/>
      <c r="P33" s="150"/>
      <c r="Q33" s="150"/>
      <c r="T33" s="92"/>
      <c r="U33" s="546"/>
    </row>
    <row r="34" spans="1:21" ht="15.9" customHeight="1">
      <c r="A34" s="534">
        <v>24</v>
      </c>
      <c r="B34" s="50" t="s">
        <v>405</v>
      </c>
      <c r="C34" s="543" t="s">
        <v>274</v>
      </c>
      <c r="D34" s="547"/>
      <c r="E34" s="547"/>
      <c r="F34" s="548"/>
      <c r="G34" s="548"/>
      <c r="H34" s="548"/>
      <c r="I34" s="548"/>
      <c r="J34" s="27">
        <f>+'B-3 2022'!S33</f>
        <v>4718.9953076923075</v>
      </c>
      <c r="K34" s="549"/>
      <c r="L34" s="27">
        <f>+'B-3'!S33</f>
        <v>721470.75653846143</v>
      </c>
      <c r="M34" s="258"/>
      <c r="N34" s="545"/>
      <c r="O34" s="150"/>
      <c r="P34" s="150"/>
      <c r="Q34" s="150"/>
      <c r="T34" s="92"/>
      <c r="U34" s="546"/>
    </row>
    <row r="35" spans="1:21" ht="15.9" customHeight="1">
      <c r="A35" s="534">
        <v>25</v>
      </c>
      <c r="B35" s="50" t="s">
        <v>406</v>
      </c>
      <c r="C35" s="543" t="s">
        <v>278</v>
      </c>
      <c r="D35" s="547"/>
      <c r="E35" s="547"/>
      <c r="F35" s="548"/>
      <c r="G35" s="548"/>
      <c r="H35" s="548"/>
      <c r="I35" s="548"/>
      <c r="J35" s="27">
        <f>+'B-3 2022'!S34</f>
        <v>16603.065538461538</v>
      </c>
      <c r="K35" s="549"/>
      <c r="L35" s="27">
        <f>+'B-3'!S34</f>
        <v>21175.976769230772</v>
      </c>
      <c r="M35" s="258"/>
      <c r="N35" s="545"/>
      <c r="O35" s="150"/>
      <c r="P35" s="150"/>
      <c r="Q35" s="150"/>
      <c r="T35" s="92"/>
      <c r="U35" s="546"/>
    </row>
    <row r="36" spans="1:21" ht="15.9" customHeight="1">
      <c r="A36" s="534">
        <v>26</v>
      </c>
      <c r="B36" s="151" t="s">
        <v>407</v>
      </c>
      <c r="C36" s="543" t="s">
        <v>279</v>
      </c>
      <c r="D36" s="547"/>
      <c r="E36" s="547"/>
      <c r="F36" s="548"/>
      <c r="G36" s="548"/>
      <c r="H36" s="548"/>
      <c r="I36" s="548"/>
      <c r="J36" s="27">
        <f>+'B-3 2022'!S35</f>
        <v>18124.967153846155</v>
      </c>
      <c r="K36" s="549"/>
      <c r="L36" s="27">
        <f>+'B-3'!S35</f>
        <v>37762.059615384605</v>
      </c>
      <c r="M36" s="258"/>
      <c r="N36" s="545"/>
      <c r="O36" s="150"/>
      <c r="P36" s="150"/>
      <c r="Q36" s="150"/>
      <c r="T36" s="92"/>
      <c r="U36" s="546"/>
    </row>
    <row r="37" spans="1:21" ht="15.9" customHeight="1">
      <c r="A37" s="534">
        <v>27</v>
      </c>
      <c r="B37" s="50" t="s">
        <v>408</v>
      </c>
      <c r="C37" s="543" t="s">
        <v>409</v>
      </c>
      <c r="D37" s="547"/>
      <c r="E37" s="547"/>
      <c r="F37" s="548"/>
      <c r="G37" s="548"/>
      <c r="H37" s="548"/>
      <c r="I37" s="548"/>
      <c r="J37" s="27">
        <f>+'B-3 2022'!S36</f>
        <v>0</v>
      </c>
      <c r="K37" s="549"/>
      <c r="L37" s="27">
        <f>+'B-3'!S36</f>
        <v>0</v>
      </c>
      <c r="M37" s="258"/>
      <c r="N37" s="545"/>
      <c r="O37" s="150"/>
      <c r="P37" s="150"/>
      <c r="Q37" s="150"/>
      <c r="T37" s="92"/>
      <c r="U37" s="546"/>
    </row>
    <row r="38" spans="1:21" ht="15.9" customHeight="1">
      <c r="A38" s="534">
        <v>28</v>
      </c>
      <c r="B38" s="151" t="s">
        <v>521</v>
      </c>
      <c r="C38" s="543" t="s">
        <v>280</v>
      </c>
      <c r="D38" s="547"/>
      <c r="E38" s="547"/>
      <c r="F38" s="548"/>
      <c r="G38" s="548"/>
      <c r="H38" s="548"/>
      <c r="I38" s="548"/>
      <c r="J38" s="27">
        <f>+'B-3 2022'!S37</f>
        <v>137076.4666923077</v>
      </c>
      <c r="K38" s="549"/>
      <c r="L38" s="27">
        <f>+'B-3'!S37</f>
        <v>166682.49784615386</v>
      </c>
      <c r="M38" s="258"/>
      <c r="N38" s="545"/>
      <c r="O38" s="150"/>
      <c r="P38" s="150"/>
      <c r="Q38" s="150"/>
      <c r="T38" s="92"/>
      <c r="U38" s="546"/>
    </row>
    <row r="39" spans="1:21" ht="15.9" customHeight="1">
      <c r="A39" s="534">
        <v>29</v>
      </c>
      <c r="B39" s="50" t="s">
        <v>411</v>
      </c>
      <c r="C39" s="543" t="s">
        <v>281</v>
      </c>
      <c r="D39" s="547"/>
      <c r="E39" s="547"/>
      <c r="F39" s="548"/>
      <c r="G39" s="548"/>
      <c r="H39" s="548"/>
      <c r="I39" s="548"/>
      <c r="J39" s="27">
        <f>+'B-3 2022'!S38</f>
        <v>0</v>
      </c>
      <c r="K39" s="549"/>
      <c r="L39" s="27">
        <f>+'B-3'!S38</f>
        <v>0</v>
      </c>
      <c r="M39" s="258"/>
      <c r="N39" s="545"/>
      <c r="O39" s="150"/>
      <c r="P39" s="150"/>
      <c r="Q39" s="150"/>
      <c r="T39" s="92"/>
      <c r="U39" s="546"/>
    </row>
    <row r="40" spans="1:21" ht="15.9" customHeight="1">
      <c r="A40" s="534">
        <v>30</v>
      </c>
      <c r="B40" s="552" t="s">
        <v>412</v>
      </c>
      <c r="C40" s="543" t="s">
        <v>282</v>
      </c>
      <c r="D40" s="547"/>
      <c r="E40" s="547"/>
      <c r="F40" s="548"/>
      <c r="G40" s="548"/>
      <c r="H40" s="548"/>
      <c r="I40" s="548"/>
      <c r="J40" s="27">
        <f>+'B-3 2022'!S39</f>
        <v>0</v>
      </c>
      <c r="K40" s="549"/>
      <c r="L40" s="27">
        <f>+'B-3'!S39</f>
        <v>0</v>
      </c>
      <c r="M40" s="258"/>
      <c r="N40" s="545"/>
      <c r="O40" s="150"/>
      <c r="P40" s="150"/>
      <c r="Q40" s="150"/>
      <c r="T40" s="92"/>
      <c r="U40" s="546"/>
    </row>
    <row r="41" spans="1:21" ht="15.9" customHeight="1">
      <c r="A41" s="534">
        <v>31</v>
      </c>
      <c r="B41" s="50" t="s">
        <v>413</v>
      </c>
      <c r="C41" s="543" t="s">
        <v>283</v>
      </c>
      <c r="D41" s="547"/>
      <c r="E41" s="547"/>
      <c r="F41" s="548"/>
      <c r="G41" s="548"/>
      <c r="H41" s="548"/>
      <c r="I41" s="548"/>
      <c r="J41" s="27">
        <f>+'B-3 2022'!S40</f>
        <v>20314.334076923078</v>
      </c>
      <c r="K41" s="549"/>
      <c r="L41" s="27">
        <f>+'B-3'!S40</f>
        <v>28807.687769230768</v>
      </c>
      <c r="M41" s="258"/>
      <c r="N41" s="545"/>
      <c r="O41" s="150"/>
      <c r="P41" s="150"/>
      <c r="Q41" s="150"/>
      <c r="T41" s="92"/>
      <c r="U41" s="546"/>
    </row>
    <row r="42" spans="1:21" ht="15.9" customHeight="1">
      <c r="A42" s="534">
        <v>32</v>
      </c>
      <c r="B42" s="50" t="s">
        <v>414</v>
      </c>
      <c r="C42" s="543" t="s">
        <v>284</v>
      </c>
      <c r="D42" s="547"/>
      <c r="E42" s="547"/>
      <c r="F42" s="548"/>
      <c r="G42" s="548"/>
      <c r="H42" s="548"/>
      <c r="I42" s="548"/>
      <c r="J42" s="27">
        <f>+'B-3 2022'!S41</f>
        <v>0</v>
      </c>
      <c r="K42" s="549"/>
      <c r="L42" s="27">
        <f>+'B-3'!S41</f>
        <v>0</v>
      </c>
      <c r="M42" s="258"/>
      <c r="N42" s="545"/>
      <c r="O42" s="150"/>
      <c r="P42" s="150"/>
      <c r="Q42" s="150"/>
      <c r="T42" s="92"/>
      <c r="U42" s="546"/>
    </row>
    <row r="43" spans="1:21" ht="15.9" customHeight="1">
      <c r="A43" s="534">
        <v>33</v>
      </c>
      <c r="B43" s="50" t="s">
        <v>415</v>
      </c>
      <c r="C43" s="543" t="s">
        <v>285</v>
      </c>
      <c r="D43" s="547"/>
      <c r="E43" s="547"/>
      <c r="F43" s="548"/>
      <c r="G43" s="548"/>
      <c r="H43" s="548"/>
      <c r="I43" s="548"/>
      <c r="J43" s="27">
        <f>+'B-3 2022'!S42</f>
        <v>69502.012769230772</v>
      </c>
      <c r="K43" s="549"/>
      <c r="L43" s="27">
        <f>+'B-3'!S42</f>
        <v>74162.588999999993</v>
      </c>
      <c r="M43" s="258"/>
      <c r="N43" s="545"/>
      <c r="O43" s="150"/>
      <c r="P43" s="150"/>
      <c r="Q43" s="150"/>
      <c r="T43" s="92"/>
      <c r="U43" s="546"/>
    </row>
    <row r="44" spans="1:21" ht="15.9" customHeight="1">
      <c r="A44" s="534">
        <v>34</v>
      </c>
      <c r="B44" s="35" t="s">
        <v>416</v>
      </c>
      <c r="C44" s="162" t="s">
        <v>286</v>
      </c>
      <c r="D44" s="534"/>
      <c r="E44" s="534"/>
      <c r="F44" s="548"/>
      <c r="G44" s="150"/>
      <c r="H44" s="150"/>
      <c r="I44" s="150"/>
      <c r="J44" s="32">
        <f>+'B-3 2022'!S43</f>
        <v>2447.0845384615382</v>
      </c>
      <c r="K44" s="549"/>
      <c r="L44" s="32">
        <f>+'B-3'!S43</f>
        <v>1390.4040769230774</v>
      </c>
      <c r="M44" s="258"/>
      <c r="N44" s="545"/>
      <c r="O44" s="150"/>
      <c r="P44" s="150"/>
      <c r="Q44" s="150"/>
      <c r="T44" s="92"/>
      <c r="U44" s="546"/>
    </row>
    <row r="45" spans="1:21" ht="15.9" customHeight="1">
      <c r="A45" s="534">
        <v>35</v>
      </c>
      <c r="B45" s="35"/>
      <c r="C45" s="162"/>
      <c r="D45" s="534" t="s">
        <v>396</v>
      </c>
      <c r="E45" s="534"/>
      <c r="F45" s="548"/>
      <c r="G45" s="150"/>
      <c r="H45" s="150"/>
      <c r="I45" s="150"/>
      <c r="J45" s="27">
        <f>SUM(J26:J44)</f>
        <v>471229.60515384621</v>
      </c>
      <c r="K45" s="549"/>
      <c r="L45" s="27">
        <f>SUM(L26:L44)</f>
        <v>1278816.9457692306</v>
      </c>
      <c r="M45" s="258"/>
      <c r="N45" s="534"/>
      <c r="O45" s="534"/>
      <c r="P45" s="534"/>
      <c r="Q45" s="534"/>
      <c r="T45" s="92"/>
      <c r="U45" s="546"/>
    </row>
    <row r="46" spans="1:21" ht="15.9" customHeight="1">
      <c r="A46" s="534">
        <v>36</v>
      </c>
      <c r="B46" s="534"/>
      <c r="C46" s="534"/>
      <c r="D46" s="534"/>
      <c r="E46" s="534"/>
      <c r="F46" s="534"/>
      <c r="G46" s="534"/>
      <c r="H46" s="534"/>
      <c r="I46" s="534"/>
      <c r="J46" s="534"/>
      <c r="K46" s="549"/>
      <c r="L46" s="534"/>
      <c r="M46" s="549"/>
      <c r="N46" s="534"/>
      <c r="O46" s="534"/>
      <c r="P46" s="534"/>
      <c r="Q46" s="534"/>
      <c r="T46" s="92"/>
      <c r="U46" s="546"/>
    </row>
    <row r="47" spans="1:21" ht="15.9" customHeight="1">
      <c r="A47" s="534">
        <v>37</v>
      </c>
      <c r="B47" s="534"/>
      <c r="C47" s="534"/>
      <c r="D47" s="534"/>
      <c r="E47" s="534"/>
      <c r="F47" s="534"/>
      <c r="G47" s="534"/>
      <c r="H47" s="534"/>
      <c r="I47" s="534"/>
      <c r="J47" s="534"/>
      <c r="K47" s="549"/>
      <c r="L47" s="534"/>
      <c r="M47" s="549"/>
      <c r="N47" s="534"/>
      <c r="O47" s="534"/>
      <c r="P47" s="534"/>
      <c r="Q47" s="534"/>
      <c r="T47" s="92"/>
      <c r="U47" s="546"/>
    </row>
    <row r="48" spans="1:21" ht="15.9" customHeight="1">
      <c r="A48" s="534">
        <v>38</v>
      </c>
      <c r="B48" s="534"/>
      <c r="C48" s="534"/>
      <c r="D48" s="534"/>
      <c r="E48" s="534"/>
      <c r="F48" s="534"/>
      <c r="G48" s="534"/>
      <c r="H48" s="534"/>
      <c r="I48" s="534"/>
      <c r="J48" s="534"/>
      <c r="K48" s="538"/>
      <c r="L48" s="534"/>
      <c r="M48" s="549"/>
      <c r="N48" s="534"/>
      <c r="O48" s="534"/>
      <c r="P48" s="534"/>
      <c r="Q48" s="534"/>
      <c r="T48" s="92"/>
      <c r="U48" s="546"/>
    </row>
    <row r="49" spans="1:21" ht="15.9" customHeight="1">
      <c r="A49" s="534">
        <v>39</v>
      </c>
      <c r="B49" s="534"/>
      <c r="C49" s="534"/>
      <c r="D49" s="534"/>
      <c r="E49" s="534"/>
      <c r="F49" s="534"/>
      <c r="G49" s="534"/>
      <c r="H49" s="534"/>
      <c r="I49" s="534"/>
      <c r="J49" s="534"/>
      <c r="K49" s="538"/>
      <c r="L49" s="534"/>
      <c r="M49" s="549"/>
      <c r="N49" s="534"/>
      <c r="O49" s="534"/>
      <c r="P49" s="534"/>
      <c r="Q49" s="534"/>
      <c r="T49" s="92"/>
      <c r="U49" s="546"/>
    </row>
    <row r="50" spans="1:21" ht="15.9" customHeight="1">
      <c r="A50" s="534">
        <v>40</v>
      </c>
      <c r="B50" s="534"/>
      <c r="C50" s="534"/>
      <c r="D50" s="534"/>
      <c r="E50" s="534"/>
      <c r="F50" s="534"/>
      <c r="G50" s="534"/>
      <c r="H50" s="534"/>
      <c r="I50" s="534"/>
      <c r="J50" s="534"/>
      <c r="K50" s="538"/>
      <c r="L50" s="534"/>
      <c r="M50" s="549"/>
      <c r="N50" s="534"/>
      <c r="O50" s="534"/>
      <c r="P50" s="534"/>
      <c r="Q50" s="534"/>
      <c r="T50" s="92"/>
      <c r="U50" s="546"/>
    </row>
    <row r="51" spans="1:21" ht="15.9" customHeight="1">
      <c r="A51" s="534">
        <v>41</v>
      </c>
      <c r="B51" s="534"/>
      <c r="C51" s="534"/>
      <c r="D51" s="534"/>
      <c r="E51" s="534"/>
      <c r="F51" s="534"/>
      <c r="G51" s="534"/>
      <c r="H51" s="534"/>
      <c r="I51" s="534"/>
      <c r="J51" s="534"/>
      <c r="K51" s="538"/>
      <c r="L51" s="534"/>
      <c r="M51" s="549"/>
      <c r="N51" s="534"/>
      <c r="O51" s="534"/>
      <c r="P51" s="534"/>
      <c r="Q51" s="534"/>
      <c r="T51" s="92"/>
      <c r="U51" s="546"/>
    </row>
    <row r="52" spans="1:21" ht="15.9" customHeight="1">
      <c r="A52" s="534">
        <v>42</v>
      </c>
      <c r="B52" s="534"/>
      <c r="C52" s="534"/>
      <c r="D52" s="534"/>
      <c r="E52" s="534"/>
      <c r="F52" s="534"/>
      <c r="G52" s="534"/>
      <c r="H52" s="534"/>
      <c r="I52" s="534"/>
      <c r="J52" s="534"/>
      <c r="K52" s="538"/>
      <c r="L52" s="534"/>
      <c r="M52" s="549"/>
      <c r="N52" s="534"/>
      <c r="O52" s="534"/>
      <c r="P52" s="534"/>
      <c r="Q52" s="534"/>
      <c r="T52" s="92"/>
      <c r="U52" s="546"/>
    </row>
    <row r="53" spans="1:21" ht="15.9" customHeight="1" thickBot="1">
      <c r="A53" s="539">
        <v>43</v>
      </c>
      <c r="B53" s="1" t="s">
        <v>67</v>
      </c>
      <c r="C53" s="539"/>
      <c r="D53" s="539"/>
      <c r="E53" s="539"/>
      <c r="F53" s="539"/>
      <c r="G53" s="539"/>
      <c r="H53" s="539"/>
      <c r="I53" s="539"/>
      <c r="J53" s="539"/>
      <c r="K53" s="553"/>
      <c r="L53" s="539"/>
      <c r="M53" s="539"/>
      <c r="N53" s="539"/>
      <c r="O53" s="539"/>
      <c r="P53" s="539"/>
      <c r="Q53" s="539"/>
      <c r="R53" s="100"/>
      <c r="S53" s="100"/>
      <c r="T53" s="92"/>
      <c r="U53" s="546"/>
    </row>
    <row r="54" spans="1:21" ht="15.9" customHeight="1">
      <c r="A54" s="554" t="s">
        <v>522</v>
      </c>
      <c r="B54" s="5"/>
      <c r="C54" s="5"/>
      <c r="D54" s="5"/>
      <c r="E54" s="5"/>
      <c r="F54" s="5"/>
      <c r="G54" s="5"/>
      <c r="H54" s="5"/>
      <c r="I54" s="5"/>
      <c r="J54" s="5"/>
      <c r="K54" s="320"/>
      <c r="L54" s="5"/>
      <c r="M54" s="5"/>
      <c r="N54" s="5"/>
      <c r="O54" s="5"/>
      <c r="P54" s="5"/>
      <c r="Q54" s="5" t="s">
        <v>181</v>
      </c>
      <c r="R54" s="4"/>
      <c r="S54" s="4"/>
      <c r="T54" s="92"/>
      <c r="U54" s="546"/>
    </row>
    <row r="55" spans="1:21" ht="15.9" customHeight="1" thickBot="1">
      <c r="A55" s="1" t="str">
        <f>+$A$1</f>
        <v>SCHEDULE B-4</v>
      </c>
      <c r="B55" s="1"/>
      <c r="C55" s="1"/>
      <c r="D55" s="1"/>
      <c r="E55" s="1"/>
      <c r="F55" s="1"/>
      <c r="G55" s="1"/>
      <c r="H55" s="1"/>
      <c r="I55" s="1" t="str">
        <f>+$I$1</f>
        <v>TWO YEAR HISTORICAL BALANCE SHEET</v>
      </c>
      <c r="J55" s="1"/>
      <c r="K55" s="533"/>
      <c r="L55" s="1"/>
      <c r="M55" s="1"/>
      <c r="N55" s="1"/>
      <c r="O55" s="1"/>
      <c r="P55" s="1"/>
      <c r="Q55" s="1"/>
      <c r="R55" s="1"/>
      <c r="S55" s="1" t="s">
        <v>70</v>
      </c>
      <c r="T55" s="92"/>
      <c r="U55" s="546"/>
    </row>
    <row r="56" spans="1:21" ht="15.9" customHeight="1">
      <c r="A56" s="4" t="s">
        <v>4</v>
      </c>
      <c r="B56" s="4"/>
      <c r="C56" s="4"/>
      <c r="D56" s="4"/>
      <c r="E56" s="4" t="s">
        <v>514</v>
      </c>
      <c r="F56" s="4"/>
      <c r="G56" s="4" t="str">
        <f>+$G$2</f>
        <v>Provide 13-month average system balance sheets by primary account for the most recent two historical</v>
      </c>
      <c r="H56" s="5"/>
      <c r="I56" s="5"/>
      <c r="J56" s="6"/>
      <c r="K56" s="6"/>
      <c r="L56" s="4"/>
      <c r="M56" s="6"/>
      <c r="N56" s="6"/>
      <c r="O56" s="6"/>
      <c r="P56" s="6" t="s">
        <v>7</v>
      </c>
      <c r="Q56" s="4"/>
      <c r="R56" s="4"/>
      <c r="S56" s="7"/>
      <c r="T56" s="92"/>
      <c r="U56" s="546"/>
    </row>
    <row r="57" spans="1:21" ht="15.9" customHeight="1">
      <c r="A57" s="4"/>
      <c r="B57" s="4"/>
      <c r="C57" s="4"/>
      <c r="D57" s="4"/>
      <c r="E57" s="4"/>
      <c r="F57" s="4"/>
      <c r="G57" s="4" t="str">
        <f>+$G$3</f>
        <v>calendar years not including the historical test year if provided elsewhere</v>
      </c>
      <c r="H57" s="5"/>
      <c r="I57" s="5"/>
      <c r="J57" s="9"/>
      <c r="K57" s="7"/>
      <c r="L57" s="4"/>
      <c r="M57" s="549"/>
      <c r="N57" s="4"/>
      <c r="O57" s="9"/>
      <c r="Q57" s="7" t="str">
        <f>$Q$3</f>
        <v>Projected Test Year Ended 12/31/2025</v>
      </c>
      <c r="R57" s="4"/>
      <c r="S57" s="9"/>
      <c r="T57" s="92"/>
      <c r="U57" s="546"/>
    </row>
    <row r="58" spans="1:21" ht="15.9" customHeight="1">
      <c r="A58" s="4" t="s">
        <v>10</v>
      </c>
      <c r="B58" s="4"/>
      <c r="C58" s="4"/>
      <c r="D58" s="4"/>
      <c r="E58" s="4"/>
      <c r="F58" s="4"/>
      <c r="G58" s="4"/>
      <c r="H58" s="4"/>
      <c r="I58" s="4"/>
      <c r="J58" s="9"/>
      <c r="K58" s="7"/>
      <c r="L58" s="9"/>
      <c r="M58" s="549"/>
      <c r="N58" s="4"/>
      <c r="O58" s="4"/>
      <c r="P58" s="9"/>
      <c r="Q58" s="7" t="str">
        <f>$Q$4</f>
        <v>Projected Prior Year Ended 12/31/2024</v>
      </c>
      <c r="R58" s="4"/>
      <c r="S58" s="9"/>
      <c r="T58" s="92"/>
      <c r="U58" s="546"/>
    </row>
    <row r="59" spans="1:21" ht="15.9" customHeight="1">
      <c r="A59" s="4"/>
      <c r="B59" s="4"/>
      <c r="C59" s="4"/>
      <c r="D59" s="4"/>
      <c r="E59" s="4"/>
      <c r="F59" s="4"/>
      <c r="G59" s="4"/>
      <c r="H59" s="4"/>
      <c r="I59" s="4"/>
      <c r="J59" s="9"/>
      <c r="K59" s="7"/>
      <c r="L59" s="9"/>
      <c r="M59" s="549"/>
      <c r="N59" s="4"/>
      <c r="O59" s="4"/>
      <c r="P59" s="9" t="s">
        <v>12</v>
      </c>
      <c r="Q59" s="7" t="str">
        <f>$Q$5</f>
        <v>Historical Prior Year Ended 12/31/2023</v>
      </c>
      <c r="R59" s="4"/>
      <c r="S59" s="9"/>
      <c r="T59" s="92"/>
      <c r="U59" s="546"/>
    </row>
    <row r="60" spans="1:21" ht="15.9" customHeight="1" thickBot="1">
      <c r="A60" s="2" t="str">
        <f>+A6</f>
        <v>DOCKET No. 20210034-EI</v>
      </c>
      <c r="B60" s="2"/>
      <c r="C60" s="1"/>
      <c r="D60" s="1"/>
      <c r="E60" s="1"/>
      <c r="F60" s="1"/>
      <c r="G60" s="1"/>
      <c r="H60" s="1"/>
      <c r="I60" s="1"/>
      <c r="J60" s="10"/>
      <c r="K60" s="533"/>
      <c r="L60" s="1"/>
      <c r="M60" s="1"/>
      <c r="N60" s="1"/>
      <c r="O60" s="1"/>
      <c r="P60" s="1"/>
      <c r="Q60" s="2" t="str">
        <f>$Q$6</f>
        <v>Witness:</v>
      </c>
      <c r="R60" s="1"/>
      <c r="S60" s="1"/>
      <c r="T60" s="92"/>
      <c r="U60" s="546"/>
    </row>
    <row r="61" spans="1:21" ht="15.9" customHeight="1">
      <c r="A61" s="534"/>
      <c r="B61" s="534"/>
      <c r="C61" s="535"/>
      <c r="D61" s="535"/>
      <c r="E61" s="535"/>
      <c r="F61" s="535"/>
      <c r="G61" s="535"/>
      <c r="H61" s="535"/>
      <c r="I61" s="535"/>
      <c r="J61" s="535" t="s">
        <v>518</v>
      </c>
      <c r="K61" s="536"/>
      <c r="L61" s="535" t="s">
        <v>519</v>
      </c>
      <c r="M61" s="535"/>
      <c r="N61" s="535"/>
      <c r="O61" s="535"/>
      <c r="P61" s="535"/>
      <c r="Q61" s="535"/>
      <c r="R61" s="535"/>
      <c r="S61" s="535"/>
      <c r="T61" s="92"/>
      <c r="U61" s="546"/>
    </row>
    <row r="62" spans="1:21" ht="15.9" customHeight="1">
      <c r="A62" s="534"/>
      <c r="B62" s="534"/>
      <c r="C62" s="534"/>
      <c r="D62" s="534"/>
      <c r="E62" s="534"/>
      <c r="F62" s="534"/>
      <c r="G62" s="534"/>
      <c r="H62" s="534"/>
      <c r="I62" s="537"/>
      <c r="J62" s="537" t="s">
        <v>520</v>
      </c>
      <c r="K62" s="538"/>
      <c r="L62" s="537" t="s">
        <v>520</v>
      </c>
      <c r="M62" s="537"/>
      <c r="N62" s="537"/>
      <c r="O62" s="534"/>
      <c r="P62" s="534"/>
      <c r="Q62" s="534"/>
      <c r="R62" s="534"/>
      <c r="S62" s="537"/>
      <c r="T62" s="92"/>
      <c r="U62" s="546"/>
    </row>
    <row r="63" spans="1:21" ht="15.9" customHeight="1">
      <c r="A63" s="534" t="s">
        <v>35</v>
      </c>
      <c r="B63" s="537" t="s">
        <v>355</v>
      </c>
      <c r="C63" s="537" t="s">
        <v>355</v>
      </c>
      <c r="D63" s="537"/>
      <c r="E63" s="537"/>
      <c r="F63" s="535"/>
      <c r="G63" s="535"/>
      <c r="H63" s="535"/>
      <c r="I63" s="535"/>
      <c r="J63" s="537" t="s">
        <v>369</v>
      </c>
      <c r="K63" s="536"/>
      <c r="L63" s="537" t="s">
        <v>369</v>
      </c>
      <c r="M63" s="535"/>
      <c r="N63" s="535"/>
      <c r="O63" s="535"/>
      <c r="P63" s="535"/>
      <c r="Q63" s="535"/>
      <c r="R63" s="535"/>
      <c r="S63" s="537"/>
      <c r="T63" s="92"/>
      <c r="U63" s="546"/>
    </row>
    <row r="64" spans="1:21" ht="15.9" customHeight="1" thickBot="1">
      <c r="A64" s="539" t="s">
        <v>46</v>
      </c>
      <c r="B64" s="540" t="s">
        <v>371</v>
      </c>
      <c r="C64" s="540" t="s">
        <v>372</v>
      </c>
      <c r="D64" s="540"/>
      <c r="E64" s="540"/>
      <c r="F64" s="540"/>
      <c r="G64" s="540"/>
      <c r="H64" s="540"/>
      <c r="I64" s="540"/>
      <c r="J64" s="541">
        <f>$J$10</f>
        <v>2022</v>
      </c>
      <c r="K64" s="542"/>
      <c r="L64" s="541">
        <f>$L$10</f>
        <v>2023</v>
      </c>
      <c r="M64" s="541"/>
      <c r="N64" s="541"/>
      <c r="O64" s="541"/>
      <c r="P64" s="541"/>
      <c r="Q64" s="541"/>
      <c r="R64" s="541"/>
      <c r="S64" s="541"/>
      <c r="T64" s="92"/>
      <c r="U64" s="546"/>
    </row>
    <row r="65" spans="1:21" ht="15.9" customHeight="1">
      <c r="A65" s="142">
        <v>1</v>
      </c>
      <c r="M65" s="549"/>
      <c r="N65" s="534"/>
      <c r="O65" s="534"/>
      <c r="P65" s="150"/>
      <c r="Q65" s="150"/>
      <c r="R65" s="150"/>
      <c r="S65" s="150"/>
      <c r="T65" s="92"/>
      <c r="U65" s="546"/>
    </row>
    <row r="66" spans="1:21" ht="15.9" customHeight="1">
      <c r="A66" s="142">
        <v>2</v>
      </c>
      <c r="B66" s="86"/>
      <c r="C66" s="14" t="s">
        <v>292</v>
      </c>
      <c r="D66" s="14"/>
      <c r="E66" s="534"/>
      <c r="F66" s="534"/>
      <c r="G66" s="534"/>
      <c r="H66" s="534"/>
      <c r="I66" s="534"/>
      <c r="J66" s="534"/>
      <c r="K66" s="538"/>
      <c r="L66" s="534"/>
      <c r="M66" s="549"/>
      <c r="N66" s="545"/>
      <c r="O66" s="150"/>
      <c r="P66" s="150"/>
      <c r="Q66" s="150"/>
      <c r="R66" s="150"/>
      <c r="S66" s="150"/>
      <c r="T66" s="92"/>
      <c r="U66" s="546"/>
    </row>
    <row r="67" spans="1:21" ht="15.9" customHeight="1">
      <c r="A67" s="142">
        <v>3</v>
      </c>
      <c r="B67" s="35" t="s">
        <v>419</v>
      </c>
      <c r="C67" s="14" t="s">
        <v>420</v>
      </c>
      <c r="D67" s="142"/>
      <c r="E67" s="555"/>
      <c r="F67" s="556"/>
      <c r="G67" s="556"/>
      <c r="H67" s="556"/>
      <c r="I67" s="556"/>
      <c r="J67" s="27">
        <f>'B-3 2022'!S66</f>
        <v>24246.518999999997</v>
      </c>
      <c r="K67" s="557"/>
      <c r="L67" s="27">
        <f>'B-3'!S66</f>
        <v>29107.91484615385</v>
      </c>
      <c r="M67" s="549"/>
      <c r="N67" s="545"/>
      <c r="O67" s="150"/>
      <c r="P67" s="150"/>
      <c r="Q67" s="150"/>
      <c r="R67" s="150"/>
      <c r="S67" s="150"/>
      <c r="T67" s="92"/>
      <c r="U67" s="546"/>
    </row>
    <row r="68" spans="1:21" ht="15.9" customHeight="1">
      <c r="A68" s="142">
        <v>4</v>
      </c>
      <c r="B68" s="35" t="s">
        <v>422</v>
      </c>
      <c r="C68" s="14" t="s">
        <v>289</v>
      </c>
      <c r="D68" s="142"/>
      <c r="E68" s="555"/>
      <c r="F68" s="556"/>
      <c r="G68" s="556"/>
      <c r="H68" s="556"/>
      <c r="I68" s="556"/>
      <c r="J68" s="149">
        <f>'B-3 2022'!S67</f>
        <v>1015809.9678961539</v>
      </c>
      <c r="K68" s="557"/>
      <c r="L68" s="27">
        <f>'B-3'!S67</f>
        <v>1144160.9704053847</v>
      </c>
      <c r="M68" s="549"/>
      <c r="N68" s="545"/>
      <c r="O68" s="150"/>
      <c r="P68" s="150"/>
      <c r="Q68" s="150"/>
      <c r="R68" s="150"/>
      <c r="S68" s="150"/>
      <c r="T68" s="92"/>
      <c r="U68" s="546"/>
    </row>
    <row r="69" spans="1:21" ht="15.9" customHeight="1">
      <c r="A69" s="142">
        <v>5</v>
      </c>
      <c r="B69" s="151" t="s">
        <v>422</v>
      </c>
      <c r="C69" s="14" t="s">
        <v>424</v>
      </c>
      <c r="D69" s="142"/>
      <c r="E69" s="555"/>
      <c r="F69" s="556"/>
      <c r="G69" s="556"/>
      <c r="H69" s="556"/>
      <c r="I69" s="556"/>
      <c r="J69" s="27">
        <f>+'B-3 2022'!S68</f>
        <v>120078.95688384616</v>
      </c>
      <c r="K69" s="557"/>
      <c r="L69" s="27">
        <f>'B-3'!S68</f>
        <v>110249.05368615384</v>
      </c>
      <c r="M69" s="549"/>
      <c r="N69" s="167"/>
      <c r="O69" s="560"/>
      <c r="P69" s="150"/>
      <c r="Q69" s="150"/>
      <c r="R69" s="150"/>
      <c r="S69" s="150"/>
      <c r="T69" s="92"/>
      <c r="U69" s="546"/>
    </row>
    <row r="70" spans="1:21" ht="15.9" customHeight="1">
      <c r="A70" s="142">
        <v>6</v>
      </c>
      <c r="B70" s="35" t="s">
        <v>426</v>
      </c>
      <c r="C70" s="14" t="s">
        <v>290</v>
      </c>
      <c r="D70" s="142"/>
      <c r="E70" s="555"/>
      <c r="F70" s="558"/>
      <c r="G70" s="558"/>
      <c r="H70" s="558"/>
      <c r="I70" s="558"/>
      <c r="J70" s="27">
        <f>+'B-3 2022'!S69</f>
        <v>1560.9691538461541</v>
      </c>
      <c r="K70" s="559"/>
      <c r="L70" s="27">
        <f>'B-3'!S69</f>
        <v>5181.2872307692305</v>
      </c>
      <c r="M70" s="549"/>
      <c r="N70" s="167"/>
      <c r="O70" s="534"/>
      <c r="P70" s="150"/>
      <c r="Q70" s="150"/>
      <c r="R70" s="150"/>
      <c r="S70" s="150"/>
      <c r="T70" s="92"/>
      <c r="U70" s="546"/>
    </row>
    <row r="71" spans="1:21" ht="15.9" customHeight="1">
      <c r="A71" s="142">
        <v>7</v>
      </c>
      <c r="B71" s="35" t="s">
        <v>427</v>
      </c>
      <c r="C71" s="14" t="s">
        <v>291</v>
      </c>
      <c r="D71" s="142"/>
      <c r="E71" s="561"/>
      <c r="F71" s="561"/>
      <c r="G71" s="561"/>
      <c r="H71" s="561"/>
      <c r="I71" s="561"/>
      <c r="J71" s="27">
        <f>+'B-3 2022'!S70</f>
        <v>61.159307692307692</v>
      </c>
      <c r="K71" s="562"/>
      <c r="L71" s="27">
        <f>'B-3'!S70</f>
        <v>71.845230769230767</v>
      </c>
      <c r="M71" s="549"/>
      <c r="N71" s="167"/>
      <c r="O71" s="534"/>
      <c r="P71" s="150"/>
      <c r="Q71" s="150"/>
      <c r="R71" s="150"/>
      <c r="S71" s="150"/>
      <c r="T71" s="92"/>
      <c r="U71" s="546"/>
    </row>
    <row r="72" spans="1:21" ht="15.9" customHeight="1">
      <c r="A72" s="142">
        <v>8</v>
      </c>
      <c r="B72" s="35" t="s">
        <v>428</v>
      </c>
      <c r="C72" s="14" t="s">
        <v>292</v>
      </c>
      <c r="D72" s="142"/>
      <c r="E72" s="561"/>
      <c r="F72" s="561"/>
      <c r="G72" s="561"/>
      <c r="H72" s="561"/>
      <c r="I72" s="561"/>
      <c r="J72" s="27">
        <f>+'B-3 2022'!S71</f>
        <v>15551.532153846154</v>
      </c>
      <c r="K72" s="562"/>
      <c r="L72" s="27">
        <f>'B-3'!S71</f>
        <v>10845.30323076923</v>
      </c>
      <c r="M72" s="549"/>
      <c r="N72" s="167"/>
      <c r="O72" s="534"/>
      <c r="P72" s="150"/>
      <c r="Q72" s="150"/>
      <c r="R72" s="150"/>
      <c r="S72" s="150"/>
      <c r="T72" s="92"/>
      <c r="U72" s="546"/>
    </row>
    <row r="73" spans="1:21" ht="15.9" customHeight="1">
      <c r="A73" s="142">
        <v>9</v>
      </c>
      <c r="B73" s="157" t="s">
        <v>429</v>
      </c>
      <c r="C73" s="14" t="s">
        <v>430</v>
      </c>
      <c r="D73" s="142"/>
      <c r="E73" s="561"/>
      <c r="F73" s="561"/>
      <c r="G73" s="561"/>
      <c r="H73" s="561"/>
      <c r="I73" s="561"/>
      <c r="J73" s="27">
        <f>+'B-3 2022'!S72</f>
        <v>3694.3951538461542</v>
      </c>
      <c r="K73" s="562"/>
      <c r="L73" s="27">
        <f>'B-3'!S72</f>
        <v>3134.2403076923079</v>
      </c>
      <c r="M73" s="549"/>
      <c r="N73" s="545"/>
      <c r="O73" s="258"/>
      <c r="P73" s="150"/>
      <c r="Q73" s="150"/>
      <c r="R73" s="150"/>
      <c r="S73" s="150"/>
      <c r="T73" s="92"/>
      <c r="U73" s="546"/>
    </row>
    <row r="74" spans="1:21" ht="15.9" customHeight="1">
      <c r="A74" s="142">
        <v>10</v>
      </c>
      <c r="B74" s="35" t="s">
        <v>431</v>
      </c>
      <c r="C74" s="14" t="s">
        <v>432</v>
      </c>
      <c r="D74" s="142"/>
      <c r="E74" s="162"/>
      <c r="F74" s="162"/>
      <c r="G74" s="162"/>
      <c r="H74" s="162"/>
      <c r="I74" s="162"/>
      <c r="J74" s="32">
        <f>+'B-3 2022'!S73</f>
        <v>724232.50315384613</v>
      </c>
      <c r="K74" s="562"/>
      <c r="L74" s="32">
        <f>'B-3'!S73</f>
        <v>723468.13738461537</v>
      </c>
      <c r="M74" s="549"/>
      <c r="N74" s="152"/>
      <c r="O74" s="162"/>
      <c r="P74" s="535"/>
      <c r="Q74" s="535"/>
      <c r="R74" s="535"/>
      <c r="S74" s="535"/>
      <c r="T74" s="92"/>
      <c r="U74" s="546"/>
    </row>
    <row r="75" spans="1:21" ht="15.9" customHeight="1">
      <c r="A75" s="142">
        <v>11</v>
      </c>
      <c r="B75" s="35"/>
      <c r="C75" s="14"/>
      <c r="D75" s="142" t="s">
        <v>292</v>
      </c>
      <c r="E75" s="555"/>
      <c r="F75" s="556"/>
      <c r="G75" s="556"/>
      <c r="H75" s="556"/>
      <c r="I75" s="556"/>
      <c r="J75" s="27">
        <f>SUM(J67:J74)</f>
        <v>1905236.0027030769</v>
      </c>
      <c r="K75" s="562"/>
      <c r="L75" s="27">
        <f>SUM(L67:L74)</f>
        <v>2026218.7523223076</v>
      </c>
      <c r="M75" s="549"/>
      <c r="N75" s="545"/>
      <c r="O75" s="150"/>
      <c r="P75" s="535"/>
      <c r="Q75" s="535"/>
      <c r="R75" s="535"/>
      <c r="S75" s="535"/>
      <c r="T75" s="92"/>
      <c r="U75" s="546"/>
    </row>
    <row r="76" spans="1:21" ht="15.9" customHeight="1">
      <c r="A76" s="142">
        <v>12</v>
      </c>
      <c r="B76" s="35"/>
      <c r="C76" s="14"/>
      <c r="D76" s="142"/>
      <c r="E76" s="555"/>
      <c r="F76" s="556"/>
      <c r="G76" s="556"/>
      <c r="H76" s="556"/>
      <c r="I76" s="556"/>
      <c r="J76" s="27"/>
      <c r="K76" s="562"/>
      <c r="L76" s="27"/>
      <c r="M76" s="549"/>
      <c r="N76" s="545"/>
      <c r="O76" s="150"/>
      <c r="P76" s="258"/>
      <c r="Q76" s="258"/>
      <c r="R76" s="258"/>
      <c r="S76" s="258"/>
      <c r="T76" s="92"/>
      <c r="U76" s="546"/>
    </row>
    <row r="77" spans="1:21" ht="15.9" customHeight="1" thickBot="1">
      <c r="A77" s="142">
        <v>13</v>
      </c>
      <c r="B77" s="35"/>
      <c r="C77" s="14" t="s">
        <v>433</v>
      </c>
      <c r="D77" s="142"/>
      <c r="E77" s="555"/>
      <c r="F77" s="556"/>
      <c r="G77" s="556"/>
      <c r="H77" s="556"/>
      <c r="I77" s="556"/>
      <c r="J77" s="158">
        <f>+J18+J23+J45+J75</f>
        <v>11051352.673743848</v>
      </c>
      <c r="K77" s="562"/>
      <c r="L77" s="158">
        <f>+L18+L23+L45+L75</f>
        <v>12778251.316933075</v>
      </c>
      <c r="M77" s="549"/>
      <c r="N77" s="545"/>
      <c r="O77" s="150"/>
      <c r="P77" s="162"/>
      <c r="Q77" s="162"/>
      <c r="R77" s="162"/>
      <c r="S77" s="162"/>
      <c r="T77" s="92"/>
      <c r="U77" s="546"/>
    </row>
    <row r="78" spans="1:21" ht="15.9" customHeight="1" thickTop="1">
      <c r="A78" s="142">
        <v>14</v>
      </c>
      <c r="B78" s="142"/>
      <c r="C78" s="142"/>
      <c r="D78" s="142"/>
      <c r="E78" s="555"/>
      <c r="F78" s="556"/>
      <c r="G78" s="556"/>
      <c r="H78" s="556"/>
      <c r="I78" s="556"/>
      <c r="J78" s="160"/>
      <c r="K78" s="562"/>
      <c r="L78" s="160"/>
      <c r="M78" s="549"/>
      <c r="N78" s="545"/>
      <c r="O78" s="150"/>
      <c r="P78" s="150"/>
      <c r="Q78" s="150"/>
      <c r="R78" s="150"/>
      <c r="S78" s="150"/>
      <c r="T78" s="92"/>
      <c r="U78" s="546"/>
    </row>
    <row r="79" spans="1:21" ht="15.9" customHeight="1">
      <c r="A79" s="142">
        <v>15</v>
      </c>
      <c r="B79" s="35"/>
      <c r="C79" s="14" t="s">
        <v>434</v>
      </c>
      <c r="D79" s="142"/>
      <c r="E79" s="555"/>
      <c r="F79" s="556"/>
      <c r="G79" s="556"/>
      <c r="H79" s="556"/>
      <c r="I79" s="556"/>
      <c r="J79" s="27"/>
      <c r="K79" s="562"/>
      <c r="L79" s="27"/>
      <c r="M79" s="549"/>
      <c r="N79" s="545"/>
      <c r="O79" s="150"/>
      <c r="P79" s="150"/>
      <c r="Q79" s="150"/>
      <c r="R79" s="150"/>
      <c r="S79" s="150"/>
      <c r="T79" s="92"/>
      <c r="U79" s="546"/>
    </row>
    <row r="80" spans="1:21" ht="15.9" customHeight="1">
      <c r="A80" s="142">
        <v>16</v>
      </c>
      <c r="B80" s="35"/>
      <c r="C80" s="14"/>
      <c r="D80" s="142"/>
      <c r="E80" s="561"/>
      <c r="F80" s="561"/>
      <c r="G80" s="561"/>
      <c r="H80" s="561"/>
      <c r="I80" s="561"/>
      <c r="J80" s="27"/>
      <c r="K80" s="562"/>
      <c r="L80" s="27"/>
      <c r="M80" s="549"/>
      <c r="N80" s="545"/>
      <c r="O80" s="150"/>
      <c r="P80" s="150"/>
      <c r="Q80" s="150"/>
      <c r="R80" s="150"/>
      <c r="S80" s="150"/>
      <c r="T80" s="92"/>
      <c r="U80" s="546"/>
    </row>
    <row r="81" spans="1:21" ht="15.9" customHeight="1">
      <c r="A81" s="142">
        <v>17</v>
      </c>
      <c r="B81" s="35" t="s">
        <v>435</v>
      </c>
      <c r="C81" s="14" t="s">
        <v>436</v>
      </c>
      <c r="D81" s="142"/>
      <c r="E81" s="555"/>
      <c r="F81" s="556"/>
      <c r="G81" s="556"/>
      <c r="H81" s="556"/>
      <c r="I81" s="556"/>
      <c r="J81" s="27">
        <f>+'B-3 2022'!S80</f>
        <v>119696.78799999996</v>
      </c>
      <c r="K81" s="562"/>
      <c r="L81" s="27">
        <f>+'B-3'!S80</f>
        <v>119696.78799999996</v>
      </c>
      <c r="M81" s="549"/>
      <c r="N81" s="545"/>
      <c r="O81" s="150"/>
      <c r="P81" s="150"/>
      <c r="Q81" s="150"/>
      <c r="R81" s="150"/>
      <c r="S81" s="150"/>
      <c r="T81" s="92"/>
      <c r="U81" s="546"/>
    </row>
    <row r="82" spans="1:21" ht="15.9" customHeight="1">
      <c r="A82" s="142">
        <v>18</v>
      </c>
      <c r="B82" s="35" t="s">
        <v>437</v>
      </c>
      <c r="C82" s="14" t="s">
        <v>438</v>
      </c>
      <c r="D82" s="142"/>
      <c r="E82" s="555"/>
      <c r="F82" s="556"/>
      <c r="G82" s="556"/>
      <c r="H82" s="556"/>
      <c r="I82" s="556"/>
      <c r="J82" s="27">
        <f>+'B-3 2022'!S81</f>
        <v>3887763.3259230754</v>
      </c>
      <c r="K82" s="562"/>
      <c r="L82" s="27">
        <f>+'B-3'!S81</f>
        <v>4270455.6336153829</v>
      </c>
      <c r="M82" s="549"/>
      <c r="N82" s="545"/>
      <c r="O82" s="150"/>
      <c r="P82" s="150"/>
      <c r="Q82" s="150"/>
      <c r="R82" s="150"/>
      <c r="S82" s="150"/>
      <c r="T82" s="92"/>
      <c r="U82" s="546"/>
    </row>
    <row r="83" spans="1:21" ht="15.9" customHeight="1">
      <c r="A83" s="142">
        <v>19</v>
      </c>
      <c r="B83" s="35" t="s">
        <v>439</v>
      </c>
      <c r="C83" s="14" t="s">
        <v>440</v>
      </c>
      <c r="D83" s="142"/>
      <c r="E83" s="555"/>
      <c r="F83" s="556"/>
      <c r="G83" s="556"/>
      <c r="H83" s="162"/>
      <c r="I83" s="556"/>
      <c r="J83" s="27">
        <f>+'B-3 2022'!S82</f>
        <v>-700.92100000000016</v>
      </c>
      <c r="K83" s="562"/>
      <c r="L83" s="27">
        <f>+'B-3'!S82</f>
        <v>-700.92100000000016</v>
      </c>
      <c r="M83" s="549"/>
      <c r="N83" s="545"/>
      <c r="O83" s="150"/>
      <c r="P83" s="150"/>
      <c r="Q83" s="150"/>
      <c r="R83" s="150"/>
      <c r="S83" s="150"/>
      <c r="T83" s="92"/>
      <c r="U83" s="546"/>
    </row>
    <row r="84" spans="1:21" ht="15.9" customHeight="1">
      <c r="A84" s="142">
        <v>20</v>
      </c>
      <c r="B84" s="35" t="s">
        <v>441</v>
      </c>
      <c r="C84" s="14" t="s">
        <v>442</v>
      </c>
      <c r="D84" s="142"/>
      <c r="E84" s="561"/>
      <c r="F84" s="561"/>
      <c r="G84" s="561"/>
      <c r="H84" s="561"/>
      <c r="I84" s="561"/>
      <c r="J84" s="27">
        <f>+'B-3 2022'!S83</f>
        <v>226168.53423076926</v>
      </c>
      <c r="K84" s="562"/>
      <c r="L84" s="27">
        <f>+'B-3'!S83</f>
        <v>249867.5743076923</v>
      </c>
      <c r="M84" s="549"/>
      <c r="N84" s="545"/>
      <c r="O84" s="150"/>
      <c r="P84" s="150"/>
      <c r="Q84" s="150"/>
      <c r="R84" s="150"/>
      <c r="S84" s="150"/>
      <c r="T84" s="92"/>
      <c r="U84" s="546"/>
    </row>
    <row r="85" spans="1:21" ht="15.9" customHeight="1">
      <c r="A85" s="142">
        <v>21</v>
      </c>
      <c r="B85" s="35" t="s">
        <v>443</v>
      </c>
      <c r="C85" s="14" t="s">
        <v>444</v>
      </c>
      <c r="D85" s="142"/>
      <c r="E85" s="555"/>
      <c r="F85" s="556"/>
      <c r="G85" s="556"/>
      <c r="H85" s="556"/>
      <c r="I85" s="556"/>
      <c r="J85" s="32">
        <f>+'B-3 2022'!S84</f>
        <v>-751.16507692307698</v>
      </c>
      <c r="K85" s="562"/>
      <c r="L85" s="32">
        <f>+'B-3'!S84</f>
        <v>-786.7397692307693</v>
      </c>
      <c r="M85" s="549"/>
      <c r="N85" s="167"/>
      <c r="O85" s="534"/>
      <c r="P85" s="150"/>
      <c r="Q85" s="150"/>
      <c r="R85" s="150"/>
      <c r="S85" s="150"/>
      <c r="T85" s="92"/>
      <c r="U85" s="546"/>
    </row>
    <row r="86" spans="1:21" ht="15.9" customHeight="1">
      <c r="A86" s="142">
        <v>22</v>
      </c>
      <c r="B86" s="35"/>
      <c r="C86" s="14"/>
      <c r="D86" s="142" t="s">
        <v>434</v>
      </c>
      <c r="E86" s="555"/>
      <c r="F86" s="556"/>
      <c r="G86" s="556"/>
      <c r="H86" s="162"/>
      <c r="I86" s="556"/>
      <c r="J86" s="27">
        <f t="shared" ref="J86" si="2">SUM(J81:J85)</f>
        <v>4232176.5620769225</v>
      </c>
      <c r="K86" s="562"/>
      <c r="L86" s="27">
        <f>SUM(L81:L85)</f>
        <v>4638532.3351538442</v>
      </c>
      <c r="M86" s="549"/>
      <c r="N86" s="545"/>
      <c r="O86" s="150"/>
      <c r="P86" s="150"/>
      <c r="Q86" s="150"/>
      <c r="R86" s="150"/>
      <c r="S86" s="150"/>
      <c r="T86" s="92"/>
      <c r="U86" s="546"/>
    </row>
    <row r="87" spans="1:21" ht="15.9" customHeight="1">
      <c r="A87" s="142">
        <v>23</v>
      </c>
      <c r="B87" s="35"/>
      <c r="C87" s="142"/>
      <c r="D87" s="142"/>
      <c r="E87" s="555"/>
      <c r="F87" s="556"/>
      <c r="G87" s="556"/>
      <c r="H87" s="556"/>
      <c r="I87" s="556"/>
      <c r="J87" s="27"/>
      <c r="K87" s="562"/>
      <c r="L87" s="27"/>
      <c r="M87" s="549"/>
      <c r="N87" s="545"/>
      <c r="O87" s="150"/>
      <c r="P87" s="150"/>
      <c r="Q87" s="150"/>
      <c r="R87" s="150"/>
      <c r="S87" s="150"/>
      <c r="T87" s="92"/>
      <c r="U87" s="546"/>
    </row>
    <row r="88" spans="1:21" ht="15.9" customHeight="1">
      <c r="A88" s="142">
        <v>24</v>
      </c>
      <c r="B88" s="35"/>
      <c r="C88" s="14" t="s">
        <v>445</v>
      </c>
      <c r="D88" s="142"/>
      <c r="E88" s="555"/>
      <c r="F88" s="556"/>
      <c r="G88" s="556"/>
      <c r="H88" s="556"/>
      <c r="I88" s="556"/>
      <c r="J88" s="27"/>
      <c r="K88" s="562"/>
      <c r="L88" s="27"/>
      <c r="M88" s="549"/>
      <c r="N88" s="545"/>
      <c r="O88" s="150"/>
      <c r="P88" s="150"/>
      <c r="Q88" s="150"/>
      <c r="R88" s="150"/>
      <c r="S88" s="150"/>
      <c r="T88" s="92"/>
      <c r="U88" s="546"/>
    </row>
    <row r="89" spans="1:21" ht="15.9" customHeight="1">
      <c r="A89" s="142">
        <v>25</v>
      </c>
      <c r="B89" s="142"/>
      <c r="C89" s="142"/>
      <c r="D89" s="142"/>
      <c r="E89" s="555"/>
      <c r="F89" s="556"/>
      <c r="G89" s="556"/>
      <c r="H89" s="556"/>
      <c r="I89" s="556"/>
      <c r="J89" s="142"/>
      <c r="K89" s="562"/>
      <c r="L89" s="142"/>
      <c r="M89" s="549"/>
      <c r="N89" s="545"/>
      <c r="O89" s="150"/>
      <c r="P89" s="150"/>
      <c r="Q89" s="150"/>
      <c r="R89" s="150"/>
      <c r="S89" s="150"/>
      <c r="T89" s="92"/>
      <c r="U89" s="546"/>
    </row>
    <row r="90" spans="1:21" ht="15.9" customHeight="1">
      <c r="A90" s="142">
        <v>26</v>
      </c>
      <c r="B90" s="35" t="s">
        <v>446</v>
      </c>
      <c r="C90" s="14" t="s">
        <v>447</v>
      </c>
      <c r="D90" s="142"/>
      <c r="E90" s="555"/>
      <c r="F90" s="556"/>
      <c r="G90" s="556"/>
      <c r="H90" s="556"/>
      <c r="I90" s="556"/>
      <c r="J90" s="27">
        <f>+'B-3 2022'!S89</f>
        <v>3078076.923076923</v>
      </c>
      <c r="K90" s="311"/>
      <c r="L90" s="27">
        <f>+'B-3'!S89</f>
        <v>3731153.846153846</v>
      </c>
      <c r="M90" s="549"/>
      <c r="N90" s="545"/>
      <c r="O90" s="150"/>
      <c r="P90" s="150"/>
      <c r="Q90" s="150"/>
      <c r="R90" s="150"/>
      <c r="S90" s="150"/>
      <c r="T90" s="92"/>
      <c r="U90" s="546"/>
    </row>
    <row r="91" spans="1:21" ht="15.9" customHeight="1">
      <c r="A91" s="142">
        <v>27</v>
      </c>
      <c r="B91" s="35" t="s">
        <v>448</v>
      </c>
      <c r="C91" s="14" t="s">
        <v>449</v>
      </c>
      <c r="D91" s="142"/>
      <c r="E91" s="555"/>
      <c r="F91" s="556"/>
      <c r="G91" s="556"/>
      <c r="H91" s="556"/>
      <c r="I91" s="556"/>
      <c r="J91" s="27">
        <f>+'B-3 2022'!S90</f>
        <v>0</v>
      </c>
      <c r="K91" s="311"/>
      <c r="L91" s="27">
        <f>+'B-3'!S90</f>
        <v>0</v>
      </c>
      <c r="M91" s="549"/>
      <c r="N91" s="545"/>
      <c r="O91" s="150"/>
      <c r="P91" s="150"/>
      <c r="Q91" s="150"/>
      <c r="R91" s="150"/>
      <c r="S91" s="150"/>
      <c r="T91" s="92"/>
      <c r="U91" s="546"/>
    </row>
    <row r="92" spans="1:21" ht="15.9" customHeight="1">
      <c r="A92" s="142">
        <v>28</v>
      </c>
      <c r="B92" s="35" t="s">
        <v>450</v>
      </c>
      <c r="C92" s="14" t="s">
        <v>451</v>
      </c>
      <c r="D92" s="142"/>
      <c r="E92" s="555"/>
      <c r="F92" s="556"/>
      <c r="G92" s="556"/>
      <c r="H92" s="556"/>
      <c r="I92" s="556"/>
      <c r="J92" s="32">
        <f>+'B-3 2022'!S91</f>
        <v>-9688.6665384615371</v>
      </c>
      <c r="K92" s="311"/>
      <c r="L92" s="32">
        <f>+'B-3'!S91</f>
        <v>-10833.147615384614</v>
      </c>
      <c r="M92" s="549"/>
      <c r="N92" s="545"/>
      <c r="O92" s="150"/>
      <c r="P92" s="150"/>
      <c r="Q92" s="150"/>
      <c r="R92" s="150"/>
      <c r="S92" s="150"/>
      <c r="T92" s="92"/>
      <c r="U92" s="546"/>
    </row>
    <row r="93" spans="1:21" ht="15.9" customHeight="1">
      <c r="A93" s="534">
        <v>29</v>
      </c>
      <c r="B93" s="35"/>
      <c r="C93" s="14"/>
      <c r="D93" s="142" t="s">
        <v>445</v>
      </c>
      <c r="E93" s="555"/>
      <c r="F93" s="556"/>
      <c r="G93" s="556"/>
      <c r="H93" s="556"/>
      <c r="I93" s="556"/>
      <c r="J93" s="27">
        <f t="shared" ref="J93" si="3">SUM(J90:J92)</f>
        <v>3068388.2565384614</v>
      </c>
      <c r="K93" s="311"/>
      <c r="L93" s="27">
        <f>SUM(L90:L92)</f>
        <v>3720320.6985384612</v>
      </c>
      <c r="M93" s="549"/>
      <c r="N93" s="258"/>
      <c r="O93" s="150"/>
      <c r="P93" s="150"/>
      <c r="Q93" s="150"/>
      <c r="R93" s="150"/>
      <c r="S93" s="150"/>
      <c r="T93" s="92"/>
      <c r="U93" s="546"/>
    </row>
    <row r="94" spans="1:21" ht="15.9" customHeight="1">
      <c r="A94" s="534">
        <v>30</v>
      </c>
      <c r="B94" s="35"/>
      <c r="C94" s="162"/>
      <c r="D94" s="555"/>
      <c r="E94" s="555"/>
      <c r="F94" s="556"/>
      <c r="G94" s="556"/>
      <c r="H94" s="556"/>
      <c r="I94" s="556"/>
      <c r="J94" s="556"/>
      <c r="K94" s="311"/>
      <c r="L94" s="556"/>
      <c r="M94" s="549"/>
      <c r="N94" s="162"/>
      <c r="O94" s="150"/>
      <c r="P94" s="150"/>
      <c r="Q94" s="150"/>
      <c r="R94" s="150"/>
      <c r="S94" s="150"/>
      <c r="T94" s="92"/>
      <c r="U94" s="546"/>
    </row>
    <row r="95" spans="1:21" ht="15.9" customHeight="1">
      <c r="A95" s="534">
        <v>31</v>
      </c>
      <c r="B95" s="50"/>
      <c r="C95" s="162"/>
      <c r="D95" s="555"/>
      <c r="E95" s="555"/>
      <c r="F95" s="556"/>
      <c r="G95" s="556"/>
      <c r="H95" s="556"/>
      <c r="I95" s="556"/>
      <c r="J95" s="556"/>
      <c r="K95" s="311"/>
      <c r="L95" s="556"/>
      <c r="M95" s="549"/>
      <c r="N95" s="162"/>
      <c r="O95" s="150"/>
      <c r="P95" s="150"/>
      <c r="Q95" s="150"/>
      <c r="R95" s="150"/>
      <c r="S95" s="150"/>
      <c r="T95" s="92"/>
      <c r="U95" s="546"/>
    </row>
    <row r="96" spans="1:21" ht="15.9" customHeight="1">
      <c r="A96" s="534">
        <v>32</v>
      </c>
      <c r="B96" s="50"/>
      <c r="C96" s="162"/>
      <c r="D96" s="555"/>
      <c r="E96" s="555"/>
      <c r="F96" s="556"/>
      <c r="G96" s="556"/>
      <c r="H96" s="556"/>
      <c r="I96" s="556"/>
      <c r="J96" s="556"/>
      <c r="K96" s="557"/>
      <c r="L96" s="556"/>
      <c r="M96" s="549"/>
      <c r="N96" s="162"/>
      <c r="O96" s="150"/>
      <c r="P96" s="150"/>
      <c r="Q96" s="150"/>
      <c r="R96" s="150"/>
      <c r="S96" s="150"/>
      <c r="T96" s="92"/>
      <c r="U96" s="546"/>
    </row>
    <row r="97" spans="1:21" ht="15.9" customHeight="1">
      <c r="A97" s="534">
        <v>33</v>
      </c>
      <c r="B97" s="35"/>
      <c r="C97" s="162"/>
      <c r="D97" s="555"/>
      <c r="E97" s="555"/>
      <c r="F97" s="556"/>
      <c r="G97" s="556"/>
      <c r="H97" s="556"/>
      <c r="I97" s="556"/>
      <c r="J97" s="556"/>
      <c r="K97" s="557"/>
      <c r="L97" s="556"/>
      <c r="M97" s="549"/>
      <c r="N97" s="162"/>
      <c r="O97" s="150"/>
      <c r="P97" s="150"/>
      <c r="Q97" s="150"/>
      <c r="R97" s="150"/>
      <c r="S97" s="150"/>
      <c r="T97" s="92"/>
      <c r="U97" s="546"/>
    </row>
    <row r="98" spans="1:21" ht="15.9" customHeight="1">
      <c r="A98" s="534">
        <v>34</v>
      </c>
      <c r="B98" s="35"/>
      <c r="C98" s="162"/>
      <c r="D98" s="534"/>
      <c r="E98" s="534"/>
      <c r="F98" s="150"/>
      <c r="G98" s="150"/>
      <c r="H98" s="150"/>
      <c r="I98" s="150"/>
      <c r="J98" s="150"/>
      <c r="K98" s="313"/>
      <c r="L98" s="150"/>
      <c r="M98" s="549"/>
      <c r="N98" s="162"/>
      <c r="O98" s="150"/>
      <c r="P98" s="150"/>
      <c r="Q98" s="150"/>
      <c r="R98" s="150"/>
      <c r="S98" s="150"/>
      <c r="T98" s="92"/>
      <c r="U98" s="546"/>
    </row>
    <row r="99" spans="1:21" ht="15.9" customHeight="1">
      <c r="A99" s="534">
        <v>35</v>
      </c>
      <c r="M99" s="549"/>
      <c r="O99" s="150"/>
      <c r="P99" s="150"/>
      <c r="Q99" s="150"/>
      <c r="R99" s="150"/>
      <c r="S99" s="150"/>
      <c r="T99" s="92"/>
      <c r="U99" s="546"/>
    </row>
    <row r="100" spans="1:21" ht="15.9" customHeight="1">
      <c r="A100" s="534">
        <v>36</v>
      </c>
      <c r="M100" s="549"/>
      <c r="O100" s="150"/>
      <c r="P100" s="150"/>
      <c r="Q100" s="150"/>
      <c r="R100" s="150"/>
      <c r="S100" s="150"/>
      <c r="T100" s="92"/>
      <c r="U100" s="546"/>
    </row>
    <row r="101" spans="1:21" ht="15.9" customHeight="1">
      <c r="A101" s="534">
        <v>37</v>
      </c>
      <c r="M101" s="549"/>
      <c r="O101" s="150"/>
      <c r="P101" s="150"/>
      <c r="Q101" s="150"/>
      <c r="R101" s="150"/>
      <c r="S101" s="150"/>
      <c r="T101" s="92"/>
      <c r="U101" s="546"/>
    </row>
    <row r="102" spans="1:21" ht="15.9" customHeight="1">
      <c r="A102" s="534">
        <v>38</v>
      </c>
      <c r="M102" s="549"/>
      <c r="O102" s="150"/>
      <c r="P102" s="150"/>
      <c r="Q102" s="150"/>
      <c r="R102" s="150"/>
      <c r="S102" s="150"/>
      <c r="T102" s="92"/>
      <c r="U102" s="546"/>
    </row>
    <row r="103" spans="1:21" ht="15.9" customHeight="1">
      <c r="A103" s="534">
        <v>39</v>
      </c>
      <c r="M103" s="549"/>
      <c r="O103" s="150"/>
      <c r="P103" s="150"/>
      <c r="Q103" s="150"/>
      <c r="R103" s="150"/>
      <c r="S103" s="150"/>
      <c r="T103" s="92"/>
      <c r="U103" s="546"/>
    </row>
    <row r="104" spans="1:21" ht="15.9" customHeight="1">
      <c r="A104" s="534">
        <v>40</v>
      </c>
      <c r="M104" s="549"/>
      <c r="O104" s="150"/>
      <c r="P104" s="150"/>
      <c r="Q104" s="150"/>
      <c r="R104" s="150"/>
      <c r="S104" s="150"/>
      <c r="T104" s="92"/>
      <c r="U104" s="546"/>
    </row>
    <row r="105" spans="1:21" ht="15.9" customHeight="1">
      <c r="A105" s="534">
        <v>41</v>
      </c>
      <c r="M105" s="549"/>
      <c r="O105" s="37"/>
      <c r="P105" s="37"/>
      <c r="Q105" s="37"/>
      <c r="T105" s="92"/>
      <c r="U105" s="546"/>
    </row>
    <row r="106" spans="1:21" ht="15.9" customHeight="1">
      <c r="A106" s="534">
        <v>42</v>
      </c>
      <c r="B106" s="4"/>
      <c r="C106" s="4"/>
      <c r="D106" s="4"/>
      <c r="E106" s="4"/>
      <c r="F106" s="37"/>
      <c r="G106" s="37"/>
      <c r="H106" s="37"/>
      <c r="I106" s="37"/>
      <c r="J106" s="37"/>
      <c r="K106" s="317"/>
      <c r="L106" s="37"/>
      <c r="M106" s="549"/>
      <c r="N106" s="37"/>
      <c r="O106" s="37"/>
      <c r="P106" s="37"/>
      <c r="Q106" s="37"/>
      <c r="T106" s="92"/>
      <c r="U106" s="546"/>
    </row>
    <row r="107" spans="1:21" ht="15.9" customHeight="1" thickBot="1">
      <c r="A107" s="539">
        <v>43</v>
      </c>
      <c r="B107" s="1" t="s">
        <v>67</v>
      </c>
      <c r="C107" s="1"/>
      <c r="D107" s="1"/>
      <c r="E107" s="1"/>
      <c r="F107" s="1"/>
      <c r="G107" s="1"/>
      <c r="H107" s="1"/>
      <c r="I107" s="1"/>
      <c r="J107" s="1"/>
      <c r="K107" s="533"/>
      <c r="L107" s="1"/>
      <c r="M107" s="1"/>
      <c r="N107" s="1"/>
      <c r="O107" s="1"/>
      <c r="P107" s="1"/>
      <c r="Q107" s="1"/>
      <c r="R107" s="1"/>
      <c r="S107" s="1"/>
      <c r="T107" s="92"/>
      <c r="U107" s="546"/>
    </row>
    <row r="108" spans="1:21" ht="15.9" customHeight="1">
      <c r="A108" s="4" t="str">
        <f>+$A$54</f>
        <v>Supporting Schedules: B-3</v>
      </c>
      <c r="B108" s="5"/>
      <c r="C108" s="5"/>
      <c r="D108" s="5"/>
      <c r="E108" s="5"/>
      <c r="F108" s="5"/>
      <c r="G108" s="5"/>
      <c r="H108" s="5"/>
      <c r="I108" s="5"/>
      <c r="J108" s="5"/>
      <c r="K108" s="320"/>
      <c r="L108" s="5"/>
      <c r="M108" s="5"/>
      <c r="N108" s="5"/>
      <c r="O108" s="5"/>
      <c r="P108" s="5"/>
      <c r="Q108" s="5" t="str">
        <f>+$Q$54</f>
        <v>Recap Schedules: B-1</v>
      </c>
      <c r="R108" s="5"/>
      <c r="S108" s="5"/>
      <c r="T108" s="92"/>
      <c r="U108" s="546"/>
    </row>
    <row r="109" spans="1:21" ht="15.9" customHeight="1" thickBot="1">
      <c r="A109" s="1" t="str">
        <f>+$A$1</f>
        <v>SCHEDULE B-4</v>
      </c>
      <c r="B109" s="1"/>
      <c r="C109" s="1"/>
      <c r="D109" s="1"/>
      <c r="E109" s="1"/>
      <c r="F109" s="1"/>
      <c r="G109" s="1"/>
      <c r="H109" s="1"/>
      <c r="I109" s="1" t="str">
        <f>+$I$1</f>
        <v>TWO YEAR HISTORICAL BALANCE SHEET</v>
      </c>
      <c r="J109" s="1"/>
      <c r="K109" s="533"/>
      <c r="L109" s="1"/>
      <c r="M109" s="1"/>
      <c r="N109" s="1"/>
      <c r="O109" s="1"/>
      <c r="P109" s="1"/>
      <c r="Q109" s="1"/>
      <c r="R109" s="1"/>
      <c r="S109" s="1" t="s">
        <v>72</v>
      </c>
      <c r="T109" s="92"/>
      <c r="U109" s="546"/>
    </row>
    <row r="110" spans="1:21" ht="15.9" customHeight="1">
      <c r="A110" s="4" t="s">
        <v>4</v>
      </c>
      <c r="B110" s="4"/>
      <c r="C110" s="4"/>
      <c r="D110" s="4"/>
      <c r="E110" s="4" t="s">
        <v>514</v>
      </c>
      <c r="F110" s="4"/>
      <c r="G110" s="4" t="str">
        <f>+$G$2</f>
        <v>Provide 13-month average system balance sheets by primary account for the most recent two historical</v>
      </c>
      <c r="H110" s="5"/>
      <c r="I110" s="5"/>
      <c r="J110" s="6"/>
      <c r="K110" s="6"/>
      <c r="L110" s="6"/>
      <c r="M110" s="6"/>
      <c r="N110" s="6"/>
      <c r="O110" s="6"/>
      <c r="P110" s="6" t="s">
        <v>7</v>
      </c>
      <c r="Q110" s="4"/>
      <c r="R110" s="4"/>
      <c r="S110" s="7"/>
      <c r="T110" s="92"/>
      <c r="U110" s="546"/>
    </row>
    <row r="111" spans="1:21" ht="15.9" customHeight="1">
      <c r="A111" s="4"/>
      <c r="B111" s="4"/>
      <c r="C111" s="4"/>
      <c r="D111" s="4"/>
      <c r="E111" s="4"/>
      <c r="F111" s="4"/>
      <c r="G111" s="4" t="str">
        <f>+$G$3</f>
        <v>calendar years not including the historical test year if provided elsewhere</v>
      </c>
      <c r="H111" s="5"/>
      <c r="I111" s="5"/>
      <c r="J111" s="9"/>
      <c r="K111" s="7"/>
      <c r="L111" s="9"/>
      <c r="M111" s="4"/>
      <c r="N111" s="4"/>
      <c r="O111" s="9"/>
      <c r="Q111" s="7" t="str">
        <f>$Q$3</f>
        <v>Projected Test Year Ended 12/31/2025</v>
      </c>
      <c r="R111" s="4"/>
      <c r="S111" s="9"/>
      <c r="T111" s="92"/>
      <c r="U111" s="546"/>
    </row>
    <row r="112" spans="1:21" ht="15.9" customHeight="1">
      <c r="A112" s="4" t="s">
        <v>10</v>
      </c>
      <c r="B112" s="4"/>
      <c r="C112" s="4"/>
      <c r="D112" s="4"/>
      <c r="E112" s="4"/>
      <c r="F112" s="4"/>
      <c r="G112" s="4"/>
      <c r="H112" s="4"/>
      <c r="I112" s="4"/>
      <c r="J112" s="9"/>
      <c r="K112" s="7"/>
      <c r="L112" s="9"/>
      <c r="M112" s="4"/>
      <c r="N112" s="4"/>
      <c r="O112" s="4"/>
      <c r="P112" s="9"/>
      <c r="Q112" s="7" t="str">
        <f>$Q$4</f>
        <v>Projected Prior Year Ended 12/31/2024</v>
      </c>
      <c r="R112" s="4"/>
      <c r="S112" s="9"/>
      <c r="T112" s="92"/>
      <c r="U112" s="546"/>
    </row>
    <row r="113" spans="1:21" ht="15.9" customHeight="1">
      <c r="A113" s="4"/>
      <c r="B113" s="4"/>
      <c r="C113" s="4"/>
      <c r="D113" s="4"/>
      <c r="E113" s="4"/>
      <c r="F113" s="4"/>
      <c r="G113" s="4"/>
      <c r="H113" s="4"/>
      <c r="I113" s="4"/>
      <c r="J113" s="9"/>
      <c r="K113" s="7"/>
      <c r="L113" s="9"/>
      <c r="M113" s="4"/>
      <c r="N113" s="4"/>
      <c r="O113" s="4"/>
      <c r="P113" s="9" t="s">
        <v>12</v>
      </c>
      <c r="Q113" s="7" t="str">
        <f>$Q$5</f>
        <v>Historical Prior Year Ended 12/31/2023</v>
      </c>
      <c r="R113" s="4"/>
      <c r="S113" s="9"/>
      <c r="T113" s="92"/>
      <c r="U113" s="546"/>
    </row>
    <row r="114" spans="1:21" ht="15.9" customHeight="1" thickBot="1">
      <c r="A114" s="2" t="str">
        <f>+A60</f>
        <v>DOCKET No. 20210034-EI</v>
      </c>
      <c r="B114" s="2"/>
      <c r="C114" s="1"/>
      <c r="D114" s="1"/>
      <c r="E114" s="1"/>
      <c r="F114" s="1"/>
      <c r="G114" s="1"/>
      <c r="H114" s="1"/>
      <c r="I114" s="1"/>
      <c r="J114" s="10"/>
      <c r="K114" s="533"/>
      <c r="L114" s="10"/>
      <c r="M114" s="1"/>
      <c r="N114" s="1"/>
      <c r="O114" s="1"/>
      <c r="P114" s="1"/>
      <c r="Q114" s="2" t="str">
        <f>$Q$6</f>
        <v>Witness:</v>
      </c>
      <c r="R114" s="1"/>
      <c r="S114" s="1"/>
      <c r="T114" s="92"/>
      <c r="U114" s="546"/>
    </row>
    <row r="115" spans="1:21" ht="15.9" customHeight="1">
      <c r="A115" s="534"/>
      <c r="B115" s="534"/>
      <c r="C115" s="535"/>
      <c r="D115" s="535"/>
      <c r="E115" s="535"/>
      <c r="F115" s="535"/>
      <c r="G115" s="535"/>
      <c r="H115" s="535"/>
      <c r="I115" s="535"/>
      <c r="J115" s="535" t="s">
        <v>518</v>
      </c>
      <c r="K115" s="536"/>
      <c r="L115" s="535" t="s">
        <v>518</v>
      </c>
      <c r="M115" s="535"/>
      <c r="N115" s="535"/>
      <c r="O115" s="535"/>
      <c r="P115" s="535"/>
      <c r="Q115" s="535"/>
      <c r="R115" s="535"/>
      <c r="S115" s="535"/>
      <c r="T115" s="92"/>
      <c r="U115" s="546"/>
    </row>
    <row r="116" spans="1:21" ht="15.9" customHeight="1">
      <c r="A116" s="534"/>
      <c r="B116" s="534"/>
      <c r="C116" s="534"/>
      <c r="D116" s="534"/>
      <c r="E116" s="534"/>
      <c r="F116" s="534"/>
      <c r="G116" s="534"/>
      <c r="H116" s="534"/>
      <c r="I116" s="537"/>
      <c r="J116" s="537" t="s">
        <v>520</v>
      </c>
      <c r="K116" s="538"/>
      <c r="L116" s="537" t="s">
        <v>520</v>
      </c>
      <c r="M116" s="537"/>
      <c r="N116" s="537"/>
      <c r="O116" s="534"/>
      <c r="P116" s="534"/>
      <c r="Q116" s="534"/>
      <c r="R116" s="534"/>
      <c r="S116" s="537"/>
      <c r="T116" s="92"/>
      <c r="U116" s="546"/>
    </row>
    <row r="117" spans="1:21" ht="15.9" customHeight="1">
      <c r="A117" s="534" t="s">
        <v>35</v>
      </c>
      <c r="B117" s="537" t="s">
        <v>355</v>
      </c>
      <c r="C117" s="537" t="s">
        <v>355</v>
      </c>
      <c r="D117" s="537"/>
      <c r="E117" s="537"/>
      <c r="F117" s="535"/>
      <c r="G117" s="535"/>
      <c r="H117" s="535"/>
      <c r="I117" s="535"/>
      <c r="J117" s="537" t="s">
        <v>369</v>
      </c>
      <c r="K117" s="536"/>
      <c r="L117" s="537" t="s">
        <v>369</v>
      </c>
      <c r="M117" s="535"/>
      <c r="N117" s="535"/>
      <c r="O117" s="535"/>
      <c r="P117" s="535"/>
      <c r="Q117" s="535"/>
      <c r="R117" s="535"/>
      <c r="S117" s="537"/>
      <c r="T117" s="92"/>
      <c r="U117" s="546"/>
    </row>
    <row r="118" spans="1:21" ht="15.9" customHeight="1" thickBot="1">
      <c r="A118" s="539" t="s">
        <v>46</v>
      </c>
      <c r="B118" s="540" t="s">
        <v>371</v>
      </c>
      <c r="C118" s="540" t="s">
        <v>372</v>
      </c>
      <c r="D118" s="540"/>
      <c r="E118" s="540"/>
      <c r="F118" s="540"/>
      <c r="G118" s="540"/>
      <c r="H118" s="540"/>
      <c r="I118" s="540"/>
      <c r="J118" s="541">
        <f>$J$10</f>
        <v>2022</v>
      </c>
      <c r="K118" s="542"/>
      <c r="L118" s="541">
        <f>$L$10</f>
        <v>2023</v>
      </c>
      <c r="M118" s="541"/>
      <c r="N118" s="541"/>
      <c r="O118" s="541"/>
      <c r="P118" s="541"/>
      <c r="Q118" s="541"/>
      <c r="R118" s="541"/>
      <c r="S118" s="541"/>
      <c r="T118" s="92"/>
      <c r="U118" s="546"/>
    </row>
    <row r="119" spans="1:21" ht="15.9" customHeight="1">
      <c r="A119" s="534">
        <v>1</v>
      </c>
      <c r="N119" s="258"/>
      <c r="O119" s="150"/>
      <c r="P119" s="150"/>
      <c r="Q119" s="150"/>
      <c r="R119" s="150"/>
      <c r="S119" s="150"/>
      <c r="T119" s="92"/>
      <c r="U119" s="546"/>
    </row>
    <row r="120" spans="1:21" ht="15.9" customHeight="1">
      <c r="A120" s="534">
        <v>2</v>
      </c>
      <c r="B120" s="35"/>
      <c r="C120" s="162" t="s">
        <v>337</v>
      </c>
      <c r="D120" s="534"/>
      <c r="E120" s="534"/>
      <c r="F120" s="150"/>
      <c r="G120" s="150"/>
      <c r="H120" s="150"/>
      <c r="I120" s="150"/>
      <c r="J120" s="150"/>
      <c r="K120" s="313"/>
      <c r="L120" s="150"/>
      <c r="M120" s="549"/>
      <c r="N120" s="545"/>
      <c r="O120" s="150"/>
      <c r="P120" s="150"/>
      <c r="Q120" s="150"/>
      <c r="R120" s="150"/>
      <c r="S120" s="150"/>
      <c r="T120" s="92"/>
      <c r="U120" s="546"/>
    </row>
    <row r="121" spans="1:21" ht="15.9" customHeight="1">
      <c r="A121" s="534">
        <v>3</v>
      </c>
      <c r="B121" s="35" t="s">
        <v>453</v>
      </c>
      <c r="C121" s="162" t="s">
        <v>296</v>
      </c>
      <c r="D121" s="534"/>
      <c r="E121" s="534"/>
      <c r="F121" s="150"/>
      <c r="G121" s="150"/>
      <c r="H121" s="150"/>
      <c r="I121" s="150"/>
      <c r="J121" s="27">
        <f>+'B-3 2022'!S120</f>
        <v>25603.504692307692</v>
      </c>
      <c r="K121" s="313"/>
      <c r="L121" s="27">
        <f>+'B-3'!S120</f>
        <v>24035.534</v>
      </c>
      <c r="M121" s="549"/>
      <c r="N121" s="545"/>
      <c r="O121" s="150"/>
      <c r="P121" s="150"/>
      <c r="Q121" s="150"/>
      <c r="R121" s="150"/>
      <c r="S121" s="150"/>
      <c r="T121" s="92"/>
      <c r="U121" s="546"/>
    </row>
    <row r="122" spans="1:21" ht="15.9" customHeight="1">
      <c r="A122" s="534">
        <v>4</v>
      </c>
      <c r="B122" s="50" t="s">
        <v>454</v>
      </c>
      <c r="C122" s="162" t="s">
        <v>338</v>
      </c>
      <c r="D122" s="555"/>
      <c r="E122" s="555"/>
      <c r="F122" s="563"/>
      <c r="G122" s="563"/>
      <c r="H122" s="563"/>
      <c r="I122" s="563"/>
      <c r="J122" s="27">
        <f>+'B-3 2022'!S121</f>
        <v>17190.963461538464</v>
      </c>
      <c r="K122" s="564"/>
      <c r="L122" s="27">
        <f>+'B-3'!S121</f>
        <v>2.3076923076923075E-3</v>
      </c>
      <c r="M122" s="549"/>
      <c r="N122" s="545"/>
      <c r="O122" s="150"/>
      <c r="P122" s="150"/>
      <c r="Q122" s="150"/>
      <c r="R122" s="150"/>
      <c r="S122" s="150"/>
      <c r="T122" s="92"/>
      <c r="U122" s="546"/>
    </row>
    <row r="123" spans="1:21" ht="15.9" customHeight="1">
      <c r="A123" s="534">
        <v>5</v>
      </c>
      <c r="B123" s="50" t="s">
        <v>455</v>
      </c>
      <c r="C123" s="162" t="s">
        <v>456</v>
      </c>
      <c r="D123" s="555"/>
      <c r="E123" s="555"/>
      <c r="F123" s="563"/>
      <c r="G123" s="563"/>
      <c r="H123" s="563"/>
      <c r="I123" s="563"/>
      <c r="J123" s="27">
        <f>+'B-3 2022'!S122</f>
        <v>8975.8304615384623</v>
      </c>
      <c r="K123" s="564"/>
      <c r="L123" s="27">
        <f>+'B-3'!S122</f>
        <v>8142.6605384615386</v>
      </c>
      <c r="M123" s="549"/>
      <c r="N123" s="545"/>
      <c r="O123" s="150"/>
      <c r="P123" s="150"/>
      <c r="Q123" s="150"/>
      <c r="R123" s="150"/>
      <c r="S123" s="150"/>
      <c r="T123" s="92"/>
      <c r="U123" s="546"/>
    </row>
    <row r="124" spans="1:21" ht="15.9" customHeight="1">
      <c r="A124" s="534">
        <v>6</v>
      </c>
      <c r="B124" s="50" t="s">
        <v>457</v>
      </c>
      <c r="C124" s="162" t="s">
        <v>458</v>
      </c>
      <c r="D124" s="555"/>
      <c r="E124" s="555"/>
      <c r="F124" s="563"/>
      <c r="G124" s="563"/>
      <c r="H124" s="563"/>
      <c r="I124" s="563"/>
      <c r="J124" s="27">
        <f>+'B-3 2022'!S123</f>
        <v>96104.139076923078</v>
      </c>
      <c r="K124" s="564"/>
      <c r="L124" s="27">
        <f>+'B-3'!S123</f>
        <v>110905.79138461538</v>
      </c>
      <c r="M124" s="549"/>
      <c r="N124" s="545"/>
      <c r="O124" s="150"/>
      <c r="P124" s="150"/>
      <c r="Q124" s="150"/>
      <c r="R124" s="150"/>
      <c r="S124" s="150"/>
      <c r="T124" s="92"/>
      <c r="U124" s="546"/>
    </row>
    <row r="125" spans="1:21" ht="15.9" customHeight="1">
      <c r="A125" s="534">
        <v>7</v>
      </c>
      <c r="B125" s="151" t="s">
        <v>459</v>
      </c>
      <c r="C125" s="162" t="s">
        <v>460</v>
      </c>
      <c r="D125" s="555"/>
      <c r="E125" s="555"/>
      <c r="F125" s="563"/>
      <c r="G125" s="563"/>
      <c r="H125" s="563"/>
      <c r="I125" s="563"/>
      <c r="J125" s="27">
        <f>+'B-3 2022'!S124</f>
        <v>667.23923076923052</v>
      </c>
      <c r="K125" s="564"/>
      <c r="L125" s="27">
        <f>+'B-3'!S124</f>
        <v>502.36946153846145</v>
      </c>
      <c r="M125" s="549"/>
      <c r="N125" s="545"/>
      <c r="O125" s="150"/>
      <c r="P125" s="150"/>
      <c r="Q125" s="150"/>
      <c r="R125" s="150"/>
      <c r="S125" s="150"/>
      <c r="T125" s="92"/>
      <c r="U125" s="546"/>
    </row>
    <row r="126" spans="1:21" ht="15.9" customHeight="1">
      <c r="A126" s="534">
        <v>8</v>
      </c>
      <c r="B126" s="50" t="s">
        <v>461</v>
      </c>
      <c r="C126" s="162" t="s">
        <v>462</v>
      </c>
      <c r="D126" s="555"/>
      <c r="E126" s="555"/>
      <c r="F126" s="563"/>
      <c r="G126" s="563"/>
      <c r="H126" s="565"/>
      <c r="I126" s="563"/>
      <c r="J126" s="27">
        <f>+'B-3 2022'!S125</f>
        <v>0</v>
      </c>
      <c r="K126" s="564"/>
      <c r="L126" s="27">
        <f>+'B-3'!S125</f>
        <v>0</v>
      </c>
      <c r="M126" s="549"/>
      <c r="N126" s="545"/>
      <c r="O126" s="150"/>
      <c r="P126" s="150"/>
      <c r="Q126" s="150"/>
      <c r="R126" s="150"/>
      <c r="S126" s="150"/>
      <c r="T126" s="92"/>
      <c r="U126" s="546"/>
    </row>
    <row r="127" spans="1:21" ht="15.9" customHeight="1">
      <c r="A127" s="534">
        <v>9</v>
      </c>
      <c r="B127" s="35" t="s">
        <v>463</v>
      </c>
      <c r="C127" s="162" t="s">
        <v>254</v>
      </c>
      <c r="D127" s="555"/>
      <c r="E127" s="555"/>
      <c r="F127" s="563"/>
      <c r="G127" s="563"/>
      <c r="H127" s="563"/>
      <c r="I127" s="563"/>
      <c r="J127" s="32">
        <f>+'B-3 2022'!S126</f>
        <v>33366.580461538462</v>
      </c>
      <c r="K127" s="564"/>
      <c r="L127" s="32">
        <f>+'B-3'!S126</f>
        <v>33478.564461538459</v>
      </c>
      <c r="M127" s="549"/>
      <c r="N127" s="152"/>
      <c r="O127" s="150"/>
      <c r="P127" s="150"/>
      <c r="Q127" s="150"/>
      <c r="R127" s="150"/>
      <c r="S127" s="150"/>
      <c r="T127" s="92"/>
      <c r="U127" s="546"/>
    </row>
    <row r="128" spans="1:21" ht="15.9" customHeight="1">
      <c r="A128" s="534">
        <v>10</v>
      </c>
      <c r="B128" s="35"/>
      <c r="C128" s="162"/>
      <c r="D128" s="555" t="s">
        <v>337</v>
      </c>
      <c r="E128" s="555"/>
      <c r="F128" s="563"/>
      <c r="G128" s="563"/>
      <c r="H128" s="563"/>
      <c r="I128" s="563"/>
      <c r="J128" s="27">
        <f>SUM(J121:J127)</f>
        <v>181908.25738461537</v>
      </c>
      <c r="K128" s="564"/>
      <c r="L128" s="27">
        <f>SUM(L121:L127)</f>
        <v>177064.92215384616</v>
      </c>
      <c r="M128" s="549"/>
      <c r="N128" s="567"/>
      <c r="O128" s="535"/>
      <c r="P128" s="535"/>
      <c r="Q128" s="535"/>
      <c r="R128" s="535"/>
      <c r="S128" s="535"/>
      <c r="T128" s="92"/>
      <c r="U128" s="546"/>
    </row>
    <row r="129" spans="1:23" ht="15.9" customHeight="1">
      <c r="A129" s="534">
        <v>11</v>
      </c>
      <c r="B129" s="566"/>
      <c r="C129" s="162"/>
      <c r="D129" s="566"/>
      <c r="E129" s="566"/>
      <c r="F129" s="566"/>
      <c r="G129" s="566"/>
      <c r="H129" s="566"/>
      <c r="I129" s="566"/>
      <c r="J129" s="142"/>
      <c r="K129" s="564"/>
      <c r="L129" s="142"/>
      <c r="M129" s="549"/>
      <c r="N129" s="567"/>
      <c r="O129" s="535"/>
      <c r="P129" s="535"/>
      <c r="Q129" s="535"/>
      <c r="R129" s="535"/>
      <c r="S129" s="535"/>
      <c r="T129" s="92"/>
      <c r="U129" s="546"/>
    </row>
    <row r="130" spans="1:23" ht="15.9" customHeight="1">
      <c r="A130" s="534">
        <v>12</v>
      </c>
      <c r="B130" s="566"/>
      <c r="C130" s="162" t="s">
        <v>464</v>
      </c>
      <c r="D130" s="566"/>
      <c r="E130" s="566"/>
      <c r="F130" s="566"/>
      <c r="G130" s="566"/>
      <c r="H130" s="566"/>
      <c r="I130" s="566"/>
      <c r="J130" s="27"/>
      <c r="K130" s="564"/>
      <c r="L130" s="27"/>
      <c r="M130" s="549"/>
      <c r="N130" s="545"/>
      <c r="O130" s="258"/>
      <c r="P130" s="258"/>
      <c r="Q130" s="258"/>
      <c r="R130" s="258"/>
      <c r="S130" s="258"/>
      <c r="T130" s="92"/>
      <c r="U130" s="546"/>
    </row>
    <row r="131" spans="1:23" ht="15.9" customHeight="1">
      <c r="A131" s="534">
        <v>13</v>
      </c>
      <c r="B131" s="151" t="s">
        <v>465</v>
      </c>
      <c r="C131" s="162" t="s">
        <v>466</v>
      </c>
      <c r="D131" s="162"/>
      <c r="E131" s="162"/>
      <c r="F131" s="162"/>
      <c r="G131" s="162"/>
      <c r="H131" s="563"/>
      <c r="I131" s="162"/>
      <c r="J131" s="27">
        <f>+'B-3 2022'!S130</f>
        <v>650128.59499999997</v>
      </c>
      <c r="K131" s="564"/>
      <c r="L131" s="27">
        <f>+'B-3'!S130</f>
        <v>1113107.9115384615</v>
      </c>
      <c r="M131" s="549"/>
      <c r="N131" s="545"/>
      <c r="O131" s="162"/>
      <c r="P131" s="162"/>
      <c r="Q131" s="162"/>
      <c r="R131" s="162"/>
      <c r="S131" s="162"/>
      <c r="T131" s="92"/>
      <c r="U131" s="546"/>
    </row>
    <row r="132" spans="1:23" ht="15.9" customHeight="1">
      <c r="A132" s="534">
        <v>14</v>
      </c>
      <c r="B132" s="151" t="s">
        <v>467</v>
      </c>
      <c r="C132" s="162" t="s">
        <v>301</v>
      </c>
      <c r="D132" s="555"/>
      <c r="E132" s="555"/>
      <c r="F132" s="162"/>
      <c r="G132" s="162"/>
      <c r="H132" s="563"/>
      <c r="I132" s="162"/>
      <c r="J132" s="27">
        <f>+'B-3 2022'!S131</f>
        <v>283659.00315384613</v>
      </c>
      <c r="K132" s="564"/>
      <c r="L132" s="27">
        <f>+'B-3'!S131</f>
        <v>267994.95538461534</v>
      </c>
      <c r="M132" s="564"/>
      <c r="N132" s="545"/>
      <c r="O132" s="150"/>
      <c r="P132" s="150"/>
      <c r="Q132" s="150"/>
      <c r="R132" s="150"/>
      <c r="S132" s="150"/>
      <c r="T132" s="92"/>
      <c r="U132" s="546"/>
    </row>
    <row r="133" spans="1:23" ht="15.9" customHeight="1">
      <c r="A133" s="534">
        <v>15</v>
      </c>
      <c r="B133" s="151" t="s">
        <v>468</v>
      </c>
      <c r="C133" s="162" t="s">
        <v>302</v>
      </c>
      <c r="D133" s="555"/>
      <c r="E133" s="555"/>
      <c r="F133" s="162"/>
      <c r="G133" s="162"/>
      <c r="H133" s="563"/>
      <c r="I133" s="162"/>
      <c r="J133" s="27">
        <f>+'B-3 2022'!S132</f>
        <v>15000</v>
      </c>
      <c r="K133" s="564"/>
      <c r="L133" s="27">
        <f>+'B-3'!S132</f>
        <v>180000</v>
      </c>
      <c r="M133" s="564"/>
      <c r="N133" s="545"/>
      <c r="O133" s="150"/>
      <c r="P133" s="150"/>
      <c r="Q133" s="150"/>
      <c r="R133" s="150"/>
      <c r="S133" s="150"/>
      <c r="T133" s="92"/>
      <c r="U133" s="546"/>
    </row>
    <row r="134" spans="1:23" ht="15.9" customHeight="1">
      <c r="A134" s="534">
        <v>16</v>
      </c>
      <c r="B134" s="50" t="s">
        <v>469</v>
      </c>
      <c r="C134" s="162" t="s">
        <v>303</v>
      </c>
      <c r="D134" s="555"/>
      <c r="E134" s="555"/>
      <c r="F134" s="563"/>
      <c r="G134" s="563"/>
      <c r="H134" s="563"/>
      <c r="I134" s="563"/>
      <c r="J134" s="27">
        <f>+'B-3 2022'!S133</f>
        <v>26377.110076923083</v>
      </c>
      <c r="K134" s="564"/>
      <c r="L134" s="27">
        <f>+'B-3'!S133</f>
        <v>16583.371846153845</v>
      </c>
      <c r="M134" s="564"/>
      <c r="N134" s="545"/>
      <c r="O134" s="150"/>
      <c r="P134" s="150"/>
      <c r="Q134" s="150"/>
      <c r="R134" s="150"/>
      <c r="S134" s="150"/>
      <c r="T134" s="92"/>
      <c r="U134" s="546"/>
    </row>
    <row r="135" spans="1:23" ht="15.9" customHeight="1">
      <c r="A135" s="534">
        <v>17</v>
      </c>
      <c r="B135" s="50" t="s">
        <v>470</v>
      </c>
      <c r="C135" s="162" t="s">
        <v>471</v>
      </c>
      <c r="D135" s="555"/>
      <c r="E135" s="555"/>
      <c r="F135" s="563"/>
      <c r="G135" s="563"/>
      <c r="H135" s="563"/>
      <c r="I135" s="563"/>
      <c r="J135" s="27">
        <f>+'B-3 2022'!S134</f>
        <v>108924.13061538462</v>
      </c>
      <c r="K135" s="564"/>
      <c r="L135" s="27">
        <f>+'B-3'!S134</f>
        <v>120038.01276923077</v>
      </c>
      <c r="M135" s="564"/>
      <c r="N135" s="545"/>
      <c r="O135" s="150"/>
      <c r="P135" s="150"/>
      <c r="Q135" s="150"/>
      <c r="R135" s="150"/>
      <c r="S135" s="150"/>
      <c r="T135" s="92"/>
      <c r="U135" s="546"/>
    </row>
    <row r="136" spans="1:23" ht="15.9" customHeight="1">
      <c r="A136" s="534">
        <v>18</v>
      </c>
      <c r="B136" s="50" t="s">
        <v>472</v>
      </c>
      <c r="C136" s="162" t="s">
        <v>304</v>
      </c>
      <c r="D136" s="555"/>
      <c r="E136" s="555"/>
      <c r="F136" s="563"/>
      <c r="G136" s="563"/>
      <c r="H136" s="563"/>
      <c r="I136" s="563"/>
      <c r="J136" s="27">
        <f>+'B-3 2022'!S135</f>
        <v>33103.287000000004</v>
      </c>
      <c r="K136" s="564"/>
      <c r="L136" s="27">
        <f>+'B-3'!S135</f>
        <v>41858.267153846151</v>
      </c>
      <c r="M136" s="564"/>
      <c r="N136" s="545"/>
      <c r="O136" s="150"/>
      <c r="P136" s="150"/>
      <c r="Q136" s="150"/>
      <c r="R136" s="150"/>
      <c r="S136" s="150"/>
      <c r="T136" s="92"/>
    </row>
    <row r="137" spans="1:23" ht="15.9" customHeight="1">
      <c r="A137" s="534">
        <v>19</v>
      </c>
      <c r="B137" s="50" t="s">
        <v>472</v>
      </c>
      <c r="C137" s="162" t="s">
        <v>305</v>
      </c>
      <c r="D137" s="555"/>
      <c r="E137" s="555"/>
      <c r="F137" s="563"/>
      <c r="G137" s="563"/>
      <c r="H137" s="563"/>
      <c r="I137" s="563"/>
      <c r="J137" s="27">
        <f>+'B-3 2022'!S136</f>
        <v>-1673.7234615384621</v>
      </c>
      <c r="K137" s="564"/>
      <c r="L137" s="27">
        <f>+'B-3'!S136</f>
        <v>228.14992307692313</v>
      </c>
      <c r="M137" s="564"/>
      <c r="N137" s="545"/>
      <c r="O137" s="150"/>
      <c r="P137" s="150"/>
      <c r="Q137" s="150"/>
      <c r="R137" s="150"/>
      <c r="S137" s="150"/>
      <c r="T137" s="92"/>
    </row>
    <row r="138" spans="1:23" ht="15.9" customHeight="1">
      <c r="A138" s="534">
        <v>20</v>
      </c>
      <c r="B138" s="50" t="s">
        <v>473</v>
      </c>
      <c r="C138" s="162" t="s">
        <v>306</v>
      </c>
      <c r="D138" s="555"/>
      <c r="E138" s="555"/>
      <c r="F138" s="563"/>
      <c r="G138" s="563"/>
      <c r="H138" s="563"/>
      <c r="I138" s="563"/>
      <c r="J138" s="27">
        <f>+'B-3 2022'!S137</f>
        <v>32867.24338461538</v>
      </c>
      <c r="K138" s="564"/>
      <c r="L138" s="27">
        <f>+'B-3'!S137</f>
        <v>40864.859000000004</v>
      </c>
      <c r="M138" s="564"/>
      <c r="N138" s="545"/>
      <c r="O138" s="150"/>
      <c r="P138" s="150"/>
      <c r="Q138" s="150"/>
      <c r="R138" s="150"/>
      <c r="S138" s="150"/>
      <c r="T138" s="92"/>
    </row>
    <row r="139" spans="1:23" ht="15.9" customHeight="1">
      <c r="A139" s="534">
        <v>21</v>
      </c>
      <c r="B139" s="50" t="s">
        <v>474</v>
      </c>
      <c r="C139" s="162" t="s">
        <v>307</v>
      </c>
      <c r="D139" s="555"/>
      <c r="E139" s="555"/>
      <c r="F139" s="563"/>
      <c r="G139" s="563"/>
      <c r="H139" s="563"/>
      <c r="I139" s="563"/>
      <c r="J139" s="27">
        <f>+'B-3 2022'!S138</f>
        <v>18515.255153846156</v>
      </c>
      <c r="K139" s="564"/>
      <c r="L139" s="27">
        <f>+'B-3'!S138</f>
        <v>13074.242</v>
      </c>
      <c r="M139" s="564"/>
      <c r="N139" s="545"/>
      <c r="O139" s="150"/>
      <c r="P139" s="150"/>
      <c r="Q139" s="150"/>
      <c r="R139" s="150"/>
      <c r="S139" s="150"/>
      <c r="T139" s="92"/>
    </row>
    <row r="140" spans="1:23" ht="15.9" customHeight="1">
      <c r="A140" s="534">
        <v>22</v>
      </c>
      <c r="B140" s="50" t="s">
        <v>475</v>
      </c>
      <c r="C140" s="162" t="s">
        <v>308</v>
      </c>
      <c r="D140" s="555"/>
      <c r="E140" s="555"/>
      <c r="F140" s="563"/>
      <c r="G140" s="563"/>
      <c r="H140" s="563"/>
      <c r="I140" s="563"/>
      <c r="J140" s="27">
        <f>+'B-3 2022'!S139</f>
        <v>8394.003999999999</v>
      </c>
      <c r="K140" s="564"/>
      <c r="L140" s="27">
        <f>+'B-3'!S139</f>
        <v>9506.0149230769202</v>
      </c>
      <c r="M140" s="564"/>
      <c r="N140" s="545"/>
      <c r="O140" s="150"/>
      <c r="P140" s="150"/>
      <c r="Q140" s="150"/>
      <c r="R140" s="150"/>
      <c r="S140" s="150"/>
      <c r="T140" s="92"/>
    </row>
    <row r="141" spans="1:23" ht="15.9" customHeight="1">
      <c r="A141" s="534">
        <v>23</v>
      </c>
      <c r="B141" s="50" t="s">
        <v>476</v>
      </c>
      <c r="C141" s="162" t="s">
        <v>309</v>
      </c>
      <c r="D141" s="555"/>
      <c r="E141" s="555"/>
      <c r="F141" s="563"/>
      <c r="G141" s="563"/>
      <c r="H141" s="563"/>
      <c r="I141" s="563"/>
      <c r="J141" s="27">
        <f>+'B-3 2022'!S140</f>
        <v>42387.688076923085</v>
      </c>
      <c r="K141" s="564"/>
      <c r="L141" s="27">
        <f>+'B-3'!S140</f>
        <v>43585.701000000001</v>
      </c>
      <c r="M141" s="564"/>
      <c r="N141" s="545"/>
      <c r="O141" s="150"/>
      <c r="P141" s="150"/>
      <c r="Q141" s="150"/>
      <c r="R141" s="150"/>
      <c r="S141" s="150"/>
      <c r="T141" s="92"/>
    </row>
    <row r="142" spans="1:23" ht="15.9" customHeight="1">
      <c r="A142" s="534">
        <v>24</v>
      </c>
      <c r="B142" s="50" t="s">
        <v>477</v>
      </c>
      <c r="C142" s="162" t="s">
        <v>310</v>
      </c>
      <c r="D142" s="555"/>
      <c r="E142" s="555"/>
      <c r="F142" s="563"/>
      <c r="G142" s="563"/>
      <c r="H142" s="563"/>
      <c r="I142" s="563"/>
      <c r="J142" s="27">
        <f>+'B-3 2022'!S141</f>
        <v>2063.0613076923078</v>
      </c>
      <c r="K142" s="564"/>
      <c r="L142" s="27">
        <f>+'B-3'!S141</f>
        <v>2304.1426153846155</v>
      </c>
      <c r="M142" s="564"/>
      <c r="N142" s="545"/>
      <c r="O142" s="150"/>
      <c r="P142" s="150"/>
      <c r="Q142" s="150"/>
      <c r="R142" s="150"/>
      <c r="S142" s="150"/>
      <c r="U142" s="347" t="s">
        <v>56</v>
      </c>
      <c r="V142" s="129"/>
      <c r="W142" s="130"/>
    </row>
    <row r="143" spans="1:23" ht="15.9" customHeight="1">
      <c r="A143" s="534">
        <v>25</v>
      </c>
      <c r="B143" s="50" t="s">
        <v>478</v>
      </c>
      <c r="C143" s="162" t="s">
        <v>286</v>
      </c>
      <c r="D143" s="555"/>
      <c r="E143" s="555"/>
      <c r="F143" s="563"/>
      <c r="G143" s="563"/>
      <c r="H143" s="563"/>
      <c r="I143" s="563"/>
      <c r="J143" s="32">
        <f>+'B-3 2022'!S142</f>
        <v>114.62453846153845</v>
      </c>
      <c r="K143" s="564"/>
      <c r="L143" s="32">
        <f>+'B-3'!S142</f>
        <v>670.5543076923077</v>
      </c>
      <c r="M143" s="564"/>
      <c r="N143" s="545"/>
      <c r="O143" s="150"/>
      <c r="P143" s="150"/>
      <c r="Q143" s="150"/>
      <c r="R143" s="150"/>
      <c r="S143" s="150"/>
      <c r="U143" s="577" t="s">
        <v>523</v>
      </c>
      <c r="W143" s="576"/>
    </row>
    <row r="144" spans="1:23" ht="15.9" customHeight="1">
      <c r="A144" s="534">
        <v>26</v>
      </c>
      <c r="B144" s="35"/>
      <c r="C144" s="162"/>
      <c r="D144" s="555" t="s">
        <v>464</v>
      </c>
      <c r="E144" s="555"/>
      <c r="F144" s="563"/>
      <c r="G144" s="563"/>
      <c r="H144" s="563"/>
      <c r="I144" s="563"/>
      <c r="J144" s="27">
        <f t="shared" ref="J144" si="4">SUM(J131:J143)</f>
        <v>1219860.2788461535</v>
      </c>
      <c r="K144" s="564"/>
      <c r="L144" s="27">
        <f>SUM(L131:L143)</f>
        <v>1849816.1824615381</v>
      </c>
      <c r="M144" s="564"/>
      <c r="N144" s="545"/>
      <c r="O144" s="150"/>
      <c r="P144" s="150"/>
      <c r="Q144" s="150"/>
      <c r="R144" s="150"/>
      <c r="S144" s="150"/>
      <c r="U144" s="346"/>
      <c r="V144" s="348" t="s">
        <v>524</v>
      </c>
      <c r="W144" s="349" t="s">
        <v>525</v>
      </c>
    </row>
    <row r="145" spans="1:23" ht="15.9" customHeight="1">
      <c r="A145" s="534">
        <v>27</v>
      </c>
      <c r="B145" s="35"/>
      <c r="C145" s="162"/>
      <c r="D145" s="555"/>
      <c r="E145" s="555"/>
      <c r="F145" s="563"/>
      <c r="G145" s="563"/>
      <c r="H145" s="563"/>
      <c r="I145" s="563"/>
      <c r="J145" s="27"/>
      <c r="K145" s="564"/>
      <c r="L145" s="27"/>
      <c r="M145" s="564"/>
      <c r="N145" s="545"/>
      <c r="O145" s="150"/>
      <c r="P145" s="150"/>
      <c r="Q145" s="150"/>
      <c r="R145" s="150"/>
      <c r="S145" s="150"/>
      <c r="U145" s="346" t="s">
        <v>57</v>
      </c>
      <c r="V145" s="20">
        <f>'Prior Historical'!U1/1000</f>
        <v>11051352.674097693</v>
      </c>
      <c r="W145" s="350">
        <f>'Prior Historical'!U2/1000</f>
        <v>11051352.674097691</v>
      </c>
    </row>
    <row r="146" spans="1:23" ht="15.9" customHeight="1">
      <c r="A146" s="534">
        <v>28</v>
      </c>
      <c r="B146" s="35"/>
      <c r="C146" s="162"/>
      <c r="D146" s="555"/>
      <c r="E146" s="555"/>
      <c r="F146" s="563"/>
      <c r="G146" s="563"/>
      <c r="H146" s="563"/>
      <c r="I146" s="563"/>
      <c r="J146" s="27"/>
      <c r="K146" s="564"/>
      <c r="L146" s="27"/>
      <c r="M146" s="564"/>
      <c r="N146" s="545"/>
      <c r="O146" s="150"/>
      <c r="P146" s="150"/>
      <c r="Q146" s="150"/>
      <c r="R146" s="150"/>
      <c r="S146" s="150"/>
      <c r="U146" s="346" t="s">
        <v>526</v>
      </c>
      <c r="V146" s="25">
        <f>J77</f>
        <v>11051352.673743848</v>
      </c>
      <c r="W146" s="351">
        <f>J159</f>
        <v>11051352.672461538</v>
      </c>
    </row>
    <row r="147" spans="1:23" ht="15.9" customHeight="1">
      <c r="A147" s="534">
        <v>29</v>
      </c>
      <c r="B147" s="35" t="s">
        <v>480</v>
      </c>
      <c r="C147" s="162" t="s">
        <v>527</v>
      </c>
      <c r="D147" s="555"/>
      <c r="E147" s="555"/>
      <c r="F147" s="563"/>
      <c r="G147" s="563"/>
      <c r="H147" s="563"/>
      <c r="I147" s="563"/>
      <c r="J147" s="27">
        <f>+'B-3 2022'!S146</f>
        <v>28779.245153846154</v>
      </c>
      <c r="K147" s="564"/>
      <c r="L147" s="27">
        <f>+'B-3'!S146</f>
        <v>21791.827384615382</v>
      </c>
      <c r="M147" s="564"/>
      <c r="N147" s="545"/>
      <c r="O147" s="150"/>
      <c r="P147" s="150"/>
      <c r="Q147" s="150"/>
      <c r="R147" s="150"/>
      <c r="S147" s="150"/>
      <c r="U147" s="346" t="s">
        <v>60</v>
      </c>
      <c r="V147" s="353">
        <f>+V145-V146</f>
        <v>3.5384483635425568E-4</v>
      </c>
      <c r="W147" s="354">
        <f>+W145-W146</f>
        <v>1.6361530870199203E-3</v>
      </c>
    </row>
    <row r="148" spans="1:23" ht="15.9" customHeight="1">
      <c r="A148" s="534">
        <v>30</v>
      </c>
      <c r="B148" s="35" t="s">
        <v>480</v>
      </c>
      <c r="C148" s="162" t="s">
        <v>528</v>
      </c>
      <c r="D148" s="555"/>
      <c r="E148" s="555"/>
      <c r="F148" s="563"/>
      <c r="G148" s="563"/>
      <c r="H148" s="563"/>
      <c r="I148" s="563"/>
      <c r="J148" s="27">
        <f>+'B-3 2022'!S147</f>
        <v>-482.41799999999995</v>
      </c>
      <c r="K148" s="564"/>
      <c r="L148" s="27">
        <f>+'B-3'!S147</f>
        <v>0</v>
      </c>
      <c r="M148" s="564"/>
      <c r="N148" s="545"/>
      <c r="O148" s="150"/>
      <c r="P148" s="150"/>
      <c r="Q148" s="150"/>
      <c r="R148" s="150"/>
      <c r="S148" s="150"/>
      <c r="U148" s="346"/>
      <c r="V148" s="20"/>
      <c r="W148" s="350"/>
    </row>
    <row r="149" spans="1:23" ht="15.9" customHeight="1">
      <c r="A149" s="534">
        <v>31</v>
      </c>
      <c r="B149" s="50" t="s">
        <v>481</v>
      </c>
      <c r="C149" s="162" t="s">
        <v>314</v>
      </c>
      <c r="D149" s="555"/>
      <c r="E149" s="555"/>
      <c r="F149" s="563"/>
      <c r="G149" s="563"/>
      <c r="H149" s="563"/>
      <c r="I149" s="563"/>
      <c r="J149" s="27">
        <f>+'B-3 2022'!S148</f>
        <v>26705.511923076916</v>
      </c>
      <c r="K149" s="564"/>
      <c r="L149" s="27">
        <f>+'B-3'!S148</f>
        <v>39935.327538461534</v>
      </c>
      <c r="M149" s="564"/>
      <c r="N149" s="545"/>
      <c r="O149" s="150"/>
      <c r="P149" s="150"/>
      <c r="Q149" s="150"/>
      <c r="R149" s="150"/>
      <c r="S149" s="150"/>
      <c r="U149" s="577" t="s">
        <v>529</v>
      </c>
      <c r="V149" s="20"/>
      <c r="W149" s="350"/>
    </row>
    <row r="150" spans="1:23" ht="15.9" customHeight="1">
      <c r="A150" s="534">
        <v>32</v>
      </c>
      <c r="B150" s="50" t="s">
        <v>481</v>
      </c>
      <c r="C150" s="162" t="s">
        <v>482</v>
      </c>
      <c r="D150" s="555"/>
      <c r="E150" s="555"/>
      <c r="F150" s="563"/>
      <c r="G150" s="563"/>
      <c r="H150" s="563"/>
      <c r="I150" s="563"/>
      <c r="J150" s="27">
        <f>+'B-3 2022'!S149</f>
        <v>542048.44369230769</v>
      </c>
      <c r="K150" s="564"/>
      <c r="L150" s="27">
        <f>+'B-3'!S149</f>
        <v>493993.52861538465</v>
      </c>
      <c r="M150" s="564"/>
      <c r="N150" s="545"/>
      <c r="O150" s="150"/>
      <c r="P150" s="150"/>
      <c r="Q150" s="150"/>
      <c r="R150" s="150"/>
      <c r="S150" s="150"/>
      <c r="U150" s="346" t="s">
        <v>57</v>
      </c>
      <c r="V150" s="20">
        <f>Historical!U1/1000</f>
        <v>12778251.31747769</v>
      </c>
      <c r="W150" s="350">
        <f>Historical!U2/1000</f>
        <v>12778251.317477686</v>
      </c>
    </row>
    <row r="151" spans="1:23" ht="15.9" customHeight="1">
      <c r="A151" s="534">
        <v>33</v>
      </c>
      <c r="B151" s="50" t="s">
        <v>483</v>
      </c>
      <c r="C151" s="162" t="s">
        <v>484</v>
      </c>
      <c r="D151" s="555"/>
      <c r="E151" s="555"/>
      <c r="F151" s="563"/>
      <c r="G151" s="563"/>
      <c r="H151" s="563"/>
      <c r="I151" s="563"/>
      <c r="J151" s="27">
        <f>+'B-3 2022'!S150</f>
        <v>282367.60715384618</v>
      </c>
      <c r="K151" s="564"/>
      <c r="L151" s="27">
        <f>+'B-3'!S150</f>
        <v>240285.72376923074</v>
      </c>
      <c r="M151" s="564"/>
      <c r="N151" s="545"/>
      <c r="O151" s="150"/>
      <c r="P151" s="150"/>
      <c r="Q151" s="150"/>
      <c r="R151" s="150"/>
      <c r="S151" s="150"/>
      <c r="U151" s="346" t="s">
        <v>526</v>
      </c>
      <c r="V151" s="25">
        <f>L77</f>
        <v>12778251.316933075</v>
      </c>
      <c r="W151" s="351">
        <f>L159</f>
        <v>12778251.315692304</v>
      </c>
    </row>
    <row r="152" spans="1:23" ht="15.9" customHeight="1">
      <c r="A152" s="534">
        <v>34</v>
      </c>
      <c r="B152" s="50" t="s">
        <v>485</v>
      </c>
      <c r="C152" s="162" t="s">
        <v>486</v>
      </c>
      <c r="D152" s="555"/>
      <c r="E152" s="555"/>
      <c r="F152" s="563"/>
      <c r="G152" s="563"/>
      <c r="H152" s="563"/>
      <c r="I152" s="563"/>
      <c r="J152" s="27">
        <f>+'B-3 2022'!S151</f>
        <v>-7.8760000000000012</v>
      </c>
      <c r="K152" s="564"/>
      <c r="L152" s="27">
        <f>+'B-3'!S151</f>
        <v>-7.8760000000000012</v>
      </c>
      <c r="M152" s="564"/>
      <c r="N152" s="545"/>
      <c r="O152" s="150"/>
      <c r="P152" s="150"/>
      <c r="Q152" s="150"/>
      <c r="R152" s="150"/>
      <c r="S152" s="150"/>
      <c r="U152" s="346" t="s">
        <v>60</v>
      </c>
      <c r="V152" s="353">
        <f>+V150-V151</f>
        <v>5.4461508989334106E-4</v>
      </c>
      <c r="W152" s="354">
        <f>+W150-W151</f>
        <v>1.7853826284408569E-3</v>
      </c>
    </row>
    <row r="153" spans="1:23" ht="15.9" customHeight="1">
      <c r="A153" s="534">
        <v>35</v>
      </c>
      <c r="B153" s="50" t="s">
        <v>487</v>
      </c>
      <c r="C153" s="162" t="s">
        <v>488</v>
      </c>
      <c r="D153" s="555"/>
      <c r="E153" s="555"/>
      <c r="F153" s="563"/>
      <c r="G153" s="563"/>
      <c r="H153" s="563"/>
      <c r="I153" s="563"/>
      <c r="J153" s="27">
        <f>+'B-3 2022'!S152</f>
        <v>0</v>
      </c>
      <c r="K153" s="564"/>
      <c r="L153" s="27">
        <f>+'B-3'!S152</f>
        <v>0</v>
      </c>
      <c r="M153" s="564"/>
      <c r="N153" s="545"/>
      <c r="O153" s="150"/>
      <c r="P153" s="150"/>
      <c r="Q153" s="150"/>
      <c r="R153" s="150"/>
      <c r="S153" s="150"/>
      <c r="U153" s="131"/>
      <c r="V153" s="125"/>
      <c r="W153" s="132"/>
    </row>
    <row r="154" spans="1:23" ht="15.9" customHeight="1">
      <c r="A154" s="534">
        <v>36</v>
      </c>
      <c r="B154" s="50" t="s">
        <v>489</v>
      </c>
      <c r="C154" s="162" t="s">
        <v>490</v>
      </c>
      <c r="D154" s="555"/>
      <c r="E154" s="555"/>
      <c r="F154" s="563"/>
      <c r="G154" s="563"/>
      <c r="H154" s="563"/>
      <c r="I154" s="563"/>
      <c r="J154" s="27">
        <f>+'B-3 2022'!S153</f>
        <v>43660.090076923072</v>
      </c>
      <c r="K154" s="564"/>
      <c r="L154" s="27">
        <f>+'B-3'!S153</f>
        <v>53153.143000000004</v>
      </c>
      <c r="M154" s="564"/>
      <c r="N154" s="545"/>
      <c r="O154" s="150"/>
      <c r="P154" s="150"/>
      <c r="Q154" s="150"/>
      <c r="R154" s="150"/>
      <c r="S154" s="150"/>
      <c r="U154" s="546"/>
    </row>
    <row r="155" spans="1:23" ht="15.9" customHeight="1">
      <c r="A155" s="534">
        <v>37</v>
      </c>
      <c r="B155" s="50" t="s">
        <v>491</v>
      </c>
      <c r="C155" s="162" t="s">
        <v>490</v>
      </c>
      <c r="D155" s="555"/>
      <c r="E155" s="555"/>
      <c r="F155" s="563"/>
      <c r="G155" s="563"/>
      <c r="H155" s="563"/>
      <c r="I155" s="563"/>
      <c r="J155" s="27">
        <f>+'B-3 2022'!S154</f>
        <v>1349609.0799999998</v>
      </c>
      <c r="K155" s="564"/>
      <c r="L155" s="27">
        <f>+'B-3'!S154</f>
        <v>1432617.7929230768</v>
      </c>
      <c r="M155" s="564"/>
      <c r="N155" s="545"/>
      <c r="O155" s="150"/>
      <c r="P155" s="150"/>
      <c r="Q155" s="150"/>
      <c r="R155" s="150"/>
      <c r="S155" s="150"/>
      <c r="T155" s="92"/>
    </row>
    <row r="156" spans="1:23" ht="15.9" customHeight="1">
      <c r="A156" s="534">
        <v>38</v>
      </c>
      <c r="B156" s="35" t="s">
        <v>492</v>
      </c>
      <c r="C156" s="162" t="s">
        <v>490</v>
      </c>
      <c r="D156" s="555"/>
      <c r="E156" s="555"/>
      <c r="F156" s="563"/>
      <c r="G156" s="563"/>
      <c r="H156" s="563"/>
      <c r="I156" s="563"/>
      <c r="J156" s="32">
        <f>+'B-3 2022'!S155</f>
        <v>76339.63361538462</v>
      </c>
      <c r="K156" s="564"/>
      <c r="L156" s="32">
        <f>+'B-3'!S155</f>
        <v>110747.71015384616</v>
      </c>
      <c r="M156" s="564"/>
      <c r="N156" s="545"/>
      <c r="O156" s="150"/>
      <c r="P156" s="150"/>
      <c r="Q156" s="150"/>
      <c r="R156" s="150"/>
      <c r="S156" s="150"/>
      <c r="T156" s="92"/>
    </row>
    <row r="157" spans="1:23" ht="15.9" customHeight="1">
      <c r="A157" s="534">
        <v>39</v>
      </c>
      <c r="B157" s="35"/>
      <c r="C157" s="162"/>
      <c r="D157" s="555" t="s">
        <v>479</v>
      </c>
      <c r="E157" s="555"/>
      <c r="F157" s="563"/>
      <c r="G157" s="563"/>
      <c r="H157" s="563"/>
      <c r="I157" s="563"/>
      <c r="J157" s="163">
        <f t="shared" ref="J157" si="5">SUM(J147:J156)</f>
        <v>2349019.3176153847</v>
      </c>
      <c r="K157" s="564"/>
      <c r="L157" s="163">
        <f>SUM(L147:L156)</f>
        <v>2392517.1773846149</v>
      </c>
      <c r="M157" s="564"/>
      <c r="N157" s="545"/>
      <c r="O157" s="150"/>
      <c r="P157" s="150"/>
      <c r="Q157" s="150"/>
      <c r="R157" s="150"/>
      <c r="S157" s="150"/>
      <c r="T157" s="92"/>
    </row>
    <row r="158" spans="1:23" ht="15.9" customHeight="1">
      <c r="A158" s="534">
        <v>40</v>
      </c>
      <c r="B158" s="35"/>
      <c r="C158" s="162"/>
      <c r="D158" s="555"/>
      <c r="E158" s="555"/>
      <c r="F158" s="563"/>
      <c r="G158" s="563"/>
      <c r="H158" s="162"/>
      <c r="I158" s="563"/>
      <c r="J158" s="27"/>
      <c r="K158" s="564"/>
      <c r="L158" s="27"/>
      <c r="M158" s="564"/>
      <c r="N158" s="152"/>
      <c r="O158" s="150"/>
      <c r="P158" s="150"/>
      <c r="Q158" s="150"/>
      <c r="R158" s="150"/>
      <c r="S158" s="150"/>
      <c r="T158" s="92"/>
    </row>
    <row r="159" spans="1:23" ht="15.9" customHeight="1" thickBot="1">
      <c r="A159" s="534">
        <v>41</v>
      </c>
      <c r="B159" s="35"/>
      <c r="C159" s="162" t="s">
        <v>493</v>
      </c>
      <c r="D159" s="534"/>
      <c r="E159" s="534"/>
      <c r="F159" s="150"/>
      <c r="G159" s="150"/>
      <c r="H159" s="150"/>
      <c r="I159" s="150"/>
      <c r="J159" s="164">
        <f>J86+J93+J128+J144+J157</f>
        <v>11051352.672461538</v>
      </c>
      <c r="K159" s="564"/>
      <c r="L159" s="164">
        <f>L86+L93+L128+L144+L157</f>
        <v>12778251.315692304</v>
      </c>
      <c r="M159" s="564"/>
      <c r="N159" s="37"/>
      <c r="O159" s="37"/>
      <c r="P159" s="37"/>
      <c r="Q159" s="37"/>
      <c r="T159" s="92"/>
    </row>
    <row r="160" spans="1:23" ht="15.9" customHeight="1" thickTop="1">
      <c r="A160" s="534">
        <v>42</v>
      </c>
      <c r="B160" s="4"/>
      <c r="C160" s="4"/>
      <c r="D160" s="4"/>
      <c r="E160" s="4"/>
      <c r="F160" s="37"/>
      <c r="G160" s="37"/>
      <c r="H160" s="37"/>
      <c r="I160" s="37"/>
      <c r="J160" s="37"/>
      <c r="K160" s="37"/>
      <c r="L160" s="37"/>
      <c r="M160" s="37"/>
      <c r="N160" s="37"/>
      <c r="O160" s="37"/>
      <c r="P160" s="37"/>
      <c r="Q160" s="37"/>
    </row>
    <row r="161" spans="1:21" ht="15.9" customHeight="1" thickBot="1">
      <c r="A161" s="539">
        <v>43</v>
      </c>
      <c r="B161" s="1" t="s">
        <v>67</v>
      </c>
      <c r="C161" s="1"/>
      <c r="D161" s="1"/>
      <c r="E161" s="1"/>
      <c r="F161" s="1"/>
      <c r="G161" s="1"/>
      <c r="H161" s="1"/>
      <c r="I161" s="1"/>
      <c r="J161" s="1"/>
      <c r="K161" s="533"/>
      <c r="L161" s="1"/>
      <c r="M161" s="1"/>
      <c r="N161" s="1"/>
      <c r="O161" s="1"/>
      <c r="P161" s="1"/>
      <c r="Q161" s="1"/>
      <c r="R161" s="1"/>
      <c r="S161" s="1"/>
    </row>
    <row r="162" spans="1:21" ht="15.9" customHeight="1">
      <c r="A162" s="4" t="str">
        <f>+$A$54</f>
        <v>Supporting Schedules: B-3</v>
      </c>
      <c r="B162" s="5"/>
      <c r="C162" s="5"/>
      <c r="D162" s="5"/>
      <c r="E162" s="5"/>
      <c r="F162" s="5"/>
      <c r="G162" s="5"/>
      <c r="H162" s="5"/>
      <c r="I162" s="5"/>
      <c r="J162" s="5"/>
      <c r="K162" s="320"/>
      <c r="L162" s="5"/>
      <c r="M162" s="5"/>
      <c r="N162" s="5"/>
      <c r="O162" s="5"/>
      <c r="P162" s="5"/>
      <c r="Q162" s="5" t="str">
        <f>+$Q$54</f>
        <v>Recap Schedules: B-1</v>
      </c>
      <c r="R162" s="5"/>
      <c r="S162" s="5"/>
    </row>
    <row r="163" spans="1:21" ht="15.9" customHeight="1">
      <c r="J163" s="568">
        <f>J159-J77</f>
        <v>-1.2823101133108139E-3</v>
      </c>
      <c r="K163" s="568"/>
      <c r="L163" s="568">
        <f>L159-L77</f>
        <v>-1.2407712638378143E-3</v>
      </c>
      <c r="U163" s="546"/>
    </row>
    <row r="164" spans="1:21" ht="15.9" customHeight="1">
      <c r="U164" s="546"/>
    </row>
    <row r="165" spans="1:21" ht="15.9" customHeight="1">
      <c r="U165" s="546"/>
    </row>
    <row r="166" spans="1:21" ht="15.9" customHeight="1">
      <c r="U166" s="546"/>
    </row>
    <row r="167" spans="1:21" ht="15.9" customHeight="1">
      <c r="U167" s="546"/>
    </row>
    <row r="168" spans="1:21" ht="15.9" customHeight="1">
      <c r="U168" s="546" t="str">
        <f>IF(B162="","",+L162-VLOOKUP(B162,#REF!,18,FALSE))</f>
        <v/>
      </c>
    </row>
  </sheetData>
  <printOptions horizontalCentered="1" verticalCentered="1"/>
  <pageMargins left="0.7" right="0.7" top="0.25" bottom="0.25" header="0.3" footer="0.3"/>
  <pageSetup scale="61" fitToHeight="0" orientation="landscape" r:id="rId1"/>
  <rowBreaks count="2" manualBreakCount="2">
    <brk id="54" max="18" man="1"/>
    <brk id="108" max="18" man="1"/>
  </rowBreaks>
  <customProperties>
    <customPr name="EpmWorksheetKeyString_GUID" r:id="rId2"/>
  </customPropertie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277F4-1796-4897-A519-C8C2FEAA5D2A}">
  <sheetPr>
    <tabColor rgb="FF00FFFF"/>
  </sheetPr>
  <dimension ref="A1:W60"/>
  <sheetViews>
    <sheetView topLeftCell="A6" zoomScaleNormal="100" zoomScaleSheetLayoutView="85" workbookViewId="0">
      <selection activeCell="B13" sqref="B13"/>
    </sheetView>
  </sheetViews>
  <sheetFormatPr defaultColWidth="9.109375" defaultRowHeight="15" customHeight="1"/>
  <cols>
    <col min="1" max="1" width="4.6640625" style="81" customWidth="1"/>
    <col min="2" max="2" width="8.6640625" style="81" customWidth="1"/>
    <col min="3" max="4" width="10.6640625" style="81" customWidth="1"/>
    <col min="5" max="5" width="9.44140625" style="81" customWidth="1"/>
    <col min="6" max="6" width="11.5546875" style="81" customWidth="1"/>
    <col min="7" max="7" width="11.88671875" style="81" customWidth="1"/>
    <col min="8" max="8" width="7.6640625" style="81" customWidth="1"/>
    <col min="9" max="9" width="10.6640625" style="81" customWidth="1"/>
    <col min="10" max="10" width="7.5546875" style="81" customWidth="1"/>
    <col min="11" max="11" width="12.88671875" style="81" customWidth="1"/>
    <col min="12" max="12" width="10.6640625" style="81" customWidth="1"/>
    <col min="13" max="13" width="7.88671875" style="81" customWidth="1"/>
    <col min="14" max="16" width="10.6640625" style="81" customWidth="1"/>
    <col min="17" max="17" width="9.33203125" style="81" customWidth="1"/>
    <col min="18" max="18" width="14.44140625" style="81" customWidth="1"/>
    <col min="19" max="19" width="16" style="81" customWidth="1"/>
    <col min="20" max="20" width="9.44140625" style="81" customWidth="1"/>
    <col min="21" max="16384" width="9.109375" style="81"/>
  </cols>
  <sheetData>
    <row r="1" spans="1:23" ht="15" customHeight="1" thickBot="1">
      <c r="A1" s="1" t="s">
        <v>530</v>
      </c>
      <c r="B1" s="1"/>
      <c r="C1" s="1"/>
      <c r="D1" s="1"/>
      <c r="E1" s="1"/>
      <c r="F1" s="1"/>
      <c r="G1" s="1"/>
      <c r="H1" s="1"/>
      <c r="I1" s="250" t="s">
        <v>531</v>
      </c>
      <c r="J1" s="1"/>
      <c r="K1" s="1"/>
      <c r="L1" s="1"/>
      <c r="M1" s="1"/>
      <c r="N1" s="1"/>
      <c r="O1" s="1"/>
      <c r="P1" s="1"/>
      <c r="Q1" s="1"/>
      <c r="R1" s="1"/>
      <c r="S1" s="3" t="s">
        <v>532</v>
      </c>
      <c r="T1" s="82" t="s">
        <v>533</v>
      </c>
    </row>
    <row r="2" spans="1:23" ht="15" customHeight="1">
      <c r="A2" s="4" t="s">
        <v>4</v>
      </c>
      <c r="B2" s="4"/>
      <c r="C2" s="4"/>
      <c r="D2" s="4"/>
      <c r="E2" s="251" t="s">
        <v>534</v>
      </c>
      <c r="F2" s="251"/>
      <c r="G2" s="251" t="s">
        <v>535</v>
      </c>
      <c r="H2" s="5"/>
      <c r="I2" s="5"/>
      <c r="J2" s="6"/>
      <c r="K2" s="6"/>
      <c r="L2" s="4"/>
      <c r="M2" s="6"/>
      <c r="N2" s="6"/>
      <c r="O2" s="6"/>
      <c r="P2" s="6"/>
      <c r="Q2" s="6" t="s">
        <v>7</v>
      </c>
      <c r="R2" s="4"/>
      <c r="S2" s="7"/>
    </row>
    <row r="3" spans="1:23" ht="15" customHeight="1">
      <c r="A3" s="4"/>
      <c r="B3" s="4"/>
      <c r="C3" s="4"/>
      <c r="D3" s="4"/>
      <c r="E3" s="4"/>
      <c r="F3" s="4"/>
      <c r="G3" s="251" t="s">
        <v>536</v>
      </c>
      <c r="H3" s="5"/>
      <c r="I3" s="5"/>
      <c r="J3" s="9"/>
      <c r="K3" s="7"/>
      <c r="L3" s="4"/>
      <c r="M3" s="4"/>
      <c r="N3" s="4"/>
      <c r="O3" s="9"/>
      <c r="P3" s="9"/>
      <c r="Q3" s="9" t="s">
        <v>12</v>
      </c>
      <c r="R3" s="7" t="s">
        <v>9</v>
      </c>
      <c r="S3" s="9"/>
    </row>
    <row r="4" spans="1:23" ht="15" customHeight="1">
      <c r="A4" s="4" t="s">
        <v>10</v>
      </c>
      <c r="B4" s="4"/>
      <c r="C4" s="4"/>
      <c r="D4" s="4"/>
      <c r="E4" s="4"/>
      <c r="F4" s="4"/>
      <c r="G4" s="251" t="s">
        <v>537</v>
      </c>
      <c r="H4" s="4"/>
      <c r="I4" s="4"/>
      <c r="J4" s="9"/>
      <c r="K4" s="7"/>
      <c r="L4" s="9"/>
      <c r="M4" s="4"/>
      <c r="N4" s="4"/>
      <c r="O4" s="4"/>
      <c r="P4" s="4"/>
      <c r="Q4" s="9" t="s">
        <v>12</v>
      </c>
      <c r="R4" s="7" t="s">
        <v>11</v>
      </c>
      <c r="S4" s="9"/>
    </row>
    <row r="5" spans="1:23" ht="15" customHeight="1">
      <c r="A5" s="4"/>
      <c r="B5" s="4"/>
      <c r="C5" s="4"/>
      <c r="D5" s="4"/>
      <c r="E5" s="4"/>
      <c r="F5" s="4"/>
      <c r="G5" s="4"/>
      <c r="H5" s="4"/>
      <c r="I5" s="4"/>
      <c r="J5" s="9"/>
      <c r="K5" s="7"/>
      <c r="L5" s="9"/>
      <c r="M5" s="4"/>
      <c r="N5" s="4"/>
      <c r="O5" s="4"/>
      <c r="P5" s="4"/>
      <c r="R5" s="7" t="s">
        <v>13</v>
      </c>
      <c r="S5" s="9"/>
    </row>
    <row r="6" spans="1:23" ht="15" customHeight="1" thickBot="1">
      <c r="A6" s="2" t="s">
        <v>517</v>
      </c>
      <c r="B6" s="2"/>
      <c r="C6" s="1"/>
      <c r="D6" s="1"/>
      <c r="E6" s="1"/>
      <c r="F6" s="1"/>
      <c r="G6" s="1"/>
      <c r="H6" s="1"/>
      <c r="I6" s="2" t="s">
        <v>15</v>
      </c>
      <c r="J6" s="10"/>
      <c r="K6" s="1"/>
      <c r="L6" s="1"/>
      <c r="M6" s="1"/>
      <c r="N6" s="1"/>
      <c r="O6" s="1"/>
      <c r="P6" s="1"/>
      <c r="Q6" s="1"/>
      <c r="R6" s="2" t="s">
        <v>16</v>
      </c>
      <c r="S6" s="1"/>
    </row>
    <row r="7" spans="1:23" ht="15" customHeight="1">
      <c r="A7" s="251"/>
      <c r="B7" s="251"/>
      <c r="C7" s="252"/>
      <c r="D7" s="252"/>
      <c r="E7" s="252"/>
      <c r="F7" s="252"/>
      <c r="G7" s="252" t="s">
        <v>17</v>
      </c>
      <c r="H7" s="252"/>
      <c r="I7" s="252" t="s">
        <v>18</v>
      </c>
      <c r="J7" s="252"/>
      <c r="K7" s="252" t="s">
        <v>19</v>
      </c>
      <c r="L7" s="252" t="s">
        <v>20</v>
      </c>
      <c r="M7" s="252"/>
      <c r="N7" s="777" t="s">
        <v>21</v>
      </c>
      <c r="O7" s="777"/>
      <c r="P7" s="252"/>
      <c r="Q7" s="252"/>
      <c r="R7" s="252"/>
      <c r="S7" s="252"/>
    </row>
    <row r="8" spans="1:23" ht="15" customHeight="1">
      <c r="A8" s="251"/>
      <c r="B8" s="251"/>
      <c r="C8" s="252"/>
      <c r="D8" s="252"/>
      <c r="E8" s="252"/>
      <c r="F8" s="252"/>
      <c r="G8" s="252"/>
      <c r="I8" s="252"/>
      <c r="J8" s="252"/>
      <c r="K8" s="778" t="s">
        <v>538</v>
      </c>
      <c r="L8" s="778"/>
      <c r="M8" s="252"/>
      <c r="N8" s="252"/>
      <c r="O8" s="252"/>
      <c r="P8" s="252"/>
      <c r="Q8" s="252"/>
      <c r="R8" s="252"/>
      <c r="S8" s="252"/>
    </row>
    <row r="9" spans="1:23" ht="15" customHeight="1">
      <c r="A9" s="251"/>
      <c r="B9" s="251"/>
      <c r="C9" s="251"/>
      <c r="D9" s="251"/>
      <c r="E9" s="251"/>
      <c r="F9" s="251"/>
      <c r="G9" s="253" t="s">
        <v>539</v>
      </c>
      <c r="H9" s="253"/>
      <c r="I9" s="253" t="s">
        <v>540</v>
      </c>
      <c r="J9" s="253"/>
      <c r="K9" s="253" t="s">
        <v>109</v>
      </c>
      <c r="L9" s="253" t="s">
        <v>541</v>
      </c>
      <c r="M9" s="253"/>
      <c r="N9" s="253"/>
      <c r="O9" s="253"/>
      <c r="P9" s="253"/>
      <c r="Q9" s="253"/>
      <c r="R9" s="253"/>
      <c r="S9" s="253"/>
      <c r="T9" s="253"/>
      <c r="U9" s="253"/>
      <c r="V9" s="253"/>
      <c r="W9" s="253"/>
    </row>
    <row r="10" spans="1:23" ht="15" customHeight="1">
      <c r="A10" s="251" t="s">
        <v>35</v>
      </c>
      <c r="B10" s="253" t="s">
        <v>355</v>
      </c>
      <c r="C10" s="253" t="s">
        <v>355</v>
      </c>
      <c r="D10" s="253"/>
      <c r="E10" s="253"/>
      <c r="F10" s="252"/>
      <c r="G10" s="253" t="s">
        <v>542</v>
      </c>
      <c r="H10" s="253"/>
      <c r="I10" s="253" t="s">
        <v>542</v>
      </c>
      <c r="J10" s="253"/>
      <c r="K10" s="252" t="s">
        <v>543</v>
      </c>
      <c r="L10" s="252" t="s">
        <v>544</v>
      </c>
      <c r="M10" s="253"/>
      <c r="N10" s="779" t="s">
        <v>545</v>
      </c>
      <c r="O10" s="779"/>
      <c r="P10" s="252"/>
      <c r="Q10" s="252"/>
      <c r="R10" s="252"/>
      <c r="S10" s="253"/>
    </row>
    <row r="11" spans="1:23" ht="15" customHeight="1" thickBot="1">
      <c r="A11" s="250" t="s">
        <v>46</v>
      </c>
      <c r="B11" s="254" t="s">
        <v>371</v>
      </c>
      <c r="C11" s="254" t="s">
        <v>372</v>
      </c>
      <c r="D11" s="254"/>
      <c r="E11" s="254"/>
      <c r="F11" s="254"/>
      <c r="G11" s="255">
        <v>46022</v>
      </c>
      <c r="H11" s="255"/>
      <c r="I11" s="255">
        <v>45657</v>
      </c>
      <c r="J11" s="256"/>
      <c r="K11" s="256"/>
      <c r="L11" s="256" t="s">
        <v>546</v>
      </c>
      <c r="M11" s="256"/>
      <c r="N11" s="257"/>
      <c r="O11" s="257"/>
      <c r="P11" s="257"/>
      <c r="Q11" s="257"/>
      <c r="R11" s="257"/>
      <c r="S11" s="257"/>
    </row>
    <row r="12" spans="1:23" ht="15" customHeight="1">
      <c r="A12" s="251">
        <v>1</v>
      </c>
      <c r="N12" s="258"/>
      <c r="O12" s="258"/>
      <c r="P12" s="258"/>
      <c r="Q12" s="258"/>
      <c r="R12" s="258"/>
      <c r="S12" s="258"/>
    </row>
    <row r="13" spans="1:23" ht="15" customHeight="1">
      <c r="A13" s="251">
        <v>2</v>
      </c>
      <c r="B13" s="532">
        <v>101</v>
      </c>
      <c r="C13" s="282" t="s">
        <v>547</v>
      </c>
      <c r="D13" s="258"/>
      <c r="E13" s="258"/>
      <c r="F13" s="162"/>
      <c r="G13" s="167">
        <f>SUMIF('Test Year'!$A:$A,$B13,'Test Year'!$U:$U)/1000</f>
        <v>12385468.870342122</v>
      </c>
      <c r="H13" s="401"/>
      <c r="I13" s="401">
        <f>SUMIF('Prior Year'!$A:$A,$B13,'Prior Year'!$U:$U)/1000</f>
        <v>10963474.441793986</v>
      </c>
      <c r="J13" s="401"/>
      <c r="K13" s="401">
        <f>G13-I13</f>
        <v>1421994.4285481367</v>
      </c>
      <c r="L13" s="402">
        <f>K13/I13</f>
        <v>0.12970289994268017</v>
      </c>
      <c r="M13" s="337"/>
      <c r="N13" s="335"/>
      <c r="O13" s="335"/>
      <c r="R13" s="337"/>
      <c r="S13" s="337"/>
      <c r="U13" s="92"/>
      <c r="V13" s="92"/>
      <c r="W13" s="92"/>
    </row>
    <row r="14" spans="1:23" ht="15" customHeight="1">
      <c r="A14" s="251">
        <v>3</v>
      </c>
      <c r="B14" s="273"/>
      <c r="G14" s="167"/>
      <c r="I14" s="401"/>
      <c r="M14" s="338"/>
      <c r="N14" s="335"/>
      <c r="O14" s="335"/>
      <c r="R14" s="337"/>
      <c r="S14" s="337"/>
    </row>
    <row r="15" spans="1:23" ht="15" customHeight="1">
      <c r="A15" s="251">
        <v>4</v>
      </c>
      <c r="B15" s="410">
        <v>105</v>
      </c>
      <c r="C15" s="282" t="s">
        <v>548</v>
      </c>
      <c r="D15" s="258"/>
      <c r="E15" s="258"/>
      <c r="F15" s="162"/>
      <c r="G15" s="167">
        <f>SUMIF('Test Year'!$A:$A,$B15,'Test Year'!$U:$U)/1000</f>
        <v>69494.543313076909</v>
      </c>
      <c r="H15" s="401"/>
      <c r="I15" s="401">
        <f>SUMIF('Prior Year'!$A:$A,$B15,'Prior Year'!$U:$U)/1000</f>
        <v>63405.877289999975</v>
      </c>
      <c r="J15" s="401"/>
      <c r="K15" s="401">
        <f>G15-I15</f>
        <v>6088.6660230769339</v>
      </c>
      <c r="L15" s="402">
        <f>K15/I15</f>
        <v>9.602683983424995E-2</v>
      </c>
      <c r="M15" s="337"/>
      <c r="N15" s="335"/>
      <c r="O15" s="335"/>
      <c r="R15" s="337"/>
      <c r="S15" s="337"/>
    </row>
    <row r="16" spans="1:23" ht="15" customHeight="1">
      <c r="A16" s="251">
        <v>5</v>
      </c>
      <c r="B16" s="532"/>
      <c r="G16" s="167"/>
      <c r="I16" s="401"/>
      <c r="M16" s="338"/>
      <c r="N16" s="335"/>
      <c r="O16" s="335"/>
      <c r="R16" s="338"/>
      <c r="S16" s="338"/>
    </row>
    <row r="17" spans="1:23" ht="15" customHeight="1">
      <c r="A17" s="251">
        <v>6</v>
      </c>
      <c r="B17" s="532">
        <v>107</v>
      </c>
      <c r="C17" s="282" t="s">
        <v>166</v>
      </c>
      <c r="D17" s="258"/>
      <c r="E17" s="258"/>
      <c r="F17" s="162"/>
      <c r="G17" s="167">
        <f>SUMIF('Test Year'!$A:$A,$B17,'Test Year'!$U:$U)/1000</f>
        <v>1050507.0124984616</v>
      </c>
      <c r="H17" s="401"/>
      <c r="I17" s="401">
        <f>SUMIF('Prior Year'!$A:$A,$B17,'Prior Year'!$U:$U)/1000</f>
        <v>1117495.6825307694</v>
      </c>
      <c r="J17" s="401"/>
      <c r="K17" s="401">
        <f>+G17-I17</f>
        <v>-66988.670032307738</v>
      </c>
      <c r="L17" s="402">
        <f>K17/I17</f>
        <v>-5.9945350196431976E-2</v>
      </c>
      <c r="M17" s="337"/>
      <c r="N17" s="335"/>
      <c r="O17" s="335"/>
      <c r="R17" s="337"/>
      <c r="S17" s="337"/>
      <c r="U17" s="92"/>
    </row>
    <row r="18" spans="1:23" ht="15" customHeight="1">
      <c r="A18" s="251">
        <v>7</v>
      </c>
      <c r="B18" s="410"/>
      <c r="G18" s="167"/>
      <c r="I18" s="401"/>
      <c r="N18" s="335"/>
      <c r="O18" s="335"/>
      <c r="R18" s="337"/>
      <c r="S18" s="337"/>
    </row>
    <row r="19" spans="1:23" ht="15" customHeight="1">
      <c r="A19" s="251">
        <v>8</v>
      </c>
      <c r="B19" s="532">
        <v>111</v>
      </c>
      <c r="C19" s="282" t="s">
        <v>549</v>
      </c>
      <c r="D19" s="258"/>
      <c r="E19" s="258"/>
      <c r="F19" s="162"/>
      <c r="G19" s="167">
        <f>SUMIF('Test Year'!$A:$A,$B19,'Test Year'!$U:$U)/1000</f>
        <v>-192471.13009615379</v>
      </c>
      <c r="H19" s="401"/>
      <c r="I19" s="401">
        <f>SUMIF('Prior Year'!$A:$A,$B19,'Prior Year'!$U:$U)/1000</f>
        <v>-166245.92676538465</v>
      </c>
      <c r="J19" s="401"/>
      <c r="K19" s="401">
        <f>G19-I19</f>
        <v>-26225.203330769145</v>
      </c>
      <c r="L19" s="402">
        <f>K19/I19</f>
        <v>0.15774944890998496</v>
      </c>
      <c r="M19" s="337"/>
      <c r="N19" s="335"/>
      <c r="O19" s="335"/>
      <c r="R19" s="337"/>
      <c r="S19" s="337"/>
    </row>
    <row r="20" spans="1:23" ht="15" customHeight="1">
      <c r="A20" s="251">
        <v>9</v>
      </c>
      <c r="B20" s="273"/>
      <c r="G20" s="167"/>
      <c r="I20" s="401"/>
      <c r="M20" s="338"/>
      <c r="N20" s="335"/>
      <c r="O20" s="335"/>
      <c r="R20" s="337"/>
      <c r="S20" s="337"/>
      <c r="U20" s="92"/>
      <c r="V20" s="92"/>
      <c r="W20" s="92"/>
    </row>
    <row r="21" spans="1:23" ht="15" customHeight="1">
      <c r="A21" s="251">
        <v>10</v>
      </c>
      <c r="B21" s="410">
        <v>121</v>
      </c>
      <c r="C21" s="282" t="s">
        <v>266</v>
      </c>
      <c r="D21" s="258"/>
      <c r="E21" s="258"/>
      <c r="F21" s="162"/>
      <c r="G21" s="167">
        <f>SUMIF('Test Year'!$A:$A,$B21,'Test Year'!$U:$U)/1000</f>
        <v>24533.891339230777</v>
      </c>
      <c r="H21" s="401"/>
      <c r="I21" s="401">
        <f>SUMIF('Prior Year'!$A:$A,$B21,'Prior Year'!$U:$U)/1000</f>
        <v>22067.129445384617</v>
      </c>
      <c r="J21" s="401"/>
      <c r="K21" s="401">
        <v>-10100.384615384613</v>
      </c>
      <c r="L21" s="402">
        <f>K21/I21</f>
        <v>-0.45771175813250731</v>
      </c>
      <c r="M21" s="337"/>
      <c r="N21" s="335"/>
      <c r="O21" s="335"/>
      <c r="R21" s="337"/>
      <c r="S21" s="337"/>
    </row>
    <row r="22" spans="1:23" ht="15" customHeight="1">
      <c r="A22" s="251">
        <v>11</v>
      </c>
      <c r="B22" s="532"/>
      <c r="F22" s="338"/>
      <c r="G22" s="167"/>
      <c r="H22" s="401"/>
      <c r="I22" s="401"/>
      <c r="J22" s="401"/>
      <c r="K22" s="401"/>
      <c r="L22" s="402"/>
      <c r="M22" s="337"/>
      <c r="N22" s="335"/>
      <c r="O22" s="335"/>
      <c r="R22" s="337"/>
      <c r="S22" s="337"/>
    </row>
    <row r="23" spans="1:23" ht="15" customHeight="1">
      <c r="A23" s="251">
        <v>12</v>
      </c>
      <c r="B23" s="532">
        <v>254</v>
      </c>
      <c r="C23" s="282" t="s">
        <v>550</v>
      </c>
      <c r="D23" s="258"/>
      <c r="E23" s="258"/>
      <c r="F23" s="162"/>
      <c r="G23" s="167">
        <f>SUMIF('Test Year'!$A:$A,$B23,'Test Year'!$U:$U)/1000</f>
        <v>523655.04200802429</v>
      </c>
      <c r="H23" s="401"/>
      <c r="I23" s="401">
        <f>SUMIF('Prior Year'!$A:$A,$B23,'Prior Year'!$U:$U)/1000</f>
        <v>527670.0219494073</v>
      </c>
      <c r="J23" s="401"/>
      <c r="K23" s="401">
        <f>G23-I23</f>
        <v>-4014.9799413830042</v>
      </c>
      <c r="L23" s="402">
        <f>K23/I23</f>
        <v>-7.608883912999625E-3</v>
      </c>
      <c r="M23" s="337"/>
      <c r="N23" s="335"/>
      <c r="O23" s="335"/>
      <c r="R23" s="337"/>
      <c r="S23" s="337"/>
      <c r="U23" s="92"/>
      <c r="V23" s="92"/>
      <c r="W23" s="92"/>
    </row>
    <row r="24" spans="1:23" ht="15" customHeight="1">
      <c r="A24" s="251">
        <v>13</v>
      </c>
      <c r="B24" s="293"/>
      <c r="C24" s="282"/>
      <c r="F24" s="338"/>
      <c r="G24" s="167"/>
      <c r="H24" s="401"/>
      <c r="I24" s="401"/>
      <c r="J24" s="401"/>
      <c r="K24" s="401"/>
      <c r="L24" s="402"/>
      <c r="M24" s="338"/>
      <c r="N24" s="365"/>
      <c r="O24" s="365"/>
      <c r="P24" s="365"/>
      <c r="Q24" s="365"/>
      <c r="R24" s="337"/>
      <c r="S24" s="337"/>
    </row>
    <row r="25" spans="1:23" ht="15" customHeight="1">
      <c r="A25" s="251">
        <v>14</v>
      </c>
      <c r="R25" s="337"/>
      <c r="S25" s="337"/>
    </row>
    <row r="26" spans="1:23" ht="15" customHeight="1">
      <c r="A26" s="251">
        <v>15</v>
      </c>
      <c r="B26" s="409"/>
      <c r="C26" s="282"/>
      <c r="F26" s="338"/>
      <c r="G26" s="167"/>
      <c r="H26" s="401"/>
      <c r="I26" s="401"/>
      <c r="J26" s="401"/>
      <c r="K26" s="401"/>
      <c r="L26" s="402"/>
      <c r="N26" s="365"/>
      <c r="O26" s="337"/>
      <c r="P26" s="337"/>
      <c r="Q26" s="337"/>
      <c r="R26" s="337"/>
      <c r="S26" s="337"/>
    </row>
    <row r="27" spans="1:23" ht="15" customHeight="1">
      <c r="A27" s="251">
        <v>16</v>
      </c>
      <c r="B27" s="410"/>
      <c r="C27" s="282"/>
      <c r="D27" s="338"/>
      <c r="E27" s="282"/>
      <c r="F27" s="338"/>
      <c r="G27" s="167"/>
      <c r="H27" s="401"/>
      <c r="I27" s="401"/>
      <c r="J27" s="401"/>
      <c r="K27" s="401"/>
      <c r="L27" s="402"/>
      <c r="N27" s="172"/>
    </row>
    <row r="28" spans="1:23" ht="15" customHeight="1">
      <c r="A28" s="251">
        <v>17</v>
      </c>
      <c r="B28" s="409"/>
      <c r="C28" s="282"/>
      <c r="D28" s="337"/>
      <c r="E28" s="337"/>
      <c r="F28" s="338"/>
      <c r="G28" s="167"/>
      <c r="H28" s="401"/>
      <c r="I28" s="401"/>
      <c r="J28" s="401"/>
      <c r="K28" s="401"/>
      <c r="L28" s="402"/>
      <c r="N28" s="172"/>
      <c r="U28" s="92"/>
      <c r="V28" s="92"/>
      <c r="W28" s="92"/>
    </row>
    <row r="29" spans="1:23" ht="15" customHeight="1">
      <c r="A29" s="251">
        <v>18</v>
      </c>
      <c r="B29" s="410"/>
      <c r="C29" s="282"/>
      <c r="D29" s="337"/>
      <c r="E29" s="337"/>
      <c r="F29" s="338"/>
      <c r="G29" s="167"/>
      <c r="H29" s="401"/>
      <c r="I29" s="401"/>
      <c r="J29" s="401"/>
      <c r="K29" s="401"/>
      <c r="L29" s="402"/>
      <c r="N29" s="172"/>
    </row>
    <row r="30" spans="1:23" ht="15" customHeight="1">
      <c r="A30" s="251">
        <v>19</v>
      </c>
      <c r="B30" s="409"/>
      <c r="C30" s="282"/>
      <c r="F30" s="338"/>
      <c r="G30" s="167"/>
      <c r="H30" s="401"/>
      <c r="I30" s="401"/>
      <c r="J30" s="401"/>
      <c r="K30" s="401"/>
      <c r="L30" s="402"/>
      <c r="M30" s="338"/>
      <c r="N30" s="172"/>
    </row>
    <row r="31" spans="1:23" ht="15" customHeight="1">
      <c r="A31" s="251">
        <v>20</v>
      </c>
      <c r="B31" s="410"/>
      <c r="C31" s="282"/>
      <c r="D31" s="4"/>
      <c r="E31" s="4"/>
      <c r="F31" s="338"/>
      <c r="G31" s="167"/>
      <c r="H31" s="401"/>
      <c r="I31" s="401"/>
      <c r="J31" s="401"/>
      <c r="K31" s="401"/>
      <c r="L31" s="402"/>
      <c r="N31" s="172"/>
    </row>
    <row r="32" spans="1:23" ht="15" customHeight="1">
      <c r="A32" s="251">
        <v>21</v>
      </c>
      <c r="B32" s="409"/>
      <c r="C32" s="282"/>
      <c r="F32" s="338"/>
      <c r="G32" s="167"/>
      <c r="H32" s="401"/>
      <c r="I32" s="401"/>
      <c r="J32" s="401"/>
      <c r="K32" s="401"/>
      <c r="L32" s="402"/>
      <c r="N32" s="366"/>
      <c r="O32" s="338"/>
      <c r="P32" s="338"/>
      <c r="Q32" s="338"/>
      <c r="R32" s="338"/>
      <c r="S32" s="338"/>
    </row>
    <row r="33" spans="1:23" ht="15" customHeight="1">
      <c r="A33" s="251">
        <v>22</v>
      </c>
      <c r="B33" s="410"/>
      <c r="C33" s="282"/>
      <c r="G33" s="167"/>
      <c r="H33" s="401"/>
      <c r="I33" s="401"/>
      <c r="J33" s="401"/>
      <c r="K33" s="401"/>
      <c r="L33" s="402"/>
      <c r="N33" s="172"/>
      <c r="U33" s="92"/>
      <c r="V33" s="92"/>
      <c r="W33" s="92"/>
    </row>
    <row r="34" spans="1:23" ht="15" customHeight="1">
      <c r="A34" s="251">
        <v>23</v>
      </c>
      <c r="B34" s="409"/>
      <c r="C34" s="282"/>
      <c r="G34" s="167"/>
      <c r="H34" s="401"/>
      <c r="I34" s="401"/>
      <c r="J34" s="401"/>
      <c r="K34" s="401"/>
      <c r="L34" s="402"/>
      <c r="N34" s="172"/>
    </row>
    <row r="35" spans="1:23" ht="15" customHeight="1">
      <c r="A35" s="251">
        <v>24</v>
      </c>
      <c r="B35" s="410"/>
      <c r="C35" s="282"/>
      <c r="G35" s="167"/>
      <c r="H35" s="401"/>
      <c r="I35" s="401"/>
      <c r="J35" s="401"/>
      <c r="K35" s="401"/>
      <c r="L35" s="402"/>
      <c r="M35" s="258"/>
      <c r="N35" s="172"/>
    </row>
    <row r="36" spans="1:23" ht="15" customHeight="1">
      <c r="A36" s="251">
        <v>25</v>
      </c>
      <c r="B36" s="409"/>
      <c r="N36" s="172"/>
      <c r="O36" s="367"/>
      <c r="P36" s="367"/>
      <c r="Q36" s="367"/>
      <c r="R36" s="367"/>
      <c r="S36" s="367"/>
    </row>
    <row r="37" spans="1:23" ht="15" customHeight="1">
      <c r="A37" s="251">
        <v>26</v>
      </c>
      <c r="N37" s="368"/>
    </row>
    <row r="38" spans="1:23" ht="15" customHeight="1">
      <c r="A38" s="251">
        <v>27</v>
      </c>
      <c r="N38" s="172"/>
      <c r="O38" s="367"/>
      <c r="P38" s="367"/>
      <c r="Q38" s="367"/>
      <c r="R38" s="367"/>
      <c r="S38" s="367"/>
    </row>
    <row r="39" spans="1:23" ht="15" customHeight="1">
      <c r="A39" s="251">
        <v>28</v>
      </c>
      <c r="D39" s="4"/>
      <c r="E39" s="4"/>
      <c r="F39" s="37"/>
      <c r="G39" s="37"/>
      <c r="H39" s="37"/>
      <c r="I39" s="37"/>
      <c r="J39" s="37"/>
      <c r="K39" s="37"/>
      <c r="L39" s="37"/>
      <c r="M39" s="337"/>
      <c r="N39" s="172"/>
      <c r="O39" s="337"/>
      <c r="P39" s="337"/>
      <c r="Q39" s="337"/>
      <c r="R39" s="337"/>
      <c r="S39" s="337"/>
    </row>
    <row r="40" spans="1:23" ht="15" customHeight="1">
      <c r="A40" s="251">
        <v>29</v>
      </c>
      <c r="D40" s="4"/>
      <c r="E40" s="4"/>
      <c r="F40" s="37"/>
      <c r="G40" s="37"/>
      <c r="H40" s="37"/>
      <c r="I40" s="37"/>
      <c r="J40" s="37"/>
      <c r="K40" s="37"/>
      <c r="L40" s="37"/>
      <c r="M40" s="337"/>
      <c r="N40" s="172"/>
      <c r="O40" s="337"/>
      <c r="P40" s="337"/>
      <c r="Q40" s="337"/>
      <c r="R40" s="337"/>
      <c r="S40" s="337"/>
    </row>
    <row r="41" spans="1:23" ht="15" customHeight="1">
      <c r="A41" s="251">
        <v>30</v>
      </c>
      <c r="B41" s="4"/>
      <c r="C41" s="4"/>
      <c r="D41" s="4"/>
      <c r="E41" s="4"/>
      <c r="F41" s="37"/>
      <c r="G41" s="37"/>
      <c r="H41" s="37"/>
      <c r="I41" s="37"/>
      <c r="J41" s="37"/>
      <c r="K41" s="37"/>
      <c r="L41" s="37"/>
      <c r="N41" s="172"/>
      <c r="O41" s="337"/>
      <c r="P41" s="337"/>
      <c r="Q41" s="337"/>
      <c r="R41" s="337"/>
      <c r="S41" s="337"/>
    </row>
    <row r="42" spans="1:23" ht="15" customHeight="1">
      <c r="A42" s="251">
        <v>31</v>
      </c>
      <c r="B42" s="4"/>
      <c r="C42" s="4"/>
      <c r="D42" s="4"/>
      <c r="E42" s="4"/>
      <c r="F42" s="37"/>
      <c r="G42" s="37"/>
      <c r="H42" s="37"/>
      <c r="I42" s="37"/>
      <c r="J42" s="37"/>
      <c r="K42" s="37"/>
      <c r="L42" s="37"/>
      <c r="M42" s="37"/>
      <c r="N42" s="172"/>
    </row>
    <row r="43" spans="1:23" ht="15" customHeight="1">
      <c r="A43" s="251">
        <v>32</v>
      </c>
      <c r="B43" s="4"/>
      <c r="C43" s="4"/>
      <c r="D43" s="4"/>
      <c r="E43" s="4"/>
      <c r="F43" s="37"/>
      <c r="G43" s="37"/>
      <c r="H43" s="37"/>
      <c r="I43" s="37"/>
      <c r="J43" s="37"/>
      <c r="K43" s="37"/>
      <c r="L43" s="37"/>
      <c r="M43" s="337"/>
      <c r="N43" s="172"/>
      <c r="O43" s="37"/>
      <c r="P43" s="37"/>
      <c r="Q43" s="37"/>
      <c r="R43" s="37"/>
      <c r="S43" s="37"/>
    </row>
    <row r="44" spans="1:23" ht="15" customHeight="1">
      <c r="A44" s="251">
        <v>33</v>
      </c>
      <c r="B44" s="4"/>
      <c r="C44" s="4"/>
      <c r="D44" s="4"/>
      <c r="E44" s="4"/>
      <c r="F44" s="37"/>
      <c r="G44" s="37"/>
      <c r="H44" s="37"/>
      <c r="I44" s="37"/>
      <c r="J44" s="37"/>
      <c r="K44" s="37"/>
      <c r="L44" s="37"/>
      <c r="M44" s="37"/>
      <c r="N44" s="168"/>
      <c r="O44" s="37"/>
      <c r="P44" s="37"/>
      <c r="Q44" s="37"/>
      <c r="R44" s="37"/>
      <c r="S44" s="37"/>
    </row>
    <row r="45" spans="1:23" ht="15" customHeight="1">
      <c r="A45" s="251">
        <v>34</v>
      </c>
      <c r="B45" s="4"/>
      <c r="C45" s="4"/>
      <c r="D45" s="4"/>
      <c r="E45" s="4"/>
      <c r="F45" s="37"/>
      <c r="G45" s="37"/>
      <c r="H45" s="37"/>
      <c r="I45" s="37"/>
      <c r="J45" s="37"/>
      <c r="K45" s="37"/>
      <c r="L45" s="37"/>
      <c r="M45" s="37"/>
      <c r="N45" s="168"/>
      <c r="O45" s="37"/>
      <c r="P45" s="37"/>
      <c r="Q45" s="37"/>
      <c r="R45" s="37"/>
      <c r="S45" s="37"/>
    </row>
    <row r="46" spans="1:23" ht="15" customHeight="1">
      <c r="A46" s="251">
        <v>35</v>
      </c>
      <c r="B46" s="4"/>
      <c r="C46" s="4"/>
      <c r="D46" s="4"/>
      <c r="E46" s="4"/>
      <c r="F46" s="37"/>
      <c r="G46" s="37"/>
      <c r="H46" s="37"/>
      <c r="I46" s="37"/>
      <c r="J46" s="37"/>
      <c r="K46" s="37"/>
      <c r="L46" s="37"/>
      <c r="M46" s="37"/>
      <c r="N46" s="168"/>
      <c r="O46" s="37"/>
      <c r="P46" s="37"/>
      <c r="Q46" s="37"/>
      <c r="R46" s="37"/>
      <c r="S46" s="37"/>
    </row>
    <row r="47" spans="1:23" ht="15" customHeight="1">
      <c r="A47" s="251">
        <v>36</v>
      </c>
      <c r="B47" s="4"/>
      <c r="C47" s="4"/>
      <c r="D47" s="4"/>
      <c r="E47" s="4"/>
      <c r="F47" s="37"/>
      <c r="G47" s="37"/>
      <c r="H47" s="37"/>
      <c r="I47" s="37"/>
      <c r="J47" s="37"/>
      <c r="K47" s="37"/>
      <c r="L47" s="37"/>
      <c r="M47" s="37"/>
      <c r="N47" s="168"/>
      <c r="O47" s="37"/>
      <c r="P47" s="37"/>
      <c r="Q47" s="37"/>
      <c r="R47" s="37"/>
      <c r="S47" s="37"/>
    </row>
    <row r="48" spans="1:23" ht="15" customHeight="1">
      <c r="A48" s="251">
        <v>37</v>
      </c>
      <c r="B48" s="4"/>
      <c r="C48" s="4"/>
      <c r="D48" s="4"/>
      <c r="E48" s="4"/>
      <c r="F48" s="37"/>
      <c r="G48" s="37"/>
      <c r="H48" s="37"/>
      <c r="I48" s="37"/>
      <c r="J48" s="37"/>
      <c r="K48" s="37"/>
      <c r="L48" s="37"/>
      <c r="M48" s="37"/>
      <c r="N48" s="168"/>
      <c r="O48" s="37"/>
      <c r="P48" s="37"/>
      <c r="Q48" s="37"/>
      <c r="R48" s="37"/>
      <c r="S48" s="37"/>
    </row>
    <row r="49" spans="1:19" ht="15" customHeight="1">
      <c r="A49" s="251">
        <v>38</v>
      </c>
      <c r="B49" s="4"/>
      <c r="C49" s="4"/>
      <c r="D49" s="4"/>
      <c r="E49" s="4"/>
      <c r="F49" s="37"/>
      <c r="G49" s="37"/>
      <c r="H49" s="37"/>
      <c r="I49" s="37"/>
      <c r="J49" s="37"/>
      <c r="K49" s="37"/>
      <c r="L49" s="37"/>
      <c r="M49" s="37"/>
      <c r="N49" s="168"/>
      <c r="O49" s="37"/>
      <c r="P49" s="37"/>
      <c r="Q49" s="37"/>
      <c r="R49" s="37"/>
      <c r="S49" s="37"/>
    </row>
    <row r="50" spans="1:19" ht="15" customHeight="1" thickBot="1">
      <c r="A50" s="250">
        <v>39</v>
      </c>
      <c r="B50" s="1"/>
      <c r="C50" s="1"/>
      <c r="D50" s="1"/>
      <c r="E50" s="1"/>
      <c r="F50" s="1"/>
      <c r="G50" s="1"/>
      <c r="H50" s="1"/>
      <c r="I50" s="1"/>
      <c r="J50" s="1"/>
      <c r="K50" s="1"/>
      <c r="L50" s="1"/>
      <c r="M50" s="1"/>
      <c r="N50" s="1"/>
      <c r="O50" s="1"/>
      <c r="P50" s="1"/>
      <c r="Q50" s="1"/>
      <c r="R50" s="1"/>
      <c r="S50" s="1"/>
    </row>
    <row r="51" spans="1:19" ht="15" customHeight="1">
      <c r="A51" s="4" t="str">
        <f>"Supporting Schedules: " &amp; "B-3"</f>
        <v>Supporting Schedules: B-3</v>
      </c>
      <c r="B51" s="5"/>
      <c r="C51" s="5"/>
      <c r="D51" s="5"/>
      <c r="E51" s="5"/>
      <c r="F51" s="5"/>
      <c r="G51" s="5"/>
      <c r="H51" s="5"/>
      <c r="I51" s="5"/>
      <c r="J51" s="5"/>
      <c r="K51" s="5"/>
      <c r="L51" s="5"/>
      <c r="M51" s="5"/>
      <c r="N51" s="5"/>
      <c r="O51" s="5"/>
      <c r="P51" s="5"/>
      <c r="Q51" s="4" t="s">
        <v>551</v>
      </c>
      <c r="R51" s="4"/>
      <c r="S51" s="4"/>
    </row>
    <row r="60" spans="1:19" ht="15" customHeight="1">
      <c r="A60" s="81">
        <f>A8</f>
        <v>0</v>
      </c>
    </row>
  </sheetData>
  <mergeCells count="3">
    <mergeCell ref="N7:O7"/>
    <mergeCell ref="K8:L8"/>
    <mergeCell ref="N10:O10"/>
  </mergeCells>
  <pageMargins left="1" right="0" top="1" bottom="0" header="0" footer="0"/>
  <pageSetup paperSize="9" scale="65" orientation="landscape"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86F6A-3BFC-4C3E-8218-4E6B84305117}">
  <sheetPr filterMode="1"/>
  <dimension ref="A1:AC118"/>
  <sheetViews>
    <sheetView topLeftCell="A3" zoomScaleNormal="100" zoomScaleSheetLayoutView="110" workbookViewId="0">
      <selection activeCell="B13" sqref="B13"/>
    </sheetView>
  </sheetViews>
  <sheetFormatPr defaultRowHeight="14.1" customHeight="1"/>
  <cols>
    <col min="1" max="1" width="3.5546875" style="263" customWidth="1"/>
    <col min="2" max="2" width="6.88671875" style="263" bestFit="1" customWidth="1"/>
    <col min="3" max="6" width="9.5546875" style="263" customWidth="1"/>
    <col min="7" max="7" width="14" style="263" customWidth="1"/>
    <col min="8" max="8" width="13.33203125" style="263" customWidth="1"/>
    <col min="9" max="9" width="12.88671875" style="263" customWidth="1"/>
    <col min="10" max="12" width="13.33203125" style="263" customWidth="1"/>
    <col min="13" max="13" width="9.33203125" style="263" customWidth="1"/>
    <col min="14" max="14" width="9.5546875" style="263" customWidth="1"/>
    <col min="15" max="15" width="11.109375" style="263" customWidth="1"/>
    <col min="16" max="16" width="11.88671875" style="263" customWidth="1"/>
    <col min="17" max="17" width="9.5546875" style="263" customWidth="1"/>
    <col min="18" max="18" width="11.109375" style="263" customWidth="1"/>
    <col min="19" max="19" width="9" style="263" customWidth="1"/>
    <col min="20" max="20" width="4.44140625" style="263" customWidth="1"/>
    <col min="21" max="24" width="12.88671875" style="263" customWidth="1"/>
    <col min="25" max="25" width="9.109375" style="263" customWidth="1"/>
    <col min="26" max="26" width="8.6640625" style="263"/>
    <col min="27" max="27" width="14" customWidth="1"/>
    <col min="28" max="230" width="8.6640625" style="263"/>
    <col min="231" max="231" width="3.5546875" style="263" customWidth="1"/>
    <col min="232" max="232" width="6.88671875" style="263" bestFit="1" customWidth="1"/>
    <col min="233" max="236" width="9.5546875" style="263" customWidth="1"/>
    <col min="237" max="237" width="11.44140625" style="263" customWidth="1"/>
    <col min="238" max="238" width="9.5546875" style="263" customWidth="1"/>
    <col min="239" max="239" width="12.5546875" style="263" bestFit="1" customWidth="1"/>
    <col min="240" max="242" width="9.5546875" style="263" customWidth="1"/>
    <col min="243" max="243" width="10.88671875" style="263" customWidth="1"/>
    <col min="244" max="250" width="9.5546875" style="263" customWidth="1"/>
    <col min="251" max="251" width="12" style="263" bestFit="1" customWidth="1"/>
    <col min="252" max="486" width="8.6640625" style="263"/>
    <col min="487" max="487" width="3.5546875" style="263" customWidth="1"/>
    <col min="488" max="488" width="6.88671875" style="263" bestFit="1" customWidth="1"/>
    <col min="489" max="492" width="9.5546875" style="263" customWidth="1"/>
    <col min="493" max="493" width="11.44140625" style="263" customWidth="1"/>
    <col min="494" max="494" width="9.5546875" style="263" customWidth="1"/>
    <col min="495" max="495" width="12.5546875" style="263" bestFit="1" customWidth="1"/>
    <col min="496" max="498" width="9.5546875" style="263" customWidth="1"/>
    <col min="499" max="499" width="10.88671875" style="263" customWidth="1"/>
    <col min="500" max="506" width="9.5546875" style="263" customWidth="1"/>
    <col min="507" max="507" width="12" style="263" bestFit="1" customWidth="1"/>
    <col min="508" max="742" width="8.6640625" style="263"/>
    <col min="743" max="743" width="3.5546875" style="263" customWidth="1"/>
    <col min="744" max="744" width="6.88671875" style="263" bestFit="1" customWidth="1"/>
    <col min="745" max="748" width="9.5546875" style="263" customWidth="1"/>
    <col min="749" max="749" width="11.44140625" style="263" customWidth="1"/>
    <col min="750" max="750" width="9.5546875" style="263" customWidth="1"/>
    <col min="751" max="751" width="12.5546875" style="263" bestFit="1" customWidth="1"/>
    <col min="752" max="754" width="9.5546875" style="263" customWidth="1"/>
    <col min="755" max="755" width="10.88671875" style="263" customWidth="1"/>
    <col min="756" max="762" width="9.5546875" style="263" customWidth="1"/>
    <col min="763" max="763" width="12" style="263" bestFit="1" customWidth="1"/>
    <col min="764" max="998" width="8.6640625" style="263"/>
    <col min="999" max="999" width="3.5546875" style="263" customWidth="1"/>
    <col min="1000" max="1000" width="6.88671875" style="263" bestFit="1" customWidth="1"/>
    <col min="1001" max="1004" width="9.5546875" style="263" customWidth="1"/>
    <col min="1005" max="1005" width="11.44140625" style="263" customWidth="1"/>
    <col min="1006" max="1006" width="9.5546875" style="263" customWidth="1"/>
    <col min="1007" max="1007" width="12.5546875" style="263" bestFit="1" customWidth="1"/>
    <col min="1008" max="1010" width="9.5546875" style="263" customWidth="1"/>
    <col min="1011" max="1011" width="10.88671875" style="263" customWidth="1"/>
    <col min="1012" max="1018" width="9.5546875" style="263" customWidth="1"/>
    <col min="1019" max="1019" width="12" style="263" bestFit="1" customWidth="1"/>
    <col min="1020" max="1254" width="8.6640625" style="263"/>
    <col min="1255" max="1255" width="3.5546875" style="263" customWidth="1"/>
    <col min="1256" max="1256" width="6.88671875" style="263" bestFit="1" customWidth="1"/>
    <col min="1257" max="1260" width="9.5546875" style="263" customWidth="1"/>
    <col min="1261" max="1261" width="11.44140625" style="263" customWidth="1"/>
    <col min="1262" max="1262" width="9.5546875" style="263" customWidth="1"/>
    <col min="1263" max="1263" width="12.5546875" style="263" bestFit="1" customWidth="1"/>
    <col min="1264" max="1266" width="9.5546875" style="263" customWidth="1"/>
    <col min="1267" max="1267" width="10.88671875" style="263" customWidth="1"/>
    <col min="1268" max="1274" width="9.5546875" style="263" customWidth="1"/>
    <col min="1275" max="1275" width="12" style="263" bestFit="1" customWidth="1"/>
    <col min="1276" max="1510" width="8.6640625" style="263"/>
    <col min="1511" max="1511" width="3.5546875" style="263" customWidth="1"/>
    <col min="1512" max="1512" width="6.88671875" style="263" bestFit="1" customWidth="1"/>
    <col min="1513" max="1516" width="9.5546875" style="263" customWidth="1"/>
    <col min="1517" max="1517" width="11.44140625" style="263" customWidth="1"/>
    <col min="1518" max="1518" width="9.5546875" style="263" customWidth="1"/>
    <col min="1519" max="1519" width="12.5546875" style="263" bestFit="1" customWidth="1"/>
    <col min="1520" max="1522" width="9.5546875" style="263" customWidth="1"/>
    <col min="1523" max="1523" width="10.88671875" style="263" customWidth="1"/>
    <col min="1524" max="1530" width="9.5546875" style="263" customWidth="1"/>
    <col min="1531" max="1531" width="12" style="263" bestFit="1" customWidth="1"/>
    <col min="1532" max="1766" width="8.6640625" style="263"/>
    <col min="1767" max="1767" width="3.5546875" style="263" customWidth="1"/>
    <col min="1768" max="1768" width="6.88671875" style="263" bestFit="1" customWidth="1"/>
    <col min="1769" max="1772" width="9.5546875" style="263" customWidth="1"/>
    <col min="1773" max="1773" width="11.44140625" style="263" customWidth="1"/>
    <col min="1774" max="1774" width="9.5546875" style="263" customWidth="1"/>
    <col min="1775" max="1775" width="12.5546875" style="263" bestFit="1" customWidth="1"/>
    <col min="1776" max="1778" width="9.5546875" style="263" customWidth="1"/>
    <col min="1779" max="1779" width="10.88671875" style="263" customWidth="1"/>
    <col min="1780" max="1786" width="9.5546875" style="263" customWidth="1"/>
    <col min="1787" max="1787" width="12" style="263" bestFit="1" customWidth="1"/>
    <col min="1788" max="2022" width="8.6640625" style="263"/>
    <col min="2023" max="2023" width="3.5546875" style="263" customWidth="1"/>
    <col min="2024" max="2024" width="6.88671875" style="263" bestFit="1" customWidth="1"/>
    <col min="2025" max="2028" width="9.5546875" style="263" customWidth="1"/>
    <col min="2029" max="2029" width="11.44140625" style="263" customWidth="1"/>
    <col min="2030" max="2030" width="9.5546875" style="263" customWidth="1"/>
    <col min="2031" max="2031" width="12.5546875" style="263" bestFit="1" customWidth="1"/>
    <col min="2032" max="2034" width="9.5546875" style="263" customWidth="1"/>
    <col min="2035" max="2035" width="10.88671875" style="263" customWidth="1"/>
    <col min="2036" max="2042" width="9.5546875" style="263" customWidth="1"/>
    <col min="2043" max="2043" width="12" style="263" bestFit="1" customWidth="1"/>
    <col min="2044" max="2278" width="8.6640625" style="263"/>
    <col min="2279" max="2279" width="3.5546875" style="263" customWidth="1"/>
    <col min="2280" max="2280" width="6.88671875" style="263" bestFit="1" customWidth="1"/>
    <col min="2281" max="2284" width="9.5546875" style="263" customWidth="1"/>
    <col min="2285" max="2285" width="11.44140625" style="263" customWidth="1"/>
    <col min="2286" max="2286" width="9.5546875" style="263" customWidth="1"/>
    <col min="2287" max="2287" width="12.5546875" style="263" bestFit="1" customWidth="1"/>
    <col min="2288" max="2290" width="9.5546875" style="263" customWidth="1"/>
    <col min="2291" max="2291" width="10.88671875" style="263" customWidth="1"/>
    <col min="2292" max="2298" width="9.5546875" style="263" customWidth="1"/>
    <col min="2299" max="2299" width="12" style="263" bestFit="1" customWidth="1"/>
    <col min="2300" max="2534" width="8.6640625" style="263"/>
    <col min="2535" max="2535" width="3.5546875" style="263" customWidth="1"/>
    <col min="2536" max="2536" width="6.88671875" style="263" bestFit="1" customWidth="1"/>
    <col min="2537" max="2540" width="9.5546875" style="263" customWidth="1"/>
    <col min="2541" max="2541" width="11.44140625" style="263" customWidth="1"/>
    <col min="2542" max="2542" width="9.5546875" style="263" customWidth="1"/>
    <col min="2543" max="2543" width="12.5546875" style="263" bestFit="1" customWidth="1"/>
    <col min="2544" max="2546" width="9.5546875" style="263" customWidth="1"/>
    <col min="2547" max="2547" width="10.88671875" style="263" customWidth="1"/>
    <col min="2548" max="2554" width="9.5546875" style="263" customWidth="1"/>
    <col min="2555" max="2555" width="12" style="263" bestFit="1" customWidth="1"/>
    <col min="2556" max="2790" width="8.6640625" style="263"/>
    <col min="2791" max="2791" width="3.5546875" style="263" customWidth="1"/>
    <col min="2792" max="2792" width="6.88671875" style="263" bestFit="1" customWidth="1"/>
    <col min="2793" max="2796" width="9.5546875" style="263" customWidth="1"/>
    <col min="2797" max="2797" width="11.44140625" style="263" customWidth="1"/>
    <col min="2798" max="2798" width="9.5546875" style="263" customWidth="1"/>
    <col min="2799" max="2799" width="12.5546875" style="263" bestFit="1" customWidth="1"/>
    <col min="2800" max="2802" width="9.5546875" style="263" customWidth="1"/>
    <col min="2803" max="2803" width="10.88671875" style="263" customWidth="1"/>
    <col min="2804" max="2810" width="9.5546875" style="263" customWidth="1"/>
    <col min="2811" max="2811" width="12" style="263" bestFit="1" customWidth="1"/>
    <col min="2812" max="3046" width="8.6640625" style="263"/>
    <col min="3047" max="3047" width="3.5546875" style="263" customWidth="1"/>
    <col min="3048" max="3048" width="6.88671875" style="263" bestFit="1" customWidth="1"/>
    <col min="3049" max="3052" width="9.5546875" style="263" customWidth="1"/>
    <col min="3053" max="3053" width="11.44140625" style="263" customWidth="1"/>
    <col min="3054" max="3054" width="9.5546875" style="263" customWidth="1"/>
    <col min="3055" max="3055" width="12.5546875" style="263" bestFit="1" customWidth="1"/>
    <col min="3056" max="3058" width="9.5546875" style="263" customWidth="1"/>
    <col min="3059" max="3059" width="10.88671875" style="263" customWidth="1"/>
    <col min="3060" max="3066" width="9.5546875" style="263" customWidth="1"/>
    <col min="3067" max="3067" width="12" style="263" bestFit="1" customWidth="1"/>
    <col min="3068" max="3302" width="8.6640625" style="263"/>
    <col min="3303" max="3303" width="3.5546875" style="263" customWidth="1"/>
    <col min="3304" max="3304" width="6.88671875" style="263" bestFit="1" customWidth="1"/>
    <col min="3305" max="3308" width="9.5546875" style="263" customWidth="1"/>
    <col min="3309" max="3309" width="11.44140625" style="263" customWidth="1"/>
    <col min="3310" max="3310" width="9.5546875" style="263" customWidth="1"/>
    <col min="3311" max="3311" width="12.5546875" style="263" bestFit="1" customWidth="1"/>
    <col min="3312" max="3314" width="9.5546875" style="263" customWidth="1"/>
    <col min="3315" max="3315" width="10.88671875" style="263" customWidth="1"/>
    <col min="3316" max="3322" width="9.5546875" style="263" customWidth="1"/>
    <col min="3323" max="3323" width="12" style="263" bestFit="1" customWidth="1"/>
    <col min="3324" max="3558" width="8.6640625" style="263"/>
    <col min="3559" max="3559" width="3.5546875" style="263" customWidth="1"/>
    <col min="3560" max="3560" width="6.88671875" style="263" bestFit="1" customWidth="1"/>
    <col min="3561" max="3564" width="9.5546875" style="263" customWidth="1"/>
    <col min="3565" max="3565" width="11.44140625" style="263" customWidth="1"/>
    <col min="3566" max="3566" width="9.5546875" style="263" customWidth="1"/>
    <col min="3567" max="3567" width="12.5546875" style="263" bestFit="1" customWidth="1"/>
    <col min="3568" max="3570" width="9.5546875" style="263" customWidth="1"/>
    <col min="3571" max="3571" width="10.88671875" style="263" customWidth="1"/>
    <col min="3572" max="3578" width="9.5546875" style="263" customWidth="1"/>
    <col min="3579" max="3579" width="12" style="263" bestFit="1" customWidth="1"/>
    <col min="3580" max="3814" width="8.6640625" style="263"/>
    <col min="3815" max="3815" width="3.5546875" style="263" customWidth="1"/>
    <col min="3816" max="3816" width="6.88671875" style="263" bestFit="1" customWidth="1"/>
    <col min="3817" max="3820" width="9.5546875" style="263" customWidth="1"/>
    <col min="3821" max="3821" width="11.44140625" style="263" customWidth="1"/>
    <col min="3822" max="3822" width="9.5546875" style="263" customWidth="1"/>
    <col min="3823" max="3823" width="12.5546875" style="263" bestFit="1" customWidth="1"/>
    <col min="3824" max="3826" width="9.5546875" style="263" customWidth="1"/>
    <col min="3827" max="3827" width="10.88671875" style="263" customWidth="1"/>
    <col min="3828" max="3834" width="9.5546875" style="263" customWidth="1"/>
    <col min="3835" max="3835" width="12" style="263" bestFit="1" customWidth="1"/>
    <col min="3836" max="4070" width="8.6640625" style="263"/>
    <col min="4071" max="4071" width="3.5546875" style="263" customWidth="1"/>
    <col min="4072" max="4072" width="6.88671875" style="263" bestFit="1" customWidth="1"/>
    <col min="4073" max="4076" width="9.5546875" style="263" customWidth="1"/>
    <col min="4077" max="4077" width="11.44140625" style="263" customWidth="1"/>
    <col min="4078" max="4078" width="9.5546875" style="263" customWidth="1"/>
    <col min="4079" max="4079" width="12.5546875" style="263" bestFit="1" customWidth="1"/>
    <col min="4080" max="4082" width="9.5546875" style="263" customWidth="1"/>
    <col min="4083" max="4083" width="10.88671875" style="263" customWidth="1"/>
    <col min="4084" max="4090" width="9.5546875" style="263" customWidth="1"/>
    <col min="4091" max="4091" width="12" style="263" bestFit="1" customWidth="1"/>
    <col min="4092" max="4326" width="8.6640625" style="263"/>
    <col min="4327" max="4327" width="3.5546875" style="263" customWidth="1"/>
    <col min="4328" max="4328" width="6.88671875" style="263" bestFit="1" customWidth="1"/>
    <col min="4329" max="4332" width="9.5546875" style="263" customWidth="1"/>
    <col min="4333" max="4333" width="11.44140625" style="263" customWidth="1"/>
    <col min="4334" max="4334" width="9.5546875" style="263" customWidth="1"/>
    <col min="4335" max="4335" width="12.5546875" style="263" bestFit="1" customWidth="1"/>
    <col min="4336" max="4338" width="9.5546875" style="263" customWidth="1"/>
    <col min="4339" max="4339" width="10.88671875" style="263" customWidth="1"/>
    <col min="4340" max="4346" width="9.5546875" style="263" customWidth="1"/>
    <col min="4347" max="4347" width="12" style="263" bestFit="1" customWidth="1"/>
    <col min="4348" max="4582" width="8.6640625" style="263"/>
    <col min="4583" max="4583" width="3.5546875" style="263" customWidth="1"/>
    <col min="4584" max="4584" width="6.88671875" style="263" bestFit="1" customWidth="1"/>
    <col min="4585" max="4588" width="9.5546875" style="263" customWidth="1"/>
    <col min="4589" max="4589" width="11.44140625" style="263" customWidth="1"/>
    <col min="4590" max="4590" width="9.5546875" style="263" customWidth="1"/>
    <col min="4591" max="4591" width="12.5546875" style="263" bestFit="1" customWidth="1"/>
    <col min="4592" max="4594" width="9.5546875" style="263" customWidth="1"/>
    <col min="4595" max="4595" width="10.88671875" style="263" customWidth="1"/>
    <col min="4596" max="4602" width="9.5546875" style="263" customWidth="1"/>
    <col min="4603" max="4603" width="12" style="263" bestFit="1" customWidth="1"/>
    <col min="4604" max="4838" width="8.6640625" style="263"/>
    <col min="4839" max="4839" width="3.5546875" style="263" customWidth="1"/>
    <col min="4840" max="4840" width="6.88671875" style="263" bestFit="1" customWidth="1"/>
    <col min="4841" max="4844" width="9.5546875" style="263" customWidth="1"/>
    <col min="4845" max="4845" width="11.44140625" style="263" customWidth="1"/>
    <col min="4846" max="4846" width="9.5546875" style="263" customWidth="1"/>
    <col min="4847" max="4847" width="12.5546875" style="263" bestFit="1" customWidth="1"/>
    <col min="4848" max="4850" width="9.5546875" style="263" customWidth="1"/>
    <col min="4851" max="4851" width="10.88671875" style="263" customWidth="1"/>
    <col min="4852" max="4858" width="9.5546875" style="263" customWidth="1"/>
    <col min="4859" max="4859" width="12" style="263" bestFit="1" customWidth="1"/>
    <col min="4860" max="5094" width="8.6640625" style="263"/>
    <col min="5095" max="5095" width="3.5546875" style="263" customWidth="1"/>
    <col min="5096" max="5096" width="6.88671875" style="263" bestFit="1" customWidth="1"/>
    <col min="5097" max="5100" width="9.5546875" style="263" customWidth="1"/>
    <col min="5101" max="5101" width="11.44140625" style="263" customWidth="1"/>
    <col min="5102" max="5102" width="9.5546875" style="263" customWidth="1"/>
    <col min="5103" max="5103" width="12.5546875" style="263" bestFit="1" customWidth="1"/>
    <col min="5104" max="5106" width="9.5546875" style="263" customWidth="1"/>
    <col min="5107" max="5107" width="10.88671875" style="263" customWidth="1"/>
    <col min="5108" max="5114" width="9.5546875" style="263" customWidth="1"/>
    <col min="5115" max="5115" width="12" style="263" bestFit="1" customWidth="1"/>
    <col min="5116" max="5350" width="8.6640625" style="263"/>
    <col min="5351" max="5351" width="3.5546875" style="263" customWidth="1"/>
    <col min="5352" max="5352" width="6.88671875" style="263" bestFit="1" customWidth="1"/>
    <col min="5353" max="5356" width="9.5546875" style="263" customWidth="1"/>
    <col min="5357" max="5357" width="11.44140625" style="263" customWidth="1"/>
    <col min="5358" max="5358" width="9.5546875" style="263" customWidth="1"/>
    <col min="5359" max="5359" width="12.5546875" style="263" bestFit="1" customWidth="1"/>
    <col min="5360" max="5362" width="9.5546875" style="263" customWidth="1"/>
    <col min="5363" max="5363" width="10.88671875" style="263" customWidth="1"/>
    <col min="5364" max="5370" width="9.5546875" style="263" customWidth="1"/>
    <col min="5371" max="5371" width="12" style="263" bestFit="1" customWidth="1"/>
    <col min="5372" max="5606" width="8.6640625" style="263"/>
    <col min="5607" max="5607" width="3.5546875" style="263" customWidth="1"/>
    <col min="5608" max="5608" width="6.88671875" style="263" bestFit="1" customWidth="1"/>
    <col min="5609" max="5612" width="9.5546875" style="263" customWidth="1"/>
    <col min="5613" max="5613" width="11.44140625" style="263" customWidth="1"/>
    <col min="5614" max="5614" width="9.5546875" style="263" customWidth="1"/>
    <col min="5615" max="5615" width="12.5546875" style="263" bestFit="1" customWidth="1"/>
    <col min="5616" max="5618" width="9.5546875" style="263" customWidth="1"/>
    <col min="5619" max="5619" width="10.88671875" style="263" customWidth="1"/>
    <col min="5620" max="5626" width="9.5546875" style="263" customWidth="1"/>
    <col min="5627" max="5627" width="12" style="263" bestFit="1" customWidth="1"/>
    <col min="5628" max="5862" width="8.6640625" style="263"/>
    <col min="5863" max="5863" width="3.5546875" style="263" customWidth="1"/>
    <col min="5864" max="5864" width="6.88671875" style="263" bestFit="1" customWidth="1"/>
    <col min="5865" max="5868" width="9.5546875" style="263" customWidth="1"/>
    <col min="5869" max="5869" width="11.44140625" style="263" customWidth="1"/>
    <col min="5870" max="5870" width="9.5546875" style="263" customWidth="1"/>
    <col min="5871" max="5871" width="12.5546875" style="263" bestFit="1" customWidth="1"/>
    <col min="5872" max="5874" width="9.5546875" style="263" customWidth="1"/>
    <col min="5875" max="5875" width="10.88671875" style="263" customWidth="1"/>
    <col min="5876" max="5882" width="9.5546875" style="263" customWidth="1"/>
    <col min="5883" max="5883" width="12" style="263" bestFit="1" customWidth="1"/>
    <col min="5884" max="6118" width="8.6640625" style="263"/>
    <col min="6119" max="6119" width="3.5546875" style="263" customWidth="1"/>
    <col min="6120" max="6120" width="6.88671875" style="263" bestFit="1" customWidth="1"/>
    <col min="6121" max="6124" width="9.5546875" style="263" customWidth="1"/>
    <col min="6125" max="6125" width="11.44140625" style="263" customWidth="1"/>
    <col min="6126" max="6126" width="9.5546875" style="263" customWidth="1"/>
    <col min="6127" max="6127" width="12.5546875" style="263" bestFit="1" customWidth="1"/>
    <col min="6128" max="6130" width="9.5546875" style="263" customWidth="1"/>
    <col min="6131" max="6131" width="10.88671875" style="263" customWidth="1"/>
    <col min="6132" max="6138" width="9.5546875" style="263" customWidth="1"/>
    <col min="6139" max="6139" width="12" style="263" bestFit="1" customWidth="1"/>
    <col min="6140" max="6374" width="8.6640625" style="263"/>
    <col min="6375" max="6375" width="3.5546875" style="263" customWidth="1"/>
    <col min="6376" max="6376" width="6.88671875" style="263" bestFit="1" customWidth="1"/>
    <col min="6377" max="6380" width="9.5546875" style="263" customWidth="1"/>
    <col min="6381" max="6381" width="11.44140625" style="263" customWidth="1"/>
    <col min="6382" max="6382" width="9.5546875" style="263" customWidth="1"/>
    <col min="6383" max="6383" width="12.5546875" style="263" bestFit="1" customWidth="1"/>
    <col min="6384" max="6386" width="9.5546875" style="263" customWidth="1"/>
    <col min="6387" max="6387" width="10.88671875" style="263" customWidth="1"/>
    <col min="6388" max="6394" width="9.5546875" style="263" customWidth="1"/>
    <col min="6395" max="6395" width="12" style="263" bestFit="1" customWidth="1"/>
    <col min="6396" max="6630" width="8.6640625" style="263"/>
    <col min="6631" max="6631" width="3.5546875" style="263" customWidth="1"/>
    <col min="6632" max="6632" width="6.88671875" style="263" bestFit="1" customWidth="1"/>
    <col min="6633" max="6636" width="9.5546875" style="263" customWidth="1"/>
    <col min="6637" max="6637" width="11.44140625" style="263" customWidth="1"/>
    <col min="6638" max="6638" width="9.5546875" style="263" customWidth="1"/>
    <col min="6639" max="6639" width="12.5546875" style="263" bestFit="1" customWidth="1"/>
    <col min="6640" max="6642" width="9.5546875" style="263" customWidth="1"/>
    <col min="6643" max="6643" width="10.88671875" style="263" customWidth="1"/>
    <col min="6644" max="6650" width="9.5546875" style="263" customWidth="1"/>
    <col min="6651" max="6651" width="12" style="263" bestFit="1" customWidth="1"/>
    <col min="6652" max="6886" width="8.6640625" style="263"/>
    <col min="6887" max="6887" width="3.5546875" style="263" customWidth="1"/>
    <col min="6888" max="6888" width="6.88671875" style="263" bestFit="1" customWidth="1"/>
    <col min="6889" max="6892" width="9.5546875" style="263" customWidth="1"/>
    <col min="6893" max="6893" width="11.44140625" style="263" customWidth="1"/>
    <col min="6894" max="6894" width="9.5546875" style="263" customWidth="1"/>
    <col min="6895" max="6895" width="12.5546875" style="263" bestFit="1" customWidth="1"/>
    <col min="6896" max="6898" width="9.5546875" style="263" customWidth="1"/>
    <col min="6899" max="6899" width="10.88671875" style="263" customWidth="1"/>
    <col min="6900" max="6906" width="9.5546875" style="263" customWidth="1"/>
    <col min="6907" max="6907" width="12" style="263" bestFit="1" customWidth="1"/>
    <col min="6908" max="7142" width="8.6640625" style="263"/>
    <col min="7143" max="7143" width="3.5546875" style="263" customWidth="1"/>
    <col min="7144" max="7144" width="6.88671875" style="263" bestFit="1" customWidth="1"/>
    <col min="7145" max="7148" width="9.5546875" style="263" customWidth="1"/>
    <col min="7149" max="7149" width="11.44140625" style="263" customWidth="1"/>
    <col min="7150" max="7150" width="9.5546875" style="263" customWidth="1"/>
    <col min="7151" max="7151" width="12.5546875" style="263" bestFit="1" customWidth="1"/>
    <col min="7152" max="7154" width="9.5546875" style="263" customWidth="1"/>
    <col min="7155" max="7155" width="10.88671875" style="263" customWidth="1"/>
    <col min="7156" max="7162" width="9.5546875" style="263" customWidth="1"/>
    <col min="7163" max="7163" width="12" style="263" bestFit="1" customWidth="1"/>
    <col min="7164" max="7398" width="8.6640625" style="263"/>
    <col min="7399" max="7399" width="3.5546875" style="263" customWidth="1"/>
    <col min="7400" max="7400" width="6.88671875" style="263" bestFit="1" customWidth="1"/>
    <col min="7401" max="7404" width="9.5546875" style="263" customWidth="1"/>
    <col min="7405" max="7405" width="11.44140625" style="263" customWidth="1"/>
    <col min="7406" max="7406" width="9.5546875" style="263" customWidth="1"/>
    <col min="7407" max="7407" width="12.5546875" style="263" bestFit="1" customWidth="1"/>
    <col min="7408" max="7410" width="9.5546875" style="263" customWidth="1"/>
    <col min="7411" max="7411" width="10.88671875" style="263" customWidth="1"/>
    <col min="7412" max="7418" width="9.5546875" style="263" customWidth="1"/>
    <col min="7419" max="7419" width="12" style="263" bestFit="1" customWidth="1"/>
    <col min="7420" max="7654" width="8.6640625" style="263"/>
    <col min="7655" max="7655" width="3.5546875" style="263" customWidth="1"/>
    <col min="7656" max="7656" width="6.88671875" style="263" bestFit="1" customWidth="1"/>
    <col min="7657" max="7660" width="9.5546875" style="263" customWidth="1"/>
    <col min="7661" max="7661" width="11.44140625" style="263" customWidth="1"/>
    <col min="7662" max="7662" width="9.5546875" style="263" customWidth="1"/>
    <col min="7663" max="7663" width="12.5546875" style="263" bestFit="1" customWidth="1"/>
    <col min="7664" max="7666" width="9.5546875" style="263" customWidth="1"/>
    <col min="7667" max="7667" width="10.88671875" style="263" customWidth="1"/>
    <col min="7668" max="7674" width="9.5546875" style="263" customWidth="1"/>
    <col min="7675" max="7675" width="12" style="263" bestFit="1" customWidth="1"/>
    <col min="7676" max="7910" width="8.6640625" style="263"/>
    <col min="7911" max="7911" width="3.5546875" style="263" customWidth="1"/>
    <col min="7912" max="7912" width="6.88671875" style="263" bestFit="1" customWidth="1"/>
    <col min="7913" max="7916" width="9.5546875" style="263" customWidth="1"/>
    <col min="7917" max="7917" width="11.44140625" style="263" customWidth="1"/>
    <col min="7918" max="7918" width="9.5546875" style="263" customWidth="1"/>
    <col min="7919" max="7919" width="12.5546875" style="263" bestFit="1" customWidth="1"/>
    <col min="7920" max="7922" width="9.5546875" style="263" customWidth="1"/>
    <col min="7923" max="7923" width="10.88671875" style="263" customWidth="1"/>
    <col min="7924" max="7930" width="9.5546875" style="263" customWidth="1"/>
    <col min="7931" max="7931" width="12" style="263" bestFit="1" customWidth="1"/>
    <col min="7932" max="8166" width="8.6640625" style="263"/>
    <col min="8167" max="8167" width="3.5546875" style="263" customWidth="1"/>
    <col min="8168" max="8168" width="6.88671875" style="263" bestFit="1" customWidth="1"/>
    <col min="8169" max="8172" width="9.5546875" style="263" customWidth="1"/>
    <col min="8173" max="8173" width="11.44140625" style="263" customWidth="1"/>
    <col min="8174" max="8174" width="9.5546875" style="263" customWidth="1"/>
    <col min="8175" max="8175" width="12.5546875" style="263" bestFit="1" customWidth="1"/>
    <col min="8176" max="8178" width="9.5546875" style="263" customWidth="1"/>
    <col min="8179" max="8179" width="10.88671875" style="263" customWidth="1"/>
    <col min="8180" max="8186" width="9.5546875" style="263" customWidth="1"/>
    <col min="8187" max="8187" width="12" style="263" bestFit="1" customWidth="1"/>
    <col min="8188" max="8422" width="8.6640625" style="263"/>
    <col min="8423" max="8423" width="3.5546875" style="263" customWidth="1"/>
    <col min="8424" max="8424" width="6.88671875" style="263" bestFit="1" customWidth="1"/>
    <col min="8425" max="8428" width="9.5546875" style="263" customWidth="1"/>
    <col min="8429" max="8429" width="11.44140625" style="263" customWidth="1"/>
    <col min="8430" max="8430" width="9.5546875" style="263" customWidth="1"/>
    <col min="8431" max="8431" width="12.5546875" style="263" bestFit="1" customWidth="1"/>
    <col min="8432" max="8434" width="9.5546875" style="263" customWidth="1"/>
    <col min="8435" max="8435" width="10.88671875" style="263" customWidth="1"/>
    <col min="8436" max="8442" width="9.5546875" style="263" customWidth="1"/>
    <col min="8443" max="8443" width="12" style="263" bestFit="1" customWidth="1"/>
    <col min="8444" max="8678" width="8.6640625" style="263"/>
    <col min="8679" max="8679" width="3.5546875" style="263" customWidth="1"/>
    <col min="8680" max="8680" width="6.88671875" style="263" bestFit="1" customWidth="1"/>
    <col min="8681" max="8684" width="9.5546875" style="263" customWidth="1"/>
    <col min="8685" max="8685" width="11.44140625" style="263" customWidth="1"/>
    <col min="8686" max="8686" width="9.5546875" style="263" customWidth="1"/>
    <col min="8687" max="8687" width="12.5546875" style="263" bestFit="1" customWidth="1"/>
    <col min="8688" max="8690" width="9.5546875" style="263" customWidth="1"/>
    <col min="8691" max="8691" width="10.88671875" style="263" customWidth="1"/>
    <col min="8692" max="8698" width="9.5546875" style="263" customWidth="1"/>
    <col min="8699" max="8699" width="12" style="263" bestFit="1" customWidth="1"/>
    <col min="8700" max="8934" width="8.6640625" style="263"/>
    <col min="8935" max="8935" width="3.5546875" style="263" customWidth="1"/>
    <col min="8936" max="8936" width="6.88671875" style="263" bestFit="1" customWidth="1"/>
    <col min="8937" max="8940" width="9.5546875" style="263" customWidth="1"/>
    <col min="8941" max="8941" width="11.44140625" style="263" customWidth="1"/>
    <col min="8942" max="8942" width="9.5546875" style="263" customWidth="1"/>
    <col min="8943" max="8943" width="12.5546875" style="263" bestFit="1" customWidth="1"/>
    <col min="8944" max="8946" width="9.5546875" style="263" customWidth="1"/>
    <col min="8947" max="8947" width="10.88671875" style="263" customWidth="1"/>
    <col min="8948" max="8954" width="9.5546875" style="263" customWidth="1"/>
    <col min="8955" max="8955" width="12" style="263" bestFit="1" customWidth="1"/>
    <col min="8956" max="9190" width="8.6640625" style="263"/>
    <col min="9191" max="9191" width="3.5546875" style="263" customWidth="1"/>
    <col min="9192" max="9192" width="6.88671875" style="263" bestFit="1" customWidth="1"/>
    <col min="9193" max="9196" width="9.5546875" style="263" customWidth="1"/>
    <col min="9197" max="9197" width="11.44140625" style="263" customWidth="1"/>
    <col min="9198" max="9198" width="9.5546875" style="263" customWidth="1"/>
    <col min="9199" max="9199" width="12.5546875" style="263" bestFit="1" customWidth="1"/>
    <col min="9200" max="9202" width="9.5546875" style="263" customWidth="1"/>
    <col min="9203" max="9203" width="10.88671875" style="263" customWidth="1"/>
    <col min="9204" max="9210" width="9.5546875" style="263" customWidth="1"/>
    <col min="9211" max="9211" width="12" style="263" bestFit="1" customWidth="1"/>
    <col min="9212" max="9446" width="8.6640625" style="263"/>
    <col min="9447" max="9447" width="3.5546875" style="263" customWidth="1"/>
    <col min="9448" max="9448" width="6.88671875" style="263" bestFit="1" customWidth="1"/>
    <col min="9449" max="9452" width="9.5546875" style="263" customWidth="1"/>
    <col min="9453" max="9453" width="11.44140625" style="263" customWidth="1"/>
    <col min="9454" max="9454" width="9.5546875" style="263" customWidth="1"/>
    <col min="9455" max="9455" width="12.5546875" style="263" bestFit="1" customWidth="1"/>
    <col min="9456" max="9458" width="9.5546875" style="263" customWidth="1"/>
    <col min="9459" max="9459" width="10.88671875" style="263" customWidth="1"/>
    <col min="9460" max="9466" width="9.5546875" style="263" customWidth="1"/>
    <col min="9467" max="9467" width="12" style="263" bestFit="1" customWidth="1"/>
    <col min="9468" max="9702" width="8.6640625" style="263"/>
    <col min="9703" max="9703" width="3.5546875" style="263" customWidth="1"/>
    <col min="9704" max="9704" width="6.88671875" style="263" bestFit="1" customWidth="1"/>
    <col min="9705" max="9708" width="9.5546875" style="263" customWidth="1"/>
    <col min="9709" max="9709" width="11.44140625" style="263" customWidth="1"/>
    <col min="9710" max="9710" width="9.5546875" style="263" customWidth="1"/>
    <col min="9711" max="9711" width="12.5546875" style="263" bestFit="1" customWidth="1"/>
    <col min="9712" max="9714" width="9.5546875" style="263" customWidth="1"/>
    <col min="9715" max="9715" width="10.88671875" style="263" customWidth="1"/>
    <col min="9716" max="9722" width="9.5546875" style="263" customWidth="1"/>
    <col min="9723" max="9723" width="12" style="263" bestFit="1" customWidth="1"/>
    <col min="9724" max="9958" width="8.6640625" style="263"/>
    <col min="9959" max="9959" width="3.5546875" style="263" customWidth="1"/>
    <col min="9960" max="9960" width="6.88671875" style="263" bestFit="1" customWidth="1"/>
    <col min="9961" max="9964" width="9.5546875" style="263" customWidth="1"/>
    <col min="9965" max="9965" width="11.44140625" style="263" customWidth="1"/>
    <col min="9966" max="9966" width="9.5546875" style="263" customWidth="1"/>
    <col min="9967" max="9967" width="12.5546875" style="263" bestFit="1" customWidth="1"/>
    <col min="9968" max="9970" width="9.5546875" style="263" customWidth="1"/>
    <col min="9971" max="9971" width="10.88671875" style="263" customWidth="1"/>
    <col min="9972" max="9978" width="9.5546875" style="263" customWidth="1"/>
    <col min="9979" max="9979" width="12" style="263" bestFit="1" customWidth="1"/>
    <col min="9980" max="10214" width="8.6640625" style="263"/>
    <col min="10215" max="10215" width="3.5546875" style="263" customWidth="1"/>
    <col min="10216" max="10216" width="6.88671875" style="263" bestFit="1" customWidth="1"/>
    <col min="10217" max="10220" width="9.5546875" style="263" customWidth="1"/>
    <col min="10221" max="10221" width="11.44140625" style="263" customWidth="1"/>
    <col min="10222" max="10222" width="9.5546875" style="263" customWidth="1"/>
    <col min="10223" max="10223" width="12.5546875" style="263" bestFit="1" customWidth="1"/>
    <col min="10224" max="10226" width="9.5546875" style="263" customWidth="1"/>
    <col min="10227" max="10227" width="10.88671875" style="263" customWidth="1"/>
    <col min="10228" max="10234" width="9.5546875" style="263" customWidth="1"/>
    <col min="10235" max="10235" width="12" style="263" bestFit="1" customWidth="1"/>
    <col min="10236" max="10470" width="8.6640625" style="263"/>
    <col min="10471" max="10471" width="3.5546875" style="263" customWidth="1"/>
    <col min="10472" max="10472" width="6.88671875" style="263" bestFit="1" customWidth="1"/>
    <col min="10473" max="10476" width="9.5546875" style="263" customWidth="1"/>
    <col min="10477" max="10477" width="11.44140625" style="263" customWidth="1"/>
    <col min="10478" max="10478" width="9.5546875" style="263" customWidth="1"/>
    <col min="10479" max="10479" width="12.5546875" style="263" bestFit="1" customWidth="1"/>
    <col min="10480" max="10482" width="9.5546875" style="263" customWidth="1"/>
    <col min="10483" max="10483" width="10.88671875" style="263" customWidth="1"/>
    <col min="10484" max="10490" width="9.5546875" style="263" customWidth="1"/>
    <col min="10491" max="10491" width="12" style="263" bestFit="1" customWidth="1"/>
    <col min="10492" max="10726" width="8.6640625" style="263"/>
    <col min="10727" max="10727" width="3.5546875" style="263" customWidth="1"/>
    <col min="10728" max="10728" width="6.88671875" style="263" bestFit="1" customWidth="1"/>
    <col min="10729" max="10732" width="9.5546875" style="263" customWidth="1"/>
    <col min="10733" max="10733" width="11.44140625" style="263" customWidth="1"/>
    <col min="10734" max="10734" width="9.5546875" style="263" customWidth="1"/>
    <col min="10735" max="10735" width="12.5546875" style="263" bestFit="1" customWidth="1"/>
    <col min="10736" max="10738" width="9.5546875" style="263" customWidth="1"/>
    <col min="10739" max="10739" width="10.88671875" style="263" customWidth="1"/>
    <col min="10740" max="10746" width="9.5546875" style="263" customWidth="1"/>
    <col min="10747" max="10747" width="12" style="263" bestFit="1" customWidth="1"/>
    <col min="10748" max="10982" width="8.6640625" style="263"/>
    <col min="10983" max="10983" width="3.5546875" style="263" customWidth="1"/>
    <col min="10984" max="10984" width="6.88671875" style="263" bestFit="1" customWidth="1"/>
    <col min="10985" max="10988" width="9.5546875" style="263" customWidth="1"/>
    <col min="10989" max="10989" width="11.44140625" style="263" customWidth="1"/>
    <col min="10990" max="10990" width="9.5546875" style="263" customWidth="1"/>
    <col min="10991" max="10991" width="12.5546875" style="263" bestFit="1" customWidth="1"/>
    <col min="10992" max="10994" width="9.5546875" style="263" customWidth="1"/>
    <col min="10995" max="10995" width="10.88671875" style="263" customWidth="1"/>
    <col min="10996" max="11002" width="9.5546875" style="263" customWidth="1"/>
    <col min="11003" max="11003" width="12" style="263" bestFit="1" customWidth="1"/>
    <col min="11004" max="11238" width="8.6640625" style="263"/>
    <col min="11239" max="11239" width="3.5546875" style="263" customWidth="1"/>
    <col min="11240" max="11240" width="6.88671875" style="263" bestFit="1" customWidth="1"/>
    <col min="11241" max="11244" width="9.5546875" style="263" customWidth="1"/>
    <col min="11245" max="11245" width="11.44140625" style="263" customWidth="1"/>
    <col min="11246" max="11246" width="9.5546875" style="263" customWidth="1"/>
    <col min="11247" max="11247" width="12.5546875" style="263" bestFit="1" customWidth="1"/>
    <col min="11248" max="11250" width="9.5546875" style="263" customWidth="1"/>
    <col min="11251" max="11251" width="10.88671875" style="263" customWidth="1"/>
    <col min="11252" max="11258" width="9.5546875" style="263" customWidth="1"/>
    <col min="11259" max="11259" width="12" style="263" bestFit="1" customWidth="1"/>
    <col min="11260" max="11494" width="8.6640625" style="263"/>
    <col min="11495" max="11495" width="3.5546875" style="263" customWidth="1"/>
    <col min="11496" max="11496" width="6.88671875" style="263" bestFit="1" customWidth="1"/>
    <col min="11497" max="11500" width="9.5546875" style="263" customWidth="1"/>
    <col min="11501" max="11501" width="11.44140625" style="263" customWidth="1"/>
    <col min="11502" max="11502" width="9.5546875" style="263" customWidth="1"/>
    <col min="11503" max="11503" width="12.5546875" style="263" bestFit="1" customWidth="1"/>
    <col min="11504" max="11506" width="9.5546875" style="263" customWidth="1"/>
    <col min="11507" max="11507" width="10.88671875" style="263" customWidth="1"/>
    <col min="11508" max="11514" width="9.5546875" style="263" customWidth="1"/>
    <col min="11515" max="11515" width="12" style="263" bestFit="1" customWidth="1"/>
    <col min="11516" max="11750" width="8.6640625" style="263"/>
    <col min="11751" max="11751" width="3.5546875" style="263" customWidth="1"/>
    <col min="11752" max="11752" width="6.88671875" style="263" bestFit="1" customWidth="1"/>
    <col min="11753" max="11756" width="9.5546875" style="263" customWidth="1"/>
    <col min="11757" max="11757" width="11.44140625" style="263" customWidth="1"/>
    <col min="11758" max="11758" width="9.5546875" style="263" customWidth="1"/>
    <col min="11759" max="11759" width="12.5546875" style="263" bestFit="1" customWidth="1"/>
    <col min="11760" max="11762" width="9.5546875" style="263" customWidth="1"/>
    <col min="11763" max="11763" width="10.88671875" style="263" customWidth="1"/>
    <col min="11764" max="11770" width="9.5546875" style="263" customWidth="1"/>
    <col min="11771" max="11771" width="12" style="263" bestFit="1" customWidth="1"/>
    <col min="11772" max="12006" width="8.6640625" style="263"/>
    <col min="12007" max="12007" width="3.5546875" style="263" customWidth="1"/>
    <col min="12008" max="12008" width="6.88671875" style="263" bestFit="1" customWidth="1"/>
    <col min="12009" max="12012" width="9.5546875" style="263" customWidth="1"/>
    <col min="12013" max="12013" width="11.44140625" style="263" customWidth="1"/>
    <col min="12014" max="12014" width="9.5546875" style="263" customWidth="1"/>
    <col min="12015" max="12015" width="12.5546875" style="263" bestFit="1" customWidth="1"/>
    <col min="12016" max="12018" width="9.5546875" style="263" customWidth="1"/>
    <col min="12019" max="12019" width="10.88671875" style="263" customWidth="1"/>
    <col min="12020" max="12026" width="9.5546875" style="263" customWidth="1"/>
    <col min="12027" max="12027" width="12" style="263" bestFit="1" customWidth="1"/>
    <col min="12028" max="12262" width="8.6640625" style="263"/>
    <col min="12263" max="12263" width="3.5546875" style="263" customWidth="1"/>
    <col min="12264" max="12264" width="6.88671875" style="263" bestFit="1" customWidth="1"/>
    <col min="12265" max="12268" width="9.5546875" style="263" customWidth="1"/>
    <col min="12269" max="12269" width="11.44140625" style="263" customWidth="1"/>
    <col min="12270" max="12270" width="9.5546875" style="263" customWidth="1"/>
    <col min="12271" max="12271" width="12.5546875" style="263" bestFit="1" customWidth="1"/>
    <col min="12272" max="12274" width="9.5546875" style="263" customWidth="1"/>
    <col min="12275" max="12275" width="10.88671875" style="263" customWidth="1"/>
    <col min="12276" max="12282" width="9.5546875" style="263" customWidth="1"/>
    <col min="12283" max="12283" width="12" style="263" bestFit="1" customWidth="1"/>
    <col min="12284" max="12518" width="8.6640625" style="263"/>
    <col min="12519" max="12519" width="3.5546875" style="263" customWidth="1"/>
    <col min="12520" max="12520" width="6.88671875" style="263" bestFit="1" customWidth="1"/>
    <col min="12521" max="12524" width="9.5546875" style="263" customWidth="1"/>
    <col min="12525" max="12525" width="11.44140625" style="263" customWidth="1"/>
    <col min="12526" max="12526" width="9.5546875" style="263" customWidth="1"/>
    <col min="12527" max="12527" width="12.5546875" style="263" bestFit="1" customWidth="1"/>
    <col min="12528" max="12530" width="9.5546875" style="263" customWidth="1"/>
    <col min="12531" max="12531" width="10.88671875" style="263" customWidth="1"/>
    <col min="12532" max="12538" width="9.5546875" style="263" customWidth="1"/>
    <col min="12539" max="12539" width="12" style="263" bestFit="1" customWidth="1"/>
    <col min="12540" max="12774" width="8.6640625" style="263"/>
    <col min="12775" max="12775" width="3.5546875" style="263" customWidth="1"/>
    <col min="12776" max="12776" width="6.88671875" style="263" bestFit="1" customWidth="1"/>
    <col min="12777" max="12780" width="9.5546875" style="263" customWidth="1"/>
    <col min="12781" max="12781" width="11.44140625" style="263" customWidth="1"/>
    <col min="12782" max="12782" width="9.5546875" style="263" customWidth="1"/>
    <col min="12783" max="12783" width="12.5546875" style="263" bestFit="1" customWidth="1"/>
    <col min="12784" max="12786" width="9.5546875" style="263" customWidth="1"/>
    <col min="12787" max="12787" width="10.88671875" style="263" customWidth="1"/>
    <col min="12788" max="12794" width="9.5546875" style="263" customWidth="1"/>
    <col min="12795" max="12795" width="12" style="263" bestFit="1" customWidth="1"/>
    <col min="12796" max="13030" width="8.6640625" style="263"/>
    <col min="13031" max="13031" width="3.5546875" style="263" customWidth="1"/>
    <col min="13032" max="13032" width="6.88671875" style="263" bestFit="1" customWidth="1"/>
    <col min="13033" max="13036" width="9.5546875" style="263" customWidth="1"/>
    <col min="13037" max="13037" width="11.44140625" style="263" customWidth="1"/>
    <col min="13038" max="13038" width="9.5546875" style="263" customWidth="1"/>
    <col min="13039" max="13039" width="12.5546875" style="263" bestFit="1" customWidth="1"/>
    <col min="13040" max="13042" width="9.5546875" style="263" customWidth="1"/>
    <col min="13043" max="13043" width="10.88671875" style="263" customWidth="1"/>
    <col min="13044" max="13050" width="9.5546875" style="263" customWidth="1"/>
    <col min="13051" max="13051" width="12" style="263" bestFit="1" customWidth="1"/>
    <col min="13052" max="13286" width="8.6640625" style="263"/>
    <col min="13287" max="13287" width="3.5546875" style="263" customWidth="1"/>
    <col min="13288" max="13288" width="6.88671875" style="263" bestFit="1" customWidth="1"/>
    <col min="13289" max="13292" width="9.5546875" style="263" customWidth="1"/>
    <col min="13293" max="13293" width="11.44140625" style="263" customWidth="1"/>
    <col min="13294" max="13294" width="9.5546875" style="263" customWidth="1"/>
    <col min="13295" max="13295" width="12.5546875" style="263" bestFit="1" customWidth="1"/>
    <col min="13296" max="13298" width="9.5546875" style="263" customWidth="1"/>
    <col min="13299" max="13299" width="10.88671875" style="263" customWidth="1"/>
    <col min="13300" max="13306" width="9.5546875" style="263" customWidth="1"/>
    <col min="13307" max="13307" width="12" style="263" bestFit="1" customWidth="1"/>
    <col min="13308" max="13542" width="8.6640625" style="263"/>
    <col min="13543" max="13543" width="3.5546875" style="263" customWidth="1"/>
    <col min="13544" max="13544" width="6.88671875" style="263" bestFit="1" customWidth="1"/>
    <col min="13545" max="13548" width="9.5546875" style="263" customWidth="1"/>
    <col min="13549" max="13549" width="11.44140625" style="263" customWidth="1"/>
    <col min="13550" max="13550" width="9.5546875" style="263" customWidth="1"/>
    <col min="13551" max="13551" width="12.5546875" style="263" bestFit="1" customWidth="1"/>
    <col min="13552" max="13554" width="9.5546875" style="263" customWidth="1"/>
    <col min="13555" max="13555" width="10.88671875" style="263" customWidth="1"/>
    <col min="13556" max="13562" width="9.5546875" style="263" customWidth="1"/>
    <col min="13563" max="13563" width="12" style="263" bestFit="1" customWidth="1"/>
    <col min="13564" max="13798" width="8.6640625" style="263"/>
    <col min="13799" max="13799" width="3.5546875" style="263" customWidth="1"/>
    <col min="13800" max="13800" width="6.88671875" style="263" bestFit="1" customWidth="1"/>
    <col min="13801" max="13804" width="9.5546875" style="263" customWidth="1"/>
    <col min="13805" max="13805" width="11.44140625" style="263" customWidth="1"/>
    <col min="13806" max="13806" width="9.5546875" style="263" customWidth="1"/>
    <col min="13807" max="13807" width="12.5546875" style="263" bestFit="1" customWidth="1"/>
    <col min="13808" max="13810" width="9.5546875" style="263" customWidth="1"/>
    <col min="13811" max="13811" width="10.88671875" style="263" customWidth="1"/>
    <col min="13812" max="13818" width="9.5546875" style="263" customWidth="1"/>
    <col min="13819" max="13819" width="12" style="263" bestFit="1" customWidth="1"/>
    <col min="13820" max="14054" width="8.6640625" style="263"/>
    <col min="14055" max="14055" width="3.5546875" style="263" customWidth="1"/>
    <col min="14056" max="14056" width="6.88671875" style="263" bestFit="1" customWidth="1"/>
    <col min="14057" max="14060" width="9.5546875" style="263" customWidth="1"/>
    <col min="14061" max="14061" width="11.44140625" style="263" customWidth="1"/>
    <col min="14062" max="14062" width="9.5546875" style="263" customWidth="1"/>
    <col min="14063" max="14063" width="12.5546875" style="263" bestFit="1" customWidth="1"/>
    <col min="14064" max="14066" width="9.5546875" style="263" customWidth="1"/>
    <col min="14067" max="14067" width="10.88671875" style="263" customWidth="1"/>
    <col min="14068" max="14074" width="9.5546875" style="263" customWidth="1"/>
    <col min="14075" max="14075" width="12" style="263" bestFit="1" customWidth="1"/>
    <col min="14076" max="14310" width="8.6640625" style="263"/>
    <col min="14311" max="14311" width="3.5546875" style="263" customWidth="1"/>
    <col min="14312" max="14312" width="6.88671875" style="263" bestFit="1" customWidth="1"/>
    <col min="14313" max="14316" width="9.5546875" style="263" customWidth="1"/>
    <col min="14317" max="14317" width="11.44140625" style="263" customWidth="1"/>
    <col min="14318" max="14318" width="9.5546875" style="263" customWidth="1"/>
    <col min="14319" max="14319" width="12.5546875" style="263" bestFit="1" customWidth="1"/>
    <col min="14320" max="14322" width="9.5546875" style="263" customWidth="1"/>
    <col min="14323" max="14323" width="10.88671875" style="263" customWidth="1"/>
    <col min="14324" max="14330" width="9.5546875" style="263" customWidth="1"/>
    <col min="14331" max="14331" width="12" style="263" bestFit="1" customWidth="1"/>
    <col min="14332" max="14566" width="8.6640625" style="263"/>
    <col min="14567" max="14567" width="3.5546875" style="263" customWidth="1"/>
    <col min="14568" max="14568" width="6.88671875" style="263" bestFit="1" customWidth="1"/>
    <col min="14569" max="14572" width="9.5546875" style="263" customWidth="1"/>
    <col min="14573" max="14573" width="11.44140625" style="263" customWidth="1"/>
    <col min="14574" max="14574" width="9.5546875" style="263" customWidth="1"/>
    <col min="14575" max="14575" width="12.5546875" style="263" bestFit="1" customWidth="1"/>
    <col min="14576" max="14578" width="9.5546875" style="263" customWidth="1"/>
    <col min="14579" max="14579" width="10.88671875" style="263" customWidth="1"/>
    <col min="14580" max="14586" width="9.5546875" style="263" customWidth="1"/>
    <col min="14587" max="14587" width="12" style="263" bestFit="1" customWidth="1"/>
    <col min="14588" max="14822" width="8.6640625" style="263"/>
    <col min="14823" max="14823" width="3.5546875" style="263" customWidth="1"/>
    <col min="14824" max="14824" width="6.88671875" style="263" bestFit="1" customWidth="1"/>
    <col min="14825" max="14828" width="9.5546875" style="263" customWidth="1"/>
    <col min="14829" max="14829" width="11.44140625" style="263" customWidth="1"/>
    <col min="14830" max="14830" width="9.5546875" style="263" customWidth="1"/>
    <col min="14831" max="14831" width="12.5546875" style="263" bestFit="1" customWidth="1"/>
    <col min="14832" max="14834" width="9.5546875" style="263" customWidth="1"/>
    <col min="14835" max="14835" width="10.88671875" style="263" customWidth="1"/>
    <col min="14836" max="14842" width="9.5546875" style="263" customWidth="1"/>
    <col min="14843" max="14843" width="12" style="263" bestFit="1" customWidth="1"/>
    <col min="14844" max="15078" width="8.6640625" style="263"/>
    <col min="15079" max="15079" width="3.5546875" style="263" customWidth="1"/>
    <col min="15080" max="15080" width="6.88671875" style="263" bestFit="1" customWidth="1"/>
    <col min="15081" max="15084" width="9.5546875" style="263" customWidth="1"/>
    <col min="15085" max="15085" width="11.44140625" style="263" customWidth="1"/>
    <col min="15086" max="15086" width="9.5546875" style="263" customWidth="1"/>
    <col min="15087" max="15087" width="12.5546875" style="263" bestFit="1" customWidth="1"/>
    <col min="15088" max="15090" width="9.5546875" style="263" customWidth="1"/>
    <col min="15091" max="15091" width="10.88671875" style="263" customWidth="1"/>
    <col min="15092" max="15098" width="9.5546875" style="263" customWidth="1"/>
    <col min="15099" max="15099" width="12" style="263" bestFit="1" customWidth="1"/>
    <col min="15100" max="15334" width="8.6640625" style="263"/>
    <col min="15335" max="15335" width="3.5546875" style="263" customWidth="1"/>
    <col min="15336" max="15336" width="6.88671875" style="263" bestFit="1" customWidth="1"/>
    <col min="15337" max="15340" width="9.5546875" style="263" customWidth="1"/>
    <col min="15341" max="15341" width="11.44140625" style="263" customWidth="1"/>
    <col min="15342" max="15342" width="9.5546875" style="263" customWidth="1"/>
    <col min="15343" max="15343" width="12.5546875" style="263" bestFit="1" customWidth="1"/>
    <col min="15344" max="15346" width="9.5546875" style="263" customWidth="1"/>
    <col min="15347" max="15347" width="10.88671875" style="263" customWidth="1"/>
    <col min="15348" max="15354" width="9.5546875" style="263" customWidth="1"/>
    <col min="15355" max="15355" width="12" style="263" bestFit="1" customWidth="1"/>
    <col min="15356" max="15590" width="8.6640625" style="263"/>
    <col min="15591" max="15591" width="3.5546875" style="263" customWidth="1"/>
    <col min="15592" max="15592" width="6.88671875" style="263" bestFit="1" customWidth="1"/>
    <col min="15593" max="15596" width="9.5546875" style="263" customWidth="1"/>
    <col min="15597" max="15597" width="11.44140625" style="263" customWidth="1"/>
    <col min="15598" max="15598" width="9.5546875" style="263" customWidth="1"/>
    <col min="15599" max="15599" width="12.5546875" style="263" bestFit="1" customWidth="1"/>
    <col min="15600" max="15602" width="9.5546875" style="263" customWidth="1"/>
    <col min="15603" max="15603" width="10.88671875" style="263" customWidth="1"/>
    <col min="15604" max="15610" width="9.5546875" style="263" customWidth="1"/>
    <col min="15611" max="15611" width="12" style="263" bestFit="1" customWidth="1"/>
    <col min="15612" max="15846" width="8.6640625" style="263"/>
    <col min="15847" max="15847" width="3.5546875" style="263" customWidth="1"/>
    <col min="15848" max="15848" width="6.88671875" style="263" bestFit="1" customWidth="1"/>
    <col min="15849" max="15852" width="9.5546875" style="263" customWidth="1"/>
    <col min="15853" max="15853" width="11.44140625" style="263" customWidth="1"/>
    <col min="15854" max="15854" width="9.5546875" style="263" customWidth="1"/>
    <col min="15855" max="15855" width="12.5546875" style="263" bestFit="1" customWidth="1"/>
    <col min="15856" max="15858" width="9.5546875" style="263" customWidth="1"/>
    <col min="15859" max="15859" width="10.88671875" style="263" customWidth="1"/>
    <col min="15860" max="15866" width="9.5546875" style="263" customWidth="1"/>
    <col min="15867" max="15867" width="12" style="263" bestFit="1" customWidth="1"/>
    <col min="15868" max="16102" width="8.6640625" style="263"/>
    <col min="16103" max="16103" width="3.5546875" style="263" customWidth="1"/>
    <col min="16104" max="16104" width="6.88671875" style="263" bestFit="1" customWidth="1"/>
    <col min="16105" max="16108" width="9.5546875" style="263" customWidth="1"/>
    <col min="16109" max="16109" width="11.44140625" style="263" customWidth="1"/>
    <col min="16110" max="16110" width="9.5546875" style="263" customWidth="1"/>
    <col min="16111" max="16111" width="12.5546875" style="263" bestFit="1" customWidth="1"/>
    <col min="16112" max="16114" width="9.5546875" style="263" customWidth="1"/>
    <col min="16115" max="16115" width="10.88671875" style="263" customWidth="1"/>
    <col min="16116" max="16122" width="9.5546875" style="263" customWidth="1"/>
    <col min="16123" max="16123" width="12" style="263" bestFit="1" customWidth="1"/>
    <col min="16124" max="16384" width="8.6640625" style="263"/>
  </cols>
  <sheetData>
    <row r="1" spans="1:29" ht="14.1" hidden="1" customHeight="1"/>
    <row r="2" spans="1:29" ht="14.1" hidden="1" customHeight="1"/>
    <row r="3" spans="1:29" ht="14.1" customHeight="1" thickBot="1">
      <c r="A3" s="264" t="s">
        <v>530</v>
      </c>
      <c r="B3" s="264"/>
      <c r="C3" s="264"/>
      <c r="D3" s="264"/>
      <c r="E3" s="264"/>
      <c r="F3" s="264"/>
      <c r="G3" s="264"/>
      <c r="H3" s="264" t="s">
        <v>531</v>
      </c>
      <c r="I3" s="264"/>
      <c r="J3" s="264"/>
      <c r="K3" s="264"/>
      <c r="L3" s="264"/>
      <c r="M3" s="264"/>
      <c r="N3" s="264"/>
      <c r="O3" s="264"/>
      <c r="P3" s="264"/>
      <c r="Q3" s="264"/>
      <c r="R3" s="264"/>
      <c r="S3" s="264" t="s">
        <v>552</v>
      </c>
      <c r="T3" s="269"/>
      <c r="V3"/>
      <c r="W3"/>
      <c r="X3"/>
      <c r="Y3"/>
      <c r="Z3"/>
      <c r="AB3"/>
      <c r="AC3"/>
    </row>
    <row r="4" spans="1:29" ht="14.1" customHeight="1">
      <c r="A4" s="263" t="s">
        <v>4</v>
      </c>
      <c r="E4" s="263" t="s">
        <v>553</v>
      </c>
      <c r="G4" s="263" t="s">
        <v>535</v>
      </c>
      <c r="K4" s="265"/>
      <c r="L4" s="265"/>
      <c r="N4" s="265"/>
      <c r="O4" s="265"/>
      <c r="P4" s="265" t="s">
        <v>7</v>
      </c>
      <c r="S4" s="266"/>
      <c r="T4" s="266"/>
      <c r="U4" s="266"/>
      <c r="V4"/>
      <c r="W4"/>
      <c r="X4"/>
      <c r="Y4"/>
      <c r="Z4"/>
      <c r="AB4"/>
      <c r="AC4"/>
    </row>
    <row r="5" spans="1:29" ht="14.1" customHeight="1">
      <c r="G5" s="263" t="s">
        <v>536</v>
      </c>
      <c r="K5" s="267"/>
      <c r="L5" s="266"/>
      <c r="O5" s="267"/>
      <c r="P5" s="268" t="s">
        <v>12</v>
      </c>
      <c r="Q5" s="7" t="s">
        <v>9</v>
      </c>
      <c r="S5" s="267"/>
      <c r="T5" s="267"/>
      <c r="U5" s="266"/>
      <c r="V5"/>
      <c r="W5"/>
      <c r="X5"/>
      <c r="Y5"/>
      <c r="Z5"/>
      <c r="AB5"/>
      <c r="AC5"/>
    </row>
    <row r="6" spans="1:29" ht="14.1" customHeight="1">
      <c r="A6" s="263" t="s">
        <v>10</v>
      </c>
      <c r="G6" s="263" t="s">
        <v>537</v>
      </c>
      <c r="K6" s="267"/>
      <c r="L6" s="266"/>
      <c r="M6" s="267"/>
      <c r="P6" s="268" t="s">
        <v>12</v>
      </c>
      <c r="Q6" s="7" t="s">
        <v>11</v>
      </c>
      <c r="S6" s="267"/>
      <c r="T6" s="267"/>
      <c r="U6" s="266"/>
      <c r="V6"/>
      <c r="W6"/>
      <c r="X6"/>
      <c r="Y6"/>
      <c r="Z6"/>
      <c r="AB6"/>
      <c r="AC6"/>
    </row>
    <row r="7" spans="1:29" ht="14.1" customHeight="1">
      <c r="K7" s="267"/>
      <c r="L7" s="266"/>
      <c r="M7" s="267"/>
      <c r="Q7" s="7" t="s">
        <v>13</v>
      </c>
      <c r="S7" s="267"/>
      <c r="V7"/>
      <c r="W7"/>
      <c r="X7"/>
      <c r="Y7"/>
      <c r="Z7"/>
      <c r="AB7"/>
      <c r="AC7"/>
    </row>
    <row r="8" spans="1:29" ht="14.1" customHeight="1" thickBot="1">
      <c r="A8" s="270" t="s">
        <v>517</v>
      </c>
      <c r="B8" s="270"/>
      <c r="C8" s="271"/>
      <c r="D8" s="271"/>
      <c r="E8" s="271"/>
      <c r="F8" s="271"/>
      <c r="G8" s="271"/>
      <c r="H8" s="272"/>
      <c r="I8" s="270" t="s">
        <v>15</v>
      </c>
      <c r="J8" s="272"/>
      <c r="K8" s="271"/>
      <c r="L8" s="271"/>
      <c r="M8" s="271"/>
      <c r="N8" s="271"/>
      <c r="O8" s="271"/>
      <c r="P8" s="271"/>
      <c r="Q8" s="2" t="s">
        <v>16</v>
      </c>
      <c r="R8" s="264"/>
      <c r="S8" s="264"/>
      <c r="V8"/>
      <c r="W8"/>
      <c r="X8"/>
      <c r="Y8"/>
      <c r="Z8"/>
      <c r="AB8"/>
      <c r="AC8"/>
    </row>
    <row r="9" spans="1:29" ht="14.1" customHeight="1">
      <c r="C9" s="273"/>
      <c r="D9" s="273"/>
      <c r="E9" s="273"/>
      <c r="F9" s="273"/>
      <c r="G9" s="273" t="s">
        <v>17</v>
      </c>
      <c r="H9" s="273"/>
      <c r="I9" s="273" t="s">
        <v>18</v>
      </c>
      <c r="J9" s="273"/>
      <c r="K9" s="273" t="s">
        <v>19</v>
      </c>
      <c r="L9" s="273" t="s">
        <v>20</v>
      </c>
      <c r="M9" s="273"/>
      <c r="N9" s="780" t="s">
        <v>21</v>
      </c>
      <c r="O9" s="780"/>
      <c r="P9" s="273"/>
      <c r="Q9" s="273"/>
      <c r="R9" s="273"/>
      <c r="S9" s="273"/>
      <c r="T9" s="273"/>
      <c r="V9"/>
      <c r="W9"/>
      <c r="X9"/>
      <c r="Y9"/>
      <c r="Z9"/>
      <c r="AB9"/>
      <c r="AC9"/>
    </row>
    <row r="10" spans="1:29" ht="14.1" customHeight="1">
      <c r="C10" s="273"/>
      <c r="D10" s="273"/>
      <c r="E10" s="273"/>
      <c r="F10" s="273"/>
      <c r="G10" s="252"/>
      <c r="H10" s="252"/>
      <c r="J10" s="252"/>
      <c r="K10" s="778" t="s">
        <v>538</v>
      </c>
      <c r="L10" s="778"/>
      <c r="M10" s="273"/>
      <c r="N10" s="273"/>
      <c r="O10" s="273"/>
      <c r="P10" s="273"/>
      <c r="Q10" s="339">
        <v>2025</v>
      </c>
      <c r="R10" s="273"/>
      <c r="S10" s="273"/>
      <c r="T10" s="273"/>
      <c r="V10"/>
      <c r="W10"/>
      <c r="X10"/>
      <c r="Y10"/>
      <c r="Z10"/>
      <c r="AB10"/>
      <c r="AC10"/>
    </row>
    <row r="11" spans="1:29" ht="14.1" customHeight="1">
      <c r="G11" s="253" t="s">
        <v>539</v>
      </c>
      <c r="I11" s="253" t="s">
        <v>540</v>
      </c>
      <c r="J11" s="253"/>
      <c r="K11" s="253" t="s">
        <v>109</v>
      </c>
      <c r="L11" s="253" t="s">
        <v>541</v>
      </c>
      <c r="M11" s="274"/>
      <c r="N11" s="274"/>
      <c r="Q11" s="275" t="s">
        <v>554</v>
      </c>
      <c r="R11" s="373">
        <f>G106*0.0005</f>
        <v>6014.2595703663437</v>
      </c>
      <c r="S11" s="274"/>
      <c r="T11" s="274"/>
      <c r="V11"/>
      <c r="W11"/>
      <c r="X11"/>
      <c r="Y11"/>
      <c r="Z11"/>
      <c r="AB11"/>
      <c r="AC11"/>
    </row>
    <row r="12" spans="1:29" ht="14.1" customHeight="1">
      <c r="A12" s="263" t="s">
        <v>35</v>
      </c>
      <c r="B12" s="274" t="s">
        <v>355</v>
      </c>
      <c r="C12" s="274" t="s">
        <v>355</v>
      </c>
      <c r="D12" s="274"/>
      <c r="E12" s="274"/>
      <c r="F12" s="273"/>
      <c r="G12" s="253" t="s">
        <v>542</v>
      </c>
      <c r="H12" s="253"/>
      <c r="I12" s="253" t="s">
        <v>542</v>
      </c>
      <c r="J12" s="253"/>
      <c r="K12" s="252" t="s">
        <v>543</v>
      </c>
      <c r="L12" s="252" t="s">
        <v>544</v>
      </c>
      <c r="M12" s="274"/>
      <c r="N12" s="266" t="s">
        <v>545</v>
      </c>
      <c r="O12" s="266"/>
      <c r="P12" s="273"/>
      <c r="Q12" s="273"/>
      <c r="R12" s="273"/>
      <c r="S12" s="274"/>
      <c r="T12" s="274"/>
      <c r="V12"/>
      <c r="W12"/>
      <c r="X12"/>
      <c r="Y12"/>
      <c r="Z12"/>
      <c r="AB12"/>
      <c r="AC12"/>
    </row>
    <row r="13" spans="1:29" ht="14.1" customHeight="1" thickBot="1">
      <c r="A13" s="264" t="s">
        <v>46</v>
      </c>
      <c r="B13" s="277" t="s">
        <v>371</v>
      </c>
      <c r="C13" s="277" t="s">
        <v>372</v>
      </c>
      <c r="D13" s="277"/>
      <c r="E13" s="277"/>
      <c r="F13" s="277"/>
      <c r="G13" s="255">
        <v>46022</v>
      </c>
      <c r="H13" s="256"/>
      <c r="I13" s="255">
        <v>45657</v>
      </c>
      <c r="J13" s="256"/>
      <c r="K13" s="256"/>
      <c r="L13" s="256" t="s">
        <v>546</v>
      </c>
      <c r="M13" s="278"/>
      <c r="N13" s="279"/>
      <c r="O13" s="279"/>
      <c r="P13" s="279"/>
      <c r="Q13" s="279"/>
      <c r="R13" s="279"/>
      <c r="S13" s="279"/>
      <c r="T13" s="273"/>
      <c r="U13" s="285" t="s">
        <v>19</v>
      </c>
      <c r="V13" s="286" t="s">
        <v>555</v>
      </c>
      <c r="W13" s="285" t="s">
        <v>20</v>
      </c>
      <c r="X13" s="287" t="s">
        <v>556</v>
      </c>
      <c r="Y13"/>
      <c r="Z13"/>
      <c r="AB13"/>
      <c r="AC13"/>
    </row>
    <row r="14" spans="1:29" ht="14.1" hidden="1" customHeight="1">
      <c r="A14" s="263">
        <v>1</v>
      </c>
      <c r="B14" s="280"/>
      <c r="C14" s="281" t="s">
        <v>557</v>
      </c>
      <c r="D14" s="282"/>
      <c r="E14" s="282"/>
      <c r="F14" s="283"/>
      <c r="G14" s="283"/>
      <c r="H14" s="284"/>
      <c r="I14" s="283"/>
      <c r="J14" s="284"/>
      <c r="K14" s="282"/>
      <c r="L14" s="282"/>
      <c r="M14" s="282"/>
      <c r="S14" s="282"/>
      <c r="T14" s="282"/>
      <c r="U14" s="276"/>
      <c r="V14" s="290" t="str">
        <f>IF(U14&gt;$R$11,"Above 0.0005%","-")</f>
        <v>-</v>
      </c>
      <c r="W14" s="291"/>
      <c r="X14" s="290" t="str">
        <f>IF(W14&lt;0.1,"-","Above 10%")</f>
        <v>-</v>
      </c>
      <c r="Y14"/>
      <c r="Z14"/>
      <c r="AA14" s="241"/>
      <c r="AB14" s="241"/>
      <c r="AC14"/>
    </row>
    <row r="15" spans="1:29" ht="14.1" customHeight="1">
      <c r="A15" s="263">
        <v>2</v>
      </c>
      <c r="B15" s="422">
        <v>101</v>
      </c>
      <c r="C15" s="282" t="s">
        <v>547</v>
      </c>
      <c r="F15" s="283"/>
      <c r="G15" s="438">
        <f>SUMIF('Test Year'!$A:$A,$B15,'Test Year'!$U:$U)/1000</f>
        <v>12385468.870342122</v>
      </c>
      <c r="I15" s="149">
        <f>SUMIF('Prior Year'!$A:$A,$B15,'Prior Year'!$U:$U)/1000</f>
        <v>10963474.441793986</v>
      </c>
      <c r="J15" s="284"/>
      <c r="K15" s="259">
        <f>+G15-I15</f>
        <v>1421994.4285481367</v>
      </c>
      <c r="L15" s="261">
        <f>IF(I15=0,"0.00%",+K15/I15)</f>
        <v>0.12970289994268017</v>
      </c>
      <c r="M15" s="259"/>
      <c r="S15" s="292"/>
      <c r="T15" s="292"/>
      <c r="U15" s="276">
        <f t="shared" ref="U15:U54" si="0">ABS(K15)</f>
        <v>1421994.4285481367</v>
      </c>
      <c r="V15" s="290" t="str">
        <f>IF(U15&gt;$R$11,"Above 0.0005%","-")</f>
        <v>Above 0.0005%</v>
      </c>
      <c r="W15" s="291">
        <f t="shared" ref="W15:W54" si="1">ABS(L15)</f>
        <v>0.12970289994268017</v>
      </c>
      <c r="X15" s="290" t="str">
        <f>IF(W15&lt;0.1,"-","Above 10%")</f>
        <v>Above 10%</v>
      </c>
      <c r="Y15"/>
      <c r="Z15"/>
      <c r="AA15" s="241"/>
      <c r="AB15" s="241"/>
      <c r="AC15"/>
    </row>
    <row r="16" spans="1:29" ht="14.1" hidden="1" customHeight="1">
      <c r="A16" s="263">
        <v>3</v>
      </c>
      <c r="B16" s="422">
        <v>102</v>
      </c>
      <c r="C16" s="282" t="s">
        <v>558</v>
      </c>
      <c r="F16" s="283"/>
      <c r="G16" s="438">
        <f>SUMIF('Test Year'!$A:$A,$B16,'Test Year'!$U:$U)/1000</f>
        <v>0</v>
      </c>
      <c r="I16" s="149">
        <f>SUMIF('Prior Year'!$A:$A,$B16,'Prior Year'!$U:$U)/1000</f>
        <v>189.72510461538459</v>
      </c>
      <c r="J16" s="284"/>
      <c r="K16" s="259">
        <f t="shared" ref="K16:K25" si="2">+G16-I16</f>
        <v>-189.72510461538459</v>
      </c>
      <c r="L16" s="261">
        <f t="shared" ref="L16:L25" si="3">IF(I16=0,"0.00%",+K16/I16)</f>
        <v>-1</v>
      </c>
      <c r="M16" s="259"/>
      <c r="S16" s="292"/>
      <c r="T16" s="292"/>
      <c r="U16" s="276">
        <f t="shared" si="0"/>
        <v>189.72510461538459</v>
      </c>
      <c r="V16" s="290" t="str">
        <f t="shared" ref="V16:V81" si="4">IF(U16&gt;$R$11,"Above 0.0005%","-")</f>
        <v>-</v>
      </c>
      <c r="W16" s="291">
        <f t="shared" si="1"/>
        <v>1</v>
      </c>
      <c r="X16" s="290" t="str">
        <f t="shared" ref="X16:X69" si="5">IF(W16&lt;0.1,"-","Above 10%")</f>
        <v>Above 10%</v>
      </c>
      <c r="Y16"/>
      <c r="Z16"/>
      <c r="AA16" s="241"/>
      <c r="AB16" s="241"/>
      <c r="AC16"/>
    </row>
    <row r="17" spans="1:29" ht="14.1" customHeight="1">
      <c r="A17" s="263">
        <v>4</v>
      </c>
      <c r="B17" s="423">
        <v>105</v>
      </c>
      <c r="C17" s="282" t="s">
        <v>548</v>
      </c>
      <c r="G17" s="438">
        <f>SUMIF('Test Year'!$A:$A,$B17,'Test Year'!$U:$U)/1000</f>
        <v>69494.543313076909</v>
      </c>
      <c r="I17" s="149">
        <f>SUMIF('Prior Year'!$A:$A,$B17,'Prior Year'!$U:$U)/1000</f>
        <v>63405.877289999975</v>
      </c>
      <c r="J17" s="284"/>
      <c r="K17" s="259">
        <f t="shared" si="2"/>
        <v>6088.6660230769339</v>
      </c>
      <c r="L17" s="261">
        <f t="shared" si="3"/>
        <v>9.602683983424995E-2</v>
      </c>
      <c r="M17" s="259"/>
      <c r="S17" s="283"/>
      <c r="T17" s="283"/>
      <c r="U17" s="276">
        <f t="shared" si="0"/>
        <v>6088.6660230769339</v>
      </c>
      <c r="V17" s="290" t="str">
        <f t="shared" si="4"/>
        <v>Above 0.0005%</v>
      </c>
      <c r="W17" s="291">
        <f t="shared" si="1"/>
        <v>9.602683983424995E-2</v>
      </c>
      <c r="X17" s="290" t="str">
        <f t="shared" si="5"/>
        <v>-</v>
      </c>
      <c r="Y17"/>
      <c r="Z17"/>
      <c r="AA17" s="241"/>
      <c r="AB17" s="241"/>
      <c r="AC17"/>
    </row>
    <row r="18" spans="1:29" ht="14.1" hidden="1" customHeight="1">
      <c r="A18" s="263">
        <v>5</v>
      </c>
      <c r="B18" s="293">
        <v>106</v>
      </c>
      <c r="C18" s="282" t="s">
        <v>559</v>
      </c>
      <c r="F18" s="289"/>
      <c r="G18" s="438">
        <f>SUMIF('Test Year'!$A:$A,$B18,'Test Year'!$U:$U)/1000</f>
        <v>2078381.7045999996</v>
      </c>
      <c r="I18" s="149">
        <f>SUMIF('Prior Year'!$A:$A,$B18,'Prior Year'!$U:$U)/1000</f>
        <v>2078381.7045999996</v>
      </c>
      <c r="J18" s="284"/>
      <c r="K18" s="259">
        <f t="shared" si="2"/>
        <v>0</v>
      </c>
      <c r="L18" s="261">
        <f t="shared" si="3"/>
        <v>0</v>
      </c>
      <c r="M18" s="259"/>
      <c r="S18" s="289"/>
      <c r="T18" s="289"/>
      <c r="U18" s="276">
        <f t="shared" si="0"/>
        <v>0</v>
      </c>
      <c r="V18" s="290" t="str">
        <f t="shared" si="4"/>
        <v>-</v>
      </c>
      <c r="W18" s="291">
        <f t="shared" si="1"/>
        <v>0</v>
      </c>
      <c r="X18" s="290" t="str">
        <f t="shared" si="5"/>
        <v>-</v>
      </c>
      <c r="Y18"/>
      <c r="Z18"/>
      <c r="AA18" s="241"/>
      <c r="AB18" s="241"/>
      <c r="AC18"/>
    </row>
    <row r="19" spans="1:29" ht="14.1" customHeight="1">
      <c r="A19" s="263">
        <v>6</v>
      </c>
      <c r="B19" s="293">
        <v>107</v>
      </c>
      <c r="C19" s="282" t="s">
        <v>166</v>
      </c>
      <c r="F19" s="289"/>
      <c r="G19" s="438">
        <f>SUMIF('Test Year'!$A:$A,$B19,'Test Year'!$U:$U)/1000</f>
        <v>1050507.0124984616</v>
      </c>
      <c r="I19" s="149">
        <f>SUMIF('Prior Year'!$A:$A,$B19,'Prior Year'!$U:$U)/1000</f>
        <v>1117495.6825307694</v>
      </c>
      <c r="J19" s="284"/>
      <c r="K19" s="259">
        <f t="shared" si="2"/>
        <v>-66988.670032307738</v>
      </c>
      <c r="L19" s="261">
        <f t="shared" si="3"/>
        <v>-5.9945350196431976E-2</v>
      </c>
      <c r="M19" s="259"/>
      <c r="S19" s="289"/>
      <c r="T19" s="289"/>
      <c r="U19" s="276">
        <f t="shared" si="0"/>
        <v>66988.670032307738</v>
      </c>
      <c r="V19" s="290" t="str">
        <f t="shared" si="4"/>
        <v>Above 0.0005%</v>
      </c>
      <c r="W19" s="291">
        <f t="shared" si="1"/>
        <v>5.9945350196431976E-2</v>
      </c>
      <c r="X19" s="290" t="str">
        <f t="shared" si="5"/>
        <v>-</v>
      </c>
      <c r="Y19"/>
      <c r="Z19"/>
      <c r="AA19" s="241"/>
      <c r="AB19" s="241"/>
      <c r="AC19"/>
    </row>
    <row r="20" spans="1:29" ht="14.1" hidden="1" customHeight="1">
      <c r="A20" s="263">
        <v>7</v>
      </c>
      <c r="B20" s="424">
        <v>114</v>
      </c>
      <c r="C20" s="282" t="s">
        <v>386</v>
      </c>
      <c r="F20" s="283"/>
      <c r="G20" s="438">
        <f>SUMIF('Test Year'!$A:$A,$B20,'Test Year'!$U:$U)/1000</f>
        <v>7484.8227600000009</v>
      </c>
      <c r="I20" s="149">
        <f>SUMIF('Prior Year'!$A:$A,$B20,'Prior Year'!$U:$U)/1000</f>
        <v>7484.8227600000009</v>
      </c>
      <c r="J20" s="284"/>
      <c r="K20" s="47">
        <f t="shared" si="2"/>
        <v>0</v>
      </c>
      <c r="L20" s="378">
        <f t="shared" si="3"/>
        <v>0</v>
      </c>
      <c r="M20" s="259"/>
      <c r="S20" s="289"/>
      <c r="T20" s="289"/>
      <c r="U20" s="276">
        <f t="shared" si="0"/>
        <v>0</v>
      </c>
      <c r="V20" s="290" t="str">
        <f t="shared" si="4"/>
        <v>-</v>
      </c>
      <c r="W20" s="291">
        <f t="shared" si="1"/>
        <v>0</v>
      </c>
      <c r="X20" s="290" t="str">
        <f t="shared" si="5"/>
        <v>-</v>
      </c>
      <c r="Y20"/>
      <c r="Z20"/>
      <c r="AA20" s="241"/>
      <c r="AB20" s="241"/>
      <c r="AC20"/>
    </row>
    <row r="21" spans="1:29" ht="14.1" hidden="1" customHeight="1">
      <c r="A21" s="263">
        <v>8</v>
      </c>
      <c r="B21" s="424"/>
      <c r="C21" s="295" t="s">
        <v>560</v>
      </c>
      <c r="F21" s="289"/>
      <c r="G21" s="439">
        <f>SUM(G15:G20)</f>
        <v>15591336.95351366</v>
      </c>
      <c r="I21" s="425">
        <f>SUM(I15:I20)</f>
        <v>14230432.25407937</v>
      </c>
      <c r="J21" s="284"/>
      <c r="K21" s="377">
        <f t="shared" si="2"/>
        <v>1360904.6994342897</v>
      </c>
      <c r="L21" s="379">
        <f t="shared" si="3"/>
        <v>9.5633405587111781E-2</v>
      </c>
      <c r="M21" s="259"/>
      <c r="S21" s="289"/>
      <c r="T21" s="289"/>
      <c r="U21" s="276"/>
      <c r="V21" s="290" t="str">
        <f t="shared" si="4"/>
        <v>-</v>
      </c>
      <c r="W21" s="291"/>
      <c r="X21" s="290" t="str">
        <f t="shared" si="5"/>
        <v>-</v>
      </c>
      <c r="Y21"/>
      <c r="Z21"/>
      <c r="AA21" s="241"/>
      <c r="AB21" s="241"/>
      <c r="AC21"/>
    </row>
    <row r="22" spans="1:29" ht="14.1" hidden="1" customHeight="1">
      <c r="A22" s="263">
        <v>9</v>
      </c>
      <c r="B22" s="293">
        <v>108</v>
      </c>
      <c r="C22" s="282" t="s">
        <v>561</v>
      </c>
      <c r="F22" s="289"/>
      <c r="G22" s="438">
        <f>SUMIF('Test Year'!$A:$A,$B22,'Test Year'!$U:$U)/1000</f>
        <v>-3970177.5198138463</v>
      </c>
      <c r="I22" s="149">
        <f>SUMIF('Prior Year'!$A:$A,$B22,'Prior Year'!$U:$U)/1000</f>
        <v>-3657925.2130723069</v>
      </c>
      <c r="J22" s="284"/>
      <c r="K22" s="47">
        <f t="shared" si="2"/>
        <v>-312252.30674153939</v>
      </c>
      <c r="L22" s="378">
        <f t="shared" si="3"/>
        <v>8.5363228757560444E-2</v>
      </c>
      <c r="M22" s="259"/>
      <c r="S22" s="289"/>
      <c r="T22" s="289"/>
      <c r="U22" s="276">
        <f t="shared" si="0"/>
        <v>312252.30674153939</v>
      </c>
      <c r="V22" s="290" t="str">
        <f t="shared" si="4"/>
        <v>Above 0.0005%</v>
      </c>
      <c r="W22" s="291">
        <f t="shared" si="1"/>
        <v>8.5363228757560444E-2</v>
      </c>
      <c r="X22" s="290" t="str">
        <f t="shared" si="5"/>
        <v>-</v>
      </c>
      <c r="Y22"/>
      <c r="Z22"/>
      <c r="AA22" s="241"/>
      <c r="AB22" s="241"/>
      <c r="AC22"/>
    </row>
    <row r="23" spans="1:29" ht="14.1" customHeight="1">
      <c r="A23" s="263">
        <v>10</v>
      </c>
      <c r="B23" s="422">
        <v>111</v>
      </c>
      <c r="C23" s="282" t="s">
        <v>549</v>
      </c>
      <c r="F23" s="283"/>
      <c r="G23" s="438">
        <f>SUMIF('Test Year'!$A:$A,$B23,'Test Year'!$U:$U)/1000</f>
        <v>-192471.13009615379</v>
      </c>
      <c r="I23" s="149">
        <f>SUMIF('Prior Year'!$A:$A,$B23,'Prior Year'!$U:$U)/1000</f>
        <v>-166245.92676538465</v>
      </c>
      <c r="J23" s="284"/>
      <c r="K23" s="259">
        <f t="shared" si="2"/>
        <v>-26225.203330769145</v>
      </c>
      <c r="L23" s="261">
        <f t="shared" si="3"/>
        <v>0.15774944890998496</v>
      </c>
      <c r="M23" s="259"/>
      <c r="S23" s="292"/>
      <c r="T23" s="292"/>
      <c r="U23" s="276">
        <f t="shared" si="0"/>
        <v>26225.203330769145</v>
      </c>
      <c r="V23" s="290" t="str">
        <f t="shared" si="4"/>
        <v>Above 0.0005%</v>
      </c>
      <c r="W23" s="291">
        <f t="shared" si="1"/>
        <v>0.15774944890998496</v>
      </c>
      <c r="X23" s="290" t="str">
        <f t="shared" si="5"/>
        <v>Above 10%</v>
      </c>
      <c r="Y23"/>
      <c r="Z23"/>
      <c r="AA23" s="241"/>
      <c r="AB23" s="241"/>
      <c r="AC23"/>
    </row>
    <row r="24" spans="1:29" ht="14.1" hidden="1" customHeight="1">
      <c r="A24" s="263">
        <v>11</v>
      </c>
      <c r="B24" s="263">
        <v>115</v>
      </c>
      <c r="C24" s="263" t="s">
        <v>562</v>
      </c>
      <c r="G24" s="438">
        <f>SUMIF('Test Year'!$A:$A,$B24,'Test Year'!$U:$U)/1000</f>
        <v>-7001.7205500000009</v>
      </c>
      <c r="I24" s="149">
        <f>SUMIF('Prior Year'!$A:$A,$B24,'Prior Year'!$U:$U)/1000</f>
        <v>-6765.0117900000005</v>
      </c>
      <c r="J24" s="284"/>
      <c r="K24" s="47">
        <f t="shared" si="2"/>
        <v>-236.70876000000044</v>
      </c>
      <c r="L24" s="378">
        <f t="shared" si="3"/>
        <v>3.4990147445108949E-2</v>
      </c>
      <c r="M24" s="259"/>
      <c r="S24" s="289"/>
      <c r="T24" s="289"/>
      <c r="U24" s="276">
        <f t="shared" si="0"/>
        <v>236.70876000000044</v>
      </c>
      <c r="V24" s="290" t="str">
        <f t="shared" si="4"/>
        <v>-</v>
      </c>
      <c r="W24" s="291">
        <f t="shared" si="1"/>
        <v>3.4990147445108949E-2</v>
      </c>
      <c r="X24" s="290" t="str">
        <f t="shared" si="5"/>
        <v>-</v>
      </c>
      <c r="Y24"/>
      <c r="Z24"/>
      <c r="AA24" s="241"/>
      <c r="AB24" s="241"/>
      <c r="AC24"/>
    </row>
    <row r="25" spans="1:29" ht="14.1" hidden="1" customHeight="1">
      <c r="A25" s="263">
        <v>12</v>
      </c>
      <c r="C25" s="295" t="s">
        <v>563</v>
      </c>
      <c r="G25" s="439">
        <f>SUM(G21:G24)</f>
        <v>11421686.583053658</v>
      </c>
      <c r="I25" s="425">
        <f>SUM(I21:I24)</f>
        <v>10399496.102451678</v>
      </c>
      <c r="J25" s="284"/>
      <c r="K25" s="377">
        <f t="shared" si="2"/>
        <v>1022190.4806019794</v>
      </c>
      <c r="L25" s="379">
        <f t="shared" si="3"/>
        <v>9.8292308639934808E-2</v>
      </c>
      <c r="M25" s="259"/>
      <c r="S25" s="289"/>
      <c r="T25" s="289"/>
      <c r="U25" s="276">
        <f t="shared" si="0"/>
        <v>1022190.4806019794</v>
      </c>
      <c r="V25" s="290" t="str">
        <f t="shared" si="4"/>
        <v>Above 0.0005%</v>
      </c>
      <c r="W25" s="291">
        <f t="shared" si="1"/>
        <v>9.8292308639934808E-2</v>
      </c>
      <c r="X25" s="290" t="str">
        <f t="shared" si="5"/>
        <v>-</v>
      </c>
      <c r="Y25"/>
      <c r="Z25"/>
      <c r="AA25" s="241"/>
      <c r="AB25" s="241"/>
      <c r="AC25"/>
    </row>
    <row r="26" spans="1:29" ht="14.1" hidden="1" customHeight="1">
      <c r="A26" s="263">
        <v>13</v>
      </c>
      <c r="G26" s="345"/>
      <c r="I26" s="345"/>
      <c r="J26" s="284"/>
      <c r="K26" s="259"/>
      <c r="L26" s="259"/>
      <c r="M26" s="259"/>
      <c r="N26" s="282"/>
      <c r="S26" s="289"/>
      <c r="T26" s="289"/>
      <c r="U26" s="276">
        <f t="shared" si="0"/>
        <v>0</v>
      </c>
      <c r="V26" s="290" t="str">
        <f t="shared" si="4"/>
        <v>-</v>
      </c>
      <c r="W26" s="291">
        <f t="shared" si="1"/>
        <v>0</v>
      </c>
      <c r="X26" s="290" t="str">
        <f t="shared" si="5"/>
        <v>-</v>
      </c>
      <c r="Y26"/>
      <c r="Z26"/>
      <c r="AA26" s="241"/>
      <c r="AB26" s="241"/>
      <c r="AC26"/>
    </row>
    <row r="27" spans="1:29" ht="14.1" hidden="1" customHeight="1">
      <c r="A27" s="263">
        <v>14</v>
      </c>
      <c r="C27" s="281" t="s">
        <v>265</v>
      </c>
      <c r="D27" s="4"/>
      <c r="E27" s="162"/>
      <c r="I27" s="345"/>
      <c r="J27" s="284"/>
      <c r="K27" s="259"/>
      <c r="L27" s="259"/>
      <c r="M27" s="259"/>
      <c r="N27" s="282"/>
      <c r="S27" s="289"/>
      <c r="T27" s="289"/>
      <c r="U27" s="276">
        <f t="shared" si="0"/>
        <v>0</v>
      </c>
      <c r="V27" s="290"/>
      <c r="W27" s="291">
        <f t="shared" si="1"/>
        <v>0</v>
      </c>
      <c r="X27" s="290"/>
      <c r="Y27"/>
      <c r="Z27"/>
      <c r="AB27"/>
      <c r="AC27"/>
    </row>
    <row r="28" spans="1:29" ht="14.1" customHeight="1">
      <c r="A28" s="263">
        <v>15</v>
      </c>
      <c r="B28" s="422">
        <v>121</v>
      </c>
      <c r="C28" s="282" t="s">
        <v>266</v>
      </c>
      <c r="F28" s="283"/>
      <c r="G28" s="438">
        <f>SUMIF('Test Year'!$A:$A,$B28,'Test Year'!$U:$U)/1000</f>
        <v>24533.891339230777</v>
      </c>
      <c r="I28" s="149">
        <f>SUMIF('Prior Year'!$A:$A,$B28,'Prior Year'!$U:$U)/1000</f>
        <v>22067.129445384617</v>
      </c>
      <c r="J28" s="284"/>
      <c r="K28" s="259">
        <f t="shared" ref="K28:K30" si="6">+G28-I28</f>
        <v>2466.7618938461601</v>
      </c>
      <c r="L28" s="261">
        <f t="shared" ref="L28:L30" si="7">IF(I28=0,"0.00%",+K28/I28)</f>
        <v>0.1117844484463333</v>
      </c>
      <c r="M28" s="259"/>
      <c r="S28" s="292"/>
      <c r="T28" s="292"/>
      <c r="U28" s="276">
        <f t="shared" si="0"/>
        <v>2466.7618938461601</v>
      </c>
      <c r="V28" s="290" t="str">
        <f t="shared" si="4"/>
        <v>-</v>
      </c>
      <c r="W28" s="291">
        <f t="shared" si="1"/>
        <v>0.1117844484463333</v>
      </c>
      <c r="X28" s="290" t="str">
        <f t="shared" si="5"/>
        <v>Above 10%</v>
      </c>
      <c r="Y28"/>
      <c r="Z28"/>
      <c r="AA28" s="241"/>
      <c r="AB28" s="241"/>
      <c r="AC28"/>
    </row>
    <row r="29" spans="1:29" ht="14.1" hidden="1" customHeight="1">
      <c r="A29" s="263">
        <v>16</v>
      </c>
      <c r="B29" s="293">
        <v>122</v>
      </c>
      <c r="C29" s="282" t="s">
        <v>267</v>
      </c>
      <c r="D29" s="81"/>
      <c r="E29" s="81"/>
      <c r="G29" s="111">
        <f>SUMIF('Test Year'!$A:$A,$B29,'Test Year'!$U:$U)/1000</f>
        <v>-8155.8566861538447</v>
      </c>
      <c r="I29" s="149">
        <f>SUMIF('Prior Year'!$A:$A,$B29,'Prior Year'!$U:$U)/1000</f>
        <v>-7530.3460546153829</v>
      </c>
      <c r="J29" s="284"/>
      <c r="K29" s="259">
        <f t="shared" si="6"/>
        <v>-625.51063153846189</v>
      </c>
      <c r="L29" s="261">
        <f t="shared" si="7"/>
        <v>8.3065323559079154E-2</v>
      </c>
      <c r="M29" s="259"/>
      <c r="N29" s="282"/>
      <c r="S29" s="289"/>
      <c r="T29" s="289"/>
      <c r="U29" s="276">
        <f t="shared" si="0"/>
        <v>625.51063153846189</v>
      </c>
      <c r="V29" s="290" t="str">
        <f t="shared" ref="V29" si="8">IF(U29&gt;$R$11,"Above 0.0005%","-")</f>
        <v>-</v>
      </c>
      <c r="W29" s="291">
        <f t="shared" si="1"/>
        <v>8.3065323559079154E-2</v>
      </c>
      <c r="X29" s="290" t="str">
        <f t="shared" ref="X29" si="9">IF(W29&lt;0.1,"-","Above 10%")</f>
        <v>-</v>
      </c>
      <c r="Y29"/>
      <c r="Z29"/>
      <c r="AB29"/>
      <c r="AC29"/>
    </row>
    <row r="30" spans="1:29" ht="14.1" hidden="1" customHeight="1">
      <c r="A30" s="263">
        <v>17</v>
      </c>
      <c r="B30" s="81"/>
      <c r="C30" s="295" t="s">
        <v>564</v>
      </c>
      <c r="D30" s="81"/>
      <c r="E30" s="81"/>
      <c r="G30" s="439">
        <f>SUM(G28:G29)</f>
        <v>16378.034653076931</v>
      </c>
      <c r="I30" s="425">
        <f>SUM(I28:I29)</f>
        <v>14536.783390769233</v>
      </c>
      <c r="J30" s="284"/>
      <c r="K30" s="377">
        <f t="shared" si="6"/>
        <v>1841.2512623076982</v>
      </c>
      <c r="L30" s="379">
        <f t="shared" si="7"/>
        <v>0.12666153252836396</v>
      </c>
      <c r="M30" s="259"/>
      <c r="N30" s="282"/>
      <c r="S30" s="289"/>
      <c r="T30" s="289"/>
      <c r="U30" s="276"/>
      <c r="V30" s="290" t="str">
        <f t="shared" si="4"/>
        <v>-</v>
      </c>
      <c r="W30" s="291"/>
      <c r="X30" s="290" t="str">
        <f t="shared" si="5"/>
        <v>-</v>
      </c>
      <c r="Y30"/>
      <c r="Z30"/>
      <c r="AB30"/>
      <c r="AC30"/>
    </row>
    <row r="31" spans="1:29" ht="14.1" hidden="1" customHeight="1">
      <c r="A31" s="263">
        <v>18</v>
      </c>
      <c r="C31" s="281" t="s">
        <v>565</v>
      </c>
      <c r="F31" s="289"/>
      <c r="J31" s="284"/>
      <c r="K31" s="259"/>
      <c r="L31" s="259"/>
      <c r="M31" s="294"/>
      <c r="N31" s="426"/>
      <c r="S31" s="289"/>
      <c r="T31" s="289"/>
      <c r="U31" s="276">
        <f t="shared" si="0"/>
        <v>0</v>
      </c>
      <c r="V31" s="290" t="str">
        <f t="shared" si="4"/>
        <v>-</v>
      </c>
      <c r="W31" s="291">
        <f t="shared" si="1"/>
        <v>0</v>
      </c>
      <c r="X31" s="290" t="str">
        <f t="shared" si="5"/>
        <v>-</v>
      </c>
      <c r="Y31"/>
      <c r="Z31"/>
      <c r="AB31"/>
      <c r="AC31"/>
    </row>
    <row r="32" spans="1:29" ht="14.1" hidden="1" customHeight="1">
      <c r="A32" s="263">
        <v>19</v>
      </c>
      <c r="B32" s="293">
        <v>123</v>
      </c>
      <c r="C32" s="282" t="s">
        <v>566</v>
      </c>
      <c r="F32" s="289"/>
      <c r="I32" s="149">
        <f>SUMIF('Prior Year'!$A:$A,$B32,'Prior Year'!$U:$U)/1000</f>
        <v>0</v>
      </c>
      <c r="J32" s="284"/>
      <c r="K32" s="259">
        <f t="shared" ref="K32:K53" si="10">+G32-I32</f>
        <v>0</v>
      </c>
      <c r="L32" s="261" t="str">
        <f t="shared" ref="L32:L53" si="11">IF(I32=0,"0.00%",+K32/I32)</f>
        <v>0.00%</v>
      </c>
      <c r="M32" s="289"/>
      <c r="N32" s="282"/>
      <c r="S32" s="289"/>
      <c r="T32" s="289"/>
      <c r="U32" s="276">
        <f t="shared" si="0"/>
        <v>0</v>
      </c>
      <c r="V32" s="290" t="str">
        <f t="shared" si="4"/>
        <v>-</v>
      </c>
      <c r="W32" s="291">
        <f t="shared" si="1"/>
        <v>0</v>
      </c>
      <c r="X32" s="290" t="str">
        <f t="shared" si="5"/>
        <v>-</v>
      </c>
      <c r="Y32"/>
      <c r="Z32"/>
      <c r="AB32"/>
      <c r="AC32"/>
    </row>
    <row r="33" spans="1:29" ht="14.1" hidden="1" customHeight="1">
      <c r="A33" s="263">
        <v>20</v>
      </c>
      <c r="B33" s="293">
        <v>124</v>
      </c>
      <c r="C33" s="282" t="s">
        <v>567</v>
      </c>
      <c r="F33" s="289"/>
      <c r="G33" s="111">
        <f>SUMIF('Test Year'!$A:$A,$B33,'Test Year'!$U:$U)/1000</f>
        <v>0</v>
      </c>
      <c r="I33" s="149">
        <f>SUMIF('Prior Year'!$A:$A,$B33,'Prior Year'!$U:$U)/1000</f>
        <v>0</v>
      </c>
      <c r="J33" s="284"/>
      <c r="K33" s="259">
        <f t="shared" si="10"/>
        <v>0</v>
      </c>
      <c r="L33" s="261" t="str">
        <f t="shared" si="11"/>
        <v>0.00%</v>
      </c>
      <c r="M33" s="289"/>
      <c r="N33" s="282"/>
      <c r="S33" s="289"/>
      <c r="T33" s="289"/>
      <c r="U33" s="276">
        <f t="shared" si="0"/>
        <v>0</v>
      </c>
      <c r="V33" s="290" t="str">
        <f t="shared" si="4"/>
        <v>-</v>
      </c>
      <c r="W33" s="291">
        <f t="shared" si="1"/>
        <v>0</v>
      </c>
      <c r="X33" s="290" t="str">
        <f t="shared" si="5"/>
        <v>-</v>
      </c>
      <c r="Y33"/>
      <c r="Z33"/>
      <c r="AB33"/>
      <c r="AC33"/>
    </row>
    <row r="34" spans="1:29" ht="13.5" hidden="1" customHeight="1">
      <c r="A34" s="263">
        <v>21</v>
      </c>
      <c r="B34" s="293">
        <v>131</v>
      </c>
      <c r="C34" s="282" t="s">
        <v>270</v>
      </c>
      <c r="F34" s="289"/>
      <c r="G34" s="111">
        <f>SUMIF('Test Year'!$A:$A,$B34,'Test Year'!$U:$U)/1000</f>
        <v>1000</v>
      </c>
      <c r="I34" s="149">
        <f>SUMIF('Prior Year'!$A:$A,$B34,'Prior Year'!$U:$U)/1000</f>
        <v>1289.7578007692309</v>
      </c>
      <c r="J34" s="284"/>
      <c r="K34" s="259">
        <f t="shared" si="10"/>
        <v>-289.75780076923093</v>
      </c>
      <c r="L34" s="261">
        <f t="shared" si="11"/>
        <v>-0.22466063054351368</v>
      </c>
      <c r="M34" s="294"/>
      <c r="N34" s="282"/>
      <c r="S34" s="289"/>
      <c r="T34" s="289"/>
      <c r="U34" s="276">
        <f t="shared" si="0"/>
        <v>289.75780076923093</v>
      </c>
      <c r="V34" s="290" t="str">
        <f t="shared" si="4"/>
        <v>-</v>
      </c>
      <c r="W34" s="291">
        <f t="shared" si="1"/>
        <v>0.22466063054351368</v>
      </c>
      <c r="X34" s="290" t="str">
        <f t="shared" si="5"/>
        <v>Above 10%</v>
      </c>
      <c r="Y34"/>
      <c r="Z34"/>
      <c r="AB34"/>
      <c r="AC34"/>
    </row>
    <row r="35" spans="1:29" ht="13.5" hidden="1" customHeight="1">
      <c r="A35" s="263">
        <v>22</v>
      </c>
      <c r="B35" s="293">
        <v>134</v>
      </c>
      <c r="C35" s="282" t="s">
        <v>271</v>
      </c>
      <c r="F35" s="289"/>
      <c r="G35" s="111">
        <f>SUMIF('Test Year'!$A:$A,$B35,'Test Year'!$U:$U)/1000</f>
        <v>0</v>
      </c>
      <c r="I35" s="149">
        <f>SUMIF('Prior Year'!$A:$A,$B35,'Prior Year'!$U:$U)/1000</f>
        <v>0</v>
      </c>
      <c r="J35" s="284"/>
      <c r="K35" s="259">
        <f t="shared" si="10"/>
        <v>0</v>
      </c>
      <c r="L35" s="261" t="str">
        <f t="shared" si="11"/>
        <v>0.00%</v>
      </c>
      <c r="M35" s="294"/>
      <c r="N35" s="282"/>
      <c r="S35" s="289"/>
      <c r="T35" s="289"/>
      <c r="U35" s="276">
        <f t="shared" si="0"/>
        <v>0</v>
      </c>
      <c r="V35" s="290" t="str">
        <f t="shared" si="4"/>
        <v>-</v>
      </c>
      <c r="W35" s="291">
        <f t="shared" si="1"/>
        <v>0</v>
      </c>
      <c r="X35" s="290" t="str">
        <f t="shared" si="5"/>
        <v>-</v>
      </c>
      <c r="Y35"/>
      <c r="Z35"/>
      <c r="AB35"/>
      <c r="AC35"/>
    </row>
    <row r="36" spans="1:29" ht="14.1" hidden="1" customHeight="1">
      <c r="A36" s="263">
        <v>23</v>
      </c>
      <c r="B36" s="293">
        <v>135</v>
      </c>
      <c r="C36" s="282" t="s">
        <v>568</v>
      </c>
      <c r="F36" s="289"/>
      <c r="G36" s="111">
        <f>SUMIF('Test Year'!$A:$A,$B36,'Test Year'!$U:$U)/1000</f>
        <v>52.665390000000009</v>
      </c>
      <c r="I36" s="149">
        <f>SUMIF('Prior Year'!$A:$A,$B36,'Prior Year'!$U:$U)/1000</f>
        <v>52.542313076923087</v>
      </c>
      <c r="J36" s="284"/>
      <c r="K36" s="259">
        <f t="shared" si="10"/>
        <v>0.12307692307692264</v>
      </c>
      <c r="L36" s="261">
        <f t="shared" si="11"/>
        <v>2.3424344279768449E-3</v>
      </c>
      <c r="M36" s="289"/>
      <c r="N36" s="282"/>
      <c r="S36" s="289"/>
      <c r="T36" s="289"/>
      <c r="U36" s="276">
        <f t="shared" si="0"/>
        <v>0.12307692307692264</v>
      </c>
      <c r="V36" s="290" t="str">
        <f t="shared" si="4"/>
        <v>-</v>
      </c>
      <c r="W36" s="291">
        <f t="shared" si="1"/>
        <v>2.3424344279768449E-3</v>
      </c>
      <c r="X36" s="290" t="str">
        <f t="shared" si="5"/>
        <v>-</v>
      </c>
      <c r="Y36"/>
      <c r="Z36"/>
      <c r="AB36"/>
      <c r="AC36"/>
    </row>
    <row r="37" spans="1:29" ht="14.1" hidden="1" customHeight="1">
      <c r="A37" s="263">
        <v>24</v>
      </c>
      <c r="B37" s="293">
        <v>136</v>
      </c>
      <c r="C37" s="282" t="s">
        <v>569</v>
      </c>
      <c r="F37" s="289"/>
      <c r="G37" s="111">
        <f>SUMIF('Test Year'!$A:$A,$B37,'Test Year'!$U:$U)/1000</f>
        <v>0</v>
      </c>
      <c r="I37" s="149">
        <f>SUMIF('Prior Year'!$A:$A,$B37,'Prior Year'!$U:$U)/1000</f>
        <v>0</v>
      </c>
      <c r="J37" s="284"/>
      <c r="K37" s="259">
        <f t="shared" si="10"/>
        <v>0</v>
      </c>
      <c r="L37" s="261" t="str">
        <f t="shared" si="11"/>
        <v>0.00%</v>
      </c>
      <c r="M37" s="289"/>
      <c r="N37" s="282"/>
      <c r="S37" s="289"/>
      <c r="T37" s="289"/>
      <c r="U37" s="276">
        <f t="shared" si="0"/>
        <v>0</v>
      </c>
      <c r="V37" s="290" t="str">
        <f t="shared" si="4"/>
        <v>-</v>
      </c>
      <c r="W37" s="291">
        <f t="shared" si="1"/>
        <v>0</v>
      </c>
      <c r="X37" s="290" t="str">
        <f t="shared" si="5"/>
        <v>-</v>
      </c>
      <c r="Y37"/>
      <c r="Z37"/>
      <c r="AB37"/>
      <c r="AC37"/>
    </row>
    <row r="38" spans="1:29" ht="14.1" hidden="1" customHeight="1">
      <c r="A38" s="263">
        <v>25</v>
      </c>
      <c r="B38" s="293">
        <v>141</v>
      </c>
      <c r="C38" s="282" t="s">
        <v>274</v>
      </c>
      <c r="F38" s="289"/>
      <c r="G38" s="111">
        <f>SUMIF('Test Year'!$A:$A,$B38,'Test Year'!$U:$U)/1000</f>
        <v>0</v>
      </c>
      <c r="I38" s="149">
        <f>SUMIF('Prior Year'!$A:$A,$B38,'Prior Year'!$U:$U)/1000</f>
        <v>0</v>
      </c>
      <c r="J38" s="284"/>
      <c r="K38" s="259">
        <f t="shared" si="10"/>
        <v>0</v>
      </c>
      <c r="L38" s="261" t="str">
        <f t="shared" si="11"/>
        <v>0.00%</v>
      </c>
      <c r="M38" s="289"/>
      <c r="N38" s="282"/>
      <c r="S38" s="289"/>
      <c r="T38" s="289"/>
      <c r="U38" s="276">
        <f t="shared" si="0"/>
        <v>0</v>
      </c>
      <c r="V38" s="290" t="str">
        <f t="shared" si="4"/>
        <v>-</v>
      </c>
      <c r="W38" s="291">
        <f t="shared" si="1"/>
        <v>0</v>
      </c>
      <c r="X38" s="290" t="str">
        <f t="shared" si="5"/>
        <v>-</v>
      </c>
      <c r="Y38"/>
      <c r="Z38"/>
      <c r="AB38"/>
      <c r="AC38"/>
    </row>
    <row r="39" spans="1:29" ht="14.1" hidden="1" customHeight="1">
      <c r="A39" s="263">
        <v>26</v>
      </c>
      <c r="B39" s="293">
        <v>142</v>
      </c>
      <c r="C39" s="282" t="s">
        <v>570</v>
      </c>
      <c r="F39" s="289"/>
      <c r="G39" s="111">
        <f>SUMIF('Test Year'!$A:$A,$B39,'Test Year'!$U:$U)/1000</f>
        <v>181510.05824442822</v>
      </c>
      <c r="I39" s="149">
        <f>SUMIF('Prior Year'!$A:$A,$B39,'Prior Year'!$U:$U)/1000</f>
        <v>193488.02229307694</v>
      </c>
      <c r="J39" s="284"/>
      <c r="K39" s="259">
        <f t="shared" si="10"/>
        <v>-11977.964048648719</v>
      </c>
      <c r="L39" s="261">
        <f t="shared" si="11"/>
        <v>-6.1905454956305554E-2</v>
      </c>
      <c r="M39" s="289"/>
      <c r="N39" s="282"/>
      <c r="U39" s="276">
        <f t="shared" si="0"/>
        <v>11977.964048648719</v>
      </c>
      <c r="V39" s="290" t="str">
        <f t="shared" si="4"/>
        <v>Above 0.0005%</v>
      </c>
      <c r="W39" s="291">
        <f t="shared" si="1"/>
        <v>6.1905454956305554E-2</v>
      </c>
      <c r="X39" s="290" t="str">
        <f t="shared" si="5"/>
        <v>-</v>
      </c>
      <c r="Y39"/>
      <c r="Z39"/>
      <c r="AB39"/>
      <c r="AC39"/>
    </row>
    <row r="40" spans="1:29" ht="14.1" hidden="1" customHeight="1">
      <c r="A40" s="263">
        <v>27</v>
      </c>
      <c r="B40" s="293">
        <v>143</v>
      </c>
      <c r="C40" s="282" t="s">
        <v>276</v>
      </c>
      <c r="F40" s="289"/>
      <c r="G40" s="111">
        <f>SUMIF('Test Year'!$A:$A,$B40,'Test Year'!$U:$U)/1000</f>
        <v>7359.140430769231</v>
      </c>
      <c r="I40" s="149">
        <f>SUMIF('Prior Year'!$A:$A,$B40,'Prior Year'!$U:$U)/1000</f>
        <v>7476.1154699999997</v>
      </c>
      <c r="J40" s="284"/>
      <c r="K40" s="259">
        <f t="shared" si="10"/>
        <v>-116.97503923076874</v>
      </c>
      <c r="L40" s="261">
        <f t="shared" si="11"/>
        <v>-1.5646499803295407E-2</v>
      </c>
      <c r="M40" s="289"/>
      <c r="N40" s="282"/>
      <c r="S40" s="289"/>
      <c r="T40" s="289"/>
      <c r="U40" s="276">
        <f t="shared" si="0"/>
        <v>116.97503923076874</v>
      </c>
      <c r="V40" s="290" t="str">
        <f t="shared" si="4"/>
        <v>-</v>
      </c>
      <c r="W40" s="291">
        <f t="shared" si="1"/>
        <v>1.5646499803295407E-2</v>
      </c>
      <c r="X40" s="290" t="str">
        <f t="shared" si="5"/>
        <v>-</v>
      </c>
      <c r="Y40"/>
      <c r="Z40"/>
      <c r="AB40"/>
      <c r="AC40"/>
    </row>
    <row r="41" spans="1:29" ht="14.1" hidden="1" customHeight="1">
      <c r="A41" s="263">
        <v>28</v>
      </c>
      <c r="B41" s="422">
        <v>144</v>
      </c>
      <c r="C41" s="282" t="s">
        <v>571</v>
      </c>
      <c r="F41" s="283"/>
      <c r="G41" s="438">
        <f>SUMIF('Test Year'!$A:$A,$B41,'Test Year'!$U:$U)/1000</f>
        <v>-1650.9812270100153</v>
      </c>
      <c r="I41" s="149">
        <f>SUMIF('Prior Year'!$A:$A,$B41,'Prior Year'!$U:$U)/1000</f>
        <v>-1678.6369577624155</v>
      </c>
      <c r="J41" s="284"/>
      <c r="K41" s="259">
        <f t="shared" si="10"/>
        <v>27.655730752400132</v>
      </c>
      <c r="L41" s="261">
        <f t="shared" si="11"/>
        <v>-1.6475111324407266E-2</v>
      </c>
      <c r="M41" s="259"/>
      <c r="S41" s="292"/>
      <c r="T41" s="292"/>
      <c r="U41" s="276">
        <f t="shared" si="0"/>
        <v>27.655730752400132</v>
      </c>
      <c r="V41" s="290" t="str">
        <f t="shared" si="4"/>
        <v>-</v>
      </c>
      <c r="W41" s="291">
        <f t="shared" si="1"/>
        <v>1.6475111324407266E-2</v>
      </c>
      <c r="X41" s="290" t="str">
        <f t="shared" si="5"/>
        <v>-</v>
      </c>
      <c r="Y41"/>
      <c r="Z41"/>
      <c r="AA41" s="241"/>
      <c r="AB41" s="241"/>
      <c r="AC41"/>
    </row>
    <row r="42" spans="1:29" ht="14.1" hidden="1" customHeight="1">
      <c r="A42" s="263">
        <v>29</v>
      </c>
      <c r="B42" s="293">
        <v>145</v>
      </c>
      <c r="C42" s="282" t="s">
        <v>274</v>
      </c>
      <c r="F42" s="289"/>
      <c r="G42" s="111">
        <f>SUMIF('Test Year'!$A:$A,$B42,'Test Year'!$U:$U)/1000</f>
        <v>0</v>
      </c>
      <c r="I42" s="149">
        <f>SUMIF('Prior Year'!$A:$A,$B42,'Prior Year'!$U:$U)/1000</f>
        <v>0</v>
      </c>
      <c r="J42" s="284"/>
      <c r="K42" s="259">
        <f t="shared" si="10"/>
        <v>0</v>
      </c>
      <c r="L42" s="261" t="str">
        <f t="shared" si="11"/>
        <v>0.00%</v>
      </c>
      <c r="M42" s="289"/>
      <c r="N42" s="282"/>
      <c r="S42" s="289"/>
      <c r="T42" s="289"/>
      <c r="U42" s="276">
        <f t="shared" si="0"/>
        <v>0</v>
      </c>
      <c r="V42" s="290" t="str">
        <f t="shared" si="4"/>
        <v>-</v>
      </c>
      <c r="W42" s="291">
        <f t="shared" si="1"/>
        <v>0</v>
      </c>
      <c r="X42" s="290" t="str">
        <f t="shared" si="5"/>
        <v>-</v>
      </c>
      <c r="Y42"/>
      <c r="Z42"/>
      <c r="AB42"/>
      <c r="AC42"/>
    </row>
    <row r="43" spans="1:29" ht="14.1" hidden="1" customHeight="1">
      <c r="A43" s="263">
        <v>30</v>
      </c>
      <c r="B43" s="293">
        <v>146</v>
      </c>
      <c r="C43" s="282" t="s">
        <v>572</v>
      </c>
      <c r="F43" s="289"/>
      <c r="G43" s="111">
        <f>SUMIF('Test Year'!$A:$A,$B43,'Test Year'!$U:$U)/1000</f>
        <v>13678.606178257796</v>
      </c>
      <c r="I43" s="149">
        <f>SUMIF('Prior Year'!$A:$A,$B43,'Prior Year'!$U:$U)/1000</f>
        <v>13985.708050739575</v>
      </c>
      <c r="J43" s="284"/>
      <c r="K43" s="259">
        <f t="shared" si="10"/>
        <v>-307.10187248177863</v>
      </c>
      <c r="L43" s="261">
        <f t="shared" si="11"/>
        <v>-2.1958264205689526E-2</v>
      </c>
      <c r="M43" s="289"/>
      <c r="N43" s="282"/>
      <c r="S43" s="289"/>
      <c r="T43" s="289"/>
      <c r="U43" s="276">
        <f t="shared" si="0"/>
        <v>307.10187248177863</v>
      </c>
      <c r="V43" s="290" t="str">
        <f t="shared" si="4"/>
        <v>-</v>
      </c>
      <c r="W43" s="291">
        <f t="shared" si="1"/>
        <v>2.1958264205689526E-2</v>
      </c>
      <c r="X43" s="290" t="str">
        <f t="shared" si="5"/>
        <v>-</v>
      </c>
      <c r="Y43"/>
      <c r="Z43"/>
      <c r="AB43"/>
      <c r="AC43"/>
    </row>
    <row r="44" spans="1:29" ht="14.1" hidden="1" customHeight="1">
      <c r="A44" s="263">
        <v>31</v>
      </c>
      <c r="B44" s="422">
        <v>151</v>
      </c>
      <c r="C44" s="282" t="s">
        <v>279</v>
      </c>
      <c r="F44" s="283"/>
      <c r="G44" s="438">
        <f>SUMIF('Test Year'!$A:$A,$B44,'Test Year'!$U:$U)/1000</f>
        <v>36823.692307692305</v>
      </c>
      <c r="I44" s="149">
        <f>SUMIF('Prior Year'!$A:$A,$B44,'Prior Year'!$U:$U)/1000</f>
        <v>35832.846951538457</v>
      </c>
      <c r="J44" s="284"/>
      <c r="K44" s="259">
        <f t="shared" si="10"/>
        <v>990.84535615384812</v>
      </c>
      <c r="L44" s="261">
        <f t="shared" si="11"/>
        <v>2.7651873642468336E-2</v>
      </c>
      <c r="M44" s="259"/>
      <c r="S44" s="292"/>
      <c r="T44" s="292"/>
      <c r="U44" s="276">
        <f t="shared" si="0"/>
        <v>990.84535615384812</v>
      </c>
      <c r="V44" s="290" t="str">
        <f t="shared" si="4"/>
        <v>-</v>
      </c>
      <c r="W44" s="291">
        <f t="shared" si="1"/>
        <v>2.7651873642468336E-2</v>
      </c>
      <c r="X44" s="290" t="str">
        <f t="shared" si="5"/>
        <v>-</v>
      </c>
      <c r="Y44"/>
      <c r="Z44"/>
      <c r="AA44" s="241"/>
      <c r="AB44" s="241"/>
      <c r="AC44"/>
    </row>
    <row r="45" spans="1:29" ht="14.1" hidden="1" customHeight="1">
      <c r="A45" s="263">
        <v>32</v>
      </c>
      <c r="B45" s="293">
        <v>152</v>
      </c>
      <c r="C45" s="282" t="s">
        <v>573</v>
      </c>
      <c r="F45" s="289"/>
      <c r="G45" s="111">
        <f>SUMIF('Test Year'!$A:$A,$B45,'Test Year'!$U:$U)/1000</f>
        <v>0</v>
      </c>
      <c r="I45" s="149">
        <f>SUMIF('Prior Year'!$A:$A,$B45,'Prior Year'!$U:$U)/1000</f>
        <v>0</v>
      </c>
      <c r="J45" s="284"/>
      <c r="K45" s="259">
        <f t="shared" si="10"/>
        <v>0</v>
      </c>
      <c r="L45" s="261" t="str">
        <f t="shared" si="11"/>
        <v>0.00%</v>
      </c>
      <c r="M45" s="289"/>
      <c r="N45" s="282"/>
      <c r="S45" s="289"/>
      <c r="T45" s="289"/>
      <c r="U45" s="276">
        <f t="shared" si="0"/>
        <v>0</v>
      </c>
      <c r="V45" s="290" t="str">
        <f t="shared" si="4"/>
        <v>-</v>
      </c>
      <c r="W45" s="291">
        <f t="shared" si="1"/>
        <v>0</v>
      </c>
      <c r="X45" s="290" t="str">
        <f t="shared" si="5"/>
        <v>-</v>
      </c>
      <c r="Y45"/>
      <c r="Z45"/>
      <c r="AB45"/>
      <c r="AC45"/>
    </row>
    <row r="46" spans="1:29" ht="14.1" hidden="1" customHeight="1">
      <c r="A46" s="263">
        <v>33</v>
      </c>
      <c r="B46" s="293">
        <v>153</v>
      </c>
      <c r="C46" s="282" t="s">
        <v>574</v>
      </c>
      <c r="F46" s="289"/>
      <c r="G46" s="111">
        <f>SUMIF('Test Year'!$A:$A,$B46,'Test Year'!$U:$U)/1000</f>
        <v>0</v>
      </c>
      <c r="I46" s="149">
        <f>SUMIF('Prior Year'!$A:$A,$B46,'Prior Year'!$U:$U)/1000</f>
        <v>0</v>
      </c>
      <c r="J46" s="284"/>
      <c r="K46" s="259">
        <f t="shared" si="10"/>
        <v>0</v>
      </c>
      <c r="L46" s="261" t="str">
        <f t="shared" si="11"/>
        <v>0.00%</v>
      </c>
      <c r="M46" s="289"/>
      <c r="N46" s="282"/>
      <c r="S46" s="289"/>
      <c r="T46" s="289"/>
      <c r="U46" s="276">
        <f t="shared" si="0"/>
        <v>0</v>
      </c>
      <c r="V46" s="290" t="str">
        <f t="shared" si="4"/>
        <v>-</v>
      </c>
      <c r="W46" s="291">
        <f t="shared" si="1"/>
        <v>0</v>
      </c>
      <c r="X46" s="290" t="str">
        <f t="shared" si="5"/>
        <v>-</v>
      </c>
      <c r="Y46"/>
      <c r="Z46"/>
      <c r="AB46"/>
      <c r="AC46"/>
    </row>
    <row r="47" spans="1:29" ht="14.1" hidden="1" customHeight="1">
      <c r="A47" s="263">
        <v>34</v>
      </c>
      <c r="B47" s="293">
        <v>154</v>
      </c>
      <c r="C47" s="282" t="s">
        <v>575</v>
      </c>
      <c r="F47" s="289"/>
      <c r="G47" s="111">
        <f>SUMIF('Test Year'!$A:$A,$B47,'Test Year'!$U:$U)/1000</f>
        <v>162822.15</v>
      </c>
      <c r="I47" s="149">
        <f>SUMIF('Prior Year'!$A:$A,$B47,'Prior Year'!$U:$U)/1000</f>
        <v>171867.82110692307</v>
      </c>
      <c r="J47" s="284"/>
      <c r="K47" s="259">
        <f t="shared" si="10"/>
        <v>-9045.6711069230805</v>
      </c>
      <c r="L47" s="261">
        <f t="shared" si="11"/>
        <v>-5.2631557487981144E-2</v>
      </c>
      <c r="M47" s="289"/>
      <c r="N47" s="426"/>
      <c r="S47" s="289"/>
      <c r="T47" s="289"/>
      <c r="U47" s="276">
        <f t="shared" si="0"/>
        <v>9045.6711069230805</v>
      </c>
      <c r="V47" s="290" t="str">
        <f t="shared" si="4"/>
        <v>Above 0.0005%</v>
      </c>
      <c r="W47" s="291">
        <f t="shared" si="1"/>
        <v>5.2631557487981144E-2</v>
      </c>
      <c r="X47" s="290" t="str">
        <f t="shared" si="5"/>
        <v>-</v>
      </c>
      <c r="Y47"/>
      <c r="Z47"/>
      <c r="AB47"/>
      <c r="AC47"/>
    </row>
    <row r="48" spans="1:29" ht="14.1" hidden="1" customHeight="1">
      <c r="A48" s="263">
        <v>35</v>
      </c>
      <c r="B48" s="293">
        <v>158</v>
      </c>
      <c r="C48" s="282" t="s">
        <v>576</v>
      </c>
      <c r="F48" s="289"/>
      <c r="G48" s="111">
        <f>SUMIF('Test Year'!$A:$A,$B48,'Test Year'!$U:$U)/1000</f>
        <v>0</v>
      </c>
      <c r="I48" s="149">
        <f>SUMIF('Prior Year'!$A:$A,$B48,'Prior Year'!$U:$U)/1000</f>
        <v>0</v>
      </c>
      <c r="J48" s="284"/>
      <c r="K48" s="259">
        <f t="shared" si="10"/>
        <v>0</v>
      </c>
      <c r="L48" s="261" t="str">
        <f t="shared" si="11"/>
        <v>0.00%</v>
      </c>
      <c r="M48" s="289"/>
      <c r="N48" s="282"/>
      <c r="S48" s="289"/>
      <c r="T48" s="289"/>
      <c r="U48" s="276">
        <f t="shared" si="0"/>
        <v>0</v>
      </c>
      <c r="V48" s="290" t="str">
        <f t="shared" si="4"/>
        <v>-</v>
      </c>
      <c r="W48" s="291">
        <f t="shared" si="1"/>
        <v>0</v>
      </c>
      <c r="X48" s="290" t="str">
        <f t="shared" si="5"/>
        <v>-</v>
      </c>
      <c r="Y48"/>
      <c r="Z48"/>
      <c r="AB48"/>
      <c r="AC48"/>
    </row>
    <row r="49" spans="1:29" ht="14.1" hidden="1" customHeight="1">
      <c r="A49" s="263">
        <v>36</v>
      </c>
      <c r="B49" s="293">
        <v>163</v>
      </c>
      <c r="C49" s="282" t="s">
        <v>577</v>
      </c>
      <c r="F49" s="289"/>
      <c r="G49" s="111">
        <f>SUMIF('Test Year'!$A:$A,$B49,'Test Year'!$U:$U)/1000</f>
        <v>0</v>
      </c>
      <c r="I49" s="149">
        <f>SUMIF('Prior Year'!$A:$A,$B49,'Prior Year'!$U:$U)/1000</f>
        <v>0</v>
      </c>
      <c r="J49" s="284"/>
      <c r="K49" s="259">
        <f t="shared" si="10"/>
        <v>0</v>
      </c>
      <c r="L49" s="261" t="str">
        <f t="shared" si="11"/>
        <v>0.00%</v>
      </c>
      <c r="M49" s="289"/>
      <c r="N49" s="282"/>
      <c r="S49" s="427"/>
      <c r="T49" s="427"/>
      <c r="U49" s="276">
        <f t="shared" si="0"/>
        <v>0</v>
      </c>
      <c r="V49" s="290" t="str">
        <f t="shared" si="4"/>
        <v>-</v>
      </c>
      <c r="W49" s="291">
        <f t="shared" si="1"/>
        <v>0</v>
      </c>
      <c r="X49" s="290" t="str">
        <f t="shared" si="5"/>
        <v>-</v>
      </c>
      <c r="Y49"/>
      <c r="Z49"/>
      <c r="AB49"/>
      <c r="AC49"/>
    </row>
    <row r="50" spans="1:29" ht="14.1" hidden="1" customHeight="1">
      <c r="A50" s="263">
        <v>37</v>
      </c>
      <c r="B50" s="293">
        <v>165</v>
      </c>
      <c r="C50" s="282" t="s">
        <v>283</v>
      </c>
      <c r="F50" s="289"/>
      <c r="G50" s="111">
        <f>SUMIF('Test Year'!$A:$A,$B50,'Test Year'!$U:$U)/1000</f>
        <v>30636.298079484699</v>
      </c>
      <c r="I50" s="149">
        <f>SUMIF('Prior Year'!$A:$A,$B50,'Prior Year'!$U:$U)/1000</f>
        <v>30631.198536755601</v>
      </c>
      <c r="J50" s="284"/>
      <c r="K50" s="259">
        <f t="shared" si="10"/>
        <v>5.0995427290981752</v>
      </c>
      <c r="L50" s="261">
        <f t="shared" si="11"/>
        <v>1.6648198479661284E-4</v>
      </c>
      <c r="M50" s="289"/>
      <c r="N50" s="282"/>
      <c r="S50" s="427"/>
      <c r="T50" s="427"/>
      <c r="U50" s="276">
        <f t="shared" si="0"/>
        <v>5.0995427290981752</v>
      </c>
      <c r="V50" s="290" t="str">
        <f t="shared" si="4"/>
        <v>-</v>
      </c>
      <c r="W50" s="291">
        <f t="shared" si="1"/>
        <v>1.6648198479661284E-4</v>
      </c>
      <c r="X50" s="290" t="str">
        <f t="shared" si="5"/>
        <v>-</v>
      </c>
      <c r="Y50"/>
      <c r="Z50"/>
      <c r="AB50"/>
      <c r="AC50"/>
    </row>
    <row r="51" spans="1:29" ht="14.1" hidden="1" customHeight="1">
      <c r="A51" s="263">
        <v>38</v>
      </c>
      <c r="B51" s="293">
        <v>171</v>
      </c>
      <c r="C51" s="282" t="s">
        <v>578</v>
      </c>
      <c r="F51" s="289"/>
      <c r="G51" s="111">
        <f>SUMIF('Test Year'!$A:$A,$B51,'Test Year'!$U:$U)/1000</f>
        <v>0</v>
      </c>
      <c r="I51" s="149">
        <f>SUMIF('Prior Year'!$A:$A,$B51,'Prior Year'!$U:$U)/1000</f>
        <v>0</v>
      </c>
      <c r="J51" s="284"/>
      <c r="K51" s="259">
        <f t="shared" si="10"/>
        <v>0</v>
      </c>
      <c r="L51" s="261" t="str">
        <f t="shared" si="11"/>
        <v>0.00%</v>
      </c>
      <c r="M51" s="289"/>
      <c r="N51" s="282"/>
      <c r="S51" s="427"/>
      <c r="T51" s="427"/>
      <c r="U51" s="276">
        <f t="shared" si="0"/>
        <v>0</v>
      </c>
      <c r="V51" s="290" t="str">
        <f t="shared" si="4"/>
        <v>-</v>
      </c>
      <c r="W51" s="291">
        <f t="shared" si="1"/>
        <v>0</v>
      </c>
      <c r="X51" s="290" t="str">
        <f t="shared" si="5"/>
        <v>-</v>
      </c>
      <c r="Y51"/>
      <c r="Z51"/>
      <c r="AB51"/>
      <c r="AC51"/>
    </row>
    <row r="52" spans="1:29" customFormat="1" ht="14.1" hidden="1" customHeight="1">
      <c r="A52" s="263">
        <v>39</v>
      </c>
      <c r="B52" s="293">
        <v>173</v>
      </c>
      <c r="C52" s="282" t="s">
        <v>579</v>
      </c>
      <c r="D52" s="263"/>
      <c r="E52" s="263"/>
      <c r="F52" s="289"/>
      <c r="G52" s="111">
        <f>SUMIF('Test Year'!$A:$A,$B52,'Test Year'!$U:$U)/1000</f>
        <v>79503.511410000006</v>
      </c>
      <c r="H52" s="263"/>
      <c r="I52" s="149">
        <f>SUMIF('Prior Year'!$A:$A,$B52,'Prior Year'!$U:$U)/1000</f>
        <v>78725.899527692396</v>
      </c>
      <c r="J52" s="284"/>
      <c r="K52" s="259">
        <f t="shared" si="10"/>
        <v>777.61188230761036</v>
      </c>
      <c r="L52" s="261">
        <f t="shared" si="11"/>
        <v>9.8774594761420267E-3</v>
      </c>
      <c r="U52" s="276">
        <f t="shared" si="0"/>
        <v>777.61188230761036</v>
      </c>
      <c r="V52" s="290" t="str">
        <f t="shared" ref="V52:V55" si="12">IF(U52&gt;$R$11,"Above 0.0005%","-")</f>
        <v>-</v>
      </c>
      <c r="W52" s="291">
        <f t="shared" si="1"/>
        <v>9.8774594761420267E-3</v>
      </c>
      <c r="X52" s="290" t="str">
        <f t="shared" ref="X52:X55" si="13">IF(W52&lt;0.1,"-","Above 10%")</f>
        <v>-</v>
      </c>
    </row>
    <row r="53" spans="1:29" customFormat="1" ht="14.1" hidden="1" customHeight="1">
      <c r="A53" s="263">
        <v>40</v>
      </c>
      <c r="B53" s="293">
        <v>176</v>
      </c>
      <c r="C53" s="282" t="s">
        <v>580</v>
      </c>
      <c r="D53" s="263"/>
      <c r="E53" s="263"/>
      <c r="F53" s="283"/>
      <c r="G53" s="111">
        <f>SUMIF('Test Year'!$A:$A,$B53,'Test Year'!$U:$U)/1000</f>
        <v>528</v>
      </c>
      <c r="H53" s="263"/>
      <c r="I53" s="149">
        <f>SUMIF('Prior Year'!$A:$A,$B53,'Prior Year'!$U:$U)/1000</f>
        <v>538.54455461538464</v>
      </c>
      <c r="J53" s="284"/>
      <c r="K53" s="259">
        <f t="shared" si="10"/>
        <v>-10.544554615384641</v>
      </c>
      <c r="L53" s="261">
        <f t="shared" si="11"/>
        <v>-1.9579725623472887E-2</v>
      </c>
      <c r="U53" s="276">
        <f t="shared" si="0"/>
        <v>10.544554615384641</v>
      </c>
      <c r="V53" s="290"/>
      <c r="W53" s="291">
        <f t="shared" si="1"/>
        <v>1.9579725623472887E-2</v>
      </c>
      <c r="X53" s="290"/>
    </row>
    <row r="54" spans="1:29" customFormat="1" ht="14.1" hidden="1" customHeight="1">
      <c r="A54" s="263">
        <v>41</v>
      </c>
      <c r="B54" s="293"/>
      <c r="C54" s="295" t="s">
        <v>581</v>
      </c>
      <c r="D54" s="263"/>
      <c r="E54" s="263"/>
      <c r="F54" s="289"/>
      <c r="G54" s="439">
        <f>SUM(G32:G53)</f>
        <v>512263.14081362227</v>
      </c>
      <c r="H54" s="263"/>
      <c r="I54" s="425">
        <f>SUM(I32:I53)</f>
        <v>532209.81964742509</v>
      </c>
      <c r="J54" s="284"/>
      <c r="K54" s="377">
        <f t="shared" ref="K54" si="14">+G54-I54</f>
        <v>-19946.678833802813</v>
      </c>
      <c r="L54" s="379">
        <f t="shared" ref="L54" si="15">IF(I54=0,"0.00%",+K54/I54)</f>
        <v>-3.7478975579625644E-2</v>
      </c>
      <c r="U54" s="276">
        <f t="shared" si="0"/>
        <v>19946.678833802813</v>
      </c>
      <c r="V54" s="290"/>
      <c r="W54" s="291">
        <f t="shared" si="1"/>
        <v>3.7478975579625644E-2</v>
      </c>
      <c r="X54" s="290"/>
    </row>
    <row r="55" spans="1:29" ht="14.1" hidden="1" customHeight="1" thickBot="1">
      <c r="A55" s="264">
        <v>42</v>
      </c>
      <c r="B55" s="264" t="s">
        <v>67</v>
      </c>
      <c r="C55" s="264"/>
      <c r="D55" s="264"/>
      <c r="E55" s="264"/>
      <c r="F55" s="264"/>
      <c r="G55" s="264"/>
      <c r="H55" s="264"/>
      <c r="I55" s="264"/>
      <c r="J55" s="264"/>
      <c r="K55" s="250"/>
      <c r="L55" s="250"/>
      <c r="M55" s="264"/>
      <c r="N55" s="264"/>
      <c r="O55" s="264"/>
      <c r="P55" s="264"/>
      <c r="Q55" s="264"/>
      <c r="R55" s="264"/>
      <c r="S55" s="264"/>
      <c r="U55" s="276"/>
      <c r="V55" s="290" t="str">
        <f t="shared" si="12"/>
        <v>-</v>
      </c>
      <c r="W55" s="291"/>
      <c r="X55" s="290" t="str">
        <f t="shared" si="13"/>
        <v>-</v>
      </c>
      <c r="Y55"/>
      <c r="Z55"/>
      <c r="AB55"/>
      <c r="AC55"/>
    </row>
    <row r="56" spans="1:29" ht="14.1" hidden="1" customHeight="1">
      <c r="A56" s="263" t="s">
        <v>582</v>
      </c>
      <c r="G56" s="260"/>
      <c r="I56" s="251"/>
      <c r="K56" s="251"/>
      <c r="L56" s="251"/>
      <c r="P56" s="274"/>
      <c r="Q56" s="263" t="s">
        <v>583</v>
      </c>
      <c r="U56" s="276"/>
      <c r="V56" s="290" t="str">
        <f t="shared" si="4"/>
        <v>-</v>
      </c>
      <c r="W56" s="291"/>
      <c r="X56" s="290" t="str">
        <f t="shared" si="5"/>
        <v>-</v>
      </c>
      <c r="Y56"/>
      <c r="Z56"/>
      <c r="AB56"/>
      <c r="AC56"/>
    </row>
    <row r="57" spans="1:29" ht="14.1" hidden="1" customHeight="1" thickBot="1">
      <c r="A57" s="264" t="str">
        <f>+$A$3</f>
        <v>SCHEDULE B-5</v>
      </c>
      <c r="B57" s="264"/>
      <c r="C57" s="264"/>
      <c r="D57" s="264"/>
      <c r="E57" s="264"/>
      <c r="F57" s="264"/>
      <c r="G57" s="296"/>
      <c r="H57" s="264" t="str">
        <f>+$H$3</f>
        <v>DETAIL OF CHANGES IN RATE BASE</v>
      </c>
      <c r="I57" s="250"/>
      <c r="J57" s="264"/>
      <c r="K57" s="250"/>
      <c r="L57" s="250"/>
      <c r="M57" s="264"/>
      <c r="N57" s="264"/>
      <c r="O57" s="264"/>
      <c r="P57" s="277"/>
      <c r="Q57" s="264"/>
      <c r="R57" s="264"/>
      <c r="S57" s="264" t="s">
        <v>584</v>
      </c>
      <c r="U57" s="276"/>
      <c r="V57" s="290" t="str">
        <f t="shared" si="4"/>
        <v>-</v>
      </c>
      <c r="W57" s="291"/>
      <c r="X57" s="290" t="str">
        <f t="shared" si="5"/>
        <v>-</v>
      </c>
      <c r="Y57"/>
      <c r="Z57"/>
      <c r="AB57"/>
      <c r="AC57"/>
    </row>
    <row r="58" spans="1:29" ht="14.1" hidden="1" customHeight="1">
      <c r="A58" s="263" t="s">
        <v>4</v>
      </c>
      <c r="E58" s="263" t="s">
        <v>553</v>
      </c>
      <c r="G58" s="260" t="str">
        <f>G4</f>
        <v>Provide the data listed below regarding all changes in rate base primary accounts that exceed 1/20th of one</v>
      </c>
      <c r="I58" s="251"/>
      <c r="K58" s="428"/>
      <c r="L58" s="428"/>
      <c r="N58" s="265"/>
      <c r="O58" s="265"/>
      <c r="P58" s="265" t="s">
        <v>7</v>
      </c>
      <c r="S58" s="266"/>
      <c r="T58" s="266"/>
      <c r="U58" s="276"/>
      <c r="V58" s="290" t="str">
        <f t="shared" si="4"/>
        <v>-</v>
      </c>
      <c r="W58" s="291"/>
      <c r="X58" s="290" t="str">
        <f t="shared" si="5"/>
        <v>-</v>
      </c>
      <c r="Y58"/>
      <c r="Z58"/>
      <c r="AB58"/>
      <c r="AC58"/>
    </row>
    <row r="59" spans="1:29" ht="14.1" hidden="1" customHeight="1">
      <c r="G59" s="260" t="str">
        <f>G5</f>
        <v xml:space="preserve">percent (.0005) of total rate base and ten percent from the prior year to the test year.  Quantify each reason </v>
      </c>
      <c r="I59" s="251"/>
      <c r="K59" s="429"/>
      <c r="L59" s="430"/>
      <c r="O59" s="267"/>
      <c r="P59" s="268" t="s">
        <v>12</v>
      </c>
      <c r="Q59" s="431" t="str">
        <f>+Q5</f>
        <v>Projected Test Year Ended 12/31/2025</v>
      </c>
      <c r="S59" s="267"/>
      <c r="T59" s="267"/>
      <c r="U59" s="276"/>
      <c r="V59" s="290" t="str">
        <f t="shared" si="4"/>
        <v>-</v>
      </c>
      <c r="W59" s="291"/>
      <c r="X59" s="290" t="str">
        <f t="shared" si="5"/>
        <v>-</v>
      </c>
      <c r="Y59"/>
      <c r="Z59"/>
      <c r="AB59"/>
      <c r="AC59"/>
    </row>
    <row r="60" spans="1:29" ht="14.1" hidden="1" customHeight="1">
      <c r="A60" s="263" t="s">
        <v>10</v>
      </c>
      <c r="G60" s="260" t="str">
        <f>G6</f>
        <v>for the change.</v>
      </c>
      <c r="I60" s="251"/>
      <c r="K60" s="429"/>
      <c r="L60" s="430"/>
      <c r="M60" s="267"/>
      <c r="P60" s="268" t="s">
        <v>12</v>
      </c>
      <c r="Q60" s="431" t="str">
        <f>+Q6</f>
        <v>Projected Prior Year Ended 12/31/2024</v>
      </c>
      <c r="S60" s="267"/>
      <c r="T60" s="267"/>
      <c r="U60" s="276"/>
      <c r="V60" s="290" t="str">
        <f t="shared" si="4"/>
        <v>-</v>
      </c>
      <c r="W60" s="291"/>
      <c r="X60" s="290" t="str">
        <f t="shared" si="5"/>
        <v>-</v>
      </c>
      <c r="Y60"/>
      <c r="Z60"/>
      <c r="AB60"/>
      <c r="AC60"/>
    </row>
    <row r="61" spans="1:29" ht="14.1" hidden="1" customHeight="1">
      <c r="G61" s="260"/>
      <c r="I61" s="251"/>
      <c r="K61" s="429"/>
      <c r="L61" s="430"/>
      <c r="M61" s="267"/>
      <c r="P61" s="274"/>
      <c r="Q61" s="431" t="str">
        <f>+Q7</f>
        <v>Historical Prior Year Ended 12/31/2023</v>
      </c>
      <c r="S61" s="267"/>
      <c r="T61" s="267"/>
      <c r="U61" s="276"/>
      <c r="V61" s="290" t="str">
        <f t="shared" si="4"/>
        <v>-</v>
      </c>
      <c r="W61" s="291"/>
      <c r="X61" s="290" t="str">
        <f t="shared" si="5"/>
        <v>-</v>
      </c>
      <c r="Y61"/>
      <c r="Z61"/>
      <c r="AB61"/>
      <c r="AC61"/>
    </row>
    <row r="62" spans="1:29" ht="14.1" hidden="1" customHeight="1" thickBot="1">
      <c r="A62" s="270" t="str">
        <f>A8</f>
        <v>DOCKET No. 20210034-EI</v>
      </c>
      <c r="B62" s="270"/>
      <c r="C62" s="271"/>
      <c r="D62" s="271"/>
      <c r="E62" s="271"/>
      <c r="F62" s="271"/>
      <c r="G62" s="1" t="s">
        <v>15</v>
      </c>
      <c r="H62" s="272"/>
      <c r="I62" s="2" t="s">
        <v>15</v>
      </c>
      <c r="J62" s="272"/>
      <c r="K62" s="1"/>
      <c r="L62" s="1"/>
      <c r="M62" s="271"/>
      <c r="N62" s="271"/>
      <c r="O62" s="271"/>
      <c r="P62" s="272"/>
      <c r="Q62" s="270" t="str">
        <f>Q8</f>
        <v>Witness:</v>
      </c>
      <c r="R62" s="264"/>
      <c r="S62" s="264"/>
      <c r="U62" s="276"/>
      <c r="V62" s="290" t="str">
        <f t="shared" si="4"/>
        <v>-</v>
      </c>
      <c r="W62" s="291"/>
      <c r="X62" s="290" t="str">
        <f t="shared" si="5"/>
        <v>-</v>
      </c>
      <c r="Y62"/>
      <c r="Z62"/>
      <c r="AB62"/>
      <c r="AC62"/>
    </row>
    <row r="63" spans="1:29" ht="14.1" hidden="1" customHeight="1">
      <c r="C63" s="273"/>
      <c r="D63" s="273"/>
      <c r="E63" s="273"/>
      <c r="F63" s="273"/>
      <c r="G63" s="252" t="s">
        <v>17</v>
      </c>
      <c r="H63" s="273"/>
      <c r="I63" s="252" t="s">
        <v>18</v>
      </c>
      <c r="J63" s="273"/>
      <c r="K63" s="252" t="s">
        <v>19</v>
      </c>
      <c r="L63" s="252" t="s">
        <v>20</v>
      </c>
      <c r="M63" s="273"/>
      <c r="N63" s="273"/>
      <c r="O63" s="273" t="s">
        <v>21</v>
      </c>
      <c r="P63" s="273"/>
      <c r="Q63" s="273"/>
      <c r="R63" s="273"/>
      <c r="S63" s="273"/>
      <c r="T63" s="273"/>
      <c r="U63" s="276"/>
      <c r="V63" s="290" t="str">
        <f t="shared" si="4"/>
        <v>-</v>
      </c>
      <c r="W63" s="291"/>
      <c r="X63" s="290" t="str">
        <f t="shared" si="5"/>
        <v>-</v>
      </c>
      <c r="Y63"/>
      <c r="Z63"/>
      <c r="AB63"/>
      <c r="AC63"/>
    </row>
    <row r="64" spans="1:29" ht="14.1" hidden="1" customHeight="1">
      <c r="C64" s="273"/>
      <c r="D64" s="273"/>
      <c r="E64" s="273"/>
      <c r="F64" s="273"/>
      <c r="G64" s="252"/>
      <c r="H64" s="273"/>
      <c r="I64" s="252"/>
      <c r="J64" s="273"/>
      <c r="K64" s="778" t="s">
        <v>538</v>
      </c>
      <c r="L64" s="778"/>
      <c r="M64" s="273"/>
      <c r="N64" s="273"/>
      <c r="O64" s="273"/>
      <c r="P64" s="273"/>
      <c r="Q64" s="273"/>
      <c r="R64" s="273"/>
      <c r="S64" s="273"/>
      <c r="T64" s="273"/>
      <c r="U64" s="276"/>
      <c r="V64" s="290" t="str">
        <f t="shared" si="4"/>
        <v>-</v>
      </c>
      <c r="W64" s="291"/>
      <c r="X64" s="290" t="str">
        <f t="shared" si="5"/>
        <v>-</v>
      </c>
      <c r="Y64"/>
      <c r="Z64"/>
      <c r="AB64"/>
      <c r="AC64"/>
    </row>
    <row r="65" spans="1:29" ht="14.1" hidden="1" customHeight="1">
      <c r="G65" s="253" t="s">
        <v>539</v>
      </c>
      <c r="I65" s="253" t="s">
        <v>540</v>
      </c>
      <c r="K65" s="253" t="s">
        <v>109</v>
      </c>
      <c r="L65" s="253" t="s">
        <v>541</v>
      </c>
      <c r="M65" s="274"/>
      <c r="N65" s="274"/>
      <c r="P65" s="274"/>
      <c r="S65" s="274"/>
      <c r="T65" s="274"/>
      <c r="U65" s="276"/>
      <c r="V65" s="290" t="str">
        <f t="shared" si="4"/>
        <v>-</v>
      </c>
      <c r="W65" s="291"/>
      <c r="X65" s="290" t="str">
        <f t="shared" si="5"/>
        <v>-</v>
      </c>
      <c r="Y65"/>
      <c r="Z65"/>
      <c r="AB65"/>
      <c r="AC65"/>
    </row>
    <row r="66" spans="1:29" ht="14.1" hidden="1" customHeight="1">
      <c r="A66" s="263" t="s">
        <v>35</v>
      </c>
      <c r="B66" s="274" t="s">
        <v>355</v>
      </c>
      <c r="C66" s="274" t="s">
        <v>355</v>
      </c>
      <c r="D66" s="274"/>
      <c r="E66" s="274"/>
      <c r="F66" s="273"/>
      <c r="G66" s="253" t="s">
        <v>542</v>
      </c>
      <c r="H66" s="253"/>
      <c r="I66" s="253" t="s">
        <v>542</v>
      </c>
      <c r="K66" s="252" t="s">
        <v>543</v>
      </c>
      <c r="L66" s="252" t="s">
        <v>544</v>
      </c>
      <c r="M66" s="274"/>
      <c r="N66" s="266" t="s">
        <v>545</v>
      </c>
      <c r="O66" s="266"/>
      <c r="P66" s="273"/>
      <c r="Q66" s="273"/>
      <c r="R66" s="273"/>
      <c r="S66" s="274"/>
      <c r="T66" s="274"/>
      <c r="U66" s="276"/>
      <c r="V66" s="290" t="str">
        <f t="shared" si="4"/>
        <v>-</v>
      </c>
      <c r="W66" s="291"/>
      <c r="X66" s="290" t="str">
        <f t="shared" si="5"/>
        <v>-</v>
      </c>
      <c r="Y66"/>
      <c r="Z66"/>
      <c r="AB66"/>
      <c r="AC66"/>
    </row>
    <row r="67" spans="1:29" ht="14.1" hidden="1" customHeight="1" thickBot="1">
      <c r="A67" s="264" t="s">
        <v>46</v>
      </c>
      <c r="B67" s="277" t="s">
        <v>371</v>
      </c>
      <c r="C67" s="277" t="s">
        <v>372</v>
      </c>
      <c r="D67" s="277"/>
      <c r="E67" s="277"/>
      <c r="F67" s="277"/>
      <c r="G67" s="255">
        <v>46022</v>
      </c>
      <c r="H67" s="256"/>
      <c r="I67" s="255">
        <v>45657</v>
      </c>
      <c r="J67" s="256"/>
      <c r="K67" s="256"/>
      <c r="L67" s="256" t="s">
        <v>546</v>
      </c>
      <c r="M67" s="278"/>
      <c r="N67" s="279"/>
      <c r="O67" s="279"/>
      <c r="P67" s="279"/>
      <c r="Q67" s="279"/>
      <c r="R67" s="279"/>
      <c r="S67" s="279"/>
      <c r="T67" s="273"/>
      <c r="U67" s="276"/>
      <c r="V67" s="290" t="str">
        <f t="shared" si="4"/>
        <v>-</v>
      </c>
      <c r="W67" s="291"/>
      <c r="X67" s="290" t="str">
        <f t="shared" si="5"/>
        <v>-</v>
      </c>
      <c r="Y67"/>
      <c r="Z67"/>
      <c r="AB67"/>
      <c r="AC67"/>
    </row>
    <row r="68" spans="1:29" ht="14.1" hidden="1" customHeight="1">
      <c r="A68" s="263">
        <v>1</v>
      </c>
      <c r="B68" s="280"/>
      <c r="D68" s="282"/>
      <c r="E68" s="282"/>
      <c r="F68" s="283"/>
      <c r="G68" s="440"/>
      <c r="H68" s="282"/>
      <c r="I68" s="259"/>
      <c r="J68" s="282"/>
      <c r="K68" s="297"/>
      <c r="L68" s="297"/>
      <c r="M68" s="282"/>
      <c r="N68" s="282"/>
      <c r="S68" s="282"/>
      <c r="T68" s="282"/>
      <c r="U68" s="276"/>
      <c r="V68" s="290" t="str">
        <f t="shared" si="4"/>
        <v>-</v>
      </c>
      <c r="W68" s="291"/>
      <c r="X68" s="290" t="str">
        <f t="shared" si="5"/>
        <v>-</v>
      </c>
      <c r="Y68"/>
      <c r="Z68"/>
      <c r="AB68"/>
      <c r="AC68"/>
    </row>
    <row r="69" spans="1:29" ht="14.1" hidden="1" customHeight="1">
      <c r="A69" s="263">
        <v>2</v>
      </c>
      <c r="B69" s="432"/>
      <c r="C69" s="282" t="s">
        <v>288</v>
      </c>
      <c r="E69" s="433"/>
      <c r="F69" s="283"/>
      <c r="H69" s="259"/>
      <c r="I69" s="149"/>
      <c r="J69" s="282"/>
      <c r="K69" s="259"/>
      <c r="L69" s="261"/>
      <c r="M69" s="289"/>
      <c r="S69" s="282"/>
      <c r="T69" s="282"/>
      <c r="U69" s="276"/>
      <c r="V69" s="290" t="str">
        <f t="shared" si="4"/>
        <v>-</v>
      </c>
      <c r="W69" s="291"/>
      <c r="X69" s="290" t="str">
        <f t="shared" si="5"/>
        <v>-</v>
      </c>
      <c r="Y69"/>
      <c r="Z69"/>
      <c r="AB69"/>
      <c r="AC69"/>
    </row>
    <row r="70" spans="1:29" ht="14.1" hidden="1" customHeight="1">
      <c r="A70" s="263">
        <v>3</v>
      </c>
      <c r="B70" s="293">
        <v>182</v>
      </c>
      <c r="C70" s="282" t="s">
        <v>585</v>
      </c>
      <c r="F70" s="289"/>
      <c r="G70" s="111">
        <f>'B-3'!S392</f>
        <v>788092.49424105207</v>
      </c>
      <c r="I70" s="344">
        <f>'B-3'!S230</f>
        <v>818423.22024900268</v>
      </c>
      <c r="J70" s="288"/>
      <c r="K70" s="259">
        <f t="shared" ref="K70:K74" si="16">+G70-I70</f>
        <v>-30330.726007950609</v>
      </c>
      <c r="L70" s="261">
        <f t="shared" ref="L70:L74" si="17">IF(I70=0,"0.00%",+K70/I70)</f>
        <v>-3.7059952916197299E-2</v>
      </c>
      <c r="M70" s="289"/>
      <c r="S70" s="282"/>
      <c r="T70" s="282"/>
      <c r="U70" s="276">
        <f t="shared" ref="U70:U106" si="18">ABS(K70)</f>
        <v>30330.726007950609</v>
      </c>
      <c r="V70" s="290" t="str">
        <f t="shared" si="4"/>
        <v>Above 0.0005%</v>
      </c>
      <c r="W70" s="291">
        <f t="shared" ref="W70:W106" si="19">ABS(L70)</f>
        <v>3.7059952916197299E-2</v>
      </c>
      <c r="X70" s="290" t="str">
        <f>IF(W70&lt;0.1,"-","Above 10%")</f>
        <v>-</v>
      </c>
      <c r="Y70"/>
      <c r="Z70"/>
      <c r="AB70"/>
      <c r="AC70"/>
    </row>
    <row r="71" spans="1:29" ht="14.1" hidden="1" customHeight="1">
      <c r="A71" s="263">
        <v>4</v>
      </c>
      <c r="B71" s="293">
        <v>183</v>
      </c>
      <c r="C71" s="282" t="s">
        <v>290</v>
      </c>
      <c r="F71" s="283"/>
      <c r="G71" s="111">
        <f>SUMIF('Test Year'!$A:$A,$B71,'Test Year'!$U:$U)/1000</f>
        <v>6566.744626923075</v>
      </c>
      <c r="H71" s="282"/>
      <c r="I71" s="149">
        <f>SUMIF('Prior Year'!$A:$A,$B71,'Prior Year'!$U:$U)/1000</f>
        <v>15210.360032307693</v>
      </c>
      <c r="J71" s="288"/>
      <c r="K71" s="259">
        <f t="shared" si="16"/>
        <v>-8643.6154053846185</v>
      </c>
      <c r="L71" s="261">
        <f t="shared" si="17"/>
        <v>-0.56827158509233666</v>
      </c>
      <c r="M71" s="289"/>
      <c r="S71" s="282"/>
      <c r="T71" s="282"/>
      <c r="U71" s="276">
        <f t="shared" si="18"/>
        <v>8643.6154053846185</v>
      </c>
      <c r="V71" s="290" t="str">
        <f t="shared" si="4"/>
        <v>Above 0.0005%</v>
      </c>
      <c r="W71" s="291">
        <f t="shared" si="19"/>
        <v>0.56827158509233666</v>
      </c>
      <c r="X71" s="290" t="str">
        <f t="shared" ref="X71:X106" si="20">IF(W71&lt;0.1,"-","Above 10%")</f>
        <v>Above 10%</v>
      </c>
      <c r="Y71"/>
      <c r="Z71"/>
      <c r="AB71"/>
      <c r="AC71"/>
    </row>
    <row r="72" spans="1:29" ht="14.1" hidden="1" customHeight="1">
      <c r="A72" s="263">
        <v>5</v>
      </c>
      <c r="B72" s="293">
        <v>184</v>
      </c>
      <c r="C72" s="282" t="s">
        <v>291</v>
      </c>
      <c r="F72" s="289"/>
      <c r="G72" s="438">
        <f>SUMIF('Test Year'!$A:$A,$B72,'Test Year'!$U:$U)/1000</f>
        <v>0</v>
      </c>
      <c r="H72" s="282"/>
      <c r="I72" s="149">
        <f>SUMIF('Prior Year'!$A:$A,$B72,'Prior Year'!$U:$U)/1000</f>
        <v>5.8940238461538454</v>
      </c>
      <c r="J72" s="288"/>
      <c r="K72" s="259">
        <f t="shared" si="16"/>
        <v>-5.8940238461538454</v>
      </c>
      <c r="L72" s="261">
        <f t="shared" si="17"/>
        <v>-1</v>
      </c>
      <c r="M72" s="289"/>
      <c r="S72" s="282"/>
      <c r="T72" s="282"/>
      <c r="U72" s="276">
        <f t="shared" si="18"/>
        <v>5.8940238461538454</v>
      </c>
      <c r="V72" s="290" t="str">
        <f t="shared" si="4"/>
        <v>-</v>
      </c>
      <c r="W72" s="291">
        <f t="shared" si="19"/>
        <v>1</v>
      </c>
      <c r="X72" s="290" t="str">
        <f t="shared" si="20"/>
        <v>Above 10%</v>
      </c>
      <c r="Y72"/>
      <c r="Z72"/>
      <c r="AB72"/>
      <c r="AC72"/>
    </row>
    <row r="73" spans="1:29" ht="14.1" hidden="1" customHeight="1">
      <c r="A73" s="263">
        <v>6</v>
      </c>
      <c r="B73" s="293">
        <v>186</v>
      </c>
      <c r="C73" s="282" t="s">
        <v>498</v>
      </c>
      <c r="G73" s="438">
        <f>SUMIF('Test Year'!$A:$A,$B73,'Test Year'!$U:$U)/1000</f>
        <v>4110.4833084615384</v>
      </c>
      <c r="H73" s="282"/>
      <c r="I73" s="149">
        <f>SUMIF('Prior Year'!$A:$A,$B73,'Prior Year'!$U:$U)/1000</f>
        <v>8775.4523453846141</v>
      </c>
      <c r="J73" s="288"/>
      <c r="K73" s="259">
        <f t="shared" si="16"/>
        <v>-4664.9690369230757</v>
      </c>
      <c r="L73" s="261">
        <f t="shared" si="17"/>
        <v>-0.53159299980434427</v>
      </c>
      <c r="S73" s="282"/>
      <c r="T73" s="282"/>
      <c r="U73" s="276">
        <f t="shared" si="18"/>
        <v>4664.9690369230757</v>
      </c>
      <c r="V73" s="290" t="str">
        <f t="shared" si="4"/>
        <v>-</v>
      </c>
      <c r="W73" s="291">
        <f t="shared" si="19"/>
        <v>0.53159299980434427</v>
      </c>
      <c r="X73" s="290" t="str">
        <f t="shared" si="20"/>
        <v>Above 10%</v>
      </c>
      <c r="Y73"/>
      <c r="Z73"/>
      <c r="AB73"/>
      <c r="AC73"/>
    </row>
    <row r="74" spans="1:29" ht="14.1" hidden="1" customHeight="1">
      <c r="A74" s="263">
        <v>7</v>
      </c>
      <c r="B74" s="434"/>
      <c r="C74" s="435" t="s">
        <v>293</v>
      </c>
      <c r="F74" s="289"/>
      <c r="G74" s="439">
        <f>SUM(G70:G73)</f>
        <v>798769.72217643668</v>
      </c>
      <c r="H74" s="282"/>
      <c r="I74" s="425">
        <f>SUM(I70:I73)</f>
        <v>842414.92665054114</v>
      </c>
      <c r="J74" s="288"/>
      <c r="K74" s="377">
        <f t="shared" si="16"/>
        <v>-43645.204474104452</v>
      </c>
      <c r="L74" s="379">
        <f t="shared" si="17"/>
        <v>-5.1809628596728066E-2</v>
      </c>
      <c r="M74" s="289"/>
      <c r="S74" s="282"/>
      <c r="T74" s="282"/>
      <c r="U74" s="276">
        <f t="shared" si="18"/>
        <v>43645.204474104452</v>
      </c>
      <c r="V74" s="290" t="str">
        <f t="shared" si="4"/>
        <v>Above 0.0005%</v>
      </c>
      <c r="W74" s="291">
        <f t="shared" si="19"/>
        <v>5.1809628596728066E-2</v>
      </c>
      <c r="X74" s="290" t="str">
        <f t="shared" si="20"/>
        <v>-</v>
      </c>
      <c r="Y74"/>
      <c r="Z74"/>
      <c r="AB74"/>
      <c r="AC74"/>
    </row>
    <row r="75" spans="1:29" ht="14.1" hidden="1" customHeight="1">
      <c r="A75" s="263">
        <v>8</v>
      </c>
      <c r="B75" s="280"/>
      <c r="F75" s="289"/>
      <c r="G75" s="167"/>
      <c r="H75" s="282"/>
      <c r="I75" s="436"/>
      <c r="J75" s="288"/>
      <c r="K75" s="436"/>
      <c r="L75" s="436"/>
      <c r="M75" s="289"/>
      <c r="S75" s="282"/>
      <c r="T75" s="282"/>
      <c r="U75" s="276">
        <f t="shared" si="18"/>
        <v>0</v>
      </c>
      <c r="V75" s="290" t="str">
        <f t="shared" si="4"/>
        <v>-</v>
      </c>
      <c r="W75" s="291">
        <f t="shared" si="19"/>
        <v>0</v>
      </c>
      <c r="X75" s="290" t="str">
        <f t="shared" si="20"/>
        <v>-</v>
      </c>
      <c r="Y75"/>
      <c r="Z75"/>
      <c r="AB75"/>
      <c r="AC75"/>
    </row>
    <row r="76" spans="1:29" ht="14.1" hidden="1" customHeight="1">
      <c r="A76" s="263">
        <v>9</v>
      </c>
      <c r="B76" s="435" t="s">
        <v>586</v>
      </c>
      <c r="F76" s="289"/>
      <c r="G76" s="260">
        <f>SUM(G74,G54,G30)</f>
        <v>1327410.8976431359</v>
      </c>
      <c r="H76" s="282"/>
      <c r="I76" s="260">
        <f>SUM(I74,I54,I30)</f>
        <v>1389161.5296887355</v>
      </c>
      <c r="J76" s="288"/>
      <c r="K76" s="259">
        <f t="shared" ref="K76" si="21">+G76-I76</f>
        <v>-61750.632045599632</v>
      </c>
      <c r="L76" s="261">
        <f t="shared" ref="L76" si="22">IF(I76=0,"0.00%",+K76/I76)</f>
        <v>-4.4451729137241422E-2</v>
      </c>
      <c r="M76" s="289"/>
      <c r="S76" s="282"/>
      <c r="T76" s="282"/>
      <c r="U76" s="276">
        <f t="shared" si="18"/>
        <v>61750.632045599632</v>
      </c>
      <c r="V76" s="290" t="str">
        <f t="shared" si="4"/>
        <v>Above 0.0005%</v>
      </c>
      <c r="W76" s="291">
        <f t="shared" si="19"/>
        <v>4.4451729137241422E-2</v>
      </c>
      <c r="X76" s="290" t="str">
        <f t="shared" si="20"/>
        <v>-</v>
      </c>
      <c r="Y76"/>
      <c r="Z76"/>
      <c r="AB76"/>
      <c r="AC76"/>
    </row>
    <row r="77" spans="1:29" ht="14.1" hidden="1" customHeight="1">
      <c r="A77" s="263">
        <v>10</v>
      </c>
      <c r="B77" s="280"/>
      <c r="C77" s="282"/>
      <c r="F77" s="289"/>
      <c r="G77" s="167"/>
      <c r="H77" s="282"/>
      <c r="I77" s="436"/>
      <c r="J77" s="288"/>
      <c r="K77" s="259"/>
      <c r="L77" s="259"/>
      <c r="M77" s="259"/>
      <c r="S77" s="282"/>
      <c r="T77" s="282"/>
      <c r="U77" s="276">
        <f t="shared" si="18"/>
        <v>0</v>
      </c>
      <c r="V77" s="290" t="str">
        <f t="shared" si="4"/>
        <v>-</v>
      </c>
      <c r="W77" s="291">
        <f t="shared" si="19"/>
        <v>0</v>
      </c>
      <c r="X77" s="290" t="str">
        <f t="shared" si="20"/>
        <v>-</v>
      </c>
      <c r="Y77"/>
      <c r="Z77"/>
      <c r="AB77"/>
      <c r="AC77"/>
    </row>
    <row r="78" spans="1:29" ht="14.1" hidden="1" customHeight="1">
      <c r="A78" s="263">
        <v>11</v>
      </c>
      <c r="B78" s="280"/>
      <c r="C78" s="281" t="s">
        <v>587</v>
      </c>
      <c r="F78" s="289"/>
      <c r="G78" s="47"/>
      <c r="H78" s="282"/>
      <c r="I78" s="259"/>
      <c r="J78" s="288"/>
      <c r="K78" s="259"/>
      <c r="L78" s="259"/>
      <c r="M78" s="259"/>
      <c r="S78" s="282"/>
      <c r="T78" s="282"/>
      <c r="U78" s="276">
        <f t="shared" si="18"/>
        <v>0</v>
      </c>
      <c r="V78" s="290" t="str">
        <f t="shared" si="4"/>
        <v>-</v>
      </c>
      <c r="W78" s="291">
        <f t="shared" si="19"/>
        <v>0</v>
      </c>
      <c r="X78" s="290" t="str">
        <f t="shared" si="20"/>
        <v>-</v>
      </c>
      <c r="Y78"/>
      <c r="Z78"/>
      <c r="AB78"/>
      <c r="AC78"/>
    </row>
    <row r="79" spans="1:29" ht="14.1" hidden="1" customHeight="1">
      <c r="A79" s="263">
        <v>12</v>
      </c>
      <c r="B79" s="293">
        <v>228</v>
      </c>
      <c r="C79" s="282" t="s">
        <v>588</v>
      </c>
      <c r="F79" s="289"/>
      <c r="G79" s="438">
        <f>SUMIF('Test Year'!$A:$A,$B79,'Test Year'!$U:$U)/1000</f>
        <v>102435.4811898238</v>
      </c>
      <c r="H79" s="282"/>
      <c r="I79" s="149">
        <f>SUMIF('Prior Year'!$A:$A,$B79,'Prior Year'!$U:$U)/1000</f>
        <v>106653.71796685937</v>
      </c>
      <c r="J79" s="288"/>
      <c r="K79" s="259">
        <f t="shared" ref="K79:K91" si="23">+G79-I79</f>
        <v>-4218.2367770355777</v>
      </c>
      <c r="L79" s="261">
        <f t="shared" ref="L79:L91" si="24">IF(I79=0,"0.00%",+K79/I79)</f>
        <v>-3.9550771013405414E-2</v>
      </c>
      <c r="M79" s="289"/>
      <c r="S79" s="282"/>
      <c r="T79" s="282"/>
      <c r="U79" s="276">
        <f t="shared" si="18"/>
        <v>4218.2367770355777</v>
      </c>
      <c r="V79" s="290" t="str">
        <f t="shared" si="4"/>
        <v>-</v>
      </c>
      <c r="W79" s="291">
        <f t="shared" si="19"/>
        <v>3.9550771013405414E-2</v>
      </c>
      <c r="X79" s="290" t="str">
        <f t="shared" si="20"/>
        <v>-</v>
      </c>
      <c r="Y79"/>
      <c r="Z79"/>
      <c r="AB79"/>
      <c r="AC79"/>
    </row>
    <row r="80" spans="1:29" ht="14.1" hidden="1" customHeight="1">
      <c r="A80" s="263">
        <v>13</v>
      </c>
      <c r="B80" s="293">
        <v>229</v>
      </c>
      <c r="C80" s="282" t="s">
        <v>589</v>
      </c>
      <c r="G80" s="438">
        <f>SUMIF('Test Year'!$A:$A,$B80,'Test Year'!$U:$U)/1000</f>
        <v>0</v>
      </c>
      <c r="H80" s="282"/>
      <c r="I80" s="149">
        <f>SUMIF('Prior Year'!$A:$A,$B80,'Prior Year'!$U:$U)/1000</f>
        <v>0</v>
      </c>
      <c r="J80" s="288"/>
      <c r="K80" s="259">
        <f t="shared" si="23"/>
        <v>0</v>
      </c>
      <c r="L80" s="261" t="str">
        <f t="shared" si="24"/>
        <v>0.00%</v>
      </c>
      <c r="M80" s="289"/>
      <c r="S80" s="282"/>
      <c r="T80" s="282"/>
      <c r="U80" s="276">
        <f t="shared" si="18"/>
        <v>0</v>
      </c>
      <c r="V80" s="290" t="str">
        <f t="shared" si="4"/>
        <v>-</v>
      </c>
      <c r="W80" s="291">
        <f t="shared" si="19"/>
        <v>0</v>
      </c>
      <c r="X80" s="290" t="str">
        <f t="shared" si="20"/>
        <v>-</v>
      </c>
      <c r="Y80"/>
      <c r="Z80"/>
      <c r="AB80"/>
      <c r="AC80"/>
    </row>
    <row r="81" spans="1:29" ht="14.1" hidden="1" customHeight="1">
      <c r="A81" s="263">
        <v>14</v>
      </c>
      <c r="B81" s="293">
        <v>230</v>
      </c>
      <c r="C81" s="282" t="s">
        <v>590</v>
      </c>
      <c r="G81" s="438">
        <f>SUMIF('Test Year'!$A:$A,$B81,'Test Year'!$U:$U)/1000</f>
        <v>34647.242676153845</v>
      </c>
      <c r="H81" s="282"/>
      <c r="I81" s="149">
        <f>SUMIF('Prior Year'!$A:$A,$B81,'Prior Year'!$U:$U)/1000</f>
        <v>32960.900449230765</v>
      </c>
      <c r="J81" s="288"/>
      <c r="K81" s="259">
        <f t="shared" si="23"/>
        <v>1686.3422269230796</v>
      </c>
      <c r="L81" s="261">
        <f t="shared" si="24"/>
        <v>5.1161898004592747E-2</v>
      </c>
      <c r="M81" s="289"/>
      <c r="S81" s="282"/>
      <c r="T81" s="282"/>
      <c r="U81" s="276">
        <f t="shared" si="18"/>
        <v>1686.3422269230796</v>
      </c>
      <c r="V81" s="290" t="str">
        <f t="shared" si="4"/>
        <v>-</v>
      </c>
      <c r="W81" s="291">
        <f t="shared" si="19"/>
        <v>5.1161898004592747E-2</v>
      </c>
      <c r="X81" s="290" t="str">
        <f t="shared" si="20"/>
        <v>-</v>
      </c>
      <c r="Y81"/>
      <c r="Z81"/>
      <c r="AB81"/>
      <c r="AC81"/>
    </row>
    <row r="82" spans="1:29" ht="14.1" hidden="1" customHeight="1">
      <c r="A82" s="263">
        <v>15</v>
      </c>
      <c r="B82" s="293">
        <v>232</v>
      </c>
      <c r="C82" s="282" t="s">
        <v>301</v>
      </c>
      <c r="F82" s="289"/>
      <c r="G82" s="438">
        <f>SUMIF('Test Year'!$A:$A,$B82,'Test Year'!$U:$U)/1000</f>
        <v>262287.35123794479</v>
      </c>
      <c r="H82" s="282"/>
      <c r="I82" s="149">
        <f>SUMIF('Prior Year'!$A:$A,$B82,'Prior Year'!$U:$U)/1000</f>
        <v>242553.30735898201</v>
      </c>
      <c r="J82" s="288"/>
      <c r="K82" s="259">
        <f t="shared" si="23"/>
        <v>19734.043878962781</v>
      </c>
      <c r="L82" s="261">
        <f t="shared" si="24"/>
        <v>8.1359615722560077E-2</v>
      </c>
      <c r="M82" s="289"/>
      <c r="S82" s="282"/>
      <c r="T82" s="282"/>
      <c r="U82" s="276">
        <f t="shared" si="18"/>
        <v>19734.043878962781</v>
      </c>
      <c r="V82" s="290" t="str">
        <f t="shared" ref="V82:V106" si="25">IF(U82&gt;$R$11,"Above 0.0005%","-")</f>
        <v>Above 0.0005%</v>
      </c>
      <c r="W82" s="291">
        <f t="shared" si="19"/>
        <v>8.1359615722560077E-2</v>
      </c>
      <c r="X82" s="290" t="str">
        <f t="shared" si="20"/>
        <v>-</v>
      </c>
      <c r="Y82"/>
      <c r="Z82"/>
      <c r="AB82"/>
      <c r="AC82"/>
    </row>
    <row r="83" spans="1:29" ht="14.1" hidden="1" customHeight="1">
      <c r="A83" s="263">
        <v>16</v>
      </c>
      <c r="B83" s="293">
        <v>233</v>
      </c>
      <c r="C83" s="282" t="s">
        <v>302</v>
      </c>
      <c r="F83" s="289"/>
      <c r="G83" s="438">
        <v>0</v>
      </c>
      <c r="H83" s="282"/>
      <c r="I83" s="149">
        <v>0</v>
      </c>
      <c r="J83" s="288"/>
      <c r="K83" s="259">
        <f t="shared" si="23"/>
        <v>0</v>
      </c>
      <c r="L83" s="261" t="str">
        <f t="shared" si="24"/>
        <v>0.00%</v>
      </c>
      <c r="M83" s="289"/>
      <c r="S83" s="282"/>
      <c r="T83" s="282"/>
      <c r="U83" s="276">
        <f t="shared" si="18"/>
        <v>0</v>
      </c>
      <c r="V83" s="290" t="str">
        <f t="shared" si="25"/>
        <v>-</v>
      </c>
      <c r="W83" s="291">
        <f t="shared" si="19"/>
        <v>0</v>
      </c>
      <c r="X83" s="290" t="str">
        <f t="shared" si="20"/>
        <v>-</v>
      </c>
      <c r="Y83"/>
      <c r="Z83"/>
      <c r="AB83"/>
      <c r="AC83"/>
    </row>
    <row r="84" spans="1:29" ht="13.5" hidden="1" customHeight="1">
      <c r="A84" s="263">
        <v>17</v>
      </c>
      <c r="B84" s="293">
        <v>234</v>
      </c>
      <c r="C84" s="282" t="s">
        <v>591</v>
      </c>
      <c r="F84" s="289"/>
      <c r="G84" s="438">
        <f>SUMIF('Test Year'!$A:$A,$B84,'Test Year'!$U:$U)/1000</f>
        <v>11430.237184311907</v>
      </c>
      <c r="H84" s="282"/>
      <c r="I84" s="149">
        <f>SUMIF('Prior Year'!$A:$A,$B84,'Prior Year'!$U:$U)/1000</f>
        <v>12017.831523846153</v>
      </c>
      <c r="J84" s="288"/>
      <c r="K84" s="259">
        <f t="shared" si="23"/>
        <v>-587.59433953424559</v>
      </c>
      <c r="L84" s="261">
        <f t="shared" si="24"/>
        <v>-4.8893541099184389E-2</v>
      </c>
      <c r="M84" s="289"/>
      <c r="S84" s="282"/>
      <c r="T84" s="282"/>
      <c r="U84" s="276">
        <f t="shared" si="18"/>
        <v>587.59433953424559</v>
      </c>
      <c r="V84" s="290" t="str">
        <f t="shared" si="25"/>
        <v>-</v>
      </c>
      <c r="W84" s="291">
        <f t="shared" si="19"/>
        <v>4.8893541099184389E-2</v>
      </c>
      <c r="X84" s="290" t="str">
        <f t="shared" si="20"/>
        <v>-</v>
      </c>
      <c r="Y84"/>
      <c r="Z84"/>
      <c r="AB84"/>
      <c r="AC84"/>
    </row>
    <row r="85" spans="1:29" ht="14.1" hidden="1" customHeight="1">
      <c r="A85" s="263">
        <v>18</v>
      </c>
      <c r="B85" s="293">
        <v>236</v>
      </c>
      <c r="C85" s="282" t="s">
        <v>592</v>
      </c>
      <c r="F85" s="289"/>
      <c r="G85" s="441">
        <f>SUM('B-3'!S460:S461)</f>
        <v>44320.676262094021</v>
      </c>
      <c r="H85" s="282"/>
      <c r="I85" s="382">
        <f>SUM('B-3'!S298:S299)</f>
        <v>44914.163373034273</v>
      </c>
      <c r="J85" s="288"/>
      <c r="K85" s="259">
        <f t="shared" si="23"/>
        <v>-593.48711094025202</v>
      </c>
      <c r="L85" s="261">
        <f t="shared" si="24"/>
        <v>-1.321380754687667E-2</v>
      </c>
      <c r="M85" s="374"/>
      <c r="S85" s="282"/>
      <c r="T85" s="282"/>
      <c r="U85" s="276">
        <f t="shared" si="18"/>
        <v>593.48711094025202</v>
      </c>
      <c r="V85" s="290" t="str">
        <f t="shared" si="25"/>
        <v>-</v>
      </c>
      <c r="W85" s="291">
        <f t="shared" si="19"/>
        <v>1.321380754687667E-2</v>
      </c>
      <c r="X85" s="290" t="str">
        <f t="shared" si="20"/>
        <v>-</v>
      </c>
      <c r="Y85"/>
      <c r="Z85"/>
      <c r="AB85"/>
      <c r="AC85"/>
    </row>
    <row r="86" spans="1:29" ht="14.1" hidden="1" customHeight="1">
      <c r="A86" s="263">
        <v>19</v>
      </c>
      <c r="B86" s="293">
        <v>237</v>
      </c>
      <c r="C86" s="282" t="s">
        <v>306</v>
      </c>
      <c r="F86" s="289"/>
      <c r="G86" s="438">
        <f>SUMIF('Test Year'!$A:$A,$B86,'Test Year'!$U:$U)/1000</f>
        <v>46827.2955703845</v>
      </c>
      <c r="H86" s="282"/>
      <c r="I86" s="149">
        <f>SUMIF('Prior Year'!$A:$A,$B86,'Prior Year'!$U:$U)/1000</f>
        <v>47995.047375557064</v>
      </c>
      <c r="J86" s="288"/>
      <c r="K86" s="259">
        <f t="shared" si="23"/>
        <v>-1167.7518051725638</v>
      </c>
      <c r="L86" s="261">
        <f t="shared" si="24"/>
        <v>-2.4330673038720177E-2</v>
      </c>
      <c r="M86" s="289"/>
      <c r="S86" s="289"/>
      <c r="T86" s="289"/>
      <c r="U86" s="276">
        <f t="shared" si="18"/>
        <v>1167.7518051725638</v>
      </c>
      <c r="V86" s="290" t="str">
        <f t="shared" si="25"/>
        <v>-</v>
      </c>
      <c r="W86" s="291">
        <f t="shared" si="19"/>
        <v>2.4330673038720177E-2</v>
      </c>
      <c r="X86" s="290" t="str">
        <f t="shared" si="20"/>
        <v>-</v>
      </c>
      <c r="Y86"/>
      <c r="Z86"/>
      <c r="AB86"/>
      <c r="AC86"/>
    </row>
    <row r="87" spans="1:29" ht="14.1" hidden="1" customHeight="1">
      <c r="A87" s="263">
        <v>20</v>
      </c>
      <c r="B87" s="293">
        <v>238</v>
      </c>
      <c r="C87" s="282" t="s">
        <v>593</v>
      </c>
      <c r="F87" s="289"/>
      <c r="G87" s="438">
        <f>SUMIF('Test Year'!$A:$A,$B87,'Test Year'!$U:$U)/1000</f>
        <v>0</v>
      </c>
      <c r="H87" s="282"/>
      <c r="I87" s="149">
        <f>SUMIF('Prior Year'!$A:$A,$B87,'Prior Year'!$U:$U)/1000</f>
        <v>0</v>
      </c>
      <c r="J87" s="288"/>
      <c r="K87" s="259">
        <f t="shared" si="23"/>
        <v>0</v>
      </c>
      <c r="L87" s="261" t="str">
        <f t="shared" si="24"/>
        <v>0.00%</v>
      </c>
      <c r="M87" s="289"/>
      <c r="S87" s="289"/>
      <c r="T87" s="289"/>
      <c r="U87" s="276">
        <f t="shared" si="18"/>
        <v>0</v>
      </c>
      <c r="V87" s="290" t="str">
        <f t="shared" si="25"/>
        <v>-</v>
      </c>
      <c r="W87" s="291">
        <f t="shared" si="19"/>
        <v>0</v>
      </c>
      <c r="X87" s="290" t="str">
        <f t="shared" si="20"/>
        <v>-</v>
      </c>
      <c r="Y87"/>
      <c r="Z87"/>
      <c r="AB87"/>
      <c r="AC87"/>
    </row>
    <row r="88" spans="1:29" ht="14.1" hidden="1" customHeight="1">
      <c r="A88" s="263">
        <v>21</v>
      </c>
      <c r="B88" s="293">
        <v>241</v>
      </c>
      <c r="C88" s="282" t="s">
        <v>308</v>
      </c>
      <c r="F88" s="289"/>
      <c r="G88" s="438">
        <f>SUMIF('Test Year'!$A:$A,$B88,'Test Year'!$U:$U)/1000</f>
        <v>14207.134949230762</v>
      </c>
      <c r="H88" s="282"/>
      <c r="I88" s="149">
        <f>SUMIF('Prior Year'!$A:$A,$B88,'Prior Year'!$U:$U)/1000</f>
        <v>13357.907850000016</v>
      </c>
      <c r="J88" s="288"/>
      <c r="K88" s="259">
        <f t="shared" si="23"/>
        <v>849.22709923074581</v>
      </c>
      <c r="L88" s="261">
        <f t="shared" si="24"/>
        <v>6.357485833612371E-2</v>
      </c>
      <c r="M88" s="289"/>
      <c r="S88" s="289"/>
      <c r="T88" s="289"/>
      <c r="U88" s="276">
        <f t="shared" si="18"/>
        <v>849.22709923074581</v>
      </c>
      <c r="V88" s="290" t="str">
        <f t="shared" si="25"/>
        <v>-</v>
      </c>
      <c r="W88" s="291">
        <f t="shared" si="19"/>
        <v>6.357485833612371E-2</v>
      </c>
      <c r="X88" s="290" t="str">
        <f t="shared" si="20"/>
        <v>-</v>
      </c>
      <c r="Y88"/>
      <c r="Z88"/>
      <c r="AB88"/>
      <c r="AC88"/>
    </row>
    <row r="89" spans="1:29" ht="14.1" hidden="1" customHeight="1">
      <c r="A89" s="263">
        <v>22</v>
      </c>
      <c r="B89" s="293">
        <v>242</v>
      </c>
      <c r="C89" s="282" t="s">
        <v>594</v>
      </c>
      <c r="F89" s="289"/>
      <c r="G89" s="438">
        <f>SUMIF('Test Year'!$A:$A,$B89,'Test Year'!$U:$U)/1000</f>
        <v>41537.637464034953</v>
      </c>
      <c r="H89" s="282"/>
      <c r="I89" s="149">
        <f>SUMIF('Prior Year'!$A:$A,$B89,'Prior Year'!$U:$U)/1000</f>
        <v>39583.318227397627</v>
      </c>
      <c r="J89" s="288"/>
      <c r="K89" s="259">
        <f t="shared" si="23"/>
        <v>1954.319236637326</v>
      </c>
      <c r="L89" s="261">
        <f t="shared" si="24"/>
        <v>4.9372294293524951E-2</v>
      </c>
      <c r="M89" s="289"/>
      <c r="S89" s="289"/>
      <c r="T89" s="289"/>
      <c r="U89" s="276">
        <f t="shared" si="18"/>
        <v>1954.319236637326</v>
      </c>
      <c r="V89" s="290" t="str">
        <f t="shared" si="25"/>
        <v>-</v>
      </c>
      <c r="W89" s="291">
        <f t="shared" si="19"/>
        <v>4.9372294293524951E-2</v>
      </c>
      <c r="X89" s="290" t="str">
        <f t="shared" si="20"/>
        <v>-</v>
      </c>
      <c r="Y89"/>
      <c r="Z89"/>
      <c r="AB89"/>
      <c r="AC89"/>
    </row>
    <row r="90" spans="1:29" ht="14.1" hidden="1" customHeight="1">
      <c r="A90" s="263">
        <v>23</v>
      </c>
      <c r="B90" s="293">
        <v>243</v>
      </c>
      <c r="C90" s="282" t="s">
        <v>310</v>
      </c>
      <c r="F90" s="289"/>
      <c r="G90" s="438">
        <f>SUMIF('Test Year'!$A:$A,$B90,'Test Year'!$U:$U)/1000</f>
        <v>944.404001106446</v>
      </c>
      <c r="H90" s="282"/>
      <c r="I90" s="149">
        <f>SUMIF('Prior Year'!$A:$A,$B90,'Prior Year'!$U:$U)/1000</f>
        <v>2244.8389638699227</v>
      </c>
      <c r="J90" s="288"/>
      <c r="K90" s="259">
        <f t="shared" si="23"/>
        <v>-1300.4349627634767</v>
      </c>
      <c r="L90" s="261">
        <f t="shared" si="24"/>
        <v>-0.57929988907606578</v>
      </c>
      <c r="M90" s="289"/>
      <c r="S90" s="289"/>
      <c r="T90" s="289"/>
      <c r="U90" s="276">
        <f t="shared" si="18"/>
        <v>1300.4349627634767</v>
      </c>
      <c r="V90" s="290" t="str">
        <f t="shared" si="25"/>
        <v>-</v>
      </c>
      <c r="W90" s="291">
        <f t="shared" si="19"/>
        <v>0.57929988907606578</v>
      </c>
      <c r="X90" s="290" t="str">
        <f t="shared" si="20"/>
        <v>Above 10%</v>
      </c>
      <c r="Y90"/>
      <c r="Z90"/>
      <c r="AB90"/>
      <c r="AC90"/>
    </row>
    <row r="91" spans="1:29" ht="14.1" hidden="1" customHeight="1">
      <c r="A91" s="263">
        <v>24</v>
      </c>
      <c r="B91" s="280"/>
      <c r="C91" s="295" t="s">
        <v>595</v>
      </c>
      <c r="F91" s="289"/>
      <c r="G91" s="439">
        <f>SUM(G79:G90)</f>
        <v>558637.46053508495</v>
      </c>
      <c r="H91" s="282"/>
      <c r="I91" s="425">
        <f>SUM(I79:I90)</f>
        <v>542281.03308877721</v>
      </c>
      <c r="J91" s="288"/>
      <c r="K91" s="377">
        <f t="shared" si="23"/>
        <v>16356.427446307731</v>
      </c>
      <c r="L91" s="379">
        <f t="shared" si="24"/>
        <v>3.0162270941218792E-2</v>
      </c>
      <c r="M91" s="289"/>
      <c r="S91" s="289"/>
      <c r="T91" s="289"/>
      <c r="U91" s="276">
        <f t="shared" si="18"/>
        <v>16356.427446307731</v>
      </c>
      <c r="V91" s="290" t="str">
        <f t="shared" si="25"/>
        <v>Above 0.0005%</v>
      </c>
      <c r="W91" s="291"/>
      <c r="X91" s="290" t="str">
        <f t="shared" si="20"/>
        <v>-</v>
      </c>
      <c r="Y91"/>
      <c r="Z91"/>
      <c r="AB91"/>
      <c r="AC91"/>
    </row>
    <row r="92" spans="1:29" ht="14.1" hidden="1" customHeight="1">
      <c r="A92" s="263">
        <v>25</v>
      </c>
      <c r="B92" s="280"/>
      <c r="C92" s="282"/>
      <c r="F92" s="289"/>
      <c r="G92" s="167"/>
      <c r="H92" s="282"/>
      <c r="I92" s="436"/>
      <c r="J92" s="288"/>
      <c r="K92" s="259"/>
      <c r="L92" s="259"/>
      <c r="M92" s="259"/>
      <c r="S92" s="289"/>
      <c r="T92" s="289"/>
      <c r="U92" s="276">
        <f t="shared" si="18"/>
        <v>0</v>
      </c>
      <c r="V92" s="290" t="str">
        <f t="shared" si="25"/>
        <v>-</v>
      </c>
      <c r="W92" s="291"/>
      <c r="X92" s="290" t="str">
        <f t="shared" si="20"/>
        <v>-</v>
      </c>
      <c r="Y92"/>
      <c r="Z92"/>
      <c r="AB92"/>
      <c r="AC92"/>
    </row>
    <row r="93" spans="1:29" ht="14.1" hidden="1" customHeight="1">
      <c r="A93" s="263">
        <v>26</v>
      </c>
      <c r="B93" s="280"/>
      <c r="C93" s="281" t="s">
        <v>596</v>
      </c>
      <c r="F93" s="289"/>
      <c r="G93" s="47"/>
      <c r="H93" s="282"/>
      <c r="I93" s="259"/>
      <c r="J93" s="288"/>
      <c r="K93" s="259"/>
      <c r="L93" s="259"/>
      <c r="M93" s="259"/>
      <c r="S93" s="289"/>
      <c r="T93" s="289"/>
      <c r="U93" s="276">
        <f t="shared" si="18"/>
        <v>0</v>
      </c>
      <c r="V93" s="290" t="str">
        <f t="shared" si="25"/>
        <v>-</v>
      </c>
      <c r="W93" s="291"/>
      <c r="X93" s="290" t="str">
        <f t="shared" si="20"/>
        <v>-</v>
      </c>
      <c r="Y93"/>
      <c r="Z93"/>
      <c r="AB93"/>
      <c r="AC93"/>
    </row>
    <row r="94" spans="1:29" ht="14.1" hidden="1" customHeight="1">
      <c r="A94" s="263">
        <v>27</v>
      </c>
      <c r="B94" s="422">
        <v>227</v>
      </c>
      <c r="C94" s="282" t="s">
        <v>296</v>
      </c>
      <c r="F94" s="283"/>
      <c r="G94" s="438">
        <f>SUMIF('Test Year'!$A:$A,$B94,'Test Year'!$U:$U)/1000</f>
        <v>32180.446293427485</v>
      </c>
      <c r="H94" s="282"/>
      <c r="I94" s="149">
        <f>SUMIF('Prior Year'!$A:$A,$B94,'Prior Year'!$U:$U)/1000</f>
        <v>32353.108448578183</v>
      </c>
      <c r="J94" s="288"/>
      <c r="K94" s="259">
        <f t="shared" ref="K94:K100" si="26">+G94-I94</f>
        <v>-172.6621551506978</v>
      </c>
      <c r="L94" s="261">
        <f t="shared" ref="L94:L100" si="27">IF(I94=0,"0.00%",+K94/I94)</f>
        <v>-5.3368026576217824E-3</v>
      </c>
      <c r="M94" s="259"/>
      <c r="S94" s="292"/>
      <c r="T94" s="292"/>
      <c r="U94" s="276">
        <f t="shared" si="18"/>
        <v>172.6621551506978</v>
      </c>
      <c r="V94" s="290" t="str">
        <f t="shared" si="25"/>
        <v>-</v>
      </c>
      <c r="W94" s="291">
        <f t="shared" si="19"/>
        <v>5.3368026576217824E-3</v>
      </c>
      <c r="X94" s="290" t="str">
        <f t="shared" si="20"/>
        <v>-</v>
      </c>
      <c r="Y94"/>
      <c r="Z94"/>
      <c r="AA94" s="241"/>
      <c r="AB94" s="241"/>
      <c r="AC94"/>
    </row>
    <row r="95" spans="1:29" ht="14.1" hidden="1" customHeight="1">
      <c r="A95" s="263">
        <v>28</v>
      </c>
      <c r="B95" s="293">
        <v>245</v>
      </c>
      <c r="C95" s="282" t="s">
        <v>580</v>
      </c>
      <c r="F95" s="289"/>
      <c r="G95" s="438">
        <f>SUMIF('Test Year'!$A:$A,$B95,'Test Year'!$U:$U)/1000</f>
        <v>0</v>
      </c>
      <c r="H95" s="282"/>
      <c r="I95" s="149">
        <f>SUMIF('Prior Year'!$A:$A,$B95,'Prior Year'!$U:$U)/1000</f>
        <v>0</v>
      </c>
      <c r="J95" s="288"/>
      <c r="K95" s="259">
        <f t="shared" si="26"/>
        <v>0</v>
      </c>
      <c r="L95" s="261" t="str">
        <f t="shared" si="27"/>
        <v>0.00%</v>
      </c>
      <c r="M95" s="294"/>
      <c r="S95" s="289"/>
      <c r="T95" s="289"/>
      <c r="U95" s="276">
        <f t="shared" si="18"/>
        <v>0</v>
      </c>
      <c r="V95" s="290" t="str">
        <f t="shared" si="25"/>
        <v>-</v>
      </c>
      <c r="W95" s="291">
        <f t="shared" si="19"/>
        <v>0</v>
      </c>
      <c r="X95" s="290" t="str">
        <f t="shared" si="20"/>
        <v>-</v>
      </c>
      <c r="Y95"/>
      <c r="Z95"/>
      <c r="AB95"/>
      <c r="AC95"/>
    </row>
    <row r="96" spans="1:29" ht="13.5" hidden="1" customHeight="1">
      <c r="A96" s="263">
        <v>29</v>
      </c>
      <c r="B96" s="293">
        <v>253</v>
      </c>
      <c r="C96" s="282" t="s">
        <v>597</v>
      </c>
      <c r="F96" s="289"/>
      <c r="G96" s="441">
        <f>'B-3'!S471</f>
        <v>36211.952579107608</v>
      </c>
      <c r="H96" s="282"/>
      <c r="I96" s="382">
        <f>SUM('B-3'!S309:S310)</f>
        <v>31451.559225483084</v>
      </c>
      <c r="J96" s="288"/>
      <c r="K96" s="259">
        <f t="shared" si="26"/>
        <v>4760.393353624524</v>
      </c>
      <c r="L96" s="261">
        <f t="shared" si="27"/>
        <v>0.15135635468805303</v>
      </c>
      <c r="M96" s="289"/>
      <c r="S96" s="289"/>
      <c r="T96" s="289"/>
      <c r="U96" s="276">
        <f t="shared" si="18"/>
        <v>4760.393353624524</v>
      </c>
      <c r="V96" s="290" t="str">
        <f t="shared" si="25"/>
        <v>-</v>
      </c>
      <c r="W96" s="291">
        <f t="shared" si="19"/>
        <v>0.15135635468805303</v>
      </c>
      <c r="X96" s="290" t="str">
        <f t="shared" si="20"/>
        <v>Above 10%</v>
      </c>
      <c r="Y96"/>
      <c r="Z96"/>
      <c r="AB96"/>
      <c r="AC96"/>
    </row>
    <row r="97" spans="1:29" ht="14.1" customHeight="1">
      <c r="A97" s="263">
        <v>30</v>
      </c>
      <c r="B97" s="293">
        <v>254</v>
      </c>
      <c r="C97" s="282" t="s">
        <v>550</v>
      </c>
      <c r="F97" s="289"/>
      <c r="G97" s="441">
        <f>'B-3'!S473</f>
        <v>93556.356676485768</v>
      </c>
      <c r="H97" s="282"/>
      <c r="I97" s="382">
        <f>'B-3'!S311</f>
        <v>67184.313860945666</v>
      </c>
      <c r="J97" s="288"/>
      <c r="K97" s="259">
        <f t="shared" si="26"/>
        <v>26372.042815540102</v>
      </c>
      <c r="L97" s="261">
        <f t="shared" si="27"/>
        <v>0.39253274015901213</v>
      </c>
      <c r="M97" s="289"/>
      <c r="S97" s="289"/>
      <c r="T97" s="289"/>
      <c r="U97" s="276">
        <f t="shared" si="18"/>
        <v>26372.042815540102</v>
      </c>
      <c r="V97" s="290" t="str">
        <f t="shared" si="25"/>
        <v>Above 0.0005%</v>
      </c>
      <c r="W97" s="291">
        <f t="shared" si="19"/>
        <v>0.39253274015901213</v>
      </c>
      <c r="X97" s="290" t="str">
        <f t="shared" si="20"/>
        <v>Above 10%</v>
      </c>
      <c r="Y97"/>
      <c r="Z97"/>
      <c r="AB97"/>
      <c r="AC97"/>
    </row>
    <row r="98" spans="1:29" ht="14.1" hidden="1" customHeight="1">
      <c r="A98" s="263">
        <v>31</v>
      </c>
      <c r="B98" s="293">
        <v>256</v>
      </c>
      <c r="C98" s="282" t="s">
        <v>598</v>
      </c>
      <c r="F98" s="289"/>
      <c r="G98" s="438">
        <f>SUMIF('Test Year'!$A:$A,$B98,'Test Year'!$U:$U)/1000</f>
        <v>-7.8761199999999993</v>
      </c>
      <c r="H98" s="282"/>
      <c r="I98" s="149">
        <f>SUMIF('Prior Year'!$A:$A,$B98,'Prior Year'!$U:$U)/1000</f>
        <v>-7.8761199999999993</v>
      </c>
      <c r="J98" s="288"/>
      <c r="K98" s="259">
        <f t="shared" si="26"/>
        <v>0</v>
      </c>
      <c r="L98" s="261">
        <f t="shared" si="27"/>
        <v>0</v>
      </c>
      <c r="M98" s="289"/>
      <c r="S98" s="289"/>
      <c r="T98" s="289"/>
      <c r="U98" s="276">
        <f t="shared" si="18"/>
        <v>0</v>
      </c>
      <c r="V98" s="290" t="str">
        <f t="shared" si="25"/>
        <v>-</v>
      </c>
      <c r="W98" s="291">
        <f t="shared" si="19"/>
        <v>0</v>
      </c>
      <c r="X98" s="290" t="str">
        <f t="shared" si="20"/>
        <v>-</v>
      </c>
      <c r="Y98"/>
      <c r="Z98"/>
      <c r="AB98"/>
      <c r="AC98"/>
    </row>
    <row r="99" spans="1:29" ht="14.1" hidden="1" customHeight="1">
      <c r="A99" s="263">
        <v>32</v>
      </c>
      <c r="B99" s="293">
        <v>257</v>
      </c>
      <c r="C99" s="282" t="s">
        <v>599</v>
      </c>
      <c r="F99" s="289"/>
      <c r="G99" s="438">
        <f>SUMIF('Test Year'!$A:$A,$B99,'Test Year'!$U:$U)/1000</f>
        <v>0</v>
      </c>
      <c r="H99" s="282"/>
      <c r="I99" s="149">
        <f>SUMIF('Prior Year'!$A:$A,$B99,'Prior Year'!$U:$U)/1000</f>
        <v>0</v>
      </c>
      <c r="J99" s="288"/>
      <c r="K99" s="259">
        <f t="shared" si="26"/>
        <v>0</v>
      </c>
      <c r="L99" s="261" t="str">
        <f t="shared" si="27"/>
        <v>0.00%</v>
      </c>
      <c r="M99" s="289"/>
      <c r="S99" s="289"/>
      <c r="T99" s="289"/>
      <c r="U99" s="276">
        <f t="shared" si="18"/>
        <v>0</v>
      </c>
      <c r="V99" s="290" t="str">
        <f t="shared" si="25"/>
        <v>-</v>
      </c>
      <c r="W99" s="291">
        <f t="shared" si="19"/>
        <v>0</v>
      </c>
      <c r="X99" s="290" t="str">
        <f t="shared" si="20"/>
        <v>-</v>
      </c>
      <c r="Y99"/>
      <c r="Z99"/>
      <c r="AB99"/>
      <c r="AC99"/>
    </row>
    <row r="100" spans="1:29" ht="14.1" hidden="1" customHeight="1">
      <c r="A100" s="263">
        <v>33</v>
      </c>
      <c r="B100" s="280"/>
      <c r="C100" s="295" t="s">
        <v>317</v>
      </c>
      <c r="F100" s="289"/>
      <c r="G100" s="439">
        <f t="shared" ref="G100" si="28">SUM(G94:G99)</f>
        <v>161940.87942902086</v>
      </c>
      <c r="H100" s="282"/>
      <c r="I100" s="425">
        <f t="shared" ref="I100" si="29">SUM(I94:I99)</f>
        <v>130981.10541500692</v>
      </c>
      <c r="J100" s="288"/>
      <c r="K100" s="377">
        <f t="shared" si="26"/>
        <v>30959.774014013936</v>
      </c>
      <c r="L100" s="379">
        <f t="shared" si="27"/>
        <v>0.23636824499166867</v>
      </c>
      <c r="M100" s="289"/>
      <c r="S100" s="289"/>
      <c r="T100" s="289"/>
      <c r="U100" s="276"/>
      <c r="V100" s="290" t="str">
        <f t="shared" si="25"/>
        <v>-</v>
      </c>
      <c r="W100" s="291"/>
      <c r="X100" s="290" t="str">
        <f t="shared" si="20"/>
        <v>-</v>
      </c>
      <c r="Y100"/>
      <c r="Z100"/>
      <c r="AB100"/>
      <c r="AC100"/>
    </row>
    <row r="101" spans="1:29" ht="14.1" hidden="1" customHeight="1">
      <c r="A101" s="263">
        <v>34</v>
      </c>
      <c r="B101" s="280"/>
      <c r="C101" s="282"/>
      <c r="F101" s="289"/>
      <c r="G101" s="442"/>
      <c r="H101" s="282"/>
      <c r="I101" s="289"/>
      <c r="J101" s="288"/>
      <c r="K101" s="259"/>
      <c r="L101" s="261"/>
      <c r="M101" s="289"/>
      <c r="S101" s="289"/>
      <c r="T101" s="289"/>
      <c r="U101" s="276">
        <f t="shared" si="18"/>
        <v>0</v>
      </c>
      <c r="V101" s="290" t="str">
        <f t="shared" si="25"/>
        <v>-</v>
      </c>
      <c r="W101" s="291">
        <f t="shared" si="19"/>
        <v>0</v>
      </c>
      <c r="X101" s="290" t="str">
        <f t="shared" si="20"/>
        <v>-</v>
      </c>
      <c r="Y101"/>
      <c r="Z101"/>
      <c r="AB101"/>
      <c r="AC101"/>
    </row>
    <row r="102" spans="1:29" ht="14.1" hidden="1" customHeight="1">
      <c r="A102" s="263">
        <v>35</v>
      </c>
      <c r="B102" s="263" t="s">
        <v>600</v>
      </c>
      <c r="C102" s="282"/>
      <c r="F102" s="289"/>
      <c r="G102" s="47">
        <f t="shared" ref="G102" si="30">SUM(G91,G100)</f>
        <v>720578.33996410575</v>
      </c>
      <c r="H102" s="282"/>
      <c r="I102" s="259">
        <f t="shared" ref="I102" si="31">SUM(I91,I100)</f>
        <v>673262.13850378408</v>
      </c>
      <c r="J102" s="288"/>
      <c r="K102" s="259">
        <f t="shared" ref="K102" si="32">+G102-I102</f>
        <v>47316.201460321667</v>
      </c>
      <c r="L102" s="261">
        <f t="shared" ref="L102" si="33">IF(I102=0,"0.00%",+K102/I102)</f>
        <v>7.0279017271748345E-2</v>
      </c>
      <c r="M102" s="289"/>
      <c r="S102" s="289"/>
      <c r="T102" s="289"/>
      <c r="U102" s="276">
        <f t="shared" si="18"/>
        <v>47316.201460321667</v>
      </c>
      <c r="V102" s="290" t="str">
        <f t="shared" si="25"/>
        <v>Above 0.0005%</v>
      </c>
      <c r="W102" s="291">
        <f t="shared" si="19"/>
        <v>7.0279017271748345E-2</v>
      </c>
      <c r="X102" s="290" t="str">
        <f t="shared" si="20"/>
        <v>-</v>
      </c>
      <c r="Y102"/>
      <c r="Z102"/>
      <c r="AB102"/>
      <c r="AC102"/>
    </row>
    <row r="103" spans="1:29" ht="14.1" hidden="1" customHeight="1">
      <c r="A103" s="263">
        <v>36</v>
      </c>
      <c r="B103" s="432"/>
      <c r="C103" s="282"/>
      <c r="F103" s="289"/>
      <c r="G103" s="167"/>
      <c r="H103" s="282"/>
      <c r="I103" s="436"/>
      <c r="J103" s="288"/>
      <c r="K103" s="289"/>
      <c r="L103" s="289"/>
      <c r="M103" s="289"/>
      <c r="S103" s="289"/>
      <c r="T103" s="289"/>
      <c r="U103" s="276">
        <f t="shared" si="18"/>
        <v>0</v>
      </c>
      <c r="V103" s="290" t="str">
        <f t="shared" si="25"/>
        <v>-</v>
      </c>
      <c r="W103" s="291">
        <f t="shared" si="19"/>
        <v>0</v>
      </c>
      <c r="X103" s="290" t="str">
        <f t="shared" si="20"/>
        <v>-</v>
      </c>
      <c r="Y103"/>
      <c r="Z103"/>
      <c r="AB103"/>
      <c r="AC103"/>
    </row>
    <row r="104" spans="1:29" ht="14.1" hidden="1" customHeight="1">
      <c r="A104" s="263">
        <v>37</v>
      </c>
      <c r="B104" s="263" t="s">
        <v>601</v>
      </c>
      <c r="C104" s="282"/>
      <c r="F104" s="289"/>
      <c r="G104" s="47">
        <f>+G76-G102</f>
        <v>606832.55767903011</v>
      </c>
      <c r="H104" s="282"/>
      <c r="I104" s="259">
        <f>+I76-I102</f>
        <v>715899.39118495141</v>
      </c>
      <c r="J104" s="288"/>
      <c r="K104" s="259">
        <f t="shared" ref="K104" si="34">+G104-I104</f>
        <v>-109066.8335059213</v>
      </c>
      <c r="L104" s="261">
        <f t="shared" ref="L104" si="35">IF(I104=0,"0.00%",+K104/I104)</f>
        <v>-0.15234938714697702</v>
      </c>
      <c r="M104" s="289"/>
      <c r="S104" s="289"/>
      <c r="T104" s="289"/>
      <c r="U104" s="276"/>
      <c r="V104" s="290" t="str">
        <f t="shared" si="25"/>
        <v>-</v>
      </c>
      <c r="W104" s="291"/>
      <c r="X104" s="290" t="str">
        <f t="shared" si="20"/>
        <v>-</v>
      </c>
      <c r="Y104"/>
      <c r="Z104"/>
      <c r="AB104"/>
      <c r="AC104"/>
    </row>
    <row r="105" spans="1:29" ht="14.1" hidden="1" customHeight="1">
      <c r="A105" s="263">
        <v>38</v>
      </c>
      <c r="B105" s="432"/>
      <c r="C105" s="282"/>
      <c r="F105" s="289"/>
      <c r="G105" s="47"/>
      <c r="H105" s="282"/>
      <c r="I105" s="259"/>
      <c r="J105" s="288"/>
      <c r="K105" s="292"/>
      <c r="L105" s="292"/>
      <c r="M105" s="289"/>
      <c r="S105" s="289"/>
      <c r="T105" s="289"/>
      <c r="U105" s="276">
        <f t="shared" si="18"/>
        <v>0</v>
      </c>
      <c r="V105" s="290" t="str">
        <f t="shared" si="25"/>
        <v>-</v>
      </c>
      <c r="W105" s="291">
        <f t="shared" si="19"/>
        <v>0</v>
      </c>
      <c r="X105" s="290" t="str">
        <f t="shared" si="20"/>
        <v>-</v>
      </c>
      <c r="Y105"/>
      <c r="Z105"/>
      <c r="AB105"/>
      <c r="AC105"/>
    </row>
    <row r="106" spans="1:29" ht="14.1" hidden="1" customHeight="1" thickBot="1">
      <c r="A106" s="263">
        <v>39</v>
      </c>
      <c r="B106" s="263" t="s">
        <v>602</v>
      </c>
      <c r="F106" s="427"/>
      <c r="G106" s="443">
        <f>+G104+G25</f>
        <v>12028519.140732687</v>
      </c>
      <c r="H106" s="282"/>
      <c r="I106" s="298">
        <f>+I104+I25</f>
        <v>11115395.49363663</v>
      </c>
      <c r="J106" s="288"/>
      <c r="K106" s="380">
        <f t="shared" ref="K106" si="36">+G106-I106</f>
        <v>913123.64709605649</v>
      </c>
      <c r="L106" s="381">
        <f t="shared" ref="L106" si="37">IF(I106=0,"0.00%",+K106/I106)</f>
        <v>8.2149451867799372E-2</v>
      </c>
      <c r="M106" s="427"/>
      <c r="S106" s="427"/>
      <c r="T106" s="427"/>
      <c r="U106" s="276">
        <f t="shared" si="18"/>
        <v>913123.64709605649</v>
      </c>
      <c r="V106" s="290" t="str">
        <f t="shared" si="25"/>
        <v>Above 0.0005%</v>
      </c>
      <c r="W106" s="291">
        <f t="shared" si="19"/>
        <v>8.2149451867799372E-2</v>
      </c>
      <c r="X106" s="290" t="str">
        <f t="shared" si="20"/>
        <v>-</v>
      </c>
      <c r="Y106"/>
      <c r="Z106"/>
      <c r="AB106"/>
      <c r="AC106"/>
    </row>
    <row r="107" spans="1:29" ht="14.1" customHeight="1" thickBot="1">
      <c r="A107" s="264">
        <v>40</v>
      </c>
      <c r="B107" s="264" t="s">
        <v>67</v>
      </c>
      <c r="C107" s="264"/>
      <c r="D107" s="264"/>
      <c r="E107" s="264"/>
      <c r="F107" s="264"/>
      <c r="G107" s="299"/>
      <c r="H107" s="299"/>
      <c r="I107" s="299"/>
      <c r="J107" s="264"/>
      <c r="K107" s="299"/>
      <c r="L107" s="264"/>
      <c r="M107" s="264"/>
      <c r="N107" s="264"/>
      <c r="O107" s="264"/>
      <c r="P107" s="264"/>
      <c r="Q107" s="264"/>
      <c r="R107" s="264"/>
      <c r="S107" s="264"/>
      <c r="U107"/>
      <c r="V107"/>
      <c r="W107"/>
      <c r="X107"/>
      <c r="Y107"/>
      <c r="Z107"/>
      <c r="AB107"/>
      <c r="AC107"/>
    </row>
    <row r="108" spans="1:29" ht="14.1" customHeight="1">
      <c r="A108" s="263" t="s">
        <v>180</v>
      </c>
      <c r="Q108" s="263" t="s">
        <v>583</v>
      </c>
      <c r="U108"/>
      <c r="V108"/>
      <c r="W108"/>
      <c r="X108"/>
      <c r="Y108"/>
      <c r="Z108"/>
      <c r="AB108"/>
      <c r="AC108"/>
    </row>
    <row r="109" spans="1:29" ht="14.1" customHeight="1">
      <c r="V109"/>
      <c r="W109"/>
      <c r="X109"/>
      <c r="Y109"/>
      <c r="Z109"/>
      <c r="AB109"/>
      <c r="AC109"/>
    </row>
    <row r="110" spans="1:29" ht="14.1" customHeight="1">
      <c r="F110" s="356" t="s">
        <v>118</v>
      </c>
      <c r="G110" s="357">
        <f>G104-'B-1'!Q117</f>
        <v>0</v>
      </c>
      <c r="H110" s="383"/>
      <c r="I110" s="357">
        <f>I104-'B-1'!Q65</f>
        <v>47939.505184951355</v>
      </c>
      <c r="J110" s="358" t="s">
        <v>603</v>
      </c>
      <c r="V110"/>
      <c r="W110"/>
      <c r="X110"/>
      <c r="Y110"/>
      <c r="Z110"/>
      <c r="AB110"/>
      <c r="AC110"/>
    </row>
    <row r="111" spans="1:29" ht="14.1" customHeight="1">
      <c r="F111" s="359" t="s">
        <v>376</v>
      </c>
      <c r="G111" s="360">
        <f>G106-'B-1'!S117</f>
        <v>5.3657218813896179E-5</v>
      </c>
      <c r="H111" s="372"/>
      <c r="I111" s="360">
        <f>I106-'B-1'!S65</f>
        <v>27455.029636632651</v>
      </c>
      <c r="J111" s="361" t="s">
        <v>603</v>
      </c>
      <c r="V111"/>
      <c r="W111"/>
      <c r="X111"/>
      <c r="Y111"/>
      <c r="Z111"/>
      <c r="AB111"/>
      <c r="AC111"/>
    </row>
    <row r="112" spans="1:29" ht="14.1" customHeight="1">
      <c r="F112" s="362"/>
      <c r="G112" s="363"/>
      <c r="H112" s="363"/>
      <c r="I112" s="363"/>
      <c r="J112" s="364"/>
      <c r="V112"/>
      <c r="W112"/>
      <c r="X112"/>
      <c r="Y112"/>
      <c r="Z112"/>
      <c r="AB112"/>
      <c r="AC112"/>
    </row>
    <row r="113" spans="22:29" ht="14.1" customHeight="1">
      <c r="V113"/>
      <c r="W113"/>
      <c r="X113"/>
      <c r="Y113"/>
      <c r="Z113"/>
      <c r="AB113"/>
      <c r="AC113"/>
    </row>
    <row r="114" spans="22:29" ht="14.1" customHeight="1">
      <c r="V114"/>
      <c r="W114"/>
      <c r="X114"/>
      <c r="Y114"/>
      <c r="Z114"/>
      <c r="AB114"/>
      <c r="AC114"/>
    </row>
    <row r="115" spans="22:29" ht="14.1" customHeight="1">
      <c r="V115"/>
      <c r="W115"/>
      <c r="X115"/>
      <c r="Y115"/>
      <c r="Z115"/>
      <c r="AB115"/>
      <c r="AC115"/>
    </row>
    <row r="116" spans="22:29" ht="14.1" customHeight="1">
      <c r="V116"/>
      <c r="W116"/>
      <c r="X116"/>
      <c r="Y116"/>
      <c r="Z116"/>
      <c r="AB116"/>
      <c r="AC116"/>
    </row>
    <row r="117" spans="22:29" ht="14.1" customHeight="1">
      <c r="V117"/>
      <c r="W117"/>
      <c r="X117"/>
      <c r="Y117"/>
      <c r="Z117"/>
      <c r="AB117"/>
      <c r="AC117"/>
    </row>
    <row r="118" spans="22:29" ht="14.1" customHeight="1">
      <c r="V118"/>
      <c r="W118"/>
      <c r="X118"/>
      <c r="Y118"/>
      <c r="Z118"/>
      <c r="AB118"/>
      <c r="AC118"/>
    </row>
  </sheetData>
  <autoFilter ref="U13:X106" xr:uid="{0FB86F6A-3BFC-4C3E-8218-4E6B84305117}">
    <filterColumn colId="1">
      <filters>
        <filter val="Above 0.0005%"/>
      </filters>
    </filterColumn>
    <filterColumn colId="3">
      <filters>
        <filter val="Above 10%"/>
      </filters>
    </filterColumn>
  </autoFilter>
  <mergeCells count="3">
    <mergeCell ref="N9:O9"/>
    <mergeCell ref="K10:L10"/>
    <mergeCell ref="K64:L64"/>
  </mergeCells>
  <printOptions horizontalCentered="1" verticalCentered="1"/>
  <pageMargins left="0.5" right="0.5" top="1.25" bottom="0.35" header="0.5" footer="0.25"/>
  <pageSetup scale="70" orientation="landscape" blackAndWhite="1" horizontalDpi="4294967293" verticalDpi="300" r:id="rId1"/>
  <headerFooter alignWithMargins="0"/>
  <rowBreaks count="1" manualBreakCount="1">
    <brk id="55" max="16383" man="1"/>
  </rowBreaks>
  <customProperties>
    <customPr name="EpmWorksheetKeyString_GUID" r:id="rId2"/>
  </customProperties>
  <ignoredErrors>
    <ignoredError sqref="G63:O63 G9:O9" numberStoredAsText="1"/>
    <ignoredError sqref="H10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CEA1-4A4F-4854-ABC6-F1EFA9BCD1EF}">
  <sheetPr>
    <tabColor rgb="FFFFE8B9"/>
  </sheetPr>
  <dimension ref="A1:AA1142"/>
  <sheetViews>
    <sheetView topLeftCell="A622" workbookViewId="0">
      <selection activeCell="A572" sqref="A1:XFD572"/>
    </sheetView>
  </sheetViews>
  <sheetFormatPr defaultColWidth="0" defaultRowHeight="14.4"/>
  <cols>
    <col min="1" max="2" width="5.5546875" customWidth="1"/>
    <col min="3" max="3" width="11.109375" customWidth="1"/>
    <col min="4" max="4" width="36.88671875" customWidth="1"/>
    <col min="5" max="5" width="1.5546875" customWidth="1"/>
    <col min="6" max="6" width="13.109375" customWidth="1"/>
    <col min="7" max="7" width="1.5546875" customWidth="1"/>
    <col min="8" max="8" width="16.5546875" customWidth="1"/>
    <col min="9" max="9" width="1.5546875" customWidth="1"/>
    <col min="10" max="10" width="16.5546875" customWidth="1"/>
    <col min="11" max="11" width="1.5546875" customWidth="1"/>
    <col min="12" max="12" width="16.5546875" customWidth="1"/>
    <col min="13" max="13" width="1.5546875" customWidth="1"/>
    <col min="14" max="14" width="16.5546875" customWidth="1"/>
    <col min="15" max="15" width="1.5546875" customWidth="1"/>
    <col min="16" max="16" width="16.5546875" customWidth="1"/>
    <col min="17" max="17" width="1.5546875" customWidth="1"/>
    <col min="18" max="18" width="16.5546875" customWidth="1"/>
    <col min="19" max="21" width="9.109375" customWidth="1"/>
    <col min="22" max="27" width="6.88671875" style="694" customWidth="1"/>
    <col min="28" max="52" width="9.109375" customWidth="1"/>
  </cols>
  <sheetData>
    <row r="1" spans="1:27" ht="15" hidden="1" thickBot="1">
      <c r="A1" s="662" t="s">
        <v>604</v>
      </c>
      <c r="B1" s="662"/>
      <c r="C1" s="622"/>
      <c r="D1" s="622"/>
      <c r="E1" s="622"/>
      <c r="F1" s="622"/>
      <c r="G1" s="622" t="s">
        <v>605</v>
      </c>
      <c r="H1" s="622"/>
      <c r="I1" s="622"/>
      <c r="J1" s="622"/>
      <c r="K1" s="622"/>
      <c r="L1" s="622"/>
      <c r="M1" s="622"/>
      <c r="N1" s="622"/>
      <c r="O1" s="623"/>
      <c r="P1" s="624"/>
      <c r="Q1" s="625"/>
      <c r="R1" s="625" t="s">
        <v>606</v>
      </c>
      <c r="S1" s="626"/>
      <c r="T1" s="626"/>
      <c r="U1" s="626"/>
      <c r="V1" s="691">
        <v>-4</v>
      </c>
      <c r="W1" s="691">
        <v>-5</v>
      </c>
      <c r="X1" s="691">
        <v>-6</v>
      </c>
      <c r="Y1" s="691">
        <v>-7</v>
      </c>
      <c r="Z1" s="691">
        <v>-8</v>
      </c>
      <c r="AA1" s="691">
        <v>-9</v>
      </c>
    </row>
    <row r="2" spans="1:27" hidden="1">
      <c r="A2" s="663" t="s">
        <v>4</v>
      </c>
      <c r="B2" s="663"/>
      <c r="C2" s="426"/>
      <c r="D2" s="426"/>
      <c r="E2" s="628" t="s">
        <v>553</v>
      </c>
      <c r="F2" s="621" t="s">
        <v>607</v>
      </c>
      <c r="G2" s="663"/>
      <c r="H2" s="663"/>
      <c r="I2" s="663"/>
      <c r="J2" s="663"/>
      <c r="K2" s="629"/>
      <c r="L2" s="629"/>
      <c r="M2" s="629"/>
      <c r="N2" s="629"/>
      <c r="O2" s="630"/>
      <c r="P2" s="629" t="s">
        <v>608</v>
      </c>
      <c r="Q2" s="664"/>
      <c r="R2" s="664"/>
      <c r="S2" s="626"/>
      <c r="T2" s="626"/>
      <c r="U2" s="626"/>
      <c r="V2" s="697">
        <v>0</v>
      </c>
      <c r="W2" s="697">
        <v>0</v>
      </c>
      <c r="X2" s="697">
        <v>0</v>
      </c>
      <c r="Y2" s="697">
        <v>0</v>
      </c>
      <c r="Z2" s="697">
        <v>0</v>
      </c>
      <c r="AA2" s="697">
        <v>0</v>
      </c>
    </row>
    <row r="3" spans="1:27" hidden="1">
      <c r="A3" s="426"/>
      <c r="B3" s="426"/>
      <c r="C3" s="426"/>
      <c r="D3" s="426"/>
      <c r="E3" s="426"/>
      <c r="F3" s="426" t="s">
        <v>609</v>
      </c>
      <c r="G3" s="426"/>
      <c r="H3" s="426"/>
      <c r="I3" s="426"/>
      <c r="J3" s="426"/>
      <c r="K3" s="621"/>
      <c r="L3" s="621"/>
      <c r="M3" s="426"/>
      <c r="N3" s="426"/>
      <c r="O3" s="628"/>
      <c r="P3" s="621" t="s">
        <v>9</v>
      </c>
      <c r="Q3" s="372"/>
      <c r="R3" s="372"/>
      <c r="S3" s="626"/>
      <c r="T3" s="626"/>
      <c r="U3" s="626"/>
      <c r="V3" s="697">
        <v>0</v>
      </c>
      <c r="W3" s="697">
        <v>0</v>
      </c>
      <c r="X3" s="697">
        <v>0</v>
      </c>
      <c r="Y3" s="697">
        <v>0</v>
      </c>
      <c r="Z3" s="697">
        <v>0</v>
      </c>
      <c r="AA3" s="697">
        <v>0</v>
      </c>
    </row>
    <row r="4" spans="1:27" hidden="1">
      <c r="A4" s="426" t="s">
        <v>10</v>
      </c>
      <c r="B4" s="426"/>
      <c r="C4" s="426"/>
      <c r="D4" s="426"/>
      <c r="E4" s="426"/>
      <c r="F4" s="426"/>
      <c r="G4" s="426"/>
      <c r="H4" s="426"/>
      <c r="I4" s="426"/>
      <c r="J4" s="426"/>
      <c r="K4" s="621"/>
      <c r="L4" s="621"/>
      <c r="M4" s="426"/>
      <c r="N4" s="426"/>
      <c r="O4" s="628"/>
      <c r="P4" s="621" t="s">
        <v>11</v>
      </c>
      <c r="Q4" s="372"/>
      <c r="R4" s="372"/>
      <c r="S4" s="626"/>
      <c r="T4" s="626"/>
      <c r="U4" s="626"/>
      <c r="V4" s="697">
        <v>0</v>
      </c>
      <c r="W4" s="697">
        <v>0</v>
      </c>
      <c r="X4" s="697">
        <v>0</v>
      </c>
      <c r="Y4" s="697">
        <v>0</v>
      </c>
      <c r="Z4" s="697">
        <v>0</v>
      </c>
      <c r="AA4" s="697">
        <v>0</v>
      </c>
    </row>
    <row r="5" spans="1:27" hidden="1">
      <c r="A5" s="426"/>
      <c r="B5" s="426"/>
      <c r="C5" s="426"/>
      <c r="D5" s="426"/>
      <c r="E5" s="426"/>
      <c r="F5" s="426"/>
      <c r="G5" s="426"/>
      <c r="H5" s="426"/>
      <c r="I5" s="426"/>
      <c r="J5" s="426"/>
      <c r="K5" s="621"/>
      <c r="L5" s="621"/>
      <c r="M5" s="426"/>
      <c r="N5" s="426"/>
      <c r="O5" s="632" t="s">
        <v>12</v>
      </c>
      <c r="P5" s="633" t="s">
        <v>13</v>
      </c>
      <c r="Q5" s="665"/>
      <c r="R5" s="665"/>
      <c r="S5" s="626"/>
      <c r="T5" s="626"/>
      <c r="U5" s="626"/>
      <c r="V5" s="697">
        <v>0</v>
      </c>
      <c r="W5" s="697">
        <v>0</v>
      </c>
      <c r="X5" s="697">
        <v>0</v>
      </c>
      <c r="Y5" s="697">
        <v>0</v>
      </c>
      <c r="Z5" s="697">
        <v>0</v>
      </c>
      <c r="AA5" s="697">
        <v>0</v>
      </c>
    </row>
    <row r="6" spans="1:27" hidden="1">
      <c r="A6" s="426"/>
      <c r="B6" s="426"/>
      <c r="C6" s="426"/>
      <c r="D6" s="426"/>
      <c r="E6" s="426"/>
      <c r="F6" s="426"/>
      <c r="G6" s="426"/>
      <c r="H6" s="426"/>
      <c r="I6" s="426"/>
      <c r="J6" s="426"/>
      <c r="K6" s="621"/>
      <c r="L6" s="621"/>
      <c r="M6" s="426"/>
      <c r="N6" s="426"/>
      <c r="O6" s="628"/>
      <c r="P6" s="621" t="s">
        <v>610</v>
      </c>
      <c r="Q6" s="372"/>
      <c r="R6" s="372"/>
      <c r="S6" s="626"/>
      <c r="T6" s="626"/>
      <c r="U6" s="626"/>
      <c r="V6" s="697">
        <v>0</v>
      </c>
      <c r="W6" s="697">
        <v>0</v>
      </c>
      <c r="X6" s="697">
        <v>0</v>
      </c>
      <c r="Y6" s="697">
        <v>0</v>
      </c>
      <c r="Z6" s="697">
        <v>0</v>
      </c>
      <c r="AA6" s="697">
        <v>0</v>
      </c>
    </row>
    <row r="7" spans="1:27" ht="15" hidden="1" thickBot="1">
      <c r="A7" s="662" t="s">
        <v>611</v>
      </c>
      <c r="B7" s="662"/>
      <c r="C7" s="622"/>
      <c r="D7" s="622"/>
      <c r="E7" s="622"/>
      <c r="F7" s="622"/>
      <c r="G7" s="622"/>
      <c r="H7" s="624" t="s">
        <v>612</v>
      </c>
      <c r="I7" s="622"/>
      <c r="J7" s="622"/>
      <c r="K7" s="622"/>
      <c r="L7" s="622"/>
      <c r="M7" s="622"/>
      <c r="N7" s="622"/>
      <c r="O7" s="623"/>
      <c r="P7" s="622" t="s">
        <v>249</v>
      </c>
      <c r="Q7" s="625"/>
      <c r="R7" s="625"/>
      <c r="S7" s="626"/>
      <c r="T7" s="626"/>
      <c r="U7" s="626"/>
      <c r="V7" s="697">
        <v>0</v>
      </c>
      <c r="W7" s="697">
        <v>0</v>
      </c>
      <c r="X7" s="697">
        <v>0</v>
      </c>
      <c r="Y7" s="697">
        <v>0</v>
      </c>
      <c r="Z7" s="697">
        <v>0</v>
      </c>
      <c r="AA7" s="697">
        <v>0</v>
      </c>
    </row>
    <row r="8" spans="1:27" hidden="1">
      <c r="A8" s="664"/>
      <c r="B8" s="664"/>
      <c r="C8" s="634"/>
      <c r="D8" s="634"/>
      <c r="E8" s="634"/>
      <c r="F8" s="634"/>
      <c r="G8" s="634"/>
      <c r="H8" s="634"/>
      <c r="I8" s="634"/>
      <c r="J8" s="634"/>
      <c r="K8" s="634"/>
      <c r="L8" s="634"/>
      <c r="M8" s="634"/>
      <c r="N8" s="634"/>
      <c r="O8" s="635"/>
      <c r="P8" s="634"/>
      <c r="Q8" s="634"/>
      <c r="R8" s="634"/>
      <c r="S8" s="626"/>
      <c r="T8" s="626"/>
      <c r="U8" s="626"/>
      <c r="V8" s="697">
        <v>0</v>
      </c>
      <c r="W8" s="697">
        <v>0</v>
      </c>
      <c r="X8" s="697">
        <v>0</v>
      </c>
      <c r="Y8" s="697">
        <v>0</v>
      </c>
      <c r="Z8" s="697">
        <v>0</v>
      </c>
      <c r="AA8" s="697">
        <v>0</v>
      </c>
    </row>
    <row r="9" spans="1:27" hidden="1">
      <c r="A9" s="372"/>
      <c r="B9" s="372"/>
      <c r="C9" s="634">
        <v>-1</v>
      </c>
      <c r="D9" s="634">
        <v>-2</v>
      </c>
      <c r="E9" s="634"/>
      <c r="F9" s="634">
        <v>-3</v>
      </c>
      <c r="G9" s="634"/>
      <c r="H9" s="634">
        <v>-4</v>
      </c>
      <c r="I9" s="634"/>
      <c r="J9" s="634">
        <v>-5</v>
      </c>
      <c r="K9" s="634"/>
      <c r="L9" s="634">
        <v>-6</v>
      </c>
      <c r="M9" s="634"/>
      <c r="N9" s="634">
        <v>-7</v>
      </c>
      <c r="O9" s="635"/>
      <c r="P9" s="634">
        <v>-8</v>
      </c>
      <c r="Q9" s="634"/>
      <c r="R9" s="634">
        <v>-9</v>
      </c>
      <c r="S9" s="626"/>
      <c r="T9" s="626"/>
      <c r="U9" s="626"/>
      <c r="V9" s="697">
        <v>0</v>
      </c>
      <c r="W9" s="697">
        <v>0</v>
      </c>
      <c r="X9" s="697">
        <v>0</v>
      </c>
      <c r="Y9" s="697">
        <v>0</v>
      </c>
      <c r="Z9" s="697">
        <v>0</v>
      </c>
      <c r="AA9" s="697">
        <v>0</v>
      </c>
    </row>
    <row r="10" spans="1:27" hidden="1">
      <c r="A10" s="372"/>
      <c r="B10" s="372"/>
      <c r="C10" s="634" t="s">
        <v>613</v>
      </c>
      <c r="D10" s="634" t="s">
        <v>613</v>
      </c>
      <c r="E10" s="372"/>
      <c r="F10" s="634" t="s">
        <v>37</v>
      </c>
      <c r="G10" s="634"/>
      <c r="H10" s="634" t="s">
        <v>30</v>
      </c>
      <c r="I10" s="634"/>
      <c r="J10" s="634" t="s">
        <v>45</v>
      </c>
      <c r="K10" s="634"/>
      <c r="L10" s="634" t="s">
        <v>45</v>
      </c>
      <c r="M10" s="634"/>
      <c r="N10" s="372"/>
      <c r="O10" s="635"/>
      <c r="P10" s="634" t="s">
        <v>30</v>
      </c>
      <c r="Q10" s="372"/>
      <c r="R10" s="372"/>
      <c r="S10" s="626"/>
      <c r="T10" s="626"/>
      <c r="U10" s="626"/>
      <c r="V10" s="697">
        <v>0</v>
      </c>
      <c r="W10" s="697">
        <v>0</v>
      </c>
      <c r="X10" s="697">
        <v>0</v>
      </c>
      <c r="Y10" s="697">
        <v>0</v>
      </c>
      <c r="Z10" s="697">
        <v>0</v>
      </c>
      <c r="AA10" s="697">
        <v>0</v>
      </c>
    </row>
    <row r="11" spans="1:27" hidden="1">
      <c r="A11" s="634" t="s">
        <v>35</v>
      </c>
      <c r="B11" s="634"/>
      <c r="C11" s="634" t="s">
        <v>614</v>
      </c>
      <c r="D11" s="634" t="s">
        <v>614</v>
      </c>
      <c r="E11" s="634"/>
      <c r="F11" s="634" t="s">
        <v>615</v>
      </c>
      <c r="G11" s="634"/>
      <c r="H11" s="634" t="s">
        <v>616</v>
      </c>
      <c r="I11" s="634"/>
      <c r="J11" s="634" t="s">
        <v>30</v>
      </c>
      <c r="K11" s="634"/>
      <c r="L11" s="634" t="s">
        <v>30</v>
      </c>
      <c r="M11" s="636"/>
      <c r="N11" s="634" t="s">
        <v>178</v>
      </c>
      <c r="O11" s="635"/>
      <c r="P11" s="634" t="s">
        <v>616</v>
      </c>
      <c r="Q11" s="634"/>
      <c r="R11" s="634" t="s">
        <v>353</v>
      </c>
      <c r="S11" s="626"/>
      <c r="T11" s="626"/>
      <c r="U11" s="626"/>
      <c r="V11" s="697">
        <v>0</v>
      </c>
      <c r="W11" s="697">
        <v>0</v>
      </c>
      <c r="X11" s="697">
        <v>0</v>
      </c>
      <c r="Y11" s="697">
        <v>0</v>
      </c>
      <c r="Z11" s="697">
        <v>0</v>
      </c>
      <c r="AA11" s="697">
        <v>0</v>
      </c>
    </row>
    <row r="12" spans="1:27" ht="15" hidden="1" thickBot="1">
      <c r="A12" s="637" t="s">
        <v>46</v>
      </c>
      <c r="B12" s="637"/>
      <c r="C12" s="637" t="s">
        <v>371</v>
      </c>
      <c r="D12" s="637" t="s">
        <v>617</v>
      </c>
      <c r="E12" s="637"/>
      <c r="F12" s="637" t="s">
        <v>618</v>
      </c>
      <c r="G12" s="637"/>
      <c r="H12" s="637" t="s">
        <v>619</v>
      </c>
      <c r="I12" s="637"/>
      <c r="J12" s="637" t="s">
        <v>620</v>
      </c>
      <c r="K12" s="637"/>
      <c r="L12" s="637" t="s">
        <v>621</v>
      </c>
      <c r="M12" s="637"/>
      <c r="N12" s="637" t="s">
        <v>622</v>
      </c>
      <c r="O12" s="638"/>
      <c r="P12" s="637" t="s">
        <v>623</v>
      </c>
      <c r="Q12" s="637"/>
      <c r="R12" s="637" t="s">
        <v>369</v>
      </c>
      <c r="S12" s="626"/>
      <c r="T12" s="626"/>
      <c r="U12" s="626"/>
      <c r="V12" s="697">
        <v>0</v>
      </c>
      <c r="W12" s="697">
        <v>0</v>
      </c>
      <c r="X12" s="697">
        <v>0</v>
      </c>
      <c r="Y12" s="697">
        <v>0</v>
      </c>
      <c r="Z12" s="697">
        <v>0</v>
      </c>
      <c r="AA12" s="697">
        <v>0</v>
      </c>
    </row>
    <row r="13" spans="1:27" hidden="1">
      <c r="A13" s="634">
        <v>1</v>
      </c>
      <c r="B13" s="639"/>
      <c r="C13" s="372"/>
      <c r="D13" s="372"/>
      <c r="E13" s="664"/>
      <c r="F13" s="664"/>
      <c r="G13" s="664"/>
      <c r="H13" s="664"/>
      <c r="I13" s="664"/>
      <c r="J13" s="664"/>
      <c r="K13" s="664"/>
      <c r="L13" s="664"/>
      <c r="M13" s="372"/>
      <c r="N13" s="634"/>
      <c r="O13" s="635"/>
      <c r="P13" s="372"/>
      <c r="Q13" s="664"/>
      <c r="R13" s="664"/>
      <c r="S13" s="626"/>
      <c r="T13" s="626"/>
      <c r="U13" s="626"/>
      <c r="V13" s="697">
        <v>0</v>
      </c>
      <c r="W13" s="697">
        <v>0</v>
      </c>
      <c r="X13" s="697">
        <v>0</v>
      </c>
      <c r="Y13" s="697">
        <v>0</v>
      </c>
      <c r="Z13" s="697">
        <v>0</v>
      </c>
      <c r="AA13" s="697">
        <v>0</v>
      </c>
    </row>
    <row r="14" spans="1:27" hidden="1">
      <c r="A14" s="634">
        <v>2</v>
      </c>
      <c r="B14" s="639"/>
      <c r="C14" s="372"/>
      <c r="D14" s="372" t="s">
        <v>624</v>
      </c>
      <c r="E14" s="372"/>
      <c r="F14" s="634"/>
      <c r="G14" s="372"/>
      <c r="H14" s="634"/>
      <c r="I14" s="372"/>
      <c r="J14" s="634"/>
      <c r="K14" s="372"/>
      <c r="L14" s="634"/>
      <c r="M14" s="372"/>
      <c r="N14" s="634"/>
      <c r="O14" s="635"/>
      <c r="P14" s="634"/>
      <c r="Q14" s="372"/>
      <c r="R14" s="634"/>
      <c r="S14" s="626"/>
      <c r="T14" s="626"/>
      <c r="U14" s="626"/>
      <c r="V14" s="697">
        <v>0</v>
      </c>
      <c r="W14" s="697">
        <v>0</v>
      </c>
      <c r="X14" s="697">
        <v>0</v>
      </c>
      <c r="Y14" s="697">
        <v>0</v>
      </c>
      <c r="Z14" s="697">
        <v>0</v>
      </c>
      <c r="AA14" s="697">
        <v>0</v>
      </c>
    </row>
    <row r="15" spans="1:27" hidden="1">
      <c r="A15" s="634">
        <v>3</v>
      </c>
      <c r="B15" s="639"/>
      <c r="C15" s="372"/>
      <c r="D15" s="372" t="s">
        <v>625</v>
      </c>
      <c r="E15" s="372"/>
      <c r="F15" s="372"/>
      <c r="G15" s="372"/>
      <c r="H15" s="372"/>
      <c r="I15" s="372"/>
      <c r="J15" s="372"/>
      <c r="K15" s="372"/>
      <c r="L15" s="372"/>
      <c r="M15" s="372"/>
      <c r="N15" s="372"/>
      <c r="O15" s="635"/>
      <c r="P15" s="372"/>
      <c r="Q15" s="372"/>
      <c r="R15" s="372"/>
      <c r="S15" s="626"/>
      <c r="T15" s="626"/>
      <c r="U15" s="626"/>
      <c r="V15" s="697">
        <v>0</v>
      </c>
      <c r="W15" s="697">
        <v>0</v>
      </c>
      <c r="X15" s="697">
        <v>0</v>
      </c>
      <c r="Y15" s="697">
        <v>0</v>
      </c>
      <c r="Z15" s="697">
        <v>0</v>
      </c>
      <c r="AA15" s="697">
        <v>0</v>
      </c>
    </row>
    <row r="16" spans="1:27" hidden="1">
      <c r="A16" s="634">
        <v>4</v>
      </c>
      <c r="B16" s="639"/>
      <c r="C16" s="372"/>
      <c r="D16" s="372" t="s">
        <v>626</v>
      </c>
      <c r="E16" s="372"/>
      <c r="F16" s="372"/>
      <c r="G16" s="372"/>
      <c r="H16" s="372"/>
      <c r="I16" s="372"/>
      <c r="J16" s="372"/>
      <c r="K16" s="372"/>
      <c r="L16" s="372"/>
      <c r="M16" s="372"/>
      <c r="N16" s="372"/>
      <c r="O16" s="635"/>
      <c r="P16" s="372"/>
      <c r="Q16" s="372"/>
      <c r="R16" s="372"/>
      <c r="S16" s="626"/>
      <c r="T16" s="626"/>
      <c r="U16" s="626"/>
      <c r="V16" s="697">
        <v>0</v>
      </c>
      <c r="W16" s="697">
        <v>0</v>
      </c>
      <c r="X16" s="697">
        <v>0</v>
      </c>
      <c r="Y16" s="697">
        <v>0</v>
      </c>
      <c r="Z16" s="697">
        <v>0</v>
      </c>
      <c r="AA16" s="697">
        <v>0</v>
      </c>
    </row>
    <row r="17" spans="1:27" hidden="1">
      <c r="A17" s="634">
        <v>5</v>
      </c>
      <c r="B17" s="639"/>
      <c r="C17" s="634">
        <v>31140</v>
      </c>
      <c r="D17" s="372" t="s">
        <v>627</v>
      </c>
      <c r="E17" s="372"/>
      <c r="F17" s="634">
        <v>3.2</v>
      </c>
      <c r="G17" s="635"/>
      <c r="H17" s="332">
        <v>253328</v>
      </c>
      <c r="I17" s="699"/>
      <c r="J17" s="332">
        <v>28058</v>
      </c>
      <c r="K17" s="690"/>
      <c r="L17" s="332">
        <v>-496</v>
      </c>
      <c r="M17" s="690"/>
      <c r="N17" s="332" t="s">
        <v>628</v>
      </c>
      <c r="O17" s="699"/>
      <c r="P17" s="332">
        <v>280890</v>
      </c>
      <c r="Q17" s="690"/>
      <c r="R17" s="332">
        <v>255633</v>
      </c>
      <c r="S17" s="626"/>
      <c r="T17" s="626"/>
      <c r="U17" s="626"/>
      <c r="V17" s="696">
        <v>5</v>
      </c>
      <c r="W17" s="696">
        <v>5</v>
      </c>
      <c r="X17" s="696">
        <v>5</v>
      </c>
      <c r="Y17" s="697">
        <v>0</v>
      </c>
      <c r="Z17" s="696">
        <v>5</v>
      </c>
      <c r="AA17" s="696">
        <v>5</v>
      </c>
    </row>
    <row r="18" spans="1:27" hidden="1">
      <c r="A18" s="634">
        <v>6</v>
      </c>
      <c r="B18" s="639"/>
      <c r="C18" s="634">
        <v>31240</v>
      </c>
      <c r="D18" s="372" t="s">
        <v>629</v>
      </c>
      <c r="E18" s="372"/>
      <c r="F18" s="634">
        <v>4.5999999999999996</v>
      </c>
      <c r="G18" s="635"/>
      <c r="H18" s="332">
        <v>188161</v>
      </c>
      <c r="I18" s="699"/>
      <c r="J18" s="332">
        <v>2827</v>
      </c>
      <c r="K18" s="690"/>
      <c r="L18" s="332">
        <v>-1359</v>
      </c>
      <c r="M18" s="690"/>
      <c r="N18" s="332" t="s">
        <v>628</v>
      </c>
      <c r="O18" s="699"/>
      <c r="P18" s="332">
        <v>189629</v>
      </c>
      <c r="Q18" s="690"/>
      <c r="R18" s="332">
        <v>195814</v>
      </c>
      <c r="S18" s="626"/>
      <c r="T18" s="626"/>
      <c r="U18" s="626"/>
      <c r="V18" s="696">
        <v>5</v>
      </c>
      <c r="W18" s="696">
        <v>5</v>
      </c>
      <c r="X18" s="696">
        <v>5</v>
      </c>
      <c r="Y18" s="697">
        <v>0</v>
      </c>
      <c r="Z18" s="696">
        <v>5</v>
      </c>
      <c r="AA18" s="696">
        <v>5</v>
      </c>
    </row>
    <row r="19" spans="1:27" hidden="1">
      <c r="A19" s="634">
        <v>7</v>
      </c>
      <c r="B19" s="639"/>
      <c r="C19" s="634">
        <v>31440</v>
      </c>
      <c r="D19" s="372" t="s">
        <v>630</v>
      </c>
      <c r="E19" s="372"/>
      <c r="F19" s="634">
        <v>3.1</v>
      </c>
      <c r="G19" s="635"/>
      <c r="H19" s="332">
        <v>9203</v>
      </c>
      <c r="I19" s="699"/>
      <c r="J19" s="332">
        <v>11851</v>
      </c>
      <c r="K19" s="690"/>
      <c r="L19" s="332">
        <v>-367</v>
      </c>
      <c r="M19" s="690"/>
      <c r="N19" s="332" t="s">
        <v>628</v>
      </c>
      <c r="O19" s="699"/>
      <c r="P19" s="332">
        <v>20686</v>
      </c>
      <c r="Q19" s="690"/>
      <c r="R19" s="332">
        <v>10956</v>
      </c>
      <c r="S19" s="626"/>
      <c r="T19" s="626"/>
      <c r="U19" s="626"/>
      <c r="V19" s="696">
        <v>5</v>
      </c>
      <c r="W19" s="696">
        <v>5</v>
      </c>
      <c r="X19" s="696">
        <v>5</v>
      </c>
      <c r="Y19" s="697">
        <v>0</v>
      </c>
      <c r="Z19" s="696">
        <v>5</v>
      </c>
      <c r="AA19" s="696">
        <v>5</v>
      </c>
    </row>
    <row r="20" spans="1:27" hidden="1">
      <c r="A20" s="634">
        <v>8</v>
      </c>
      <c r="B20" s="639"/>
      <c r="C20" s="634">
        <v>31540</v>
      </c>
      <c r="D20" s="372" t="s">
        <v>631</v>
      </c>
      <c r="E20" s="372"/>
      <c r="F20" s="634">
        <v>3.5</v>
      </c>
      <c r="G20" s="635"/>
      <c r="H20" s="332">
        <v>43845</v>
      </c>
      <c r="I20" s="699"/>
      <c r="J20" s="332">
        <v>161</v>
      </c>
      <c r="K20" s="690"/>
      <c r="L20" s="332">
        <v>-26</v>
      </c>
      <c r="M20" s="690"/>
      <c r="N20" s="332" t="s">
        <v>628</v>
      </c>
      <c r="O20" s="699"/>
      <c r="P20" s="332">
        <v>43980</v>
      </c>
      <c r="Q20" s="690"/>
      <c r="R20" s="332">
        <v>43859</v>
      </c>
      <c r="S20" s="626"/>
      <c r="T20" s="626"/>
      <c r="U20" s="626"/>
      <c r="V20" s="696">
        <v>5</v>
      </c>
      <c r="W20" s="696">
        <v>5</v>
      </c>
      <c r="X20" s="696">
        <v>5</v>
      </c>
      <c r="Y20" s="697">
        <v>0</v>
      </c>
      <c r="Z20" s="696">
        <v>5</v>
      </c>
      <c r="AA20" s="696">
        <v>5</v>
      </c>
    </row>
    <row r="21" spans="1:27" hidden="1">
      <c r="A21" s="634">
        <v>9</v>
      </c>
      <c r="B21" s="639"/>
      <c r="C21" s="634">
        <v>31640</v>
      </c>
      <c r="D21" s="372" t="s">
        <v>632</v>
      </c>
      <c r="E21" s="372"/>
      <c r="F21" s="634">
        <v>3.3</v>
      </c>
      <c r="G21" s="635"/>
      <c r="H21" s="332">
        <v>25748</v>
      </c>
      <c r="I21" s="699"/>
      <c r="J21" s="332">
        <v>1014</v>
      </c>
      <c r="K21" s="690"/>
      <c r="L21" s="332">
        <v>-313</v>
      </c>
      <c r="M21" s="690"/>
      <c r="N21" s="332" t="s">
        <v>628</v>
      </c>
      <c r="O21" s="699"/>
      <c r="P21" s="332">
        <v>26448</v>
      </c>
      <c r="Q21" s="690"/>
      <c r="R21" s="332">
        <v>26136</v>
      </c>
      <c r="S21" s="626"/>
      <c r="T21" s="626"/>
      <c r="U21" s="626"/>
      <c r="V21" s="696">
        <v>5</v>
      </c>
      <c r="W21" s="696">
        <v>5</v>
      </c>
      <c r="X21" s="696">
        <v>5</v>
      </c>
      <c r="Y21" s="697">
        <v>0</v>
      </c>
      <c r="Z21" s="696">
        <v>4</v>
      </c>
      <c r="AA21" s="696">
        <v>5</v>
      </c>
    </row>
    <row r="22" spans="1:27" hidden="1">
      <c r="A22" s="634">
        <v>10</v>
      </c>
      <c r="B22" s="639"/>
      <c r="C22" s="634"/>
      <c r="D22" s="372" t="s">
        <v>633</v>
      </c>
      <c r="E22" s="372"/>
      <c r="F22" s="372"/>
      <c r="G22" s="372"/>
      <c r="H22" s="700">
        <v>520284</v>
      </c>
      <c r="I22" s="699"/>
      <c r="J22" s="700">
        <v>43912</v>
      </c>
      <c r="K22" s="699"/>
      <c r="L22" s="700">
        <v>-2562</v>
      </c>
      <c r="M22" s="699"/>
      <c r="N22" s="700" t="s">
        <v>628</v>
      </c>
      <c r="O22" s="699"/>
      <c r="P22" s="700">
        <v>561634</v>
      </c>
      <c r="Q22" s="699"/>
      <c r="R22" s="700">
        <v>532398</v>
      </c>
      <c r="S22" s="626"/>
      <c r="T22" s="626"/>
      <c r="U22" s="626"/>
      <c r="V22" s="696">
        <v>5</v>
      </c>
      <c r="W22" s="696">
        <v>4</v>
      </c>
      <c r="X22" s="696">
        <v>5</v>
      </c>
      <c r="Y22" s="697">
        <v>0</v>
      </c>
      <c r="Z22" s="696">
        <v>5</v>
      </c>
      <c r="AA22" s="696">
        <v>5</v>
      </c>
    </row>
    <row r="23" spans="1:27" hidden="1">
      <c r="A23" s="634">
        <v>11</v>
      </c>
      <c r="B23" s="639"/>
      <c r="C23" s="634"/>
      <c r="D23" s="372"/>
      <c r="E23" s="372"/>
      <c r="F23" s="372"/>
      <c r="G23" s="372"/>
      <c r="H23" s="690"/>
      <c r="I23" s="699"/>
      <c r="J23" s="699"/>
      <c r="K23" s="699"/>
      <c r="L23" s="699"/>
      <c r="M23" s="699"/>
      <c r="N23" s="699"/>
      <c r="O23" s="699"/>
      <c r="P23" s="699"/>
      <c r="Q23" s="699"/>
      <c r="R23" s="699"/>
      <c r="S23" s="626"/>
      <c r="T23" s="626"/>
      <c r="U23" s="626"/>
      <c r="V23" s="697">
        <v>0</v>
      </c>
      <c r="W23" s="697">
        <v>0</v>
      </c>
      <c r="X23" s="697">
        <v>0</v>
      </c>
      <c r="Y23" s="697">
        <v>0</v>
      </c>
      <c r="Z23" s="697">
        <v>0</v>
      </c>
      <c r="AA23" s="697">
        <v>0</v>
      </c>
    </row>
    <row r="24" spans="1:27" hidden="1">
      <c r="A24" s="634">
        <v>12</v>
      </c>
      <c r="B24" s="639"/>
      <c r="C24" s="634"/>
      <c r="D24" s="372" t="s">
        <v>634</v>
      </c>
      <c r="E24" s="372"/>
      <c r="F24" s="372"/>
      <c r="G24" s="372"/>
      <c r="H24" s="690"/>
      <c r="I24" s="699"/>
      <c r="J24" s="699"/>
      <c r="K24" s="699"/>
      <c r="L24" s="699"/>
      <c r="M24" s="699"/>
      <c r="N24" s="699"/>
      <c r="O24" s="699"/>
      <c r="P24" s="699"/>
      <c r="Q24" s="699"/>
      <c r="R24" s="699"/>
      <c r="S24" s="626"/>
      <c r="T24" s="626"/>
      <c r="U24" s="626"/>
      <c r="V24" s="697">
        <v>0</v>
      </c>
      <c r="W24" s="697">
        <v>0</v>
      </c>
      <c r="X24" s="697">
        <v>0</v>
      </c>
      <c r="Y24" s="697">
        <v>0</v>
      </c>
      <c r="Z24" s="697">
        <v>0</v>
      </c>
      <c r="AA24" s="697">
        <v>0</v>
      </c>
    </row>
    <row r="25" spans="1:27" hidden="1">
      <c r="A25" s="634">
        <v>13</v>
      </c>
      <c r="B25" s="639"/>
      <c r="C25" s="634">
        <v>31141</v>
      </c>
      <c r="D25" s="372" t="s">
        <v>627</v>
      </c>
      <c r="E25" s="372"/>
      <c r="F25" s="634">
        <v>2.8</v>
      </c>
      <c r="G25" s="635"/>
      <c r="H25" s="332" t="s">
        <v>628</v>
      </c>
      <c r="I25" s="699"/>
      <c r="J25" s="332" t="s">
        <v>635</v>
      </c>
      <c r="K25" s="690"/>
      <c r="L25" s="332" t="s">
        <v>635</v>
      </c>
      <c r="M25" s="690"/>
      <c r="N25" s="332" t="s">
        <v>635</v>
      </c>
      <c r="O25" s="699"/>
      <c r="P25" s="332" t="s">
        <v>635</v>
      </c>
      <c r="Q25" s="690"/>
      <c r="R25" s="332" t="s">
        <v>635</v>
      </c>
      <c r="S25" s="626"/>
      <c r="T25" s="626"/>
      <c r="U25" s="626"/>
      <c r="V25" s="697">
        <v>0</v>
      </c>
      <c r="W25" s="697">
        <v>0</v>
      </c>
      <c r="X25" s="697">
        <v>0</v>
      </c>
      <c r="Y25" s="697">
        <v>0</v>
      </c>
      <c r="Z25" s="697">
        <v>0</v>
      </c>
      <c r="AA25" s="697">
        <v>0</v>
      </c>
    </row>
    <row r="26" spans="1:27" hidden="1">
      <c r="A26" s="634">
        <v>14</v>
      </c>
      <c r="B26" s="639"/>
      <c r="C26" s="634">
        <v>31241</v>
      </c>
      <c r="D26" s="372" t="s">
        <v>629</v>
      </c>
      <c r="E26" s="372"/>
      <c r="F26" s="634">
        <v>5.2</v>
      </c>
      <c r="G26" s="635"/>
      <c r="H26" s="332" t="s">
        <v>628</v>
      </c>
      <c r="I26" s="699"/>
      <c r="J26" s="332" t="s">
        <v>635</v>
      </c>
      <c r="K26" s="690"/>
      <c r="L26" s="332" t="s">
        <v>635</v>
      </c>
      <c r="M26" s="690"/>
      <c r="N26" s="332" t="s">
        <v>635</v>
      </c>
      <c r="O26" s="699"/>
      <c r="P26" s="332" t="s">
        <v>635</v>
      </c>
      <c r="Q26" s="690"/>
      <c r="R26" s="332" t="s">
        <v>635</v>
      </c>
      <c r="S26" s="626"/>
      <c r="T26" s="626"/>
      <c r="U26" s="626"/>
      <c r="V26" s="697">
        <v>0</v>
      </c>
      <c r="W26" s="697">
        <v>0</v>
      </c>
      <c r="X26" s="697">
        <v>0</v>
      </c>
      <c r="Y26" s="697">
        <v>0</v>
      </c>
      <c r="Z26" s="697">
        <v>0</v>
      </c>
      <c r="AA26" s="697">
        <v>0</v>
      </c>
    </row>
    <row r="27" spans="1:27" hidden="1">
      <c r="A27" s="634">
        <v>15</v>
      </c>
      <c r="B27" s="639"/>
      <c r="C27" s="634">
        <v>31441</v>
      </c>
      <c r="D27" s="372" t="s">
        <v>630</v>
      </c>
      <c r="E27" s="372"/>
      <c r="F27" s="634">
        <v>5.8</v>
      </c>
      <c r="G27" s="635"/>
      <c r="H27" s="332" t="s">
        <v>628</v>
      </c>
      <c r="I27" s="699"/>
      <c r="J27" s="332" t="s">
        <v>635</v>
      </c>
      <c r="K27" s="690"/>
      <c r="L27" s="332" t="s">
        <v>635</v>
      </c>
      <c r="M27" s="690"/>
      <c r="N27" s="332" t="s">
        <v>635</v>
      </c>
      <c r="O27" s="699"/>
      <c r="P27" s="332" t="s">
        <v>635</v>
      </c>
      <c r="Q27" s="690"/>
      <c r="R27" s="332" t="s">
        <v>635</v>
      </c>
      <c r="S27" s="626"/>
      <c r="T27" s="626"/>
      <c r="U27" s="626"/>
      <c r="V27" s="697">
        <v>0</v>
      </c>
      <c r="W27" s="697">
        <v>0</v>
      </c>
      <c r="X27" s="697">
        <v>0</v>
      </c>
      <c r="Y27" s="697">
        <v>0</v>
      </c>
      <c r="Z27" s="697">
        <v>0</v>
      </c>
      <c r="AA27" s="697">
        <v>0</v>
      </c>
    </row>
    <row r="28" spans="1:27" hidden="1">
      <c r="A28" s="634">
        <v>16</v>
      </c>
      <c r="B28" s="639"/>
      <c r="C28" s="634">
        <v>31541</v>
      </c>
      <c r="D28" s="372" t="s">
        <v>631</v>
      </c>
      <c r="E28" s="372"/>
      <c r="F28" s="634">
        <v>4.4000000000000004</v>
      </c>
      <c r="G28" s="635"/>
      <c r="H28" s="332" t="s">
        <v>628</v>
      </c>
      <c r="I28" s="699"/>
      <c r="J28" s="332" t="s">
        <v>635</v>
      </c>
      <c r="K28" s="690"/>
      <c r="L28" s="332" t="s">
        <v>635</v>
      </c>
      <c r="M28" s="690"/>
      <c r="N28" s="332" t="s">
        <v>635</v>
      </c>
      <c r="O28" s="699"/>
      <c r="P28" s="332" t="s">
        <v>635</v>
      </c>
      <c r="Q28" s="690"/>
      <c r="R28" s="332" t="s">
        <v>635</v>
      </c>
      <c r="S28" s="626"/>
      <c r="T28" s="626"/>
      <c r="U28" s="626"/>
      <c r="V28" s="697">
        <v>0</v>
      </c>
      <c r="W28" s="697">
        <v>0</v>
      </c>
      <c r="X28" s="697">
        <v>0</v>
      </c>
      <c r="Y28" s="697">
        <v>0</v>
      </c>
      <c r="Z28" s="697">
        <v>0</v>
      </c>
      <c r="AA28" s="697">
        <v>0</v>
      </c>
    </row>
    <row r="29" spans="1:27" hidden="1">
      <c r="A29" s="634">
        <v>17</v>
      </c>
      <c r="B29" s="639"/>
      <c r="C29" s="634">
        <v>31641</v>
      </c>
      <c r="D29" s="372" t="s">
        <v>632</v>
      </c>
      <c r="E29" s="372"/>
      <c r="F29" s="634">
        <v>3.6</v>
      </c>
      <c r="G29" s="635"/>
      <c r="H29" s="332" t="s">
        <v>628</v>
      </c>
      <c r="I29" s="699"/>
      <c r="J29" s="332" t="s">
        <v>635</v>
      </c>
      <c r="K29" s="690"/>
      <c r="L29" s="332" t="s">
        <v>635</v>
      </c>
      <c r="M29" s="690"/>
      <c r="N29" s="332" t="s">
        <v>635</v>
      </c>
      <c r="O29" s="699"/>
      <c r="P29" s="332" t="s">
        <v>635</v>
      </c>
      <c r="Q29" s="690"/>
      <c r="R29" s="332" t="s">
        <v>635</v>
      </c>
      <c r="S29" s="626"/>
      <c r="T29" s="626"/>
      <c r="U29" s="626"/>
      <c r="V29" s="697">
        <v>0</v>
      </c>
      <c r="W29" s="697">
        <v>0</v>
      </c>
      <c r="X29" s="697">
        <v>0</v>
      </c>
      <c r="Y29" s="697">
        <v>0</v>
      </c>
      <c r="Z29" s="697">
        <v>0</v>
      </c>
      <c r="AA29" s="697">
        <v>0</v>
      </c>
    </row>
    <row r="30" spans="1:27" hidden="1">
      <c r="A30" s="634">
        <v>18</v>
      </c>
      <c r="B30" s="639"/>
      <c r="C30" s="634"/>
      <c r="D30" s="372" t="s">
        <v>636</v>
      </c>
      <c r="E30" s="372"/>
      <c r="F30" s="372"/>
      <c r="G30" s="372"/>
      <c r="H30" s="700" t="s">
        <v>628</v>
      </c>
      <c r="I30" s="699"/>
      <c r="J30" s="700" t="s">
        <v>635</v>
      </c>
      <c r="K30" s="699"/>
      <c r="L30" s="700" t="s">
        <v>635</v>
      </c>
      <c r="M30" s="699"/>
      <c r="N30" s="700" t="s">
        <v>635</v>
      </c>
      <c r="O30" s="699"/>
      <c r="P30" s="700" t="s">
        <v>635</v>
      </c>
      <c r="Q30" s="699"/>
      <c r="R30" s="700" t="s">
        <v>635</v>
      </c>
      <c r="S30" s="626"/>
      <c r="T30" s="626"/>
      <c r="U30" s="626"/>
      <c r="V30" s="697">
        <v>0</v>
      </c>
      <c r="W30" s="697">
        <v>0</v>
      </c>
      <c r="X30" s="697">
        <v>0</v>
      </c>
      <c r="Y30" s="697">
        <v>0</v>
      </c>
      <c r="Z30" s="697">
        <v>0</v>
      </c>
      <c r="AA30" s="697">
        <v>0</v>
      </c>
    </row>
    <row r="31" spans="1:27" hidden="1">
      <c r="A31" s="634">
        <v>19</v>
      </c>
      <c r="B31" s="639"/>
      <c r="C31" s="372"/>
      <c r="D31" s="372"/>
      <c r="E31" s="372"/>
      <c r="F31" s="372"/>
      <c r="G31" s="372"/>
      <c r="H31" s="690"/>
      <c r="I31" s="690"/>
      <c r="J31" s="690"/>
      <c r="K31" s="690"/>
      <c r="L31" s="690"/>
      <c r="M31" s="690"/>
      <c r="N31" s="690"/>
      <c r="O31" s="699"/>
      <c r="P31" s="690"/>
      <c r="Q31" s="690"/>
      <c r="R31" s="690"/>
      <c r="S31" s="626"/>
      <c r="T31" s="626"/>
      <c r="U31" s="626"/>
      <c r="V31" s="697">
        <v>0</v>
      </c>
      <c r="W31" s="697">
        <v>0</v>
      </c>
      <c r="X31" s="697">
        <v>0</v>
      </c>
      <c r="Y31" s="697">
        <v>0</v>
      </c>
      <c r="Z31" s="697">
        <v>0</v>
      </c>
      <c r="AA31" s="697">
        <v>0</v>
      </c>
    </row>
    <row r="32" spans="1:27" hidden="1">
      <c r="A32" s="634">
        <v>20</v>
      </c>
      <c r="B32" s="639"/>
      <c r="C32" s="634"/>
      <c r="D32" s="372" t="s">
        <v>637</v>
      </c>
      <c r="E32" s="372"/>
      <c r="F32" s="372"/>
      <c r="G32" s="372"/>
      <c r="H32" s="690"/>
      <c r="I32" s="699"/>
      <c r="J32" s="699"/>
      <c r="K32" s="699"/>
      <c r="L32" s="699"/>
      <c r="M32" s="699"/>
      <c r="N32" s="699"/>
      <c r="O32" s="699"/>
      <c r="P32" s="699"/>
      <c r="Q32" s="699"/>
      <c r="R32" s="699"/>
      <c r="S32" s="626"/>
      <c r="T32" s="626"/>
      <c r="U32" s="626"/>
      <c r="V32" s="697">
        <v>0</v>
      </c>
      <c r="W32" s="697">
        <v>0</v>
      </c>
      <c r="X32" s="697">
        <v>0</v>
      </c>
      <c r="Y32" s="697">
        <v>0</v>
      </c>
      <c r="Z32" s="697">
        <v>0</v>
      </c>
      <c r="AA32" s="697">
        <v>0</v>
      </c>
    </row>
    <row r="33" spans="1:27" hidden="1">
      <c r="A33" s="634">
        <v>21</v>
      </c>
      <c r="B33" s="639"/>
      <c r="C33" s="634">
        <v>31142</v>
      </c>
      <c r="D33" s="372" t="s">
        <v>627</v>
      </c>
      <c r="E33" s="372"/>
      <c r="F33" s="634">
        <v>2.6</v>
      </c>
      <c r="G33" s="635"/>
      <c r="H33" s="332" t="s">
        <v>628</v>
      </c>
      <c r="I33" s="699"/>
      <c r="J33" s="332" t="s">
        <v>635</v>
      </c>
      <c r="K33" s="690"/>
      <c r="L33" s="332" t="s">
        <v>635</v>
      </c>
      <c r="M33" s="690"/>
      <c r="N33" s="332" t="s">
        <v>635</v>
      </c>
      <c r="O33" s="699"/>
      <c r="P33" s="332" t="s">
        <v>635</v>
      </c>
      <c r="Q33" s="690"/>
      <c r="R33" s="332" t="s">
        <v>635</v>
      </c>
      <c r="S33" s="626"/>
      <c r="T33" s="626"/>
      <c r="U33" s="626"/>
      <c r="V33" s="697">
        <v>0</v>
      </c>
      <c r="W33" s="697">
        <v>0</v>
      </c>
      <c r="X33" s="697">
        <v>0</v>
      </c>
      <c r="Y33" s="697">
        <v>0</v>
      </c>
      <c r="Z33" s="697">
        <v>0</v>
      </c>
      <c r="AA33" s="697">
        <v>0</v>
      </c>
    </row>
    <row r="34" spans="1:27" hidden="1">
      <c r="A34" s="634">
        <v>22</v>
      </c>
      <c r="B34" s="639"/>
      <c r="C34" s="634">
        <v>31242</v>
      </c>
      <c r="D34" s="372" t="s">
        <v>629</v>
      </c>
      <c r="E34" s="372"/>
      <c r="F34" s="634">
        <v>4.3</v>
      </c>
      <c r="G34" s="635"/>
      <c r="H34" s="332" t="s">
        <v>628</v>
      </c>
      <c r="I34" s="699"/>
      <c r="J34" s="332" t="s">
        <v>635</v>
      </c>
      <c r="K34" s="690"/>
      <c r="L34" s="332" t="s">
        <v>635</v>
      </c>
      <c r="M34" s="690"/>
      <c r="N34" s="332" t="s">
        <v>635</v>
      </c>
      <c r="O34" s="699"/>
      <c r="P34" s="332" t="s">
        <v>635</v>
      </c>
      <c r="Q34" s="690"/>
      <c r="R34" s="332" t="s">
        <v>635</v>
      </c>
      <c r="S34" s="626"/>
      <c r="T34" s="626"/>
      <c r="U34" s="626"/>
      <c r="V34" s="697">
        <v>0</v>
      </c>
      <c r="W34" s="697">
        <v>0</v>
      </c>
      <c r="X34" s="697">
        <v>0</v>
      </c>
      <c r="Y34" s="697">
        <v>0</v>
      </c>
      <c r="Z34" s="697">
        <v>0</v>
      </c>
      <c r="AA34" s="697">
        <v>0</v>
      </c>
    </row>
    <row r="35" spans="1:27" hidden="1">
      <c r="A35" s="634">
        <v>23</v>
      </c>
      <c r="B35" s="639"/>
      <c r="C35" s="634">
        <v>31442</v>
      </c>
      <c r="D35" s="372" t="s">
        <v>630</v>
      </c>
      <c r="E35" s="372"/>
      <c r="F35" s="634">
        <v>4.0999999999999996</v>
      </c>
      <c r="G35" s="635"/>
      <c r="H35" s="332" t="s">
        <v>628</v>
      </c>
      <c r="I35" s="699"/>
      <c r="J35" s="332" t="s">
        <v>635</v>
      </c>
      <c r="K35" s="690"/>
      <c r="L35" s="332" t="s">
        <v>635</v>
      </c>
      <c r="M35" s="690"/>
      <c r="N35" s="332" t="s">
        <v>635</v>
      </c>
      <c r="O35" s="699"/>
      <c r="P35" s="332" t="s">
        <v>635</v>
      </c>
      <c r="Q35" s="690"/>
      <c r="R35" s="332" t="s">
        <v>635</v>
      </c>
      <c r="S35" s="626"/>
      <c r="T35" s="626"/>
      <c r="U35" s="626"/>
      <c r="V35" s="697">
        <v>0</v>
      </c>
      <c r="W35" s="697">
        <v>0</v>
      </c>
      <c r="X35" s="697">
        <v>0</v>
      </c>
      <c r="Y35" s="697">
        <v>0</v>
      </c>
      <c r="Z35" s="697">
        <v>0</v>
      </c>
      <c r="AA35" s="697">
        <v>0</v>
      </c>
    </row>
    <row r="36" spans="1:27" hidden="1">
      <c r="A36" s="634">
        <v>24</v>
      </c>
      <c r="B36" s="639"/>
      <c r="C36" s="634">
        <v>31542</v>
      </c>
      <c r="D36" s="372" t="s">
        <v>631</v>
      </c>
      <c r="E36" s="372"/>
      <c r="F36" s="634">
        <v>5</v>
      </c>
      <c r="G36" s="635"/>
      <c r="H36" s="332" t="s">
        <v>628</v>
      </c>
      <c r="I36" s="699"/>
      <c r="J36" s="332" t="s">
        <v>635</v>
      </c>
      <c r="K36" s="690"/>
      <c r="L36" s="332" t="s">
        <v>635</v>
      </c>
      <c r="M36" s="690"/>
      <c r="N36" s="332" t="s">
        <v>635</v>
      </c>
      <c r="O36" s="699"/>
      <c r="P36" s="332" t="s">
        <v>635</v>
      </c>
      <c r="Q36" s="690"/>
      <c r="R36" s="332" t="s">
        <v>635</v>
      </c>
      <c r="S36" s="626"/>
      <c r="T36" s="626"/>
      <c r="U36" s="626"/>
      <c r="V36" s="697">
        <v>0</v>
      </c>
      <c r="W36" s="697">
        <v>0</v>
      </c>
      <c r="X36" s="697">
        <v>0</v>
      </c>
      <c r="Y36" s="697">
        <v>0</v>
      </c>
      <c r="Z36" s="697">
        <v>0</v>
      </c>
      <c r="AA36" s="697">
        <v>0</v>
      </c>
    </row>
    <row r="37" spans="1:27" hidden="1">
      <c r="A37" s="634">
        <v>25</v>
      </c>
      <c r="B37" s="639"/>
      <c r="C37" s="634">
        <v>31642</v>
      </c>
      <c r="D37" s="372" t="s">
        <v>632</v>
      </c>
      <c r="E37" s="372"/>
      <c r="F37" s="634">
        <v>1.4</v>
      </c>
      <c r="G37" s="635"/>
      <c r="H37" s="332" t="s">
        <v>628</v>
      </c>
      <c r="I37" s="699"/>
      <c r="J37" s="332" t="s">
        <v>635</v>
      </c>
      <c r="K37" s="690"/>
      <c r="L37" s="332" t="s">
        <v>635</v>
      </c>
      <c r="M37" s="690"/>
      <c r="N37" s="332" t="s">
        <v>635</v>
      </c>
      <c r="O37" s="699"/>
      <c r="P37" s="332" t="s">
        <v>635</v>
      </c>
      <c r="Q37" s="690"/>
      <c r="R37" s="332" t="s">
        <v>635</v>
      </c>
      <c r="S37" s="626"/>
      <c r="T37" s="626"/>
      <c r="U37" s="626"/>
      <c r="V37" s="697">
        <v>0</v>
      </c>
      <c r="W37" s="697">
        <v>0</v>
      </c>
      <c r="X37" s="697">
        <v>0</v>
      </c>
      <c r="Y37" s="697">
        <v>0</v>
      </c>
      <c r="Z37" s="697">
        <v>0</v>
      </c>
      <c r="AA37" s="697">
        <v>0</v>
      </c>
    </row>
    <row r="38" spans="1:27" hidden="1">
      <c r="A38" s="634">
        <v>26</v>
      </c>
      <c r="B38" s="639"/>
      <c r="C38" s="634"/>
      <c r="D38" s="372" t="s">
        <v>638</v>
      </c>
      <c r="E38" s="372"/>
      <c r="F38" s="372"/>
      <c r="G38" s="372"/>
      <c r="H38" s="700" t="s">
        <v>628</v>
      </c>
      <c r="I38" s="699"/>
      <c r="J38" s="700" t="s">
        <v>635</v>
      </c>
      <c r="K38" s="699"/>
      <c r="L38" s="700" t="s">
        <v>635</v>
      </c>
      <c r="M38" s="699"/>
      <c r="N38" s="700" t="s">
        <v>635</v>
      </c>
      <c r="O38" s="699"/>
      <c r="P38" s="700" t="s">
        <v>635</v>
      </c>
      <c r="Q38" s="699"/>
      <c r="R38" s="700" t="s">
        <v>635</v>
      </c>
      <c r="S38" s="626"/>
      <c r="T38" s="626"/>
      <c r="U38" s="626"/>
      <c r="V38" s="697">
        <v>0</v>
      </c>
      <c r="W38" s="697">
        <v>0</v>
      </c>
      <c r="X38" s="697">
        <v>0</v>
      </c>
      <c r="Y38" s="697">
        <v>0</v>
      </c>
      <c r="Z38" s="697">
        <v>0</v>
      </c>
      <c r="AA38" s="697">
        <v>0</v>
      </c>
    </row>
    <row r="39" spans="1:27" hidden="1">
      <c r="A39" s="634">
        <v>27</v>
      </c>
      <c r="B39" s="639"/>
      <c r="C39" s="634"/>
      <c r="D39" s="372"/>
      <c r="E39" s="372"/>
      <c r="F39" s="372"/>
      <c r="G39" s="372"/>
      <c r="H39" s="690"/>
      <c r="I39" s="699"/>
      <c r="J39" s="699"/>
      <c r="K39" s="699"/>
      <c r="L39" s="699"/>
      <c r="M39" s="699"/>
      <c r="N39" s="699"/>
      <c r="O39" s="699"/>
      <c r="P39" s="699"/>
      <c r="Q39" s="699"/>
      <c r="R39" s="699"/>
      <c r="S39" s="626"/>
      <c r="T39" s="626"/>
      <c r="U39" s="626"/>
      <c r="V39" s="697">
        <v>0</v>
      </c>
      <c r="W39" s="697">
        <v>0</v>
      </c>
      <c r="X39" s="697">
        <v>0</v>
      </c>
      <c r="Y39" s="697">
        <v>0</v>
      </c>
      <c r="Z39" s="697">
        <v>0</v>
      </c>
      <c r="AA39" s="697">
        <v>0</v>
      </c>
    </row>
    <row r="40" spans="1:27" hidden="1">
      <c r="A40" s="634">
        <v>28</v>
      </c>
      <c r="B40" s="639"/>
      <c r="C40" s="634"/>
      <c r="D40" s="372" t="s">
        <v>639</v>
      </c>
      <c r="E40" s="372"/>
      <c r="F40" s="372"/>
      <c r="G40" s="372"/>
      <c r="H40" s="690"/>
      <c r="I40" s="699"/>
      <c r="J40" s="699"/>
      <c r="K40" s="699"/>
      <c r="L40" s="699"/>
      <c r="M40" s="699"/>
      <c r="N40" s="699"/>
      <c r="O40" s="699"/>
      <c r="P40" s="699"/>
      <c r="Q40" s="699"/>
      <c r="R40" s="699"/>
      <c r="S40" s="626"/>
      <c r="T40" s="626"/>
      <c r="U40" s="626"/>
      <c r="V40" s="697">
        <v>0</v>
      </c>
      <c r="W40" s="697">
        <v>0</v>
      </c>
      <c r="X40" s="697">
        <v>0</v>
      </c>
      <c r="Y40" s="697">
        <v>0</v>
      </c>
      <c r="Z40" s="697">
        <v>0</v>
      </c>
      <c r="AA40" s="697">
        <v>0</v>
      </c>
    </row>
    <row r="41" spans="1:27" hidden="1">
      <c r="A41" s="634">
        <v>29</v>
      </c>
      <c r="B41" s="639"/>
      <c r="C41" s="634">
        <v>31143</v>
      </c>
      <c r="D41" s="372" t="s">
        <v>627</v>
      </c>
      <c r="E41" s="372"/>
      <c r="F41" s="634">
        <v>1.7</v>
      </c>
      <c r="G41" s="635"/>
      <c r="H41" s="332" t="s">
        <v>628</v>
      </c>
      <c r="I41" s="699"/>
      <c r="J41" s="332" t="s">
        <v>635</v>
      </c>
      <c r="K41" s="690"/>
      <c r="L41" s="332" t="s">
        <v>635</v>
      </c>
      <c r="M41" s="690"/>
      <c r="N41" s="332" t="s">
        <v>635</v>
      </c>
      <c r="O41" s="699"/>
      <c r="P41" s="332" t="s">
        <v>635</v>
      </c>
      <c r="Q41" s="690"/>
      <c r="R41" s="332" t="s">
        <v>635</v>
      </c>
      <c r="S41" s="626"/>
      <c r="T41" s="626"/>
      <c r="U41" s="626"/>
      <c r="V41" s="697">
        <v>0</v>
      </c>
      <c r="W41" s="697">
        <v>0</v>
      </c>
      <c r="X41" s="697">
        <v>0</v>
      </c>
      <c r="Y41" s="697">
        <v>0</v>
      </c>
      <c r="Z41" s="697">
        <v>0</v>
      </c>
      <c r="AA41" s="697">
        <v>0</v>
      </c>
    </row>
    <row r="42" spans="1:27" hidden="1">
      <c r="A42" s="634">
        <v>30</v>
      </c>
      <c r="B42" s="639"/>
      <c r="C42" s="634">
        <v>31243</v>
      </c>
      <c r="D42" s="372" t="s">
        <v>629</v>
      </c>
      <c r="E42" s="372"/>
      <c r="F42" s="634">
        <v>3.6</v>
      </c>
      <c r="G42" s="635"/>
      <c r="H42" s="332" t="s">
        <v>628</v>
      </c>
      <c r="I42" s="699"/>
      <c r="J42" s="332" t="s">
        <v>635</v>
      </c>
      <c r="K42" s="690"/>
      <c r="L42" s="332" t="s">
        <v>635</v>
      </c>
      <c r="M42" s="690"/>
      <c r="N42" s="332" t="s">
        <v>635</v>
      </c>
      <c r="O42" s="699"/>
      <c r="P42" s="332" t="s">
        <v>635</v>
      </c>
      <c r="Q42" s="690"/>
      <c r="R42" s="332" t="s">
        <v>635</v>
      </c>
      <c r="S42" s="626"/>
      <c r="T42" s="626"/>
      <c r="U42" s="626"/>
      <c r="V42" s="697">
        <v>0</v>
      </c>
      <c r="W42" s="697">
        <v>0</v>
      </c>
      <c r="X42" s="697">
        <v>0</v>
      </c>
      <c r="Y42" s="697">
        <v>0</v>
      </c>
      <c r="Z42" s="697">
        <v>0</v>
      </c>
      <c r="AA42" s="697">
        <v>0</v>
      </c>
    </row>
    <row r="43" spans="1:27" hidden="1">
      <c r="A43" s="634">
        <v>31</v>
      </c>
      <c r="B43" s="639"/>
      <c r="C43" s="634">
        <v>31443</v>
      </c>
      <c r="D43" s="372" t="s">
        <v>630</v>
      </c>
      <c r="E43" s="372"/>
      <c r="F43" s="634">
        <v>3.8</v>
      </c>
      <c r="G43" s="635"/>
      <c r="H43" s="332" t="s">
        <v>628</v>
      </c>
      <c r="I43" s="699"/>
      <c r="J43" s="332" t="s">
        <v>635</v>
      </c>
      <c r="K43" s="690"/>
      <c r="L43" s="332" t="s">
        <v>635</v>
      </c>
      <c r="M43" s="690"/>
      <c r="N43" s="332" t="s">
        <v>635</v>
      </c>
      <c r="O43" s="699"/>
      <c r="P43" s="332" t="s">
        <v>635</v>
      </c>
      <c r="Q43" s="690"/>
      <c r="R43" s="332" t="s">
        <v>635</v>
      </c>
      <c r="S43" s="626"/>
      <c r="T43" s="626"/>
      <c r="U43" s="626"/>
      <c r="V43" s="697">
        <v>0</v>
      </c>
      <c r="W43" s="697">
        <v>0</v>
      </c>
      <c r="X43" s="697">
        <v>0</v>
      </c>
      <c r="Y43" s="697">
        <v>0</v>
      </c>
      <c r="Z43" s="697">
        <v>0</v>
      </c>
      <c r="AA43" s="697">
        <v>0</v>
      </c>
    </row>
    <row r="44" spans="1:27" hidden="1">
      <c r="A44" s="634">
        <v>32</v>
      </c>
      <c r="B44" s="639"/>
      <c r="C44" s="634">
        <v>31543</v>
      </c>
      <c r="D44" s="372" t="s">
        <v>631</v>
      </c>
      <c r="E44" s="372"/>
      <c r="F44" s="634">
        <v>3.3</v>
      </c>
      <c r="G44" s="635"/>
      <c r="H44" s="332" t="s">
        <v>628</v>
      </c>
      <c r="I44" s="699"/>
      <c r="J44" s="332" t="s">
        <v>635</v>
      </c>
      <c r="K44" s="690"/>
      <c r="L44" s="332" t="s">
        <v>635</v>
      </c>
      <c r="M44" s="690"/>
      <c r="N44" s="332" t="s">
        <v>635</v>
      </c>
      <c r="O44" s="699"/>
      <c r="P44" s="332" t="s">
        <v>635</v>
      </c>
      <c r="Q44" s="690"/>
      <c r="R44" s="332" t="s">
        <v>635</v>
      </c>
      <c r="S44" s="626"/>
      <c r="T44" s="626"/>
      <c r="U44" s="626"/>
      <c r="V44" s="697">
        <v>0</v>
      </c>
      <c r="W44" s="697">
        <v>0</v>
      </c>
      <c r="X44" s="697">
        <v>0</v>
      </c>
      <c r="Y44" s="697">
        <v>0</v>
      </c>
      <c r="Z44" s="697">
        <v>0</v>
      </c>
      <c r="AA44" s="697">
        <v>0</v>
      </c>
    </row>
    <row r="45" spans="1:27" hidden="1">
      <c r="A45" s="634">
        <v>33</v>
      </c>
      <c r="B45" s="639"/>
      <c r="C45" s="634">
        <v>31643</v>
      </c>
      <c r="D45" s="372" t="s">
        <v>632</v>
      </c>
      <c r="E45" s="372"/>
      <c r="F45" s="634">
        <v>3.6</v>
      </c>
      <c r="G45" s="635"/>
      <c r="H45" s="332" t="s">
        <v>628</v>
      </c>
      <c r="I45" s="699"/>
      <c r="J45" s="332" t="s">
        <v>635</v>
      </c>
      <c r="K45" s="690"/>
      <c r="L45" s="332" t="s">
        <v>635</v>
      </c>
      <c r="M45" s="690"/>
      <c r="N45" s="332" t="s">
        <v>635</v>
      </c>
      <c r="O45" s="699"/>
      <c r="P45" s="332" t="s">
        <v>635</v>
      </c>
      <c r="Q45" s="690"/>
      <c r="R45" s="332" t="s">
        <v>635</v>
      </c>
      <c r="S45" s="626"/>
      <c r="T45" s="626"/>
      <c r="U45" s="626"/>
      <c r="V45" s="697">
        <v>0</v>
      </c>
      <c r="W45" s="697">
        <v>0</v>
      </c>
      <c r="X45" s="697">
        <v>0</v>
      </c>
      <c r="Y45" s="697">
        <v>0</v>
      </c>
      <c r="Z45" s="697">
        <v>0</v>
      </c>
      <c r="AA45" s="697">
        <v>0</v>
      </c>
    </row>
    <row r="46" spans="1:27" hidden="1">
      <c r="A46" s="634">
        <v>34</v>
      </c>
      <c r="B46" s="639"/>
      <c r="C46" s="634"/>
      <c r="D46" s="372" t="s">
        <v>640</v>
      </c>
      <c r="E46" s="372"/>
      <c r="F46" s="372"/>
      <c r="G46" s="372"/>
      <c r="H46" s="700" t="s">
        <v>628</v>
      </c>
      <c r="I46" s="699"/>
      <c r="J46" s="700" t="s">
        <v>635</v>
      </c>
      <c r="K46" s="699"/>
      <c r="L46" s="700" t="s">
        <v>635</v>
      </c>
      <c r="M46" s="699"/>
      <c r="N46" s="700" t="s">
        <v>635</v>
      </c>
      <c r="O46" s="699"/>
      <c r="P46" s="700" t="s">
        <v>635</v>
      </c>
      <c r="Q46" s="699"/>
      <c r="R46" s="700" t="s">
        <v>635</v>
      </c>
      <c r="S46" s="626"/>
      <c r="T46" s="626"/>
      <c r="U46" s="626"/>
      <c r="V46" s="697">
        <v>0</v>
      </c>
      <c r="W46" s="697">
        <v>0</v>
      </c>
      <c r="X46" s="697">
        <v>0</v>
      </c>
      <c r="Y46" s="697">
        <v>0</v>
      </c>
      <c r="Z46" s="697">
        <v>0</v>
      </c>
      <c r="AA46" s="697">
        <v>0</v>
      </c>
    </row>
    <row r="47" spans="1:27" hidden="1">
      <c r="A47" s="634">
        <v>35</v>
      </c>
      <c r="B47" s="639"/>
      <c r="C47" s="372"/>
      <c r="D47" s="372"/>
      <c r="E47" s="372"/>
      <c r="F47" s="372"/>
      <c r="G47" s="372"/>
      <c r="H47" s="690"/>
      <c r="I47" s="690"/>
      <c r="J47" s="690"/>
      <c r="K47" s="690"/>
      <c r="L47" s="690"/>
      <c r="M47" s="690"/>
      <c r="N47" s="690"/>
      <c r="O47" s="699"/>
      <c r="P47" s="690"/>
      <c r="Q47" s="690"/>
      <c r="R47" s="690"/>
      <c r="S47" s="626"/>
      <c r="T47" s="626"/>
      <c r="U47" s="626"/>
      <c r="V47" s="697">
        <v>0</v>
      </c>
      <c r="W47" s="697">
        <v>0</v>
      </c>
      <c r="X47" s="697">
        <v>0</v>
      </c>
      <c r="Y47" s="697">
        <v>0</v>
      </c>
      <c r="Z47" s="697">
        <v>0</v>
      </c>
      <c r="AA47" s="697">
        <v>0</v>
      </c>
    </row>
    <row r="48" spans="1:27" hidden="1">
      <c r="A48" s="634">
        <v>36</v>
      </c>
      <c r="B48" s="639"/>
      <c r="C48" s="634"/>
      <c r="D48" s="372" t="s">
        <v>641</v>
      </c>
      <c r="E48" s="372"/>
      <c r="F48" s="372"/>
      <c r="G48" s="372"/>
      <c r="H48" s="690"/>
      <c r="I48" s="699"/>
      <c r="J48" s="699"/>
      <c r="K48" s="699"/>
      <c r="L48" s="699"/>
      <c r="M48" s="699"/>
      <c r="N48" s="699"/>
      <c r="O48" s="699"/>
      <c r="P48" s="699"/>
      <c r="Q48" s="699"/>
      <c r="R48" s="699"/>
      <c r="S48" s="626"/>
      <c r="T48" s="626"/>
      <c r="U48" s="626"/>
      <c r="V48" s="697">
        <v>0</v>
      </c>
      <c r="W48" s="697">
        <v>0</v>
      </c>
      <c r="X48" s="697">
        <v>0</v>
      </c>
      <c r="Y48" s="697">
        <v>0</v>
      </c>
      <c r="Z48" s="697">
        <v>0</v>
      </c>
      <c r="AA48" s="697">
        <v>0</v>
      </c>
    </row>
    <row r="49" spans="1:27" hidden="1">
      <c r="A49" s="634">
        <v>37</v>
      </c>
      <c r="B49" s="644"/>
      <c r="C49" s="634">
        <v>31144</v>
      </c>
      <c r="D49" s="372" t="s">
        <v>627</v>
      </c>
      <c r="E49" s="372"/>
      <c r="F49" s="634">
        <v>1.9</v>
      </c>
      <c r="G49" s="635"/>
      <c r="H49" s="332">
        <v>55424</v>
      </c>
      <c r="I49" s="699"/>
      <c r="J49" s="332">
        <v>618</v>
      </c>
      <c r="K49" s="690"/>
      <c r="L49" s="332">
        <v>-139</v>
      </c>
      <c r="M49" s="690"/>
      <c r="N49" s="332" t="s">
        <v>628</v>
      </c>
      <c r="O49" s="699"/>
      <c r="P49" s="332">
        <v>55902</v>
      </c>
      <c r="Q49" s="690"/>
      <c r="R49" s="332">
        <v>55595</v>
      </c>
      <c r="S49" s="626"/>
      <c r="T49" s="626"/>
      <c r="U49" s="626"/>
      <c r="V49" s="696">
        <v>5</v>
      </c>
      <c r="W49" s="696">
        <v>5</v>
      </c>
      <c r="X49" s="696">
        <v>5</v>
      </c>
      <c r="Y49" s="697">
        <v>0</v>
      </c>
      <c r="Z49" s="696">
        <v>5</v>
      </c>
      <c r="AA49" s="696">
        <v>5</v>
      </c>
    </row>
    <row r="50" spans="1:27" hidden="1">
      <c r="A50" s="634">
        <v>38</v>
      </c>
      <c r="B50" s="644"/>
      <c r="C50" s="634">
        <v>31244</v>
      </c>
      <c r="D50" s="372" t="s">
        <v>629</v>
      </c>
      <c r="E50" s="372"/>
      <c r="F50" s="634">
        <v>3.3</v>
      </c>
      <c r="G50" s="635"/>
      <c r="H50" s="332">
        <v>294180</v>
      </c>
      <c r="I50" s="699"/>
      <c r="J50" s="332">
        <v>19031</v>
      </c>
      <c r="K50" s="690"/>
      <c r="L50" s="332">
        <v>-4150</v>
      </c>
      <c r="M50" s="690"/>
      <c r="N50" s="332" t="s">
        <v>628</v>
      </c>
      <c r="O50" s="699"/>
      <c r="P50" s="332">
        <v>309060</v>
      </c>
      <c r="Q50" s="690"/>
      <c r="R50" s="332">
        <v>302683</v>
      </c>
      <c r="S50" s="626"/>
      <c r="T50" s="626"/>
      <c r="U50" s="626"/>
      <c r="V50" s="696">
        <v>5</v>
      </c>
      <c r="W50" s="696">
        <v>5</v>
      </c>
      <c r="X50" s="696">
        <v>5</v>
      </c>
      <c r="Y50" s="697">
        <v>0</v>
      </c>
      <c r="Z50" s="696">
        <v>5</v>
      </c>
      <c r="AA50" s="696">
        <v>5</v>
      </c>
    </row>
    <row r="51" spans="1:27" hidden="1">
      <c r="A51" s="634">
        <v>39</v>
      </c>
      <c r="B51" s="644"/>
      <c r="C51" s="634">
        <v>31444</v>
      </c>
      <c r="D51" s="372" t="s">
        <v>630</v>
      </c>
      <c r="E51" s="372"/>
      <c r="F51" s="634">
        <v>3.2</v>
      </c>
      <c r="G51" s="635"/>
      <c r="H51" s="332">
        <v>110050</v>
      </c>
      <c r="I51" s="699"/>
      <c r="J51" s="332">
        <v>3783</v>
      </c>
      <c r="K51" s="690"/>
      <c r="L51" s="332">
        <v>-445</v>
      </c>
      <c r="M51" s="690"/>
      <c r="N51" s="332" t="s">
        <v>628</v>
      </c>
      <c r="O51" s="699"/>
      <c r="P51" s="332">
        <v>113388</v>
      </c>
      <c r="Q51" s="690"/>
      <c r="R51" s="332">
        <v>111591</v>
      </c>
      <c r="S51" s="626"/>
      <c r="T51" s="626"/>
      <c r="U51" s="626"/>
      <c r="V51" s="696">
        <v>5</v>
      </c>
      <c r="W51" s="696">
        <v>5</v>
      </c>
      <c r="X51" s="696">
        <v>5</v>
      </c>
      <c r="Y51" s="697">
        <v>0</v>
      </c>
      <c r="Z51" s="696">
        <v>5</v>
      </c>
      <c r="AA51" s="696">
        <v>5</v>
      </c>
    </row>
    <row r="52" spans="1:27" hidden="1">
      <c r="A52" s="634">
        <v>40</v>
      </c>
      <c r="B52" s="644"/>
      <c r="C52" s="634">
        <v>31544</v>
      </c>
      <c r="D52" s="372" t="s">
        <v>631</v>
      </c>
      <c r="E52" s="372"/>
      <c r="F52" s="634">
        <v>2.9</v>
      </c>
      <c r="G52" s="635"/>
      <c r="H52" s="332">
        <v>52322</v>
      </c>
      <c r="I52" s="699"/>
      <c r="J52" s="332">
        <v>1135</v>
      </c>
      <c r="K52" s="690"/>
      <c r="L52" s="332">
        <v>-597</v>
      </c>
      <c r="M52" s="690"/>
      <c r="N52" s="332" t="s">
        <v>628</v>
      </c>
      <c r="O52" s="699"/>
      <c r="P52" s="332">
        <v>52859</v>
      </c>
      <c r="Q52" s="690"/>
      <c r="R52" s="332">
        <v>52432</v>
      </c>
      <c r="S52" s="626"/>
      <c r="T52" s="626"/>
      <c r="U52" s="626"/>
      <c r="V52" s="696">
        <v>5</v>
      </c>
      <c r="W52" s="696">
        <v>5</v>
      </c>
      <c r="X52" s="696">
        <v>5</v>
      </c>
      <c r="Y52" s="697">
        <v>0</v>
      </c>
      <c r="Z52" s="696">
        <v>5</v>
      </c>
      <c r="AA52" s="696">
        <v>5</v>
      </c>
    </row>
    <row r="53" spans="1:27" hidden="1">
      <c r="A53" s="634">
        <v>41</v>
      </c>
      <c r="B53" s="644"/>
      <c r="C53" s="634">
        <v>31644</v>
      </c>
      <c r="D53" s="372" t="s">
        <v>632</v>
      </c>
      <c r="E53" s="372"/>
      <c r="F53" s="634">
        <v>1.8</v>
      </c>
      <c r="G53" s="635"/>
      <c r="H53" s="332">
        <v>5866</v>
      </c>
      <c r="I53" s="699"/>
      <c r="J53" s="332" t="s">
        <v>635</v>
      </c>
      <c r="K53" s="690"/>
      <c r="L53" s="332" t="s">
        <v>635</v>
      </c>
      <c r="M53" s="690"/>
      <c r="N53" s="332" t="s">
        <v>635</v>
      </c>
      <c r="O53" s="699"/>
      <c r="P53" s="332">
        <v>5866</v>
      </c>
      <c r="Q53" s="690"/>
      <c r="R53" s="332">
        <v>5866</v>
      </c>
      <c r="S53" s="626"/>
      <c r="T53" s="626"/>
      <c r="U53" s="626"/>
      <c r="V53" s="696">
        <v>5</v>
      </c>
      <c r="W53" s="697">
        <v>0</v>
      </c>
      <c r="X53" s="697">
        <v>0</v>
      </c>
      <c r="Y53" s="697">
        <v>0</v>
      </c>
      <c r="Z53" s="696">
        <v>5</v>
      </c>
      <c r="AA53" s="696">
        <v>5</v>
      </c>
    </row>
    <row r="54" spans="1:27" hidden="1">
      <c r="A54" s="634">
        <v>42</v>
      </c>
      <c r="B54" s="644"/>
      <c r="C54" s="372"/>
      <c r="D54" s="372" t="s">
        <v>642</v>
      </c>
      <c r="E54" s="372"/>
      <c r="F54" s="372"/>
      <c r="G54" s="372"/>
      <c r="H54" s="700">
        <v>517840</v>
      </c>
      <c r="I54" s="699"/>
      <c r="J54" s="700">
        <v>24567</v>
      </c>
      <c r="K54" s="699"/>
      <c r="L54" s="700">
        <v>-5333</v>
      </c>
      <c r="M54" s="699"/>
      <c r="N54" s="700" t="s">
        <v>628</v>
      </c>
      <c r="O54" s="699"/>
      <c r="P54" s="700">
        <v>537075</v>
      </c>
      <c r="Q54" s="699"/>
      <c r="R54" s="700">
        <v>528168</v>
      </c>
      <c r="S54" s="626"/>
      <c r="T54" s="626"/>
      <c r="U54" s="626"/>
      <c r="V54" s="696">
        <v>5</v>
      </c>
      <c r="W54" s="696">
        <v>5</v>
      </c>
      <c r="X54" s="696">
        <v>5</v>
      </c>
      <c r="Y54" s="697">
        <v>0</v>
      </c>
      <c r="Z54" s="696">
        <v>5</v>
      </c>
      <c r="AA54" s="696">
        <v>4</v>
      </c>
    </row>
    <row r="55" spans="1:27" hidden="1">
      <c r="A55" s="634">
        <v>43</v>
      </c>
      <c r="B55" s="644"/>
      <c r="C55" s="372"/>
      <c r="D55" s="372"/>
      <c r="E55" s="372"/>
      <c r="F55" s="372"/>
      <c r="G55" s="372"/>
      <c r="H55" s="372"/>
      <c r="I55" s="372"/>
      <c r="J55" s="372"/>
      <c r="K55" s="372"/>
      <c r="L55" s="372"/>
      <c r="M55" s="372"/>
      <c r="N55" s="372"/>
      <c r="O55" s="635"/>
      <c r="P55" s="372"/>
      <c r="Q55" s="372"/>
      <c r="R55" s="372"/>
      <c r="S55" s="626"/>
      <c r="T55" s="626"/>
      <c r="U55" s="626"/>
      <c r="V55" s="697">
        <v>0</v>
      </c>
      <c r="W55" s="697">
        <v>0</v>
      </c>
      <c r="X55" s="697">
        <v>0</v>
      </c>
      <c r="Y55" s="697">
        <v>0</v>
      </c>
      <c r="Z55" s="697">
        <v>0</v>
      </c>
      <c r="AA55" s="697">
        <v>0</v>
      </c>
    </row>
    <row r="56" spans="1:27" ht="15" hidden="1" thickBot="1">
      <c r="A56" s="637">
        <v>44</v>
      </c>
      <c r="B56" s="660" t="s">
        <v>67</v>
      </c>
      <c r="C56" s="660"/>
      <c r="D56" s="625"/>
      <c r="E56" s="625"/>
      <c r="F56" s="625"/>
      <c r="G56" s="625"/>
      <c r="H56" s="625"/>
      <c r="I56" s="625"/>
      <c r="J56" s="625"/>
      <c r="K56" s="625"/>
      <c r="L56" s="625"/>
      <c r="M56" s="625"/>
      <c r="N56" s="625"/>
      <c r="O56" s="638"/>
      <c r="P56" s="625"/>
      <c r="Q56" s="625"/>
      <c r="R56" s="625"/>
      <c r="S56" s="626"/>
      <c r="T56" s="626"/>
      <c r="U56" s="626"/>
      <c r="V56" s="697">
        <v>0</v>
      </c>
      <c r="W56" s="697">
        <v>0</v>
      </c>
      <c r="X56" s="697">
        <v>0</v>
      </c>
      <c r="Y56" s="697">
        <v>0</v>
      </c>
      <c r="Z56" s="697">
        <v>0</v>
      </c>
      <c r="AA56" s="697">
        <v>0</v>
      </c>
    </row>
    <row r="57" spans="1:27" hidden="1">
      <c r="A57" s="629" t="s">
        <v>643</v>
      </c>
      <c r="B57" s="629"/>
      <c r="C57" s="372"/>
      <c r="D57" s="372"/>
      <c r="E57" s="664"/>
      <c r="F57" s="664"/>
      <c r="G57" s="664"/>
      <c r="H57" s="664"/>
      <c r="I57" s="664"/>
      <c r="J57" s="664"/>
      <c r="K57" s="664"/>
      <c r="L57" s="664"/>
      <c r="M57" s="664"/>
      <c r="N57" s="664"/>
      <c r="O57" s="635"/>
      <c r="P57" s="426" t="s">
        <v>644</v>
      </c>
      <c r="Q57" s="664"/>
      <c r="R57" s="664"/>
      <c r="S57" s="626"/>
      <c r="T57" s="626"/>
      <c r="U57" s="626"/>
      <c r="V57" s="697">
        <v>0</v>
      </c>
      <c r="W57" s="697">
        <v>0</v>
      </c>
      <c r="X57" s="697">
        <v>0</v>
      </c>
      <c r="Y57" s="697">
        <v>0</v>
      </c>
      <c r="Z57" s="697">
        <v>0</v>
      </c>
      <c r="AA57" s="697">
        <v>0</v>
      </c>
    </row>
    <row r="58" spans="1:27" ht="15" hidden="1" thickBot="1">
      <c r="A58" s="625" t="s">
        <v>604</v>
      </c>
      <c r="B58" s="625"/>
      <c r="C58" s="625"/>
      <c r="D58" s="625"/>
      <c r="E58" s="625"/>
      <c r="F58" s="625"/>
      <c r="G58" s="625" t="s">
        <v>605</v>
      </c>
      <c r="H58" s="625"/>
      <c r="I58" s="625"/>
      <c r="J58" s="625"/>
      <c r="K58" s="625"/>
      <c r="L58" s="625"/>
      <c r="M58" s="625"/>
      <c r="N58" s="625"/>
      <c r="O58" s="638"/>
      <c r="P58" s="625"/>
      <c r="Q58" s="625"/>
      <c r="R58" s="625" t="s">
        <v>645</v>
      </c>
      <c r="S58" s="626"/>
      <c r="T58" s="626"/>
      <c r="U58" s="626"/>
      <c r="V58" s="697">
        <v>0</v>
      </c>
      <c r="W58" s="697">
        <v>0</v>
      </c>
      <c r="X58" s="697">
        <v>0</v>
      </c>
      <c r="Y58" s="697">
        <v>0</v>
      </c>
      <c r="Z58" s="697">
        <v>0</v>
      </c>
      <c r="AA58" s="697">
        <v>0</v>
      </c>
    </row>
    <row r="59" spans="1:27" hidden="1">
      <c r="A59" s="664" t="s">
        <v>4</v>
      </c>
      <c r="B59" s="664"/>
      <c r="C59" s="372"/>
      <c r="D59" s="372"/>
      <c r="E59" s="635" t="s">
        <v>553</v>
      </c>
      <c r="F59" s="372" t="s">
        <v>607</v>
      </c>
      <c r="G59" s="664"/>
      <c r="H59" s="664"/>
      <c r="I59" s="664"/>
      <c r="J59" s="664"/>
      <c r="K59" s="661"/>
      <c r="L59" s="661"/>
      <c r="M59" s="661"/>
      <c r="N59" s="661"/>
      <c r="O59" s="645"/>
      <c r="P59" s="372" t="s">
        <v>608</v>
      </c>
      <c r="Q59" s="664"/>
      <c r="R59" s="664"/>
      <c r="S59" s="626"/>
      <c r="T59" s="626"/>
      <c r="U59" s="626"/>
      <c r="V59" s="697">
        <v>0</v>
      </c>
      <c r="W59" s="697">
        <v>0</v>
      </c>
      <c r="X59" s="697">
        <v>0</v>
      </c>
      <c r="Y59" s="697">
        <v>0</v>
      </c>
      <c r="Z59" s="697">
        <v>0</v>
      </c>
      <c r="AA59" s="697">
        <v>0</v>
      </c>
    </row>
    <row r="60" spans="1:27" hidden="1">
      <c r="A60" s="372"/>
      <c r="B60" s="372"/>
      <c r="C60" s="372"/>
      <c r="D60" s="372"/>
      <c r="E60" s="372"/>
      <c r="F60" s="372" t="s">
        <v>609</v>
      </c>
      <c r="G60" s="372"/>
      <c r="H60" s="372"/>
      <c r="I60" s="372"/>
      <c r="J60" s="372"/>
      <c r="K60" s="636"/>
      <c r="L60" s="636"/>
      <c r="M60" s="372"/>
      <c r="N60" s="372"/>
      <c r="O60" s="635"/>
      <c r="P60" s="636" t="s">
        <v>9</v>
      </c>
      <c r="Q60" s="372"/>
      <c r="R60" s="372"/>
      <c r="S60" s="626"/>
      <c r="T60" s="626"/>
      <c r="U60" s="626"/>
      <c r="V60" s="697">
        <v>0</v>
      </c>
      <c r="W60" s="697">
        <v>0</v>
      </c>
      <c r="X60" s="697">
        <v>0</v>
      </c>
      <c r="Y60" s="697">
        <v>0</v>
      </c>
      <c r="Z60" s="697">
        <v>0</v>
      </c>
      <c r="AA60" s="697">
        <v>0</v>
      </c>
    </row>
    <row r="61" spans="1:27" hidden="1">
      <c r="A61" s="372" t="s">
        <v>10</v>
      </c>
      <c r="B61" s="372"/>
      <c r="C61" s="372"/>
      <c r="D61" s="372"/>
      <c r="E61" s="372"/>
      <c r="F61" s="372"/>
      <c r="G61" s="372"/>
      <c r="H61" s="372"/>
      <c r="I61" s="372"/>
      <c r="J61" s="372"/>
      <c r="K61" s="636"/>
      <c r="L61" s="636"/>
      <c r="M61" s="372"/>
      <c r="N61" s="372"/>
      <c r="O61" s="635"/>
      <c r="P61" s="636" t="s">
        <v>11</v>
      </c>
      <c r="Q61" s="372"/>
      <c r="R61" s="372"/>
      <c r="S61" s="626"/>
      <c r="T61" s="626"/>
      <c r="U61" s="626"/>
      <c r="V61" s="697">
        <v>0</v>
      </c>
      <c r="W61" s="697">
        <v>0</v>
      </c>
      <c r="X61" s="697">
        <v>0</v>
      </c>
      <c r="Y61" s="697">
        <v>0</v>
      </c>
      <c r="Z61" s="697">
        <v>0</v>
      </c>
      <c r="AA61" s="697">
        <v>0</v>
      </c>
    </row>
    <row r="62" spans="1:27" hidden="1">
      <c r="A62" s="372"/>
      <c r="B62" s="372"/>
      <c r="C62" s="372"/>
      <c r="D62" s="372"/>
      <c r="E62" s="372"/>
      <c r="F62" s="372"/>
      <c r="G62" s="372"/>
      <c r="H62" s="372"/>
      <c r="I62" s="372"/>
      <c r="J62" s="372"/>
      <c r="K62" s="636"/>
      <c r="L62" s="636"/>
      <c r="M62" s="372"/>
      <c r="N62" s="372"/>
      <c r="O62" s="635" t="s">
        <v>12</v>
      </c>
      <c r="P62" s="636" t="s">
        <v>13</v>
      </c>
      <c r="Q62" s="372"/>
      <c r="R62" s="372"/>
      <c r="S62" s="626"/>
      <c r="T62" s="626"/>
      <c r="U62" s="626"/>
      <c r="V62" s="697">
        <v>0</v>
      </c>
      <c r="W62" s="697">
        <v>0</v>
      </c>
      <c r="X62" s="697">
        <v>0</v>
      </c>
      <c r="Y62" s="697">
        <v>0</v>
      </c>
      <c r="Z62" s="697">
        <v>0</v>
      </c>
      <c r="AA62" s="697">
        <v>0</v>
      </c>
    </row>
    <row r="63" spans="1:27" hidden="1">
      <c r="A63" s="372"/>
      <c r="B63" s="372"/>
      <c r="C63" s="372"/>
      <c r="D63" s="372"/>
      <c r="E63" s="372"/>
      <c r="F63" s="372"/>
      <c r="G63" s="372"/>
      <c r="H63" s="372"/>
      <c r="I63" s="372"/>
      <c r="J63" s="372"/>
      <c r="K63" s="636"/>
      <c r="L63" s="636"/>
      <c r="M63" s="372"/>
      <c r="N63" s="372"/>
      <c r="O63" s="635"/>
      <c r="P63" s="636" t="s">
        <v>610</v>
      </c>
      <c r="Q63" s="372"/>
      <c r="R63" s="372"/>
      <c r="S63" s="626"/>
      <c r="T63" s="626"/>
      <c r="U63" s="626"/>
      <c r="V63" s="697">
        <v>0</v>
      </c>
      <c r="W63" s="697">
        <v>0</v>
      </c>
      <c r="X63" s="697">
        <v>0</v>
      </c>
      <c r="Y63" s="697">
        <v>0</v>
      </c>
      <c r="Z63" s="697">
        <v>0</v>
      </c>
      <c r="AA63" s="697">
        <v>0</v>
      </c>
    </row>
    <row r="64" spans="1:27" ht="15" hidden="1" thickBot="1">
      <c r="A64" s="625" t="s">
        <v>611</v>
      </c>
      <c r="B64" s="625"/>
      <c r="C64" s="625"/>
      <c r="D64" s="625"/>
      <c r="E64" s="625"/>
      <c r="F64" s="625"/>
      <c r="G64" s="625"/>
      <c r="H64" s="637" t="s">
        <v>612</v>
      </c>
      <c r="I64" s="625"/>
      <c r="J64" s="625"/>
      <c r="K64" s="625"/>
      <c r="L64" s="625"/>
      <c r="M64" s="625"/>
      <c r="N64" s="625"/>
      <c r="O64" s="638"/>
      <c r="P64" s="625" t="s">
        <v>249</v>
      </c>
      <c r="Q64" s="625"/>
      <c r="R64" s="625"/>
      <c r="S64" s="626"/>
      <c r="T64" s="626"/>
      <c r="U64" s="626"/>
      <c r="V64" s="697">
        <v>0</v>
      </c>
      <c r="W64" s="697">
        <v>0</v>
      </c>
      <c r="X64" s="697">
        <v>0</v>
      </c>
      <c r="Y64" s="697">
        <v>0</v>
      </c>
      <c r="Z64" s="697">
        <v>0</v>
      </c>
      <c r="AA64" s="697">
        <v>0</v>
      </c>
    </row>
    <row r="65" spans="1:27" hidden="1">
      <c r="A65" s="664"/>
      <c r="B65" s="664"/>
      <c r="C65" s="634"/>
      <c r="D65" s="634"/>
      <c r="E65" s="634"/>
      <c r="F65" s="634"/>
      <c r="G65" s="634"/>
      <c r="H65" s="634"/>
      <c r="I65" s="634"/>
      <c r="J65" s="634"/>
      <c r="K65" s="634"/>
      <c r="L65" s="634"/>
      <c r="M65" s="634"/>
      <c r="N65" s="634"/>
      <c r="O65" s="635"/>
      <c r="P65" s="634"/>
      <c r="Q65" s="634"/>
      <c r="R65" s="634"/>
      <c r="S65" s="626"/>
      <c r="T65" s="626"/>
      <c r="U65" s="626"/>
      <c r="V65" s="697">
        <v>0</v>
      </c>
      <c r="W65" s="697">
        <v>0</v>
      </c>
      <c r="X65" s="697">
        <v>0</v>
      </c>
      <c r="Y65" s="697">
        <v>0</v>
      </c>
      <c r="Z65" s="697">
        <v>0</v>
      </c>
      <c r="AA65" s="697">
        <v>0</v>
      </c>
    </row>
    <row r="66" spans="1:27" hidden="1">
      <c r="A66" s="372"/>
      <c r="B66" s="372"/>
      <c r="C66" s="634">
        <v>-1</v>
      </c>
      <c r="D66" s="634">
        <v>-2</v>
      </c>
      <c r="E66" s="634"/>
      <c r="F66" s="634">
        <v>-3</v>
      </c>
      <c r="G66" s="634"/>
      <c r="H66" s="634">
        <v>-4</v>
      </c>
      <c r="I66" s="634"/>
      <c r="J66" s="634">
        <v>-5</v>
      </c>
      <c r="K66" s="634"/>
      <c r="L66" s="634">
        <v>-6</v>
      </c>
      <c r="M66" s="634"/>
      <c r="N66" s="634">
        <v>-7</v>
      </c>
      <c r="O66" s="635"/>
      <c r="P66" s="634">
        <v>-8</v>
      </c>
      <c r="Q66" s="634"/>
      <c r="R66" s="634">
        <v>-9</v>
      </c>
      <c r="S66" s="626"/>
      <c r="T66" s="626"/>
      <c r="U66" s="626"/>
      <c r="V66" s="697">
        <v>0</v>
      </c>
      <c r="W66" s="697">
        <v>0</v>
      </c>
      <c r="X66" s="697">
        <v>0</v>
      </c>
      <c r="Y66" s="697">
        <v>0</v>
      </c>
      <c r="Z66" s="697">
        <v>0</v>
      </c>
      <c r="AA66" s="697">
        <v>0</v>
      </c>
    </row>
    <row r="67" spans="1:27" hidden="1">
      <c r="A67" s="372"/>
      <c r="B67" s="372"/>
      <c r="C67" s="634" t="s">
        <v>613</v>
      </c>
      <c r="D67" s="634" t="s">
        <v>613</v>
      </c>
      <c r="E67" s="372"/>
      <c r="F67" s="634" t="s">
        <v>37</v>
      </c>
      <c r="G67" s="634"/>
      <c r="H67" s="634" t="s">
        <v>30</v>
      </c>
      <c r="I67" s="634"/>
      <c r="J67" s="634" t="s">
        <v>45</v>
      </c>
      <c r="K67" s="634"/>
      <c r="L67" s="634" t="s">
        <v>45</v>
      </c>
      <c r="M67" s="634"/>
      <c r="N67" s="372"/>
      <c r="O67" s="635"/>
      <c r="P67" s="634" t="s">
        <v>30</v>
      </c>
      <c r="Q67" s="372"/>
      <c r="R67" s="372"/>
      <c r="S67" s="626"/>
      <c r="T67" s="626"/>
      <c r="U67" s="626"/>
      <c r="V67" s="697">
        <v>0</v>
      </c>
      <c r="W67" s="697">
        <v>0</v>
      </c>
      <c r="X67" s="697">
        <v>0</v>
      </c>
      <c r="Y67" s="697">
        <v>0</v>
      </c>
      <c r="Z67" s="697">
        <v>0</v>
      </c>
      <c r="AA67" s="697">
        <v>0</v>
      </c>
    </row>
    <row r="68" spans="1:27" hidden="1">
      <c r="A68" s="634" t="s">
        <v>35</v>
      </c>
      <c r="B68" s="634"/>
      <c r="C68" s="634" t="s">
        <v>614</v>
      </c>
      <c r="D68" s="634" t="s">
        <v>614</v>
      </c>
      <c r="E68" s="634"/>
      <c r="F68" s="634" t="s">
        <v>615</v>
      </c>
      <c r="G68" s="634"/>
      <c r="H68" s="634" t="s">
        <v>616</v>
      </c>
      <c r="I68" s="634"/>
      <c r="J68" s="634" t="s">
        <v>30</v>
      </c>
      <c r="K68" s="634"/>
      <c r="L68" s="634" t="s">
        <v>30</v>
      </c>
      <c r="M68" s="636"/>
      <c r="N68" s="634" t="s">
        <v>178</v>
      </c>
      <c r="O68" s="635"/>
      <c r="P68" s="634" t="s">
        <v>616</v>
      </c>
      <c r="Q68" s="634"/>
      <c r="R68" s="634" t="s">
        <v>353</v>
      </c>
      <c r="S68" s="626"/>
      <c r="T68" s="626"/>
      <c r="U68" s="626"/>
      <c r="V68" s="697">
        <v>0</v>
      </c>
      <c r="W68" s="697">
        <v>0</v>
      </c>
      <c r="X68" s="697">
        <v>0</v>
      </c>
      <c r="Y68" s="697">
        <v>0</v>
      </c>
      <c r="Z68" s="697">
        <v>0</v>
      </c>
      <c r="AA68" s="697">
        <v>0</v>
      </c>
    </row>
    <row r="69" spans="1:27" ht="15" hidden="1" thickBot="1">
      <c r="A69" s="637" t="s">
        <v>46</v>
      </c>
      <c r="B69" s="637"/>
      <c r="C69" s="637" t="s">
        <v>371</v>
      </c>
      <c r="D69" s="637" t="s">
        <v>617</v>
      </c>
      <c r="E69" s="637"/>
      <c r="F69" s="637" t="s">
        <v>618</v>
      </c>
      <c r="G69" s="637"/>
      <c r="H69" s="637" t="s">
        <v>619</v>
      </c>
      <c r="I69" s="637"/>
      <c r="J69" s="637" t="s">
        <v>620</v>
      </c>
      <c r="K69" s="637"/>
      <c r="L69" s="637" t="s">
        <v>621</v>
      </c>
      <c r="M69" s="637"/>
      <c r="N69" s="637" t="s">
        <v>622</v>
      </c>
      <c r="O69" s="638"/>
      <c r="P69" s="637" t="s">
        <v>623</v>
      </c>
      <c r="Q69" s="637"/>
      <c r="R69" s="637" t="s">
        <v>369</v>
      </c>
      <c r="S69" s="626"/>
      <c r="T69" s="626"/>
      <c r="U69" s="626"/>
      <c r="V69" s="697">
        <v>0</v>
      </c>
      <c r="W69" s="697">
        <v>0</v>
      </c>
      <c r="X69" s="697">
        <v>0</v>
      </c>
      <c r="Y69" s="697">
        <v>0</v>
      </c>
      <c r="Z69" s="697">
        <v>0</v>
      </c>
      <c r="AA69" s="697">
        <v>0</v>
      </c>
    </row>
    <row r="70" spans="1:27" hidden="1">
      <c r="A70" s="634">
        <v>1</v>
      </c>
      <c r="B70" s="634"/>
      <c r="C70" s="372"/>
      <c r="D70" s="372"/>
      <c r="E70" s="664"/>
      <c r="F70" s="664"/>
      <c r="G70" s="664"/>
      <c r="H70" s="664"/>
      <c r="I70" s="664"/>
      <c r="J70" s="664"/>
      <c r="K70" s="664"/>
      <c r="L70" s="664"/>
      <c r="M70" s="664"/>
      <c r="N70" s="664"/>
      <c r="O70" s="635"/>
      <c r="P70" s="372"/>
      <c r="Q70" s="664"/>
      <c r="R70" s="664"/>
      <c r="S70" s="626"/>
      <c r="T70" s="626"/>
      <c r="U70" s="626"/>
      <c r="V70" s="697">
        <v>0</v>
      </c>
      <c r="W70" s="697">
        <v>0</v>
      </c>
      <c r="X70" s="697">
        <v>0</v>
      </c>
      <c r="Y70" s="697">
        <v>0</v>
      </c>
      <c r="Z70" s="697">
        <v>0</v>
      </c>
      <c r="AA70" s="697">
        <v>0</v>
      </c>
    </row>
    <row r="71" spans="1:27" hidden="1">
      <c r="A71" s="634">
        <v>2</v>
      </c>
      <c r="B71" s="639"/>
      <c r="C71" s="372"/>
      <c r="D71" s="636" t="s">
        <v>646</v>
      </c>
      <c r="E71" s="372"/>
      <c r="F71" s="372"/>
      <c r="G71" s="372"/>
      <c r="H71" s="372"/>
      <c r="I71" s="372"/>
      <c r="J71" s="372"/>
      <c r="K71" s="372"/>
      <c r="L71" s="372"/>
      <c r="M71" s="372"/>
      <c r="N71" s="372"/>
      <c r="O71" s="635"/>
      <c r="P71" s="372"/>
      <c r="Q71" s="372"/>
      <c r="R71" s="372"/>
      <c r="S71" s="626"/>
      <c r="T71" s="626"/>
      <c r="U71" s="626"/>
      <c r="V71" s="697">
        <v>0</v>
      </c>
      <c r="W71" s="697">
        <v>0</v>
      </c>
      <c r="X71" s="697">
        <v>0</v>
      </c>
      <c r="Y71" s="697">
        <v>0</v>
      </c>
      <c r="Z71" s="697">
        <v>0</v>
      </c>
      <c r="AA71" s="697">
        <v>0</v>
      </c>
    </row>
    <row r="72" spans="1:27" hidden="1">
      <c r="A72" s="634">
        <v>3</v>
      </c>
      <c r="B72" s="639"/>
      <c r="C72" s="634">
        <v>31145</v>
      </c>
      <c r="D72" s="372" t="s">
        <v>627</v>
      </c>
      <c r="E72" s="372"/>
      <c r="F72" s="634">
        <v>2.1</v>
      </c>
      <c r="G72" s="635"/>
      <c r="H72" s="640">
        <v>31989</v>
      </c>
      <c r="I72" s="635"/>
      <c r="J72" s="634">
        <v>49</v>
      </c>
      <c r="K72" s="372"/>
      <c r="L72" s="634">
        <v>-39</v>
      </c>
      <c r="M72" s="372"/>
      <c r="N72" s="634" t="s">
        <v>628</v>
      </c>
      <c r="O72" s="635"/>
      <c r="P72" s="640">
        <v>31999</v>
      </c>
      <c r="Q72" s="372"/>
      <c r="R72" s="640">
        <v>31997</v>
      </c>
      <c r="S72" s="626"/>
      <c r="T72" s="626"/>
      <c r="U72" s="626"/>
      <c r="V72" s="696">
        <v>5</v>
      </c>
      <c r="W72" s="696">
        <v>5</v>
      </c>
      <c r="X72" s="696">
        <v>5</v>
      </c>
      <c r="Y72" s="697">
        <v>0</v>
      </c>
      <c r="Z72" s="696">
        <v>5</v>
      </c>
      <c r="AA72" s="696">
        <v>5</v>
      </c>
    </row>
    <row r="73" spans="1:27" hidden="1">
      <c r="A73" s="634">
        <v>4</v>
      </c>
      <c r="B73" s="639"/>
      <c r="C73" s="634">
        <v>31245</v>
      </c>
      <c r="D73" s="372" t="s">
        <v>629</v>
      </c>
      <c r="E73" s="372"/>
      <c r="F73" s="634">
        <v>3.1</v>
      </c>
      <c r="G73" s="635"/>
      <c r="H73" s="640">
        <v>193681</v>
      </c>
      <c r="I73" s="635"/>
      <c r="J73" s="640">
        <v>6467</v>
      </c>
      <c r="K73" s="372"/>
      <c r="L73" s="640">
        <v>-3867</v>
      </c>
      <c r="M73" s="372"/>
      <c r="N73" s="634" t="s">
        <v>628</v>
      </c>
      <c r="O73" s="635"/>
      <c r="P73" s="640">
        <v>196282</v>
      </c>
      <c r="Q73" s="372"/>
      <c r="R73" s="640">
        <v>194807</v>
      </c>
      <c r="S73" s="626"/>
      <c r="T73" s="626"/>
      <c r="U73" s="626"/>
      <c r="V73" s="696">
        <v>5</v>
      </c>
      <c r="W73" s="696">
        <v>5</v>
      </c>
      <c r="X73" s="696">
        <v>5</v>
      </c>
      <c r="Y73" s="697">
        <v>0</v>
      </c>
      <c r="Z73" s="696">
        <v>5</v>
      </c>
      <c r="AA73" s="696">
        <v>5</v>
      </c>
    </row>
    <row r="74" spans="1:27" hidden="1">
      <c r="A74" s="634">
        <v>5</v>
      </c>
      <c r="B74" s="639"/>
      <c r="C74" s="634">
        <v>31545</v>
      </c>
      <c r="D74" s="372" t="s">
        <v>631</v>
      </c>
      <c r="E74" s="372"/>
      <c r="F74" s="634">
        <v>2.4</v>
      </c>
      <c r="G74" s="635"/>
      <c r="H74" s="640">
        <v>26006</v>
      </c>
      <c r="I74" s="635"/>
      <c r="J74" s="634">
        <v>19</v>
      </c>
      <c r="K74" s="372"/>
      <c r="L74" s="634">
        <v>-38</v>
      </c>
      <c r="M74" s="372"/>
      <c r="N74" s="634" t="s">
        <v>628</v>
      </c>
      <c r="O74" s="635"/>
      <c r="P74" s="640">
        <v>25987</v>
      </c>
      <c r="Q74" s="372"/>
      <c r="R74" s="640">
        <v>25999</v>
      </c>
      <c r="S74" s="626"/>
      <c r="T74" s="626"/>
      <c r="U74" s="626"/>
      <c r="V74" s="696">
        <v>5</v>
      </c>
      <c r="W74" s="696">
        <v>5</v>
      </c>
      <c r="X74" s="696">
        <v>5</v>
      </c>
      <c r="Y74" s="697">
        <v>0</v>
      </c>
      <c r="Z74" s="696">
        <v>5</v>
      </c>
      <c r="AA74" s="696">
        <v>5</v>
      </c>
    </row>
    <row r="75" spans="1:27" hidden="1">
      <c r="A75" s="634">
        <v>6</v>
      </c>
      <c r="B75" s="639"/>
      <c r="C75" s="634">
        <v>31645</v>
      </c>
      <c r="D75" s="372" t="s">
        <v>632</v>
      </c>
      <c r="E75" s="372"/>
      <c r="F75" s="634">
        <v>0.6</v>
      </c>
      <c r="G75" s="635"/>
      <c r="H75" s="640">
        <v>1695</v>
      </c>
      <c r="I75" s="635"/>
      <c r="J75" s="634" t="s">
        <v>635</v>
      </c>
      <c r="K75" s="372"/>
      <c r="L75" s="634" t="s">
        <v>635</v>
      </c>
      <c r="M75" s="372"/>
      <c r="N75" s="634" t="s">
        <v>635</v>
      </c>
      <c r="O75" s="635"/>
      <c r="P75" s="640">
        <v>1695</v>
      </c>
      <c r="Q75" s="372"/>
      <c r="R75" s="640">
        <v>1695</v>
      </c>
      <c r="S75" s="626"/>
      <c r="T75" s="626"/>
      <c r="U75" s="626"/>
      <c r="V75" s="696">
        <v>5</v>
      </c>
      <c r="W75" s="697">
        <v>0</v>
      </c>
      <c r="X75" s="697">
        <v>0</v>
      </c>
      <c r="Y75" s="697">
        <v>0</v>
      </c>
      <c r="Z75" s="696">
        <v>5</v>
      </c>
      <c r="AA75" s="696">
        <v>5</v>
      </c>
    </row>
    <row r="76" spans="1:27" hidden="1">
      <c r="A76" s="634">
        <v>7</v>
      </c>
      <c r="B76" s="634"/>
      <c r="C76" s="634"/>
      <c r="D76" s="636" t="s">
        <v>647</v>
      </c>
      <c r="E76" s="372"/>
      <c r="F76" s="372"/>
      <c r="G76" s="372"/>
      <c r="H76" s="642">
        <v>253372</v>
      </c>
      <c r="I76" s="635"/>
      <c r="J76" s="642">
        <v>6535</v>
      </c>
      <c r="K76" s="635"/>
      <c r="L76" s="642">
        <v>-3944</v>
      </c>
      <c r="M76" s="635"/>
      <c r="N76" s="643" t="s">
        <v>628</v>
      </c>
      <c r="O76" s="635"/>
      <c r="P76" s="642">
        <v>255962</v>
      </c>
      <c r="Q76" s="635"/>
      <c r="R76" s="642">
        <v>254498</v>
      </c>
      <c r="S76" s="626"/>
      <c r="T76" s="626"/>
      <c r="U76" s="626"/>
      <c r="V76" s="696">
        <v>5</v>
      </c>
      <c r="W76" s="696">
        <v>5</v>
      </c>
      <c r="X76" s="696">
        <v>5</v>
      </c>
      <c r="Y76" s="697">
        <v>0</v>
      </c>
      <c r="Z76" s="696">
        <v>5</v>
      </c>
      <c r="AA76" s="696">
        <v>5</v>
      </c>
    </row>
    <row r="77" spans="1:27" hidden="1">
      <c r="A77" s="634">
        <v>8</v>
      </c>
      <c r="B77" s="634"/>
      <c r="C77" s="372"/>
      <c r="D77" s="372"/>
      <c r="E77" s="372"/>
      <c r="F77" s="372"/>
      <c r="G77" s="372"/>
      <c r="H77" s="372"/>
      <c r="I77" s="372"/>
      <c r="J77" s="372"/>
      <c r="K77" s="372"/>
      <c r="L77" s="372"/>
      <c r="M77" s="372"/>
      <c r="N77" s="372"/>
      <c r="O77" s="635"/>
      <c r="P77" s="372"/>
      <c r="Q77" s="372"/>
      <c r="R77" s="372"/>
      <c r="S77" s="626"/>
      <c r="T77" s="626"/>
      <c r="U77" s="626"/>
      <c r="V77" s="697">
        <v>0</v>
      </c>
      <c r="W77" s="697">
        <v>0</v>
      </c>
      <c r="X77" s="697">
        <v>0</v>
      </c>
      <c r="Y77" s="697">
        <v>0</v>
      </c>
      <c r="Z77" s="697">
        <v>0</v>
      </c>
      <c r="AA77" s="697">
        <v>0</v>
      </c>
    </row>
    <row r="78" spans="1:27" hidden="1">
      <c r="A78" s="634">
        <v>9</v>
      </c>
      <c r="B78" s="639"/>
      <c r="C78" s="634"/>
      <c r="D78" s="372" t="s">
        <v>648</v>
      </c>
      <c r="E78" s="372"/>
      <c r="F78" s="372"/>
      <c r="G78" s="372"/>
      <c r="H78" s="372"/>
      <c r="I78" s="635"/>
      <c r="J78" s="635"/>
      <c r="K78" s="635"/>
      <c r="L78" s="635"/>
      <c r="M78" s="635"/>
      <c r="N78" s="635"/>
      <c r="O78" s="635"/>
      <c r="P78" s="635"/>
      <c r="Q78" s="635"/>
      <c r="R78" s="635"/>
      <c r="S78" s="626"/>
      <c r="T78" s="626"/>
      <c r="U78" s="626"/>
      <c r="V78" s="697">
        <v>0</v>
      </c>
      <c r="W78" s="697">
        <v>0</v>
      </c>
      <c r="X78" s="697">
        <v>0</v>
      </c>
      <c r="Y78" s="697">
        <v>0</v>
      </c>
      <c r="Z78" s="697">
        <v>0</v>
      </c>
      <c r="AA78" s="697">
        <v>0</v>
      </c>
    </row>
    <row r="79" spans="1:27" hidden="1">
      <c r="A79" s="634">
        <v>10</v>
      </c>
      <c r="B79" s="639"/>
      <c r="C79" s="634">
        <v>31146</v>
      </c>
      <c r="D79" s="372" t="s">
        <v>627</v>
      </c>
      <c r="E79" s="372"/>
      <c r="F79" s="634">
        <v>2.9</v>
      </c>
      <c r="G79" s="635"/>
      <c r="H79" s="634" t="s">
        <v>628</v>
      </c>
      <c r="I79" s="635"/>
      <c r="J79" s="634" t="s">
        <v>635</v>
      </c>
      <c r="K79" s="372"/>
      <c r="L79" s="634" t="s">
        <v>635</v>
      </c>
      <c r="M79" s="372"/>
      <c r="N79" s="634" t="s">
        <v>635</v>
      </c>
      <c r="O79" s="635"/>
      <c r="P79" s="634" t="s">
        <v>635</v>
      </c>
      <c r="Q79" s="372"/>
      <c r="R79" s="634" t="s">
        <v>635</v>
      </c>
      <c r="S79" s="626"/>
      <c r="T79" s="626"/>
      <c r="U79" s="626"/>
      <c r="V79" s="697">
        <v>0</v>
      </c>
      <c r="W79" s="697">
        <v>0</v>
      </c>
      <c r="X79" s="697">
        <v>0</v>
      </c>
      <c r="Y79" s="697">
        <v>0</v>
      </c>
      <c r="Z79" s="697">
        <v>0</v>
      </c>
      <c r="AA79" s="697">
        <v>0</v>
      </c>
    </row>
    <row r="80" spans="1:27" hidden="1">
      <c r="A80" s="634">
        <v>11</v>
      </c>
      <c r="B80" s="639"/>
      <c r="C80" s="634">
        <v>31246</v>
      </c>
      <c r="D80" s="372" t="s">
        <v>629</v>
      </c>
      <c r="E80" s="372"/>
      <c r="F80" s="634">
        <v>4.3</v>
      </c>
      <c r="G80" s="635"/>
      <c r="H80" s="634" t="s">
        <v>628</v>
      </c>
      <c r="I80" s="635"/>
      <c r="J80" s="634" t="s">
        <v>635</v>
      </c>
      <c r="K80" s="372"/>
      <c r="L80" s="634" t="s">
        <v>635</v>
      </c>
      <c r="M80" s="372"/>
      <c r="N80" s="634" t="s">
        <v>635</v>
      </c>
      <c r="O80" s="635"/>
      <c r="P80" s="634" t="s">
        <v>635</v>
      </c>
      <c r="Q80" s="372"/>
      <c r="R80" s="634" t="s">
        <v>635</v>
      </c>
      <c r="S80" s="626"/>
      <c r="T80" s="626"/>
      <c r="U80" s="626"/>
      <c r="V80" s="697">
        <v>0</v>
      </c>
      <c r="W80" s="697">
        <v>0</v>
      </c>
      <c r="X80" s="697">
        <v>0</v>
      </c>
      <c r="Y80" s="697">
        <v>0</v>
      </c>
      <c r="Z80" s="697">
        <v>0</v>
      </c>
      <c r="AA80" s="697">
        <v>0</v>
      </c>
    </row>
    <row r="81" spans="1:27" hidden="1">
      <c r="A81" s="634">
        <v>12</v>
      </c>
      <c r="B81" s="639"/>
      <c r="C81" s="634">
        <v>31546</v>
      </c>
      <c r="D81" s="372" t="s">
        <v>631</v>
      </c>
      <c r="E81" s="372"/>
      <c r="F81" s="634">
        <v>3.5</v>
      </c>
      <c r="G81" s="635"/>
      <c r="H81" s="634" t="s">
        <v>628</v>
      </c>
      <c r="I81" s="635"/>
      <c r="J81" s="634" t="s">
        <v>635</v>
      </c>
      <c r="K81" s="372"/>
      <c r="L81" s="634" t="s">
        <v>635</v>
      </c>
      <c r="M81" s="372"/>
      <c r="N81" s="634" t="s">
        <v>635</v>
      </c>
      <c r="O81" s="635"/>
      <c r="P81" s="634" t="s">
        <v>635</v>
      </c>
      <c r="Q81" s="372"/>
      <c r="R81" s="634" t="s">
        <v>635</v>
      </c>
      <c r="S81" s="626"/>
      <c r="T81" s="626"/>
      <c r="U81" s="626"/>
      <c r="V81" s="697">
        <v>0</v>
      </c>
      <c r="W81" s="697">
        <v>0</v>
      </c>
      <c r="X81" s="697">
        <v>0</v>
      </c>
      <c r="Y81" s="697">
        <v>0</v>
      </c>
      <c r="Z81" s="697">
        <v>0</v>
      </c>
      <c r="AA81" s="697">
        <v>0</v>
      </c>
    </row>
    <row r="82" spans="1:27" hidden="1">
      <c r="A82" s="634">
        <v>13</v>
      </c>
      <c r="B82" s="639"/>
      <c r="C82" s="634">
        <v>31646</v>
      </c>
      <c r="D82" s="372" t="s">
        <v>632</v>
      </c>
      <c r="E82" s="372"/>
      <c r="F82" s="634">
        <v>2.7</v>
      </c>
      <c r="G82" s="635"/>
      <c r="H82" s="634" t="s">
        <v>628</v>
      </c>
      <c r="I82" s="635"/>
      <c r="J82" s="634" t="s">
        <v>635</v>
      </c>
      <c r="K82" s="372"/>
      <c r="L82" s="634" t="s">
        <v>635</v>
      </c>
      <c r="M82" s="372"/>
      <c r="N82" s="634" t="s">
        <v>635</v>
      </c>
      <c r="O82" s="635"/>
      <c r="P82" s="634" t="s">
        <v>635</v>
      </c>
      <c r="Q82" s="372"/>
      <c r="R82" s="634" t="s">
        <v>635</v>
      </c>
      <c r="S82" s="626"/>
      <c r="T82" s="626"/>
      <c r="U82" s="626"/>
      <c r="V82" s="697">
        <v>0</v>
      </c>
      <c r="W82" s="697">
        <v>0</v>
      </c>
      <c r="X82" s="697">
        <v>0</v>
      </c>
      <c r="Y82" s="697">
        <v>0</v>
      </c>
      <c r="Z82" s="697">
        <v>0</v>
      </c>
      <c r="AA82" s="697">
        <v>0</v>
      </c>
    </row>
    <row r="83" spans="1:27" hidden="1">
      <c r="A83" s="634">
        <v>14</v>
      </c>
      <c r="B83" s="639"/>
      <c r="C83" s="634"/>
      <c r="D83" s="372" t="s">
        <v>649</v>
      </c>
      <c r="E83" s="372"/>
      <c r="F83" s="372"/>
      <c r="G83" s="372"/>
      <c r="H83" s="643" t="s">
        <v>628</v>
      </c>
      <c r="I83" s="635"/>
      <c r="J83" s="643" t="s">
        <v>635</v>
      </c>
      <c r="K83" s="635"/>
      <c r="L83" s="643" t="s">
        <v>635</v>
      </c>
      <c r="M83" s="635"/>
      <c r="N83" s="643" t="s">
        <v>635</v>
      </c>
      <c r="O83" s="635"/>
      <c r="P83" s="643" t="s">
        <v>635</v>
      </c>
      <c r="Q83" s="635"/>
      <c r="R83" s="643" t="s">
        <v>635</v>
      </c>
      <c r="S83" s="626"/>
      <c r="T83" s="626"/>
      <c r="U83" s="626"/>
      <c r="V83" s="697">
        <v>0</v>
      </c>
      <c r="W83" s="697">
        <v>0</v>
      </c>
      <c r="X83" s="697">
        <v>0</v>
      </c>
      <c r="Y83" s="697">
        <v>0</v>
      </c>
      <c r="Z83" s="697">
        <v>0</v>
      </c>
      <c r="AA83" s="697">
        <v>0</v>
      </c>
    </row>
    <row r="84" spans="1:27" hidden="1">
      <c r="A84" s="634">
        <v>15</v>
      </c>
      <c r="B84" s="639"/>
      <c r="C84" s="372"/>
      <c r="D84" s="372"/>
      <c r="E84" s="372"/>
      <c r="F84" s="372"/>
      <c r="G84" s="372"/>
      <c r="H84" s="372"/>
      <c r="I84" s="372"/>
      <c r="J84" s="372"/>
      <c r="K84" s="372"/>
      <c r="L84" s="372"/>
      <c r="M84" s="372"/>
      <c r="N84" s="372"/>
      <c r="O84" s="635"/>
      <c r="P84" s="372"/>
      <c r="Q84" s="372"/>
      <c r="R84" s="372"/>
      <c r="S84" s="626"/>
      <c r="T84" s="626"/>
      <c r="U84" s="626"/>
      <c r="V84" s="697">
        <v>0</v>
      </c>
      <c r="W84" s="697">
        <v>0</v>
      </c>
      <c r="X84" s="697">
        <v>0</v>
      </c>
      <c r="Y84" s="697">
        <v>0</v>
      </c>
      <c r="Z84" s="697">
        <v>0</v>
      </c>
      <c r="AA84" s="697">
        <v>0</v>
      </c>
    </row>
    <row r="85" spans="1:27" hidden="1">
      <c r="A85" s="634">
        <v>16</v>
      </c>
      <c r="B85" s="639"/>
      <c r="C85" s="635"/>
      <c r="D85" s="636" t="s">
        <v>650</v>
      </c>
      <c r="E85" s="372"/>
      <c r="F85" s="372"/>
      <c r="G85" s="372"/>
      <c r="H85" s="372"/>
      <c r="I85" s="635"/>
      <c r="J85" s="635"/>
      <c r="K85" s="635"/>
      <c r="L85" s="635"/>
      <c r="M85" s="635"/>
      <c r="N85" s="635"/>
      <c r="O85" s="635"/>
      <c r="P85" s="635"/>
      <c r="Q85" s="635"/>
      <c r="R85" s="635"/>
      <c r="S85" s="626"/>
      <c r="T85" s="626"/>
      <c r="U85" s="626"/>
      <c r="V85" s="697">
        <v>0</v>
      </c>
      <c r="W85" s="697">
        <v>0</v>
      </c>
      <c r="X85" s="697">
        <v>0</v>
      </c>
      <c r="Y85" s="697">
        <v>0</v>
      </c>
      <c r="Z85" s="697">
        <v>0</v>
      </c>
      <c r="AA85" s="697">
        <v>0</v>
      </c>
    </row>
    <row r="86" spans="1:27" hidden="1">
      <c r="A86" s="634">
        <v>17</v>
      </c>
      <c r="B86" s="639"/>
      <c r="C86" s="634">
        <v>31151</v>
      </c>
      <c r="D86" s="372" t="s">
        <v>627</v>
      </c>
      <c r="E86" s="372"/>
      <c r="F86" s="634">
        <v>4</v>
      </c>
      <c r="G86" s="635"/>
      <c r="H86" s="634" t="s">
        <v>628</v>
      </c>
      <c r="I86" s="635"/>
      <c r="J86" s="634" t="s">
        <v>635</v>
      </c>
      <c r="K86" s="372"/>
      <c r="L86" s="634" t="s">
        <v>635</v>
      </c>
      <c r="M86" s="372"/>
      <c r="N86" s="634" t="s">
        <v>635</v>
      </c>
      <c r="O86" s="635"/>
      <c r="P86" s="634" t="s">
        <v>635</v>
      </c>
      <c r="Q86" s="372"/>
      <c r="R86" s="634" t="s">
        <v>635</v>
      </c>
      <c r="S86" s="626"/>
      <c r="T86" s="626"/>
      <c r="U86" s="626"/>
      <c r="V86" s="697">
        <v>0</v>
      </c>
      <c r="W86" s="697">
        <v>0</v>
      </c>
      <c r="X86" s="697">
        <v>0</v>
      </c>
      <c r="Y86" s="697">
        <v>0</v>
      </c>
      <c r="Z86" s="697">
        <v>0</v>
      </c>
      <c r="AA86" s="697">
        <v>0</v>
      </c>
    </row>
    <row r="87" spans="1:27" hidden="1">
      <c r="A87" s="634">
        <v>18</v>
      </c>
      <c r="B87" s="639"/>
      <c r="C87" s="634">
        <v>31251</v>
      </c>
      <c r="D87" s="372" t="s">
        <v>629</v>
      </c>
      <c r="E87" s="372"/>
      <c r="F87" s="634">
        <v>4.3</v>
      </c>
      <c r="G87" s="635"/>
      <c r="H87" s="634" t="s">
        <v>628</v>
      </c>
      <c r="I87" s="635"/>
      <c r="J87" s="634" t="s">
        <v>635</v>
      </c>
      <c r="K87" s="372"/>
      <c r="L87" s="634" t="s">
        <v>635</v>
      </c>
      <c r="M87" s="372"/>
      <c r="N87" s="634" t="s">
        <v>635</v>
      </c>
      <c r="O87" s="635"/>
      <c r="P87" s="634" t="s">
        <v>635</v>
      </c>
      <c r="Q87" s="372"/>
      <c r="R87" s="634" t="s">
        <v>635</v>
      </c>
      <c r="S87" s="626"/>
      <c r="T87" s="626"/>
      <c r="U87" s="626"/>
      <c r="V87" s="697">
        <v>0</v>
      </c>
      <c r="W87" s="697">
        <v>0</v>
      </c>
      <c r="X87" s="697">
        <v>0</v>
      </c>
      <c r="Y87" s="697">
        <v>0</v>
      </c>
      <c r="Z87" s="697">
        <v>0</v>
      </c>
      <c r="AA87" s="697">
        <v>0</v>
      </c>
    </row>
    <row r="88" spans="1:27" hidden="1">
      <c r="A88" s="634">
        <v>19</v>
      </c>
      <c r="B88" s="639"/>
      <c r="C88" s="634">
        <v>31551</v>
      </c>
      <c r="D88" s="372" t="s">
        <v>631</v>
      </c>
      <c r="E88" s="372"/>
      <c r="F88" s="634">
        <v>4</v>
      </c>
      <c r="G88" s="635"/>
      <c r="H88" s="634" t="s">
        <v>628</v>
      </c>
      <c r="I88" s="635"/>
      <c r="J88" s="634" t="s">
        <v>635</v>
      </c>
      <c r="K88" s="372"/>
      <c r="L88" s="634" t="s">
        <v>635</v>
      </c>
      <c r="M88" s="372"/>
      <c r="N88" s="634" t="s">
        <v>635</v>
      </c>
      <c r="O88" s="635"/>
      <c r="P88" s="634" t="s">
        <v>635</v>
      </c>
      <c r="Q88" s="372"/>
      <c r="R88" s="634" t="s">
        <v>635</v>
      </c>
      <c r="S88" s="626"/>
      <c r="T88" s="626"/>
      <c r="U88" s="626"/>
      <c r="V88" s="697">
        <v>0</v>
      </c>
      <c r="W88" s="697">
        <v>0</v>
      </c>
      <c r="X88" s="697">
        <v>0</v>
      </c>
      <c r="Y88" s="697">
        <v>0</v>
      </c>
      <c r="Z88" s="697">
        <v>0</v>
      </c>
      <c r="AA88" s="697">
        <v>0</v>
      </c>
    </row>
    <row r="89" spans="1:27" hidden="1">
      <c r="A89" s="634">
        <v>20</v>
      </c>
      <c r="B89" s="639"/>
      <c r="C89" s="634">
        <v>31651</v>
      </c>
      <c r="D89" s="372" t="s">
        <v>651</v>
      </c>
      <c r="E89" s="372"/>
      <c r="F89" s="634">
        <v>4</v>
      </c>
      <c r="G89" s="635"/>
      <c r="H89" s="634" t="s">
        <v>628</v>
      </c>
      <c r="I89" s="635"/>
      <c r="J89" s="634" t="s">
        <v>635</v>
      </c>
      <c r="K89" s="372"/>
      <c r="L89" s="634" t="s">
        <v>635</v>
      </c>
      <c r="M89" s="372"/>
      <c r="N89" s="634" t="s">
        <v>635</v>
      </c>
      <c r="O89" s="635"/>
      <c r="P89" s="634" t="s">
        <v>635</v>
      </c>
      <c r="Q89" s="372"/>
      <c r="R89" s="634" t="s">
        <v>635</v>
      </c>
      <c r="S89" s="626"/>
      <c r="T89" s="626"/>
      <c r="U89" s="626"/>
      <c r="V89" s="697">
        <v>0</v>
      </c>
      <c r="W89" s="697">
        <v>0</v>
      </c>
      <c r="X89" s="697">
        <v>0</v>
      </c>
      <c r="Y89" s="697">
        <v>0</v>
      </c>
      <c r="Z89" s="697">
        <v>0</v>
      </c>
      <c r="AA89" s="697">
        <v>0</v>
      </c>
    </row>
    <row r="90" spans="1:27" hidden="1">
      <c r="A90" s="634">
        <v>21</v>
      </c>
      <c r="B90" s="639"/>
      <c r="C90" s="634"/>
      <c r="D90" s="636" t="s">
        <v>652</v>
      </c>
      <c r="E90" s="372"/>
      <c r="F90" s="372"/>
      <c r="G90" s="372"/>
      <c r="H90" s="643" t="s">
        <v>628</v>
      </c>
      <c r="I90" s="635"/>
      <c r="J90" s="643" t="s">
        <v>635</v>
      </c>
      <c r="K90" s="635"/>
      <c r="L90" s="643" t="s">
        <v>635</v>
      </c>
      <c r="M90" s="635"/>
      <c r="N90" s="643" t="s">
        <v>635</v>
      </c>
      <c r="O90" s="635"/>
      <c r="P90" s="643" t="s">
        <v>635</v>
      </c>
      <c r="Q90" s="635"/>
      <c r="R90" s="643" t="s">
        <v>635</v>
      </c>
      <c r="S90" s="626"/>
      <c r="T90" s="626"/>
      <c r="U90" s="626"/>
      <c r="V90" s="697">
        <v>0</v>
      </c>
      <c r="W90" s="697">
        <v>0</v>
      </c>
      <c r="X90" s="697">
        <v>0</v>
      </c>
      <c r="Y90" s="697">
        <v>0</v>
      </c>
      <c r="Z90" s="697">
        <v>0</v>
      </c>
      <c r="AA90" s="697">
        <v>0</v>
      </c>
    </row>
    <row r="91" spans="1:27" hidden="1">
      <c r="A91" s="634">
        <v>22</v>
      </c>
      <c r="B91" s="639"/>
      <c r="C91" s="372"/>
      <c r="D91" s="372"/>
      <c r="E91" s="372"/>
      <c r="F91" s="372"/>
      <c r="G91" s="372"/>
      <c r="H91" s="372"/>
      <c r="I91" s="372"/>
      <c r="J91" s="372"/>
      <c r="K91" s="372"/>
      <c r="L91" s="372"/>
      <c r="M91" s="372"/>
      <c r="N91" s="372"/>
      <c r="O91" s="635"/>
      <c r="P91" s="372"/>
      <c r="Q91" s="372"/>
      <c r="R91" s="372"/>
      <c r="S91" s="626"/>
      <c r="T91" s="626"/>
      <c r="U91" s="626"/>
      <c r="V91" s="697">
        <v>0</v>
      </c>
      <c r="W91" s="697">
        <v>0</v>
      </c>
      <c r="X91" s="697">
        <v>0</v>
      </c>
      <c r="Y91" s="697">
        <v>0</v>
      </c>
      <c r="Z91" s="697">
        <v>0</v>
      </c>
      <c r="AA91" s="697">
        <v>0</v>
      </c>
    </row>
    <row r="92" spans="1:27" hidden="1">
      <c r="A92" s="634">
        <v>23</v>
      </c>
      <c r="B92" s="639"/>
      <c r="C92" s="635"/>
      <c r="D92" s="636" t="s">
        <v>653</v>
      </c>
      <c r="E92" s="372"/>
      <c r="F92" s="372"/>
      <c r="G92" s="372"/>
      <c r="H92" s="372"/>
      <c r="I92" s="635"/>
      <c r="J92" s="635"/>
      <c r="K92" s="635"/>
      <c r="L92" s="635"/>
      <c r="M92" s="635"/>
      <c r="N92" s="635"/>
      <c r="O92" s="635"/>
      <c r="P92" s="635"/>
      <c r="Q92" s="635"/>
      <c r="R92" s="635"/>
      <c r="S92" s="626"/>
      <c r="T92" s="626"/>
      <c r="U92" s="626"/>
      <c r="V92" s="697">
        <v>0</v>
      </c>
      <c r="W92" s="697">
        <v>0</v>
      </c>
      <c r="X92" s="697">
        <v>0</v>
      </c>
      <c r="Y92" s="697">
        <v>0</v>
      </c>
      <c r="Z92" s="697">
        <v>0</v>
      </c>
      <c r="AA92" s="697">
        <v>0</v>
      </c>
    </row>
    <row r="93" spans="1:27" hidden="1">
      <c r="A93" s="634">
        <v>24</v>
      </c>
      <c r="B93" s="639"/>
      <c r="C93" s="634">
        <v>31152</v>
      </c>
      <c r="D93" s="372" t="s">
        <v>627</v>
      </c>
      <c r="E93" s="372"/>
      <c r="F93" s="634">
        <v>3.5</v>
      </c>
      <c r="G93" s="635"/>
      <c r="H93" s="634" t="s">
        <v>628</v>
      </c>
      <c r="I93" s="635"/>
      <c r="J93" s="634" t="s">
        <v>635</v>
      </c>
      <c r="K93" s="372"/>
      <c r="L93" s="634" t="s">
        <v>635</v>
      </c>
      <c r="M93" s="372"/>
      <c r="N93" s="634" t="s">
        <v>635</v>
      </c>
      <c r="O93" s="635"/>
      <c r="P93" s="634" t="s">
        <v>635</v>
      </c>
      <c r="Q93" s="372"/>
      <c r="R93" s="634" t="s">
        <v>635</v>
      </c>
      <c r="S93" s="626"/>
      <c r="T93" s="626"/>
      <c r="U93" s="626"/>
      <c r="V93" s="697">
        <v>0</v>
      </c>
      <c r="W93" s="697">
        <v>0</v>
      </c>
      <c r="X93" s="697">
        <v>0</v>
      </c>
      <c r="Y93" s="697">
        <v>0</v>
      </c>
      <c r="Z93" s="697">
        <v>0</v>
      </c>
      <c r="AA93" s="697">
        <v>0</v>
      </c>
    </row>
    <row r="94" spans="1:27" hidden="1">
      <c r="A94" s="634">
        <v>25</v>
      </c>
      <c r="B94" s="639"/>
      <c r="C94" s="634">
        <v>31252</v>
      </c>
      <c r="D94" s="372" t="s">
        <v>629</v>
      </c>
      <c r="E94" s="372"/>
      <c r="F94" s="634">
        <v>4.2</v>
      </c>
      <c r="G94" s="635"/>
      <c r="H94" s="634" t="s">
        <v>628</v>
      </c>
      <c r="I94" s="635"/>
      <c r="J94" s="634" t="s">
        <v>635</v>
      </c>
      <c r="K94" s="372"/>
      <c r="L94" s="634" t="s">
        <v>635</v>
      </c>
      <c r="M94" s="372"/>
      <c r="N94" s="634" t="s">
        <v>635</v>
      </c>
      <c r="O94" s="635"/>
      <c r="P94" s="634" t="s">
        <v>635</v>
      </c>
      <c r="Q94" s="372"/>
      <c r="R94" s="634" t="s">
        <v>635</v>
      </c>
      <c r="S94" s="626"/>
      <c r="T94" s="626"/>
      <c r="U94" s="626"/>
      <c r="V94" s="697">
        <v>0</v>
      </c>
      <c r="W94" s="697">
        <v>0</v>
      </c>
      <c r="X94" s="697">
        <v>0</v>
      </c>
      <c r="Y94" s="697">
        <v>0</v>
      </c>
      <c r="Z94" s="697">
        <v>0</v>
      </c>
      <c r="AA94" s="697">
        <v>0</v>
      </c>
    </row>
    <row r="95" spans="1:27" hidden="1">
      <c r="A95" s="634">
        <v>26</v>
      </c>
      <c r="B95" s="639"/>
      <c r="C95" s="634">
        <v>31552</v>
      </c>
      <c r="D95" s="372" t="s">
        <v>631</v>
      </c>
      <c r="E95" s="372"/>
      <c r="F95" s="634">
        <v>3.7</v>
      </c>
      <c r="G95" s="635"/>
      <c r="H95" s="634" t="s">
        <v>628</v>
      </c>
      <c r="I95" s="635"/>
      <c r="J95" s="634" t="s">
        <v>635</v>
      </c>
      <c r="K95" s="372"/>
      <c r="L95" s="634" t="s">
        <v>635</v>
      </c>
      <c r="M95" s="372"/>
      <c r="N95" s="634" t="s">
        <v>635</v>
      </c>
      <c r="O95" s="635"/>
      <c r="P95" s="634" t="s">
        <v>635</v>
      </c>
      <c r="Q95" s="372"/>
      <c r="R95" s="634" t="s">
        <v>635</v>
      </c>
      <c r="S95" s="626"/>
      <c r="T95" s="626"/>
      <c r="U95" s="626"/>
      <c r="V95" s="697">
        <v>0</v>
      </c>
      <c r="W95" s="697">
        <v>0</v>
      </c>
      <c r="X95" s="697">
        <v>0</v>
      </c>
      <c r="Y95" s="697">
        <v>0</v>
      </c>
      <c r="Z95" s="697">
        <v>0</v>
      </c>
      <c r="AA95" s="697">
        <v>0</v>
      </c>
    </row>
    <row r="96" spans="1:27" hidden="1">
      <c r="A96" s="634">
        <v>27</v>
      </c>
      <c r="B96" s="639"/>
      <c r="C96" s="634">
        <v>31652</v>
      </c>
      <c r="D96" s="372" t="s">
        <v>632</v>
      </c>
      <c r="E96" s="372"/>
      <c r="F96" s="634">
        <v>3.4</v>
      </c>
      <c r="G96" s="635"/>
      <c r="H96" s="634" t="s">
        <v>628</v>
      </c>
      <c r="I96" s="635"/>
      <c r="J96" s="634" t="s">
        <v>635</v>
      </c>
      <c r="K96" s="372"/>
      <c r="L96" s="634" t="s">
        <v>635</v>
      </c>
      <c r="M96" s="372"/>
      <c r="N96" s="634" t="s">
        <v>635</v>
      </c>
      <c r="O96" s="635"/>
      <c r="P96" s="634" t="s">
        <v>635</v>
      </c>
      <c r="Q96" s="372"/>
      <c r="R96" s="634" t="s">
        <v>635</v>
      </c>
      <c r="S96" s="626"/>
      <c r="T96" s="626"/>
      <c r="U96" s="626"/>
      <c r="V96" s="697">
        <v>0</v>
      </c>
      <c r="W96" s="697">
        <v>0</v>
      </c>
      <c r="X96" s="697">
        <v>0</v>
      </c>
      <c r="Y96" s="697">
        <v>0</v>
      </c>
      <c r="Z96" s="697">
        <v>0</v>
      </c>
      <c r="AA96" s="697">
        <v>0</v>
      </c>
    </row>
    <row r="97" spans="1:27" hidden="1">
      <c r="A97" s="634">
        <v>28</v>
      </c>
      <c r="B97" s="639"/>
      <c r="C97" s="372"/>
      <c r="D97" s="636" t="s">
        <v>654</v>
      </c>
      <c r="E97" s="372"/>
      <c r="F97" s="372"/>
      <c r="G97" s="372"/>
      <c r="H97" s="643" t="s">
        <v>628</v>
      </c>
      <c r="I97" s="635"/>
      <c r="J97" s="643" t="s">
        <v>635</v>
      </c>
      <c r="K97" s="635"/>
      <c r="L97" s="643" t="s">
        <v>635</v>
      </c>
      <c r="M97" s="635"/>
      <c r="N97" s="643" t="s">
        <v>635</v>
      </c>
      <c r="O97" s="635"/>
      <c r="P97" s="643" t="s">
        <v>635</v>
      </c>
      <c r="Q97" s="635"/>
      <c r="R97" s="643" t="s">
        <v>635</v>
      </c>
      <c r="S97" s="626"/>
      <c r="T97" s="626"/>
      <c r="U97" s="626"/>
      <c r="V97" s="697">
        <v>0</v>
      </c>
      <c r="W97" s="697">
        <v>0</v>
      </c>
      <c r="X97" s="697">
        <v>0</v>
      </c>
      <c r="Y97" s="697">
        <v>0</v>
      </c>
      <c r="Z97" s="697">
        <v>0</v>
      </c>
      <c r="AA97" s="697">
        <v>0</v>
      </c>
    </row>
    <row r="98" spans="1:27" hidden="1">
      <c r="A98" s="634">
        <v>29</v>
      </c>
      <c r="B98" s="639"/>
      <c r="C98" s="372"/>
      <c r="D98" s="372"/>
      <c r="E98" s="372"/>
      <c r="F98" s="372"/>
      <c r="G98" s="372"/>
      <c r="H98" s="372"/>
      <c r="I98" s="372"/>
      <c r="J98" s="372"/>
      <c r="K98" s="372"/>
      <c r="L98" s="372"/>
      <c r="M98" s="372"/>
      <c r="N98" s="372"/>
      <c r="O98" s="635"/>
      <c r="P98" s="372"/>
      <c r="Q98" s="372"/>
      <c r="R98" s="372"/>
      <c r="S98" s="626"/>
      <c r="T98" s="626"/>
      <c r="U98" s="626"/>
      <c r="V98" s="697">
        <v>0</v>
      </c>
      <c r="W98" s="697">
        <v>0</v>
      </c>
      <c r="X98" s="697">
        <v>0</v>
      </c>
      <c r="Y98" s="697">
        <v>0</v>
      </c>
      <c r="Z98" s="697">
        <v>0</v>
      </c>
      <c r="AA98" s="697">
        <v>0</v>
      </c>
    </row>
    <row r="99" spans="1:27" hidden="1">
      <c r="A99" s="634">
        <v>30</v>
      </c>
      <c r="B99" s="639"/>
      <c r="C99" s="635"/>
      <c r="D99" s="636" t="s">
        <v>655</v>
      </c>
      <c r="E99" s="372"/>
      <c r="F99" s="372"/>
      <c r="G99" s="372"/>
      <c r="H99" s="372"/>
      <c r="I99" s="372"/>
      <c r="J99" s="372"/>
      <c r="K99" s="372"/>
      <c r="L99" s="372"/>
      <c r="M99" s="372"/>
      <c r="N99" s="372"/>
      <c r="O99" s="635"/>
      <c r="P99" s="372"/>
      <c r="Q99" s="372"/>
      <c r="R99" s="372"/>
      <c r="S99" s="626"/>
      <c r="T99" s="626"/>
      <c r="U99" s="626"/>
      <c r="V99" s="697">
        <v>0</v>
      </c>
      <c r="W99" s="697">
        <v>0</v>
      </c>
      <c r="X99" s="697">
        <v>0</v>
      </c>
      <c r="Y99" s="697">
        <v>0</v>
      </c>
      <c r="Z99" s="697">
        <v>0</v>
      </c>
      <c r="AA99" s="697">
        <v>0</v>
      </c>
    </row>
    <row r="100" spans="1:27" hidden="1">
      <c r="A100" s="634">
        <v>31</v>
      </c>
      <c r="B100" s="639"/>
      <c r="C100" s="634">
        <v>31153</v>
      </c>
      <c r="D100" s="372" t="s">
        <v>627</v>
      </c>
      <c r="E100" s="372"/>
      <c r="F100" s="634">
        <v>3.1</v>
      </c>
      <c r="G100" s="635"/>
      <c r="H100" s="634" t="s">
        <v>628</v>
      </c>
      <c r="I100" s="635"/>
      <c r="J100" s="634" t="s">
        <v>635</v>
      </c>
      <c r="K100" s="372"/>
      <c r="L100" s="634" t="s">
        <v>635</v>
      </c>
      <c r="M100" s="372"/>
      <c r="N100" s="634" t="s">
        <v>635</v>
      </c>
      <c r="O100" s="635"/>
      <c r="P100" s="634" t="s">
        <v>635</v>
      </c>
      <c r="Q100" s="372"/>
      <c r="R100" s="634" t="s">
        <v>635</v>
      </c>
      <c r="S100" s="626"/>
      <c r="T100" s="626"/>
      <c r="U100" s="626"/>
      <c r="V100" s="697">
        <v>0</v>
      </c>
      <c r="W100" s="697">
        <v>0</v>
      </c>
      <c r="X100" s="697">
        <v>0</v>
      </c>
      <c r="Y100" s="697">
        <v>0</v>
      </c>
      <c r="Z100" s="697">
        <v>0</v>
      </c>
      <c r="AA100" s="697">
        <v>0</v>
      </c>
    </row>
    <row r="101" spans="1:27" hidden="1">
      <c r="A101" s="634">
        <v>32</v>
      </c>
      <c r="B101" s="639"/>
      <c r="C101" s="634">
        <v>31253</v>
      </c>
      <c r="D101" s="372" t="s">
        <v>629</v>
      </c>
      <c r="E101" s="372"/>
      <c r="F101" s="634">
        <v>3.5</v>
      </c>
      <c r="G101" s="635"/>
      <c r="H101" s="634" t="s">
        <v>628</v>
      </c>
      <c r="I101" s="635"/>
      <c r="J101" s="634" t="s">
        <v>635</v>
      </c>
      <c r="K101" s="372"/>
      <c r="L101" s="634" t="s">
        <v>635</v>
      </c>
      <c r="M101" s="372"/>
      <c r="N101" s="634" t="s">
        <v>635</v>
      </c>
      <c r="O101" s="635"/>
      <c r="P101" s="634" t="s">
        <v>635</v>
      </c>
      <c r="Q101" s="372"/>
      <c r="R101" s="634" t="s">
        <v>635</v>
      </c>
      <c r="S101" s="626"/>
      <c r="T101" s="626"/>
      <c r="U101" s="626"/>
      <c r="V101" s="697">
        <v>0</v>
      </c>
      <c r="W101" s="697">
        <v>0</v>
      </c>
      <c r="X101" s="697">
        <v>0</v>
      </c>
      <c r="Y101" s="697">
        <v>0</v>
      </c>
      <c r="Z101" s="697">
        <v>0</v>
      </c>
      <c r="AA101" s="697">
        <v>0</v>
      </c>
    </row>
    <row r="102" spans="1:27" hidden="1">
      <c r="A102" s="634">
        <v>33</v>
      </c>
      <c r="B102" s="639"/>
      <c r="C102" s="634">
        <v>31553</v>
      </c>
      <c r="D102" s="372" t="s">
        <v>631</v>
      </c>
      <c r="E102" s="372"/>
      <c r="F102" s="634">
        <v>3.2</v>
      </c>
      <c r="G102" s="635"/>
      <c r="H102" s="634" t="s">
        <v>628</v>
      </c>
      <c r="I102" s="635"/>
      <c r="J102" s="634" t="s">
        <v>635</v>
      </c>
      <c r="K102" s="372"/>
      <c r="L102" s="634" t="s">
        <v>635</v>
      </c>
      <c r="M102" s="372"/>
      <c r="N102" s="634" t="s">
        <v>635</v>
      </c>
      <c r="O102" s="635"/>
      <c r="P102" s="634" t="s">
        <v>635</v>
      </c>
      <c r="Q102" s="372"/>
      <c r="R102" s="634" t="s">
        <v>635</v>
      </c>
      <c r="S102" s="626"/>
      <c r="T102" s="626"/>
      <c r="U102" s="626"/>
      <c r="V102" s="697">
        <v>0</v>
      </c>
      <c r="W102" s="697">
        <v>0</v>
      </c>
      <c r="X102" s="697">
        <v>0</v>
      </c>
      <c r="Y102" s="697">
        <v>0</v>
      </c>
      <c r="Z102" s="697">
        <v>0</v>
      </c>
      <c r="AA102" s="697">
        <v>0</v>
      </c>
    </row>
    <row r="103" spans="1:27" hidden="1">
      <c r="A103" s="634">
        <v>34</v>
      </c>
      <c r="B103" s="639"/>
      <c r="C103" s="634">
        <v>31653</v>
      </c>
      <c r="D103" s="372" t="s">
        <v>632</v>
      </c>
      <c r="E103" s="372"/>
      <c r="F103" s="634">
        <v>2.9</v>
      </c>
      <c r="G103" s="635"/>
      <c r="H103" s="634" t="s">
        <v>628</v>
      </c>
      <c r="I103" s="635"/>
      <c r="J103" s="634" t="s">
        <v>635</v>
      </c>
      <c r="K103" s="372"/>
      <c r="L103" s="634" t="s">
        <v>635</v>
      </c>
      <c r="M103" s="372"/>
      <c r="N103" s="634" t="s">
        <v>635</v>
      </c>
      <c r="O103" s="635"/>
      <c r="P103" s="634" t="s">
        <v>635</v>
      </c>
      <c r="Q103" s="372"/>
      <c r="R103" s="634" t="s">
        <v>635</v>
      </c>
      <c r="S103" s="626"/>
      <c r="T103" s="626"/>
      <c r="U103" s="626"/>
      <c r="V103" s="697">
        <v>0</v>
      </c>
      <c r="W103" s="697">
        <v>0</v>
      </c>
      <c r="X103" s="697">
        <v>0</v>
      </c>
      <c r="Y103" s="697">
        <v>0</v>
      </c>
      <c r="Z103" s="697">
        <v>0</v>
      </c>
      <c r="AA103" s="697">
        <v>0</v>
      </c>
    </row>
    <row r="104" spans="1:27" hidden="1">
      <c r="A104" s="634">
        <v>35</v>
      </c>
      <c r="B104" s="639"/>
      <c r="C104" s="634"/>
      <c r="D104" s="636" t="s">
        <v>656</v>
      </c>
      <c r="E104" s="372"/>
      <c r="F104" s="372"/>
      <c r="G104" s="372"/>
      <c r="H104" s="643" t="s">
        <v>628</v>
      </c>
      <c r="I104" s="635"/>
      <c r="J104" s="643" t="s">
        <v>635</v>
      </c>
      <c r="K104" s="635"/>
      <c r="L104" s="643" t="s">
        <v>635</v>
      </c>
      <c r="M104" s="635"/>
      <c r="N104" s="643" t="s">
        <v>635</v>
      </c>
      <c r="O104" s="635"/>
      <c r="P104" s="643" t="s">
        <v>635</v>
      </c>
      <c r="Q104" s="635"/>
      <c r="R104" s="643" t="s">
        <v>635</v>
      </c>
      <c r="S104" s="626"/>
      <c r="T104" s="626"/>
      <c r="U104" s="626"/>
      <c r="V104" s="697">
        <v>0</v>
      </c>
      <c r="W104" s="697">
        <v>0</v>
      </c>
      <c r="X104" s="697">
        <v>0</v>
      </c>
      <c r="Y104" s="697">
        <v>0</v>
      </c>
      <c r="Z104" s="697">
        <v>0</v>
      </c>
      <c r="AA104" s="697">
        <v>0</v>
      </c>
    </row>
    <row r="105" spans="1:27" hidden="1">
      <c r="A105" s="634">
        <v>36</v>
      </c>
      <c r="B105" s="639"/>
      <c r="C105" s="372"/>
      <c r="D105" s="372"/>
      <c r="E105" s="372"/>
      <c r="F105" s="372"/>
      <c r="G105" s="372"/>
      <c r="H105" s="372"/>
      <c r="I105" s="372"/>
      <c r="J105" s="372"/>
      <c r="K105" s="372"/>
      <c r="L105" s="372"/>
      <c r="M105" s="372"/>
      <c r="N105" s="372"/>
      <c r="O105" s="635"/>
      <c r="P105" s="372"/>
      <c r="Q105" s="372"/>
      <c r="R105" s="372"/>
      <c r="S105" s="626"/>
      <c r="T105" s="626"/>
      <c r="U105" s="626"/>
      <c r="V105" s="697">
        <v>0</v>
      </c>
      <c r="W105" s="697">
        <v>0</v>
      </c>
      <c r="X105" s="697">
        <v>0</v>
      </c>
      <c r="Y105" s="697">
        <v>0</v>
      </c>
      <c r="Z105" s="697">
        <v>0</v>
      </c>
      <c r="AA105" s="697">
        <v>0</v>
      </c>
    </row>
    <row r="106" spans="1:27" hidden="1">
      <c r="A106" s="634">
        <v>37</v>
      </c>
      <c r="B106" s="639"/>
      <c r="C106" s="635"/>
      <c r="D106" s="636" t="s">
        <v>657</v>
      </c>
      <c r="E106" s="372"/>
      <c r="F106" s="372"/>
      <c r="G106" s="372"/>
      <c r="H106" s="372"/>
      <c r="I106" s="635"/>
      <c r="J106" s="635"/>
      <c r="K106" s="635"/>
      <c r="L106" s="635"/>
      <c r="M106" s="635"/>
      <c r="N106" s="635"/>
      <c r="O106" s="635"/>
      <c r="P106" s="635"/>
      <c r="Q106" s="635"/>
      <c r="R106" s="635"/>
      <c r="S106" s="626"/>
      <c r="T106" s="626"/>
      <c r="U106" s="626"/>
      <c r="V106" s="697">
        <v>0</v>
      </c>
      <c r="W106" s="697">
        <v>0</v>
      </c>
      <c r="X106" s="697">
        <v>0</v>
      </c>
      <c r="Y106" s="697">
        <v>0</v>
      </c>
      <c r="Z106" s="697">
        <v>0</v>
      </c>
      <c r="AA106" s="697">
        <v>0</v>
      </c>
    </row>
    <row r="107" spans="1:27" hidden="1">
      <c r="A107" s="634">
        <v>38</v>
      </c>
      <c r="B107" s="639"/>
      <c r="C107" s="634">
        <v>31154</v>
      </c>
      <c r="D107" s="372" t="s">
        <v>627</v>
      </c>
      <c r="E107" s="372"/>
      <c r="F107" s="634">
        <v>2.8</v>
      </c>
      <c r="G107" s="635"/>
      <c r="H107" s="640">
        <v>17029</v>
      </c>
      <c r="I107" s="635"/>
      <c r="J107" s="634" t="s">
        <v>635</v>
      </c>
      <c r="K107" s="372"/>
      <c r="L107" s="634">
        <v>-34</v>
      </c>
      <c r="M107" s="372"/>
      <c r="N107" s="634" t="s">
        <v>628</v>
      </c>
      <c r="O107" s="635"/>
      <c r="P107" s="640">
        <v>16995</v>
      </c>
      <c r="Q107" s="372"/>
      <c r="R107" s="640">
        <v>16998</v>
      </c>
      <c r="S107" s="626"/>
      <c r="T107" s="626"/>
      <c r="U107" s="626"/>
      <c r="V107" s="696">
        <v>5</v>
      </c>
      <c r="W107" s="697">
        <v>0</v>
      </c>
      <c r="X107" s="696">
        <v>5</v>
      </c>
      <c r="Y107" s="697">
        <v>0</v>
      </c>
      <c r="Z107" s="696">
        <v>5</v>
      </c>
      <c r="AA107" s="696">
        <v>5</v>
      </c>
    </row>
    <row r="108" spans="1:27" hidden="1">
      <c r="A108" s="634">
        <v>39</v>
      </c>
      <c r="B108" s="639"/>
      <c r="C108" s="634">
        <v>31254</v>
      </c>
      <c r="D108" s="372" t="s">
        <v>629</v>
      </c>
      <c r="E108" s="372"/>
      <c r="F108" s="634">
        <v>3.6</v>
      </c>
      <c r="G108" s="635"/>
      <c r="H108" s="640">
        <v>38395</v>
      </c>
      <c r="I108" s="635"/>
      <c r="J108" s="640">
        <v>3944</v>
      </c>
      <c r="K108" s="372"/>
      <c r="L108" s="640">
        <v>-2093</v>
      </c>
      <c r="M108" s="372"/>
      <c r="N108" s="634" t="s">
        <v>628</v>
      </c>
      <c r="O108" s="635"/>
      <c r="P108" s="640">
        <v>40246</v>
      </c>
      <c r="Q108" s="372"/>
      <c r="R108" s="640">
        <v>38798</v>
      </c>
      <c r="S108" s="626"/>
      <c r="T108" s="626"/>
      <c r="U108" s="626"/>
      <c r="V108" s="696">
        <v>5</v>
      </c>
      <c r="W108" s="696">
        <v>5</v>
      </c>
      <c r="X108" s="696">
        <v>4</v>
      </c>
      <c r="Y108" s="697">
        <v>0</v>
      </c>
      <c r="Z108" s="696">
        <v>5</v>
      </c>
      <c r="AA108" s="696">
        <v>5</v>
      </c>
    </row>
    <row r="109" spans="1:27" hidden="1">
      <c r="A109" s="634">
        <v>40</v>
      </c>
      <c r="B109" s="639"/>
      <c r="C109" s="634">
        <v>31554</v>
      </c>
      <c r="D109" s="372" t="s">
        <v>631</v>
      </c>
      <c r="E109" s="372"/>
      <c r="F109" s="634">
        <v>2.8</v>
      </c>
      <c r="G109" s="635"/>
      <c r="H109" s="640">
        <v>15474</v>
      </c>
      <c r="I109" s="635"/>
      <c r="J109" s="634" t="s">
        <v>635</v>
      </c>
      <c r="K109" s="372"/>
      <c r="L109" s="634" t="s">
        <v>635</v>
      </c>
      <c r="M109" s="372"/>
      <c r="N109" s="634" t="s">
        <v>635</v>
      </c>
      <c r="O109" s="635"/>
      <c r="P109" s="640">
        <v>15474</v>
      </c>
      <c r="Q109" s="372"/>
      <c r="R109" s="640">
        <v>15474</v>
      </c>
      <c r="S109" s="626"/>
      <c r="T109" s="626"/>
      <c r="U109" s="626"/>
      <c r="V109" s="696">
        <v>5</v>
      </c>
      <c r="W109" s="697">
        <v>0</v>
      </c>
      <c r="X109" s="697">
        <v>0</v>
      </c>
      <c r="Y109" s="697">
        <v>0</v>
      </c>
      <c r="Z109" s="696">
        <v>5</v>
      </c>
      <c r="AA109" s="696">
        <v>5</v>
      </c>
    </row>
    <row r="110" spans="1:27" hidden="1">
      <c r="A110" s="634">
        <v>41</v>
      </c>
      <c r="B110" s="639"/>
      <c r="C110" s="634">
        <v>31654</v>
      </c>
      <c r="D110" s="372" t="s">
        <v>632</v>
      </c>
      <c r="E110" s="372"/>
      <c r="F110" s="634">
        <v>2.4</v>
      </c>
      <c r="G110" s="635"/>
      <c r="H110" s="634">
        <v>688</v>
      </c>
      <c r="I110" s="635"/>
      <c r="J110" s="634" t="s">
        <v>635</v>
      </c>
      <c r="K110" s="372"/>
      <c r="L110" s="634" t="s">
        <v>635</v>
      </c>
      <c r="M110" s="372"/>
      <c r="N110" s="634" t="s">
        <v>635</v>
      </c>
      <c r="O110" s="635"/>
      <c r="P110" s="634">
        <v>688</v>
      </c>
      <c r="Q110" s="372"/>
      <c r="R110" s="634">
        <v>688</v>
      </c>
      <c r="S110" s="626"/>
      <c r="T110" s="626"/>
      <c r="U110" s="626"/>
      <c r="V110" s="696">
        <v>5</v>
      </c>
      <c r="W110" s="697">
        <v>0</v>
      </c>
      <c r="X110" s="697">
        <v>0</v>
      </c>
      <c r="Y110" s="697">
        <v>0</v>
      </c>
      <c r="Z110" s="696">
        <v>5</v>
      </c>
      <c r="AA110" s="696">
        <v>5</v>
      </c>
    </row>
    <row r="111" spans="1:27" hidden="1">
      <c r="A111" s="634">
        <v>42</v>
      </c>
      <c r="B111" s="639"/>
      <c r="C111" s="634"/>
      <c r="D111" s="636" t="s">
        <v>658</v>
      </c>
      <c r="E111" s="372"/>
      <c r="F111" s="372"/>
      <c r="G111" s="372"/>
      <c r="H111" s="642">
        <v>71587</v>
      </c>
      <c r="I111" s="635"/>
      <c r="J111" s="642">
        <v>3944</v>
      </c>
      <c r="K111" s="635"/>
      <c r="L111" s="642">
        <v>-2127</v>
      </c>
      <c r="M111" s="635"/>
      <c r="N111" s="643" t="s">
        <v>628</v>
      </c>
      <c r="O111" s="635"/>
      <c r="P111" s="642">
        <v>73404</v>
      </c>
      <c r="Q111" s="635"/>
      <c r="R111" s="642">
        <v>71958</v>
      </c>
      <c r="S111" s="626"/>
      <c r="T111" s="626"/>
      <c r="U111" s="626"/>
      <c r="V111" s="696">
        <v>4</v>
      </c>
      <c r="W111" s="696">
        <v>5</v>
      </c>
      <c r="X111" s="696">
        <v>5</v>
      </c>
      <c r="Y111" s="697">
        <v>0</v>
      </c>
      <c r="Z111" s="696">
        <v>5</v>
      </c>
      <c r="AA111" s="696">
        <v>5</v>
      </c>
    </row>
    <row r="112" spans="1:27" hidden="1">
      <c r="A112" s="634">
        <v>43</v>
      </c>
      <c r="B112" s="639"/>
      <c r="C112" s="634"/>
      <c r="D112" s="372"/>
      <c r="E112" s="372"/>
      <c r="F112" s="372"/>
      <c r="G112" s="635"/>
      <c r="H112" s="372"/>
      <c r="I112" s="635"/>
      <c r="J112" s="372"/>
      <c r="K112" s="635"/>
      <c r="L112" s="372"/>
      <c r="M112" s="635"/>
      <c r="N112" s="372"/>
      <c r="O112" s="635"/>
      <c r="P112" s="372"/>
      <c r="Q112" s="635"/>
      <c r="R112" s="372"/>
      <c r="S112" s="626"/>
      <c r="T112" s="626"/>
      <c r="U112" s="626"/>
      <c r="V112" s="697">
        <v>0</v>
      </c>
      <c r="W112" s="697">
        <v>0</v>
      </c>
      <c r="X112" s="697">
        <v>0</v>
      </c>
      <c r="Y112" s="697">
        <v>0</v>
      </c>
      <c r="Z112" s="697">
        <v>0</v>
      </c>
      <c r="AA112" s="697">
        <v>0</v>
      </c>
    </row>
    <row r="113" spans="1:27" ht="15" hidden="1" thickBot="1">
      <c r="A113" s="637">
        <v>44</v>
      </c>
      <c r="B113" s="660" t="s">
        <v>67</v>
      </c>
      <c r="C113" s="660"/>
      <c r="D113" s="625"/>
      <c r="E113" s="625"/>
      <c r="F113" s="625"/>
      <c r="G113" s="625"/>
      <c r="H113" s="625"/>
      <c r="I113" s="625"/>
      <c r="J113" s="625"/>
      <c r="K113" s="625"/>
      <c r="L113" s="625"/>
      <c r="M113" s="625"/>
      <c r="N113" s="625"/>
      <c r="O113" s="638"/>
      <c r="P113" s="625"/>
      <c r="Q113" s="625"/>
      <c r="R113" s="625"/>
      <c r="S113" s="626"/>
      <c r="T113" s="626"/>
      <c r="U113" s="626"/>
      <c r="V113" s="697">
        <v>0</v>
      </c>
      <c r="W113" s="697">
        <v>0</v>
      </c>
      <c r="X113" s="697">
        <v>0</v>
      </c>
      <c r="Y113" s="697">
        <v>0</v>
      </c>
      <c r="Z113" s="697">
        <v>0</v>
      </c>
      <c r="AA113" s="697">
        <v>0</v>
      </c>
    </row>
    <row r="114" spans="1:27" hidden="1">
      <c r="A114" s="664" t="s">
        <v>643</v>
      </c>
      <c r="B114" s="664"/>
      <c r="C114" s="372"/>
      <c r="D114" s="372"/>
      <c r="E114" s="664"/>
      <c r="F114" s="664"/>
      <c r="G114" s="664"/>
      <c r="H114" s="664"/>
      <c r="I114" s="664"/>
      <c r="J114" s="664"/>
      <c r="K114" s="664"/>
      <c r="L114" s="664"/>
      <c r="M114" s="664"/>
      <c r="N114" s="664"/>
      <c r="O114" s="635"/>
      <c r="P114" s="372" t="s">
        <v>644</v>
      </c>
      <c r="Q114" s="664"/>
      <c r="R114" s="664"/>
      <c r="S114" s="626"/>
      <c r="T114" s="626"/>
      <c r="U114" s="626"/>
      <c r="V114" s="697">
        <v>0</v>
      </c>
      <c r="W114" s="697">
        <v>0</v>
      </c>
      <c r="X114" s="697">
        <v>0</v>
      </c>
      <c r="Y114" s="697">
        <v>0</v>
      </c>
      <c r="Z114" s="697">
        <v>0</v>
      </c>
      <c r="AA114" s="697">
        <v>0</v>
      </c>
    </row>
    <row r="115" spans="1:27" ht="15" hidden="1" thickBot="1">
      <c r="A115" s="625" t="s">
        <v>604</v>
      </c>
      <c r="B115" s="625"/>
      <c r="C115" s="625"/>
      <c r="D115" s="625"/>
      <c r="E115" s="625"/>
      <c r="F115" s="625"/>
      <c r="G115" s="625" t="s">
        <v>605</v>
      </c>
      <c r="H115" s="625"/>
      <c r="I115" s="625"/>
      <c r="J115" s="625"/>
      <c r="K115" s="625"/>
      <c r="L115" s="625"/>
      <c r="M115" s="625"/>
      <c r="N115" s="625"/>
      <c r="O115" s="638"/>
      <c r="P115" s="625"/>
      <c r="Q115" s="625"/>
      <c r="R115" s="625" t="s">
        <v>659</v>
      </c>
      <c r="S115" s="626"/>
      <c r="T115" s="626"/>
      <c r="U115" s="626"/>
      <c r="V115" s="697">
        <v>0</v>
      </c>
      <c r="W115" s="697">
        <v>0</v>
      </c>
      <c r="X115" s="697">
        <v>0</v>
      </c>
      <c r="Y115" s="697">
        <v>0</v>
      </c>
      <c r="Z115" s="697">
        <v>0</v>
      </c>
      <c r="AA115" s="697">
        <v>0</v>
      </c>
    </row>
    <row r="116" spans="1:27" hidden="1">
      <c r="A116" s="664" t="s">
        <v>4</v>
      </c>
      <c r="B116" s="664"/>
      <c r="C116" s="372"/>
      <c r="D116" s="372"/>
      <c r="E116" s="635" t="s">
        <v>553</v>
      </c>
      <c r="F116" s="372" t="s">
        <v>607</v>
      </c>
      <c r="G116" s="664"/>
      <c r="H116" s="664"/>
      <c r="I116" s="664"/>
      <c r="J116" s="664"/>
      <c r="K116" s="661"/>
      <c r="L116" s="661"/>
      <c r="M116" s="661"/>
      <c r="N116" s="661"/>
      <c r="O116" s="645"/>
      <c r="P116" s="372" t="s">
        <v>608</v>
      </c>
      <c r="Q116" s="664"/>
      <c r="R116" s="664"/>
      <c r="S116" s="626"/>
      <c r="T116" s="626"/>
      <c r="U116" s="626"/>
      <c r="V116" s="697">
        <v>0</v>
      </c>
      <c r="W116" s="697">
        <v>0</v>
      </c>
      <c r="X116" s="697">
        <v>0</v>
      </c>
      <c r="Y116" s="697">
        <v>0</v>
      </c>
      <c r="Z116" s="697">
        <v>0</v>
      </c>
      <c r="AA116" s="697">
        <v>0</v>
      </c>
    </row>
    <row r="117" spans="1:27" hidden="1">
      <c r="A117" s="372"/>
      <c r="B117" s="372"/>
      <c r="C117" s="372"/>
      <c r="D117" s="372"/>
      <c r="E117" s="372"/>
      <c r="F117" s="372" t="s">
        <v>609</v>
      </c>
      <c r="G117" s="372"/>
      <c r="H117" s="372"/>
      <c r="I117" s="372"/>
      <c r="J117" s="372"/>
      <c r="K117" s="636"/>
      <c r="L117" s="636"/>
      <c r="M117" s="372"/>
      <c r="N117" s="372"/>
      <c r="O117" s="635"/>
      <c r="P117" s="636" t="s">
        <v>9</v>
      </c>
      <c r="Q117" s="372"/>
      <c r="R117" s="372"/>
      <c r="S117" s="626"/>
      <c r="T117" s="626"/>
      <c r="U117" s="626"/>
      <c r="V117" s="697">
        <v>0</v>
      </c>
      <c r="W117" s="697">
        <v>0</v>
      </c>
      <c r="X117" s="697">
        <v>0</v>
      </c>
      <c r="Y117" s="697">
        <v>0</v>
      </c>
      <c r="Z117" s="697">
        <v>0</v>
      </c>
      <c r="AA117" s="697">
        <v>0</v>
      </c>
    </row>
    <row r="118" spans="1:27" hidden="1">
      <c r="A118" s="372" t="s">
        <v>10</v>
      </c>
      <c r="B118" s="372"/>
      <c r="C118" s="372"/>
      <c r="D118" s="372"/>
      <c r="E118" s="372"/>
      <c r="F118" s="372"/>
      <c r="G118" s="372"/>
      <c r="H118" s="372"/>
      <c r="I118" s="372"/>
      <c r="J118" s="372"/>
      <c r="K118" s="636"/>
      <c r="L118" s="636"/>
      <c r="M118" s="372"/>
      <c r="N118" s="372"/>
      <c r="O118" s="635"/>
      <c r="P118" s="636" t="s">
        <v>11</v>
      </c>
      <c r="Q118" s="372"/>
      <c r="R118" s="372"/>
      <c r="S118" s="626"/>
      <c r="T118" s="626"/>
      <c r="U118" s="626"/>
      <c r="V118" s="697">
        <v>0</v>
      </c>
      <c r="W118" s="697">
        <v>0</v>
      </c>
      <c r="X118" s="697">
        <v>0</v>
      </c>
      <c r="Y118" s="697">
        <v>0</v>
      </c>
      <c r="Z118" s="697">
        <v>0</v>
      </c>
      <c r="AA118" s="697">
        <v>0</v>
      </c>
    </row>
    <row r="119" spans="1:27" hidden="1">
      <c r="A119" s="372"/>
      <c r="B119" s="372"/>
      <c r="C119" s="372"/>
      <c r="D119" s="372"/>
      <c r="E119" s="372"/>
      <c r="F119" s="372"/>
      <c r="G119" s="372"/>
      <c r="H119" s="372"/>
      <c r="I119" s="372"/>
      <c r="J119" s="372"/>
      <c r="K119" s="636"/>
      <c r="L119" s="636"/>
      <c r="M119" s="372"/>
      <c r="N119" s="372"/>
      <c r="O119" s="635" t="s">
        <v>12</v>
      </c>
      <c r="P119" s="636" t="s">
        <v>13</v>
      </c>
      <c r="Q119" s="372"/>
      <c r="R119" s="372"/>
      <c r="S119" s="626"/>
      <c r="T119" s="626"/>
      <c r="U119" s="626"/>
      <c r="V119" s="697">
        <v>0</v>
      </c>
      <c r="W119" s="697">
        <v>0</v>
      </c>
      <c r="X119" s="697">
        <v>0</v>
      </c>
      <c r="Y119" s="697">
        <v>0</v>
      </c>
      <c r="Z119" s="697">
        <v>0</v>
      </c>
      <c r="AA119" s="697">
        <v>0</v>
      </c>
    </row>
    <row r="120" spans="1:27" hidden="1">
      <c r="A120" s="372"/>
      <c r="B120" s="372"/>
      <c r="C120" s="372"/>
      <c r="D120" s="372"/>
      <c r="E120" s="372"/>
      <c r="F120" s="372"/>
      <c r="G120" s="372"/>
      <c r="H120" s="372"/>
      <c r="I120" s="372"/>
      <c r="J120" s="372"/>
      <c r="K120" s="636"/>
      <c r="L120" s="636"/>
      <c r="M120" s="372"/>
      <c r="N120" s="372"/>
      <c r="O120" s="635"/>
      <c r="P120" s="636" t="s">
        <v>610</v>
      </c>
      <c r="Q120" s="372"/>
      <c r="R120" s="372"/>
      <c r="S120" s="626"/>
      <c r="T120" s="626"/>
      <c r="U120" s="626"/>
      <c r="V120" s="697">
        <v>0</v>
      </c>
      <c r="W120" s="697">
        <v>0</v>
      </c>
      <c r="X120" s="697">
        <v>0</v>
      </c>
      <c r="Y120" s="697">
        <v>0</v>
      </c>
      <c r="Z120" s="697">
        <v>0</v>
      </c>
      <c r="AA120" s="697">
        <v>0</v>
      </c>
    </row>
    <row r="121" spans="1:27" ht="15" hidden="1" thickBot="1">
      <c r="A121" s="625" t="s">
        <v>611</v>
      </c>
      <c r="B121" s="625"/>
      <c r="C121" s="625"/>
      <c r="D121" s="625"/>
      <c r="E121" s="625"/>
      <c r="F121" s="625"/>
      <c r="G121" s="625"/>
      <c r="H121" s="637" t="s">
        <v>612</v>
      </c>
      <c r="I121" s="625"/>
      <c r="J121" s="625"/>
      <c r="K121" s="625"/>
      <c r="L121" s="625"/>
      <c r="M121" s="625"/>
      <c r="N121" s="625"/>
      <c r="O121" s="638"/>
      <c r="P121" s="625" t="s">
        <v>249</v>
      </c>
      <c r="Q121" s="625"/>
      <c r="R121" s="625"/>
      <c r="S121" s="626"/>
      <c r="T121" s="626"/>
      <c r="U121" s="626"/>
      <c r="V121" s="697">
        <v>0</v>
      </c>
      <c r="W121" s="697">
        <v>0</v>
      </c>
      <c r="X121" s="697">
        <v>0</v>
      </c>
      <c r="Y121" s="697">
        <v>0</v>
      </c>
      <c r="Z121" s="697">
        <v>0</v>
      </c>
      <c r="AA121" s="697">
        <v>0</v>
      </c>
    </row>
    <row r="122" spans="1:27" hidden="1">
      <c r="A122" s="664"/>
      <c r="B122" s="664"/>
      <c r="C122" s="634"/>
      <c r="D122" s="634"/>
      <c r="E122" s="634"/>
      <c r="F122" s="634"/>
      <c r="G122" s="634"/>
      <c r="H122" s="634"/>
      <c r="I122" s="634"/>
      <c r="J122" s="634"/>
      <c r="K122" s="634"/>
      <c r="L122" s="634"/>
      <c r="M122" s="634"/>
      <c r="N122" s="634"/>
      <c r="O122" s="635"/>
      <c r="P122" s="634"/>
      <c r="Q122" s="634"/>
      <c r="R122" s="634"/>
      <c r="S122" s="626"/>
      <c r="T122" s="626"/>
      <c r="U122" s="626"/>
      <c r="V122" s="697">
        <v>0</v>
      </c>
      <c r="W122" s="697">
        <v>0</v>
      </c>
      <c r="X122" s="697">
        <v>0</v>
      </c>
      <c r="Y122" s="697">
        <v>0</v>
      </c>
      <c r="Z122" s="697">
        <v>0</v>
      </c>
      <c r="AA122" s="697">
        <v>0</v>
      </c>
    </row>
    <row r="123" spans="1:27" hidden="1">
      <c r="A123" s="372"/>
      <c r="B123" s="372"/>
      <c r="C123" s="634">
        <v>-1</v>
      </c>
      <c r="D123" s="634">
        <v>-2</v>
      </c>
      <c r="E123" s="634"/>
      <c r="F123" s="634">
        <v>-3</v>
      </c>
      <c r="G123" s="634"/>
      <c r="H123" s="634">
        <v>-4</v>
      </c>
      <c r="I123" s="634"/>
      <c r="J123" s="634">
        <v>-5</v>
      </c>
      <c r="K123" s="634"/>
      <c r="L123" s="634">
        <v>-6</v>
      </c>
      <c r="M123" s="634"/>
      <c r="N123" s="634">
        <v>-7</v>
      </c>
      <c r="O123" s="635"/>
      <c r="P123" s="634">
        <v>-8</v>
      </c>
      <c r="Q123" s="634"/>
      <c r="R123" s="634">
        <v>-9</v>
      </c>
      <c r="S123" s="626"/>
      <c r="T123" s="626"/>
      <c r="U123" s="626"/>
      <c r="V123" s="697">
        <v>0</v>
      </c>
      <c r="W123" s="697">
        <v>0</v>
      </c>
      <c r="X123" s="697">
        <v>0</v>
      </c>
      <c r="Y123" s="697">
        <v>0</v>
      </c>
      <c r="Z123" s="697">
        <v>0</v>
      </c>
      <c r="AA123" s="697">
        <v>0</v>
      </c>
    </row>
    <row r="124" spans="1:27" hidden="1">
      <c r="A124" s="372"/>
      <c r="B124" s="372"/>
      <c r="C124" s="634" t="s">
        <v>613</v>
      </c>
      <c r="D124" s="634" t="s">
        <v>613</v>
      </c>
      <c r="E124" s="372"/>
      <c r="F124" s="634" t="s">
        <v>37</v>
      </c>
      <c r="G124" s="634"/>
      <c r="H124" s="634" t="s">
        <v>30</v>
      </c>
      <c r="I124" s="634"/>
      <c r="J124" s="634" t="s">
        <v>45</v>
      </c>
      <c r="K124" s="634"/>
      <c r="L124" s="634" t="s">
        <v>45</v>
      </c>
      <c r="M124" s="634"/>
      <c r="N124" s="372"/>
      <c r="O124" s="635"/>
      <c r="P124" s="634" t="s">
        <v>30</v>
      </c>
      <c r="Q124" s="372"/>
      <c r="R124" s="372"/>
      <c r="S124" s="626"/>
      <c r="T124" s="626"/>
      <c r="U124" s="626"/>
      <c r="V124" s="697">
        <v>0</v>
      </c>
      <c r="W124" s="697">
        <v>0</v>
      </c>
      <c r="X124" s="697">
        <v>0</v>
      </c>
      <c r="Y124" s="697">
        <v>0</v>
      </c>
      <c r="Z124" s="697">
        <v>0</v>
      </c>
      <c r="AA124" s="697">
        <v>0</v>
      </c>
    </row>
    <row r="125" spans="1:27" hidden="1">
      <c r="A125" s="634" t="s">
        <v>35</v>
      </c>
      <c r="B125" s="634"/>
      <c r="C125" s="634" t="s">
        <v>614</v>
      </c>
      <c r="D125" s="634" t="s">
        <v>614</v>
      </c>
      <c r="E125" s="634"/>
      <c r="F125" s="634" t="s">
        <v>615</v>
      </c>
      <c r="G125" s="634"/>
      <c r="H125" s="634" t="s">
        <v>616</v>
      </c>
      <c r="I125" s="634"/>
      <c r="J125" s="634" t="s">
        <v>30</v>
      </c>
      <c r="K125" s="634"/>
      <c r="L125" s="634" t="s">
        <v>30</v>
      </c>
      <c r="M125" s="636"/>
      <c r="N125" s="634" t="s">
        <v>178</v>
      </c>
      <c r="O125" s="635"/>
      <c r="P125" s="634" t="s">
        <v>616</v>
      </c>
      <c r="Q125" s="634"/>
      <c r="R125" s="634" t="s">
        <v>353</v>
      </c>
      <c r="S125" s="626"/>
      <c r="T125" s="626"/>
      <c r="U125" s="626"/>
      <c r="V125" s="697">
        <v>0</v>
      </c>
      <c r="W125" s="697">
        <v>0</v>
      </c>
      <c r="X125" s="697">
        <v>0</v>
      </c>
      <c r="Y125" s="697">
        <v>0</v>
      </c>
      <c r="Z125" s="697">
        <v>0</v>
      </c>
      <c r="AA125" s="697">
        <v>0</v>
      </c>
    </row>
    <row r="126" spans="1:27" ht="15" hidden="1" thickBot="1">
      <c r="A126" s="637" t="s">
        <v>46</v>
      </c>
      <c r="B126" s="637"/>
      <c r="C126" s="637" t="s">
        <v>371</v>
      </c>
      <c r="D126" s="637" t="s">
        <v>617</v>
      </c>
      <c r="E126" s="637"/>
      <c r="F126" s="637" t="s">
        <v>618</v>
      </c>
      <c r="G126" s="637"/>
      <c r="H126" s="637" t="s">
        <v>619</v>
      </c>
      <c r="I126" s="637"/>
      <c r="J126" s="637" t="s">
        <v>620</v>
      </c>
      <c r="K126" s="637"/>
      <c r="L126" s="637" t="s">
        <v>621</v>
      </c>
      <c r="M126" s="637"/>
      <c r="N126" s="637" t="s">
        <v>622</v>
      </c>
      <c r="O126" s="638"/>
      <c r="P126" s="637" t="s">
        <v>623</v>
      </c>
      <c r="Q126" s="637"/>
      <c r="R126" s="637" t="s">
        <v>369</v>
      </c>
      <c r="S126" s="626"/>
      <c r="T126" s="626"/>
      <c r="U126" s="626"/>
      <c r="V126" s="697">
        <v>0</v>
      </c>
      <c r="W126" s="697">
        <v>0</v>
      </c>
      <c r="X126" s="697">
        <v>0</v>
      </c>
      <c r="Y126" s="697">
        <v>0</v>
      </c>
      <c r="Z126" s="697">
        <v>0</v>
      </c>
      <c r="AA126" s="697">
        <v>0</v>
      </c>
    </row>
    <row r="127" spans="1:27" hidden="1">
      <c r="A127" s="634">
        <v>1</v>
      </c>
      <c r="B127" s="634"/>
      <c r="C127" s="372"/>
      <c r="D127" s="372"/>
      <c r="E127" s="664"/>
      <c r="F127" s="664"/>
      <c r="G127" s="664"/>
      <c r="H127" s="664"/>
      <c r="I127" s="664"/>
      <c r="J127" s="664"/>
      <c r="K127" s="664"/>
      <c r="L127" s="664"/>
      <c r="M127" s="664"/>
      <c r="N127" s="664"/>
      <c r="O127" s="635"/>
      <c r="P127" s="372"/>
      <c r="Q127" s="664"/>
      <c r="R127" s="664"/>
      <c r="S127" s="626"/>
      <c r="T127" s="626"/>
      <c r="U127" s="626"/>
      <c r="V127" s="697">
        <v>0</v>
      </c>
      <c r="W127" s="697">
        <v>0</v>
      </c>
      <c r="X127" s="697">
        <v>0</v>
      </c>
      <c r="Y127" s="697">
        <v>0</v>
      </c>
      <c r="Z127" s="697">
        <v>0</v>
      </c>
      <c r="AA127" s="697">
        <v>0</v>
      </c>
    </row>
    <row r="128" spans="1:27" hidden="1">
      <c r="A128" s="634">
        <v>2</v>
      </c>
      <c r="B128" s="639"/>
      <c r="C128" s="634">
        <v>31247</v>
      </c>
      <c r="D128" s="372" t="s">
        <v>660</v>
      </c>
      <c r="E128" s="372"/>
      <c r="F128" s="634">
        <v>20</v>
      </c>
      <c r="G128" s="635"/>
      <c r="H128" s="640">
        <v>10157</v>
      </c>
      <c r="I128" s="635"/>
      <c r="J128" s="634" t="s">
        <v>635</v>
      </c>
      <c r="K128" s="372"/>
      <c r="L128" s="634" t="s">
        <v>635</v>
      </c>
      <c r="M128" s="372"/>
      <c r="N128" s="634" t="s">
        <v>635</v>
      </c>
      <c r="O128" s="635"/>
      <c r="P128" s="640">
        <v>10157</v>
      </c>
      <c r="Q128" s="372"/>
      <c r="R128" s="640">
        <v>10157</v>
      </c>
      <c r="S128" s="626"/>
      <c r="T128" s="626"/>
      <c r="U128" s="626"/>
      <c r="V128" s="696">
        <v>5</v>
      </c>
      <c r="W128" s="697">
        <v>0</v>
      </c>
      <c r="X128" s="697">
        <v>0</v>
      </c>
      <c r="Y128" s="697">
        <v>0</v>
      </c>
      <c r="Z128" s="696">
        <v>5</v>
      </c>
      <c r="AA128" s="696">
        <v>5</v>
      </c>
    </row>
    <row r="129" spans="1:27" hidden="1">
      <c r="A129" s="634">
        <v>3</v>
      </c>
      <c r="B129" s="639"/>
      <c r="C129" s="634">
        <v>31647</v>
      </c>
      <c r="D129" s="372" t="s">
        <v>661</v>
      </c>
      <c r="E129" s="372"/>
      <c r="F129" s="634">
        <v>14.3</v>
      </c>
      <c r="G129" s="635"/>
      <c r="H129" s="640">
        <v>1081</v>
      </c>
      <c r="I129" s="635"/>
      <c r="J129" s="634">
        <v>479</v>
      </c>
      <c r="K129" s="372"/>
      <c r="L129" s="634">
        <v>-718</v>
      </c>
      <c r="M129" s="372"/>
      <c r="N129" s="634" t="s">
        <v>628</v>
      </c>
      <c r="O129" s="635"/>
      <c r="P129" s="634">
        <v>841</v>
      </c>
      <c r="Q129" s="372"/>
      <c r="R129" s="634">
        <v>510</v>
      </c>
      <c r="S129" s="626"/>
      <c r="T129" s="626"/>
      <c r="U129" s="626"/>
      <c r="V129" s="696">
        <v>5</v>
      </c>
      <c r="W129" s="696">
        <v>5</v>
      </c>
      <c r="X129" s="696">
        <v>5</v>
      </c>
      <c r="Y129" s="697">
        <v>0</v>
      </c>
      <c r="Z129" s="696">
        <v>5</v>
      </c>
      <c r="AA129" s="696">
        <v>5</v>
      </c>
    </row>
    <row r="130" spans="1:27" hidden="1">
      <c r="A130" s="634">
        <v>4</v>
      </c>
      <c r="B130" s="639"/>
      <c r="C130" s="634"/>
      <c r="D130" s="372"/>
      <c r="E130" s="372"/>
      <c r="F130" s="372"/>
      <c r="G130" s="372"/>
      <c r="H130" s="372"/>
      <c r="I130" s="635"/>
      <c r="J130" s="643"/>
      <c r="K130" s="635"/>
      <c r="L130" s="643"/>
      <c r="M130" s="635"/>
      <c r="N130" s="643"/>
      <c r="O130" s="635"/>
      <c r="P130" s="643"/>
      <c r="Q130" s="635"/>
      <c r="R130" s="643"/>
      <c r="S130" s="626"/>
      <c r="T130" s="626"/>
      <c r="U130" s="626"/>
      <c r="V130" s="697">
        <v>0</v>
      </c>
      <c r="W130" s="697">
        <v>0</v>
      </c>
      <c r="X130" s="697">
        <v>0</v>
      </c>
      <c r="Y130" s="697">
        <v>0</v>
      </c>
      <c r="Z130" s="697">
        <v>0</v>
      </c>
      <c r="AA130" s="697">
        <v>0</v>
      </c>
    </row>
    <row r="131" spans="1:27" ht="15" hidden="1" thickBot="1">
      <c r="A131" s="634">
        <v>5</v>
      </c>
      <c r="B131" s="639"/>
      <c r="C131" s="634"/>
      <c r="D131" s="636" t="s">
        <v>662</v>
      </c>
      <c r="E131" s="372"/>
      <c r="F131" s="372"/>
      <c r="G131" s="635"/>
      <c r="H131" s="646">
        <v>1374320</v>
      </c>
      <c r="I131" s="635"/>
      <c r="J131" s="646">
        <v>79436</v>
      </c>
      <c r="K131" s="635"/>
      <c r="L131" s="646">
        <v>-14684</v>
      </c>
      <c r="M131" s="635"/>
      <c r="N131" s="647" t="s">
        <v>628</v>
      </c>
      <c r="O131" s="635"/>
      <c r="P131" s="646">
        <v>1439072</v>
      </c>
      <c r="Q131" s="635"/>
      <c r="R131" s="646">
        <v>1397689</v>
      </c>
      <c r="S131" s="626"/>
      <c r="T131" s="626"/>
      <c r="U131" s="626"/>
      <c r="V131" s="696">
        <v>5</v>
      </c>
      <c r="W131" s="696">
        <v>5</v>
      </c>
      <c r="X131" s="696">
        <v>5</v>
      </c>
      <c r="Y131" s="697">
        <v>0</v>
      </c>
      <c r="Z131" s="696">
        <v>5</v>
      </c>
      <c r="AA131" s="696">
        <v>5</v>
      </c>
    </row>
    <row r="132" spans="1:27" ht="15" hidden="1" thickTop="1">
      <c r="A132" s="634">
        <v>6</v>
      </c>
      <c r="B132" s="639"/>
      <c r="C132" s="634"/>
      <c r="D132" s="372"/>
      <c r="E132" s="372"/>
      <c r="F132" s="372"/>
      <c r="G132" s="635"/>
      <c r="H132" s="372"/>
      <c r="I132" s="635"/>
      <c r="J132" s="372"/>
      <c r="K132" s="635"/>
      <c r="L132" s="372"/>
      <c r="M132" s="635"/>
      <c r="N132" s="372"/>
      <c r="O132" s="635"/>
      <c r="P132" s="372"/>
      <c r="Q132" s="635"/>
      <c r="R132" s="372"/>
      <c r="S132" s="626"/>
      <c r="T132" s="626"/>
      <c r="U132" s="626"/>
      <c r="V132" s="697">
        <v>0</v>
      </c>
      <c r="W132" s="697">
        <v>0</v>
      </c>
      <c r="X132" s="697">
        <v>0</v>
      </c>
      <c r="Y132" s="697">
        <v>0</v>
      </c>
      <c r="Z132" s="697">
        <v>0</v>
      </c>
      <c r="AA132" s="697">
        <v>0</v>
      </c>
    </row>
    <row r="133" spans="1:27" ht="15" hidden="1" thickBot="1">
      <c r="A133" s="634">
        <v>7</v>
      </c>
      <c r="B133" s="634"/>
      <c r="C133" s="634"/>
      <c r="D133" s="372" t="s">
        <v>663</v>
      </c>
      <c r="E133" s="372"/>
      <c r="F133" s="372"/>
      <c r="G133" s="635"/>
      <c r="H133" s="646">
        <v>1374320</v>
      </c>
      <c r="I133" s="635"/>
      <c r="J133" s="646">
        <v>79436</v>
      </c>
      <c r="K133" s="635"/>
      <c r="L133" s="646">
        <v>-14684</v>
      </c>
      <c r="M133" s="635"/>
      <c r="N133" s="647" t="s">
        <v>628</v>
      </c>
      <c r="O133" s="635"/>
      <c r="P133" s="646">
        <v>1439072</v>
      </c>
      <c r="Q133" s="635"/>
      <c r="R133" s="646">
        <v>1397689</v>
      </c>
      <c r="S133" s="626"/>
      <c r="T133" s="626"/>
      <c r="U133" s="626"/>
      <c r="V133" s="696">
        <v>5</v>
      </c>
      <c r="W133" s="696">
        <v>5</v>
      </c>
      <c r="X133" s="696">
        <v>5</v>
      </c>
      <c r="Y133" s="697">
        <v>0</v>
      </c>
      <c r="Z133" s="696">
        <v>5</v>
      </c>
      <c r="AA133" s="696">
        <v>5</v>
      </c>
    </row>
    <row r="134" spans="1:27" ht="15" hidden="1" thickTop="1">
      <c r="A134" s="634">
        <v>8</v>
      </c>
      <c r="B134" s="634"/>
      <c r="C134" s="372"/>
      <c r="D134" s="372"/>
      <c r="E134" s="372"/>
      <c r="F134" s="372"/>
      <c r="G134" s="372"/>
      <c r="H134" s="372"/>
      <c r="I134" s="372"/>
      <c r="J134" s="372"/>
      <c r="K134" s="372"/>
      <c r="L134" s="372"/>
      <c r="M134" s="372"/>
      <c r="N134" s="372"/>
      <c r="O134" s="635"/>
      <c r="P134" s="372"/>
      <c r="Q134" s="372"/>
      <c r="R134" s="372"/>
      <c r="S134" s="626"/>
      <c r="T134" s="626"/>
      <c r="U134" s="626"/>
      <c r="V134" s="697">
        <v>0</v>
      </c>
      <c r="W134" s="697">
        <v>0</v>
      </c>
      <c r="X134" s="697">
        <v>0</v>
      </c>
      <c r="Y134" s="697">
        <v>0</v>
      </c>
      <c r="Z134" s="697">
        <v>0</v>
      </c>
      <c r="AA134" s="697">
        <v>0</v>
      </c>
    </row>
    <row r="135" spans="1:27" hidden="1">
      <c r="A135" s="634">
        <v>9</v>
      </c>
      <c r="B135" s="639"/>
      <c r="C135" s="372"/>
      <c r="D135" s="372" t="s">
        <v>664</v>
      </c>
      <c r="E135" s="372"/>
      <c r="F135" s="372"/>
      <c r="G135" s="372"/>
      <c r="H135" s="372"/>
      <c r="I135" s="372"/>
      <c r="J135" s="372"/>
      <c r="K135" s="372"/>
      <c r="L135" s="372"/>
      <c r="M135" s="372"/>
      <c r="N135" s="372"/>
      <c r="O135" s="635"/>
      <c r="P135" s="372"/>
      <c r="Q135" s="372"/>
      <c r="R135" s="372"/>
      <c r="S135" s="626"/>
      <c r="T135" s="626"/>
      <c r="U135" s="626"/>
      <c r="V135" s="697">
        <v>0</v>
      </c>
      <c r="W135" s="697">
        <v>0</v>
      </c>
      <c r="X135" s="697">
        <v>0</v>
      </c>
      <c r="Y135" s="697">
        <v>0</v>
      </c>
      <c r="Z135" s="697">
        <v>0</v>
      </c>
      <c r="AA135" s="697">
        <v>0</v>
      </c>
    </row>
    <row r="136" spans="1:27" hidden="1">
      <c r="A136" s="634">
        <v>10</v>
      </c>
      <c r="B136" s="639"/>
      <c r="C136" s="372"/>
      <c r="D136" s="372" t="s">
        <v>625</v>
      </c>
      <c r="E136" s="372"/>
      <c r="F136" s="372"/>
      <c r="G136" s="372"/>
      <c r="H136" s="372"/>
      <c r="I136" s="372"/>
      <c r="J136" s="372"/>
      <c r="K136" s="372"/>
      <c r="L136" s="372"/>
      <c r="M136" s="372"/>
      <c r="N136" s="372"/>
      <c r="O136" s="635"/>
      <c r="P136" s="372"/>
      <c r="Q136" s="372"/>
      <c r="R136" s="372"/>
      <c r="S136" s="626"/>
      <c r="T136" s="626"/>
      <c r="U136" s="626"/>
      <c r="V136" s="697">
        <v>0</v>
      </c>
      <c r="W136" s="697">
        <v>0</v>
      </c>
      <c r="X136" s="697">
        <v>0</v>
      </c>
      <c r="Y136" s="697">
        <v>0</v>
      </c>
      <c r="Z136" s="697">
        <v>0</v>
      </c>
      <c r="AA136" s="697">
        <v>0</v>
      </c>
    </row>
    <row r="137" spans="1:27" hidden="1">
      <c r="A137" s="634">
        <v>11</v>
      </c>
      <c r="B137" s="639"/>
      <c r="C137" s="372"/>
      <c r="D137" s="372" t="s">
        <v>665</v>
      </c>
      <c r="E137" s="634"/>
      <c r="F137" s="634"/>
      <c r="G137" s="634"/>
      <c r="H137" s="634"/>
      <c r="I137" s="634"/>
      <c r="J137" s="634"/>
      <c r="K137" s="634"/>
      <c r="L137" s="634"/>
      <c r="M137" s="634"/>
      <c r="N137" s="634"/>
      <c r="O137" s="635"/>
      <c r="P137" s="634"/>
      <c r="Q137" s="634"/>
      <c r="R137" s="634"/>
      <c r="S137" s="626"/>
      <c r="T137" s="626"/>
      <c r="U137" s="626"/>
      <c r="V137" s="697">
        <v>0</v>
      </c>
      <c r="W137" s="697">
        <v>0</v>
      </c>
      <c r="X137" s="697">
        <v>0</v>
      </c>
      <c r="Y137" s="697">
        <v>0</v>
      </c>
      <c r="Z137" s="697">
        <v>0</v>
      </c>
      <c r="AA137" s="697">
        <v>0</v>
      </c>
    </row>
    <row r="138" spans="1:27" hidden="1">
      <c r="A138" s="634">
        <v>12</v>
      </c>
      <c r="B138" s="639"/>
      <c r="C138" s="634">
        <v>34144</v>
      </c>
      <c r="D138" s="372" t="s">
        <v>627</v>
      </c>
      <c r="E138" s="634"/>
      <c r="F138" s="634">
        <v>3.6</v>
      </c>
      <c r="G138" s="635"/>
      <c r="H138" s="640">
        <v>3311</v>
      </c>
      <c r="I138" s="635"/>
      <c r="J138" s="634">
        <v>25</v>
      </c>
      <c r="K138" s="372"/>
      <c r="L138" s="634" t="s">
        <v>635</v>
      </c>
      <c r="M138" s="372"/>
      <c r="N138" s="634" t="s">
        <v>635</v>
      </c>
      <c r="O138" s="635"/>
      <c r="P138" s="640">
        <v>3336</v>
      </c>
      <c r="Q138" s="372"/>
      <c r="R138" s="640">
        <v>3313</v>
      </c>
      <c r="S138" s="626"/>
      <c r="T138" s="626"/>
      <c r="U138" s="626"/>
      <c r="V138" s="696">
        <v>5</v>
      </c>
      <c r="W138" s="696">
        <v>5</v>
      </c>
      <c r="X138" s="697">
        <v>0</v>
      </c>
      <c r="Y138" s="697">
        <v>0</v>
      </c>
      <c r="Z138" s="696">
        <v>5</v>
      </c>
      <c r="AA138" s="696">
        <v>5</v>
      </c>
    </row>
    <row r="139" spans="1:27" hidden="1">
      <c r="A139" s="634">
        <v>13</v>
      </c>
      <c r="B139" s="639"/>
      <c r="C139" s="634">
        <v>34244</v>
      </c>
      <c r="D139" s="372" t="s">
        <v>666</v>
      </c>
      <c r="E139" s="634"/>
      <c r="F139" s="634">
        <v>2.6</v>
      </c>
      <c r="G139" s="635"/>
      <c r="H139" s="640">
        <v>2353</v>
      </c>
      <c r="I139" s="635"/>
      <c r="J139" s="634" t="s">
        <v>635</v>
      </c>
      <c r="K139" s="372"/>
      <c r="L139" s="634">
        <v>-8</v>
      </c>
      <c r="M139" s="372"/>
      <c r="N139" s="634" t="s">
        <v>628</v>
      </c>
      <c r="O139" s="635"/>
      <c r="P139" s="640">
        <v>2345</v>
      </c>
      <c r="Q139" s="372"/>
      <c r="R139" s="640">
        <v>2353</v>
      </c>
      <c r="S139" s="626"/>
      <c r="T139" s="626"/>
      <c r="U139" s="626"/>
      <c r="V139" s="696">
        <v>5</v>
      </c>
      <c r="W139" s="697">
        <v>0</v>
      </c>
      <c r="X139" s="696">
        <v>5</v>
      </c>
      <c r="Y139" s="697">
        <v>0</v>
      </c>
      <c r="Z139" s="696">
        <v>4</v>
      </c>
      <c r="AA139" s="696">
        <v>4</v>
      </c>
    </row>
    <row r="140" spans="1:27" hidden="1">
      <c r="A140" s="634">
        <v>14</v>
      </c>
      <c r="B140" s="639"/>
      <c r="C140" s="634">
        <v>34344</v>
      </c>
      <c r="D140" s="372" t="s">
        <v>667</v>
      </c>
      <c r="E140" s="634"/>
      <c r="F140" s="634">
        <v>3.1</v>
      </c>
      <c r="G140" s="635"/>
      <c r="H140" s="640">
        <v>20434</v>
      </c>
      <c r="I140" s="635"/>
      <c r="J140" s="634">
        <v>-70</v>
      </c>
      <c r="K140" s="372"/>
      <c r="L140" s="634">
        <v>-31</v>
      </c>
      <c r="M140" s="372"/>
      <c r="N140" s="634" t="s">
        <v>628</v>
      </c>
      <c r="O140" s="635"/>
      <c r="P140" s="640">
        <v>20333</v>
      </c>
      <c r="Q140" s="372"/>
      <c r="R140" s="640">
        <v>20442</v>
      </c>
      <c r="S140" s="626"/>
      <c r="T140" s="626"/>
      <c r="U140" s="626"/>
      <c r="V140" s="696">
        <v>5</v>
      </c>
      <c r="W140" s="696">
        <v>5</v>
      </c>
      <c r="X140" s="696">
        <v>5</v>
      </c>
      <c r="Y140" s="697">
        <v>0</v>
      </c>
      <c r="Z140" s="696">
        <v>5</v>
      </c>
      <c r="AA140" s="696">
        <v>5</v>
      </c>
    </row>
    <row r="141" spans="1:27" hidden="1">
      <c r="A141" s="634">
        <v>15</v>
      </c>
      <c r="B141" s="639"/>
      <c r="C141" s="634">
        <v>34544</v>
      </c>
      <c r="D141" s="372" t="s">
        <v>631</v>
      </c>
      <c r="E141" s="634"/>
      <c r="F141" s="634">
        <v>2.8</v>
      </c>
      <c r="G141" s="635"/>
      <c r="H141" s="640">
        <v>15325</v>
      </c>
      <c r="I141" s="635"/>
      <c r="J141" s="640">
        <v>1186</v>
      </c>
      <c r="K141" s="372"/>
      <c r="L141" s="634">
        <v>-182</v>
      </c>
      <c r="M141" s="372"/>
      <c r="N141" s="634" t="s">
        <v>628</v>
      </c>
      <c r="O141" s="635"/>
      <c r="P141" s="640">
        <v>16329</v>
      </c>
      <c r="Q141" s="372"/>
      <c r="R141" s="640">
        <v>15355</v>
      </c>
      <c r="S141" s="626"/>
      <c r="T141" s="626"/>
      <c r="U141" s="626"/>
      <c r="V141" s="696">
        <v>5</v>
      </c>
      <c r="W141" s="696">
        <v>5</v>
      </c>
      <c r="X141" s="696">
        <v>5</v>
      </c>
      <c r="Y141" s="697">
        <v>0</v>
      </c>
      <c r="Z141" s="696">
        <v>5</v>
      </c>
      <c r="AA141" s="696">
        <v>5</v>
      </c>
    </row>
    <row r="142" spans="1:27" hidden="1">
      <c r="A142" s="634">
        <v>16</v>
      </c>
      <c r="B142" s="639"/>
      <c r="C142" s="634">
        <v>34644</v>
      </c>
      <c r="D142" s="372" t="s">
        <v>632</v>
      </c>
      <c r="E142" s="372"/>
      <c r="F142" s="634">
        <v>2.9</v>
      </c>
      <c r="G142" s="635"/>
      <c r="H142" s="634">
        <v>511</v>
      </c>
      <c r="I142" s="635"/>
      <c r="J142" s="634" t="s">
        <v>635</v>
      </c>
      <c r="K142" s="372"/>
      <c r="L142" s="634" t="s">
        <v>635</v>
      </c>
      <c r="M142" s="372"/>
      <c r="N142" s="634" t="s">
        <v>635</v>
      </c>
      <c r="O142" s="635"/>
      <c r="P142" s="634">
        <v>511</v>
      </c>
      <c r="Q142" s="372"/>
      <c r="R142" s="634">
        <v>511</v>
      </c>
      <c r="S142" s="626"/>
      <c r="T142" s="626"/>
      <c r="U142" s="626"/>
      <c r="V142" s="696">
        <v>5</v>
      </c>
      <c r="W142" s="697">
        <v>0</v>
      </c>
      <c r="X142" s="697">
        <v>0</v>
      </c>
      <c r="Y142" s="697">
        <v>0</v>
      </c>
      <c r="Z142" s="696">
        <v>5</v>
      </c>
      <c r="AA142" s="696">
        <v>5</v>
      </c>
    </row>
    <row r="143" spans="1:27" hidden="1">
      <c r="A143" s="634">
        <v>17</v>
      </c>
      <c r="B143" s="639"/>
      <c r="C143" s="634"/>
      <c r="D143" s="636" t="s">
        <v>668</v>
      </c>
      <c r="E143" s="634"/>
      <c r="F143" s="634"/>
      <c r="G143" s="372"/>
      <c r="H143" s="642">
        <v>41933</v>
      </c>
      <c r="I143" s="635"/>
      <c r="J143" s="642">
        <v>1141</v>
      </c>
      <c r="K143" s="635"/>
      <c r="L143" s="643">
        <v>-221</v>
      </c>
      <c r="M143" s="635"/>
      <c r="N143" s="643" t="s">
        <v>628</v>
      </c>
      <c r="O143" s="635"/>
      <c r="P143" s="642">
        <v>42853</v>
      </c>
      <c r="Q143" s="635"/>
      <c r="R143" s="642">
        <v>41973</v>
      </c>
      <c r="S143" s="626"/>
      <c r="T143" s="626"/>
      <c r="U143" s="626"/>
      <c r="V143" s="696">
        <v>5</v>
      </c>
      <c r="W143" s="696">
        <v>5</v>
      </c>
      <c r="X143" s="696">
        <v>5</v>
      </c>
      <c r="Y143" s="697">
        <v>0</v>
      </c>
      <c r="Z143" s="696">
        <v>4</v>
      </c>
      <c r="AA143" s="696">
        <v>5</v>
      </c>
    </row>
    <row r="144" spans="1:27" hidden="1">
      <c r="A144" s="634">
        <v>18</v>
      </c>
      <c r="B144" s="639"/>
      <c r="C144" s="372"/>
      <c r="D144" s="372"/>
      <c r="E144" s="372"/>
      <c r="F144" s="372"/>
      <c r="G144" s="372"/>
      <c r="H144" s="372"/>
      <c r="I144" s="372"/>
      <c r="J144" s="372"/>
      <c r="K144" s="372"/>
      <c r="L144" s="372"/>
      <c r="M144" s="372"/>
      <c r="N144" s="372"/>
      <c r="O144" s="635"/>
      <c r="P144" s="372"/>
      <c r="Q144" s="372"/>
      <c r="R144" s="372"/>
      <c r="S144" s="626"/>
      <c r="T144" s="626"/>
      <c r="U144" s="626"/>
      <c r="V144" s="697">
        <v>0</v>
      </c>
      <c r="W144" s="697">
        <v>0</v>
      </c>
      <c r="X144" s="697">
        <v>0</v>
      </c>
      <c r="Y144" s="697">
        <v>0</v>
      </c>
      <c r="Z144" s="697">
        <v>0</v>
      </c>
      <c r="AA144" s="697">
        <v>0</v>
      </c>
    </row>
    <row r="145" spans="1:27" hidden="1">
      <c r="A145" s="634">
        <v>19</v>
      </c>
      <c r="B145" s="639"/>
      <c r="C145" s="634"/>
      <c r="D145" s="372" t="s">
        <v>669</v>
      </c>
      <c r="E145" s="372"/>
      <c r="F145" s="372"/>
      <c r="G145" s="372"/>
      <c r="H145" s="372"/>
      <c r="I145" s="372"/>
      <c r="J145" s="372"/>
      <c r="K145" s="372"/>
      <c r="L145" s="372"/>
      <c r="M145" s="372"/>
      <c r="N145" s="372"/>
      <c r="O145" s="635"/>
      <c r="P145" s="372"/>
      <c r="Q145" s="372"/>
      <c r="R145" s="372"/>
      <c r="S145" s="626"/>
      <c r="T145" s="626"/>
      <c r="U145" s="626"/>
      <c r="V145" s="697">
        <v>0</v>
      </c>
      <c r="W145" s="697">
        <v>0</v>
      </c>
      <c r="X145" s="697">
        <v>0</v>
      </c>
      <c r="Y145" s="697">
        <v>0</v>
      </c>
      <c r="Z145" s="697">
        <v>0</v>
      </c>
      <c r="AA145" s="697">
        <v>0</v>
      </c>
    </row>
    <row r="146" spans="1:27" hidden="1">
      <c r="A146" s="634">
        <v>20</v>
      </c>
      <c r="B146" s="639"/>
      <c r="C146" s="634">
        <v>34145</v>
      </c>
      <c r="D146" s="372" t="s">
        <v>627</v>
      </c>
      <c r="E146" s="372"/>
      <c r="F146" s="634">
        <v>2.9</v>
      </c>
      <c r="G146" s="635"/>
      <c r="H146" s="634" t="s">
        <v>628</v>
      </c>
      <c r="I146" s="635"/>
      <c r="J146" s="634" t="s">
        <v>635</v>
      </c>
      <c r="K146" s="372"/>
      <c r="L146" s="634" t="s">
        <v>635</v>
      </c>
      <c r="M146" s="372"/>
      <c r="N146" s="634" t="s">
        <v>635</v>
      </c>
      <c r="O146" s="635"/>
      <c r="P146" s="634" t="s">
        <v>635</v>
      </c>
      <c r="Q146" s="372"/>
      <c r="R146" s="634" t="s">
        <v>635</v>
      </c>
      <c r="S146" s="626"/>
      <c r="T146" s="626"/>
      <c r="U146" s="626"/>
      <c r="V146" s="697">
        <v>0</v>
      </c>
      <c r="W146" s="697">
        <v>0</v>
      </c>
      <c r="X146" s="697">
        <v>0</v>
      </c>
      <c r="Y146" s="697">
        <v>0</v>
      </c>
      <c r="Z146" s="697">
        <v>0</v>
      </c>
      <c r="AA146" s="697">
        <v>0</v>
      </c>
    </row>
    <row r="147" spans="1:27" hidden="1">
      <c r="A147" s="634">
        <v>21</v>
      </c>
      <c r="B147" s="639"/>
      <c r="C147" s="634">
        <v>34245</v>
      </c>
      <c r="D147" s="372" t="s">
        <v>666</v>
      </c>
      <c r="E147" s="372"/>
      <c r="F147" s="634">
        <v>2.9</v>
      </c>
      <c r="G147" s="635"/>
      <c r="H147" s="634" t="s">
        <v>628</v>
      </c>
      <c r="I147" s="635"/>
      <c r="J147" s="634" t="s">
        <v>635</v>
      </c>
      <c r="K147" s="372"/>
      <c r="L147" s="634" t="s">
        <v>635</v>
      </c>
      <c r="M147" s="372"/>
      <c r="N147" s="634" t="s">
        <v>635</v>
      </c>
      <c r="O147" s="635"/>
      <c r="P147" s="634" t="s">
        <v>635</v>
      </c>
      <c r="Q147" s="372"/>
      <c r="R147" s="634" t="s">
        <v>635</v>
      </c>
      <c r="S147" s="626"/>
      <c r="T147" s="626"/>
      <c r="U147" s="626"/>
      <c r="V147" s="697">
        <v>0</v>
      </c>
      <c r="W147" s="697">
        <v>0</v>
      </c>
      <c r="X147" s="697">
        <v>0</v>
      </c>
      <c r="Y147" s="697">
        <v>0</v>
      </c>
      <c r="Z147" s="697">
        <v>0</v>
      </c>
      <c r="AA147" s="697">
        <v>0</v>
      </c>
    </row>
    <row r="148" spans="1:27" hidden="1">
      <c r="A148" s="634">
        <v>22</v>
      </c>
      <c r="B148" s="639"/>
      <c r="C148" s="634">
        <v>34345</v>
      </c>
      <c r="D148" s="372" t="s">
        <v>667</v>
      </c>
      <c r="E148" s="372"/>
      <c r="F148" s="634">
        <v>2.9</v>
      </c>
      <c r="G148" s="635"/>
      <c r="H148" s="640">
        <v>176175</v>
      </c>
      <c r="I148" s="635"/>
      <c r="J148" s="634">
        <v>344</v>
      </c>
      <c r="K148" s="372"/>
      <c r="L148" s="634" t="s">
        <v>635</v>
      </c>
      <c r="M148" s="372"/>
      <c r="N148" s="634" t="s">
        <v>635</v>
      </c>
      <c r="O148" s="635"/>
      <c r="P148" s="640">
        <v>176518</v>
      </c>
      <c r="Q148" s="372"/>
      <c r="R148" s="640">
        <v>176228</v>
      </c>
      <c r="S148" s="626"/>
      <c r="T148" s="626"/>
      <c r="U148" s="626"/>
      <c r="V148" s="696">
        <v>5</v>
      </c>
      <c r="W148" s="696">
        <v>5</v>
      </c>
      <c r="X148" s="697">
        <v>0</v>
      </c>
      <c r="Y148" s="697">
        <v>0</v>
      </c>
      <c r="Z148" s="696">
        <v>5</v>
      </c>
      <c r="AA148" s="696">
        <v>5</v>
      </c>
    </row>
    <row r="149" spans="1:27" hidden="1">
      <c r="A149" s="634">
        <v>23</v>
      </c>
      <c r="B149" s="639"/>
      <c r="C149" s="634">
        <v>34545</v>
      </c>
      <c r="D149" s="372" t="s">
        <v>631</v>
      </c>
      <c r="E149" s="372"/>
      <c r="F149" s="634">
        <v>2.9</v>
      </c>
      <c r="G149" s="635"/>
      <c r="H149" s="634" t="s">
        <v>628</v>
      </c>
      <c r="I149" s="635"/>
      <c r="J149" s="634">
        <v>59</v>
      </c>
      <c r="K149" s="372"/>
      <c r="L149" s="634" t="s">
        <v>635</v>
      </c>
      <c r="M149" s="372"/>
      <c r="N149" s="634" t="s">
        <v>635</v>
      </c>
      <c r="O149" s="635"/>
      <c r="P149" s="634">
        <v>59</v>
      </c>
      <c r="Q149" s="372"/>
      <c r="R149" s="634">
        <v>8</v>
      </c>
      <c r="S149" s="626"/>
      <c r="T149" s="626"/>
      <c r="U149" s="626"/>
      <c r="V149" s="697">
        <v>0</v>
      </c>
      <c r="W149" s="696">
        <v>5</v>
      </c>
      <c r="X149" s="697">
        <v>0</v>
      </c>
      <c r="Y149" s="697">
        <v>0</v>
      </c>
      <c r="Z149" s="696">
        <v>5</v>
      </c>
      <c r="AA149" s="696">
        <v>4</v>
      </c>
    </row>
    <row r="150" spans="1:27" hidden="1">
      <c r="A150" s="634">
        <v>24</v>
      </c>
      <c r="B150" s="639"/>
      <c r="C150" s="634">
        <v>34645</v>
      </c>
      <c r="D150" s="372" t="s">
        <v>632</v>
      </c>
      <c r="E150" s="372"/>
      <c r="F150" s="634">
        <v>2.9</v>
      </c>
      <c r="G150" s="635"/>
      <c r="H150" s="634" t="s">
        <v>628</v>
      </c>
      <c r="I150" s="635"/>
      <c r="J150" s="634" t="s">
        <v>635</v>
      </c>
      <c r="K150" s="372"/>
      <c r="L150" s="634" t="s">
        <v>635</v>
      </c>
      <c r="M150" s="372"/>
      <c r="N150" s="634" t="s">
        <v>635</v>
      </c>
      <c r="O150" s="635"/>
      <c r="P150" s="634" t="s">
        <v>635</v>
      </c>
      <c r="Q150" s="372"/>
      <c r="R150" s="634" t="s">
        <v>635</v>
      </c>
      <c r="S150" s="626"/>
      <c r="T150" s="626"/>
      <c r="U150" s="626"/>
      <c r="V150" s="697">
        <v>0</v>
      </c>
      <c r="W150" s="697">
        <v>0</v>
      </c>
      <c r="X150" s="697">
        <v>0</v>
      </c>
      <c r="Y150" s="697">
        <v>0</v>
      </c>
      <c r="Z150" s="697">
        <v>0</v>
      </c>
      <c r="AA150" s="697">
        <v>0</v>
      </c>
    </row>
    <row r="151" spans="1:27" hidden="1">
      <c r="A151" s="634">
        <v>25</v>
      </c>
      <c r="B151" s="639"/>
      <c r="C151" s="634"/>
      <c r="D151" s="636" t="s">
        <v>670</v>
      </c>
      <c r="E151" s="372"/>
      <c r="F151" s="372"/>
      <c r="G151" s="372"/>
      <c r="H151" s="642">
        <v>176175</v>
      </c>
      <c r="I151" s="635"/>
      <c r="J151" s="643">
        <v>403</v>
      </c>
      <c r="K151" s="635"/>
      <c r="L151" s="643" t="s">
        <v>635</v>
      </c>
      <c r="M151" s="635"/>
      <c r="N151" s="643" t="s">
        <v>635</v>
      </c>
      <c r="O151" s="635"/>
      <c r="P151" s="642">
        <v>176577</v>
      </c>
      <c r="Q151" s="635"/>
      <c r="R151" s="642">
        <v>176235</v>
      </c>
      <c r="S151" s="626"/>
      <c r="T151" s="626"/>
      <c r="U151" s="626"/>
      <c r="V151" s="696">
        <v>5</v>
      </c>
      <c r="W151" s="696">
        <v>5</v>
      </c>
      <c r="X151" s="697">
        <v>0</v>
      </c>
      <c r="Y151" s="697">
        <v>0</v>
      </c>
      <c r="Z151" s="696">
        <v>5</v>
      </c>
      <c r="AA151" s="696">
        <v>5</v>
      </c>
    </row>
    <row r="152" spans="1:27" hidden="1">
      <c r="A152" s="634">
        <v>26</v>
      </c>
      <c r="B152" s="639"/>
      <c r="C152" s="634"/>
      <c r="D152" s="634"/>
      <c r="E152" s="634"/>
      <c r="F152" s="634"/>
      <c r="G152" s="634"/>
      <c r="H152" s="634"/>
      <c r="I152" s="635"/>
      <c r="J152" s="634"/>
      <c r="K152" s="635"/>
      <c r="L152" s="634"/>
      <c r="M152" s="635"/>
      <c r="N152" s="634"/>
      <c r="O152" s="635"/>
      <c r="P152" s="634"/>
      <c r="Q152" s="635"/>
      <c r="R152" s="634"/>
      <c r="S152" s="626"/>
      <c r="T152" s="626"/>
      <c r="U152" s="626"/>
      <c r="V152" s="697">
        <v>0</v>
      </c>
      <c r="W152" s="697">
        <v>0</v>
      </c>
      <c r="X152" s="697">
        <v>0</v>
      </c>
      <c r="Y152" s="697">
        <v>0</v>
      </c>
      <c r="Z152" s="697">
        <v>0</v>
      </c>
      <c r="AA152" s="697">
        <v>0</v>
      </c>
    </row>
    <row r="153" spans="1:27" hidden="1">
      <c r="A153" s="634">
        <v>27</v>
      </c>
      <c r="B153" s="639"/>
      <c r="C153" s="634"/>
      <c r="D153" s="372" t="s">
        <v>671</v>
      </c>
      <c r="E153" s="372"/>
      <c r="F153" s="372"/>
      <c r="G153" s="372"/>
      <c r="H153" s="372"/>
      <c r="I153" s="372"/>
      <c r="J153" s="372"/>
      <c r="K153" s="372"/>
      <c r="L153" s="372"/>
      <c r="M153" s="372"/>
      <c r="N153" s="372"/>
      <c r="O153" s="635"/>
      <c r="P153" s="372"/>
      <c r="Q153" s="372"/>
      <c r="R153" s="372"/>
      <c r="S153" s="626"/>
      <c r="T153" s="626"/>
      <c r="U153" s="626"/>
      <c r="V153" s="697">
        <v>0</v>
      </c>
      <c r="W153" s="697">
        <v>0</v>
      </c>
      <c r="X153" s="697">
        <v>0</v>
      </c>
      <c r="Y153" s="697">
        <v>0</v>
      </c>
      <c r="Z153" s="697">
        <v>0</v>
      </c>
      <c r="AA153" s="697">
        <v>0</v>
      </c>
    </row>
    <row r="154" spans="1:27" hidden="1">
      <c r="A154" s="634">
        <v>28</v>
      </c>
      <c r="B154" s="639"/>
      <c r="C154" s="634">
        <v>34146</v>
      </c>
      <c r="D154" s="372" t="s">
        <v>627</v>
      </c>
      <c r="E154" s="372"/>
      <c r="F154" s="634">
        <v>2.9</v>
      </c>
      <c r="G154" s="635"/>
      <c r="H154" s="634" t="s">
        <v>628</v>
      </c>
      <c r="I154" s="635"/>
      <c r="J154" s="634" t="s">
        <v>635</v>
      </c>
      <c r="K154" s="372"/>
      <c r="L154" s="634" t="s">
        <v>635</v>
      </c>
      <c r="M154" s="372"/>
      <c r="N154" s="634" t="s">
        <v>635</v>
      </c>
      <c r="O154" s="635"/>
      <c r="P154" s="634" t="s">
        <v>635</v>
      </c>
      <c r="Q154" s="372"/>
      <c r="R154" s="634" t="s">
        <v>635</v>
      </c>
      <c r="S154" s="626"/>
      <c r="T154" s="626"/>
      <c r="U154" s="626"/>
      <c r="V154" s="697">
        <v>0</v>
      </c>
      <c r="W154" s="697">
        <v>0</v>
      </c>
      <c r="X154" s="697">
        <v>0</v>
      </c>
      <c r="Y154" s="697">
        <v>0</v>
      </c>
      <c r="Z154" s="697">
        <v>0</v>
      </c>
      <c r="AA154" s="697">
        <v>0</v>
      </c>
    </row>
    <row r="155" spans="1:27" hidden="1">
      <c r="A155" s="634">
        <v>29</v>
      </c>
      <c r="B155" s="639"/>
      <c r="C155" s="634">
        <v>34246</v>
      </c>
      <c r="D155" s="372" t="s">
        <v>666</v>
      </c>
      <c r="E155" s="372"/>
      <c r="F155" s="634">
        <v>2.9</v>
      </c>
      <c r="G155" s="635"/>
      <c r="H155" s="634" t="s">
        <v>628</v>
      </c>
      <c r="I155" s="635"/>
      <c r="J155" s="634" t="s">
        <v>635</v>
      </c>
      <c r="K155" s="372"/>
      <c r="L155" s="634" t="s">
        <v>635</v>
      </c>
      <c r="M155" s="372"/>
      <c r="N155" s="634" t="s">
        <v>635</v>
      </c>
      <c r="O155" s="635"/>
      <c r="P155" s="634" t="s">
        <v>635</v>
      </c>
      <c r="Q155" s="372"/>
      <c r="R155" s="634" t="s">
        <v>635</v>
      </c>
      <c r="S155" s="626"/>
      <c r="T155" s="626"/>
      <c r="U155" s="626"/>
      <c r="V155" s="697">
        <v>0</v>
      </c>
      <c r="W155" s="697">
        <v>0</v>
      </c>
      <c r="X155" s="697">
        <v>0</v>
      </c>
      <c r="Y155" s="697">
        <v>0</v>
      </c>
      <c r="Z155" s="697">
        <v>0</v>
      </c>
      <c r="AA155" s="697">
        <v>0</v>
      </c>
    </row>
    <row r="156" spans="1:27" hidden="1">
      <c r="A156" s="634">
        <v>30</v>
      </c>
      <c r="B156" s="639"/>
      <c r="C156" s="634">
        <v>34346</v>
      </c>
      <c r="D156" s="372" t="s">
        <v>667</v>
      </c>
      <c r="E156" s="372"/>
      <c r="F156" s="634">
        <v>2.9</v>
      </c>
      <c r="G156" s="635"/>
      <c r="H156" s="640">
        <v>174866</v>
      </c>
      <c r="I156" s="635"/>
      <c r="J156" s="634">
        <v>382</v>
      </c>
      <c r="K156" s="372"/>
      <c r="L156" s="634" t="s">
        <v>635</v>
      </c>
      <c r="M156" s="372"/>
      <c r="N156" s="634" t="s">
        <v>635</v>
      </c>
      <c r="O156" s="635"/>
      <c r="P156" s="640">
        <v>175248</v>
      </c>
      <c r="Q156" s="372"/>
      <c r="R156" s="640">
        <v>174955</v>
      </c>
      <c r="S156" s="626"/>
      <c r="T156" s="626"/>
      <c r="U156" s="626"/>
      <c r="V156" s="696">
        <v>5</v>
      </c>
      <c r="W156" s="696">
        <v>5</v>
      </c>
      <c r="X156" s="697">
        <v>0</v>
      </c>
      <c r="Y156" s="697">
        <v>0</v>
      </c>
      <c r="Z156" s="696">
        <v>4</v>
      </c>
      <c r="AA156" s="696">
        <v>5</v>
      </c>
    </row>
    <row r="157" spans="1:27" hidden="1">
      <c r="A157" s="634">
        <v>31</v>
      </c>
      <c r="B157" s="639"/>
      <c r="C157" s="634">
        <v>34546</v>
      </c>
      <c r="D157" s="372" t="s">
        <v>631</v>
      </c>
      <c r="E157" s="372"/>
      <c r="F157" s="634">
        <v>2.9</v>
      </c>
      <c r="G157" s="635"/>
      <c r="H157" s="634" t="s">
        <v>628</v>
      </c>
      <c r="I157" s="635"/>
      <c r="J157" s="634">
        <v>19</v>
      </c>
      <c r="K157" s="372"/>
      <c r="L157" s="634" t="s">
        <v>635</v>
      </c>
      <c r="M157" s="372"/>
      <c r="N157" s="634" t="s">
        <v>635</v>
      </c>
      <c r="O157" s="635"/>
      <c r="P157" s="634">
        <v>19</v>
      </c>
      <c r="Q157" s="372"/>
      <c r="R157" s="634">
        <v>9</v>
      </c>
      <c r="S157" s="626"/>
      <c r="T157" s="626"/>
      <c r="U157" s="626"/>
      <c r="V157" s="697">
        <v>0</v>
      </c>
      <c r="W157" s="696">
        <v>5</v>
      </c>
      <c r="X157" s="697">
        <v>0</v>
      </c>
      <c r="Y157" s="697">
        <v>0</v>
      </c>
      <c r="Z157" s="696">
        <v>5</v>
      </c>
      <c r="AA157" s="696">
        <v>5</v>
      </c>
    </row>
    <row r="158" spans="1:27" hidden="1">
      <c r="A158" s="634">
        <v>32</v>
      </c>
      <c r="B158" s="639"/>
      <c r="C158" s="634">
        <v>34646</v>
      </c>
      <c r="D158" s="372" t="s">
        <v>632</v>
      </c>
      <c r="E158" s="372"/>
      <c r="F158" s="634">
        <v>2.9</v>
      </c>
      <c r="G158" s="635"/>
      <c r="H158" s="634" t="s">
        <v>628</v>
      </c>
      <c r="I158" s="635"/>
      <c r="J158" s="634" t="s">
        <v>635</v>
      </c>
      <c r="K158" s="372"/>
      <c r="L158" s="634" t="s">
        <v>635</v>
      </c>
      <c r="M158" s="372"/>
      <c r="N158" s="634" t="s">
        <v>635</v>
      </c>
      <c r="O158" s="635"/>
      <c r="P158" s="634" t="s">
        <v>635</v>
      </c>
      <c r="Q158" s="372"/>
      <c r="R158" s="634" t="s">
        <v>635</v>
      </c>
      <c r="S158" s="626"/>
      <c r="T158" s="626"/>
      <c r="U158" s="626"/>
      <c r="V158" s="697">
        <v>0</v>
      </c>
      <c r="W158" s="697">
        <v>0</v>
      </c>
      <c r="X158" s="697">
        <v>0</v>
      </c>
      <c r="Y158" s="697">
        <v>0</v>
      </c>
      <c r="Z158" s="697">
        <v>0</v>
      </c>
      <c r="AA158" s="697">
        <v>0</v>
      </c>
    </row>
    <row r="159" spans="1:27" hidden="1">
      <c r="A159" s="634">
        <v>33</v>
      </c>
      <c r="B159" s="639"/>
      <c r="C159" s="372"/>
      <c r="D159" s="636" t="s">
        <v>672</v>
      </c>
      <c r="E159" s="372"/>
      <c r="F159" s="372"/>
      <c r="G159" s="372"/>
      <c r="H159" s="642">
        <v>174866</v>
      </c>
      <c r="I159" s="635"/>
      <c r="J159" s="643">
        <v>401</v>
      </c>
      <c r="K159" s="635"/>
      <c r="L159" s="643" t="s">
        <v>635</v>
      </c>
      <c r="M159" s="635"/>
      <c r="N159" s="643" t="s">
        <v>635</v>
      </c>
      <c r="O159" s="635"/>
      <c r="P159" s="642">
        <v>175268</v>
      </c>
      <c r="Q159" s="635"/>
      <c r="R159" s="642">
        <v>174964</v>
      </c>
      <c r="S159" s="626"/>
      <c r="T159" s="626"/>
      <c r="U159" s="626"/>
      <c r="V159" s="696">
        <v>5</v>
      </c>
      <c r="W159" s="696">
        <v>5</v>
      </c>
      <c r="X159" s="697">
        <v>0</v>
      </c>
      <c r="Y159" s="697">
        <v>0</v>
      </c>
      <c r="Z159" s="696">
        <v>5</v>
      </c>
      <c r="AA159" s="696">
        <v>4</v>
      </c>
    </row>
    <row r="160" spans="1:27" hidden="1">
      <c r="A160" s="634">
        <v>34</v>
      </c>
      <c r="B160" s="639"/>
      <c r="C160" s="372"/>
      <c r="D160" s="372"/>
      <c r="E160" s="372"/>
      <c r="F160" s="372"/>
      <c r="G160" s="372"/>
      <c r="H160" s="372"/>
      <c r="I160" s="372"/>
      <c r="J160" s="372"/>
      <c r="K160" s="372"/>
      <c r="L160" s="372"/>
      <c r="M160" s="372"/>
      <c r="N160" s="372"/>
      <c r="O160" s="635"/>
      <c r="P160" s="372"/>
      <c r="Q160" s="372"/>
      <c r="R160" s="372"/>
      <c r="S160" s="626"/>
      <c r="T160" s="626"/>
      <c r="U160" s="626"/>
      <c r="V160" s="697">
        <v>0</v>
      </c>
      <c r="W160" s="697">
        <v>0</v>
      </c>
      <c r="X160" s="697">
        <v>0</v>
      </c>
      <c r="Y160" s="697">
        <v>0</v>
      </c>
      <c r="Z160" s="697">
        <v>0</v>
      </c>
      <c r="AA160" s="697">
        <v>0</v>
      </c>
    </row>
    <row r="161" spans="1:27" hidden="1">
      <c r="A161" s="634">
        <v>35</v>
      </c>
      <c r="B161" s="639"/>
      <c r="C161" s="634"/>
      <c r="D161" s="372" t="s">
        <v>673</v>
      </c>
      <c r="E161" s="372"/>
      <c r="F161" s="372"/>
      <c r="G161" s="372"/>
      <c r="H161" s="372"/>
      <c r="I161" s="372"/>
      <c r="J161" s="372"/>
      <c r="K161" s="372"/>
      <c r="L161" s="372"/>
      <c r="M161" s="372"/>
      <c r="N161" s="372"/>
      <c r="O161" s="635"/>
      <c r="P161" s="372"/>
      <c r="Q161" s="372"/>
      <c r="R161" s="372"/>
      <c r="S161" s="626"/>
      <c r="T161" s="626"/>
      <c r="U161" s="626"/>
      <c r="V161" s="697">
        <v>0</v>
      </c>
      <c r="W161" s="697">
        <v>0</v>
      </c>
      <c r="X161" s="697">
        <v>0</v>
      </c>
      <c r="Y161" s="697">
        <v>0</v>
      </c>
      <c r="Z161" s="697">
        <v>0</v>
      </c>
      <c r="AA161" s="697">
        <v>0</v>
      </c>
    </row>
    <row r="162" spans="1:27" hidden="1">
      <c r="A162" s="634">
        <v>36</v>
      </c>
      <c r="B162" s="639"/>
      <c r="C162" s="634">
        <v>34143</v>
      </c>
      <c r="D162" s="372" t="s">
        <v>627</v>
      </c>
      <c r="E162" s="372"/>
      <c r="F162" s="634">
        <v>2.9</v>
      </c>
      <c r="G162" s="635"/>
      <c r="H162" s="640">
        <v>2291</v>
      </c>
      <c r="I162" s="635"/>
      <c r="J162" s="634" t="s">
        <v>635</v>
      </c>
      <c r="K162" s="372"/>
      <c r="L162" s="634" t="s">
        <v>635</v>
      </c>
      <c r="M162" s="372"/>
      <c r="N162" s="634" t="s">
        <v>635</v>
      </c>
      <c r="O162" s="635"/>
      <c r="P162" s="640">
        <v>2291</v>
      </c>
      <c r="Q162" s="372"/>
      <c r="R162" s="640">
        <v>2291</v>
      </c>
      <c r="S162" s="626"/>
      <c r="T162" s="626"/>
      <c r="U162" s="626"/>
      <c r="V162" s="696">
        <v>5</v>
      </c>
      <c r="W162" s="697">
        <v>0</v>
      </c>
      <c r="X162" s="697">
        <v>0</v>
      </c>
      <c r="Y162" s="697">
        <v>0</v>
      </c>
      <c r="Z162" s="696">
        <v>5</v>
      </c>
      <c r="AA162" s="696">
        <v>5</v>
      </c>
    </row>
    <row r="163" spans="1:27" hidden="1">
      <c r="A163" s="634">
        <v>37</v>
      </c>
      <c r="B163" s="639"/>
      <c r="C163" s="634">
        <v>34243</v>
      </c>
      <c r="D163" s="372" t="s">
        <v>666</v>
      </c>
      <c r="E163" s="372"/>
      <c r="F163" s="634">
        <v>2.9</v>
      </c>
      <c r="G163" s="635"/>
      <c r="H163" s="640">
        <v>3108</v>
      </c>
      <c r="I163" s="635"/>
      <c r="J163" s="634">
        <v>8</v>
      </c>
      <c r="K163" s="372"/>
      <c r="L163" s="634">
        <v>-17</v>
      </c>
      <c r="M163" s="372"/>
      <c r="N163" s="634" t="s">
        <v>628</v>
      </c>
      <c r="O163" s="635"/>
      <c r="P163" s="640">
        <v>3099</v>
      </c>
      <c r="Q163" s="372"/>
      <c r="R163" s="640">
        <v>3106</v>
      </c>
      <c r="S163" s="626"/>
      <c r="T163" s="626"/>
      <c r="U163" s="626"/>
      <c r="V163" s="696">
        <v>5</v>
      </c>
      <c r="W163" s="696">
        <v>5</v>
      </c>
      <c r="X163" s="696">
        <v>5</v>
      </c>
      <c r="Y163" s="697">
        <v>0</v>
      </c>
      <c r="Z163" s="696">
        <v>5</v>
      </c>
      <c r="AA163" s="696">
        <v>5</v>
      </c>
    </row>
    <row r="164" spans="1:27" hidden="1">
      <c r="A164" s="634">
        <v>38</v>
      </c>
      <c r="B164" s="639"/>
      <c r="C164" s="634">
        <v>34343</v>
      </c>
      <c r="D164" s="372" t="s">
        <v>667</v>
      </c>
      <c r="E164" s="372"/>
      <c r="F164" s="634">
        <v>2.9</v>
      </c>
      <c r="G164" s="635"/>
      <c r="H164" s="640">
        <v>452412</v>
      </c>
      <c r="I164" s="635"/>
      <c r="J164" s="640">
        <v>6344</v>
      </c>
      <c r="K164" s="372"/>
      <c r="L164" s="634" t="s">
        <v>635</v>
      </c>
      <c r="M164" s="372"/>
      <c r="N164" s="634" t="s">
        <v>635</v>
      </c>
      <c r="O164" s="635"/>
      <c r="P164" s="640">
        <v>458756</v>
      </c>
      <c r="Q164" s="372"/>
      <c r="R164" s="640">
        <v>456835</v>
      </c>
      <c r="S164" s="626"/>
      <c r="T164" s="626"/>
      <c r="U164" s="626"/>
      <c r="V164" s="696">
        <v>5</v>
      </c>
      <c r="W164" s="696">
        <v>5</v>
      </c>
      <c r="X164" s="697">
        <v>0</v>
      </c>
      <c r="Y164" s="697">
        <v>0</v>
      </c>
      <c r="Z164" s="696">
        <v>5</v>
      </c>
      <c r="AA164" s="696">
        <v>5</v>
      </c>
    </row>
    <row r="165" spans="1:27" hidden="1">
      <c r="A165" s="634">
        <v>39</v>
      </c>
      <c r="B165" s="639"/>
      <c r="C165" s="634">
        <v>34543</v>
      </c>
      <c r="D165" s="372" t="s">
        <v>631</v>
      </c>
      <c r="E165" s="372"/>
      <c r="F165" s="634">
        <v>2.9</v>
      </c>
      <c r="G165" s="635"/>
      <c r="H165" s="634">
        <v>535</v>
      </c>
      <c r="I165" s="635"/>
      <c r="J165" s="634">
        <v>165</v>
      </c>
      <c r="K165" s="372"/>
      <c r="L165" s="634" t="s">
        <v>635</v>
      </c>
      <c r="M165" s="372"/>
      <c r="N165" s="634" t="s">
        <v>635</v>
      </c>
      <c r="O165" s="635"/>
      <c r="P165" s="634">
        <v>701</v>
      </c>
      <c r="Q165" s="372"/>
      <c r="R165" s="634">
        <v>557</v>
      </c>
      <c r="S165" s="626"/>
      <c r="T165" s="626"/>
      <c r="U165" s="626"/>
      <c r="V165" s="696">
        <v>5</v>
      </c>
      <c r="W165" s="696">
        <v>5</v>
      </c>
      <c r="X165" s="697">
        <v>0</v>
      </c>
      <c r="Y165" s="697">
        <v>0</v>
      </c>
      <c r="Z165" s="696">
        <v>5</v>
      </c>
      <c r="AA165" s="696">
        <v>5</v>
      </c>
    </row>
    <row r="166" spans="1:27" hidden="1">
      <c r="A166" s="634">
        <v>40</v>
      </c>
      <c r="B166" s="639"/>
      <c r="C166" s="634">
        <v>34643</v>
      </c>
      <c r="D166" s="372" t="s">
        <v>632</v>
      </c>
      <c r="E166" s="372"/>
      <c r="F166" s="634">
        <v>2.9</v>
      </c>
      <c r="G166" s="635"/>
      <c r="H166" s="634">
        <v>309</v>
      </c>
      <c r="I166" s="635"/>
      <c r="J166" s="634" t="s">
        <v>635</v>
      </c>
      <c r="K166" s="372"/>
      <c r="L166" s="634" t="s">
        <v>635</v>
      </c>
      <c r="M166" s="372"/>
      <c r="N166" s="634" t="s">
        <v>635</v>
      </c>
      <c r="O166" s="635"/>
      <c r="P166" s="634">
        <v>309</v>
      </c>
      <c r="Q166" s="372"/>
      <c r="R166" s="634">
        <v>309</v>
      </c>
      <c r="S166" s="626"/>
      <c r="T166" s="626"/>
      <c r="U166" s="626"/>
      <c r="V166" s="696">
        <v>5</v>
      </c>
      <c r="W166" s="697">
        <v>0</v>
      </c>
      <c r="X166" s="697">
        <v>0</v>
      </c>
      <c r="Y166" s="697">
        <v>0</v>
      </c>
      <c r="Z166" s="696">
        <v>5</v>
      </c>
      <c r="AA166" s="696">
        <v>5</v>
      </c>
    </row>
    <row r="167" spans="1:27" hidden="1">
      <c r="A167" s="634">
        <v>41</v>
      </c>
      <c r="B167" s="639"/>
      <c r="C167" s="372"/>
      <c r="D167" s="636" t="s">
        <v>674</v>
      </c>
      <c r="E167" s="372"/>
      <c r="F167" s="372"/>
      <c r="G167" s="372"/>
      <c r="H167" s="642">
        <v>458655</v>
      </c>
      <c r="I167" s="635"/>
      <c r="J167" s="642">
        <v>6518</v>
      </c>
      <c r="K167" s="635"/>
      <c r="L167" s="643">
        <v>-17</v>
      </c>
      <c r="M167" s="635"/>
      <c r="N167" s="643" t="s">
        <v>628</v>
      </c>
      <c r="O167" s="635"/>
      <c r="P167" s="642">
        <v>465156</v>
      </c>
      <c r="Q167" s="635"/>
      <c r="R167" s="642">
        <v>463097</v>
      </c>
      <c r="S167" s="626"/>
      <c r="T167" s="626"/>
      <c r="U167" s="626"/>
      <c r="V167" s="696">
        <v>4</v>
      </c>
      <c r="W167" s="696">
        <v>5</v>
      </c>
      <c r="X167" s="696">
        <v>5</v>
      </c>
      <c r="Y167" s="697">
        <v>0</v>
      </c>
      <c r="Z167" s="696">
        <v>5</v>
      </c>
      <c r="AA167" s="696">
        <v>5</v>
      </c>
    </row>
    <row r="168" spans="1:27" hidden="1">
      <c r="A168" s="634">
        <v>42</v>
      </c>
      <c r="B168" s="639"/>
      <c r="C168" s="372"/>
      <c r="D168" s="372"/>
      <c r="E168" s="372"/>
      <c r="F168" s="372"/>
      <c r="G168" s="372"/>
      <c r="H168" s="372"/>
      <c r="I168" s="372"/>
      <c r="J168" s="372"/>
      <c r="K168" s="372"/>
      <c r="L168" s="372"/>
      <c r="M168" s="372"/>
      <c r="N168" s="372"/>
      <c r="O168" s="635"/>
      <c r="P168" s="383"/>
      <c r="Q168" s="372"/>
      <c r="R168" s="372"/>
      <c r="S168" s="626"/>
      <c r="T168" s="626"/>
      <c r="U168" s="626"/>
      <c r="V168" s="697">
        <v>0</v>
      </c>
      <c r="W168" s="697">
        <v>0</v>
      </c>
      <c r="X168" s="697">
        <v>0</v>
      </c>
      <c r="Y168" s="697">
        <v>0</v>
      </c>
      <c r="Z168" s="697">
        <v>0</v>
      </c>
      <c r="AA168" s="697">
        <v>0</v>
      </c>
    </row>
    <row r="169" spans="1:27" ht="15" hidden="1" thickBot="1">
      <c r="A169" s="634">
        <v>43</v>
      </c>
      <c r="B169" s="639"/>
      <c r="C169" s="372"/>
      <c r="D169" s="636" t="s">
        <v>662</v>
      </c>
      <c r="E169" s="372"/>
      <c r="F169" s="372"/>
      <c r="G169" s="635"/>
      <c r="H169" s="646">
        <v>851629</v>
      </c>
      <c r="I169" s="635"/>
      <c r="J169" s="646">
        <v>8463</v>
      </c>
      <c r="K169" s="635"/>
      <c r="L169" s="647">
        <v>-239</v>
      </c>
      <c r="M169" s="635"/>
      <c r="N169" s="647" t="s">
        <v>628</v>
      </c>
      <c r="O169" s="635"/>
      <c r="P169" s="646">
        <v>859853</v>
      </c>
      <c r="Q169" s="635"/>
      <c r="R169" s="646">
        <v>856269</v>
      </c>
      <c r="S169" s="626"/>
      <c r="T169" s="626"/>
      <c r="U169" s="626"/>
      <c r="V169" s="696">
        <v>5</v>
      </c>
      <c r="W169" s="696">
        <v>5</v>
      </c>
      <c r="X169" s="696">
        <v>4</v>
      </c>
      <c r="Y169" s="697">
        <v>0</v>
      </c>
      <c r="Z169" s="696">
        <v>5</v>
      </c>
      <c r="AA169" s="696">
        <v>4</v>
      </c>
    </row>
    <row r="170" spans="1:27" ht="15.6" hidden="1" thickTop="1" thickBot="1">
      <c r="A170" s="637">
        <v>44</v>
      </c>
      <c r="B170" s="660" t="s">
        <v>67</v>
      </c>
      <c r="C170" s="660"/>
      <c r="D170" s="625"/>
      <c r="E170" s="625"/>
      <c r="F170" s="625"/>
      <c r="G170" s="625"/>
      <c r="H170" s="625"/>
      <c r="I170" s="625"/>
      <c r="J170" s="625"/>
      <c r="K170" s="625"/>
      <c r="L170" s="625"/>
      <c r="M170" s="625"/>
      <c r="N170" s="625"/>
      <c r="O170" s="638"/>
      <c r="P170" s="625"/>
      <c r="Q170" s="625"/>
      <c r="R170" s="625"/>
      <c r="S170" s="626"/>
      <c r="T170" s="626"/>
      <c r="U170" s="626"/>
      <c r="V170" s="697">
        <v>0</v>
      </c>
      <c r="W170" s="697">
        <v>0</v>
      </c>
      <c r="X170" s="697">
        <v>0</v>
      </c>
      <c r="Y170" s="697">
        <v>0</v>
      </c>
      <c r="Z170" s="697">
        <v>0</v>
      </c>
      <c r="AA170" s="697">
        <v>0</v>
      </c>
    </row>
    <row r="171" spans="1:27" hidden="1">
      <c r="A171" s="664" t="s">
        <v>643</v>
      </c>
      <c r="B171" s="664"/>
      <c r="C171" s="372"/>
      <c r="D171" s="372"/>
      <c r="E171" s="664"/>
      <c r="F171" s="664"/>
      <c r="G171" s="664"/>
      <c r="H171" s="664"/>
      <c r="I171" s="664"/>
      <c r="J171" s="664"/>
      <c r="K171" s="664"/>
      <c r="L171" s="664"/>
      <c r="M171" s="664"/>
      <c r="N171" s="664"/>
      <c r="O171" s="635"/>
      <c r="P171" s="372" t="s">
        <v>644</v>
      </c>
      <c r="Q171" s="664"/>
      <c r="R171" s="664"/>
      <c r="S171" s="626"/>
      <c r="T171" s="626"/>
      <c r="U171" s="626"/>
      <c r="V171" s="697">
        <v>0</v>
      </c>
      <c r="W171" s="697">
        <v>0</v>
      </c>
      <c r="X171" s="697">
        <v>0</v>
      </c>
      <c r="Y171" s="697">
        <v>0</v>
      </c>
      <c r="Z171" s="697">
        <v>0</v>
      </c>
      <c r="AA171" s="697">
        <v>0</v>
      </c>
    </row>
    <row r="172" spans="1:27" ht="15" hidden="1" thickBot="1">
      <c r="A172" s="625" t="s">
        <v>604</v>
      </c>
      <c r="B172" s="625"/>
      <c r="C172" s="625"/>
      <c r="D172" s="625"/>
      <c r="E172" s="625"/>
      <c r="F172" s="625"/>
      <c r="G172" s="625" t="s">
        <v>605</v>
      </c>
      <c r="H172" s="625"/>
      <c r="I172" s="625"/>
      <c r="J172" s="625"/>
      <c r="K172" s="625"/>
      <c r="L172" s="625"/>
      <c r="M172" s="625"/>
      <c r="N172" s="625"/>
      <c r="O172" s="638"/>
      <c r="P172" s="625"/>
      <c r="Q172" s="625"/>
      <c r="R172" s="625" t="s">
        <v>675</v>
      </c>
      <c r="S172" s="626"/>
      <c r="T172" s="626"/>
      <c r="U172" s="626"/>
      <c r="V172" s="697">
        <v>0</v>
      </c>
      <c r="W172" s="697">
        <v>0</v>
      </c>
      <c r="X172" s="697">
        <v>0</v>
      </c>
      <c r="Y172" s="697">
        <v>0</v>
      </c>
      <c r="Z172" s="697">
        <v>0</v>
      </c>
      <c r="AA172" s="697">
        <v>0</v>
      </c>
    </row>
    <row r="173" spans="1:27" hidden="1">
      <c r="A173" s="664" t="s">
        <v>4</v>
      </c>
      <c r="B173" s="664"/>
      <c r="C173" s="372"/>
      <c r="D173" s="372"/>
      <c r="E173" s="635" t="s">
        <v>553</v>
      </c>
      <c r="F173" s="372" t="s">
        <v>607</v>
      </c>
      <c r="G173" s="664"/>
      <c r="H173" s="664"/>
      <c r="I173" s="664"/>
      <c r="J173" s="664"/>
      <c r="K173" s="661"/>
      <c r="L173" s="661"/>
      <c r="M173" s="661"/>
      <c r="N173" s="661"/>
      <c r="O173" s="645"/>
      <c r="P173" s="372" t="s">
        <v>608</v>
      </c>
      <c r="Q173" s="664"/>
      <c r="R173" s="664"/>
      <c r="S173" s="626"/>
      <c r="T173" s="626"/>
      <c r="U173" s="626"/>
      <c r="V173" s="697">
        <v>0</v>
      </c>
      <c r="W173" s="697">
        <v>0</v>
      </c>
      <c r="X173" s="697">
        <v>0</v>
      </c>
      <c r="Y173" s="697">
        <v>0</v>
      </c>
      <c r="Z173" s="697">
        <v>0</v>
      </c>
      <c r="AA173" s="697">
        <v>0</v>
      </c>
    </row>
    <row r="174" spans="1:27" hidden="1">
      <c r="A174" s="372"/>
      <c r="B174" s="372"/>
      <c r="C174" s="372"/>
      <c r="D174" s="372"/>
      <c r="E174" s="372"/>
      <c r="F174" s="372" t="s">
        <v>609</v>
      </c>
      <c r="G174" s="372"/>
      <c r="H174" s="372"/>
      <c r="I174" s="372"/>
      <c r="J174" s="372"/>
      <c r="K174" s="636"/>
      <c r="L174" s="636"/>
      <c r="M174" s="372"/>
      <c r="N174" s="372"/>
      <c r="O174" s="635"/>
      <c r="P174" s="636" t="s">
        <v>9</v>
      </c>
      <c r="Q174" s="372"/>
      <c r="R174" s="372"/>
      <c r="S174" s="626"/>
      <c r="T174" s="626"/>
      <c r="U174" s="626"/>
      <c r="V174" s="697">
        <v>0</v>
      </c>
      <c r="W174" s="697">
        <v>0</v>
      </c>
      <c r="X174" s="697">
        <v>0</v>
      </c>
      <c r="Y174" s="697">
        <v>0</v>
      </c>
      <c r="Z174" s="697">
        <v>0</v>
      </c>
      <c r="AA174" s="697">
        <v>0</v>
      </c>
    </row>
    <row r="175" spans="1:27" hidden="1">
      <c r="A175" s="372" t="s">
        <v>10</v>
      </c>
      <c r="B175" s="372"/>
      <c r="C175" s="372"/>
      <c r="D175" s="372"/>
      <c r="E175" s="372"/>
      <c r="F175" s="372"/>
      <c r="G175" s="372"/>
      <c r="H175" s="372"/>
      <c r="I175" s="372"/>
      <c r="J175" s="372"/>
      <c r="K175" s="636"/>
      <c r="L175" s="636"/>
      <c r="M175" s="372"/>
      <c r="N175" s="372"/>
      <c r="O175" s="635"/>
      <c r="P175" s="636" t="s">
        <v>11</v>
      </c>
      <c r="Q175" s="372"/>
      <c r="R175" s="372"/>
      <c r="S175" s="626"/>
      <c r="T175" s="626"/>
      <c r="U175" s="626"/>
      <c r="V175" s="697">
        <v>0</v>
      </c>
      <c r="W175" s="697">
        <v>0</v>
      </c>
      <c r="X175" s="697">
        <v>0</v>
      </c>
      <c r="Y175" s="697">
        <v>0</v>
      </c>
      <c r="Z175" s="697">
        <v>0</v>
      </c>
      <c r="AA175" s="697">
        <v>0</v>
      </c>
    </row>
    <row r="176" spans="1:27" hidden="1">
      <c r="A176" s="372"/>
      <c r="B176" s="372"/>
      <c r="C176" s="372"/>
      <c r="D176" s="372"/>
      <c r="E176" s="372"/>
      <c r="F176" s="372"/>
      <c r="G176" s="372"/>
      <c r="H176" s="372"/>
      <c r="I176" s="372"/>
      <c r="J176" s="372"/>
      <c r="K176" s="636"/>
      <c r="L176" s="636"/>
      <c r="M176" s="372"/>
      <c r="N176" s="372"/>
      <c r="O176" s="635" t="s">
        <v>12</v>
      </c>
      <c r="P176" s="636" t="s">
        <v>13</v>
      </c>
      <c r="Q176" s="372"/>
      <c r="R176" s="372"/>
      <c r="S176" s="626"/>
      <c r="T176" s="626"/>
      <c r="U176" s="626"/>
      <c r="V176" s="697">
        <v>0</v>
      </c>
      <c r="W176" s="697">
        <v>0</v>
      </c>
      <c r="X176" s="697">
        <v>0</v>
      </c>
      <c r="Y176" s="697">
        <v>0</v>
      </c>
      <c r="Z176" s="697">
        <v>0</v>
      </c>
      <c r="AA176" s="697">
        <v>0</v>
      </c>
    </row>
    <row r="177" spans="1:27" hidden="1">
      <c r="A177" s="372"/>
      <c r="B177" s="372"/>
      <c r="C177" s="372"/>
      <c r="D177" s="372"/>
      <c r="E177" s="372"/>
      <c r="F177" s="372"/>
      <c r="G177" s="372"/>
      <c r="H177" s="372"/>
      <c r="I177" s="372"/>
      <c r="J177" s="372"/>
      <c r="K177" s="636"/>
      <c r="L177" s="636"/>
      <c r="M177" s="372"/>
      <c r="N177" s="372"/>
      <c r="O177" s="635"/>
      <c r="P177" s="636" t="s">
        <v>610</v>
      </c>
      <c r="Q177" s="372"/>
      <c r="R177" s="372"/>
      <c r="S177" s="626"/>
      <c r="T177" s="626"/>
      <c r="U177" s="626"/>
      <c r="V177" s="697">
        <v>0</v>
      </c>
      <c r="W177" s="697">
        <v>0</v>
      </c>
      <c r="X177" s="697">
        <v>0</v>
      </c>
      <c r="Y177" s="697">
        <v>0</v>
      </c>
      <c r="Z177" s="697">
        <v>0</v>
      </c>
      <c r="AA177" s="697">
        <v>0</v>
      </c>
    </row>
    <row r="178" spans="1:27" ht="15" hidden="1" thickBot="1">
      <c r="A178" s="625" t="s">
        <v>611</v>
      </c>
      <c r="B178" s="625"/>
      <c r="C178" s="625"/>
      <c r="D178" s="625"/>
      <c r="E178" s="625"/>
      <c r="F178" s="625"/>
      <c r="G178" s="625"/>
      <c r="H178" s="637" t="s">
        <v>612</v>
      </c>
      <c r="I178" s="625"/>
      <c r="J178" s="625"/>
      <c r="K178" s="625"/>
      <c r="L178" s="625"/>
      <c r="M178" s="625"/>
      <c r="N178" s="625"/>
      <c r="O178" s="638"/>
      <c r="P178" s="625" t="s">
        <v>249</v>
      </c>
      <c r="Q178" s="625"/>
      <c r="R178" s="625"/>
      <c r="S178" s="626"/>
      <c r="T178" s="626"/>
      <c r="U178" s="626"/>
      <c r="V178" s="697">
        <v>0</v>
      </c>
      <c r="W178" s="697">
        <v>0</v>
      </c>
      <c r="X178" s="697">
        <v>0</v>
      </c>
      <c r="Y178" s="697">
        <v>0</v>
      </c>
      <c r="Z178" s="697">
        <v>0</v>
      </c>
      <c r="AA178" s="697">
        <v>0</v>
      </c>
    </row>
    <row r="179" spans="1:27" hidden="1">
      <c r="A179" s="664"/>
      <c r="B179" s="664"/>
      <c r="C179" s="634"/>
      <c r="D179" s="634"/>
      <c r="E179" s="634"/>
      <c r="F179" s="634"/>
      <c r="G179" s="634"/>
      <c r="H179" s="634"/>
      <c r="I179" s="634"/>
      <c r="J179" s="634"/>
      <c r="K179" s="634"/>
      <c r="L179" s="634"/>
      <c r="M179" s="634"/>
      <c r="N179" s="634"/>
      <c r="O179" s="635"/>
      <c r="P179" s="634"/>
      <c r="Q179" s="634"/>
      <c r="R179" s="634"/>
      <c r="S179" s="626"/>
      <c r="T179" s="626"/>
      <c r="U179" s="626"/>
      <c r="V179" s="697">
        <v>0</v>
      </c>
      <c r="W179" s="697">
        <v>0</v>
      </c>
      <c r="X179" s="697">
        <v>0</v>
      </c>
      <c r="Y179" s="697">
        <v>0</v>
      </c>
      <c r="Z179" s="697">
        <v>0</v>
      </c>
      <c r="AA179" s="697">
        <v>0</v>
      </c>
    </row>
    <row r="180" spans="1:27" hidden="1">
      <c r="A180" s="372"/>
      <c r="B180" s="372"/>
      <c r="C180" s="634">
        <v>-1</v>
      </c>
      <c r="D180" s="634">
        <v>-2</v>
      </c>
      <c r="E180" s="634"/>
      <c r="F180" s="634">
        <v>-3</v>
      </c>
      <c r="G180" s="634"/>
      <c r="H180" s="634">
        <v>-4</v>
      </c>
      <c r="I180" s="634"/>
      <c r="J180" s="634">
        <v>-5</v>
      </c>
      <c r="K180" s="634"/>
      <c r="L180" s="634">
        <v>-6</v>
      </c>
      <c r="M180" s="634"/>
      <c r="N180" s="634">
        <v>-7</v>
      </c>
      <c r="O180" s="635"/>
      <c r="P180" s="634">
        <v>-8</v>
      </c>
      <c r="Q180" s="634"/>
      <c r="R180" s="634">
        <v>-9</v>
      </c>
      <c r="S180" s="626"/>
      <c r="T180" s="626"/>
      <c r="U180" s="626"/>
      <c r="V180" s="697">
        <v>0</v>
      </c>
      <c r="W180" s="697">
        <v>0</v>
      </c>
      <c r="X180" s="697">
        <v>0</v>
      </c>
      <c r="Y180" s="697">
        <v>0</v>
      </c>
      <c r="Z180" s="697">
        <v>0</v>
      </c>
      <c r="AA180" s="697">
        <v>0</v>
      </c>
    </row>
    <row r="181" spans="1:27" hidden="1">
      <c r="A181" s="372"/>
      <c r="B181" s="372"/>
      <c r="C181" s="634" t="s">
        <v>613</v>
      </c>
      <c r="D181" s="634" t="s">
        <v>613</v>
      </c>
      <c r="E181" s="372"/>
      <c r="F181" s="634" t="s">
        <v>37</v>
      </c>
      <c r="G181" s="634"/>
      <c r="H181" s="634" t="s">
        <v>30</v>
      </c>
      <c r="I181" s="634"/>
      <c r="J181" s="634" t="s">
        <v>45</v>
      </c>
      <c r="K181" s="634"/>
      <c r="L181" s="634" t="s">
        <v>45</v>
      </c>
      <c r="M181" s="634"/>
      <c r="N181" s="372"/>
      <c r="O181" s="635"/>
      <c r="P181" s="634" t="s">
        <v>30</v>
      </c>
      <c r="Q181" s="372"/>
      <c r="R181" s="372"/>
      <c r="S181" s="626"/>
      <c r="T181" s="626"/>
      <c r="U181" s="626"/>
      <c r="V181" s="697">
        <v>0</v>
      </c>
      <c r="W181" s="697">
        <v>0</v>
      </c>
      <c r="X181" s="697">
        <v>0</v>
      </c>
      <c r="Y181" s="697">
        <v>0</v>
      </c>
      <c r="Z181" s="697">
        <v>0</v>
      </c>
      <c r="AA181" s="697">
        <v>0</v>
      </c>
    </row>
    <row r="182" spans="1:27" hidden="1">
      <c r="A182" s="634" t="s">
        <v>35</v>
      </c>
      <c r="B182" s="634"/>
      <c r="C182" s="634" t="s">
        <v>614</v>
      </c>
      <c r="D182" s="634" t="s">
        <v>614</v>
      </c>
      <c r="E182" s="634"/>
      <c r="F182" s="634" t="s">
        <v>615</v>
      </c>
      <c r="G182" s="634"/>
      <c r="H182" s="634" t="s">
        <v>616</v>
      </c>
      <c r="I182" s="634"/>
      <c r="J182" s="634" t="s">
        <v>30</v>
      </c>
      <c r="K182" s="634"/>
      <c r="L182" s="634" t="s">
        <v>30</v>
      </c>
      <c r="M182" s="636"/>
      <c r="N182" s="634" t="s">
        <v>178</v>
      </c>
      <c r="O182" s="635"/>
      <c r="P182" s="634" t="s">
        <v>616</v>
      </c>
      <c r="Q182" s="634"/>
      <c r="R182" s="634" t="s">
        <v>353</v>
      </c>
      <c r="S182" s="626"/>
      <c r="T182" s="626"/>
      <c r="U182" s="626"/>
      <c r="V182" s="697">
        <v>0</v>
      </c>
      <c r="W182" s="697">
        <v>0</v>
      </c>
      <c r="X182" s="697">
        <v>0</v>
      </c>
      <c r="Y182" s="697">
        <v>0</v>
      </c>
      <c r="Z182" s="697">
        <v>0</v>
      </c>
      <c r="AA182" s="697">
        <v>0</v>
      </c>
    </row>
    <row r="183" spans="1:27" ht="15" hidden="1" thickBot="1">
      <c r="A183" s="637" t="s">
        <v>46</v>
      </c>
      <c r="B183" s="637"/>
      <c r="C183" s="637" t="s">
        <v>371</v>
      </c>
      <c r="D183" s="637" t="s">
        <v>617</v>
      </c>
      <c r="E183" s="637"/>
      <c r="F183" s="637" t="s">
        <v>618</v>
      </c>
      <c r="G183" s="637"/>
      <c r="H183" s="637" t="s">
        <v>619</v>
      </c>
      <c r="I183" s="637"/>
      <c r="J183" s="637" t="s">
        <v>620</v>
      </c>
      <c r="K183" s="637"/>
      <c r="L183" s="637" t="s">
        <v>621</v>
      </c>
      <c r="M183" s="637"/>
      <c r="N183" s="637" t="s">
        <v>622</v>
      </c>
      <c r="O183" s="638"/>
      <c r="P183" s="637" t="s">
        <v>623</v>
      </c>
      <c r="Q183" s="637"/>
      <c r="R183" s="637" t="s">
        <v>369</v>
      </c>
      <c r="S183" s="626"/>
      <c r="T183" s="626"/>
      <c r="U183" s="626"/>
      <c r="V183" s="697">
        <v>0</v>
      </c>
      <c r="W183" s="697">
        <v>0</v>
      </c>
      <c r="X183" s="697">
        <v>0</v>
      </c>
      <c r="Y183" s="697">
        <v>0</v>
      </c>
      <c r="Z183" s="697">
        <v>0</v>
      </c>
      <c r="AA183" s="697">
        <v>0</v>
      </c>
    </row>
    <row r="184" spans="1:27" hidden="1">
      <c r="A184" s="634">
        <v>1</v>
      </c>
      <c r="B184" s="634"/>
      <c r="C184" s="372"/>
      <c r="D184" s="372"/>
      <c r="E184" s="664"/>
      <c r="F184" s="664"/>
      <c r="G184" s="664"/>
      <c r="H184" s="664"/>
      <c r="I184" s="664"/>
      <c r="J184" s="664"/>
      <c r="K184" s="664"/>
      <c r="L184" s="664"/>
      <c r="M184" s="664"/>
      <c r="N184" s="664"/>
      <c r="O184" s="635"/>
      <c r="P184" s="372"/>
      <c r="Q184" s="664"/>
      <c r="R184" s="664"/>
      <c r="S184" s="626"/>
      <c r="T184" s="626"/>
      <c r="U184" s="626"/>
      <c r="V184" s="697">
        <v>0</v>
      </c>
      <c r="W184" s="697">
        <v>0</v>
      </c>
      <c r="X184" s="697">
        <v>0</v>
      </c>
      <c r="Y184" s="697">
        <v>0</v>
      </c>
      <c r="Z184" s="697">
        <v>0</v>
      </c>
      <c r="AA184" s="697">
        <v>0</v>
      </c>
    </row>
    <row r="185" spans="1:27" hidden="1">
      <c r="A185" s="634">
        <v>2</v>
      </c>
      <c r="B185" s="634"/>
      <c r="C185" s="372"/>
      <c r="D185" s="372" t="s">
        <v>676</v>
      </c>
      <c r="E185" s="372"/>
      <c r="F185" s="372"/>
      <c r="G185" s="372"/>
      <c r="H185" s="372"/>
      <c r="I185" s="635"/>
      <c r="J185" s="372"/>
      <c r="K185" s="635"/>
      <c r="L185" s="372"/>
      <c r="M185" s="635"/>
      <c r="N185" s="372"/>
      <c r="O185" s="635"/>
      <c r="P185" s="372"/>
      <c r="Q185" s="635"/>
      <c r="R185" s="372"/>
      <c r="S185" s="626"/>
      <c r="T185" s="626"/>
      <c r="U185" s="626"/>
      <c r="V185" s="697">
        <v>0</v>
      </c>
      <c r="W185" s="697">
        <v>0</v>
      </c>
      <c r="X185" s="697">
        <v>0</v>
      </c>
      <c r="Y185" s="697">
        <v>0</v>
      </c>
      <c r="Z185" s="697">
        <v>0</v>
      </c>
      <c r="AA185" s="697">
        <v>0</v>
      </c>
    </row>
    <row r="186" spans="1:27" hidden="1">
      <c r="A186" s="634">
        <v>3</v>
      </c>
      <c r="B186" s="634"/>
      <c r="C186" s="634"/>
      <c r="D186" s="636" t="s">
        <v>677</v>
      </c>
      <c r="E186" s="372"/>
      <c r="F186" s="372"/>
      <c r="G186" s="635"/>
      <c r="H186" s="635"/>
      <c r="I186" s="635"/>
      <c r="J186" s="635"/>
      <c r="K186" s="635"/>
      <c r="L186" s="635"/>
      <c r="M186" s="635"/>
      <c r="N186" s="635"/>
      <c r="O186" s="635"/>
      <c r="P186" s="635"/>
      <c r="Q186" s="635"/>
      <c r="R186" s="635"/>
      <c r="S186" s="626"/>
      <c r="T186" s="626"/>
      <c r="U186" s="626"/>
      <c r="V186" s="697">
        <v>0</v>
      </c>
      <c r="W186" s="697">
        <v>0</v>
      </c>
      <c r="X186" s="697">
        <v>0</v>
      </c>
      <c r="Y186" s="697">
        <v>0</v>
      </c>
      <c r="Z186" s="697">
        <v>0</v>
      </c>
      <c r="AA186" s="697">
        <v>0</v>
      </c>
    </row>
    <row r="187" spans="1:27" hidden="1">
      <c r="A187" s="634">
        <v>4</v>
      </c>
      <c r="B187" s="634"/>
      <c r="C187" s="634">
        <v>34180</v>
      </c>
      <c r="D187" s="372" t="s">
        <v>627</v>
      </c>
      <c r="E187" s="372"/>
      <c r="F187" s="634">
        <v>3.1</v>
      </c>
      <c r="G187" s="635"/>
      <c r="H187" s="640">
        <v>192626</v>
      </c>
      <c r="I187" s="635"/>
      <c r="J187" s="634">
        <v>580</v>
      </c>
      <c r="K187" s="372"/>
      <c r="L187" s="634">
        <v>-177</v>
      </c>
      <c r="M187" s="372"/>
      <c r="N187" s="634" t="s">
        <v>628</v>
      </c>
      <c r="O187" s="635"/>
      <c r="P187" s="640">
        <v>193029</v>
      </c>
      <c r="Q187" s="372"/>
      <c r="R187" s="640">
        <v>192696</v>
      </c>
      <c r="S187" s="626"/>
      <c r="T187" s="626"/>
      <c r="U187" s="626"/>
      <c r="V187" s="696">
        <v>5</v>
      </c>
      <c r="W187" s="696">
        <v>5</v>
      </c>
      <c r="X187" s="696">
        <v>5</v>
      </c>
      <c r="Y187" s="697">
        <v>0</v>
      </c>
      <c r="Z187" s="696">
        <v>5</v>
      </c>
      <c r="AA187" s="696">
        <v>5</v>
      </c>
    </row>
    <row r="188" spans="1:27" hidden="1">
      <c r="A188" s="634">
        <v>5</v>
      </c>
      <c r="B188" s="634"/>
      <c r="C188" s="634">
        <v>34280</v>
      </c>
      <c r="D188" s="372" t="s">
        <v>666</v>
      </c>
      <c r="E188" s="372"/>
      <c r="F188" s="634">
        <v>3</v>
      </c>
      <c r="G188" s="635"/>
      <c r="H188" s="640">
        <v>9947</v>
      </c>
      <c r="I188" s="635"/>
      <c r="J188" s="634">
        <v>850</v>
      </c>
      <c r="K188" s="372"/>
      <c r="L188" s="634" t="s">
        <v>635</v>
      </c>
      <c r="M188" s="372"/>
      <c r="N188" s="634" t="s">
        <v>635</v>
      </c>
      <c r="O188" s="635"/>
      <c r="P188" s="640">
        <v>10797</v>
      </c>
      <c r="Q188" s="372"/>
      <c r="R188" s="640">
        <v>10023</v>
      </c>
      <c r="S188" s="626"/>
      <c r="T188" s="626"/>
      <c r="U188" s="626"/>
      <c r="V188" s="696">
        <v>5</v>
      </c>
      <c r="W188" s="696">
        <v>5</v>
      </c>
      <c r="X188" s="697">
        <v>0</v>
      </c>
      <c r="Y188" s="697">
        <v>0</v>
      </c>
      <c r="Z188" s="696">
        <v>5</v>
      </c>
      <c r="AA188" s="696">
        <v>3</v>
      </c>
    </row>
    <row r="189" spans="1:27" hidden="1">
      <c r="A189" s="634">
        <v>6</v>
      </c>
      <c r="B189" s="634"/>
      <c r="C189" s="634">
        <v>34380</v>
      </c>
      <c r="D189" s="372" t="s">
        <v>667</v>
      </c>
      <c r="E189" s="372"/>
      <c r="F189" s="634">
        <v>3.6</v>
      </c>
      <c r="G189" s="635"/>
      <c r="H189" s="640">
        <v>11148</v>
      </c>
      <c r="I189" s="635"/>
      <c r="J189" s="634">
        <v>560</v>
      </c>
      <c r="K189" s="372"/>
      <c r="L189" s="634" t="s">
        <v>635</v>
      </c>
      <c r="M189" s="372"/>
      <c r="N189" s="634" t="s">
        <v>635</v>
      </c>
      <c r="O189" s="635"/>
      <c r="P189" s="640">
        <v>11708</v>
      </c>
      <c r="Q189" s="372"/>
      <c r="R189" s="640">
        <v>11196</v>
      </c>
      <c r="S189" s="626"/>
      <c r="T189" s="626"/>
      <c r="U189" s="626"/>
      <c r="V189" s="696">
        <v>5</v>
      </c>
      <c r="W189" s="696">
        <v>5</v>
      </c>
      <c r="X189" s="697">
        <v>0</v>
      </c>
      <c r="Y189" s="697">
        <v>0</v>
      </c>
      <c r="Z189" s="696">
        <v>5</v>
      </c>
      <c r="AA189" s="696">
        <v>5</v>
      </c>
    </row>
    <row r="190" spans="1:27" hidden="1">
      <c r="A190" s="634">
        <v>7</v>
      </c>
      <c r="B190" s="634"/>
      <c r="C190" s="634">
        <v>34580</v>
      </c>
      <c r="D190" s="372" t="s">
        <v>631</v>
      </c>
      <c r="E190" s="372"/>
      <c r="F190" s="634">
        <v>3.6</v>
      </c>
      <c r="G190" s="635"/>
      <c r="H190" s="640">
        <v>14450</v>
      </c>
      <c r="I190" s="635"/>
      <c r="J190" s="634">
        <v>69</v>
      </c>
      <c r="K190" s="372"/>
      <c r="L190" s="634">
        <v>-18</v>
      </c>
      <c r="M190" s="372"/>
      <c r="N190" s="634" t="s">
        <v>628</v>
      </c>
      <c r="O190" s="635"/>
      <c r="P190" s="640">
        <v>14501</v>
      </c>
      <c r="Q190" s="372"/>
      <c r="R190" s="640">
        <v>14494</v>
      </c>
      <c r="S190" s="626"/>
      <c r="T190" s="626"/>
      <c r="U190" s="626"/>
      <c r="V190" s="696">
        <v>5</v>
      </c>
      <c r="W190" s="696">
        <v>5</v>
      </c>
      <c r="X190" s="696">
        <v>5</v>
      </c>
      <c r="Y190" s="697">
        <v>0</v>
      </c>
      <c r="Z190" s="696">
        <v>5</v>
      </c>
      <c r="AA190" s="696">
        <v>5</v>
      </c>
    </row>
    <row r="191" spans="1:27" hidden="1">
      <c r="A191" s="634">
        <v>8</v>
      </c>
      <c r="B191" s="634"/>
      <c r="C191" s="634">
        <v>34680</v>
      </c>
      <c r="D191" s="372" t="s">
        <v>632</v>
      </c>
      <c r="E191" s="372"/>
      <c r="F191" s="634">
        <v>5.6</v>
      </c>
      <c r="G191" s="635"/>
      <c r="H191" s="634">
        <v>838</v>
      </c>
      <c r="I191" s="635"/>
      <c r="J191" s="634">
        <v>421</v>
      </c>
      <c r="K191" s="372"/>
      <c r="L191" s="634" t="s">
        <v>635</v>
      </c>
      <c r="M191" s="372"/>
      <c r="N191" s="634" t="s">
        <v>635</v>
      </c>
      <c r="O191" s="635"/>
      <c r="P191" s="640">
        <v>1260</v>
      </c>
      <c r="Q191" s="372"/>
      <c r="R191" s="640">
        <v>1000</v>
      </c>
      <c r="S191" s="626"/>
      <c r="T191" s="626"/>
      <c r="U191" s="626"/>
      <c r="V191" s="696">
        <v>5</v>
      </c>
      <c r="W191" s="696">
        <v>5</v>
      </c>
      <c r="X191" s="697">
        <v>0</v>
      </c>
      <c r="Y191" s="697">
        <v>0</v>
      </c>
      <c r="Z191" s="696">
        <v>5</v>
      </c>
      <c r="AA191" s="696">
        <v>5</v>
      </c>
    </row>
    <row r="192" spans="1:27" hidden="1">
      <c r="A192" s="634">
        <v>9</v>
      </c>
      <c r="B192" s="639"/>
      <c r="C192" s="634"/>
      <c r="D192" s="372" t="s">
        <v>678</v>
      </c>
      <c r="E192" s="372"/>
      <c r="F192" s="372"/>
      <c r="G192" s="372"/>
      <c r="H192" s="642">
        <v>229008</v>
      </c>
      <c r="I192" s="635"/>
      <c r="J192" s="642">
        <v>2481</v>
      </c>
      <c r="K192" s="635"/>
      <c r="L192" s="643">
        <v>-196</v>
      </c>
      <c r="M192" s="635"/>
      <c r="N192" s="643" t="s">
        <v>628</v>
      </c>
      <c r="O192" s="635"/>
      <c r="P192" s="642">
        <v>231294</v>
      </c>
      <c r="Q192" s="635"/>
      <c r="R192" s="642">
        <v>229410</v>
      </c>
      <c r="S192" s="626"/>
      <c r="T192" s="626"/>
      <c r="U192" s="626"/>
      <c r="V192" s="696">
        <v>5</v>
      </c>
      <c r="W192" s="696">
        <v>5</v>
      </c>
      <c r="X192" s="696">
        <v>5</v>
      </c>
      <c r="Y192" s="697">
        <v>0</v>
      </c>
      <c r="Z192" s="696">
        <v>5</v>
      </c>
      <c r="AA192" s="696">
        <v>5</v>
      </c>
    </row>
    <row r="193" spans="1:27" hidden="1">
      <c r="A193" s="634">
        <v>10</v>
      </c>
      <c r="B193" s="639"/>
      <c r="C193" s="372"/>
      <c r="D193" s="372"/>
      <c r="E193" s="372"/>
      <c r="F193" s="372"/>
      <c r="G193" s="372"/>
      <c r="H193" s="372"/>
      <c r="I193" s="372"/>
      <c r="J193" s="372"/>
      <c r="K193" s="372"/>
      <c r="L193" s="372"/>
      <c r="M193" s="372"/>
      <c r="N193" s="372"/>
      <c r="O193" s="635"/>
      <c r="P193" s="372"/>
      <c r="Q193" s="372"/>
      <c r="R193" s="372"/>
      <c r="S193" s="626"/>
      <c r="T193" s="626"/>
      <c r="U193" s="626"/>
      <c r="V193" s="697">
        <v>0</v>
      </c>
      <c r="W193" s="697">
        <v>0</v>
      </c>
      <c r="X193" s="697">
        <v>0</v>
      </c>
      <c r="Y193" s="697">
        <v>0</v>
      </c>
      <c r="Z193" s="697">
        <v>0</v>
      </c>
      <c r="AA193" s="697">
        <v>0</v>
      </c>
    </row>
    <row r="194" spans="1:27" hidden="1">
      <c r="A194" s="634">
        <v>11</v>
      </c>
      <c r="B194" s="639"/>
      <c r="C194" s="372"/>
      <c r="D194" s="372" t="s">
        <v>679</v>
      </c>
      <c r="E194" s="372"/>
      <c r="F194" s="372"/>
      <c r="G194" s="635"/>
      <c r="H194" s="635"/>
      <c r="I194" s="635"/>
      <c r="J194" s="635"/>
      <c r="K194" s="635"/>
      <c r="L194" s="635"/>
      <c r="M194" s="635"/>
      <c r="N194" s="635"/>
      <c r="O194" s="635"/>
      <c r="P194" s="635"/>
      <c r="Q194" s="635"/>
      <c r="R194" s="635"/>
      <c r="S194" s="626"/>
      <c r="T194" s="626"/>
      <c r="U194" s="626"/>
      <c r="V194" s="697">
        <v>0</v>
      </c>
      <c r="W194" s="697">
        <v>0</v>
      </c>
      <c r="X194" s="697">
        <v>0</v>
      </c>
      <c r="Y194" s="697">
        <v>0</v>
      </c>
      <c r="Z194" s="697">
        <v>0</v>
      </c>
      <c r="AA194" s="697">
        <v>0</v>
      </c>
    </row>
    <row r="195" spans="1:27" hidden="1">
      <c r="A195" s="634">
        <v>12</v>
      </c>
      <c r="B195" s="639"/>
      <c r="C195" s="634">
        <v>34181</v>
      </c>
      <c r="D195" s="372" t="s">
        <v>627</v>
      </c>
      <c r="E195" s="372"/>
      <c r="F195" s="634">
        <v>3.7</v>
      </c>
      <c r="G195" s="635"/>
      <c r="H195" s="640">
        <v>53764</v>
      </c>
      <c r="I195" s="635"/>
      <c r="J195" s="634">
        <v>-557</v>
      </c>
      <c r="K195" s="372"/>
      <c r="L195" s="634">
        <v>-106</v>
      </c>
      <c r="M195" s="372"/>
      <c r="N195" s="634" t="s">
        <v>628</v>
      </c>
      <c r="O195" s="635"/>
      <c r="P195" s="640">
        <v>53101</v>
      </c>
      <c r="Q195" s="372"/>
      <c r="R195" s="640">
        <v>53136</v>
      </c>
      <c r="S195" s="626"/>
      <c r="T195" s="626"/>
      <c r="U195" s="626"/>
      <c r="V195" s="696">
        <v>5</v>
      </c>
      <c r="W195" s="696">
        <v>5</v>
      </c>
      <c r="X195" s="696">
        <v>3</v>
      </c>
      <c r="Y195" s="697">
        <v>0</v>
      </c>
      <c r="Z195" s="696">
        <v>5</v>
      </c>
      <c r="AA195" s="696">
        <v>5</v>
      </c>
    </row>
    <row r="196" spans="1:27" hidden="1">
      <c r="A196" s="634">
        <v>13</v>
      </c>
      <c r="B196" s="639"/>
      <c r="C196" s="634">
        <v>34281</v>
      </c>
      <c r="D196" s="372" t="s">
        <v>666</v>
      </c>
      <c r="E196" s="372"/>
      <c r="F196" s="634">
        <v>4.0999999999999996</v>
      </c>
      <c r="G196" s="635"/>
      <c r="H196" s="640">
        <v>246006</v>
      </c>
      <c r="I196" s="635"/>
      <c r="J196" s="634">
        <v>176</v>
      </c>
      <c r="K196" s="372"/>
      <c r="L196" s="634">
        <v>-316</v>
      </c>
      <c r="M196" s="372"/>
      <c r="N196" s="634" t="s">
        <v>628</v>
      </c>
      <c r="O196" s="635"/>
      <c r="P196" s="640">
        <v>245867</v>
      </c>
      <c r="Q196" s="372"/>
      <c r="R196" s="640">
        <v>245939</v>
      </c>
      <c r="S196" s="626"/>
      <c r="T196" s="626"/>
      <c r="U196" s="626"/>
      <c r="V196" s="696">
        <v>5</v>
      </c>
      <c r="W196" s="696">
        <v>4</v>
      </c>
      <c r="X196" s="696">
        <v>5</v>
      </c>
      <c r="Y196" s="697">
        <v>0</v>
      </c>
      <c r="Z196" s="696">
        <v>5</v>
      </c>
      <c r="AA196" s="696">
        <v>5</v>
      </c>
    </row>
    <row r="197" spans="1:27" hidden="1">
      <c r="A197" s="634">
        <v>14</v>
      </c>
      <c r="B197" s="639"/>
      <c r="C197" s="634">
        <v>34381</v>
      </c>
      <c r="D197" s="372" t="s">
        <v>667</v>
      </c>
      <c r="E197" s="372"/>
      <c r="F197" s="634">
        <v>4.5999999999999996</v>
      </c>
      <c r="G197" s="635"/>
      <c r="H197" s="640">
        <v>161152</v>
      </c>
      <c r="I197" s="635"/>
      <c r="J197" s="640">
        <v>7346</v>
      </c>
      <c r="K197" s="372"/>
      <c r="L197" s="640">
        <v>-7803</v>
      </c>
      <c r="M197" s="372"/>
      <c r="N197" s="634" t="s">
        <v>628</v>
      </c>
      <c r="O197" s="635"/>
      <c r="P197" s="640">
        <v>160695</v>
      </c>
      <c r="Q197" s="372"/>
      <c r="R197" s="640">
        <v>160091</v>
      </c>
      <c r="S197" s="626"/>
      <c r="T197" s="626"/>
      <c r="U197" s="626"/>
      <c r="V197" s="696">
        <v>5</v>
      </c>
      <c r="W197" s="696">
        <v>5</v>
      </c>
      <c r="X197" s="696">
        <v>5</v>
      </c>
      <c r="Y197" s="697">
        <v>0</v>
      </c>
      <c r="Z197" s="696">
        <v>5</v>
      </c>
      <c r="AA197" s="696">
        <v>5</v>
      </c>
    </row>
    <row r="198" spans="1:27" hidden="1">
      <c r="A198" s="634">
        <v>15</v>
      </c>
      <c r="B198" s="639"/>
      <c r="C198" s="634">
        <v>34581</v>
      </c>
      <c r="D198" s="372" t="s">
        <v>631</v>
      </c>
      <c r="E198" s="372"/>
      <c r="F198" s="634">
        <v>3.3</v>
      </c>
      <c r="G198" s="635"/>
      <c r="H198" s="640">
        <v>60538</v>
      </c>
      <c r="I198" s="635"/>
      <c r="J198" s="634">
        <v>73</v>
      </c>
      <c r="K198" s="372"/>
      <c r="L198" s="634">
        <v>-109</v>
      </c>
      <c r="M198" s="372"/>
      <c r="N198" s="634" t="s">
        <v>628</v>
      </c>
      <c r="O198" s="635"/>
      <c r="P198" s="640">
        <v>60503</v>
      </c>
      <c r="Q198" s="372"/>
      <c r="R198" s="640">
        <v>60536</v>
      </c>
      <c r="S198" s="626"/>
      <c r="T198" s="626"/>
      <c r="U198" s="626"/>
      <c r="V198" s="696">
        <v>5</v>
      </c>
      <c r="W198" s="696">
        <v>5</v>
      </c>
      <c r="X198" s="696">
        <v>5</v>
      </c>
      <c r="Y198" s="697">
        <v>0</v>
      </c>
      <c r="Z198" s="696">
        <v>5</v>
      </c>
      <c r="AA198" s="696">
        <v>5</v>
      </c>
    </row>
    <row r="199" spans="1:27" hidden="1">
      <c r="A199" s="634">
        <v>16</v>
      </c>
      <c r="B199" s="639"/>
      <c r="C199" s="634">
        <v>34681</v>
      </c>
      <c r="D199" s="372" t="s">
        <v>632</v>
      </c>
      <c r="E199" s="372"/>
      <c r="F199" s="634">
        <v>4.2</v>
      </c>
      <c r="G199" s="635"/>
      <c r="H199" s="640">
        <v>6309</v>
      </c>
      <c r="I199" s="635"/>
      <c r="J199" s="634">
        <v>611</v>
      </c>
      <c r="K199" s="372"/>
      <c r="L199" s="634">
        <v>-203</v>
      </c>
      <c r="M199" s="372"/>
      <c r="N199" s="634" t="s">
        <v>628</v>
      </c>
      <c r="O199" s="635"/>
      <c r="P199" s="640">
        <v>6717</v>
      </c>
      <c r="Q199" s="372"/>
      <c r="R199" s="640">
        <v>6438</v>
      </c>
      <c r="S199" s="626"/>
      <c r="T199" s="626"/>
      <c r="U199" s="626"/>
      <c r="V199" s="696">
        <v>5</v>
      </c>
      <c r="W199" s="696">
        <v>5</v>
      </c>
      <c r="X199" s="696">
        <v>5</v>
      </c>
      <c r="Y199" s="697">
        <v>0</v>
      </c>
      <c r="Z199" s="696">
        <v>5</v>
      </c>
      <c r="AA199" s="696">
        <v>5</v>
      </c>
    </row>
    <row r="200" spans="1:27" hidden="1">
      <c r="A200" s="634">
        <v>17</v>
      </c>
      <c r="B200" s="639"/>
      <c r="C200" s="634"/>
      <c r="D200" s="636" t="s">
        <v>680</v>
      </c>
      <c r="E200" s="372"/>
      <c r="F200" s="372"/>
      <c r="G200" s="372"/>
      <c r="H200" s="642">
        <v>527770</v>
      </c>
      <c r="I200" s="635"/>
      <c r="J200" s="642">
        <v>7650</v>
      </c>
      <c r="K200" s="635"/>
      <c r="L200" s="642">
        <v>-8537</v>
      </c>
      <c r="M200" s="635"/>
      <c r="N200" s="643" t="s">
        <v>628</v>
      </c>
      <c r="O200" s="635"/>
      <c r="P200" s="642">
        <v>526883</v>
      </c>
      <c r="Q200" s="635"/>
      <c r="R200" s="642">
        <v>526140</v>
      </c>
      <c r="S200" s="626"/>
      <c r="T200" s="626"/>
      <c r="U200" s="626"/>
      <c r="V200" s="696">
        <v>5</v>
      </c>
      <c r="W200" s="696">
        <v>5</v>
      </c>
      <c r="X200" s="696">
        <v>5</v>
      </c>
      <c r="Y200" s="697">
        <v>0</v>
      </c>
      <c r="Z200" s="696">
        <v>5</v>
      </c>
      <c r="AA200" s="696">
        <v>5</v>
      </c>
    </row>
    <row r="201" spans="1:27" hidden="1">
      <c r="A201" s="634">
        <v>18</v>
      </c>
      <c r="B201" s="639"/>
      <c r="C201" s="372"/>
      <c r="D201" s="372"/>
      <c r="E201" s="372"/>
      <c r="F201" s="372"/>
      <c r="G201" s="372"/>
      <c r="H201" s="372"/>
      <c r="I201" s="372"/>
      <c r="J201" s="372"/>
      <c r="K201" s="372"/>
      <c r="L201" s="372"/>
      <c r="M201" s="372"/>
      <c r="N201" s="372"/>
      <c r="O201" s="635"/>
      <c r="P201" s="372"/>
      <c r="Q201" s="372"/>
      <c r="R201" s="372"/>
      <c r="S201" s="626"/>
      <c r="T201" s="626"/>
      <c r="U201" s="626"/>
      <c r="V201" s="697">
        <v>0</v>
      </c>
      <c r="W201" s="697">
        <v>0</v>
      </c>
      <c r="X201" s="697">
        <v>0</v>
      </c>
      <c r="Y201" s="697">
        <v>0</v>
      </c>
      <c r="Z201" s="697">
        <v>0</v>
      </c>
      <c r="AA201" s="697">
        <v>0</v>
      </c>
    </row>
    <row r="202" spans="1:27" hidden="1">
      <c r="A202" s="634">
        <v>19</v>
      </c>
      <c r="B202" s="639"/>
      <c r="C202" s="634"/>
      <c r="D202" s="636" t="s">
        <v>681</v>
      </c>
      <c r="E202" s="372"/>
      <c r="F202" s="372"/>
      <c r="G202" s="372"/>
      <c r="H202" s="372"/>
      <c r="I202" s="635"/>
      <c r="J202" s="372"/>
      <c r="K202" s="635"/>
      <c r="L202" s="372"/>
      <c r="M202" s="635"/>
      <c r="N202" s="372"/>
      <c r="O202" s="635"/>
      <c r="P202" s="372"/>
      <c r="Q202" s="635"/>
      <c r="R202" s="372"/>
      <c r="S202" s="626"/>
      <c r="T202" s="626"/>
      <c r="U202" s="626"/>
      <c r="V202" s="697">
        <v>0</v>
      </c>
      <c r="W202" s="697">
        <v>0</v>
      </c>
      <c r="X202" s="697">
        <v>0</v>
      </c>
      <c r="Y202" s="697">
        <v>0</v>
      </c>
      <c r="Z202" s="697">
        <v>0</v>
      </c>
      <c r="AA202" s="697">
        <v>0</v>
      </c>
    </row>
    <row r="203" spans="1:27" hidden="1">
      <c r="A203" s="634">
        <v>20</v>
      </c>
      <c r="B203" s="639"/>
      <c r="C203" s="634">
        <v>34182</v>
      </c>
      <c r="D203" s="372" t="s">
        <v>627</v>
      </c>
      <c r="E203" s="372"/>
      <c r="F203" s="634">
        <v>2.6</v>
      </c>
      <c r="G203" s="635"/>
      <c r="H203" s="640">
        <v>2347</v>
      </c>
      <c r="I203" s="635"/>
      <c r="J203" s="634">
        <v>-4</v>
      </c>
      <c r="K203" s="372"/>
      <c r="L203" s="634" t="s">
        <v>628</v>
      </c>
      <c r="M203" s="372"/>
      <c r="N203" s="634" t="s">
        <v>635</v>
      </c>
      <c r="O203" s="635"/>
      <c r="P203" s="640">
        <v>2342</v>
      </c>
      <c r="Q203" s="372"/>
      <c r="R203" s="640">
        <v>2344</v>
      </c>
      <c r="S203" s="626"/>
      <c r="T203" s="626"/>
      <c r="U203" s="626"/>
      <c r="V203" s="696">
        <v>5</v>
      </c>
      <c r="W203" s="696">
        <v>5</v>
      </c>
      <c r="X203" s="697">
        <v>0</v>
      </c>
      <c r="Y203" s="697">
        <v>0</v>
      </c>
      <c r="Z203" s="696">
        <v>5</v>
      </c>
      <c r="AA203" s="696">
        <v>5</v>
      </c>
    </row>
    <row r="204" spans="1:27" hidden="1">
      <c r="A204" s="634">
        <v>21</v>
      </c>
      <c r="B204" s="639"/>
      <c r="C204" s="634">
        <v>34282</v>
      </c>
      <c r="D204" s="372" t="s">
        <v>666</v>
      </c>
      <c r="E204" s="372"/>
      <c r="F204" s="634">
        <v>4.3</v>
      </c>
      <c r="G204" s="635"/>
      <c r="H204" s="640">
        <v>2196</v>
      </c>
      <c r="I204" s="635"/>
      <c r="J204" s="634" t="s">
        <v>635</v>
      </c>
      <c r="K204" s="372"/>
      <c r="L204" s="634" t="s">
        <v>635</v>
      </c>
      <c r="M204" s="372"/>
      <c r="N204" s="634" t="s">
        <v>635</v>
      </c>
      <c r="O204" s="635"/>
      <c r="P204" s="640">
        <v>2196</v>
      </c>
      <c r="Q204" s="372"/>
      <c r="R204" s="640">
        <v>2196</v>
      </c>
      <c r="S204" s="626"/>
      <c r="T204" s="626"/>
      <c r="U204" s="626"/>
      <c r="V204" s="696">
        <v>5</v>
      </c>
      <c r="W204" s="697">
        <v>0</v>
      </c>
      <c r="X204" s="697">
        <v>0</v>
      </c>
      <c r="Y204" s="697">
        <v>0</v>
      </c>
      <c r="Z204" s="696">
        <v>5</v>
      </c>
      <c r="AA204" s="696">
        <v>5</v>
      </c>
    </row>
    <row r="205" spans="1:27" hidden="1">
      <c r="A205" s="634">
        <v>22</v>
      </c>
      <c r="B205" s="639"/>
      <c r="C205" s="634">
        <v>34382</v>
      </c>
      <c r="D205" s="372" t="s">
        <v>667</v>
      </c>
      <c r="E205" s="372"/>
      <c r="F205" s="634">
        <v>4.9000000000000004</v>
      </c>
      <c r="G205" s="635"/>
      <c r="H205" s="640">
        <v>35890</v>
      </c>
      <c r="I205" s="635"/>
      <c r="J205" s="634">
        <v>193</v>
      </c>
      <c r="K205" s="372"/>
      <c r="L205" s="634">
        <v>-141</v>
      </c>
      <c r="M205" s="372"/>
      <c r="N205" s="634" t="s">
        <v>628</v>
      </c>
      <c r="O205" s="635"/>
      <c r="P205" s="640">
        <v>35942</v>
      </c>
      <c r="Q205" s="372"/>
      <c r="R205" s="640">
        <v>35903</v>
      </c>
      <c r="S205" s="626"/>
      <c r="T205" s="626"/>
      <c r="U205" s="626"/>
      <c r="V205" s="696">
        <v>5</v>
      </c>
      <c r="W205" s="696">
        <v>5</v>
      </c>
      <c r="X205" s="696">
        <v>5</v>
      </c>
      <c r="Y205" s="697">
        <v>0</v>
      </c>
      <c r="Z205" s="696">
        <v>5</v>
      </c>
      <c r="AA205" s="696">
        <v>5</v>
      </c>
    </row>
    <row r="206" spans="1:27" hidden="1">
      <c r="A206" s="634">
        <v>23</v>
      </c>
      <c r="B206" s="639"/>
      <c r="C206" s="634">
        <v>34582</v>
      </c>
      <c r="D206" s="372" t="s">
        <v>631</v>
      </c>
      <c r="E206" s="372"/>
      <c r="F206" s="634">
        <v>3.4</v>
      </c>
      <c r="G206" s="635"/>
      <c r="H206" s="640">
        <v>19166</v>
      </c>
      <c r="I206" s="635"/>
      <c r="J206" s="634">
        <v>52</v>
      </c>
      <c r="K206" s="372"/>
      <c r="L206" s="634" t="s">
        <v>635</v>
      </c>
      <c r="M206" s="372"/>
      <c r="N206" s="634" t="s">
        <v>635</v>
      </c>
      <c r="O206" s="635"/>
      <c r="P206" s="640">
        <v>19218</v>
      </c>
      <c r="Q206" s="372"/>
      <c r="R206" s="640">
        <v>19200</v>
      </c>
      <c r="S206" s="626"/>
      <c r="T206" s="626"/>
      <c r="U206" s="626"/>
      <c r="V206" s="696">
        <v>5</v>
      </c>
      <c r="W206" s="696">
        <v>5</v>
      </c>
      <c r="X206" s="697">
        <v>0</v>
      </c>
      <c r="Y206" s="697">
        <v>0</v>
      </c>
      <c r="Z206" s="696">
        <v>5</v>
      </c>
      <c r="AA206" s="696">
        <v>4</v>
      </c>
    </row>
    <row r="207" spans="1:27" hidden="1">
      <c r="A207" s="634">
        <v>24</v>
      </c>
      <c r="B207" s="639"/>
      <c r="C207" s="634">
        <v>34682</v>
      </c>
      <c r="D207" s="372" t="s">
        <v>632</v>
      </c>
      <c r="E207" s="372"/>
      <c r="F207" s="634">
        <v>1.7</v>
      </c>
      <c r="G207" s="635"/>
      <c r="H207" s="634">
        <v>173</v>
      </c>
      <c r="I207" s="635"/>
      <c r="J207" s="634" t="s">
        <v>635</v>
      </c>
      <c r="K207" s="372"/>
      <c r="L207" s="634" t="s">
        <v>635</v>
      </c>
      <c r="M207" s="372"/>
      <c r="N207" s="634" t="s">
        <v>635</v>
      </c>
      <c r="O207" s="635"/>
      <c r="P207" s="634">
        <v>173</v>
      </c>
      <c r="Q207" s="372"/>
      <c r="R207" s="634">
        <v>238</v>
      </c>
      <c r="S207" s="626"/>
      <c r="T207" s="626"/>
      <c r="U207" s="626"/>
      <c r="V207" s="696">
        <v>5</v>
      </c>
      <c r="W207" s="697">
        <v>0</v>
      </c>
      <c r="X207" s="697">
        <v>0</v>
      </c>
      <c r="Y207" s="697">
        <v>0</v>
      </c>
      <c r="Z207" s="696">
        <v>5</v>
      </c>
      <c r="AA207" s="696">
        <v>5</v>
      </c>
    </row>
    <row r="208" spans="1:27" hidden="1">
      <c r="A208" s="634">
        <v>25</v>
      </c>
      <c r="B208" s="639"/>
      <c r="C208" s="634"/>
      <c r="D208" s="636" t="s">
        <v>682</v>
      </c>
      <c r="E208" s="372"/>
      <c r="F208" s="372"/>
      <c r="G208" s="372"/>
      <c r="H208" s="642">
        <v>59772</v>
      </c>
      <c r="I208" s="635"/>
      <c r="J208" s="643">
        <v>240</v>
      </c>
      <c r="K208" s="635"/>
      <c r="L208" s="643">
        <v>-141</v>
      </c>
      <c r="M208" s="635"/>
      <c r="N208" s="643" t="s">
        <v>628</v>
      </c>
      <c r="O208" s="635"/>
      <c r="P208" s="642">
        <v>59872</v>
      </c>
      <c r="Q208" s="635"/>
      <c r="R208" s="642">
        <v>59882</v>
      </c>
      <c r="S208" s="626"/>
      <c r="T208" s="626"/>
      <c r="U208" s="626"/>
      <c r="V208" s="696">
        <v>5</v>
      </c>
      <c r="W208" s="696">
        <v>5</v>
      </c>
      <c r="X208" s="696">
        <v>5</v>
      </c>
      <c r="Y208" s="697">
        <v>0</v>
      </c>
      <c r="Z208" s="696">
        <v>5</v>
      </c>
      <c r="AA208" s="696">
        <v>5</v>
      </c>
    </row>
    <row r="209" spans="1:27" hidden="1">
      <c r="A209" s="634">
        <v>26</v>
      </c>
      <c r="B209" s="639"/>
      <c r="C209" s="372"/>
      <c r="D209" s="372"/>
      <c r="E209" s="372"/>
      <c r="F209" s="372"/>
      <c r="G209" s="372"/>
      <c r="H209" s="372"/>
      <c r="I209" s="372"/>
      <c r="J209" s="372"/>
      <c r="K209" s="372"/>
      <c r="L209" s="372"/>
      <c r="M209" s="372"/>
      <c r="N209" s="372"/>
      <c r="O209" s="635"/>
      <c r="P209" s="372"/>
      <c r="Q209" s="372"/>
      <c r="R209" s="372"/>
      <c r="S209" s="626"/>
      <c r="T209" s="626"/>
      <c r="U209" s="626"/>
      <c r="V209" s="697">
        <v>0</v>
      </c>
      <c r="W209" s="697">
        <v>0</v>
      </c>
      <c r="X209" s="697">
        <v>0</v>
      </c>
      <c r="Y209" s="697">
        <v>0</v>
      </c>
      <c r="Z209" s="697">
        <v>0</v>
      </c>
      <c r="AA209" s="697">
        <v>0</v>
      </c>
    </row>
    <row r="210" spans="1:27" hidden="1">
      <c r="A210" s="634">
        <v>27</v>
      </c>
      <c r="B210" s="639"/>
      <c r="C210" s="634"/>
      <c r="D210" s="636" t="s">
        <v>683</v>
      </c>
      <c r="E210" s="372"/>
      <c r="F210" s="372"/>
      <c r="G210" s="372"/>
      <c r="H210" s="372"/>
      <c r="I210" s="635"/>
      <c r="J210" s="635"/>
      <c r="K210" s="635"/>
      <c r="L210" s="635"/>
      <c r="M210" s="635"/>
      <c r="N210" s="635"/>
      <c r="O210" s="635"/>
      <c r="P210" s="635"/>
      <c r="Q210" s="635"/>
      <c r="R210" s="635"/>
      <c r="S210" s="626"/>
      <c r="T210" s="626"/>
      <c r="U210" s="626"/>
      <c r="V210" s="697">
        <v>0</v>
      </c>
      <c r="W210" s="697">
        <v>0</v>
      </c>
      <c r="X210" s="697">
        <v>0</v>
      </c>
      <c r="Y210" s="697">
        <v>0</v>
      </c>
      <c r="Z210" s="697">
        <v>0</v>
      </c>
      <c r="AA210" s="697">
        <v>0</v>
      </c>
    </row>
    <row r="211" spans="1:27" hidden="1">
      <c r="A211" s="634">
        <v>28</v>
      </c>
      <c r="B211" s="639"/>
      <c r="C211" s="634">
        <v>34183</v>
      </c>
      <c r="D211" s="372" t="s">
        <v>627</v>
      </c>
      <c r="E211" s="372"/>
      <c r="F211" s="634">
        <v>2.6</v>
      </c>
      <c r="G211" s="635"/>
      <c r="H211" s="640">
        <v>10709</v>
      </c>
      <c r="I211" s="635"/>
      <c r="J211" s="634" t="s">
        <v>635</v>
      </c>
      <c r="K211" s="372"/>
      <c r="L211" s="634" t="s">
        <v>635</v>
      </c>
      <c r="M211" s="372"/>
      <c r="N211" s="634" t="s">
        <v>635</v>
      </c>
      <c r="O211" s="635"/>
      <c r="P211" s="640">
        <v>10709</v>
      </c>
      <c r="Q211" s="372"/>
      <c r="R211" s="640">
        <v>10709</v>
      </c>
      <c r="S211" s="626"/>
      <c r="T211" s="626"/>
      <c r="U211" s="626"/>
      <c r="V211" s="696">
        <v>5</v>
      </c>
      <c r="W211" s="697">
        <v>0</v>
      </c>
      <c r="X211" s="697">
        <v>0</v>
      </c>
      <c r="Y211" s="697">
        <v>0</v>
      </c>
      <c r="Z211" s="696">
        <v>5</v>
      </c>
      <c r="AA211" s="696">
        <v>5</v>
      </c>
    </row>
    <row r="212" spans="1:27" hidden="1">
      <c r="A212" s="634">
        <v>29</v>
      </c>
      <c r="B212" s="639"/>
      <c r="C212" s="634">
        <v>34283</v>
      </c>
      <c r="D212" s="372" t="s">
        <v>666</v>
      </c>
      <c r="E212" s="372"/>
      <c r="F212" s="634">
        <v>3.2</v>
      </c>
      <c r="G212" s="635"/>
      <c r="H212" s="640">
        <v>1454</v>
      </c>
      <c r="I212" s="635"/>
      <c r="J212" s="634">
        <v>3</v>
      </c>
      <c r="K212" s="372"/>
      <c r="L212" s="634" t="s">
        <v>635</v>
      </c>
      <c r="M212" s="372"/>
      <c r="N212" s="634" t="s">
        <v>635</v>
      </c>
      <c r="O212" s="635"/>
      <c r="P212" s="640">
        <v>1456</v>
      </c>
      <c r="Q212" s="372"/>
      <c r="R212" s="640">
        <v>1456</v>
      </c>
      <c r="S212" s="626"/>
      <c r="T212" s="626"/>
      <c r="U212" s="626"/>
      <c r="V212" s="696">
        <v>4</v>
      </c>
      <c r="W212" s="696">
        <v>5</v>
      </c>
      <c r="X212" s="697">
        <v>0</v>
      </c>
      <c r="Y212" s="697">
        <v>0</v>
      </c>
      <c r="Z212" s="696">
        <v>5</v>
      </c>
      <c r="AA212" s="696">
        <v>5</v>
      </c>
    </row>
    <row r="213" spans="1:27" hidden="1">
      <c r="A213" s="634">
        <v>30</v>
      </c>
      <c r="B213" s="639"/>
      <c r="C213" s="634">
        <v>34383</v>
      </c>
      <c r="D213" s="372" t="s">
        <v>667</v>
      </c>
      <c r="E213" s="372"/>
      <c r="F213" s="634">
        <v>3.6</v>
      </c>
      <c r="G213" s="635"/>
      <c r="H213" s="640">
        <v>38342</v>
      </c>
      <c r="I213" s="635"/>
      <c r="J213" s="634">
        <v>-21</v>
      </c>
      <c r="K213" s="372"/>
      <c r="L213" s="634" t="s">
        <v>628</v>
      </c>
      <c r="M213" s="372"/>
      <c r="N213" s="634" t="s">
        <v>635</v>
      </c>
      <c r="O213" s="635"/>
      <c r="P213" s="640">
        <v>38321</v>
      </c>
      <c r="Q213" s="372"/>
      <c r="R213" s="640">
        <v>38337</v>
      </c>
      <c r="S213" s="626"/>
      <c r="T213" s="626"/>
      <c r="U213" s="626"/>
      <c r="V213" s="696">
        <v>4</v>
      </c>
      <c r="W213" s="696">
        <v>4</v>
      </c>
      <c r="X213" s="697">
        <v>0</v>
      </c>
      <c r="Y213" s="697">
        <v>0</v>
      </c>
      <c r="Z213" s="696">
        <v>5</v>
      </c>
      <c r="AA213" s="696">
        <v>5</v>
      </c>
    </row>
    <row r="214" spans="1:27" hidden="1">
      <c r="A214" s="634">
        <v>31</v>
      </c>
      <c r="B214" s="372"/>
      <c r="C214" s="634">
        <v>34583</v>
      </c>
      <c r="D214" s="372" t="s">
        <v>631</v>
      </c>
      <c r="E214" s="372"/>
      <c r="F214" s="634">
        <v>3.8</v>
      </c>
      <c r="G214" s="635"/>
      <c r="H214" s="640">
        <v>9117</v>
      </c>
      <c r="I214" s="635"/>
      <c r="J214" s="634">
        <v>80</v>
      </c>
      <c r="K214" s="372"/>
      <c r="L214" s="634">
        <v>-51</v>
      </c>
      <c r="M214" s="372"/>
      <c r="N214" s="634" t="s">
        <v>628</v>
      </c>
      <c r="O214" s="635"/>
      <c r="P214" s="640">
        <v>9147</v>
      </c>
      <c r="Q214" s="372"/>
      <c r="R214" s="640">
        <v>9127</v>
      </c>
      <c r="S214" s="626"/>
      <c r="T214" s="626"/>
      <c r="U214" s="626"/>
      <c r="V214" s="696">
        <v>5</v>
      </c>
      <c r="W214" s="696">
        <v>5</v>
      </c>
      <c r="X214" s="696">
        <v>4</v>
      </c>
      <c r="Y214" s="697">
        <v>0</v>
      </c>
      <c r="Z214" s="696">
        <v>5</v>
      </c>
      <c r="AA214" s="696">
        <v>5</v>
      </c>
    </row>
    <row r="215" spans="1:27" hidden="1">
      <c r="A215" s="634">
        <v>32</v>
      </c>
      <c r="B215" s="372"/>
      <c r="C215" s="634">
        <v>34683</v>
      </c>
      <c r="D215" s="372" t="s">
        <v>632</v>
      </c>
      <c r="E215" s="372"/>
      <c r="F215" s="634">
        <v>2.2000000000000002</v>
      </c>
      <c r="G215" s="635"/>
      <c r="H215" s="634">
        <v>433</v>
      </c>
      <c r="I215" s="635"/>
      <c r="J215" s="634" t="s">
        <v>635</v>
      </c>
      <c r="K215" s="372"/>
      <c r="L215" s="634" t="s">
        <v>635</v>
      </c>
      <c r="M215" s="372"/>
      <c r="N215" s="634" t="s">
        <v>635</v>
      </c>
      <c r="O215" s="635"/>
      <c r="P215" s="634">
        <v>433</v>
      </c>
      <c r="Q215" s="372"/>
      <c r="R215" s="634">
        <v>433</v>
      </c>
      <c r="S215" s="626"/>
      <c r="T215" s="626"/>
      <c r="U215" s="626"/>
      <c r="V215" s="696">
        <v>5</v>
      </c>
      <c r="W215" s="697">
        <v>0</v>
      </c>
      <c r="X215" s="697">
        <v>0</v>
      </c>
      <c r="Y215" s="697">
        <v>0</v>
      </c>
      <c r="Z215" s="696">
        <v>5</v>
      </c>
      <c r="AA215" s="696">
        <v>5</v>
      </c>
    </row>
    <row r="216" spans="1:27" hidden="1">
      <c r="A216" s="634">
        <v>33</v>
      </c>
      <c r="B216" s="372"/>
      <c r="C216" s="372"/>
      <c r="D216" s="636" t="s">
        <v>684</v>
      </c>
      <c r="E216" s="372"/>
      <c r="F216" s="372"/>
      <c r="G216" s="372"/>
      <c r="H216" s="642">
        <v>60054</v>
      </c>
      <c r="I216" s="635"/>
      <c r="J216" s="643">
        <v>62</v>
      </c>
      <c r="K216" s="635"/>
      <c r="L216" s="643">
        <v>-51</v>
      </c>
      <c r="M216" s="635"/>
      <c r="N216" s="643" t="s">
        <v>628</v>
      </c>
      <c r="O216" s="635"/>
      <c r="P216" s="642">
        <v>60066</v>
      </c>
      <c r="Q216" s="635"/>
      <c r="R216" s="642">
        <v>60062</v>
      </c>
      <c r="S216" s="626"/>
      <c r="T216" s="626"/>
      <c r="U216" s="626"/>
      <c r="V216" s="696">
        <v>5</v>
      </c>
      <c r="W216" s="696">
        <v>5</v>
      </c>
      <c r="X216" s="696">
        <v>4</v>
      </c>
      <c r="Y216" s="697">
        <v>0</v>
      </c>
      <c r="Z216" s="696">
        <v>5</v>
      </c>
      <c r="AA216" s="696">
        <v>5</v>
      </c>
    </row>
    <row r="217" spans="1:27" hidden="1">
      <c r="A217" s="634">
        <v>34</v>
      </c>
      <c r="B217" s="372"/>
      <c r="C217" s="372"/>
      <c r="D217" s="372"/>
      <c r="E217" s="372"/>
      <c r="F217" s="372"/>
      <c r="G217" s="372"/>
      <c r="H217" s="372"/>
      <c r="I217" s="635"/>
      <c r="J217" s="372"/>
      <c r="K217" s="635"/>
      <c r="L217" s="372"/>
      <c r="M217" s="635"/>
      <c r="N217" s="372"/>
      <c r="O217" s="635"/>
      <c r="P217" s="372"/>
      <c r="Q217" s="635"/>
      <c r="R217" s="372"/>
      <c r="S217" s="626"/>
      <c r="T217" s="626"/>
      <c r="U217" s="626"/>
      <c r="V217" s="697">
        <v>0</v>
      </c>
      <c r="W217" s="697">
        <v>0</v>
      </c>
      <c r="X217" s="697">
        <v>0</v>
      </c>
      <c r="Y217" s="697">
        <v>0</v>
      </c>
      <c r="Z217" s="697">
        <v>0</v>
      </c>
      <c r="AA217" s="697">
        <v>0</v>
      </c>
    </row>
    <row r="218" spans="1:27" hidden="1">
      <c r="A218" s="634">
        <v>35</v>
      </c>
      <c r="B218" s="372"/>
      <c r="C218" s="372"/>
      <c r="D218" s="636" t="s">
        <v>685</v>
      </c>
      <c r="E218" s="372"/>
      <c r="F218" s="372"/>
      <c r="G218" s="372"/>
      <c r="H218" s="372"/>
      <c r="I218" s="635"/>
      <c r="J218" s="635"/>
      <c r="K218" s="635"/>
      <c r="L218" s="635"/>
      <c r="M218" s="635"/>
      <c r="N218" s="635"/>
      <c r="O218" s="635"/>
      <c r="P218" s="635"/>
      <c r="Q218" s="635"/>
      <c r="R218" s="635"/>
      <c r="S218" s="626"/>
      <c r="T218" s="626"/>
      <c r="U218" s="626"/>
      <c r="V218" s="697">
        <v>0</v>
      </c>
      <c r="W218" s="697">
        <v>0</v>
      </c>
      <c r="X218" s="697">
        <v>0</v>
      </c>
      <c r="Y218" s="697">
        <v>0</v>
      </c>
      <c r="Z218" s="697">
        <v>0</v>
      </c>
      <c r="AA218" s="697">
        <v>0</v>
      </c>
    </row>
    <row r="219" spans="1:27" hidden="1">
      <c r="A219" s="634">
        <v>36</v>
      </c>
      <c r="B219" s="372"/>
      <c r="C219" s="634">
        <v>34184</v>
      </c>
      <c r="D219" s="372" t="s">
        <v>627</v>
      </c>
      <c r="E219" s="372"/>
      <c r="F219" s="634">
        <v>2.7</v>
      </c>
      <c r="G219" s="635"/>
      <c r="H219" s="640">
        <v>5819</v>
      </c>
      <c r="I219" s="635"/>
      <c r="J219" s="634">
        <v>8</v>
      </c>
      <c r="K219" s="372"/>
      <c r="L219" s="634">
        <v>-15</v>
      </c>
      <c r="M219" s="372"/>
      <c r="N219" s="634" t="s">
        <v>628</v>
      </c>
      <c r="O219" s="635"/>
      <c r="P219" s="640">
        <v>5812</v>
      </c>
      <c r="Q219" s="372"/>
      <c r="R219" s="640">
        <v>5818</v>
      </c>
      <c r="S219" s="626"/>
      <c r="T219" s="626"/>
      <c r="U219" s="626"/>
      <c r="V219" s="696">
        <v>5</v>
      </c>
      <c r="W219" s="696">
        <v>5</v>
      </c>
      <c r="X219" s="696">
        <v>5</v>
      </c>
      <c r="Y219" s="697">
        <v>0</v>
      </c>
      <c r="Z219" s="696">
        <v>5</v>
      </c>
      <c r="AA219" s="696">
        <v>5</v>
      </c>
    </row>
    <row r="220" spans="1:27" hidden="1">
      <c r="A220" s="634">
        <v>37</v>
      </c>
      <c r="B220" s="372"/>
      <c r="C220" s="634">
        <v>34284</v>
      </c>
      <c r="D220" s="372" t="s">
        <v>666</v>
      </c>
      <c r="E220" s="372"/>
      <c r="F220" s="634">
        <v>2.8</v>
      </c>
      <c r="G220" s="635"/>
      <c r="H220" s="640">
        <v>2287</v>
      </c>
      <c r="I220" s="635"/>
      <c r="J220" s="634" t="s">
        <v>635</v>
      </c>
      <c r="K220" s="372"/>
      <c r="L220" s="634" t="s">
        <v>635</v>
      </c>
      <c r="M220" s="372"/>
      <c r="N220" s="634" t="s">
        <v>635</v>
      </c>
      <c r="O220" s="635"/>
      <c r="P220" s="640">
        <v>2287</v>
      </c>
      <c r="Q220" s="372"/>
      <c r="R220" s="640">
        <v>2287</v>
      </c>
      <c r="S220" s="626"/>
      <c r="T220" s="626"/>
      <c r="U220" s="626"/>
      <c r="V220" s="696">
        <v>5</v>
      </c>
      <c r="W220" s="697">
        <v>0</v>
      </c>
      <c r="X220" s="697">
        <v>0</v>
      </c>
      <c r="Y220" s="697">
        <v>0</v>
      </c>
      <c r="Z220" s="696">
        <v>5</v>
      </c>
      <c r="AA220" s="696">
        <v>5</v>
      </c>
    </row>
    <row r="221" spans="1:27" hidden="1">
      <c r="A221" s="634">
        <v>38</v>
      </c>
      <c r="B221" s="372"/>
      <c r="C221" s="634">
        <v>34384</v>
      </c>
      <c r="D221" s="372" t="s">
        <v>667</v>
      </c>
      <c r="E221" s="372"/>
      <c r="F221" s="634">
        <v>4.7</v>
      </c>
      <c r="G221" s="635"/>
      <c r="H221" s="640">
        <v>28333</v>
      </c>
      <c r="I221" s="635"/>
      <c r="J221" s="634">
        <v>50</v>
      </c>
      <c r="K221" s="372"/>
      <c r="L221" s="634">
        <v>-77</v>
      </c>
      <c r="M221" s="372"/>
      <c r="N221" s="634" t="s">
        <v>628</v>
      </c>
      <c r="O221" s="635"/>
      <c r="P221" s="640">
        <v>28306</v>
      </c>
      <c r="Q221" s="372"/>
      <c r="R221" s="640">
        <v>28329</v>
      </c>
      <c r="S221" s="626"/>
      <c r="T221" s="626"/>
      <c r="U221" s="626"/>
      <c r="V221" s="696">
        <v>5</v>
      </c>
      <c r="W221" s="696">
        <v>5</v>
      </c>
      <c r="X221" s="696">
        <v>5</v>
      </c>
      <c r="Y221" s="697">
        <v>0</v>
      </c>
      <c r="Z221" s="696">
        <v>5</v>
      </c>
      <c r="AA221" s="696">
        <v>5</v>
      </c>
    </row>
    <row r="222" spans="1:27" hidden="1">
      <c r="A222" s="634">
        <v>39</v>
      </c>
      <c r="B222" s="372"/>
      <c r="C222" s="634">
        <v>34584</v>
      </c>
      <c r="D222" s="372" t="s">
        <v>631</v>
      </c>
      <c r="E222" s="372"/>
      <c r="F222" s="634">
        <v>2.5</v>
      </c>
      <c r="G222" s="635"/>
      <c r="H222" s="640">
        <v>5587</v>
      </c>
      <c r="I222" s="635"/>
      <c r="J222" s="634" t="s">
        <v>635</v>
      </c>
      <c r="K222" s="372"/>
      <c r="L222" s="634" t="s">
        <v>635</v>
      </c>
      <c r="M222" s="372"/>
      <c r="N222" s="634" t="s">
        <v>635</v>
      </c>
      <c r="O222" s="635"/>
      <c r="P222" s="640">
        <v>5587</v>
      </c>
      <c r="Q222" s="372"/>
      <c r="R222" s="640">
        <v>5587</v>
      </c>
      <c r="S222" s="626"/>
      <c r="T222" s="626"/>
      <c r="U222" s="626"/>
      <c r="V222" s="696">
        <v>5</v>
      </c>
      <c r="W222" s="697">
        <v>0</v>
      </c>
      <c r="X222" s="697">
        <v>0</v>
      </c>
      <c r="Y222" s="697">
        <v>0</v>
      </c>
      <c r="Z222" s="696">
        <v>5</v>
      </c>
      <c r="AA222" s="696">
        <v>5</v>
      </c>
    </row>
    <row r="223" spans="1:27" hidden="1">
      <c r="A223" s="634">
        <v>40</v>
      </c>
      <c r="B223" s="372"/>
      <c r="C223" s="634">
        <v>34684</v>
      </c>
      <c r="D223" s="372" t="s">
        <v>632</v>
      </c>
      <c r="E223" s="372"/>
      <c r="F223" s="634">
        <v>3.6</v>
      </c>
      <c r="G223" s="635"/>
      <c r="H223" s="634" t="s">
        <v>628</v>
      </c>
      <c r="I223" s="635"/>
      <c r="J223" s="634" t="s">
        <v>635</v>
      </c>
      <c r="K223" s="372"/>
      <c r="L223" s="634" t="s">
        <v>635</v>
      </c>
      <c r="M223" s="372"/>
      <c r="N223" s="634" t="s">
        <v>635</v>
      </c>
      <c r="O223" s="635"/>
      <c r="P223" s="634" t="s">
        <v>635</v>
      </c>
      <c r="Q223" s="372"/>
      <c r="R223" s="634" t="s">
        <v>635</v>
      </c>
      <c r="S223" s="626"/>
      <c r="T223" s="626"/>
      <c r="U223" s="626"/>
      <c r="V223" s="697">
        <v>0</v>
      </c>
      <c r="W223" s="697">
        <v>0</v>
      </c>
      <c r="X223" s="697">
        <v>0</v>
      </c>
      <c r="Y223" s="697">
        <v>0</v>
      </c>
      <c r="Z223" s="697">
        <v>0</v>
      </c>
      <c r="AA223" s="697">
        <v>0</v>
      </c>
    </row>
    <row r="224" spans="1:27" hidden="1">
      <c r="A224" s="634">
        <v>41</v>
      </c>
      <c r="B224" s="372"/>
      <c r="C224" s="372"/>
      <c r="D224" s="636" t="s">
        <v>686</v>
      </c>
      <c r="E224" s="372"/>
      <c r="F224" s="372"/>
      <c r="G224" s="372"/>
      <c r="H224" s="642">
        <v>42025</v>
      </c>
      <c r="I224" s="635"/>
      <c r="J224" s="643">
        <v>59</v>
      </c>
      <c r="K224" s="635"/>
      <c r="L224" s="643">
        <v>-92</v>
      </c>
      <c r="M224" s="635"/>
      <c r="N224" s="643" t="s">
        <v>628</v>
      </c>
      <c r="O224" s="635"/>
      <c r="P224" s="642">
        <v>41992</v>
      </c>
      <c r="Q224" s="635"/>
      <c r="R224" s="642">
        <v>42020</v>
      </c>
      <c r="S224" s="626"/>
      <c r="T224" s="626"/>
      <c r="U224" s="626"/>
      <c r="V224" s="696">
        <v>5</v>
      </c>
      <c r="W224" s="696">
        <v>5</v>
      </c>
      <c r="X224" s="696">
        <v>5</v>
      </c>
      <c r="Y224" s="697">
        <v>0</v>
      </c>
      <c r="Z224" s="696">
        <v>5</v>
      </c>
      <c r="AA224" s="696">
        <v>5</v>
      </c>
    </row>
    <row r="225" spans="1:27" hidden="1">
      <c r="A225" s="634">
        <v>42</v>
      </c>
      <c r="B225" s="372"/>
      <c r="C225" s="372"/>
      <c r="D225" s="372"/>
      <c r="E225" s="372"/>
      <c r="F225" s="372"/>
      <c r="G225" s="372"/>
      <c r="H225" s="372"/>
      <c r="I225" s="372"/>
      <c r="J225" s="372"/>
      <c r="K225" s="372"/>
      <c r="L225" s="372"/>
      <c r="M225" s="372"/>
      <c r="N225" s="372"/>
      <c r="O225" s="635"/>
      <c r="P225" s="372"/>
      <c r="Q225" s="372"/>
      <c r="R225" s="372"/>
      <c r="S225" s="626"/>
      <c r="T225" s="626"/>
      <c r="U225" s="626"/>
      <c r="V225" s="697">
        <v>0</v>
      </c>
      <c r="W225" s="697">
        <v>0</v>
      </c>
      <c r="X225" s="697">
        <v>0</v>
      </c>
      <c r="Y225" s="697">
        <v>0</v>
      </c>
      <c r="Z225" s="697">
        <v>0</v>
      </c>
      <c r="AA225" s="697">
        <v>0</v>
      </c>
    </row>
    <row r="226" spans="1:27" hidden="1">
      <c r="A226" s="634">
        <v>43</v>
      </c>
      <c r="B226" s="372"/>
      <c r="C226" s="372"/>
      <c r="D226" s="372"/>
      <c r="E226" s="372"/>
      <c r="F226" s="372"/>
      <c r="G226" s="372"/>
      <c r="H226" s="372"/>
      <c r="I226" s="372"/>
      <c r="J226" s="372"/>
      <c r="K226" s="372"/>
      <c r="L226" s="372"/>
      <c r="M226" s="372"/>
      <c r="N226" s="372"/>
      <c r="O226" s="635"/>
      <c r="P226" s="372"/>
      <c r="Q226" s="372"/>
      <c r="R226" s="372"/>
      <c r="S226" s="626"/>
      <c r="T226" s="626"/>
      <c r="U226" s="626"/>
      <c r="V226" s="697">
        <v>0</v>
      </c>
      <c r="W226" s="697">
        <v>0</v>
      </c>
      <c r="X226" s="697">
        <v>0</v>
      </c>
      <c r="Y226" s="697">
        <v>0</v>
      </c>
      <c r="Z226" s="697">
        <v>0</v>
      </c>
      <c r="AA226" s="697">
        <v>0</v>
      </c>
    </row>
    <row r="227" spans="1:27" ht="15" hidden="1" thickBot="1">
      <c r="A227" s="637">
        <v>44</v>
      </c>
      <c r="B227" s="660" t="s">
        <v>67</v>
      </c>
      <c r="C227" s="660"/>
      <c r="D227" s="625"/>
      <c r="E227" s="625"/>
      <c r="F227" s="625"/>
      <c r="G227" s="625"/>
      <c r="H227" s="625"/>
      <c r="I227" s="625"/>
      <c r="J227" s="625"/>
      <c r="K227" s="625"/>
      <c r="L227" s="625"/>
      <c r="M227" s="625"/>
      <c r="N227" s="625"/>
      <c r="O227" s="638"/>
      <c r="P227" s="625"/>
      <c r="Q227" s="625"/>
      <c r="R227" s="625"/>
      <c r="S227" s="626"/>
      <c r="T227" s="626"/>
      <c r="U227" s="626"/>
      <c r="V227" s="697">
        <v>0</v>
      </c>
      <c r="W227" s="697">
        <v>0</v>
      </c>
      <c r="X227" s="697">
        <v>0</v>
      </c>
      <c r="Y227" s="697">
        <v>0</v>
      </c>
      <c r="Z227" s="697">
        <v>0</v>
      </c>
      <c r="AA227" s="697">
        <v>0</v>
      </c>
    </row>
    <row r="228" spans="1:27" hidden="1">
      <c r="A228" s="664" t="s">
        <v>643</v>
      </c>
      <c r="B228" s="664"/>
      <c r="C228" s="372"/>
      <c r="D228" s="372"/>
      <c r="E228" s="664"/>
      <c r="F228" s="664"/>
      <c r="G228" s="664"/>
      <c r="H228" s="664"/>
      <c r="I228" s="664"/>
      <c r="J228" s="664"/>
      <c r="K228" s="664"/>
      <c r="L228" s="664"/>
      <c r="M228" s="664"/>
      <c r="N228" s="664"/>
      <c r="O228" s="635"/>
      <c r="P228" s="372" t="s">
        <v>644</v>
      </c>
      <c r="Q228" s="664"/>
      <c r="R228" s="664"/>
      <c r="S228" s="626"/>
      <c r="T228" s="626"/>
      <c r="U228" s="626"/>
      <c r="V228" s="697">
        <v>0</v>
      </c>
      <c r="W228" s="697">
        <v>0</v>
      </c>
      <c r="X228" s="697">
        <v>0</v>
      </c>
      <c r="Y228" s="697">
        <v>0</v>
      </c>
      <c r="Z228" s="697">
        <v>0</v>
      </c>
      <c r="AA228" s="697">
        <v>0</v>
      </c>
    </row>
    <row r="229" spans="1:27" ht="15" hidden="1" thickBot="1">
      <c r="A229" s="625" t="s">
        <v>604</v>
      </c>
      <c r="B229" s="625"/>
      <c r="C229" s="625"/>
      <c r="D229" s="625"/>
      <c r="E229" s="625"/>
      <c r="F229" s="625"/>
      <c r="G229" s="625" t="s">
        <v>605</v>
      </c>
      <c r="H229" s="625"/>
      <c r="I229" s="625"/>
      <c r="J229" s="625"/>
      <c r="K229" s="625"/>
      <c r="L229" s="625"/>
      <c r="M229" s="625"/>
      <c r="N229" s="625"/>
      <c r="O229" s="638"/>
      <c r="P229" s="625"/>
      <c r="Q229" s="625"/>
      <c r="R229" s="625" t="s">
        <v>687</v>
      </c>
      <c r="S229" s="626"/>
      <c r="T229" s="626"/>
      <c r="U229" s="626"/>
      <c r="V229" s="697">
        <v>0</v>
      </c>
      <c r="W229" s="697">
        <v>0</v>
      </c>
      <c r="X229" s="697">
        <v>0</v>
      </c>
      <c r="Y229" s="697">
        <v>0</v>
      </c>
      <c r="Z229" s="697">
        <v>0</v>
      </c>
      <c r="AA229" s="697">
        <v>0</v>
      </c>
    </row>
    <row r="230" spans="1:27" hidden="1">
      <c r="A230" s="664" t="s">
        <v>4</v>
      </c>
      <c r="B230" s="664"/>
      <c r="C230" s="372"/>
      <c r="D230" s="372"/>
      <c r="E230" s="635" t="s">
        <v>553</v>
      </c>
      <c r="F230" s="372" t="s">
        <v>607</v>
      </c>
      <c r="G230" s="664"/>
      <c r="H230" s="664"/>
      <c r="I230" s="664"/>
      <c r="J230" s="664"/>
      <c r="K230" s="661"/>
      <c r="L230" s="661"/>
      <c r="M230" s="661"/>
      <c r="N230" s="661"/>
      <c r="O230" s="645"/>
      <c r="P230" s="372" t="s">
        <v>608</v>
      </c>
      <c r="Q230" s="664"/>
      <c r="R230" s="664"/>
      <c r="S230" s="626"/>
      <c r="T230" s="626"/>
      <c r="U230" s="626"/>
      <c r="V230" s="697">
        <v>0</v>
      </c>
      <c r="W230" s="697">
        <v>0</v>
      </c>
      <c r="X230" s="697">
        <v>0</v>
      </c>
      <c r="Y230" s="697">
        <v>0</v>
      </c>
      <c r="Z230" s="697">
        <v>0</v>
      </c>
      <c r="AA230" s="697">
        <v>0</v>
      </c>
    </row>
    <row r="231" spans="1:27" hidden="1">
      <c r="A231" s="372"/>
      <c r="B231" s="372"/>
      <c r="C231" s="372"/>
      <c r="D231" s="372"/>
      <c r="E231" s="372"/>
      <c r="F231" s="372" t="s">
        <v>609</v>
      </c>
      <c r="G231" s="372"/>
      <c r="H231" s="372"/>
      <c r="I231" s="372"/>
      <c r="J231" s="372"/>
      <c r="K231" s="636"/>
      <c r="L231" s="636"/>
      <c r="M231" s="372"/>
      <c r="N231" s="372"/>
      <c r="O231" s="635"/>
      <c r="P231" s="636" t="s">
        <v>9</v>
      </c>
      <c r="Q231" s="372"/>
      <c r="R231" s="372"/>
      <c r="S231" s="626"/>
      <c r="T231" s="626"/>
      <c r="U231" s="626"/>
      <c r="V231" s="697">
        <v>0</v>
      </c>
      <c r="W231" s="697">
        <v>0</v>
      </c>
      <c r="X231" s="697">
        <v>0</v>
      </c>
      <c r="Y231" s="697">
        <v>0</v>
      </c>
      <c r="Z231" s="697">
        <v>0</v>
      </c>
      <c r="AA231" s="697">
        <v>0</v>
      </c>
    </row>
    <row r="232" spans="1:27" hidden="1">
      <c r="A232" s="372" t="s">
        <v>10</v>
      </c>
      <c r="B232" s="372"/>
      <c r="C232" s="372"/>
      <c r="D232" s="372"/>
      <c r="E232" s="372"/>
      <c r="F232" s="372"/>
      <c r="G232" s="372"/>
      <c r="H232" s="372"/>
      <c r="I232" s="372"/>
      <c r="J232" s="372"/>
      <c r="K232" s="636"/>
      <c r="L232" s="636"/>
      <c r="M232" s="372"/>
      <c r="N232" s="372"/>
      <c r="O232" s="635"/>
      <c r="P232" s="636" t="s">
        <v>11</v>
      </c>
      <c r="Q232" s="372"/>
      <c r="R232" s="372"/>
      <c r="S232" s="626"/>
      <c r="T232" s="626"/>
      <c r="U232" s="626"/>
      <c r="V232" s="697">
        <v>0</v>
      </c>
      <c r="W232" s="697">
        <v>0</v>
      </c>
      <c r="X232" s="697">
        <v>0</v>
      </c>
      <c r="Y232" s="697">
        <v>0</v>
      </c>
      <c r="Z232" s="697">
        <v>0</v>
      </c>
      <c r="AA232" s="697">
        <v>0</v>
      </c>
    </row>
    <row r="233" spans="1:27" hidden="1">
      <c r="A233" s="372"/>
      <c r="B233" s="372"/>
      <c r="C233" s="372"/>
      <c r="D233" s="372"/>
      <c r="E233" s="372"/>
      <c r="F233" s="372"/>
      <c r="G233" s="372"/>
      <c r="H233" s="372"/>
      <c r="I233" s="372"/>
      <c r="J233" s="372"/>
      <c r="K233" s="636"/>
      <c r="L233" s="636"/>
      <c r="M233" s="372"/>
      <c r="N233" s="372"/>
      <c r="O233" s="635" t="s">
        <v>12</v>
      </c>
      <c r="P233" s="636" t="s">
        <v>13</v>
      </c>
      <c r="Q233" s="372"/>
      <c r="R233" s="372"/>
      <c r="S233" s="626"/>
      <c r="T233" s="626"/>
      <c r="U233" s="626"/>
      <c r="V233" s="697">
        <v>0</v>
      </c>
      <c r="W233" s="697">
        <v>0</v>
      </c>
      <c r="X233" s="697">
        <v>0</v>
      </c>
      <c r="Y233" s="697">
        <v>0</v>
      </c>
      <c r="Z233" s="697">
        <v>0</v>
      </c>
      <c r="AA233" s="697">
        <v>0</v>
      </c>
    </row>
    <row r="234" spans="1:27" hidden="1">
      <c r="A234" s="372"/>
      <c r="B234" s="372"/>
      <c r="C234" s="372"/>
      <c r="D234" s="372"/>
      <c r="E234" s="372"/>
      <c r="F234" s="372"/>
      <c r="G234" s="372"/>
      <c r="H234" s="372"/>
      <c r="I234" s="372"/>
      <c r="J234" s="372"/>
      <c r="K234" s="636"/>
      <c r="L234" s="636"/>
      <c r="M234" s="372"/>
      <c r="N234" s="372"/>
      <c r="O234" s="635"/>
      <c r="P234" s="636" t="s">
        <v>610</v>
      </c>
      <c r="Q234" s="372"/>
      <c r="R234" s="372"/>
      <c r="S234" s="626"/>
      <c r="T234" s="626"/>
      <c r="U234" s="626"/>
      <c r="V234" s="697">
        <v>0</v>
      </c>
      <c r="W234" s="697">
        <v>0</v>
      </c>
      <c r="X234" s="697">
        <v>0</v>
      </c>
      <c r="Y234" s="697">
        <v>0</v>
      </c>
      <c r="Z234" s="697">
        <v>0</v>
      </c>
      <c r="AA234" s="697">
        <v>0</v>
      </c>
    </row>
    <row r="235" spans="1:27" ht="15" hidden="1" thickBot="1">
      <c r="A235" s="625" t="s">
        <v>611</v>
      </c>
      <c r="B235" s="625"/>
      <c r="C235" s="625"/>
      <c r="D235" s="625"/>
      <c r="E235" s="625"/>
      <c r="F235" s="625"/>
      <c r="G235" s="625"/>
      <c r="H235" s="637" t="s">
        <v>612</v>
      </c>
      <c r="I235" s="625"/>
      <c r="J235" s="625"/>
      <c r="K235" s="625"/>
      <c r="L235" s="625"/>
      <c r="M235" s="625"/>
      <c r="N235" s="625"/>
      <c r="O235" s="638"/>
      <c r="P235" s="625" t="s">
        <v>249</v>
      </c>
      <c r="Q235" s="625"/>
      <c r="R235" s="625"/>
      <c r="S235" s="626"/>
      <c r="T235" s="626"/>
      <c r="U235" s="626"/>
      <c r="V235" s="697">
        <v>0</v>
      </c>
      <c r="W235" s="697">
        <v>0</v>
      </c>
      <c r="X235" s="697">
        <v>0</v>
      </c>
      <c r="Y235" s="697">
        <v>0</v>
      </c>
      <c r="Z235" s="697">
        <v>0</v>
      </c>
      <c r="AA235" s="697">
        <v>0</v>
      </c>
    </row>
    <row r="236" spans="1:27" hidden="1">
      <c r="A236" s="664"/>
      <c r="B236" s="664"/>
      <c r="C236" s="634"/>
      <c r="D236" s="634"/>
      <c r="E236" s="634"/>
      <c r="F236" s="634"/>
      <c r="G236" s="634"/>
      <c r="H236" s="634"/>
      <c r="I236" s="634"/>
      <c r="J236" s="634"/>
      <c r="K236" s="634"/>
      <c r="L236" s="634"/>
      <c r="M236" s="634"/>
      <c r="N236" s="634"/>
      <c r="O236" s="635"/>
      <c r="P236" s="634"/>
      <c r="Q236" s="634"/>
      <c r="R236" s="634"/>
      <c r="S236" s="626"/>
      <c r="T236" s="626"/>
      <c r="U236" s="626"/>
      <c r="V236" s="697">
        <v>0</v>
      </c>
      <c r="W236" s="697">
        <v>0</v>
      </c>
      <c r="X236" s="697">
        <v>0</v>
      </c>
      <c r="Y236" s="697">
        <v>0</v>
      </c>
      <c r="Z236" s="697">
        <v>0</v>
      </c>
      <c r="AA236" s="697">
        <v>0</v>
      </c>
    </row>
    <row r="237" spans="1:27" hidden="1">
      <c r="A237" s="372"/>
      <c r="B237" s="372"/>
      <c r="C237" s="634">
        <v>-1</v>
      </c>
      <c r="D237" s="634">
        <v>-2</v>
      </c>
      <c r="E237" s="634"/>
      <c r="F237" s="634">
        <v>-3</v>
      </c>
      <c r="G237" s="634"/>
      <c r="H237" s="634">
        <v>-4</v>
      </c>
      <c r="I237" s="634"/>
      <c r="J237" s="634">
        <v>-5</v>
      </c>
      <c r="K237" s="634"/>
      <c r="L237" s="634">
        <v>-6</v>
      </c>
      <c r="M237" s="634"/>
      <c r="N237" s="634">
        <v>-7</v>
      </c>
      <c r="O237" s="635"/>
      <c r="P237" s="634">
        <v>-8</v>
      </c>
      <c r="Q237" s="634"/>
      <c r="R237" s="634">
        <v>-9</v>
      </c>
      <c r="S237" s="626"/>
      <c r="T237" s="626"/>
      <c r="U237" s="626"/>
      <c r="V237" s="697">
        <v>0</v>
      </c>
      <c r="W237" s="697">
        <v>0</v>
      </c>
      <c r="X237" s="697">
        <v>0</v>
      </c>
      <c r="Y237" s="697">
        <v>0</v>
      </c>
      <c r="Z237" s="697">
        <v>0</v>
      </c>
      <c r="AA237" s="697">
        <v>0</v>
      </c>
    </row>
    <row r="238" spans="1:27" hidden="1">
      <c r="A238" s="372"/>
      <c r="B238" s="372"/>
      <c r="C238" s="634" t="s">
        <v>613</v>
      </c>
      <c r="D238" s="634" t="s">
        <v>613</v>
      </c>
      <c r="E238" s="372"/>
      <c r="F238" s="634" t="s">
        <v>37</v>
      </c>
      <c r="G238" s="634"/>
      <c r="H238" s="634" t="s">
        <v>30</v>
      </c>
      <c r="I238" s="634"/>
      <c r="J238" s="634" t="s">
        <v>45</v>
      </c>
      <c r="K238" s="634"/>
      <c r="L238" s="634" t="s">
        <v>45</v>
      </c>
      <c r="M238" s="634"/>
      <c r="N238" s="372"/>
      <c r="O238" s="635"/>
      <c r="P238" s="634" t="s">
        <v>30</v>
      </c>
      <c r="Q238" s="372"/>
      <c r="R238" s="372"/>
      <c r="S238" s="626"/>
      <c r="T238" s="626"/>
      <c r="U238" s="626"/>
      <c r="V238" s="697">
        <v>0</v>
      </c>
      <c r="W238" s="697">
        <v>0</v>
      </c>
      <c r="X238" s="697">
        <v>0</v>
      </c>
      <c r="Y238" s="697">
        <v>0</v>
      </c>
      <c r="Z238" s="697">
        <v>0</v>
      </c>
      <c r="AA238" s="697">
        <v>0</v>
      </c>
    </row>
    <row r="239" spans="1:27" hidden="1">
      <c r="A239" s="634" t="s">
        <v>35</v>
      </c>
      <c r="B239" s="634"/>
      <c r="C239" s="634" t="s">
        <v>614</v>
      </c>
      <c r="D239" s="634" t="s">
        <v>614</v>
      </c>
      <c r="E239" s="634"/>
      <c r="F239" s="634" t="s">
        <v>615</v>
      </c>
      <c r="G239" s="634"/>
      <c r="H239" s="634" t="s">
        <v>616</v>
      </c>
      <c r="I239" s="634"/>
      <c r="J239" s="634" t="s">
        <v>30</v>
      </c>
      <c r="K239" s="634"/>
      <c r="L239" s="634" t="s">
        <v>30</v>
      </c>
      <c r="M239" s="636"/>
      <c r="N239" s="634" t="s">
        <v>178</v>
      </c>
      <c r="O239" s="635"/>
      <c r="P239" s="634" t="s">
        <v>616</v>
      </c>
      <c r="Q239" s="634"/>
      <c r="R239" s="634" t="s">
        <v>353</v>
      </c>
      <c r="S239" s="626"/>
      <c r="T239" s="626"/>
      <c r="U239" s="626"/>
      <c r="V239" s="697">
        <v>0</v>
      </c>
      <c r="W239" s="697">
        <v>0</v>
      </c>
      <c r="X239" s="697">
        <v>0</v>
      </c>
      <c r="Y239" s="697">
        <v>0</v>
      </c>
      <c r="Z239" s="697">
        <v>0</v>
      </c>
      <c r="AA239" s="697">
        <v>0</v>
      </c>
    </row>
    <row r="240" spans="1:27" ht="15" hidden="1" thickBot="1">
      <c r="A240" s="637" t="s">
        <v>46</v>
      </c>
      <c r="B240" s="637"/>
      <c r="C240" s="637" t="s">
        <v>371</v>
      </c>
      <c r="D240" s="637" t="s">
        <v>617</v>
      </c>
      <c r="E240" s="637"/>
      <c r="F240" s="637" t="s">
        <v>618</v>
      </c>
      <c r="G240" s="637"/>
      <c r="H240" s="637" t="s">
        <v>619</v>
      </c>
      <c r="I240" s="637"/>
      <c r="J240" s="637" t="s">
        <v>620</v>
      </c>
      <c r="K240" s="637"/>
      <c r="L240" s="637" t="s">
        <v>621</v>
      </c>
      <c r="M240" s="637"/>
      <c r="N240" s="637" t="s">
        <v>622</v>
      </c>
      <c r="O240" s="638"/>
      <c r="P240" s="637" t="s">
        <v>623</v>
      </c>
      <c r="Q240" s="637"/>
      <c r="R240" s="637" t="s">
        <v>369</v>
      </c>
      <c r="S240" s="626"/>
      <c r="T240" s="626"/>
      <c r="U240" s="626"/>
      <c r="V240" s="697">
        <v>0</v>
      </c>
      <c r="W240" s="697">
        <v>0</v>
      </c>
      <c r="X240" s="697">
        <v>0</v>
      </c>
      <c r="Y240" s="697">
        <v>0</v>
      </c>
      <c r="Z240" s="697">
        <v>0</v>
      </c>
      <c r="AA240" s="697">
        <v>0</v>
      </c>
    </row>
    <row r="241" spans="1:27" hidden="1">
      <c r="A241" s="634">
        <v>1</v>
      </c>
      <c r="B241" s="634"/>
      <c r="C241" s="372"/>
      <c r="D241" s="372"/>
      <c r="E241" s="664"/>
      <c r="F241" s="664"/>
      <c r="G241" s="664"/>
      <c r="H241" s="664"/>
      <c r="I241" s="664"/>
      <c r="J241" s="664"/>
      <c r="K241" s="664"/>
      <c r="L241" s="664"/>
      <c r="M241" s="664"/>
      <c r="N241" s="664"/>
      <c r="O241" s="635"/>
      <c r="P241" s="372"/>
      <c r="Q241" s="664"/>
      <c r="R241" s="664"/>
      <c r="S241" s="626"/>
      <c r="T241" s="626"/>
      <c r="U241" s="626"/>
      <c r="V241" s="697">
        <v>0</v>
      </c>
      <c r="W241" s="697">
        <v>0</v>
      </c>
      <c r="X241" s="697">
        <v>0</v>
      </c>
      <c r="Y241" s="697">
        <v>0</v>
      </c>
      <c r="Z241" s="697">
        <v>0</v>
      </c>
      <c r="AA241" s="697">
        <v>0</v>
      </c>
    </row>
    <row r="242" spans="1:27" hidden="1">
      <c r="A242" s="634">
        <v>2</v>
      </c>
      <c r="B242" s="639"/>
      <c r="C242" s="634"/>
      <c r="D242" s="636" t="s">
        <v>688</v>
      </c>
      <c r="E242" s="372"/>
      <c r="F242" s="372"/>
      <c r="G242" s="372"/>
      <c r="H242" s="372"/>
      <c r="I242" s="635"/>
      <c r="J242" s="635"/>
      <c r="K242" s="635"/>
      <c r="L242" s="635"/>
      <c r="M242" s="635"/>
      <c r="N242" s="635"/>
      <c r="O242" s="635"/>
      <c r="P242" s="635"/>
      <c r="Q242" s="635"/>
      <c r="R242" s="635"/>
      <c r="S242" s="626"/>
      <c r="T242" s="626"/>
      <c r="U242" s="626"/>
      <c r="V242" s="697">
        <v>0</v>
      </c>
      <c r="W242" s="697">
        <v>0</v>
      </c>
      <c r="X242" s="697">
        <v>0</v>
      </c>
      <c r="Y242" s="697">
        <v>0</v>
      </c>
      <c r="Z242" s="697">
        <v>0</v>
      </c>
      <c r="AA242" s="697">
        <v>0</v>
      </c>
    </row>
    <row r="243" spans="1:27" hidden="1">
      <c r="A243" s="634">
        <v>3</v>
      </c>
      <c r="B243" s="639"/>
      <c r="C243" s="634">
        <v>34185</v>
      </c>
      <c r="D243" s="372" t="s">
        <v>627</v>
      </c>
      <c r="E243" s="372"/>
      <c r="F243" s="634">
        <v>2.7</v>
      </c>
      <c r="G243" s="635"/>
      <c r="H243" s="640">
        <v>5747</v>
      </c>
      <c r="I243" s="635"/>
      <c r="J243" s="634" t="s">
        <v>635</v>
      </c>
      <c r="K243" s="372"/>
      <c r="L243" s="634" t="s">
        <v>635</v>
      </c>
      <c r="M243" s="372"/>
      <c r="N243" s="634" t="s">
        <v>635</v>
      </c>
      <c r="O243" s="635"/>
      <c r="P243" s="640">
        <v>5747</v>
      </c>
      <c r="Q243" s="372"/>
      <c r="R243" s="640">
        <v>5747</v>
      </c>
      <c r="S243" s="626"/>
      <c r="T243" s="626"/>
      <c r="U243" s="626"/>
      <c r="V243" s="696">
        <v>5</v>
      </c>
      <c r="W243" s="697">
        <v>0</v>
      </c>
      <c r="X243" s="697">
        <v>0</v>
      </c>
      <c r="Y243" s="697">
        <v>0</v>
      </c>
      <c r="Z243" s="696">
        <v>5</v>
      </c>
      <c r="AA243" s="696">
        <v>5</v>
      </c>
    </row>
    <row r="244" spans="1:27" hidden="1">
      <c r="A244" s="634">
        <v>4</v>
      </c>
      <c r="B244" s="639"/>
      <c r="C244" s="634">
        <v>34285</v>
      </c>
      <c r="D244" s="372" t="s">
        <v>666</v>
      </c>
      <c r="E244" s="372"/>
      <c r="F244" s="634">
        <v>3.7</v>
      </c>
      <c r="G244" s="635"/>
      <c r="H244" s="640">
        <v>2548</v>
      </c>
      <c r="I244" s="635"/>
      <c r="J244" s="634">
        <v>109</v>
      </c>
      <c r="K244" s="372"/>
      <c r="L244" s="634" t="s">
        <v>635</v>
      </c>
      <c r="M244" s="372"/>
      <c r="N244" s="634" t="s">
        <v>635</v>
      </c>
      <c r="O244" s="635"/>
      <c r="P244" s="640">
        <v>2657</v>
      </c>
      <c r="Q244" s="372"/>
      <c r="R244" s="640">
        <v>2590</v>
      </c>
      <c r="S244" s="626"/>
      <c r="T244" s="626"/>
      <c r="U244" s="626"/>
      <c r="V244" s="696">
        <v>5</v>
      </c>
      <c r="W244" s="696">
        <v>5</v>
      </c>
      <c r="X244" s="697">
        <v>0</v>
      </c>
      <c r="Y244" s="697">
        <v>0</v>
      </c>
      <c r="Z244" s="696">
        <v>5</v>
      </c>
      <c r="AA244" s="696">
        <v>5</v>
      </c>
    </row>
    <row r="245" spans="1:27" hidden="1">
      <c r="A245" s="634">
        <v>5</v>
      </c>
      <c r="B245" s="639"/>
      <c r="C245" s="634">
        <v>34385</v>
      </c>
      <c r="D245" s="372" t="s">
        <v>667</v>
      </c>
      <c r="E245" s="372"/>
      <c r="F245" s="634">
        <v>5</v>
      </c>
      <c r="G245" s="635"/>
      <c r="H245" s="640">
        <v>25227</v>
      </c>
      <c r="I245" s="635"/>
      <c r="J245" s="634">
        <v>-123</v>
      </c>
      <c r="K245" s="372"/>
      <c r="L245" s="634" t="s">
        <v>628</v>
      </c>
      <c r="M245" s="372"/>
      <c r="N245" s="634" t="s">
        <v>635</v>
      </c>
      <c r="O245" s="635"/>
      <c r="P245" s="640">
        <v>25104</v>
      </c>
      <c r="Q245" s="372"/>
      <c r="R245" s="640">
        <v>25184</v>
      </c>
      <c r="S245" s="626"/>
      <c r="T245" s="626"/>
      <c r="U245" s="626"/>
      <c r="V245" s="696">
        <v>4</v>
      </c>
      <c r="W245" s="696">
        <v>5</v>
      </c>
      <c r="X245" s="697">
        <v>0</v>
      </c>
      <c r="Y245" s="697">
        <v>0</v>
      </c>
      <c r="Z245" s="696">
        <v>5</v>
      </c>
      <c r="AA245" s="696">
        <v>5</v>
      </c>
    </row>
    <row r="246" spans="1:27" hidden="1">
      <c r="A246" s="634">
        <v>6</v>
      </c>
      <c r="B246" s="639"/>
      <c r="C246" s="634">
        <v>34585</v>
      </c>
      <c r="D246" s="372" t="s">
        <v>631</v>
      </c>
      <c r="E246" s="372"/>
      <c r="F246" s="634">
        <v>2.6</v>
      </c>
      <c r="G246" s="635"/>
      <c r="H246" s="640">
        <v>5472</v>
      </c>
      <c r="I246" s="635"/>
      <c r="J246" s="634">
        <v>32</v>
      </c>
      <c r="K246" s="372"/>
      <c r="L246" s="634">
        <v>-14</v>
      </c>
      <c r="M246" s="372"/>
      <c r="N246" s="634" t="s">
        <v>628</v>
      </c>
      <c r="O246" s="635"/>
      <c r="P246" s="640">
        <v>5489</v>
      </c>
      <c r="Q246" s="372"/>
      <c r="R246" s="640">
        <v>5476</v>
      </c>
      <c r="S246" s="626"/>
      <c r="T246" s="626"/>
      <c r="U246" s="626"/>
      <c r="V246" s="696">
        <v>4</v>
      </c>
      <c r="W246" s="696">
        <v>5</v>
      </c>
      <c r="X246" s="696">
        <v>5</v>
      </c>
      <c r="Y246" s="697">
        <v>0</v>
      </c>
      <c r="Z246" s="696">
        <v>5</v>
      </c>
      <c r="AA246" s="696">
        <v>5</v>
      </c>
    </row>
    <row r="247" spans="1:27" hidden="1">
      <c r="A247" s="634">
        <v>7</v>
      </c>
      <c r="B247" s="634"/>
      <c r="C247" s="634">
        <v>34685</v>
      </c>
      <c r="D247" s="372" t="s">
        <v>632</v>
      </c>
      <c r="E247" s="372"/>
      <c r="F247" s="634">
        <v>3.6</v>
      </c>
      <c r="G247" s="635"/>
      <c r="H247" s="634" t="s">
        <v>628</v>
      </c>
      <c r="I247" s="635"/>
      <c r="J247" s="634" t="s">
        <v>635</v>
      </c>
      <c r="K247" s="372"/>
      <c r="L247" s="634" t="s">
        <v>635</v>
      </c>
      <c r="M247" s="372"/>
      <c r="N247" s="634" t="s">
        <v>635</v>
      </c>
      <c r="O247" s="635"/>
      <c r="P247" s="634" t="s">
        <v>635</v>
      </c>
      <c r="Q247" s="372"/>
      <c r="R247" s="634" t="s">
        <v>635</v>
      </c>
      <c r="S247" s="626"/>
      <c r="T247" s="626"/>
      <c r="U247" s="626"/>
      <c r="V247" s="697">
        <v>0</v>
      </c>
      <c r="W247" s="697">
        <v>0</v>
      </c>
      <c r="X247" s="697">
        <v>0</v>
      </c>
      <c r="Y247" s="697">
        <v>0</v>
      </c>
      <c r="Z247" s="697">
        <v>0</v>
      </c>
      <c r="AA247" s="697">
        <v>0</v>
      </c>
    </row>
    <row r="248" spans="1:27" hidden="1">
      <c r="A248" s="634">
        <v>8</v>
      </c>
      <c r="B248" s="634"/>
      <c r="C248" s="634"/>
      <c r="D248" s="636" t="s">
        <v>689</v>
      </c>
      <c r="E248" s="372"/>
      <c r="F248" s="372"/>
      <c r="G248" s="372"/>
      <c r="H248" s="642">
        <v>38993</v>
      </c>
      <c r="I248" s="635"/>
      <c r="J248" s="643">
        <v>19</v>
      </c>
      <c r="K248" s="635"/>
      <c r="L248" s="643">
        <v>-14</v>
      </c>
      <c r="M248" s="635"/>
      <c r="N248" s="643" t="s">
        <v>628</v>
      </c>
      <c r="O248" s="635"/>
      <c r="P248" s="642">
        <v>38997</v>
      </c>
      <c r="Q248" s="635"/>
      <c r="R248" s="642">
        <v>38996</v>
      </c>
      <c r="S248" s="626"/>
      <c r="T248" s="626"/>
      <c r="U248" s="626"/>
      <c r="V248" s="696">
        <v>5</v>
      </c>
      <c r="W248" s="696">
        <v>5</v>
      </c>
      <c r="X248" s="696">
        <v>5</v>
      </c>
      <c r="Y248" s="697">
        <v>0</v>
      </c>
      <c r="Z248" s="696">
        <v>5</v>
      </c>
      <c r="AA248" s="696">
        <v>5</v>
      </c>
    </row>
    <row r="249" spans="1:27" hidden="1">
      <c r="A249" s="634">
        <v>9</v>
      </c>
      <c r="B249" s="634"/>
      <c r="C249" s="372"/>
      <c r="D249" s="372"/>
      <c r="E249" s="372"/>
      <c r="F249" s="372"/>
      <c r="G249" s="372"/>
      <c r="H249" s="372"/>
      <c r="I249" s="372"/>
      <c r="J249" s="372"/>
      <c r="K249" s="372"/>
      <c r="L249" s="372"/>
      <c r="M249" s="372"/>
      <c r="N249" s="372"/>
      <c r="O249" s="635"/>
      <c r="P249" s="372"/>
      <c r="Q249" s="372"/>
      <c r="R249" s="372"/>
      <c r="S249" s="626"/>
      <c r="T249" s="626"/>
      <c r="U249" s="626"/>
      <c r="V249" s="697">
        <v>0</v>
      </c>
      <c r="W249" s="697">
        <v>0</v>
      </c>
      <c r="X249" s="697">
        <v>0</v>
      </c>
      <c r="Y249" s="697">
        <v>0</v>
      </c>
      <c r="Z249" s="697">
        <v>0</v>
      </c>
      <c r="AA249" s="697">
        <v>0</v>
      </c>
    </row>
    <row r="250" spans="1:27" hidden="1">
      <c r="A250" s="634">
        <v>10</v>
      </c>
      <c r="B250" s="634"/>
      <c r="C250" s="634"/>
      <c r="D250" s="636" t="s">
        <v>690</v>
      </c>
      <c r="E250" s="372"/>
      <c r="F250" s="372"/>
      <c r="G250" s="372"/>
      <c r="H250" s="372"/>
      <c r="I250" s="635"/>
      <c r="J250" s="635"/>
      <c r="K250" s="635"/>
      <c r="L250" s="635"/>
      <c r="M250" s="635"/>
      <c r="N250" s="635"/>
      <c r="O250" s="635"/>
      <c r="P250" s="635"/>
      <c r="Q250" s="635"/>
      <c r="R250" s="635"/>
      <c r="S250" s="626"/>
      <c r="T250" s="626"/>
      <c r="U250" s="626"/>
      <c r="V250" s="697">
        <v>0</v>
      </c>
      <c r="W250" s="697">
        <v>0</v>
      </c>
      <c r="X250" s="697">
        <v>0</v>
      </c>
      <c r="Y250" s="697">
        <v>0</v>
      </c>
      <c r="Z250" s="697">
        <v>0</v>
      </c>
      <c r="AA250" s="697">
        <v>0</v>
      </c>
    </row>
    <row r="251" spans="1:27" hidden="1">
      <c r="A251" s="634">
        <v>11</v>
      </c>
      <c r="B251" s="634"/>
      <c r="C251" s="634">
        <v>34186</v>
      </c>
      <c r="D251" s="372" t="s">
        <v>627</v>
      </c>
      <c r="E251" s="372"/>
      <c r="F251" s="634">
        <v>2.6</v>
      </c>
      <c r="G251" s="635"/>
      <c r="H251" s="640">
        <v>13375</v>
      </c>
      <c r="I251" s="635"/>
      <c r="J251" s="634" t="s">
        <v>635</v>
      </c>
      <c r="K251" s="372"/>
      <c r="L251" s="634" t="s">
        <v>635</v>
      </c>
      <c r="M251" s="372"/>
      <c r="N251" s="634" t="s">
        <v>635</v>
      </c>
      <c r="O251" s="635"/>
      <c r="P251" s="640">
        <v>13375</v>
      </c>
      <c r="Q251" s="372"/>
      <c r="R251" s="640">
        <v>13375</v>
      </c>
      <c r="S251" s="626"/>
      <c r="T251" s="626"/>
      <c r="U251" s="626"/>
      <c r="V251" s="696">
        <v>5</v>
      </c>
      <c r="W251" s="697">
        <v>0</v>
      </c>
      <c r="X251" s="697">
        <v>0</v>
      </c>
      <c r="Y251" s="697">
        <v>0</v>
      </c>
      <c r="Z251" s="696">
        <v>5</v>
      </c>
      <c r="AA251" s="696">
        <v>5</v>
      </c>
    </row>
    <row r="252" spans="1:27" hidden="1">
      <c r="A252" s="634">
        <v>12</v>
      </c>
      <c r="B252" s="639"/>
      <c r="C252" s="634">
        <v>34286</v>
      </c>
      <c r="D252" s="372" t="s">
        <v>666</v>
      </c>
      <c r="E252" s="372"/>
      <c r="F252" s="634">
        <v>3</v>
      </c>
      <c r="G252" s="635"/>
      <c r="H252" s="640">
        <v>213989</v>
      </c>
      <c r="I252" s="635"/>
      <c r="J252" s="634">
        <v>93</v>
      </c>
      <c r="K252" s="372"/>
      <c r="L252" s="634">
        <v>-241</v>
      </c>
      <c r="M252" s="372"/>
      <c r="N252" s="634" t="s">
        <v>628</v>
      </c>
      <c r="O252" s="635"/>
      <c r="P252" s="640">
        <v>213842</v>
      </c>
      <c r="Q252" s="372"/>
      <c r="R252" s="640">
        <v>213915</v>
      </c>
      <c r="S252" s="626"/>
      <c r="T252" s="626"/>
      <c r="U252" s="626"/>
      <c r="V252" s="696">
        <v>5</v>
      </c>
      <c r="W252" s="696">
        <v>4</v>
      </c>
      <c r="X252" s="696">
        <v>3</v>
      </c>
      <c r="Y252" s="697">
        <v>0</v>
      </c>
      <c r="Z252" s="696">
        <v>5</v>
      </c>
      <c r="AA252" s="696">
        <v>5</v>
      </c>
    </row>
    <row r="253" spans="1:27" hidden="1">
      <c r="A253" s="634">
        <v>13</v>
      </c>
      <c r="B253" s="639"/>
      <c r="C253" s="634">
        <v>34386</v>
      </c>
      <c r="D253" s="372" t="s">
        <v>667</v>
      </c>
      <c r="E253" s="372"/>
      <c r="F253" s="634">
        <v>3.1</v>
      </c>
      <c r="G253" s="635"/>
      <c r="H253" s="640">
        <v>224046</v>
      </c>
      <c r="I253" s="635"/>
      <c r="J253" s="634">
        <v>0</v>
      </c>
      <c r="K253" s="372"/>
      <c r="L253" s="634">
        <v>-123</v>
      </c>
      <c r="M253" s="372"/>
      <c r="N253" s="634" t="s">
        <v>628</v>
      </c>
      <c r="O253" s="635"/>
      <c r="P253" s="640">
        <v>223922</v>
      </c>
      <c r="Q253" s="372"/>
      <c r="R253" s="640">
        <v>223997</v>
      </c>
      <c r="S253" s="626"/>
      <c r="T253" s="626"/>
      <c r="U253" s="626"/>
      <c r="V253" s="696">
        <v>5</v>
      </c>
      <c r="W253" s="696">
        <v>4</v>
      </c>
      <c r="X253" s="696">
        <v>5</v>
      </c>
      <c r="Y253" s="697">
        <v>0</v>
      </c>
      <c r="Z253" s="696">
        <v>5</v>
      </c>
      <c r="AA253" s="696">
        <v>5</v>
      </c>
    </row>
    <row r="254" spans="1:27" hidden="1">
      <c r="A254" s="634">
        <v>14</v>
      </c>
      <c r="B254" s="639"/>
      <c r="C254" s="634">
        <v>34586</v>
      </c>
      <c r="D254" s="372" t="s">
        <v>631</v>
      </c>
      <c r="E254" s="372"/>
      <c r="F254" s="634">
        <v>3</v>
      </c>
      <c r="G254" s="635"/>
      <c r="H254" s="640">
        <v>18339</v>
      </c>
      <c r="I254" s="635"/>
      <c r="J254" s="634" t="s">
        <v>635</v>
      </c>
      <c r="K254" s="372"/>
      <c r="L254" s="634" t="s">
        <v>635</v>
      </c>
      <c r="M254" s="372"/>
      <c r="N254" s="634" t="s">
        <v>635</v>
      </c>
      <c r="O254" s="635"/>
      <c r="P254" s="640">
        <v>18339</v>
      </c>
      <c r="Q254" s="372"/>
      <c r="R254" s="640">
        <v>18339</v>
      </c>
      <c r="S254" s="626"/>
      <c r="T254" s="626"/>
      <c r="U254" s="626"/>
      <c r="V254" s="696">
        <v>5</v>
      </c>
      <c r="W254" s="697">
        <v>0</v>
      </c>
      <c r="X254" s="697">
        <v>0</v>
      </c>
      <c r="Y254" s="697">
        <v>0</v>
      </c>
      <c r="Z254" s="696">
        <v>5</v>
      </c>
      <c r="AA254" s="696">
        <v>5</v>
      </c>
    </row>
    <row r="255" spans="1:27" hidden="1">
      <c r="A255" s="634">
        <v>15</v>
      </c>
      <c r="B255" s="639"/>
      <c r="C255" s="634">
        <v>34686</v>
      </c>
      <c r="D255" s="372" t="s">
        <v>632</v>
      </c>
      <c r="E255" s="372"/>
      <c r="F255" s="634">
        <v>3</v>
      </c>
      <c r="G255" s="635"/>
      <c r="H255" s="634">
        <v>142</v>
      </c>
      <c r="I255" s="635"/>
      <c r="J255" s="634" t="s">
        <v>635</v>
      </c>
      <c r="K255" s="372"/>
      <c r="L255" s="634" t="s">
        <v>635</v>
      </c>
      <c r="M255" s="372"/>
      <c r="N255" s="634" t="s">
        <v>635</v>
      </c>
      <c r="O255" s="635"/>
      <c r="P255" s="634">
        <v>142</v>
      </c>
      <c r="Q255" s="372"/>
      <c r="R255" s="634">
        <v>142</v>
      </c>
      <c r="S255" s="626"/>
      <c r="T255" s="626"/>
      <c r="U255" s="626"/>
      <c r="V255" s="696">
        <v>5</v>
      </c>
      <c r="W255" s="697">
        <v>0</v>
      </c>
      <c r="X255" s="697">
        <v>0</v>
      </c>
      <c r="Y255" s="697">
        <v>0</v>
      </c>
      <c r="Z255" s="696">
        <v>5</v>
      </c>
      <c r="AA255" s="696">
        <v>5</v>
      </c>
    </row>
    <row r="256" spans="1:27" hidden="1">
      <c r="A256" s="634">
        <v>16</v>
      </c>
      <c r="B256" s="639"/>
      <c r="C256" s="634"/>
      <c r="D256" s="636" t="s">
        <v>691</v>
      </c>
      <c r="E256" s="372"/>
      <c r="F256" s="372"/>
      <c r="G256" s="372"/>
      <c r="H256" s="642">
        <v>469889</v>
      </c>
      <c r="I256" s="635"/>
      <c r="J256" s="643">
        <v>93</v>
      </c>
      <c r="K256" s="635"/>
      <c r="L256" s="643">
        <v>-364</v>
      </c>
      <c r="M256" s="635"/>
      <c r="N256" s="643" t="s">
        <v>628</v>
      </c>
      <c r="O256" s="635"/>
      <c r="P256" s="642">
        <v>469619</v>
      </c>
      <c r="Q256" s="635"/>
      <c r="R256" s="642">
        <v>469766</v>
      </c>
      <c r="S256" s="626"/>
      <c r="T256" s="626"/>
      <c r="U256" s="626"/>
      <c r="V256" s="696">
        <v>3</v>
      </c>
      <c r="W256" s="696">
        <v>4</v>
      </c>
      <c r="X256" s="696">
        <v>4</v>
      </c>
      <c r="Y256" s="697">
        <v>0</v>
      </c>
      <c r="Z256" s="696">
        <v>4</v>
      </c>
      <c r="AA256" s="696">
        <v>3</v>
      </c>
    </row>
    <row r="257" spans="1:27" hidden="1">
      <c r="A257" s="634">
        <v>17</v>
      </c>
      <c r="B257" s="639"/>
      <c r="C257" s="372"/>
      <c r="D257" s="372"/>
      <c r="E257" s="372"/>
      <c r="F257" s="372"/>
      <c r="G257" s="372"/>
      <c r="H257" s="372"/>
      <c r="I257" s="372"/>
      <c r="J257" s="372"/>
      <c r="K257" s="372"/>
      <c r="L257" s="372"/>
      <c r="M257" s="372"/>
      <c r="N257" s="372"/>
      <c r="O257" s="635"/>
      <c r="P257" s="372"/>
      <c r="Q257" s="372"/>
      <c r="R257" s="372"/>
      <c r="S257" s="626"/>
      <c r="T257" s="626"/>
      <c r="U257" s="626"/>
      <c r="V257" s="697">
        <v>0</v>
      </c>
      <c r="W257" s="697">
        <v>0</v>
      </c>
      <c r="X257" s="697">
        <v>0</v>
      </c>
      <c r="Y257" s="697">
        <v>0</v>
      </c>
      <c r="Z257" s="697">
        <v>0</v>
      </c>
      <c r="AA257" s="697">
        <v>0</v>
      </c>
    </row>
    <row r="258" spans="1:27" hidden="1">
      <c r="A258" s="634">
        <v>18</v>
      </c>
      <c r="B258" s="639"/>
      <c r="C258" s="634">
        <v>34287</v>
      </c>
      <c r="D258" s="636" t="s">
        <v>692</v>
      </c>
      <c r="E258" s="372"/>
      <c r="F258" s="634">
        <v>20</v>
      </c>
      <c r="G258" s="635"/>
      <c r="H258" s="634" t="s">
        <v>628</v>
      </c>
      <c r="I258" s="635"/>
      <c r="J258" s="634" t="s">
        <v>635</v>
      </c>
      <c r="K258" s="372"/>
      <c r="L258" s="634" t="s">
        <v>635</v>
      </c>
      <c r="M258" s="372"/>
      <c r="N258" s="634" t="s">
        <v>635</v>
      </c>
      <c r="O258" s="635"/>
      <c r="P258" s="634" t="s">
        <v>635</v>
      </c>
      <c r="Q258" s="372"/>
      <c r="R258" s="634" t="s">
        <v>635</v>
      </c>
      <c r="S258" s="626"/>
      <c r="T258" s="626"/>
      <c r="U258" s="626"/>
      <c r="V258" s="697">
        <v>0</v>
      </c>
      <c r="W258" s="697">
        <v>0</v>
      </c>
      <c r="X258" s="697">
        <v>0</v>
      </c>
      <c r="Y258" s="697">
        <v>0</v>
      </c>
      <c r="Z258" s="697">
        <v>0</v>
      </c>
      <c r="AA258" s="697">
        <v>0</v>
      </c>
    </row>
    <row r="259" spans="1:27" hidden="1">
      <c r="A259" s="634">
        <v>19</v>
      </c>
      <c r="B259" s="639"/>
      <c r="C259" s="634">
        <v>34687</v>
      </c>
      <c r="D259" s="372" t="s">
        <v>693</v>
      </c>
      <c r="E259" s="372"/>
      <c r="F259" s="634">
        <v>14.3</v>
      </c>
      <c r="G259" s="635"/>
      <c r="H259" s="640">
        <v>1637</v>
      </c>
      <c r="I259" s="635"/>
      <c r="J259" s="634">
        <v>559</v>
      </c>
      <c r="K259" s="372"/>
      <c r="L259" s="634">
        <v>-84</v>
      </c>
      <c r="M259" s="372"/>
      <c r="N259" s="634" t="s">
        <v>628</v>
      </c>
      <c r="O259" s="635"/>
      <c r="P259" s="640">
        <v>2112</v>
      </c>
      <c r="Q259" s="372"/>
      <c r="R259" s="640">
        <v>1868</v>
      </c>
      <c r="S259" s="626"/>
      <c r="T259" s="626"/>
      <c r="U259" s="626"/>
      <c r="V259" s="696">
        <v>5</v>
      </c>
      <c r="W259" s="696">
        <v>5</v>
      </c>
      <c r="X259" s="696">
        <v>5</v>
      </c>
      <c r="Y259" s="697">
        <v>0</v>
      </c>
      <c r="Z259" s="696">
        <v>5</v>
      </c>
      <c r="AA259" s="696">
        <v>5</v>
      </c>
    </row>
    <row r="260" spans="1:27" hidden="1">
      <c r="A260" s="634">
        <v>20</v>
      </c>
      <c r="B260" s="639"/>
      <c r="C260" s="634"/>
      <c r="D260" s="372"/>
      <c r="E260" s="372"/>
      <c r="F260" s="372"/>
      <c r="G260" s="372"/>
      <c r="H260" s="372"/>
      <c r="I260" s="635"/>
      <c r="J260" s="643"/>
      <c r="K260" s="635"/>
      <c r="L260" s="643"/>
      <c r="M260" s="635"/>
      <c r="N260" s="643"/>
      <c r="O260" s="635"/>
      <c r="P260" s="643"/>
      <c r="Q260" s="635"/>
      <c r="R260" s="643"/>
      <c r="S260" s="626"/>
      <c r="T260" s="626"/>
      <c r="U260" s="626"/>
      <c r="V260" s="697">
        <v>0</v>
      </c>
      <c r="W260" s="697">
        <v>0</v>
      </c>
      <c r="X260" s="697">
        <v>0</v>
      </c>
      <c r="Y260" s="697">
        <v>0</v>
      </c>
      <c r="Z260" s="697">
        <v>0</v>
      </c>
      <c r="AA260" s="697">
        <v>0</v>
      </c>
    </row>
    <row r="261" spans="1:27" ht="15" hidden="1" thickBot="1">
      <c r="A261" s="634">
        <v>21</v>
      </c>
      <c r="B261" s="639"/>
      <c r="C261" s="634"/>
      <c r="D261" s="372" t="s">
        <v>694</v>
      </c>
      <c r="E261" s="372"/>
      <c r="F261" s="372"/>
      <c r="G261" s="372"/>
      <c r="H261" s="646">
        <v>1429150</v>
      </c>
      <c r="I261" s="635"/>
      <c r="J261" s="646">
        <v>11162</v>
      </c>
      <c r="K261" s="635"/>
      <c r="L261" s="646">
        <v>-9478</v>
      </c>
      <c r="M261" s="635"/>
      <c r="N261" s="647" t="s">
        <v>628</v>
      </c>
      <c r="O261" s="635"/>
      <c r="P261" s="646">
        <v>1430834</v>
      </c>
      <c r="Q261" s="635"/>
      <c r="R261" s="646">
        <v>1428143</v>
      </c>
      <c r="S261" s="626"/>
      <c r="T261" s="626"/>
      <c r="U261" s="626"/>
      <c r="V261" s="696">
        <v>5</v>
      </c>
      <c r="W261" s="696">
        <v>5</v>
      </c>
      <c r="X261" s="696">
        <v>5</v>
      </c>
      <c r="Y261" s="697">
        <v>0</v>
      </c>
      <c r="Z261" s="696">
        <v>4</v>
      </c>
      <c r="AA261" s="696">
        <v>4</v>
      </c>
    </row>
    <row r="262" spans="1:27" ht="15" hidden="1" thickTop="1">
      <c r="A262" s="634">
        <v>22</v>
      </c>
      <c r="B262" s="639"/>
      <c r="C262" s="372"/>
      <c r="D262" s="372"/>
      <c r="E262" s="372"/>
      <c r="F262" s="372"/>
      <c r="G262" s="372"/>
      <c r="H262" s="372"/>
      <c r="I262" s="372"/>
      <c r="J262" s="372"/>
      <c r="K262" s="372"/>
      <c r="L262" s="372"/>
      <c r="M262" s="372"/>
      <c r="N262" s="372"/>
      <c r="O262" s="635"/>
      <c r="P262" s="372"/>
      <c r="Q262" s="372"/>
      <c r="R262" s="372"/>
      <c r="S262" s="626"/>
      <c r="T262" s="626"/>
      <c r="U262" s="626"/>
      <c r="V262" s="697">
        <v>0</v>
      </c>
      <c r="W262" s="697">
        <v>0</v>
      </c>
      <c r="X262" s="697">
        <v>0</v>
      </c>
      <c r="Y262" s="697">
        <v>0</v>
      </c>
      <c r="Z262" s="697">
        <v>0</v>
      </c>
      <c r="AA262" s="697">
        <v>0</v>
      </c>
    </row>
    <row r="263" spans="1:27" hidden="1">
      <c r="A263" s="634">
        <v>23</v>
      </c>
      <c r="B263" s="639"/>
      <c r="C263" s="372"/>
      <c r="D263" s="372"/>
      <c r="E263" s="372"/>
      <c r="F263" s="372"/>
      <c r="G263" s="372"/>
      <c r="H263" s="372"/>
      <c r="I263" s="372"/>
      <c r="J263" s="372"/>
      <c r="K263" s="372"/>
      <c r="L263" s="372"/>
      <c r="M263" s="372"/>
      <c r="N263" s="372"/>
      <c r="O263" s="635"/>
      <c r="P263" s="372"/>
      <c r="Q263" s="372"/>
      <c r="R263" s="372"/>
      <c r="S263" s="626"/>
      <c r="T263" s="626"/>
      <c r="U263" s="626"/>
      <c r="V263" s="697">
        <v>0</v>
      </c>
      <c r="W263" s="697">
        <v>0</v>
      </c>
      <c r="X263" s="697">
        <v>0</v>
      </c>
      <c r="Y263" s="697">
        <v>0</v>
      </c>
      <c r="Z263" s="697">
        <v>0</v>
      </c>
      <c r="AA263" s="697">
        <v>0</v>
      </c>
    </row>
    <row r="264" spans="1:27" hidden="1">
      <c r="A264" s="634">
        <v>24</v>
      </c>
      <c r="B264" s="639"/>
      <c r="C264" s="372"/>
      <c r="D264" s="372"/>
      <c r="E264" s="372"/>
      <c r="F264" s="372"/>
      <c r="G264" s="372"/>
      <c r="H264" s="372"/>
      <c r="I264" s="372"/>
      <c r="J264" s="372"/>
      <c r="K264" s="372"/>
      <c r="L264" s="372"/>
      <c r="M264" s="372"/>
      <c r="N264" s="372"/>
      <c r="O264" s="635"/>
      <c r="P264" s="372"/>
      <c r="Q264" s="372"/>
      <c r="R264" s="372"/>
      <c r="S264" s="626"/>
      <c r="T264" s="626"/>
      <c r="U264" s="626"/>
      <c r="V264" s="697">
        <v>0</v>
      </c>
      <c r="W264" s="697">
        <v>0</v>
      </c>
      <c r="X264" s="697">
        <v>0</v>
      </c>
      <c r="Y264" s="697">
        <v>0</v>
      </c>
      <c r="Z264" s="697">
        <v>0</v>
      </c>
      <c r="AA264" s="697">
        <v>0</v>
      </c>
    </row>
    <row r="265" spans="1:27" hidden="1">
      <c r="A265" s="634">
        <v>25</v>
      </c>
      <c r="B265" s="639"/>
      <c r="C265" s="372"/>
      <c r="D265" s="372" t="s">
        <v>695</v>
      </c>
      <c r="E265" s="372"/>
      <c r="F265" s="372"/>
      <c r="G265" s="372"/>
      <c r="H265" s="372"/>
      <c r="I265" s="372"/>
      <c r="J265" s="372"/>
      <c r="K265" s="372"/>
      <c r="L265" s="372"/>
      <c r="M265" s="372"/>
      <c r="N265" s="372"/>
      <c r="O265" s="635"/>
      <c r="P265" s="372"/>
      <c r="Q265" s="372"/>
      <c r="R265" s="372"/>
      <c r="S265" s="626"/>
      <c r="T265" s="626"/>
      <c r="U265" s="626"/>
      <c r="V265" s="697">
        <v>0</v>
      </c>
      <c r="W265" s="697">
        <v>0</v>
      </c>
      <c r="X265" s="697">
        <v>0</v>
      </c>
      <c r="Y265" s="697">
        <v>0</v>
      </c>
      <c r="Z265" s="697">
        <v>0</v>
      </c>
      <c r="AA265" s="697">
        <v>0</v>
      </c>
    </row>
    <row r="266" spans="1:27" hidden="1">
      <c r="A266" s="634">
        <v>26</v>
      </c>
      <c r="B266" s="644"/>
      <c r="C266" s="372"/>
      <c r="D266" s="636" t="s">
        <v>696</v>
      </c>
      <c r="E266" s="372"/>
      <c r="F266" s="372"/>
      <c r="G266" s="372"/>
      <c r="H266" s="372"/>
      <c r="I266" s="635"/>
      <c r="J266" s="635"/>
      <c r="K266" s="635"/>
      <c r="L266" s="635"/>
      <c r="M266" s="635"/>
      <c r="N266" s="635"/>
      <c r="O266" s="635"/>
      <c r="P266" s="635"/>
      <c r="Q266" s="635"/>
      <c r="R266" s="635"/>
      <c r="S266" s="626"/>
      <c r="T266" s="626"/>
      <c r="U266" s="626"/>
      <c r="V266" s="697">
        <v>0</v>
      </c>
      <c r="W266" s="697">
        <v>0</v>
      </c>
      <c r="X266" s="697">
        <v>0</v>
      </c>
      <c r="Y266" s="697">
        <v>0</v>
      </c>
      <c r="Z266" s="697">
        <v>0</v>
      </c>
      <c r="AA266" s="697">
        <v>0</v>
      </c>
    </row>
    <row r="267" spans="1:27" hidden="1">
      <c r="A267" s="634">
        <v>27</v>
      </c>
      <c r="B267" s="644"/>
      <c r="C267" s="634">
        <v>34130</v>
      </c>
      <c r="D267" s="372" t="s">
        <v>627</v>
      </c>
      <c r="E267" s="372"/>
      <c r="F267" s="634">
        <v>3.4</v>
      </c>
      <c r="G267" s="635"/>
      <c r="H267" s="640">
        <v>89132</v>
      </c>
      <c r="I267" s="635"/>
      <c r="J267" s="640">
        <v>16652</v>
      </c>
      <c r="K267" s="372"/>
      <c r="L267" s="634">
        <v>-987</v>
      </c>
      <c r="M267" s="372"/>
      <c r="N267" s="634" t="s">
        <v>628</v>
      </c>
      <c r="O267" s="635"/>
      <c r="P267" s="640">
        <v>104796</v>
      </c>
      <c r="Q267" s="372"/>
      <c r="R267" s="640">
        <v>99249</v>
      </c>
      <c r="S267" s="626"/>
      <c r="T267" s="626"/>
      <c r="U267" s="626"/>
      <c r="V267" s="696">
        <v>5</v>
      </c>
      <c r="W267" s="696">
        <v>5</v>
      </c>
      <c r="X267" s="696">
        <v>5</v>
      </c>
      <c r="Y267" s="697">
        <v>0</v>
      </c>
      <c r="Z267" s="696">
        <v>5</v>
      </c>
      <c r="AA267" s="696">
        <v>5</v>
      </c>
    </row>
    <row r="268" spans="1:27" hidden="1">
      <c r="A268" s="634">
        <v>28</v>
      </c>
      <c r="B268" s="644"/>
      <c r="C268" s="634">
        <v>34230</v>
      </c>
      <c r="D268" s="372" t="s">
        <v>666</v>
      </c>
      <c r="E268" s="372"/>
      <c r="F268" s="634">
        <v>3</v>
      </c>
      <c r="G268" s="635"/>
      <c r="H268" s="640">
        <v>24408</v>
      </c>
      <c r="I268" s="635"/>
      <c r="J268" s="634">
        <v>86</v>
      </c>
      <c r="K268" s="372"/>
      <c r="L268" s="634">
        <v>-78</v>
      </c>
      <c r="M268" s="372"/>
      <c r="N268" s="634" t="s">
        <v>628</v>
      </c>
      <c r="O268" s="635"/>
      <c r="P268" s="640">
        <v>24416</v>
      </c>
      <c r="Q268" s="372"/>
      <c r="R268" s="640">
        <v>24425</v>
      </c>
      <c r="S268" s="626"/>
      <c r="T268" s="626"/>
      <c r="U268" s="626"/>
      <c r="V268" s="696">
        <v>4</v>
      </c>
      <c r="W268" s="696">
        <v>5</v>
      </c>
      <c r="X268" s="696">
        <v>5</v>
      </c>
      <c r="Y268" s="697">
        <v>0</v>
      </c>
      <c r="Z268" s="696">
        <v>5</v>
      </c>
      <c r="AA268" s="696">
        <v>5</v>
      </c>
    </row>
    <row r="269" spans="1:27" hidden="1">
      <c r="A269" s="634">
        <v>29</v>
      </c>
      <c r="B269" s="639"/>
      <c r="C269" s="634">
        <v>34330</v>
      </c>
      <c r="D269" s="372" t="s">
        <v>667</v>
      </c>
      <c r="E269" s="372"/>
      <c r="F269" s="634">
        <v>5.5</v>
      </c>
      <c r="G269" s="635"/>
      <c r="H269" s="640">
        <v>38779</v>
      </c>
      <c r="I269" s="635"/>
      <c r="J269" s="634">
        <v>817</v>
      </c>
      <c r="K269" s="372"/>
      <c r="L269" s="634">
        <v>-166</v>
      </c>
      <c r="M269" s="372"/>
      <c r="N269" s="634" t="s">
        <v>628</v>
      </c>
      <c r="O269" s="635"/>
      <c r="P269" s="640">
        <v>39430</v>
      </c>
      <c r="Q269" s="372"/>
      <c r="R269" s="640">
        <v>38882</v>
      </c>
      <c r="S269" s="626"/>
      <c r="T269" s="626"/>
      <c r="U269" s="626"/>
      <c r="V269" s="696">
        <v>5</v>
      </c>
      <c r="W269" s="696">
        <v>5</v>
      </c>
      <c r="X269" s="696">
        <v>5</v>
      </c>
      <c r="Y269" s="697">
        <v>0</v>
      </c>
      <c r="Z269" s="696">
        <v>5</v>
      </c>
      <c r="AA269" s="696">
        <v>5</v>
      </c>
    </row>
    <row r="270" spans="1:27" hidden="1">
      <c r="A270" s="634">
        <v>30</v>
      </c>
      <c r="B270" s="639"/>
      <c r="C270" s="634">
        <v>34530</v>
      </c>
      <c r="D270" s="372" t="s">
        <v>631</v>
      </c>
      <c r="E270" s="372"/>
      <c r="F270" s="634">
        <v>3.3</v>
      </c>
      <c r="G270" s="635"/>
      <c r="H270" s="640">
        <v>31440</v>
      </c>
      <c r="I270" s="635"/>
      <c r="J270" s="640">
        <v>3944</v>
      </c>
      <c r="K270" s="372"/>
      <c r="L270" s="640">
        <v>-2525</v>
      </c>
      <c r="M270" s="372"/>
      <c r="N270" s="634" t="s">
        <v>628</v>
      </c>
      <c r="O270" s="635"/>
      <c r="P270" s="640">
        <v>32859</v>
      </c>
      <c r="Q270" s="372"/>
      <c r="R270" s="640">
        <v>29920</v>
      </c>
      <c r="S270" s="626"/>
      <c r="T270" s="626"/>
      <c r="U270" s="626"/>
      <c r="V270" s="696">
        <v>5</v>
      </c>
      <c r="W270" s="696">
        <v>5</v>
      </c>
      <c r="X270" s="696">
        <v>5</v>
      </c>
      <c r="Y270" s="697">
        <v>0</v>
      </c>
      <c r="Z270" s="696">
        <v>5</v>
      </c>
      <c r="AA270" s="696">
        <v>5</v>
      </c>
    </row>
    <row r="271" spans="1:27" hidden="1">
      <c r="A271" s="634">
        <v>31</v>
      </c>
      <c r="B271" s="639"/>
      <c r="C271" s="634">
        <v>34630</v>
      </c>
      <c r="D271" s="372" t="s">
        <v>632</v>
      </c>
      <c r="E271" s="372"/>
      <c r="F271" s="634">
        <v>4</v>
      </c>
      <c r="G271" s="635"/>
      <c r="H271" s="640">
        <v>11279</v>
      </c>
      <c r="I271" s="635"/>
      <c r="J271" s="634">
        <v>237</v>
      </c>
      <c r="K271" s="372"/>
      <c r="L271" s="634">
        <v>-24</v>
      </c>
      <c r="M271" s="372"/>
      <c r="N271" s="634" t="s">
        <v>628</v>
      </c>
      <c r="O271" s="635"/>
      <c r="P271" s="640">
        <v>11492</v>
      </c>
      <c r="Q271" s="372"/>
      <c r="R271" s="640">
        <v>11330</v>
      </c>
      <c r="S271" s="626"/>
      <c r="T271" s="626"/>
      <c r="U271" s="626"/>
      <c r="V271" s="696">
        <v>5</v>
      </c>
      <c r="W271" s="696">
        <v>5</v>
      </c>
      <c r="X271" s="696">
        <v>3</v>
      </c>
      <c r="Y271" s="697">
        <v>0</v>
      </c>
      <c r="Z271" s="696">
        <v>5</v>
      </c>
      <c r="AA271" s="696">
        <v>5</v>
      </c>
    </row>
    <row r="272" spans="1:27" hidden="1">
      <c r="A272" s="634">
        <v>32</v>
      </c>
      <c r="B272" s="639"/>
      <c r="C272" s="634"/>
      <c r="D272" s="636" t="s">
        <v>697</v>
      </c>
      <c r="E272" s="372"/>
      <c r="F272" s="372"/>
      <c r="G272" s="372"/>
      <c r="H272" s="642">
        <v>195039</v>
      </c>
      <c r="I272" s="635"/>
      <c r="J272" s="642">
        <v>21736</v>
      </c>
      <c r="K272" s="635"/>
      <c r="L272" s="642">
        <v>-3782</v>
      </c>
      <c r="M272" s="635"/>
      <c r="N272" s="643" t="s">
        <v>628</v>
      </c>
      <c r="O272" s="635"/>
      <c r="P272" s="642">
        <v>212993</v>
      </c>
      <c r="Q272" s="635"/>
      <c r="R272" s="642">
        <v>203806</v>
      </c>
      <c r="S272" s="626"/>
      <c r="T272" s="626"/>
      <c r="U272" s="626"/>
      <c r="V272" s="696">
        <v>5</v>
      </c>
      <c r="W272" s="696">
        <v>5</v>
      </c>
      <c r="X272" s="696">
        <v>5</v>
      </c>
      <c r="Y272" s="697">
        <v>0</v>
      </c>
      <c r="Z272" s="696">
        <v>5</v>
      </c>
      <c r="AA272" s="696">
        <v>5</v>
      </c>
    </row>
    <row r="273" spans="1:27" hidden="1">
      <c r="A273" s="634">
        <v>33</v>
      </c>
      <c r="B273" s="639"/>
      <c r="C273" s="372"/>
      <c r="D273" s="372"/>
      <c r="E273" s="372"/>
      <c r="F273" s="372"/>
      <c r="G273" s="372"/>
      <c r="H273" s="372"/>
      <c r="I273" s="372"/>
      <c r="J273" s="372"/>
      <c r="K273" s="372"/>
      <c r="L273" s="372"/>
      <c r="M273" s="372"/>
      <c r="N273" s="372"/>
      <c r="O273" s="635"/>
      <c r="P273" s="372"/>
      <c r="Q273" s="372"/>
      <c r="R273" s="372"/>
      <c r="S273" s="626"/>
      <c r="T273" s="626"/>
      <c r="U273" s="626"/>
      <c r="V273" s="697">
        <v>0</v>
      </c>
      <c r="W273" s="697">
        <v>0</v>
      </c>
      <c r="X273" s="697">
        <v>0</v>
      </c>
      <c r="Y273" s="697">
        <v>0</v>
      </c>
      <c r="Z273" s="697">
        <v>0</v>
      </c>
      <c r="AA273" s="697">
        <v>0</v>
      </c>
    </row>
    <row r="274" spans="1:27" hidden="1">
      <c r="A274" s="634">
        <v>34</v>
      </c>
      <c r="B274" s="372"/>
      <c r="C274" s="372"/>
      <c r="D274" s="636" t="s">
        <v>698</v>
      </c>
      <c r="E274" s="372"/>
      <c r="F274" s="372"/>
      <c r="G274" s="658">
        <f>'B-7'!R951+'B-7'!A1033</f>
        <v>5716457</v>
      </c>
      <c r="H274" s="372"/>
      <c r="I274" s="372"/>
      <c r="J274" s="372"/>
      <c r="K274" s="372"/>
      <c r="L274" s="372"/>
      <c r="M274" s="372"/>
      <c r="N274" s="372"/>
      <c r="O274" s="635"/>
      <c r="P274" s="372"/>
      <c r="Q274" s="372"/>
      <c r="R274" s="372"/>
      <c r="S274" s="626"/>
      <c r="T274" s="626"/>
      <c r="U274" s="626"/>
      <c r="V274" s="697">
        <v>0</v>
      </c>
      <c r="W274" s="697">
        <v>0</v>
      </c>
      <c r="X274" s="697">
        <v>0</v>
      </c>
      <c r="Y274" s="697">
        <v>0</v>
      </c>
      <c r="Z274" s="697">
        <v>0</v>
      </c>
      <c r="AA274" s="697">
        <v>0</v>
      </c>
    </row>
    <row r="275" spans="1:27" hidden="1">
      <c r="A275" s="634">
        <v>35</v>
      </c>
      <c r="B275" s="372"/>
      <c r="C275" s="634">
        <v>34131</v>
      </c>
      <c r="D275" s="372" t="s">
        <v>627</v>
      </c>
      <c r="E275" s="372"/>
      <c r="F275" s="634">
        <v>3.6</v>
      </c>
      <c r="G275" s="635"/>
      <c r="H275" s="640">
        <v>21359</v>
      </c>
      <c r="I275" s="635"/>
      <c r="J275" s="634">
        <v>114</v>
      </c>
      <c r="K275" s="372"/>
      <c r="L275" s="634">
        <v>-219</v>
      </c>
      <c r="M275" s="372"/>
      <c r="N275" s="634" t="s">
        <v>628</v>
      </c>
      <c r="O275" s="635"/>
      <c r="P275" s="640">
        <v>21253</v>
      </c>
      <c r="Q275" s="372"/>
      <c r="R275" s="640">
        <v>21319</v>
      </c>
      <c r="S275" s="626"/>
      <c r="T275" s="626"/>
      <c r="U275" s="626"/>
      <c r="V275" s="696">
        <v>5</v>
      </c>
      <c r="W275" s="696">
        <v>5</v>
      </c>
      <c r="X275" s="696">
        <v>5</v>
      </c>
      <c r="Y275" s="697">
        <v>0</v>
      </c>
      <c r="Z275" s="696">
        <v>5</v>
      </c>
      <c r="AA275" s="696">
        <v>5</v>
      </c>
    </row>
    <row r="276" spans="1:27" hidden="1">
      <c r="A276" s="634">
        <v>36</v>
      </c>
      <c r="B276" s="372"/>
      <c r="C276" s="634">
        <v>34231</v>
      </c>
      <c r="D276" s="372" t="s">
        <v>666</v>
      </c>
      <c r="E276" s="372"/>
      <c r="F276" s="634">
        <v>4</v>
      </c>
      <c r="G276" s="635"/>
      <c r="H276" s="640">
        <v>80800</v>
      </c>
      <c r="I276" s="635"/>
      <c r="J276" s="640">
        <v>3170</v>
      </c>
      <c r="K276" s="372"/>
      <c r="L276" s="640">
        <v>-1214</v>
      </c>
      <c r="M276" s="372"/>
      <c r="N276" s="634" t="s">
        <v>628</v>
      </c>
      <c r="O276" s="635"/>
      <c r="P276" s="640">
        <v>82756</v>
      </c>
      <c r="Q276" s="372"/>
      <c r="R276" s="640">
        <v>82349</v>
      </c>
      <c r="S276" s="626"/>
      <c r="T276" s="626"/>
      <c r="U276" s="626"/>
      <c r="V276" s="696">
        <v>5</v>
      </c>
      <c r="W276" s="696">
        <v>5</v>
      </c>
      <c r="X276" s="696">
        <v>5</v>
      </c>
      <c r="Y276" s="697">
        <v>0</v>
      </c>
      <c r="Z276" s="696">
        <v>5</v>
      </c>
      <c r="AA276" s="696">
        <v>5</v>
      </c>
    </row>
    <row r="277" spans="1:27" hidden="1">
      <c r="A277" s="634">
        <v>37</v>
      </c>
      <c r="B277" s="372"/>
      <c r="C277" s="634">
        <v>34331</v>
      </c>
      <c r="D277" s="372" t="s">
        <v>667</v>
      </c>
      <c r="E277" s="372"/>
      <c r="F277" s="634">
        <v>6.1</v>
      </c>
      <c r="G277" s="635"/>
      <c r="H277" s="640">
        <v>215048</v>
      </c>
      <c r="I277" s="635"/>
      <c r="J277" s="640">
        <v>37739</v>
      </c>
      <c r="K277" s="372"/>
      <c r="L277" s="640">
        <v>-3537</v>
      </c>
      <c r="M277" s="372"/>
      <c r="N277" s="634" t="s">
        <v>628</v>
      </c>
      <c r="O277" s="635"/>
      <c r="P277" s="640">
        <v>249250</v>
      </c>
      <c r="Q277" s="372"/>
      <c r="R277" s="640">
        <v>241404</v>
      </c>
      <c r="S277" s="626"/>
      <c r="T277" s="626"/>
      <c r="U277" s="626"/>
      <c r="V277" s="696">
        <v>5</v>
      </c>
      <c r="W277" s="696">
        <v>5</v>
      </c>
      <c r="X277" s="696">
        <v>5</v>
      </c>
      <c r="Y277" s="697">
        <v>0</v>
      </c>
      <c r="Z277" s="696">
        <v>4</v>
      </c>
      <c r="AA277" s="696">
        <v>4</v>
      </c>
    </row>
    <row r="278" spans="1:27" hidden="1">
      <c r="A278" s="634">
        <v>38</v>
      </c>
      <c r="B278" s="372"/>
      <c r="C278" s="634">
        <v>34531</v>
      </c>
      <c r="D278" s="372" t="s">
        <v>631</v>
      </c>
      <c r="E278" s="372"/>
      <c r="F278" s="634">
        <v>4.0999999999999996</v>
      </c>
      <c r="G278" s="635"/>
      <c r="H278" s="640">
        <v>39226</v>
      </c>
      <c r="I278" s="635"/>
      <c r="J278" s="640">
        <v>1434</v>
      </c>
      <c r="K278" s="372"/>
      <c r="L278" s="634">
        <v>-58</v>
      </c>
      <c r="M278" s="372"/>
      <c r="N278" s="634" t="s">
        <v>628</v>
      </c>
      <c r="O278" s="635"/>
      <c r="P278" s="640">
        <v>40602</v>
      </c>
      <c r="Q278" s="372"/>
      <c r="R278" s="640">
        <v>39499</v>
      </c>
      <c r="S278" s="626"/>
      <c r="T278" s="626"/>
      <c r="U278" s="626"/>
      <c r="V278" s="696">
        <v>4</v>
      </c>
      <c r="W278" s="696">
        <v>4</v>
      </c>
      <c r="X278" s="696">
        <v>3</v>
      </c>
      <c r="Y278" s="697">
        <v>0</v>
      </c>
      <c r="Z278" s="696">
        <v>4</v>
      </c>
      <c r="AA278" s="696">
        <v>5</v>
      </c>
    </row>
    <row r="279" spans="1:27" hidden="1">
      <c r="A279" s="634">
        <v>39</v>
      </c>
      <c r="B279" s="372"/>
      <c r="C279" s="634">
        <v>34631</v>
      </c>
      <c r="D279" s="372" t="s">
        <v>632</v>
      </c>
      <c r="E279" s="372"/>
      <c r="F279" s="634">
        <v>3.2</v>
      </c>
      <c r="G279" s="635"/>
      <c r="H279" s="640">
        <v>1176</v>
      </c>
      <c r="I279" s="635"/>
      <c r="J279" s="634" t="s">
        <v>635</v>
      </c>
      <c r="K279" s="372"/>
      <c r="L279" s="634" t="s">
        <v>635</v>
      </c>
      <c r="M279" s="372"/>
      <c r="N279" s="634" t="s">
        <v>635</v>
      </c>
      <c r="O279" s="635"/>
      <c r="P279" s="640">
        <v>1176</v>
      </c>
      <c r="Q279" s="372"/>
      <c r="R279" s="640">
        <v>1176</v>
      </c>
      <c r="S279" s="626"/>
      <c r="T279" s="626"/>
      <c r="U279" s="626"/>
      <c r="V279" s="696">
        <v>5</v>
      </c>
      <c r="W279" s="697">
        <v>0</v>
      </c>
      <c r="X279" s="697">
        <v>0</v>
      </c>
      <c r="Y279" s="697">
        <v>0</v>
      </c>
      <c r="Z279" s="696">
        <v>5</v>
      </c>
      <c r="AA279" s="696">
        <v>5</v>
      </c>
    </row>
    <row r="280" spans="1:27" hidden="1">
      <c r="A280" s="634">
        <v>40</v>
      </c>
      <c r="B280" s="372"/>
      <c r="C280" s="372"/>
      <c r="D280" s="636" t="s">
        <v>699</v>
      </c>
      <c r="E280" s="372"/>
      <c r="F280" s="372"/>
      <c r="G280" s="372"/>
      <c r="H280" s="642">
        <v>357608</v>
      </c>
      <c r="I280" s="635"/>
      <c r="J280" s="642">
        <v>42457</v>
      </c>
      <c r="K280" s="635"/>
      <c r="L280" s="642">
        <v>-5028</v>
      </c>
      <c r="M280" s="635"/>
      <c r="N280" s="643" t="s">
        <v>628</v>
      </c>
      <c r="O280" s="635"/>
      <c r="P280" s="642">
        <v>395037</v>
      </c>
      <c r="Q280" s="635"/>
      <c r="R280" s="642">
        <v>385748</v>
      </c>
      <c r="S280" s="626"/>
      <c r="T280" s="626"/>
      <c r="U280" s="626"/>
      <c r="V280" s="696">
        <v>5</v>
      </c>
      <c r="W280" s="696">
        <v>5</v>
      </c>
      <c r="X280" s="696">
        <v>5</v>
      </c>
      <c r="Y280" s="697">
        <v>0</v>
      </c>
      <c r="Z280" s="696">
        <v>5</v>
      </c>
      <c r="AA280" s="696">
        <v>5</v>
      </c>
    </row>
    <row r="281" spans="1:27" hidden="1">
      <c r="A281" s="634">
        <v>41</v>
      </c>
      <c r="B281" s="372"/>
      <c r="C281" s="372"/>
      <c r="D281" s="372"/>
      <c r="E281" s="372"/>
      <c r="F281" s="372"/>
      <c r="G281" s="372"/>
      <c r="H281" s="372"/>
      <c r="I281" s="372"/>
      <c r="J281" s="372"/>
      <c r="K281" s="372"/>
      <c r="L281" s="372"/>
      <c r="M281" s="372"/>
      <c r="N281" s="372"/>
      <c r="O281" s="635"/>
      <c r="P281" s="372"/>
      <c r="Q281" s="372"/>
      <c r="R281" s="372"/>
      <c r="S281" s="626"/>
      <c r="T281" s="626"/>
      <c r="U281" s="626"/>
      <c r="V281" s="697">
        <v>0</v>
      </c>
      <c r="W281" s="697">
        <v>0</v>
      </c>
      <c r="X281" s="697">
        <v>0</v>
      </c>
      <c r="Y281" s="697">
        <v>0</v>
      </c>
      <c r="Z281" s="697">
        <v>0</v>
      </c>
      <c r="AA281" s="697">
        <v>0</v>
      </c>
    </row>
    <row r="282" spans="1:27" hidden="1">
      <c r="A282" s="634">
        <v>42</v>
      </c>
      <c r="B282" s="372"/>
      <c r="C282" s="372"/>
      <c r="D282" s="372"/>
      <c r="E282" s="372"/>
      <c r="F282" s="372"/>
      <c r="G282" s="372"/>
      <c r="H282" s="372"/>
      <c r="I282" s="372"/>
      <c r="J282" s="372"/>
      <c r="K282" s="372"/>
      <c r="L282" s="372"/>
      <c r="M282" s="372"/>
      <c r="N282" s="372"/>
      <c r="O282" s="635"/>
      <c r="P282" s="372"/>
      <c r="Q282" s="372"/>
      <c r="R282" s="372"/>
      <c r="S282" s="626"/>
      <c r="T282" s="626"/>
      <c r="U282" s="626"/>
      <c r="V282" s="697">
        <v>0</v>
      </c>
      <c r="W282" s="697">
        <v>0</v>
      </c>
      <c r="X282" s="697">
        <v>0</v>
      </c>
      <c r="Y282" s="697">
        <v>0</v>
      </c>
      <c r="Z282" s="697">
        <v>0</v>
      </c>
      <c r="AA282" s="697">
        <v>0</v>
      </c>
    </row>
    <row r="283" spans="1:27" hidden="1">
      <c r="A283" s="634">
        <v>43</v>
      </c>
      <c r="B283" s="372"/>
      <c r="C283" s="372"/>
      <c r="D283" s="372"/>
      <c r="E283" s="372"/>
      <c r="F283" s="372"/>
      <c r="G283" s="372"/>
      <c r="H283" s="372"/>
      <c r="I283" s="372"/>
      <c r="J283" s="372"/>
      <c r="K283" s="372"/>
      <c r="L283" s="372"/>
      <c r="M283" s="372"/>
      <c r="N283" s="372"/>
      <c r="O283" s="635"/>
      <c r="P283" s="372"/>
      <c r="Q283" s="372"/>
      <c r="R283" s="372"/>
      <c r="S283" s="626"/>
      <c r="T283" s="626"/>
      <c r="U283" s="626"/>
      <c r="V283" s="697">
        <v>0</v>
      </c>
      <c r="W283" s="697">
        <v>0</v>
      </c>
      <c r="X283" s="697">
        <v>0</v>
      </c>
      <c r="Y283" s="697">
        <v>0</v>
      </c>
      <c r="Z283" s="697">
        <v>0</v>
      </c>
      <c r="AA283" s="697">
        <v>0</v>
      </c>
    </row>
    <row r="284" spans="1:27" ht="15" hidden="1" thickBot="1">
      <c r="A284" s="637">
        <v>44</v>
      </c>
      <c r="B284" s="660" t="s">
        <v>67</v>
      </c>
      <c r="C284" s="660"/>
      <c r="D284" s="625"/>
      <c r="E284" s="625"/>
      <c r="F284" s="625"/>
      <c r="G284" s="625"/>
      <c r="H284" s="625"/>
      <c r="I284" s="625"/>
      <c r="J284" s="625"/>
      <c r="K284" s="625"/>
      <c r="L284" s="625"/>
      <c r="M284" s="625"/>
      <c r="N284" s="625"/>
      <c r="O284" s="638"/>
      <c r="P284" s="625"/>
      <c r="Q284" s="625"/>
      <c r="R284" s="625"/>
      <c r="S284" s="626"/>
      <c r="T284" s="626"/>
      <c r="U284" s="626"/>
      <c r="V284" s="697">
        <v>0</v>
      </c>
      <c r="W284" s="697">
        <v>0</v>
      </c>
      <c r="X284" s="697">
        <v>0</v>
      </c>
      <c r="Y284" s="697">
        <v>0</v>
      </c>
      <c r="Z284" s="697">
        <v>0</v>
      </c>
      <c r="AA284" s="697">
        <v>0</v>
      </c>
    </row>
    <row r="285" spans="1:27" hidden="1">
      <c r="A285" s="664" t="s">
        <v>643</v>
      </c>
      <c r="B285" s="664"/>
      <c r="C285" s="372"/>
      <c r="D285" s="372"/>
      <c r="E285" s="664"/>
      <c r="F285" s="664"/>
      <c r="G285" s="664"/>
      <c r="H285" s="664"/>
      <c r="I285" s="664"/>
      <c r="J285" s="664"/>
      <c r="K285" s="664"/>
      <c r="L285" s="664"/>
      <c r="M285" s="664"/>
      <c r="N285" s="664"/>
      <c r="O285" s="635"/>
      <c r="P285" s="372" t="s">
        <v>644</v>
      </c>
      <c r="Q285" s="664"/>
      <c r="R285" s="664"/>
      <c r="S285" s="626"/>
      <c r="T285" s="626"/>
      <c r="U285" s="626"/>
      <c r="V285" s="697">
        <v>0</v>
      </c>
      <c r="W285" s="697">
        <v>0</v>
      </c>
      <c r="X285" s="697">
        <v>0</v>
      </c>
      <c r="Y285" s="697">
        <v>0</v>
      </c>
      <c r="Z285" s="697">
        <v>0</v>
      </c>
      <c r="AA285" s="697">
        <v>0</v>
      </c>
    </row>
    <row r="286" spans="1:27" ht="15" hidden="1" thickBot="1">
      <c r="A286" s="625" t="s">
        <v>604</v>
      </c>
      <c r="B286" s="625"/>
      <c r="C286" s="625"/>
      <c r="D286" s="625"/>
      <c r="E286" s="625"/>
      <c r="F286" s="625"/>
      <c r="G286" s="625" t="s">
        <v>605</v>
      </c>
      <c r="H286" s="625"/>
      <c r="I286" s="625"/>
      <c r="J286" s="625"/>
      <c r="K286" s="625"/>
      <c r="L286" s="625"/>
      <c r="M286" s="625"/>
      <c r="N286" s="625"/>
      <c r="O286" s="638"/>
      <c r="P286" s="625"/>
      <c r="Q286" s="625"/>
      <c r="R286" s="625" t="s">
        <v>700</v>
      </c>
      <c r="S286" s="626"/>
      <c r="T286" s="626"/>
      <c r="U286" s="626"/>
      <c r="V286" s="697">
        <v>0</v>
      </c>
      <c r="W286" s="697">
        <v>0</v>
      </c>
      <c r="X286" s="697">
        <v>0</v>
      </c>
      <c r="Y286" s="697">
        <v>0</v>
      </c>
      <c r="Z286" s="697">
        <v>0</v>
      </c>
      <c r="AA286" s="697">
        <v>0</v>
      </c>
    </row>
    <row r="287" spans="1:27" hidden="1">
      <c r="A287" s="664" t="s">
        <v>4</v>
      </c>
      <c r="B287" s="664"/>
      <c r="C287" s="372"/>
      <c r="D287" s="372"/>
      <c r="E287" s="635" t="s">
        <v>553</v>
      </c>
      <c r="F287" s="372" t="s">
        <v>607</v>
      </c>
      <c r="G287" s="664"/>
      <c r="H287" s="664"/>
      <c r="I287" s="664"/>
      <c r="J287" s="664"/>
      <c r="K287" s="661"/>
      <c r="L287" s="661"/>
      <c r="M287" s="661"/>
      <c r="N287" s="661"/>
      <c r="O287" s="645"/>
      <c r="P287" s="372" t="s">
        <v>608</v>
      </c>
      <c r="Q287" s="664"/>
      <c r="R287" s="664"/>
      <c r="S287" s="626"/>
      <c r="T287" s="626"/>
      <c r="U287" s="626"/>
      <c r="V287" s="697">
        <v>0</v>
      </c>
      <c r="W287" s="697">
        <v>0</v>
      </c>
      <c r="X287" s="697">
        <v>0</v>
      </c>
      <c r="Y287" s="697">
        <v>0</v>
      </c>
      <c r="Z287" s="697">
        <v>0</v>
      </c>
      <c r="AA287" s="697">
        <v>0</v>
      </c>
    </row>
    <row r="288" spans="1:27" hidden="1">
      <c r="A288" s="372"/>
      <c r="B288" s="372"/>
      <c r="C288" s="372"/>
      <c r="D288" s="372"/>
      <c r="E288" s="372"/>
      <c r="F288" s="372" t="s">
        <v>609</v>
      </c>
      <c r="G288" s="372"/>
      <c r="H288" s="372"/>
      <c r="I288" s="372"/>
      <c r="J288" s="372"/>
      <c r="K288" s="636"/>
      <c r="L288" s="636"/>
      <c r="M288" s="372"/>
      <c r="N288" s="372"/>
      <c r="O288" s="635"/>
      <c r="P288" s="636" t="s">
        <v>9</v>
      </c>
      <c r="Q288" s="372"/>
      <c r="R288" s="372"/>
      <c r="S288" s="626"/>
      <c r="T288" s="626"/>
      <c r="U288" s="626"/>
      <c r="V288" s="697">
        <v>0</v>
      </c>
      <c r="W288" s="697">
        <v>0</v>
      </c>
      <c r="X288" s="697">
        <v>0</v>
      </c>
      <c r="Y288" s="697">
        <v>0</v>
      </c>
      <c r="Z288" s="697">
        <v>0</v>
      </c>
      <c r="AA288" s="697">
        <v>0</v>
      </c>
    </row>
    <row r="289" spans="1:27" hidden="1">
      <c r="A289" s="372" t="s">
        <v>10</v>
      </c>
      <c r="B289" s="372"/>
      <c r="C289" s="372"/>
      <c r="D289" s="372"/>
      <c r="E289" s="372"/>
      <c r="F289" s="372"/>
      <c r="G289" s="372"/>
      <c r="H289" s="372"/>
      <c r="I289" s="372"/>
      <c r="J289" s="372"/>
      <c r="K289" s="636"/>
      <c r="L289" s="636"/>
      <c r="M289" s="372"/>
      <c r="N289" s="372"/>
      <c r="O289" s="635"/>
      <c r="P289" s="636" t="s">
        <v>11</v>
      </c>
      <c r="Q289" s="372"/>
      <c r="R289" s="372"/>
      <c r="S289" s="626"/>
      <c r="T289" s="626"/>
      <c r="U289" s="626"/>
      <c r="V289" s="697">
        <v>0</v>
      </c>
      <c r="W289" s="697">
        <v>0</v>
      </c>
      <c r="X289" s="697">
        <v>0</v>
      </c>
      <c r="Y289" s="697">
        <v>0</v>
      </c>
      <c r="Z289" s="697">
        <v>0</v>
      </c>
      <c r="AA289" s="697">
        <v>0</v>
      </c>
    </row>
    <row r="290" spans="1:27" hidden="1">
      <c r="A290" s="372"/>
      <c r="B290" s="372"/>
      <c r="C290" s="372"/>
      <c r="D290" s="372"/>
      <c r="E290" s="372"/>
      <c r="F290" s="372"/>
      <c r="G290" s="372"/>
      <c r="H290" s="372"/>
      <c r="I290" s="372"/>
      <c r="J290" s="372"/>
      <c r="K290" s="636"/>
      <c r="L290" s="636"/>
      <c r="M290" s="372"/>
      <c r="N290" s="372"/>
      <c r="O290" s="635" t="s">
        <v>12</v>
      </c>
      <c r="P290" s="636" t="s">
        <v>13</v>
      </c>
      <c r="Q290" s="372"/>
      <c r="R290" s="372"/>
      <c r="S290" s="626"/>
      <c r="T290" s="626"/>
      <c r="U290" s="626"/>
      <c r="V290" s="697">
        <v>0</v>
      </c>
      <c r="W290" s="697">
        <v>0</v>
      </c>
      <c r="X290" s="697">
        <v>0</v>
      </c>
      <c r="Y290" s="697">
        <v>0</v>
      </c>
      <c r="Z290" s="697">
        <v>0</v>
      </c>
      <c r="AA290" s="697">
        <v>0</v>
      </c>
    </row>
    <row r="291" spans="1:27" hidden="1">
      <c r="A291" s="372"/>
      <c r="B291" s="372"/>
      <c r="C291" s="372"/>
      <c r="D291" s="372"/>
      <c r="E291" s="372"/>
      <c r="F291" s="372"/>
      <c r="G291" s="372"/>
      <c r="H291" s="372"/>
      <c r="I291" s="372"/>
      <c r="J291" s="372"/>
      <c r="K291" s="636"/>
      <c r="L291" s="636"/>
      <c r="M291" s="372"/>
      <c r="N291" s="372"/>
      <c r="O291" s="635"/>
      <c r="P291" s="636" t="s">
        <v>610</v>
      </c>
      <c r="Q291" s="372"/>
      <c r="R291" s="372"/>
      <c r="S291" s="626"/>
      <c r="T291" s="626"/>
      <c r="U291" s="626"/>
      <c r="V291" s="697">
        <v>0</v>
      </c>
      <c r="W291" s="697">
        <v>0</v>
      </c>
      <c r="X291" s="697">
        <v>0</v>
      </c>
      <c r="Y291" s="697">
        <v>0</v>
      </c>
      <c r="Z291" s="697">
        <v>0</v>
      </c>
      <c r="AA291" s="697">
        <v>0</v>
      </c>
    </row>
    <row r="292" spans="1:27" ht="15" hidden="1" thickBot="1">
      <c r="A292" s="625" t="s">
        <v>611</v>
      </c>
      <c r="B292" s="625"/>
      <c r="C292" s="625"/>
      <c r="D292" s="625"/>
      <c r="E292" s="625"/>
      <c r="F292" s="625"/>
      <c r="G292" s="625"/>
      <c r="H292" s="637" t="s">
        <v>612</v>
      </c>
      <c r="I292" s="625"/>
      <c r="J292" s="625"/>
      <c r="K292" s="625"/>
      <c r="L292" s="625"/>
      <c r="M292" s="625"/>
      <c r="N292" s="625"/>
      <c r="O292" s="638"/>
      <c r="P292" s="625" t="s">
        <v>249</v>
      </c>
      <c r="Q292" s="625"/>
      <c r="R292" s="625"/>
      <c r="S292" s="626"/>
      <c r="T292" s="626"/>
      <c r="U292" s="626"/>
      <c r="V292" s="697">
        <v>0</v>
      </c>
      <c r="W292" s="697">
        <v>0</v>
      </c>
      <c r="X292" s="697">
        <v>0</v>
      </c>
      <c r="Y292" s="697">
        <v>0</v>
      </c>
      <c r="Z292" s="697">
        <v>0</v>
      </c>
      <c r="AA292" s="697">
        <v>0</v>
      </c>
    </row>
    <row r="293" spans="1:27" hidden="1">
      <c r="A293" s="664"/>
      <c r="B293" s="664"/>
      <c r="C293" s="634"/>
      <c r="D293" s="634"/>
      <c r="E293" s="634"/>
      <c r="F293" s="634"/>
      <c r="G293" s="634"/>
      <c r="H293" s="634"/>
      <c r="I293" s="634"/>
      <c r="J293" s="634"/>
      <c r="K293" s="634"/>
      <c r="L293" s="634"/>
      <c r="M293" s="634"/>
      <c r="N293" s="634"/>
      <c r="O293" s="635"/>
      <c r="P293" s="634"/>
      <c r="Q293" s="634"/>
      <c r="R293" s="634"/>
      <c r="S293" s="626"/>
      <c r="T293" s="626"/>
      <c r="U293" s="626"/>
      <c r="V293" s="697">
        <v>0</v>
      </c>
      <c r="W293" s="697">
        <v>0</v>
      </c>
      <c r="X293" s="697">
        <v>0</v>
      </c>
      <c r="Y293" s="697">
        <v>0</v>
      </c>
      <c r="Z293" s="697">
        <v>0</v>
      </c>
      <c r="AA293" s="697">
        <v>0</v>
      </c>
    </row>
    <row r="294" spans="1:27" hidden="1">
      <c r="A294" s="372"/>
      <c r="B294" s="372"/>
      <c r="C294" s="634">
        <v>-1</v>
      </c>
      <c r="D294" s="634">
        <v>-2</v>
      </c>
      <c r="E294" s="634"/>
      <c r="F294" s="634">
        <v>-3</v>
      </c>
      <c r="G294" s="634"/>
      <c r="H294" s="634">
        <v>-4</v>
      </c>
      <c r="I294" s="634"/>
      <c r="J294" s="634">
        <v>-5</v>
      </c>
      <c r="K294" s="634"/>
      <c r="L294" s="634">
        <v>-6</v>
      </c>
      <c r="M294" s="634"/>
      <c r="N294" s="634">
        <v>-7</v>
      </c>
      <c r="O294" s="635"/>
      <c r="P294" s="634">
        <v>-8</v>
      </c>
      <c r="Q294" s="634"/>
      <c r="R294" s="634">
        <v>-9</v>
      </c>
      <c r="S294" s="626"/>
      <c r="T294" s="626"/>
      <c r="U294" s="626"/>
      <c r="V294" s="697">
        <v>0</v>
      </c>
      <c r="W294" s="697">
        <v>0</v>
      </c>
      <c r="X294" s="697">
        <v>0</v>
      </c>
      <c r="Y294" s="697">
        <v>0</v>
      </c>
      <c r="Z294" s="697">
        <v>0</v>
      </c>
      <c r="AA294" s="697">
        <v>0</v>
      </c>
    </row>
    <row r="295" spans="1:27" hidden="1">
      <c r="A295" s="372"/>
      <c r="B295" s="372"/>
      <c r="C295" s="634" t="s">
        <v>613</v>
      </c>
      <c r="D295" s="634" t="s">
        <v>613</v>
      </c>
      <c r="E295" s="372"/>
      <c r="F295" s="634" t="s">
        <v>37</v>
      </c>
      <c r="G295" s="634"/>
      <c r="H295" s="634" t="s">
        <v>30</v>
      </c>
      <c r="I295" s="634"/>
      <c r="J295" s="634" t="s">
        <v>45</v>
      </c>
      <c r="K295" s="634"/>
      <c r="L295" s="634" t="s">
        <v>45</v>
      </c>
      <c r="M295" s="634"/>
      <c r="N295" s="372"/>
      <c r="O295" s="635"/>
      <c r="P295" s="634" t="s">
        <v>30</v>
      </c>
      <c r="Q295" s="372"/>
      <c r="R295" s="372"/>
      <c r="S295" s="626"/>
      <c r="T295" s="626"/>
      <c r="U295" s="626"/>
      <c r="V295" s="697">
        <v>0</v>
      </c>
      <c r="W295" s="697">
        <v>0</v>
      </c>
      <c r="X295" s="697">
        <v>0</v>
      </c>
      <c r="Y295" s="697">
        <v>0</v>
      </c>
      <c r="Z295" s="697">
        <v>0</v>
      </c>
      <c r="AA295" s="697">
        <v>0</v>
      </c>
    </row>
    <row r="296" spans="1:27" hidden="1">
      <c r="A296" s="634" t="s">
        <v>35</v>
      </c>
      <c r="B296" s="634"/>
      <c r="C296" s="634" t="s">
        <v>614</v>
      </c>
      <c r="D296" s="634" t="s">
        <v>614</v>
      </c>
      <c r="E296" s="634"/>
      <c r="F296" s="634" t="s">
        <v>615</v>
      </c>
      <c r="G296" s="634"/>
      <c r="H296" s="634" t="s">
        <v>616</v>
      </c>
      <c r="I296" s="634"/>
      <c r="J296" s="634" t="s">
        <v>30</v>
      </c>
      <c r="K296" s="634"/>
      <c r="L296" s="634" t="s">
        <v>30</v>
      </c>
      <c r="M296" s="636"/>
      <c r="N296" s="634" t="s">
        <v>178</v>
      </c>
      <c r="O296" s="635"/>
      <c r="P296" s="634" t="s">
        <v>616</v>
      </c>
      <c r="Q296" s="634"/>
      <c r="R296" s="634" t="s">
        <v>353</v>
      </c>
      <c r="S296" s="626"/>
      <c r="T296" s="626"/>
      <c r="U296" s="626"/>
      <c r="V296" s="697">
        <v>0</v>
      </c>
      <c r="W296" s="697">
        <v>0</v>
      </c>
      <c r="X296" s="697">
        <v>0</v>
      </c>
      <c r="Y296" s="697">
        <v>0</v>
      </c>
      <c r="Z296" s="697">
        <v>0</v>
      </c>
      <c r="AA296" s="697">
        <v>0</v>
      </c>
    </row>
    <row r="297" spans="1:27" ht="15" hidden="1" thickBot="1">
      <c r="A297" s="637" t="s">
        <v>46</v>
      </c>
      <c r="B297" s="637"/>
      <c r="C297" s="637" t="s">
        <v>371</v>
      </c>
      <c r="D297" s="637" t="s">
        <v>617</v>
      </c>
      <c r="E297" s="637"/>
      <c r="F297" s="637" t="s">
        <v>618</v>
      </c>
      <c r="G297" s="637"/>
      <c r="H297" s="637" t="s">
        <v>619</v>
      </c>
      <c r="I297" s="637"/>
      <c r="J297" s="637" t="s">
        <v>620</v>
      </c>
      <c r="K297" s="637"/>
      <c r="L297" s="637" t="s">
        <v>621</v>
      </c>
      <c r="M297" s="637"/>
      <c r="N297" s="637" t="s">
        <v>622</v>
      </c>
      <c r="O297" s="638"/>
      <c r="P297" s="637" t="s">
        <v>623</v>
      </c>
      <c r="Q297" s="637"/>
      <c r="R297" s="637" t="s">
        <v>369</v>
      </c>
      <c r="S297" s="626"/>
      <c r="T297" s="626"/>
      <c r="U297" s="626"/>
      <c r="V297" s="697">
        <v>0</v>
      </c>
      <c r="W297" s="697">
        <v>0</v>
      </c>
      <c r="X297" s="697">
        <v>0</v>
      </c>
      <c r="Y297" s="697">
        <v>0</v>
      </c>
      <c r="Z297" s="697">
        <v>0</v>
      </c>
      <c r="AA297" s="697">
        <v>0</v>
      </c>
    </row>
    <row r="298" spans="1:27" hidden="1">
      <c r="A298" s="634">
        <v>1</v>
      </c>
      <c r="B298" s="639"/>
      <c r="C298" s="372"/>
      <c r="D298" s="372"/>
      <c r="E298" s="664"/>
      <c r="F298" s="664"/>
      <c r="G298" s="664"/>
      <c r="H298" s="664"/>
      <c r="I298" s="664"/>
      <c r="J298" s="664"/>
      <c r="K298" s="664"/>
      <c r="L298" s="664"/>
      <c r="M298" s="664"/>
      <c r="N298" s="664"/>
      <c r="O298" s="635"/>
      <c r="P298" s="372"/>
      <c r="Q298" s="664"/>
      <c r="R298" s="664"/>
      <c r="S298" s="626"/>
      <c r="T298" s="626"/>
      <c r="U298" s="626"/>
      <c r="V298" s="697">
        <v>0</v>
      </c>
      <c r="W298" s="697">
        <v>0</v>
      </c>
      <c r="X298" s="697">
        <v>0</v>
      </c>
      <c r="Y298" s="697">
        <v>0</v>
      </c>
      <c r="Z298" s="697">
        <v>0</v>
      </c>
      <c r="AA298" s="697">
        <v>0</v>
      </c>
    </row>
    <row r="299" spans="1:27" hidden="1">
      <c r="A299" s="634">
        <v>2</v>
      </c>
      <c r="B299" s="639"/>
      <c r="C299" s="634"/>
      <c r="D299" s="636" t="s">
        <v>701</v>
      </c>
      <c r="E299" s="372"/>
      <c r="F299" s="372"/>
      <c r="G299" s="372"/>
      <c r="H299" s="372"/>
      <c r="I299" s="635"/>
      <c r="J299" s="635"/>
      <c r="K299" s="635"/>
      <c r="L299" s="635"/>
      <c r="M299" s="635"/>
      <c r="N299" s="635"/>
      <c r="O299" s="635"/>
      <c r="P299" s="635"/>
      <c r="Q299" s="635"/>
      <c r="R299" s="635"/>
      <c r="S299" s="626"/>
      <c r="T299" s="626"/>
      <c r="U299" s="626"/>
      <c r="V299" s="697">
        <v>0</v>
      </c>
      <c r="W299" s="697">
        <v>0</v>
      </c>
      <c r="X299" s="697">
        <v>0</v>
      </c>
      <c r="Y299" s="697">
        <v>0</v>
      </c>
      <c r="Z299" s="697">
        <v>0</v>
      </c>
      <c r="AA299" s="697">
        <v>0</v>
      </c>
    </row>
    <row r="300" spans="1:27" hidden="1">
      <c r="A300" s="634">
        <v>3</v>
      </c>
      <c r="B300" s="639"/>
      <c r="C300" s="634">
        <v>34132</v>
      </c>
      <c r="D300" s="372" t="s">
        <v>627</v>
      </c>
      <c r="E300" s="372"/>
      <c r="F300" s="634">
        <v>3.5</v>
      </c>
      <c r="G300" s="635"/>
      <c r="H300" s="640">
        <v>26972</v>
      </c>
      <c r="I300" s="635"/>
      <c r="J300" s="634">
        <v>159</v>
      </c>
      <c r="K300" s="372"/>
      <c r="L300" s="634" t="s">
        <v>635</v>
      </c>
      <c r="M300" s="372"/>
      <c r="N300" s="634" t="s">
        <v>635</v>
      </c>
      <c r="O300" s="635"/>
      <c r="P300" s="640">
        <v>27131</v>
      </c>
      <c r="Q300" s="372"/>
      <c r="R300" s="640">
        <v>27119</v>
      </c>
      <c r="S300" s="626"/>
      <c r="T300" s="626"/>
      <c r="U300" s="626"/>
      <c r="V300" s="696">
        <v>5</v>
      </c>
      <c r="W300" s="696">
        <v>5</v>
      </c>
      <c r="X300" s="697">
        <v>0</v>
      </c>
      <c r="Y300" s="697">
        <v>0</v>
      </c>
      <c r="Z300" s="696">
        <v>5</v>
      </c>
      <c r="AA300" s="696">
        <v>5</v>
      </c>
    </row>
    <row r="301" spans="1:27" hidden="1">
      <c r="A301" s="634">
        <v>4</v>
      </c>
      <c r="B301" s="639"/>
      <c r="C301" s="634">
        <v>34232</v>
      </c>
      <c r="D301" s="372" t="s">
        <v>666</v>
      </c>
      <c r="E301" s="372"/>
      <c r="F301" s="634">
        <v>3.9</v>
      </c>
      <c r="G301" s="635"/>
      <c r="H301" s="640">
        <v>105353</v>
      </c>
      <c r="I301" s="635"/>
      <c r="J301" s="640">
        <v>1292</v>
      </c>
      <c r="K301" s="372"/>
      <c r="L301" s="634">
        <v>-312</v>
      </c>
      <c r="M301" s="372"/>
      <c r="N301" s="634" t="s">
        <v>628</v>
      </c>
      <c r="O301" s="635"/>
      <c r="P301" s="640">
        <v>106333</v>
      </c>
      <c r="Q301" s="372"/>
      <c r="R301" s="640">
        <v>105853</v>
      </c>
      <c r="S301" s="626"/>
      <c r="T301" s="626"/>
      <c r="U301" s="626"/>
      <c r="V301" s="696">
        <v>5</v>
      </c>
      <c r="W301" s="696">
        <v>5</v>
      </c>
      <c r="X301" s="696">
        <v>5</v>
      </c>
      <c r="Y301" s="697">
        <v>0</v>
      </c>
      <c r="Z301" s="696">
        <v>5</v>
      </c>
      <c r="AA301" s="696">
        <v>4</v>
      </c>
    </row>
    <row r="302" spans="1:27" hidden="1">
      <c r="A302" s="634">
        <v>5</v>
      </c>
      <c r="B302" s="639"/>
      <c r="C302" s="634">
        <v>34332</v>
      </c>
      <c r="D302" s="372" t="s">
        <v>667</v>
      </c>
      <c r="E302" s="372"/>
      <c r="F302" s="634">
        <v>6.2</v>
      </c>
      <c r="G302" s="635"/>
      <c r="H302" s="640">
        <v>288524</v>
      </c>
      <c r="I302" s="635"/>
      <c r="J302" s="634">
        <v>827</v>
      </c>
      <c r="K302" s="372"/>
      <c r="L302" s="634">
        <v>-312</v>
      </c>
      <c r="M302" s="372"/>
      <c r="N302" s="634">
        <v>-17</v>
      </c>
      <c r="O302" s="635"/>
      <c r="P302" s="640">
        <v>289022</v>
      </c>
      <c r="Q302" s="372"/>
      <c r="R302" s="640">
        <v>288514</v>
      </c>
      <c r="S302" s="626"/>
      <c r="T302" s="626"/>
      <c r="U302" s="626"/>
      <c r="V302" s="696">
        <v>5</v>
      </c>
      <c r="W302" s="696">
        <v>5</v>
      </c>
      <c r="X302" s="696">
        <v>5</v>
      </c>
      <c r="Y302" s="696">
        <v>5</v>
      </c>
      <c r="Z302" s="696">
        <v>5</v>
      </c>
      <c r="AA302" s="696">
        <v>5</v>
      </c>
    </row>
    <row r="303" spans="1:27" hidden="1">
      <c r="A303" s="634">
        <v>6</v>
      </c>
      <c r="B303" s="639"/>
      <c r="C303" s="634">
        <v>34532</v>
      </c>
      <c r="D303" s="372" t="s">
        <v>631</v>
      </c>
      <c r="E303" s="372"/>
      <c r="F303" s="634">
        <v>4.0999999999999996</v>
      </c>
      <c r="G303" s="635"/>
      <c r="H303" s="640">
        <v>44481</v>
      </c>
      <c r="I303" s="635"/>
      <c r="J303" s="634">
        <v>195</v>
      </c>
      <c r="K303" s="372"/>
      <c r="L303" s="634">
        <v>-93</v>
      </c>
      <c r="M303" s="372"/>
      <c r="N303" s="634">
        <v>17</v>
      </c>
      <c r="O303" s="635"/>
      <c r="P303" s="640">
        <v>44601</v>
      </c>
      <c r="Q303" s="372"/>
      <c r="R303" s="640">
        <v>44543</v>
      </c>
      <c r="S303" s="626"/>
      <c r="T303" s="626"/>
      <c r="U303" s="626"/>
      <c r="V303" s="696">
        <v>5</v>
      </c>
      <c r="W303" s="696">
        <v>5</v>
      </c>
      <c r="X303" s="696">
        <v>5</v>
      </c>
      <c r="Y303" s="696">
        <v>5</v>
      </c>
      <c r="Z303" s="696">
        <v>5</v>
      </c>
      <c r="AA303" s="696">
        <v>5</v>
      </c>
    </row>
    <row r="304" spans="1:27" hidden="1">
      <c r="A304" s="634">
        <v>7</v>
      </c>
      <c r="B304" s="639"/>
      <c r="C304" s="634">
        <v>34632</v>
      </c>
      <c r="D304" s="372" t="s">
        <v>632</v>
      </c>
      <c r="E304" s="372"/>
      <c r="F304" s="634">
        <v>3.3</v>
      </c>
      <c r="G304" s="635"/>
      <c r="H304" s="640">
        <v>1456</v>
      </c>
      <c r="I304" s="635"/>
      <c r="J304" s="634" t="s">
        <v>635</v>
      </c>
      <c r="K304" s="372"/>
      <c r="L304" s="634" t="s">
        <v>635</v>
      </c>
      <c r="M304" s="372"/>
      <c r="N304" s="634" t="s">
        <v>635</v>
      </c>
      <c r="O304" s="635"/>
      <c r="P304" s="640">
        <v>1456</v>
      </c>
      <c r="Q304" s="372"/>
      <c r="R304" s="640">
        <v>1456</v>
      </c>
      <c r="S304" s="626"/>
      <c r="T304" s="626"/>
      <c r="U304" s="626"/>
      <c r="V304" s="696">
        <v>5</v>
      </c>
      <c r="W304" s="697">
        <v>0</v>
      </c>
      <c r="X304" s="697">
        <v>0</v>
      </c>
      <c r="Y304" s="697">
        <v>0</v>
      </c>
      <c r="Z304" s="696">
        <v>5</v>
      </c>
      <c r="AA304" s="696">
        <v>5</v>
      </c>
    </row>
    <row r="305" spans="1:27" hidden="1">
      <c r="A305" s="634">
        <v>8</v>
      </c>
      <c r="B305" s="639"/>
      <c r="C305" s="634"/>
      <c r="D305" s="636" t="s">
        <v>702</v>
      </c>
      <c r="E305" s="372"/>
      <c r="F305" s="372"/>
      <c r="G305" s="372"/>
      <c r="H305" s="642">
        <v>466786</v>
      </c>
      <c r="I305" s="635"/>
      <c r="J305" s="642">
        <v>2473</v>
      </c>
      <c r="K305" s="635"/>
      <c r="L305" s="643">
        <v>-716</v>
      </c>
      <c r="M305" s="635"/>
      <c r="N305" s="643" t="s">
        <v>628</v>
      </c>
      <c r="O305" s="635"/>
      <c r="P305" s="642">
        <v>468543</v>
      </c>
      <c r="Q305" s="635"/>
      <c r="R305" s="642">
        <v>467485</v>
      </c>
      <c r="S305" s="626"/>
      <c r="T305" s="626"/>
      <c r="U305" s="626"/>
      <c r="V305" s="696">
        <v>3</v>
      </c>
      <c r="W305" s="696">
        <v>5</v>
      </c>
      <c r="X305" s="696">
        <v>5</v>
      </c>
      <c r="Y305" s="697">
        <v>0</v>
      </c>
      <c r="Z305" s="696">
        <v>5</v>
      </c>
      <c r="AA305" s="696">
        <v>5</v>
      </c>
    </row>
    <row r="306" spans="1:27" hidden="1">
      <c r="A306" s="634">
        <v>9</v>
      </c>
      <c r="B306" s="639"/>
      <c r="C306" s="372"/>
      <c r="D306" s="372"/>
      <c r="E306" s="372"/>
      <c r="F306" s="372"/>
      <c r="G306" s="372"/>
      <c r="H306" s="372"/>
      <c r="I306" s="372"/>
      <c r="J306" s="372"/>
      <c r="K306" s="372"/>
      <c r="L306" s="372"/>
      <c r="M306" s="372"/>
      <c r="N306" s="372"/>
      <c r="O306" s="635"/>
      <c r="P306" s="372"/>
      <c r="Q306" s="372"/>
      <c r="R306" s="372"/>
      <c r="S306" s="626"/>
      <c r="T306" s="626"/>
      <c r="U306" s="626"/>
      <c r="V306" s="697">
        <v>0</v>
      </c>
      <c r="W306" s="697">
        <v>0</v>
      </c>
      <c r="X306" s="697">
        <v>0</v>
      </c>
      <c r="Y306" s="697">
        <v>0</v>
      </c>
      <c r="Z306" s="697">
        <v>0</v>
      </c>
      <c r="AA306" s="697">
        <v>0</v>
      </c>
    </row>
    <row r="307" spans="1:27" hidden="1">
      <c r="A307" s="634">
        <v>10</v>
      </c>
      <c r="B307" s="639"/>
      <c r="C307" s="634"/>
      <c r="D307" s="636" t="s">
        <v>703</v>
      </c>
      <c r="E307" s="372"/>
      <c r="F307" s="372"/>
      <c r="G307" s="372"/>
      <c r="H307" s="372"/>
      <c r="I307" s="635"/>
      <c r="J307" s="372"/>
      <c r="K307" s="635"/>
      <c r="L307" s="372"/>
      <c r="M307" s="635"/>
      <c r="N307" s="372"/>
      <c r="O307" s="635"/>
      <c r="P307" s="372"/>
      <c r="Q307" s="635"/>
      <c r="R307" s="372"/>
      <c r="S307" s="626"/>
      <c r="T307" s="626"/>
      <c r="U307" s="626"/>
      <c r="V307" s="697">
        <v>0</v>
      </c>
      <c r="W307" s="697">
        <v>0</v>
      </c>
      <c r="X307" s="697">
        <v>0</v>
      </c>
      <c r="Y307" s="697">
        <v>0</v>
      </c>
      <c r="Z307" s="697">
        <v>0</v>
      </c>
      <c r="AA307" s="697">
        <v>0</v>
      </c>
    </row>
    <row r="308" spans="1:27" hidden="1">
      <c r="A308" s="634">
        <v>11</v>
      </c>
      <c r="B308" s="639"/>
      <c r="C308" s="634">
        <v>34133</v>
      </c>
      <c r="D308" s="372" t="s">
        <v>627</v>
      </c>
      <c r="E308" s="372"/>
      <c r="F308" s="634">
        <v>3.5</v>
      </c>
      <c r="G308" s="635"/>
      <c r="H308" s="634">
        <v>656</v>
      </c>
      <c r="I308" s="635"/>
      <c r="J308" s="634" t="s">
        <v>635</v>
      </c>
      <c r="K308" s="372"/>
      <c r="L308" s="634" t="s">
        <v>635</v>
      </c>
      <c r="M308" s="372"/>
      <c r="N308" s="634" t="s">
        <v>635</v>
      </c>
      <c r="O308" s="635"/>
      <c r="P308" s="634">
        <v>656</v>
      </c>
      <c r="Q308" s="372"/>
      <c r="R308" s="634">
        <v>656</v>
      </c>
      <c r="S308" s="626"/>
      <c r="T308" s="626"/>
      <c r="U308" s="626"/>
      <c r="V308" s="696">
        <v>5</v>
      </c>
      <c r="W308" s="697">
        <v>0</v>
      </c>
      <c r="X308" s="697">
        <v>0</v>
      </c>
      <c r="Y308" s="697">
        <v>0</v>
      </c>
      <c r="Z308" s="696">
        <v>5</v>
      </c>
      <c r="AA308" s="696">
        <v>5</v>
      </c>
    </row>
    <row r="309" spans="1:27" hidden="1">
      <c r="A309" s="634">
        <v>12</v>
      </c>
      <c r="B309" s="639"/>
      <c r="C309" s="634">
        <v>34233</v>
      </c>
      <c r="D309" s="372" t="s">
        <v>666</v>
      </c>
      <c r="E309" s="372"/>
      <c r="F309" s="634">
        <v>3.2</v>
      </c>
      <c r="G309" s="635"/>
      <c r="H309" s="640">
        <v>3502</v>
      </c>
      <c r="I309" s="635"/>
      <c r="J309" s="634">
        <v>3</v>
      </c>
      <c r="K309" s="372"/>
      <c r="L309" s="634" t="s">
        <v>635</v>
      </c>
      <c r="M309" s="372"/>
      <c r="N309" s="634" t="s">
        <v>635</v>
      </c>
      <c r="O309" s="635"/>
      <c r="P309" s="640">
        <v>3505</v>
      </c>
      <c r="Q309" s="372"/>
      <c r="R309" s="640">
        <v>3505</v>
      </c>
      <c r="S309" s="626"/>
      <c r="T309" s="626"/>
      <c r="U309" s="626"/>
      <c r="V309" s="696">
        <v>5</v>
      </c>
      <c r="W309" s="696">
        <v>5</v>
      </c>
      <c r="X309" s="697">
        <v>0</v>
      </c>
      <c r="Y309" s="697">
        <v>0</v>
      </c>
      <c r="Z309" s="696">
        <v>5</v>
      </c>
      <c r="AA309" s="696">
        <v>5</v>
      </c>
    </row>
    <row r="310" spans="1:27" hidden="1">
      <c r="A310" s="634">
        <v>13</v>
      </c>
      <c r="B310" s="639"/>
      <c r="C310" s="634">
        <v>34333</v>
      </c>
      <c r="D310" s="372" t="s">
        <v>667</v>
      </c>
      <c r="E310" s="372"/>
      <c r="F310" s="634">
        <v>3.1</v>
      </c>
      <c r="G310" s="635"/>
      <c r="H310" s="640">
        <v>15459</v>
      </c>
      <c r="I310" s="635"/>
      <c r="J310" s="634">
        <v>264</v>
      </c>
      <c r="K310" s="372"/>
      <c r="L310" s="634">
        <v>-119</v>
      </c>
      <c r="M310" s="372"/>
      <c r="N310" s="634" t="s">
        <v>628</v>
      </c>
      <c r="O310" s="635"/>
      <c r="P310" s="640">
        <v>15604</v>
      </c>
      <c r="Q310" s="372"/>
      <c r="R310" s="640">
        <v>15481</v>
      </c>
      <c r="S310" s="626"/>
      <c r="T310" s="626"/>
      <c r="U310" s="626"/>
      <c r="V310" s="696">
        <v>4</v>
      </c>
      <c r="W310" s="696">
        <v>5</v>
      </c>
      <c r="X310" s="696">
        <v>4</v>
      </c>
      <c r="Y310" s="697">
        <v>0</v>
      </c>
      <c r="Z310" s="696">
        <v>5</v>
      </c>
      <c r="AA310" s="696">
        <v>5</v>
      </c>
    </row>
    <row r="311" spans="1:27" hidden="1">
      <c r="A311" s="634">
        <v>14</v>
      </c>
      <c r="B311" s="639"/>
      <c r="C311" s="634">
        <v>34533</v>
      </c>
      <c r="D311" s="372" t="s">
        <v>631</v>
      </c>
      <c r="E311" s="372"/>
      <c r="F311" s="634">
        <v>2.7</v>
      </c>
      <c r="G311" s="635"/>
      <c r="H311" s="640">
        <v>14154</v>
      </c>
      <c r="I311" s="635"/>
      <c r="J311" s="634">
        <v>20</v>
      </c>
      <c r="K311" s="372"/>
      <c r="L311" s="634" t="s">
        <v>635</v>
      </c>
      <c r="M311" s="372"/>
      <c r="N311" s="634" t="s">
        <v>635</v>
      </c>
      <c r="O311" s="635"/>
      <c r="P311" s="640">
        <v>14174</v>
      </c>
      <c r="Q311" s="372"/>
      <c r="R311" s="640">
        <v>14155</v>
      </c>
      <c r="S311" s="626"/>
      <c r="T311" s="626"/>
      <c r="U311" s="626"/>
      <c r="V311" s="696">
        <v>5</v>
      </c>
      <c r="W311" s="696">
        <v>5</v>
      </c>
      <c r="X311" s="697">
        <v>0</v>
      </c>
      <c r="Y311" s="697">
        <v>0</v>
      </c>
      <c r="Z311" s="696">
        <v>5</v>
      </c>
      <c r="AA311" s="696">
        <v>5</v>
      </c>
    </row>
    <row r="312" spans="1:27" hidden="1">
      <c r="A312" s="634">
        <v>15</v>
      </c>
      <c r="B312" s="639"/>
      <c r="C312" s="634">
        <v>34633</v>
      </c>
      <c r="D312" s="372" t="s">
        <v>632</v>
      </c>
      <c r="E312" s="372"/>
      <c r="F312" s="634">
        <v>3.4</v>
      </c>
      <c r="G312" s="635"/>
      <c r="H312" s="634">
        <v>1</v>
      </c>
      <c r="I312" s="635"/>
      <c r="J312" s="634" t="s">
        <v>635</v>
      </c>
      <c r="K312" s="372"/>
      <c r="L312" s="634" t="s">
        <v>635</v>
      </c>
      <c r="M312" s="372"/>
      <c r="N312" s="634" t="s">
        <v>635</v>
      </c>
      <c r="O312" s="635"/>
      <c r="P312" s="634">
        <v>1</v>
      </c>
      <c r="Q312" s="372"/>
      <c r="R312" s="634">
        <v>1</v>
      </c>
      <c r="S312" s="626"/>
      <c r="T312" s="626"/>
      <c r="U312" s="626"/>
      <c r="V312" s="696">
        <v>5</v>
      </c>
      <c r="W312" s="697">
        <v>0</v>
      </c>
      <c r="X312" s="697">
        <v>0</v>
      </c>
      <c r="Y312" s="697">
        <v>0</v>
      </c>
      <c r="Z312" s="696">
        <v>5</v>
      </c>
      <c r="AA312" s="696">
        <v>5</v>
      </c>
    </row>
    <row r="313" spans="1:27" hidden="1">
      <c r="A313" s="634">
        <v>16</v>
      </c>
      <c r="B313" s="639"/>
      <c r="C313" s="372"/>
      <c r="D313" s="636" t="s">
        <v>704</v>
      </c>
      <c r="E313" s="372"/>
      <c r="F313" s="372"/>
      <c r="G313" s="372"/>
      <c r="H313" s="642">
        <v>33772</v>
      </c>
      <c r="I313" s="635"/>
      <c r="J313" s="643">
        <v>287</v>
      </c>
      <c r="K313" s="635"/>
      <c r="L313" s="643">
        <v>-119</v>
      </c>
      <c r="M313" s="635"/>
      <c r="N313" s="643" t="s">
        <v>628</v>
      </c>
      <c r="O313" s="635"/>
      <c r="P313" s="642">
        <v>33940</v>
      </c>
      <c r="Q313" s="635"/>
      <c r="R313" s="642">
        <v>33798</v>
      </c>
      <c r="S313" s="626"/>
      <c r="T313" s="626"/>
      <c r="U313" s="626"/>
      <c r="V313" s="696">
        <v>5</v>
      </c>
      <c r="W313" s="696">
        <v>5</v>
      </c>
      <c r="X313" s="696">
        <v>4</v>
      </c>
      <c r="Y313" s="697">
        <v>0</v>
      </c>
      <c r="Z313" s="696">
        <v>5</v>
      </c>
      <c r="AA313" s="696">
        <v>5</v>
      </c>
    </row>
    <row r="314" spans="1:27" hidden="1">
      <c r="A314" s="634">
        <v>17</v>
      </c>
      <c r="B314" s="639"/>
      <c r="C314" s="372"/>
      <c r="D314" s="372"/>
      <c r="E314" s="372"/>
      <c r="F314" s="372"/>
      <c r="G314" s="372"/>
      <c r="H314" s="372"/>
      <c r="I314" s="372"/>
      <c r="J314" s="372"/>
      <c r="K314" s="372"/>
      <c r="L314" s="372"/>
      <c r="M314" s="372"/>
      <c r="N314" s="372"/>
      <c r="O314" s="635"/>
      <c r="P314" s="372"/>
      <c r="Q314" s="372"/>
      <c r="R314" s="372"/>
      <c r="S314" s="626"/>
      <c r="T314" s="626"/>
      <c r="U314" s="626"/>
      <c r="V314" s="697">
        <v>0</v>
      </c>
      <c r="W314" s="697">
        <v>0</v>
      </c>
      <c r="X314" s="697">
        <v>0</v>
      </c>
      <c r="Y314" s="697">
        <v>0</v>
      </c>
      <c r="Z314" s="697">
        <v>0</v>
      </c>
      <c r="AA314" s="697">
        <v>0</v>
      </c>
    </row>
    <row r="315" spans="1:27" hidden="1">
      <c r="A315" s="634">
        <v>18</v>
      </c>
      <c r="B315" s="639"/>
      <c r="C315" s="634"/>
      <c r="D315" s="636" t="s">
        <v>705</v>
      </c>
      <c r="E315" s="372"/>
      <c r="F315" s="372"/>
      <c r="G315" s="372"/>
      <c r="H315" s="372"/>
      <c r="I315" s="635"/>
      <c r="J315" s="372"/>
      <c r="K315" s="635"/>
      <c r="L315" s="372"/>
      <c r="M315" s="635"/>
      <c r="N315" s="372"/>
      <c r="O315" s="635"/>
      <c r="P315" s="372"/>
      <c r="Q315" s="635"/>
      <c r="R315" s="372"/>
      <c r="S315" s="626"/>
      <c r="T315" s="626"/>
      <c r="U315" s="626"/>
      <c r="V315" s="697">
        <v>0</v>
      </c>
      <c r="W315" s="697">
        <v>0</v>
      </c>
      <c r="X315" s="697">
        <v>0</v>
      </c>
      <c r="Y315" s="697">
        <v>0</v>
      </c>
      <c r="Z315" s="697">
        <v>0</v>
      </c>
      <c r="AA315" s="697">
        <v>0</v>
      </c>
    </row>
    <row r="316" spans="1:27" hidden="1">
      <c r="A316" s="634">
        <v>19</v>
      </c>
      <c r="B316" s="639"/>
      <c r="C316" s="634">
        <v>34134</v>
      </c>
      <c r="D316" s="372" t="s">
        <v>627</v>
      </c>
      <c r="E316" s="372"/>
      <c r="F316" s="634">
        <v>5.0999999999999996</v>
      </c>
      <c r="G316" s="635"/>
      <c r="H316" s="634">
        <v>242</v>
      </c>
      <c r="I316" s="635"/>
      <c r="J316" s="634" t="s">
        <v>635</v>
      </c>
      <c r="K316" s="372"/>
      <c r="L316" s="634" t="s">
        <v>635</v>
      </c>
      <c r="M316" s="372"/>
      <c r="N316" s="634" t="s">
        <v>635</v>
      </c>
      <c r="O316" s="635"/>
      <c r="P316" s="634">
        <v>242</v>
      </c>
      <c r="Q316" s="372"/>
      <c r="R316" s="634">
        <v>242</v>
      </c>
      <c r="S316" s="626"/>
      <c r="T316" s="626"/>
      <c r="U316" s="626"/>
      <c r="V316" s="696">
        <v>5</v>
      </c>
      <c r="W316" s="697">
        <v>0</v>
      </c>
      <c r="X316" s="697">
        <v>0</v>
      </c>
      <c r="Y316" s="697">
        <v>0</v>
      </c>
      <c r="Z316" s="696">
        <v>5</v>
      </c>
      <c r="AA316" s="696">
        <v>5</v>
      </c>
    </row>
    <row r="317" spans="1:27" hidden="1">
      <c r="A317" s="634">
        <v>20</v>
      </c>
      <c r="B317" s="639"/>
      <c r="C317" s="634">
        <v>34234</v>
      </c>
      <c r="D317" s="372" t="s">
        <v>666</v>
      </c>
      <c r="E317" s="372"/>
      <c r="F317" s="634">
        <v>3.2</v>
      </c>
      <c r="G317" s="635"/>
      <c r="H317" s="640">
        <v>3362</v>
      </c>
      <c r="I317" s="635"/>
      <c r="J317" s="634">
        <v>0</v>
      </c>
      <c r="K317" s="372"/>
      <c r="L317" s="634" t="s">
        <v>628</v>
      </c>
      <c r="M317" s="372"/>
      <c r="N317" s="634" t="s">
        <v>635</v>
      </c>
      <c r="O317" s="635"/>
      <c r="P317" s="640">
        <v>3362</v>
      </c>
      <c r="Q317" s="372"/>
      <c r="R317" s="640">
        <v>3362</v>
      </c>
      <c r="S317" s="626"/>
      <c r="T317" s="626"/>
      <c r="U317" s="626"/>
      <c r="V317" s="696">
        <v>5</v>
      </c>
      <c r="W317" s="696">
        <v>5</v>
      </c>
      <c r="X317" s="697">
        <v>0</v>
      </c>
      <c r="Y317" s="697">
        <v>0</v>
      </c>
      <c r="Z317" s="696">
        <v>5</v>
      </c>
      <c r="AA317" s="696">
        <v>5</v>
      </c>
    </row>
    <row r="318" spans="1:27" hidden="1">
      <c r="A318" s="634">
        <v>21</v>
      </c>
      <c r="B318" s="639"/>
      <c r="C318" s="634">
        <v>34334</v>
      </c>
      <c r="D318" s="372" t="s">
        <v>667</v>
      </c>
      <c r="E318" s="372"/>
      <c r="F318" s="634">
        <v>3.2</v>
      </c>
      <c r="G318" s="635"/>
      <c r="H318" s="640">
        <v>15883</v>
      </c>
      <c r="I318" s="635"/>
      <c r="J318" s="634">
        <v>264</v>
      </c>
      <c r="K318" s="372"/>
      <c r="L318" s="634">
        <v>-117</v>
      </c>
      <c r="M318" s="372"/>
      <c r="N318" s="634" t="s">
        <v>628</v>
      </c>
      <c r="O318" s="635"/>
      <c r="P318" s="640">
        <v>16030</v>
      </c>
      <c r="Q318" s="372"/>
      <c r="R318" s="640">
        <v>15906</v>
      </c>
      <c r="S318" s="626"/>
      <c r="T318" s="626"/>
      <c r="U318" s="626"/>
      <c r="V318" s="696">
        <v>5</v>
      </c>
      <c r="W318" s="696">
        <v>4</v>
      </c>
      <c r="X318" s="696">
        <v>3</v>
      </c>
      <c r="Y318" s="697">
        <v>0</v>
      </c>
      <c r="Z318" s="697">
        <v>2</v>
      </c>
      <c r="AA318" s="696">
        <v>5</v>
      </c>
    </row>
    <row r="319" spans="1:27" hidden="1">
      <c r="A319" s="634">
        <v>22</v>
      </c>
      <c r="B319" s="639"/>
      <c r="C319" s="634">
        <v>34534</v>
      </c>
      <c r="D319" s="372" t="s">
        <v>631</v>
      </c>
      <c r="E319" s="372"/>
      <c r="F319" s="634">
        <v>2.8</v>
      </c>
      <c r="G319" s="635"/>
      <c r="H319" s="640">
        <v>4169</v>
      </c>
      <c r="I319" s="635"/>
      <c r="J319" s="634">
        <v>20</v>
      </c>
      <c r="K319" s="372"/>
      <c r="L319" s="634" t="s">
        <v>635</v>
      </c>
      <c r="M319" s="372"/>
      <c r="N319" s="634" t="s">
        <v>635</v>
      </c>
      <c r="O319" s="635"/>
      <c r="P319" s="640">
        <v>4189</v>
      </c>
      <c r="Q319" s="372"/>
      <c r="R319" s="640">
        <v>4171</v>
      </c>
      <c r="S319" s="626"/>
      <c r="T319" s="626"/>
      <c r="U319" s="626"/>
      <c r="V319" s="696">
        <v>3</v>
      </c>
      <c r="W319" s="696">
        <v>5</v>
      </c>
      <c r="X319" s="697">
        <v>0</v>
      </c>
      <c r="Y319" s="697">
        <v>0</v>
      </c>
      <c r="Z319" s="696">
        <v>5</v>
      </c>
      <c r="AA319" s="696">
        <v>5</v>
      </c>
    </row>
    <row r="320" spans="1:27" hidden="1">
      <c r="A320" s="634">
        <v>23</v>
      </c>
      <c r="B320" s="639"/>
      <c r="C320" s="634">
        <v>34634</v>
      </c>
      <c r="D320" s="372" t="s">
        <v>632</v>
      </c>
      <c r="E320" s="372"/>
      <c r="F320" s="634">
        <v>3.4</v>
      </c>
      <c r="G320" s="635"/>
      <c r="H320" s="634">
        <v>1</v>
      </c>
      <c r="I320" s="635"/>
      <c r="J320" s="634" t="s">
        <v>635</v>
      </c>
      <c r="K320" s="372"/>
      <c r="L320" s="634" t="s">
        <v>635</v>
      </c>
      <c r="M320" s="372"/>
      <c r="N320" s="634" t="s">
        <v>635</v>
      </c>
      <c r="O320" s="635"/>
      <c r="P320" s="634">
        <v>1</v>
      </c>
      <c r="Q320" s="372"/>
      <c r="R320" s="634">
        <v>1</v>
      </c>
      <c r="S320" s="626"/>
      <c r="T320" s="626"/>
      <c r="U320" s="626"/>
      <c r="V320" s="696">
        <v>5</v>
      </c>
      <c r="W320" s="697">
        <v>0</v>
      </c>
      <c r="X320" s="697">
        <v>0</v>
      </c>
      <c r="Y320" s="697">
        <v>0</v>
      </c>
      <c r="Z320" s="696">
        <v>5</v>
      </c>
      <c r="AA320" s="696">
        <v>5</v>
      </c>
    </row>
    <row r="321" spans="1:27" hidden="1">
      <c r="A321" s="634">
        <v>24</v>
      </c>
      <c r="B321" s="639"/>
      <c r="C321" s="634"/>
      <c r="D321" s="636" t="s">
        <v>706</v>
      </c>
      <c r="E321" s="372"/>
      <c r="F321" s="372"/>
      <c r="G321" s="372"/>
      <c r="H321" s="642">
        <v>23657</v>
      </c>
      <c r="I321" s="635"/>
      <c r="J321" s="643">
        <v>284</v>
      </c>
      <c r="K321" s="635"/>
      <c r="L321" s="643">
        <v>-117</v>
      </c>
      <c r="M321" s="635"/>
      <c r="N321" s="643" t="s">
        <v>628</v>
      </c>
      <c r="O321" s="635"/>
      <c r="P321" s="642">
        <v>23825</v>
      </c>
      <c r="Q321" s="635"/>
      <c r="R321" s="642">
        <v>23681</v>
      </c>
      <c r="S321" s="626"/>
      <c r="T321" s="626"/>
      <c r="U321" s="626"/>
      <c r="V321" s="696">
        <v>5</v>
      </c>
      <c r="W321" s="696">
        <v>3</v>
      </c>
      <c r="X321" s="696">
        <v>3</v>
      </c>
      <c r="Y321" s="697">
        <v>0</v>
      </c>
      <c r="Z321" s="696">
        <v>5</v>
      </c>
      <c r="AA321" s="696">
        <v>5</v>
      </c>
    </row>
    <row r="322" spans="1:27" hidden="1">
      <c r="A322" s="634">
        <v>25</v>
      </c>
      <c r="B322" s="639"/>
      <c r="C322" s="372"/>
      <c r="D322" s="372"/>
      <c r="E322" s="372"/>
      <c r="F322" s="372"/>
      <c r="G322" s="372"/>
      <c r="H322" s="372"/>
      <c r="I322" s="372"/>
      <c r="J322" s="372"/>
      <c r="K322" s="372"/>
      <c r="L322" s="372"/>
      <c r="M322" s="372"/>
      <c r="N322" s="372"/>
      <c r="O322" s="635"/>
      <c r="P322" s="372"/>
      <c r="Q322" s="372"/>
      <c r="R322" s="372"/>
      <c r="S322" s="626"/>
      <c r="T322" s="626"/>
      <c r="U322" s="626"/>
      <c r="V322" s="697">
        <v>0</v>
      </c>
      <c r="W322" s="697">
        <v>0</v>
      </c>
      <c r="X322" s="697">
        <v>0</v>
      </c>
      <c r="Y322" s="697">
        <v>0</v>
      </c>
      <c r="Z322" s="697">
        <v>0</v>
      </c>
      <c r="AA322" s="697">
        <v>0</v>
      </c>
    </row>
    <row r="323" spans="1:27" hidden="1">
      <c r="A323" s="634">
        <v>26</v>
      </c>
      <c r="B323" s="639"/>
      <c r="C323" s="634"/>
      <c r="D323" s="636" t="s">
        <v>707</v>
      </c>
      <c r="E323" s="634"/>
      <c r="F323" s="634"/>
      <c r="G323" s="634"/>
      <c r="H323" s="634"/>
      <c r="I323" s="634"/>
      <c r="J323" s="634"/>
      <c r="K323" s="634"/>
      <c r="L323" s="634"/>
      <c r="M323" s="634"/>
      <c r="N323" s="634"/>
      <c r="O323" s="635"/>
      <c r="P323" s="634"/>
      <c r="Q323" s="634"/>
      <c r="R323" s="634"/>
      <c r="S323" s="626"/>
      <c r="T323" s="626"/>
      <c r="U323" s="626"/>
      <c r="V323" s="697">
        <v>0</v>
      </c>
      <c r="W323" s="697">
        <v>0</v>
      </c>
      <c r="X323" s="697">
        <v>0</v>
      </c>
      <c r="Y323" s="697">
        <v>0</v>
      </c>
      <c r="Z323" s="697">
        <v>0</v>
      </c>
      <c r="AA323" s="697">
        <v>0</v>
      </c>
    </row>
    <row r="324" spans="1:27" hidden="1">
      <c r="A324" s="634">
        <v>27</v>
      </c>
      <c r="B324" s="639"/>
      <c r="C324" s="634">
        <v>34135</v>
      </c>
      <c r="D324" s="372" t="s">
        <v>627</v>
      </c>
      <c r="E324" s="634"/>
      <c r="F324" s="634">
        <v>4.4000000000000004</v>
      </c>
      <c r="G324" s="635"/>
      <c r="H324" s="634">
        <v>793</v>
      </c>
      <c r="I324" s="635"/>
      <c r="J324" s="634" t="s">
        <v>635</v>
      </c>
      <c r="K324" s="372"/>
      <c r="L324" s="634" t="s">
        <v>635</v>
      </c>
      <c r="M324" s="372"/>
      <c r="N324" s="634" t="s">
        <v>635</v>
      </c>
      <c r="O324" s="635"/>
      <c r="P324" s="634">
        <v>793</v>
      </c>
      <c r="Q324" s="372"/>
      <c r="R324" s="634">
        <v>793</v>
      </c>
      <c r="S324" s="626"/>
      <c r="T324" s="626"/>
      <c r="U324" s="626"/>
      <c r="V324" s="696">
        <v>5</v>
      </c>
      <c r="W324" s="697">
        <v>0</v>
      </c>
      <c r="X324" s="697">
        <v>0</v>
      </c>
      <c r="Y324" s="697">
        <v>0</v>
      </c>
      <c r="Z324" s="696">
        <v>5</v>
      </c>
      <c r="AA324" s="696">
        <v>5</v>
      </c>
    </row>
    <row r="325" spans="1:27" hidden="1">
      <c r="A325" s="634">
        <v>28</v>
      </c>
      <c r="B325" s="639"/>
      <c r="C325" s="634">
        <v>34235</v>
      </c>
      <c r="D325" s="372" t="s">
        <v>666</v>
      </c>
      <c r="E325" s="634"/>
      <c r="F325" s="634">
        <v>3.3</v>
      </c>
      <c r="G325" s="635"/>
      <c r="H325" s="640">
        <v>2046</v>
      </c>
      <c r="I325" s="635"/>
      <c r="J325" s="634" t="s">
        <v>635</v>
      </c>
      <c r="K325" s="372"/>
      <c r="L325" s="634" t="s">
        <v>635</v>
      </c>
      <c r="M325" s="372"/>
      <c r="N325" s="634" t="s">
        <v>635</v>
      </c>
      <c r="O325" s="635"/>
      <c r="P325" s="640">
        <v>2046</v>
      </c>
      <c r="Q325" s="372"/>
      <c r="R325" s="640">
        <v>2046</v>
      </c>
      <c r="S325" s="626"/>
      <c r="T325" s="626"/>
      <c r="U325" s="626"/>
      <c r="V325" s="696">
        <v>5</v>
      </c>
      <c r="W325" s="697">
        <v>0</v>
      </c>
      <c r="X325" s="697">
        <v>0</v>
      </c>
      <c r="Y325" s="697">
        <v>0</v>
      </c>
      <c r="Z325" s="696">
        <v>5</v>
      </c>
      <c r="AA325" s="696">
        <v>5</v>
      </c>
    </row>
    <row r="326" spans="1:27" hidden="1">
      <c r="A326" s="634">
        <v>29</v>
      </c>
      <c r="B326" s="639"/>
      <c r="C326" s="634">
        <v>34335</v>
      </c>
      <c r="D326" s="372" t="s">
        <v>667</v>
      </c>
      <c r="E326" s="634"/>
      <c r="F326" s="634">
        <v>3.4</v>
      </c>
      <c r="G326" s="635"/>
      <c r="H326" s="640">
        <v>18623</v>
      </c>
      <c r="I326" s="635"/>
      <c r="J326" s="634" t="s">
        <v>635</v>
      </c>
      <c r="K326" s="372"/>
      <c r="L326" s="634" t="s">
        <v>635</v>
      </c>
      <c r="M326" s="372"/>
      <c r="N326" s="634" t="s">
        <v>635</v>
      </c>
      <c r="O326" s="635"/>
      <c r="P326" s="640">
        <v>18623</v>
      </c>
      <c r="Q326" s="372"/>
      <c r="R326" s="640">
        <v>18623</v>
      </c>
      <c r="S326" s="626"/>
      <c r="T326" s="626"/>
      <c r="U326" s="626"/>
      <c r="V326" s="696">
        <v>5</v>
      </c>
      <c r="W326" s="697">
        <v>0</v>
      </c>
      <c r="X326" s="697">
        <v>0</v>
      </c>
      <c r="Y326" s="697">
        <v>0</v>
      </c>
      <c r="Z326" s="696">
        <v>5</v>
      </c>
      <c r="AA326" s="696">
        <v>5</v>
      </c>
    </row>
    <row r="327" spans="1:27" hidden="1">
      <c r="A327" s="634">
        <v>30</v>
      </c>
      <c r="B327" s="639"/>
      <c r="C327" s="634">
        <v>34535</v>
      </c>
      <c r="D327" s="372" t="s">
        <v>631</v>
      </c>
      <c r="E327" s="634"/>
      <c r="F327" s="634">
        <v>2.7</v>
      </c>
      <c r="G327" s="635"/>
      <c r="H327" s="640">
        <v>10386</v>
      </c>
      <c r="I327" s="635"/>
      <c r="J327" s="634">
        <v>22</v>
      </c>
      <c r="K327" s="372"/>
      <c r="L327" s="634" t="s">
        <v>635</v>
      </c>
      <c r="M327" s="372"/>
      <c r="N327" s="634" t="s">
        <v>635</v>
      </c>
      <c r="O327" s="635"/>
      <c r="P327" s="640">
        <v>10409</v>
      </c>
      <c r="Q327" s="372"/>
      <c r="R327" s="640">
        <v>10388</v>
      </c>
      <c r="S327" s="626"/>
      <c r="T327" s="626"/>
      <c r="U327" s="626"/>
      <c r="V327" s="696">
        <v>5</v>
      </c>
      <c r="W327" s="696">
        <v>5</v>
      </c>
      <c r="X327" s="697">
        <v>0</v>
      </c>
      <c r="Y327" s="697">
        <v>0</v>
      </c>
      <c r="Z327" s="696">
        <v>5</v>
      </c>
      <c r="AA327" s="696">
        <v>5</v>
      </c>
    </row>
    <row r="328" spans="1:27" hidden="1">
      <c r="A328" s="634">
        <v>31</v>
      </c>
      <c r="B328" s="639"/>
      <c r="C328" s="634">
        <v>34635</v>
      </c>
      <c r="D328" s="372" t="s">
        <v>632</v>
      </c>
      <c r="E328" s="372"/>
      <c r="F328" s="634">
        <v>3.9</v>
      </c>
      <c r="G328" s="635"/>
      <c r="H328" s="634" t="s">
        <v>628</v>
      </c>
      <c r="I328" s="635"/>
      <c r="J328" s="634" t="s">
        <v>635</v>
      </c>
      <c r="K328" s="372"/>
      <c r="L328" s="634" t="s">
        <v>635</v>
      </c>
      <c r="M328" s="372"/>
      <c r="N328" s="634" t="s">
        <v>635</v>
      </c>
      <c r="O328" s="635"/>
      <c r="P328" s="634" t="s">
        <v>635</v>
      </c>
      <c r="Q328" s="372"/>
      <c r="R328" s="634" t="s">
        <v>635</v>
      </c>
      <c r="S328" s="626"/>
      <c r="T328" s="626"/>
      <c r="U328" s="626"/>
      <c r="V328" s="697">
        <v>0</v>
      </c>
      <c r="W328" s="697">
        <v>0</v>
      </c>
      <c r="X328" s="697">
        <v>0</v>
      </c>
      <c r="Y328" s="697">
        <v>0</v>
      </c>
      <c r="Z328" s="697">
        <v>0</v>
      </c>
      <c r="AA328" s="697">
        <v>0</v>
      </c>
    </row>
    <row r="329" spans="1:27" hidden="1">
      <c r="A329" s="634">
        <v>32</v>
      </c>
      <c r="B329" s="639"/>
      <c r="C329" s="634"/>
      <c r="D329" s="636" t="s">
        <v>708</v>
      </c>
      <c r="E329" s="634"/>
      <c r="F329" s="634"/>
      <c r="G329" s="372"/>
      <c r="H329" s="642">
        <v>31849</v>
      </c>
      <c r="I329" s="635"/>
      <c r="J329" s="643">
        <v>22</v>
      </c>
      <c r="K329" s="635"/>
      <c r="L329" s="643" t="s">
        <v>635</v>
      </c>
      <c r="M329" s="635"/>
      <c r="N329" s="643" t="s">
        <v>635</v>
      </c>
      <c r="O329" s="635"/>
      <c r="P329" s="642">
        <v>31871</v>
      </c>
      <c r="Q329" s="635"/>
      <c r="R329" s="642">
        <v>31850</v>
      </c>
      <c r="S329" s="626"/>
      <c r="T329" s="626"/>
      <c r="U329" s="626"/>
      <c r="V329" s="696">
        <v>5</v>
      </c>
      <c r="W329" s="696">
        <v>5</v>
      </c>
      <c r="X329" s="697">
        <v>0</v>
      </c>
      <c r="Y329" s="697">
        <v>0</v>
      </c>
      <c r="Z329" s="696">
        <v>5</v>
      </c>
      <c r="AA329" s="696">
        <v>5</v>
      </c>
    </row>
    <row r="330" spans="1:27" hidden="1">
      <c r="A330" s="634">
        <v>33</v>
      </c>
      <c r="B330" s="639"/>
      <c r="C330" s="372"/>
      <c r="D330" s="372"/>
      <c r="E330" s="372"/>
      <c r="F330" s="372"/>
      <c r="G330" s="372"/>
      <c r="H330" s="372"/>
      <c r="I330" s="372"/>
      <c r="J330" s="372"/>
      <c r="K330" s="372"/>
      <c r="L330" s="372"/>
      <c r="M330" s="372"/>
      <c r="N330" s="372"/>
      <c r="O330" s="635"/>
      <c r="P330" s="372"/>
      <c r="Q330" s="372"/>
      <c r="R330" s="372"/>
      <c r="S330" s="626"/>
      <c r="T330" s="626"/>
      <c r="U330" s="626"/>
      <c r="V330" s="697">
        <v>0</v>
      </c>
      <c r="W330" s="697">
        <v>0</v>
      </c>
      <c r="X330" s="697">
        <v>0</v>
      </c>
      <c r="Y330" s="697">
        <v>0</v>
      </c>
      <c r="Z330" s="697">
        <v>0</v>
      </c>
      <c r="AA330" s="697">
        <v>0</v>
      </c>
    </row>
    <row r="331" spans="1:27" hidden="1">
      <c r="A331" s="634">
        <v>34</v>
      </c>
      <c r="B331" s="639"/>
      <c r="C331" s="634"/>
      <c r="D331" s="636" t="s">
        <v>709</v>
      </c>
      <c r="E331" s="372"/>
      <c r="F331" s="372"/>
      <c r="G331" s="372"/>
      <c r="H331" s="372"/>
      <c r="I331" s="635"/>
      <c r="J331" s="372"/>
      <c r="K331" s="635"/>
      <c r="L331" s="372"/>
      <c r="M331" s="635"/>
      <c r="N331" s="372"/>
      <c r="O331" s="635"/>
      <c r="P331" s="372"/>
      <c r="Q331" s="635"/>
      <c r="R331" s="372"/>
      <c r="S331" s="626"/>
      <c r="T331" s="626"/>
      <c r="U331" s="626"/>
      <c r="V331" s="697">
        <v>0</v>
      </c>
      <c r="W331" s="697">
        <v>0</v>
      </c>
      <c r="X331" s="697">
        <v>0</v>
      </c>
      <c r="Y331" s="697">
        <v>0</v>
      </c>
      <c r="Z331" s="697">
        <v>0</v>
      </c>
      <c r="AA331" s="697">
        <v>0</v>
      </c>
    </row>
    <row r="332" spans="1:27" hidden="1">
      <c r="A332" s="634">
        <v>35</v>
      </c>
      <c r="B332" s="639"/>
      <c r="C332" s="634">
        <v>34136</v>
      </c>
      <c r="D332" s="372" t="s">
        <v>627</v>
      </c>
      <c r="E332" s="372"/>
      <c r="F332" s="634">
        <v>3.1</v>
      </c>
      <c r="G332" s="635"/>
      <c r="H332" s="640">
        <v>2656</v>
      </c>
      <c r="I332" s="635"/>
      <c r="J332" s="634" t="s">
        <v>635</v>
      </c>
      <c r="K332" s="372"/>
      <c r="L332" s="634" t="s">
        <v>635</v>
      </c>
      <c r="M332" s="372"/>
      <c r="N332" s="634" t="s">
        <v>635</v>
      </c>
      <c r="O332" s="635"/>
      <c r="P332" s="640">
        <v>2656</v>
      </c>
      <c r="Q332" s="372"/>
      <c r="R332" s="640">
        <v>2656</v>
      </c>
      <c r="S332" s="626"/>
      <c r="T332" s="626"/>
      <c r="U332" s="626"/>
      <c r="V332" s="696">
        <v>5</v>
      </c>
      <c r="W332" s="697">
        <v>0</v>
      </c>
      <c r="X332" s="697">
        <v>0</v>
      </c>
      <c r="Y332" s="697">
        <v>0</v>
      </c>
      <c r="Z332" s="696">
        <v>5</v>
      </c>
      <c r="AA332" s="696">
        <v>5</v>
      </c>
    </row>
    <row r="333" spans="1:27" hidden="1">
      <c r="A333" s="634">
        <v>36</v>
      </c>
      <c r="B333" s="639"/>
      <c r="C333" s="634">
        <v>34236</v>
      </c>
      <c r="D333" s="372" t="s">
        <v>666</v>
      </c>
      <c r="E333" s="372"/>
      <c r="F333" s="634">
        <v>3.7</v>
      </c>
      <c r="G333" s="635"/>
      <c r="H333" s="640">
        <v>1537</v>
      </c>
      <c r="I333" s="635"/>
      <c r="J333" s="634" t="s">
        <v>635</v>
      </c>
      <c r="K333" s="372"/>
      <c r="L333" s="634" t="s">
        <v>635</v>
      </c>
      <c r="M333" s="372"/>
      <c r="N333" s="634" t="s">
        <v>635</v>
      </c>
      <c r="O333" s="635"/>
      <c r="P333" s="640">
        <v>1537</v>
      </c>
      <c r="Q333" s="372"/>
      <c r="R333" s="640">
        <v>1537</v>
      </c>
      <c r="S333" s="626"/>
      <c r="T333" s="626"/>
      <c r="U333" s="626"/>
      <c r="V333" s="696">
        <v>5</v>
      </c>
      <c r="W333" s="697">
        <v>0</v>
      </c>
      <c r="X333" s="697">
        <v>0</v>
      </c>
      <c r="Y333" s="697">
        <v>0</v>
      </c>
      <c r="Z333" s="696">
        <v>5</v>
      </c>
      <c r="AA333" s="696">
        <v>5</v>
      </c>
    </row>
    <row r="334" spans="1:27" hidden="1">
      <c r="A334" s="634">
        <v>37</v>
      </c>
      <c r="B334" s="639"/>
      <c r="C334" s="634">
        <v>34336</v>
      </c>
      <c r="D334" s="372" t="s">
        <v>667</v>
      </c>
      <c r="E334" s="372"/>
      <c r="F334" s="634">
        <v>2.7</v>
      </c>
      <c r="G334" s="635"/>
      <c r="H334" s="640">
        <v>17516</v>
      </c>
      <c r="I334" s="635"/>
      <c r="J334" s="634" t="s">
        <v>635</v>
      </c>
      <c r="K334" s="372"/>
      <c r="L334" s="634" t="s">
        <v>635</v>
      </c>
      <c r="M334" s="372"/>
      <c r="N334" s="634" t="s">
        <v>635</v>
      </c>
      <c r="O334" s="635"/>
      <c r="P334" s="640">
        <v>17516</v>
      </c>
      <c r="Q334" s="372"/>
      <c r="R334" s="640">
        <v>17516</v>
      </c>
      <c r="S334" s="626"/>
      <c r="T334" s="626"/>
      <c r="U334" s="626"/>
      <c r="V334" s="696">
        <v>5</v>
      </c>
      <c r="W334" s="697">
        <v>0</v>
      </c>
      <c r="X334" s="697">
        <v>0</v>
      </c>
      <c r="Y334" s="697">
        <v>0</v>
      </c>
      <c r="Z334" s="696">
        <v>5</v>
      </c>
      <c r="AA334" s="696">
        <v>5</v>
      </c>
    </row>
    <row r="335" spans="1:27" hidden="1">
      <c r="A335" s="634">
        <v>38</v>
      </c>
      <c r="B335" s="639"/>
      <c r="C335" s="634">
        <v>34536</v>
      </c>
      <c r="D335" s="372" t="s">
        <v>631</v>
      </c>
      <c r="E335" s="372"/>
      <c r="F335" s="634">
        <v>2.8</v>
      </c>
      <c r="G335" s="635"/>
      <c r="H335" s="640">
        <v>14327</v>
      </c>
      <c r="I335" s="635"/>
      <c r="J335" s="634">
        <v>27</v>
      </c>
      <c r="K335" s="372"/>
      <c r="L335" s="634" t="s">
        <v>635</v>
      </c>
      <c r="M335" s="372"/>
      <c r="N335" s="634" t="s">
        <v>635</v>
      </c>
      <c r="O335" s="635"/>
      <c r="P335" s="640">
        <v>14353</v>
      </c>
      <c r="Q335" s="372"/>
      <c r="R335" s="640">
        <v>14329</v>
      </c>
      <c r="S335" s="626"/>
      <c r="T335" s="626"/>
      <c r="U335" s="626"/>
      <c r="V335" s="696">
        <v>5</v>
      </c>
      <c r="W335" s="696">
        <v>5</v>
      </c>
      <c r="X335" s="697">
        <v>0</v>
      </c>
      <c r="Y335" s="697">
        <v>0</v>
      </c>
      <c r="Z335" s="696">
        <v>5</v>
      </c>
      <c r="AA335" s="696">
        <v>5</v>
      </c>
    </row>
    <row r="336" spans="1:27" hidden="1">
      <c r="A336" s="634">
        <v>39</v>
      </c>
      <c r="B336" s="639"/>
      <c r="C336" s="634">
        <v>34636</v>
      </c>
      <c r="D336" s="372" t="s">
        <v>632</v>
      </c>
      <c r="E336" s="372"/>
      <c r="F336" s="634">
        <v>2.2000000000000002</v>
      </c>
      <c r="G336" s="635"/>
      <c r="H336" s="634">
        <v>12</v>
      </c>
      <c r="I336" s="635"/>
      <c r="J336" s="634" t="s">
        <v>635</v>
      </c>
      <c r="K336" s="372"/>
      <c r="L336" s="634" t="s">
        <v>635</v>
      </c>
      <c r="M336" s="372"/>
      <c r="N336" s="634" t="s">
        <v>635</v>
      </c>
      <c r="O336" s="635"/>
      <c r="P336" s="634">
        <v>12</v>
      </c>
      <c r="Q336" s="372"/>
      <c r="R336" s="634">
        <v>12</v>
      </c>
      <c r="S336" s="626"/>
      <c r="T336" s="626"/>
      <c r="U336" s="626"/>
      <c r="V336" s="696">
        <v>5</v>
      </c>
      <c r="W336" s="697">
        <v>0</v>
      </c>
      <c r="X336" s="697">
        <v>0</v>
      </c>
      <c r="Y336" s="697">
        <v>0</v>
      </c>
      <c r="Z336" s="696">
        <v>5</v>
      </c>
      <c r="AA336" s="696">
        <v>5</v>
      </c>
    </row>
    <row r="337" spans="1:27" hidden="1">
      <c r="A337" s="634">
        <v>40</v>
      </c>
      <c r="B337" s="639"/>
      <c r="C337" s="634"/>
      <c r="D337" s="636" t="s">
        <v>710</v>
      </c>
      <c r="E337" s="372"/>
      <c r="F337" s="372"/>
      <c r="G337" s="372"/>
      <c r="H337" s="642">
        <v>36048</v>
      </c>
      <c r="I337" s="635"/>
      <c r="J337" s="643">
        <v>27</v>
      </c>
      <c r="K337" s="635"/>
      <c r="L337" s="643" t="s">
        <v>635</v>
      </c>
      <c r="M337" s="635"/>
      <c r="N337" s="643" t="s">
        <v>635</v>
      </c>
      <c r="O337" s="635"/>
      <c r="P337" s="642">
        <v>36075</v>
      </c>
      <c r="Q337" s="635"/>
      <c r="R337" s="642">
        <v>36051</v>
      </c>
      <c r="S337" s="626"/>
      <c r="T337" s="626"/>
      <c r="U337" s="626"/>
      <c r="V337" s="696">
        <v>5</v>
      </c>
      <c r="W337" s="696">
        <v>5</v>
      </c>
      <c r="X337" s="697">
        <v>0</v>
      </c>
      <c r="Y337" s="697">
        <v>0</v>
      </c>
      <c r="Z337" s="696">
        <v>5</v>
      </c>
      <c r="AA337" s="696">
        <v>5</v>
      </c>
    </row>
    <row r="338" spans="1:27" hidden="1">
      <c r="A338" s="634">
        <v>41</v>
      </c>
      <c r="B338" s="639"/>
      <c r="C338" s="372"/>
      <c r="D338" s="372"/>
      <c r="E338" s="372"/>
      <c r="F338" s="372"/>
      <c r="G338" s="372"/>
      <c r="H338" s="372"/>
      <c r="I338" s="372"/>
      <c r="J338" s="372"/>
      <c r="K338" s="372"/>
      <c r="L338" s="372"/>
      <c r="M338" s="372"/>
      <c r="N338" s="372"/>
      <c r="O338" s="635"/>
      <c r="P338" s="372"/>
      <c r="Q338" s="372"/>
      <c r="R338" s="372"/>
      <c r="S338" s="626"/>
      <c r="T338" s="626"/>
      <c r="U338" s="626"/>
      <c r="V338" s="697">
        <v>0</v>
      </c>
      <c r="W338" s="697">
        <v>0</v>
      </c>
      <c r="X338" s="697">
        <v>0</v>
      </c>
      <c r="Y338" s="697">
        <v>0</v>
      </c>
      <c r="Z338" s="697">
        <v>0</v>
      </c>
      <c r="AA338" s="697">
        <v>0</v>
      </c>
    </row>
    <row r="339" spans="1:27" hidden="1">
      <c r="A339" s="634">
        <v>42</v>
      </c>
      <c r="B339" s="639"/>
      <c r="C339" s="634">
        <v>34637</v>
      </c>
      <c r="D339" s="636" t="s">
        <v>711</v>
      </c>
      <c r="E339" s="372"/>
      <c r="F339" s="634">
        <v>14.3</v>
      </c>
      <c r="G339" s="635"/>
      <c r="H339" s="634">
        <v>585</v>
      </c>
      <c r="I339" s="635"/>
      <c r="J339" s="634" t="s">
        <v>635</v>
      </c>
      <c r="K339" s="372"/>
      <c r="L339" s="634">
        <v>-301</v>
      </c>
      <c r="M339" s="372"/>
      <c r="N339" s="634" t="s">
        <v>628</v>
      </c>
      <c r="O339" s="635"/>
      <c r="P339" s="634">
        <v>284</v>
      </c>
      <c r="Q339" s="372"/>
      <c r="R339" s="634">
        <v>507</v>
      </c>
      <c r="S339" s="626"/>
      <c r="T339" s="626"/>
      <c r="U339" s="626"/>
      <c r="V339" s="696">
        <v>5</v>
      </c>
      <c r="W339" s="697">
        <v>0</v>
      </c>
      <c r="X339" s="696">
        <v>5</v>
      </c>
      <c r="Y339" s="697">
        <v>0</v>
      </c>
      <c r="Z339" s="696">
        <v>5</v>
      </c>
      <c r="AA339" s="696">
        <v>4</v>
      </c>
    </row>
    <row r="340" spans="1:27" ht="15" hidden="1" thickBot="1">
      <c r="A340" s="634">
        <v>43</v>
      </c>
      <c r="B340" s="639"/>
      <c r="C340" s="372"/>
      <c r="D340" s="372" t="s">
        <v>712</v>
      </c>
      <c r="E340" s="372"/>
      <c r="F340" s="372"/>
      <c r="G340" s="372"/>
      <c r="H340" s="648">
        <v>1145344</v>
      </c>
      <c r="I340" s="635"/>
      <c r="J340" s="648">
        <v>67287</v>
      </c>
      <c r="K340" s="635"/>
      <c r="L340" s="648">
        <v>-10063</v>
      </c>
      <c r="M340" s="635"/>
      <c r="N340" s="649" t="s">
        <v>628</v>
      </c>
      <c r="O340" s="635"/>
      <c r="P340" s="648">
        <v>1202568</v>
      </c>
      <c r="Q340" s="635"/>
      <c r="R340" s="648">
        <v>1182926</v>
      </c>
      <c r="S340" s="626"/>
      <c r="T340" s="626"/>
      <c r="U340" s="626"/>
      <c r="V340" s="697">
        <v>2</v>
      </c>
      <c r="W340" s="696">
        <v>5</v>
      </c>
      <c r="X340" s="696">
        <v>4</v>
      </c>
      <c r="Y340" s="697">
        <v>0</v>
      </c>
      <c r="Z340" s="696">
        <v>5</v>
      </c>
      <c r="AA340" s="696">
        <v>5</v>
      </c>
    </row>
    <row r="341" spans="1:27" ht="15.6" hidden="1" thickTop="1" thickBot="1">
      <c r="A341" s="637">
        <v>44</v>
      </c>
      <c r="B341" s="660" t="s">
        <v>67</v>
      </c>
      <c r="C341" s="660"/>
      <c r="D341" s="625"/>
      <c r="E341" s="625"/>
      <c r="F341" s="625"/>
      <c r="G341" s="625"/>
      <c r="H341" s="625"/>
      <c r="I341" s="625"/>
      <c r="J341" s="625"/>
      <c r="K341" s="625"/>
      <c r="L341" s="625"/>
      <c r="M341" s="625"/>
      <c r="N341" s="625"/>
      <c r="O341" s="638"/>
      <c r="P341" s="625"/>
      <c r="Q341" s="625"/>
      <c r="R341" s="625"/>
      <c r="S341" s="626"/>
      <c r="T341" s="626"/>
      <c r="U341" s="626"/>
      <c r="V341" s="697">
        <v>0</v>
      </c>
      <c r="W341" s="697">
        <v>0</v>
      </c>
      <c r="X341" s="697">
        <v>0</v>
      </c>
      <c r="Y341" s="697">
        <v>0</v>
      </c>
      <c r="Z341" s="697">
        <v>0</v>
      </c>
      <c r="AA341" s="697">
        <v>0</v>
      </c>
    </row>
    <row r="342" spans="1:27" hidden="1">
      <c r="A342" s="664" t="s">
        <v>643</v>
      </c>
      <c r="B342" s="664"/>
      <c r="C342" s="372"/>
      <c r="D342" s="372"/>
      <c r="E342" s="664"/>
      <c r="F342" s="664"/>
      <c r="G342" s="664"/>
      <c r="H342" s="664"/>
      <c r="I342" s="664"/>
      <c r="J342" s="664"/>
      <c r="K342" s="664"/>
      <c r="L342" s="664"/>
      <c r="M342" s="664"/>
      <c r="N342" s="664"/>
      <c r="O342" s="635"/>
      <c r="P342" s="372" t="s">
        <v>644</v>
      </c>
      <c r="Q342" s="664"/>
      <c r="R342" s="664"/>
      <c r="S342" s="626"/>
      <c r="T342" s="626"/>
      <c r="U342" s="626"/>
      <c r="V342" s="697">
        <v>0</v>
      </c>
      <c r="W342" s="697">
        <v>0</v>
      </c>
      <c r="X342" s="697">
        <v>0</v>
      </c>
      <c r="Y342" s="697">
        <v>0</v>
      </c>
      <c r="Z342" s="697">
        <v>0</v>
      </c>
      <c r="AA342" s="697">
        <v>0</v>
      </c>
    </row>
    <row r="343" spans="1:27" ht="15" hidden="1" thickBot="1">
      <c r="A343" s="625" t="s">
        <v>604</v>
      </c>
      <c r="B343" s="625"/>
      <c r="C343" s="625"/>
      <c r="D343" s="625"/>
      <c r="E343" s="625"/>
      <c r="F343" s="625"/>
      <c r="G343" s="625" t="s">
        <v>605</v>
      </c>
      <c r="H343" s="625"/>
      <c r="I343" s="625"/>
      <c r="J343" s="625"/>
      <c r="K343" s="625"/>
      <c r="L343" s="625"/>
      <c r="M343" s="625"/>
      <c r="N343" s="625"/>
      <c r="O343" s="638"/>
      <c r="P343" s="625"/>
      <c r="Q343" s="625"/>
      <c r="R343" s="625" t="s">
        <v>713</v>
      </c>
      <c r="S343" s="626"/>
      <c r="T343" s="626"/>
      <c r="U343" s="626"/>
      <c r="V343" s="697">
        <v>0</v>
      </c>
      <c r="W343" s="697">
        <v>0</v>
      </c>
      <c r="X343" s="697">
        <v>0</v>
      </c>
      <c r="Y343" s="697">
        <v>0</v>
      </c>
      <c r="Z343" s="697">
        <v>0</v>
      </c>
      <c r="AA343" s="697">
        <v>0</v>
      </c>
    </row>
    <row r="344" spans="1:27" hidden="1">
      <c r="A344" s="664" t="s">
        <v>4</v>
      </c>
      <c r="B344" s="664"/>
      <c r="C344" s="372"/>
      <c r="D344" s="372"/>
      <c r="E344" s="635" t="s">
        <v>553</v>
      </c>
      <c r="F344" s="372" t="s">
        <v>607</v>
      </c>
      <c r="G344" s="664"/>
      <c r="H344" s="664"/>
      <c r="I344" s="664"/>
      <c r="J344" s="664"/>
      <c r="K344" s="661"/>
      <c r="L344" s="661"/>
      <c r="M344" s="661"/>
      <c r="N344" s="661"/>
      <c r="O344" s="645"/>
      <c r="P344" s="372" t="s">
        <v>608</v>
      </c>
      <c r="Q344" s="664"/>
      <c r="R344" s="664"/>
      <c r="S344" s="626"/>
      <c r="T344" s="626"/>
      <c r="U344" s="626"/>
      <c r="V344" s="697">
        <v>0</v>
      </c>
      <c r="W344" s="697">
        <v>0</v>
      </c>
      <c r="X344" s="697">
        <v>0</v>
      </c>
      <c r="Y344" s="697">
        <v>0</v>
      </c>
      <c r="Z344" s="697">
        <v>0</v>
      </c>
      <c r="AA344" s="697">
        <v>0</v>
      </c>
    </row>
    <row r="345" spans="1:27" hidden="1">
      <c r="A345" s="372"/>
      <c r="B345" s="372"/>
      <c r="C345" s="372"/>
      <c r="D345" s="372"/>
      <c r="E345" s="372"/>
      <c r="F345" s="372" t="s">
        <v>609</v>
      </c>
      <c r="G345" s="372"/>
      <c r="H345" s="372"/>
      <c r="I345" s="372"/>
      <c r="J345" s="372"/>
      <c r="K345" s="636"/>
      <c r="L345" s="636"/>
      <c r="M345" s="372"/>
      <c r="N345" s="372"/>
      <c r="O345" s="635"/>
      <c r="P345" s="636" t="s">
        <v>9</v>
      </c>
      <c r="Q345" s="372"/>
      <c r="R345" s="372"/>
      <c r="S345" s="626"/>
      <c r="T345" s="626"/>
      <c r="U345" s="626"/>
      <c r="V345" s="697">
        <v>0</v>
      </c>
      <c r="W345" s="697">
        <v>0</v>
      </c>
      <c r="X345" s="697">
        <v>0</v>
      </c>
      <c r="Y345" s="697">
        <v>0</v>
      </c>
      <c r="Z345" s="697">
        <v>0</v>
      </c>
      <c r="AA345" s="697">
        <v>0</v>
      </c>
    </row>
    <row r="346" spans="1:27" hidden="1">
      <c r="A346" s="372" t="s">
        <v>10</v>
      </c>
      <c r="B346" s="372"/>
      <c r="C346" s="372"/>
      <c r="D346" s="372"/>
      <c r="E346" s="372"/>
      <c r="F346" s="372"/>
      <c r="G346" s="372"/>
      <c r="H346" s="372"/>
      <c r="I346" s="372"/>
      <c r="J346" s="372"/>
      <c r="K346" s="636"/>
      <c r="L346" s="636"/>
      <c r="M346" s="372"/>
      <c r="N346" s="372"/>
      <c r="O346" s="635"/>
      <c r="P346" s="636" t="s">
        <v>11</v>
      </c>
      <c r="Q346" s="372"/>
      <c r="R346" s="372"/>
      <c r="S346" s="626"/>
      <c r="T346" s="626"/>
      <c r="U346" s="626"/>
      <c r="V346" s="697">
        <v>0</v>
      </c>
      <c r="W346" s="697">
        <v>0</v>
      </c>
      <c r="X346" s="697">
        <v>0</v>
      </c>
      <c r="Y346" s="697">
        <v>0</v>
      </c>
      <c r="Z346" s="697">
        <v>0</v>
      </c>
      <c r="AA346" s="697">
        <v>0</v>
      </c>
    </row>
    <row r="347" spans="1:27" hidden="1">
      <c r="A347" s="372"/>
      <c r="B347" s="372"/>
      <c r="C347" s="372"/>
      <c r="D347" s="372"/>
      <c r="E347" s="372"/>
      <c r="F347" s="372"/>
      <c r="G347" s="372"/>
      <c r="H347" s="372"/>
      <c r="I347" s="372"/>
      <c r="J347" s="372"/>
      <c r="K347" s="636"/>
      <c r="L347" s="636"/>
      <c r="M347" s="372"/>
      <c r="N347" s="372"/>
      <c r="O347" s="635" t="s">
        <v>12</v>
      </c>
      <c r="P347" s="636" t="s">
        <v>13</v>
      </c>
      <c r="Q347" s="372"/>
      <c r="R347" s="372"/>
      <c r="S347" s="626"/>
      <c r="T347" s="626"/>
      <c r="U347" s="626"/>
      <c r="V347" s="697">
        <v>0</v>
      </c>
      <c r="W347" s="697">
        <v>0</v>
      </c>
      <c r="X347" s="697">
        <v>0</v>
      </c>
      <c r="Y347" s="697">
        <v>0</v>
      </c>
      <c r="Z347" s="697">
        <v>0</v>
      </c>
      <c r="AA347" s="697">
        <v>0</v>
      </c>
    </row>
    <row r="348" spans="1:27" hidden="1">
      <c r="A348" s="372"/>
      <c r="B348" s="372"/>
      <c r="C348" s="372"/>
      <c r="D348" s="372"/>
      <c r="E348" s="372"/>
      <c r="F348" s="372"/>
      <c r="G348" s="372"/>
      <c r="H348" s="372"/>
      <c r="I348" s="372"/>
      <c r="J348" s="372"/>
      <c r="K348" s="636"/>
      <c r="L348" s="636"/>
      <c r="M348" s="372"/>
      <c r="N348" s="372"/>
      <c r="O348" s="635"/>
      <c r="P348" s="636" t="s">
        <v>610</v>
      </c>
      <c r="Q348" s="372"/>
      <c r="R348" s="372"/>
      <c r="S348" s="626"/>
      <c r="T348" s="626"/>
      <c r="U348" s="626"/>
      <c r="V348" s="697">
        <v>0</v>
      </c>
      <c r="W348" s="697">
        <v>0</v>
      </c>
      <c r="X348" s="697">
        <v>0</v>
      </c>
      <c r="Y348" s="697">
        <v>0</v>
      </c>
      <c r="Z348" s="697">
        <v>0</v>
      </c>
      <c r="AA348" s="697">
        <v>0</v>
      </c>
    </row>
    <row r="349" spans="1:27" ht="15" hidden="1" thickBot="1">
      <c r="A349" s="625" t="s">
        <v>611</v>
      </c>
      <c r="B349" s="625"/>
      <c r="C349" s="625"/>
      <c r="D349" s="625"/>
      <c r="E349" s="625"/>
      <c r="F349" s="625"/>
      <c r="G349" s="625"/>
      <c r="H349" s="637" t="s">
        <v>612</v>
      </c>
      <c r="I349" s="625"/>
      <c r="J349" s="625"/>
      <c r="K349" s="625"/>
      <c r="L349" s="625"/>
      <c r="M349" s="625"/>
      <c r="N349" s="625"/>
      <c r="O349" s="638"/>
      <c r="P349" s="625" t="s">
        <v>249</v>
      </c>
      <c r="Q349" s="625"/>
      <c r="R349" s="625"/>
      <c r="S349" s="626"/>
      <c r="T349" s="626"/>
      <c r="U349" s="626"/>
      <c r="V349" s="697">
        <v>0</v>
      </c>
      <c r="W349" s="697">
        <v>0</v>
      </c>
      <c r="X349" s="697">
        <v>0</v>
      </c>
      <c r="Y349" s="697">
        <v>0</v>
      </c>
      <c r="Z349" s="697">
        <v>0</v>
      </c>
      <c r="AA349" s="697">
        <v>0</v>
      </c>
    </row>
    <row r="350" spans="1:27" hidden="1">
      <c r="A350" s="664"/>
      <c r="B350" s="664"/>
      <c r="C350" s="634"/>
      <c r="D350" s="634"/>
      <c r="E350" s="634"/>
      <c r="F350" s="634"/>
      <c r="G350" s="634"/>
      <c r="H350" s="634"/>
      <c r="I350" s="634"/>
      <c r="J350" s="634"/>
      <c r="K350" s="634"/>
      <c r="L350" s="634"/>
      <c r="M350" s="634"/>
      <c r="N350" s="634"/>
      <c r="O350" s="635"/>
      <c r="P350" s="634"/>
      <c r="Q350" s="634"/>
      <c r="R350" s="634"/>
      <c r="S350" s="626"/>
      <c r="T350" s="626"/>
      <c r="U350" s="626"/>
      <c r="V350" s="697">
        <v>0</v>
      </c>
      <c r="W350" s="697">
        <v>0</v>
      </c>
      <c r="X350" s="697">
        <v>0</v>
      </c>
      <c r="Y350" s="697">
        <v>0</v>
      </c>
      <c r="Z350" s="697">
        <v>0</v>
      </c>
      <c r="AA350" s="697">
        <v>0</v>
      </c>
    </row>
    <row r="351" spans="1:27" hidden="1">
      <c r="A351" s="372"/>
      <c r="B351" s="372"/>
      <c r="C351" s="634">
        <v>-1</v>
      </c>
      <c r="D351" s="634">
        <v>-2</v>
      </c>
      <c r="E351" s="634"/>
      <c r="F351" s="634">
        <v>-3</v>
      </c>
      <c r="G351" s="634"/>
      <c r="H351" s="634">
        <v>-4</v>
      </c>
      <c r="I351" s="634"/>
      <c r="J351" s="634">
        <v>-5</v>
      </c>
      <c r="K351" s="634"/>
      <c r="L351" s="634">
        <v>-6</v>
      </c>
      <c r="M351" s="634"/>
      <c r="N351" s="634">
        <v>-7</v>
      </c>
      <c r="O351" s="635"/>
      <c r="P351" s="634">
        <v>-8</v>
      </c>
      <c r="Q351" s="634"/>
      <c r="R351" s="634">
        <v>-9</v>
      </c>
      <c r="S351" s="626"/>
      <c r="T351" s="626"/>
      <c r="U351" s="626"/>
      <c r="V351" s="697">
        <v>0</v>
      </c>
      <c r="W351" s="697">
        <v>0</v>
      </c>
      <c r="X351" s="697">
        <v>0</v>
      </c>
      <c r="Y351" s="697">
        <v>0</v>
      </c>
      <c r="Z351" s="697">
        <v>0</v>
      </c>
      <c r="AA351" s="697">
        <v>0</v>
      </c>
    </row>
    <row r="352" spans="1:27" hidden="1">
      <c r="A352" s="372"/>
      <c r="B352" s="372"/>
      <c r="C352" s="634" t="s">
        <v>613</v>
      </c>
      <c r="D352" s="634" t="s">
        <v>613</v>
      </c>
      <c r="E352" s="372"/>
      <c r="F352" s="634" t="s">
        <v>37</v>
      </c>
      <c r="G352" s="634"/>
      <c r="H352" s="634" t="s">
        <v>30</v>
      </c>
      <c r="I352" s="634"/>
      <c r="J352" s="634" t="s">
        <v>45</v>
      </c>
      <c r="K352" s="634"/>
      <c r="L352" s="634" t="s">
        <v>45</v>
      </c>
      <c r="M352" s="634"/>
      <c r="N352" s="372"/>
      <c r="O352" s="635"/>
      <c r="P352" s="634" t="s">
        <v>30</v>
      </c>
      <c r="Q352" s="372"/>
      <c r="R352" s="372"/>
      <c r="S352" s="626"/>
      <c r="T352" s="626"/>
      <c r="U352" s="626"/>
      <c r="V352" s="697">
        <v>0</v>
      </c>
      <c r="W352" s="697">
        <v>0</v>
      </c>
      <c r="X352" s="697">
        <v>0</v>
      </c>
      <c r="Y352" s="697">
        <v>0</v>
      </c>
      <c r="Z352" s="697">
        <v>0</v>
      </c>
      <c r="AA352" s="697">
        <v>0</v>
      </c>
    </row>
    <row r="353" spans="1:27" hidden="1">
      <c r="A353" s="634" t="s">
        <v>35</v>
      </c>
      <c r="B353" s="634"/>
      <c r="C353" s="634" t="s">
        <v>614</v>
      </c>
      <c r="D353" s="634" t="s">
        <v>614</v>
      </c>
      <c r="E353" s="634"/>
      <c r="F353" s="634" t="s">
        <v>615</v>
      </c>
      <c r="G353" s="634"/>
      <c r="H353" s="634" t="s">
        <v>616</v>
      </c>
      <c r="I353" s="634"/>
      <c r="J353" s="634" t="s">
        <v>30</v>
      </c>
      <c r="K353" s="634"/>
      <c r="L353" s="634" t="s">
        <v>30</v>
      </c>
      <c r="M353" s="636"/>
      <c r="N353" s="634" t="s">
        <v>178</v>
      </c>
      <c r="O353" s="635"/>
      <c r="P353" s="634" t="s">
        <v>616</v>
      </c>
      <c r="Q353" s="634"/>
      <c r="R353" s="634" t="s">
        <v>353</v>
      </c>
      <c r="S353" s="626"/>
      <c r="T353" s="626"/>
      <c r="U353" s="626"/>
      <c r="V353" s="697">
        <v>0</v>
      </c>
      <c r="W353" s="697">
        <v>0</v>
      </c>
      <c r="X353" s="697">
        <v>0</v>
      </c>
      <c r="Y353" s="697">
        <v>0</v>
      </c>
      <c r="Z353" s="697">
        <v>0</v>
      </c>
      <c r="AA353" s="697">
        <v>0</v>
      </c>
    </row>
    <row r="354" spans="1:27" ht="15" hidden="1" thickBot="1">
      <c r="A354" s="637" t="s">
        <v>46</v>
      </c>
      <c r="B354" s="637"/>
      <c r="C354" s="637" t="s">
        <v>371</v>
      </c>
      <c r="D354" s="637" t="s">
        <v>617</v>
      </c>
      <c r="E354" s="637"/>
      <c r="F354" s="637" t="s">
        <v>618</v>
      </c>
      <c r="G354" s="637"/>
      <c r="H354" s="637" t="s">
        <v>619</v>
      </c>
      <c r="I354" s="637"/>
      <c r="J354" s="637" t="s">
        <v>620</v>
      </c>
      <c r="K354" s="637"/>
      <c r="L354" s="637" t="s">
        <v>621</v>
      </c>
      <c r="M354" s="637"/>
      <c r="N354" s="637" t="s">
        <v>622</v>
      </c>
      <c r="O354" s="638"/>
      <c r="P354" s="637" t="s">
        <v>623</v>
      </c>
      <c r="Q354" s="637"/>
      <c r="R354" s="637" t="s">
        <v>369</v>
      </c>
      <c r="S354" s="626"/>
      <c r="T354" s="626"/>
      <c r="U354" s="626"/>
      <c r="V354" s="697">
        <v>0</v>
      </c>
      <c r="W354" s="697">
        <v>0</v>
      </c>
      <c r="X354" s="697">
        <v>0</v>
      </c>
      <c r="Y354" s="697">
        <v>0</v>
      </c>
      <c r="Z354" s="697">
        <v>0</v>
      </c>
      <c r="AA354" s="697">
        <v>0</v>
      </c>
    </row>
    <row r="355" spans="1:27" hidden="1">
      <c r="A355" s="634">
        <v>1</v>
      </c>
      <c r="B355" s="639"/>
      <c r="C355" s="372"/>
      <c r="D355" s="372"/>
      <c r="E355" s="664"/>
      <c r="F355" s="664"/>
      <c r="G355" s="664"/>
      <c r="H355" s="664"/>
      <c r="I355" s="664"/>
      <c r="J355" s="664"/>
      <c r="K355" s="664"/>
      <c r="L355" s="664"/>
      <c r="M355" s="664"/>
      <c r="N355" s="664"/>
      <c r="O355" s="635"/>
      <c r="P355" s="372"/>
      <c r="Q355" s="664"/>
      <c r="R355" s="664"/>
      <c r="S355" s="626"/>
      <c r="T355" s="626"/>
      <c r="U355" s="626"/>
      <c r="V355" s="697">
        <v>0</v>
      </c>
      <c r="W355" s="697">
        <v>0</v>
      </c>
      <c r="X355" s="697">
        <v>0</v>
      </c>
      <c r="Y355" s="697">
        <v>0</v>
      </c>
      <c r="Z355" s="697">
        <v>0</v>
      </c>
      <c r="AA355" s="697">
        <v>0</v>
      </c>
    </row>
    <row r="356" spans="1:27" hidden="1">
      <c r="A356" s="634">
        <v>2</v>
      </c>
      <c r="B356" s="639"/>
      <c r="C356" s="372"/>
      <c r="D356" s="372" t="s">
        <v>714</v>
      </c>
      <c r="E356" s="372"/>
      <c r="F356" s="372"/>
      <c r="G356" s="372"/>
      <c r="H356" s="372"/>
      <c r="I356" s="635"/>
      <c r="J356" s="372"/>
      <c r="K356" s="635"/>
      <c r="L356" s="372"/>
      <c r="M356" s="635"/>
      <c r="N356" s="372"/>
      <c r="O356" s="635"/>
      <c r="P356" s="372"/>
      <c r="Q356" s="635"/>
      <c r="R356" s="372"/>
      <c r="S356" s="626"/>
      <c r="T356" s="626"/>
      <c r="U356" s="626"/>
      <c r="V356" s="697">
        <v>0</v>
      </c>
      <c r="W356" s="697">
        <v>0</v>
      </c>
      <c r="X356" s="697">
        <v>0</v>
      </c>
      <c r="Y356" s="697">
        <v>0</v>
      </c>
      <c r="Z356" s="697">
        <v>0</v>
      </c>
      <c r="AA356" s="697">
        <v>0</v>
      </c>
    </row>
    <row r="357" spans="1:27" hidden="1">
      <c r="A357" s="634">
        <v>3</v>
      </c>
      <c r="B357" s="639"/>
      <c r="C357" s="634">
        <v>34199</v>
      </c>
      <c r="D357" s="372" t="s">
        <v>627</v>
      </c>
      <c r="E357" s="372"/>
      <c r="F357" s="634">
        <v>2.9</v>
      </c>
      <c r="G357" s="635"/>
      <c r="H357" s="640">
        <v>368656</v>
      </c>
      <c r="I357" s="635"/>
      <c r="J357" s="640">
        <v>81383</v>
      </c>
      <c r="K357" s="372"/>
      <c r="L357" s="634" t="s">
        <v>635</v>
      </c>
      <c r="M357" s="372"/>
      <c r="N357" s="634" t="s">
        <v>635</v>
      </c>
      <c r="O357" s="635"/>
      <c r="P357" s="640">
        <v>450040</v>
      </c>
      <c r="Q357" s="372"/>
      <c r="R357" s="640">
        <v>375896</v>
      </c>
      <c r="S357" s="626"/>
      <c r="T357" s="626"/>
      <c r="U357" s="626"/>
      <c r="V357" s="696">
        <v>5</v>
      </c>
      <c r="W357" s="696">
        <v>5</v>
      </c>
      <c r="X357" s="697">
        <v>0</v>
      </c>
      <c r="Y357" s="697">
        <v>0</v>
      </c>
      <c r="Z357" s="696">
        <v>5</v>
      </c>
      <c r="AA357" s="696">
        <v>4</v>
      </c>
    </row>
    <row r="358" spans="1:27" hidden="1">
      <c r="A358" s="634">
        <v>4</v>
      </c>
      <c r="B358" s="639"/>
      <c r="C358" s="634">
        <v>34399</v>
      </c>
      <c r="D358" s="372" t="s">
        <v>667</v>
      </c>
      <c r="E358" s="372"/>
      <c r="F358" s="634">
        <v>2.9</v>
      </c>
      <c r="G358" s="635"/>
      <c r="H358" s="640">
        <v>651411</v>
      </c>
      <c r="I358" s="635"/>
      <c r="J358" s="640">
        <v>151456</v>
      </c>
      <c r="K358" s="372"/>
      <c r="L358" s="634" t="s">
        <v>635</v>
      </c>
      <c r="M358" s="372"/>
      <c r="N358" s="634" t="s">
        <v>635</v>
      </c>
      <c r="O358" s="635"/>
      <c r="P358" s="640">
        <v>802866</v>
      </c>
      <c r="Q358" s="372"/>
      <c r="R358" s="640">
        <v>664870</v>
      </c>
      <c r="S358" s="626"/>
      <c r="T358" s="626"/>
      <c r="U358" s="626"/>
      <c r="V358" s="696">
        <v>4</v>
      </c>
      <c r="W358" s="696">
        <v>5</v>
      </c>
      <c r="X358" s="697">
        <v>0</v>
      </c>
      <c r="Y358" s="697">
        <v>0</v>
      </c>
      <c r="Z358" s="696">
        <v>5</v>
      </c>
      <c r="AA358" s="696">
        <v>5</v>
      </c>
    </row>
    <row r="359" spans="1:27" hidden="1">
      <c r="A359" s="634">
        <v>5</v>
      </c>
      <c r="B359" s="639"/>
      <c r="C359" s="634">
        <v>34599</v>
      </c>
      <c r="D359" s="372" t="s">
        <v>631</v>
      </c>
      <c r="E359" s="372"/>
      <c r="F359" s="634">
        <v>2.9</v>
      </c>
      <c r="G359" s="635"/>
      <c r="H359" s="640">
        <v>265592</v>
      </c>
      <c r="I359" s="635"/>
      <c r="J359" s="640">
        <v>59022</v>
      </c>
      <c r="K359" s="372"/>
      <c r="L359" s="634" t="s">
        <v>635</v>
      </c>
      <c r="M359" s="372"/>
      <c r="N359" s="634" t="s">
        <v>635</v>
      </c>
      <c r="O359" s="635"/>
      <c r="P359" s="640">
        <v>324613</v>
      </c>
      <c r="Q359" s="372"/>
      <c r="R359" s="640">
        <v>271116</v>
      </c>
      <c r="S359" s="626"/>
      <c r="T359" s="626"/>
      <c r="U359" s="626"/>
      <c r="V359" s="696">
        <v>5</v>
      </c>
      <c r="W359" s="696">
        <v>5</v>
      </c>
      <c r="X359" s="697">
        <v>0</v>
      </c>
      <c r="Y359" s="697">
        <v>0</v>
      </c>
      <c r="Z359" s="696">
        <v>5</v>
      </c>
      <c r="AA359" s="696">
        <v>5</v>
      </c>
    </row>
    <row r="360" spans="1:27" hidden="1">
      <c r="A360" s="634">
        <v>6</v>
      </c>
      <c r="B360" s="639"/>
      <c r="C360" s="634">
        <v>34899</v>
      </c>
      <c r="D360" s="372" t="s">
        <v>715</v>
      </c>
      <c r="E360" s="372"/>
      <c r="F360" s="634">
        <v>10</v>
      </c>
      <c r="G360" s="635"/>
      <c r="H360" s="640">
        <v>8946</v>
      </c>
      <c r="I360" s="635"/>
      <c r="J360" s="634" t="s">
        <v>635</v>
      </c>
      <c r="K360" s="372"/>
      <c r="L360" s="634" t="s">
        <v>635</v>
      </c>
      <c r="M360" s="372"/>
      <c r="N360" s="634" t="s">
        <v>635</v>
      </c>
      <c r="O360" s="635"/>
      <c r="P360" s="640">
        <v>8946</v>
      </c>
      <c r="Q360" s="372"/>
      <c r="R360" s="640">
        <v>8946</v>
      </c>
      <c r="S360" s="626"/>
      <c r="T360" s="626"/>
      <c r="U360" s="626"/>
      <c r="V360" s="696">
        <v>5</v>
      </c>
      <c r="W360" s="697">
        <v>0</v>
      </c>
      <c r="X360" s="697">
        <v>0</v>
      </c>
      <c r="Y360" s="697">
        <v>0</v>
      </c>
      <c r="Z360" s="696">
        <v>5</v>
      </c>
      <c r="AA360" s="696">
        <v>5</v>
      </c>
    </row>
    <row r="361" spans="1:27" ht="15" hidden="1" thickBot="1">
      <c r="A361" s="634">
        <v>7</v>
      </c>
      <c r="B361" s="639"/>
      <c r="C361" s="634"/>
      <c r="D361" s="372" t="s">
        <v>716</v>
      </c>
      <c r="E361" s="372"/>
      <c r="F361" s="372"/>
      <c r="G361" s="372"/>
      <c r="H361" s="650">
        <v>1294605</v>
      </c>
      <c r="I361" s="634"/>
      <c r="J361" s="650">
        <v>291861</v>
      </c>
      <c r="K361" s="635"/>
      <c r="L361" s="651" t="s">
        <v>635</v>
      </c>
      <c r="M361" s="635"/>
      <c r="N361" s="651" t="s">
        <v>635</v>
      </c>
      <c r="O361" s="635"/>
      <c r="P361" s="650">
        <v>1586466</v>
      </c>
      <c r="Q361" s="635"/>
      <c r="R361" s="650">
        <v>1320828</v>
      </c>
      <c r="S361" s="626"/>
      <c r="T361" s="626"/>
      <c r="U361" s="626"/>
      <c r="V361" s="696">
        <v>3</v>
      </c>
      <c r="W361" s="696">
        <v>5</v>
      </c>
      <c r="X361" s="697">
        <v>0</v>
      </c>
      <c r="Y361" s="697">
        <v>0</v>
      </c>
      <c r="Z361" s="696">
        <v>5</v>
      </c>
      <c r="AA361" s="696">
        <v>4</v>
      </c>
    </row>
    <row r="362" spans="1:27" ht="15" hidden="1" thickTop="1">
      <c r="A362" s="634">
        <v>8</v>
      </c>
      <c r="B362" s="639"/>
      <c r="C362" s="372"/>
      <c r="D362" s="372"/>
      <c r="E362" s="372"/>
      <c r="F362" s="372"/>
      <c r="G362" s="372"/>
      <c r="H362" s="372"/>
      <c r="I362" s="372"/>
      <c r="J362" s="372"/>
      <c r="K362" s="372"/>
      <c r="L362" s="372"/>
      <c r="M362" s="372"/>
      <c r="N362" s="372"/>
      <c r="O362" s="635"/>
      <c r="P362" s="372"/>
      <c r="Q362" s="372"/>
      <c r="R362" s="372"/>
      <c r="S362" s="626"/>
      <c r="T362" s="626"/>
      <c r="U362" s="626"/>
      <c r="V362" s="697">
        <v>0</v>
      </c>
      <c r="W362" s="697">
        <v>0</v>
      </c>
      <c r="X362" s="697">
        <v>0</v>
      </c>
      <c r="Y362" s="697">
        <v>0</v>
      </c>
      <c r="Z362" s="697">
        <v>0</v>
      </c>
      <c r="AA362" s="697">
        <v>0</v>
      </c>
    </row>
    <row r="363" spans="1:27" hidden="1">
      <c r="A363" s="634">
        <v>9</v>
      </c>
      <c r="B363" s="639"/>
      <c r="C363" s="372"/>
      <c r="D363" s="372" t="s">
        <v>717</v>
      </c>
      <c r="E363" s="372"/>
      <c r="F363" s="372"/>
      <c r="G363" s="372"/>
      <c r="H363" s="372"/>
      <c r="I363" s="635"/>
      <c r="J363" s="372"/>
      <c r="K363" s="635"/>
      <c r="L363" s="372"/>
      <c r="M363" s="635"/>
      <c r="N363" s="372"/>
      <c r="O363" s="635"/>
      <c r="P363" s="372"/>
      <c r="Q363" s="635"/>
      <c r="R363" s="372"/>
      <c r="S363" s="626"/>
      <c r="T363" s="626"/>
      <c r="U363" s="626"/>
      <c r="V363" s="697">
        <v>0</v>
      </c>
      <c r="W363" s="697">
        <v>0</v>
      </c>
      <c r="X363" s="697">
        <v>0</v>
      </c>
      <c r="Y363" s="697">
        <v>0</v>
      </c>
      <c r="Z363" s="697">
        <v>0</v>
      </c>
      <c r="AA363" s="697">
        <v>0</v>
      </c>
    </row>
    <row r="364" spans="1:27" hidden="1">
      <c r="A364" s="634">
        <v>10</v>
      </c>
      <c r="B364" s="639"/>
      <c r="C364" s="634">
        <v>34198</v>
      </c>
      <c r="D364" s="372" t="s">
        <v>627</v>
      </c>
      <c r="E364" s="372"/>
      <c r="F364" s="634">
        <v>3.3</v>
      </c>
      <c r="G364" s="635"/>
      <c r="H364" s="634" t="s">
        <v>628</v>
      </c>
      <c r="I364" s="635"/>
      <c r="J364" s="634" t="s">
        <v>635</v>
      </c>
      <c r="K364" s="372"/>
      <c r="L364" s="634" t="s">
        <v>635</v>
      </c>
      <c r="M364" s="372"/>
      <c r="N364" s="634" t="s">
        <v>635</v>
      </c>
      <c r="O364" s="635"/>
      <c r="P364" s="634" t="s">
        <v>635</v>
      </c>
      <c r="Q364" s="372"/>
      <c r="R364" s="634" t="s">
        <v>635</v>
      </c>
      <c r="S364" s="626"/>
      <c r="T364" s="626"/>
      <c r="U364" s="626"/>
      <c r="V364" s="697">
        <v>0</v>
      </c>
      <c r="W364" s="697">
        <v>0</v>
      </c>
      <c r="X364" s="697">
        <v>0</v>
      </c>
      <c r="Y364" s="697">
        <v>0</v>
      </c>
      <c r="Z364" s="697">
        <v>0</v>
      </c>
      <c r="AA364" s="697">
        <v>0</v>
      </c>
    </row>
    <row r="365" spans="1:27" hidden="1">
      <c r="A365" s="634">
        <v>11</v>
      </c>
      <c r="B365" s="639"/>
      <c r="C365" s="634">
        <v>34398</v>
      </c>
      <c r="D365" s="372" t="s">
        <v>667</v>
      </c>
      <c r="E365" s="372"/>
      <c r="F365" s="634">
        <v>3.3</v>
      </c>
      <c r="G365" s="635"/>
      <c r="H365" s="634">
        <v>904</v>
      </c>
      <c r="I365" s="635"/>
      <c r="J365" s="634">
        <v>37</v>
      </c>
      <c r="K365" s="372"/>
      <c r="L365" s="634" t="s">
        <v>635</v>
      </c>
      <c r="M365" s="372"/>
      <c r="N365" s="634" t="s">
        <v>635</v>
      </c>
      <c r="O365" s="635"/>
      <c r="P365" s="634">
        <v>941</v>
      </c>
      <c r="Q365" s="372"/>
      <c r="R365" s="634">
        <v>924</v>
      </c>
      <c r="S365" s="626"/>
      <c r="T365" s="626"/>
      <c r="U365" s="626"/>
      <c r="V365" s="696">
        <v>5</v>
      </c>
      <c r="W365" s="696">
        <v>5</v>
      </c>
      <c r="X365" s="697">
        <v>0</v>
      </c>
      <c r="Y365" s="697">
        <v>0</v>
      </c>
      <c r="Z365" s="696">
        <v>5</v>
      </c>
      <c r="AA365" s="696">
        <v>5</v>
      </c>
    </row>
    <row r="366" spans="1:27" hidden="1">
      <c r="A366" s="634">
        <v>12</v>
      </c>
      <c r="B366" s="639"/>
      <c r="C366" s="634">
        <v>34598</v>
      </c>
      <c r="D366" s="372" t="s">
        <v>631</v>
      </c>
      <c r="E366" s="372"/>
      <c r="F366" s="634">
        <v>3.3</v>
      </c>
      <c r="G366" s="635"/>
      <c r="H366" s="634" t="s">
        <v>628</v>
      </c>
      <c r="I366" s="635"/>
      <c r="J366" s="634" t="s">
        <v>635</v>
      </c>
      <c r="K366" s="372"/>
      <c r="L366" s="634" t="s">
        <v>635</v>
      </c>
      <c r="M366" s="372"/>
      <c r="N366" s="634" t="s">
        <v>635</v>
      </c>
      <c r="O366" s="635"/>
      <c r="P366" s="634" t="s">
        <v>635</v>
      </c>
      <c r="Q366" s="372"/>
      <c r="R366" s="634" t="s">
        <v>635</v>
      </c>
      <c r="S366" s="626"/>
      <c r="T366" s="626"/>
      <c r="U366" s="626"/>
      <c r="V366" s="697">
        <v>0</v>
      </c>
      <c r="W366" s="697">
        <v>0</v>
      </c>
      <c r="X366" s="697">
        <v>0</v>
      </c>
      <c r="Y366" s="697">
        <v>0</v>
      </c>
      <c r="Z366" s="697">
        <v>0</v>
      </c>
      <c r="AA366" s="697">
        <v>0</v>
      </c>
    </row>
    <row r="367" spans="1:27" hidden="1">
      <c r="A367" s="634">
        <v>13</v>
      </c>
      <c r="B367" s="639"/>
      <c r="C367" s="634">
        <v>34898</v>
      </c>
      <c r="D367" s="372" t="s">
        <v>715</v>
      </c>
      <c r="E367" s="372"/>
      <c r="F367" s="634">
        <v>10</v>
      </c>
      <c r="G367" s="635"/>
      <c r="H367" s="634">
        <v>9</v>
      </c>
      <c r="I367" s="635"/>
      <c r="J367" s="634">
        <v>0</v>
      </c>
      <c r="K367" s="372"/>
      <c r="L367" s="634" t="s">
        <v>635</v>
      </c>
      <c r="M367" s="372"/>
      <c r="N367" s="634" t="s">
        <v>635</v>
      </c>
      <c r="O367" s="635"/>
      <c r="P367" s="634">
        <v>9</v>
      </c>
      <c r="Q367" s="372"/>
      <c r="R367" s="634">
        <v>9</v>
      </c>
      <c r="S367" s="626"/>
      <c r="T367" s="626"/>
      <c r="U367" s="626"/>
      <c r="V367" s="696">
        <v>5</v>
      </c>
      <c r="W367" s="696">
        <v>5</v>
      </c>
      <c r="X367" s="697">
        <v>0</v>
      </c>
      <c r="Y367" s="697">
        <v>0</v>
      </c>
      <c r="Z367" s="696">
        <v>5</v>
      </c>
      <c r="AA367" s="696">
        <v>5</v>
      </c>
    </row>
    <row r="368" spans="1:27" ht="15" hidden="1" thickBot="1">
      <c r="A368" s="634">
        <v>14</v>
      </c>
      <c r="B368" s="639"/>
      <c r="C368" s="634"/>
      <c r="D368" s="372" t="s">
        <v>718</v>
      </c>
      <c r="E368" s="372"/>
      <c r="F368" s="372"/>
      <c r="G368" s="372"/>
      <c r="H368" s="651">
        <v>913</v>
      </c>
      <c r="I368" s="634"/>
      <c r="J368" s="651">
        <v>37</v>
      </c>
      <c r="K368" s="635"/>
      <c r="L368" s="651" t="s">
        <v>635</v>
      </c>
      <c r="M368" s="635"/>
      <c r="N368" s="651" t="s">
        <v>635</v>
      </c>
      <c r="O368" s="635"/>
      <c r="P368" s="651">
        <v>950</v>
      </c>
      <c r="Q368" s="635"/>
      <c r="R368" s="651">
        <v>933</v>
      </c>
      <c r="S368" s="626"/>
      <c r="T368" s="626"/>
      <c r="U368" s="626"/>
      <c r="V368" s="696">
        <v>5</v>
      </c>
      <c r="W368" s="696">
        <v>5</v>
      </c>
      <c r="X368" s="697">
        <v>0</v>
      </c>
      <c r="Y368" s="697">
        <v>0</v>
      </c>
      <c r="Z368" s="696">
        <v>5</v>
      </c>
      <c r="AA368" s="696">
        <v>5</v>
      </c>
    </row>
    <row r="369" spans="1:27" ht="15" hidden="1" thickTop="1">
      <c r="A369" s="634">
        <v>15</v>
      </c>
      <c r="B369" s="639"/>
      <c r="C369" s="372"/>
      <c r="D369" s="372"/>
      <c r="E369" s="372"/>
      <c r="F369" s="372"/>
      <c r="G369" s="372"/>
      <c r="H369" s="372"/>
      <c r="I369" s="372"/>
      <c r="J369" s="372"/>
      <c r="K369" s="372"/>
      <c r="L369" s="372"/>
      <c r="M369" s="372"/>
      <c r="N369" s="372"/>
      <c r="O369" s="635"/>
      <c r="P369" s="372"/>
      <c r="Q369" s="372"/>
      <c r="R369" s="372"/>
      <c r="S369" s="626"/>
      <c r="T369" s="626"/>
      <c r="U369" s="626"/>
      <c r="V369" s="697">
        <v>0</v>
      </c>
      <c r="W369" s="697">
        <v>0</v>
      </c>
      <c r="X369" s="697">
        <v>0</v>
      </c>
      <c r="Y369" s="697">
        <v>0</v>
      </c>
      <c r="Z369" s="697">
        <v>0</v>
      </c>
      <c r="AA369" s="697">
        <v>0</v>
      </c>
    </row>
    <row r="370" spans="1:27" hidden="1">
      <c r="A370" s="634">
        <v>16</v>
      </c>
      <c r="B370" s="639"/>
      <c r="C370" s="634"/>
      <c r="D370" s="636" t="s">
        <v>719</v>
      </c>
      <c r="E370" s="372"/>
      <c r="F370" s="372"/>
      <c r="G370" s="372"/>
      <c r="H370" s="372"/>
      <c r="I370" s="372"/>
      <c r="J370" s="372"/>
      <c r="K370" s="372"/>
      <c r="L370" s="372"/>
      <c r="M370" s="372"/>
      <c r="N370" s="372"/>
      <c r="O370" s="635"/>
      <c r="P370" s="372"/>
      <c r="Q370" s="372"/>
      <c r="R370" s="372"/>
      <c r="S370" s="626"/>
      <c r="T370" s="626"/>
      <c r="U370" s="626"/>
      <c r="V370" s="697">
        <v>0</v>
      </c>
      <c r="W370" s="697">
        <v>0</v>
      </c>
      <c r="X370" s="697">
        <v>0</v>
      </c>
      <c r="Y370" s="697">
        <v>0</v>
      </c>
      <c r="Z370" s="697">
        <v>0</v>
      </c>
      <c r="AA370" s="697">
        <v>0</v>
      </c>
    </row>
    <row r="371" spans="1:27" hidden="1">
      <c r="A371" s="634">
        <v>17</v>
      </c>
      <c r="B371" s="639"/>
      <c r="C371" s="634">
        <v>34120</v>
      </c>
      <c r="D371" s="372" t="s">
        <v>627</v>
      </c>
      <c r="E371" s="372"/>
      <c r="F371" s="634">
        <v>0</v>
      </c>
      <c r="G371" s="635"/>
      <c r="H371" s="634" t="s">
        <v>628</v>
      </c>
      <c r="I371" s="635"/>
      <c r="J371" s="634" t="s">
        <v>635</v>
      </c>
      <c r="K371" s="372"/>
      <c r="L371" s="634" t="s">
        <v>635</v>
      </c>
      <c r="M371" s="372"/>
      <c r="N371" s="634" t="s">
        <v>635</v>
      </c>
      <c r="O371" s="635"/>
      <c r="P371" s="634" t="s">
        <v>635</v>
      </c>
      <c r="Q371" s="372"/>
      <c r="R371" s="634" t="s">
        <v>635</v>
      </c>
      <c r="S371" s="626"/>
      <c r="T371" s="626"/>
      <c r="U371" s="626"/>
      <c r="V371" s="697">
        <v>0</v>
      </c>
      <c r="W371" s="697">
        <v>0</v>
      </c>
      <c r="X371" s="697">
        <v>0</v>
      </c>
      <c r="Y371" s="697">
        <v>0</v>
      </c>
      <c r="Z371" s="697">
        <v>0</v>
      </c>
      <c r="AA371" s="697">
        <v>0</v>
      </c>
    </row>
    <row r="372" spans="1:27" hidden="1">
      <c r="A372" s="634">
        <v>18</v>
      </c>
      <c r="B372" s="644"/>
      <c r="C372" s="634">
        <v>34220</v>
      </c>
      <c r="D372" s="372" t="s">
        <v>666</v>
      </c>
      <c r="E372" s="372"/>
      <c r="F372" s="634">
        <v>0</v>
      </c>
      <c r="G372" s="635"/>
      <c r="H372" s="634" t="s">
        <v>628</v>
      </c>
      <c r="I372" s="635"/>
      <c r="J372" s="634" t="s">
        <v>635</v>
      </c>
      <c r="K372" s="372"/>
      <c r="L372" s="634" t="s">
        <v>635</v>
      </c>
      <c r="M372" s="372"/>
      <c r="N372" s="634" t="s">
        <v>635</v>
      </c>
      <c r="O372" s="635"/>
      <c r="P372" s="634" t="s">
        <v>635</v>
      </c>
      <c r="Q372" s="372"/>
      <c r="R372" s="634" t="s">
        <v>635</v>
      </c>
      <c r="S372" s="626"/>
      <c r="T372" s="626"/>
      <c r="U372" s="626"/>
      <c r="V372" s="697">
        <v>0</v>
      </c>
      <c r="W372" s="697">
        <v>0</v>
      </c>
      <c r="X372" s="697">
        <v>0</v>
      </c>
      <c r="Y372" s="697">
        <v>0</v>
      </c>
      <c r="Z372" s="697">
        <v>0</v>
      </c>
      <c r="AA372" s="697">
        <v>0</v>
      </c>
    </row>
    <row r="373" spans="1:27" hidden="1">
      <c r="A373" s="634">
        <v>19</v>
      </c>
      <c r="B373" s="644"/>
      <c r="C373" s="634">
        <v>34320</v>
      </c>
      <c r="D373" s="372" t="s">
        <v>667</v>
      </c>
      <c r="E373" s="372"/>
      <c r="F373" s="634">
        <v>0</v>
      </c>
      <c r="G373" s="635"/>
      <c r="H373" s="634" t="s">
        <v>628</v>
      </c>
      <c r="I373" s="635"/>
      <c r="J373" s="634" t="s">
        <v>635</v>
      </c>
      <c r="K373" s="372"/>
      <c r="L373" s="634" t="s">
        <v>635</v>
      </c>
      <c r="M373" s="372"/>
      <c r="N373" s="634" t="s">
        <v>635</v>
      </c>
      <c r="O373" s="635"/>
      <c r="P373" s="634" t="s">
        <v>635</v>
      </c>
      <c r="Q373" s="372"/>
      <c r="R373" s="634" t="s">
        <v>635</v>
      </c>
      <c r="S373" s="626"/>
      <c r="T373" s="626"/>
      <c r="U373" s="626"/>
      <c r="V373" s="697">
        <v>0</v>
      </c>
      <c r="W373" s="697">
        <v>0</v>
      </c>
      <c r="X373" s="697">
        <v>0</v>
      </c>
      <c r="Y373" s="697">
        <v>0</v>
      </c>
      <c r="Z373" s="697">
        <v>0</v>
      </c>
      <c r="AA373" s="697">
        <v>0</v>
      </c>
    </row>
    <row r="374" spans="1:27" hidden="1">
      <c r="A374" s="634">
        <v>20</v>
      </c>
      <c r="B374" s="639"/>
      <c r="C374" s="634">
        <v>34520</v>
      </c>
      <c r="D374" s="372" t="s">
        <v>631</v>
      </c>
      <c r="E374" s="372"/>
      <c r="F374" s="634">
        <v>0</v>
      </c>
      <c r="G374" s="635"/>
      <c r="H374" s="634" t="s">
        <v>628</v>
      </c>
      <c r="I374" s="635"/>
      <c r="J374" s="634" t="s">
        <v>635</v>
      </c>
      <c r="K374" s="372"/>
      <c r="L374" s="634" t="s">
        <v>635</v>
      </c>
      <c r="M374" s="372"/>
      <c r="N374" s="634" t="s">
        <v>635</v>
      </c>
      <c r="O374" s="635"/>
      <c r="P374" s="634" t="s">
        <v>635</v>
      </c>
      <c r="Q374" s="372"/>
      <c r="R374" s="634" t="s">
        <v>635</v>
      </c>
      <c r="S374" s="626"/>
      <c r="T374" s="626"/>
      <c r="U374" s="626"/>
      <c r="V374" s="697">
        <v>0</v>
      </c>
      <c r="W374" s="697">
        <v>0</v>
      </c>
      <c r="X374" s="697">
        <v>0</v>
      </c>
      <c r="Y374" s="697">
        <v>0</v>
      </c>
      <c r="Z374" s="697">
        <v>0</v>
      </c>
      <c r="AA374" s="697">
        <v>0</v>
      </c>
    </row>
    <row r="375" spans="1:27" hidden="1">
      <c r="A375" s="634">
        <v>21</v>
      </c>
      <c r="B375" s="639"/>
      <c r="C375" s="634">
        <v>34620</v>
      </c>
      <c r="D375" s="372" t="s">
        <v>632</v>
      </c>
      <c r="E375" s="372"/>
      <c r="F375" s="634">
        <v>0</v>
      </c>
      <c r="G375" s="635"/>
      <c r="H375" s="634" t="s">
        <v>628</v>
      </c>
      <c r="I375" s="635"/>
      <c r="J375" s="634" t="s">
        <v>635</v>
      </c>
      <c r="K375" s="372"/>
      <c r="L375" s="634" t="s">
        <v>635</v>
      </c>
      <c r="M375" s="372"/>
      <c r="N375" s="634" t="s">
        <v>635</v>
      </c>
      <c r="O375" s="635"/>
      <c r="P375" s="634" t="s">
        <v>635</v>
      </c>
      <c r="Q375" s="372"/>
      <c r="R375" s="634" t="s">
        <v>635</v>
      </c>
      <c r="S375" s="626"/>
      <c r="T375" s="626"/>
      <c r="U375" s="626"/>
      <c r="V375" s="697">
        <v>0</v>
      </c>
      <c r="W375" s="697">
        <v>0</v>
      </c>
      <c r="X375" s="697">
        <v>0</v>
      </c>
      <c r="Y375" s="697">
        <v>0</v>
      </c>
      <c r="Z375" s="697">
        <v>0</v>
      </c>
      <c r="AA375" s="697">
        <v>0</v>
      </c>
    </row>
    <row r="376" spans="1:27" hidden="1">
      <c r="A376" s="634">
        <v>22</v>
      </c>
      <c r="B376" s="639"/>
      <c r="C376" s="634">
        <v>34820</v>
      </c>
      <c r="D376" s="372" t="s">
        <v>715</v>
      </c>
      <c r="E376" s="372"/>
      <c r="F376" s="634">
        <v>0</v>
      </c>
      <c r="G376" s="635"/>
      <c r="H376" s="634" t="s">
        <v>628</v>
      </c>
      <c r="I376" s="635"/>
      <c r="J376" s="634" t="s">
        <v>635</v>
      </c>
      <c r="K376" s="372"/>
      <c r="L376" s="634" t="s">
        <v>635</v>
      </c>
      <c r="M376" s="372"/>
      <c r="N376" s="634" t="s">
        <v>635</v>
      </c>
      <c r="O376" s="635"/>
      <c r="P376" s="634" t="s">
        <v>635</v>
      </c>
      <c r="Q376" s="372"/>
      <c r="R376" s="634" t="s">
        <v>635</v>
      </c>
      <c r="S376" s="626"/>
      <c r="T376" s="626"/>
      <c r="U376" s="626"/>
      <c r="V376" s="697">
        <v>0</v>
      </c>
      <c r="W376" s="697">
        <v>0</v>
      </c>
      <c r="X376" s="697">
        <v>0</v>
      </c>
      <c r="Y376" s="697">
        <v>0</v>
      </c>
      <c r="Z376" s="697">
        <v>0</v>
      </c>
      <c r="AA376" s="697">
        <v>0</v>
      </c>
    </row>
    <row r="377" spans="1:27" ht="15" hidden="1" thickBot="1">
      <c r="A377" s="634">
        <v>23</v>
      </c>
      <c r="B377" s="639"/>
      <c r="C377" s="372"/>
      <c r="D377" s="636" t="s">
        <v>720</v>
      </c>
      <c r="E377" s="372"/>
      <c r="F377" s="372"/>
      <c r="G377" s="372"/>
      <c r="H377" s="651" t="s">
        <v>628</v>
      </c>
      <c r="I377" s="634"/>
      <c r="J377" s="651" t="s">
        <v>635</v>
      </c>
      <c r="K377" s="635"/>
      <c r="L377" s="651" t="s">
        <v>635</v>
      </c>
      <c r="M377" s="635"/>
      <c r="N377" s="651" t="s">
        <v>635</v>
      </c>
      <c r="O377" s="635"/>
      <c r="P377" s="651" t="s">
        <v>635</v>
      </c>
      <c r="Q377" s="372"/>
      <c r="R377" s="651" t="s">
        <v>635</v>
      </c>
      <c r="S377" s="626"/>
      <c r="T377" s="626"/>
      <c r="U377" s="626"/>
      <c r="V377" s="697">
        <v>0</v>
      </c>
      <c r="W377" s="697">
        <v>0</v>
      </c>
      <c r="X377" s="697">
        <v>0</v>
      </c>
      <c r="Y377" s="697">
        <v>0</v>
      </c>
      <c r="Z377" s="697">
        <v>0</v>
      </c>
      <c r="AA377" s="697">
        <v>0</v>
      </c>
    </row>
    <row r="378" spans="1:27" ht="15" hidden="1" thickTop="1">
      <c r="A378" s="634">
        <v>24</v>
      </c>
      <c r="B378" s="639"/>
      <c r="C378" s="372"/>
      <c r="D378" s="372"/>
      <c r="E378" s="372"/>
      <c r="F378" s="372"/>
      <c r="G378" s="372"/>
      <c r="H378" s="372"/>
      <c r="I378" s="372"/>
      <c r="J378" s="372"/>
      <c r="K378" s="372"/>
      <c r="L378" s="372"/>
      <c r="M378" s="372"/>
      <c r="N378" s="372"/>
      <c r="O378" s="372"/>
      <c r="P378" s="372"/>
      <c r="Q378" s="372"/>
      <c r="R378" s="372"/>
      <c r="S378" s="626"/>
      <c r="T378" s="626"/>
      <c r="U378" s="626"/>
      <c r="V378" s="697">
        <v>0</v>
      </c>
      <c r="W378" s="697">
        <v>0</v>
      </c>
      <c r="X378" s="697">
        <v>0</v>
      </c>
      <c r="Y378" s="697">
        <v>0</v>
      </c>
      <c r="Z378" s="697">
        <v>0</v>
      </c>
      <c r="AA378" s="697">
        <v>0</v>
      </c>
    </row>
    <row r="379" spans="1:27" ht="15" hidden="1" thickBot="1">
      <c r="A379" s="634">
        <v>25</v>
      </c>
      <c r="B379" s="639"/>
      <c r="C379" s="634"/>
      <c r="D379" s="372" t="s">
        <v>721</v>
      </c>
      <c r="E379" s="372"/>
      <c r="F379" s="372"/>
      <c r="G379" s="372"/>
      <c r="H379" s="646">
        <v>4721641</v>
      </c>
      <c r="I379" s="635"/>
      <c r="J379" s="646">
        <v>378809</v>
      </c>
      <c r="K379" s="635"/>
      <c r="L379" s="646">
        <v>-19779</v>
      </c>
      <c r="M379" s="635"/>
      <c r="N379" s="647" t="s">
        <v>628</v>
      </c>
      <c r="O379" s="635"/>
      <c r="P379" s="646">
        <v>5080671</v>
      </c>
      <c r="Q379" s="635"/>
      <c r="R379" s="646">
        <v>4789100</v>
      </c>
      <c r="S379" s="626"/>
      <c r="T379" s="626"/>
      <c r="U379" s="626"/>
      <c r="V379" s="696">
        <v>5</v>
      </c>
      <c r="W379" s="696">
        <v>5</v>
      </c>
      <c r="X379" s="696">
        <v>5</v>
      </c>
      <c r="Y379" s="697">
        <v>0</v>
      </c>
      <c r="Z379" s="696">
        <v>5</v>
      </c>
      <c r="AA379" s="696">
        <v>5</v>
      </c>
    </row>
    <row r="380" spans="1:27" ht="15" hidden="1" thickTop="1">
      <c r="A380" s="634">
        <v>26</v>
      </c>
      <c r="B380" s="372"/>
      <c r="C380" s="372"/>
      <c r="D380" s="372"/>
      <c r="E380" s="372"/>
      <c r="F380" s="372"/>
      <c r="G380" s="372"/>
      <c r="H380" s="372"/>
      <c r="I380" s="635"/>
      <c r="J380" s="635"/>
      <c r="K380" s="635"/>
      <c r="L380" s="635"/>
      <c r="M380" s="635"/>
      <c r="N380" s="635"/>
      <c r="O380" s="635"/>
      <c r="P380" s="635"/>
      <c r="Q380" s="635"/>
      <c r="R380" s="635"/>
      <c r="S380" s="626"/>
      <c r="T380" s="626"/>
      <c r="U380" s="626"/>
      <c r="V380" s="697">
        <v>0</v>
      </c>
      <c r="W380" s="697">
        <v>0</v>
      </c>
      <c r="X380" s="697">
        <v>0</v>
      </c>
      <c r="Y380" s="697">
        <v>0</v>
      </c>
      <c r="Z380" s="697">
        <v>0</v>
      </c>
      <c r="AA380" s="697">
        <v>0</v>
      </c>
    </row>
    <row r="381" spans="1:27" ht="15" hidden="1" thickBot="1">
      <c r="A381" s="634">
        <v>27</v>
      </c>
      <c r="B381" s="372"/>
      <c r="C381" s="372"/>
      <c r="D381" s="372" t="s">
        <v>722</v>
      </c>
      <c r="E381" s="372"/>
      <c r="F381" s="372"/>
      <c r="G381" s="372"/>
      <c r="H381" s="646">
        <v>6095961</v>
      </c>
      <c r="I381" s="635"/>
      <c r="J381" s="646">
        <v>458246</v>
      </c>
      <c r="K381" s="635"/>
      <c r="L381" s="646">
        <v>-34463</v>
      </c>
      <c r="M381" s="635"/>
      <c r="N381" s="647" t="s">
        <v>628</v>
      </c>
      <c r="O381" s="635"/>
      <c r="P381" s="646">
        <v>6519744</v>
      </c>
      <c r="Q381" s="635"/>
      <c r="R381" s="646">
        <v>6186789</v>
      </c>
      <c r="S381" s="626"/>
      <c r="T381" s="626"/>
      <c r="U381" s="626"/>
      <c r="V381" s="696">
        <v>5</v>
      </c>
      <c r="W381" s="696">
        <v>5</v>
      </c>
      <c r="X381" s="696">
        <v>5</v>
      </c>
      <c r="Y381" s="697">
        <v>0</v>
      </c>
      <c r="Z381" s="696">
        <v>5</v>
      </c>
      <c r="AA381" s="696">
        <v>4</v>
      </c>
    </row>
    <row r="382" spans="1:27" ht="15" hidden="1" thickTop="1">
      <c r="A382" s="634">
        <v>28</v>
      </c>
      <c r="B382" s="639"/>
      <c r="C382" s="372"/>
      <c r="D382" s="372"/>
      <c r="E382" s="372"/>
      <c r="F382" s="372"/>
      <c r="G382" s="372"/>
      <c r="H382" s="372"/>
      <c r="I382" s="372"/>
      <c r="J382" s="372"/>
      <c r="K382" s="372"/>
      <c r="L382" s="372"/>
      <c r="M382" s="372"/>
      <c r="N382" s="372"/>
      <c r="O382" s="635"/>
      <c r="P382" s="372"/>
      <c r="Q382" s="372"/>
      <c r="R382" s="372"/>
      <c r="S382" s="626"/>
      <c r="T382" s="626"/>
      <c r="U382" s="626"/>
      <c r="V382" s="697">
        <v>0</v>
      </c>
      <c r="W382" s="697">
        <v>0</v>
      </c>
      <c r="X382" s="697">
        <v>0</v>
      </c>
      <c r="Y382" s="697">
        <v>0</v>
      </c>
      <c r="Z382" s="697">
        <v>0</v>
      </c>
      <c r="AA382" s="697">
        <v>0</v>
      </c>
    </row>
    <row r="383" spans="1:27" hidden="1">
      <c r="A383" s="634">
        <v>29</v>
      </c>
      <c r="B383" s="639"/>
      <c r="C383" s="634"/>
      <c r="D383" s="372" t="s">
        <v>723</v>
      </c>
      <c r="E383" s="372"/>
      <c r="F383" s="372"/>
      <c r="G383" s="372"/>
      <c r="H383" s="372"/>
      <c r="I383" s="635"/>
      <c r="J383" s="634"/>
      <c r="K383" s="634"/>
      <c r="L383" s="634"/>
      <c r="M383" s="634"/>
      <c r="N383" s="634"/>
      <c r="O383" s="635"/>
      <c r="P383" s="634"/>
      <c r="Q383" s="634"/>
      <c r="R383" s="634"/>
      <c r="S383" s="626"/>
      <c r="T383" s="626"/>
      <c r="U383" s="626"/>
      <c r="V383" s="697">
        <v>0</v>
      </c>
      <c r="W383" s="697">
        <v>0</v>
      </c>
      <c r="X383" s="697">
        <v>0</v>
      </c>
      <c r="Y383" s="697">
        <v>0</v>
      </c>
      <c r="Z383" s="697">
        <v>0</v>
      </c>
      <c r="AA383" s="697">
        <v>0</v>
      </c>
    </row>
    <row r="384" spans="1:27" hidden="1">
      <c r="A384" s="634">
        <v>30</v>
      </c>
      <c r="B384" s="639"/>
      <c r="C384" s="634">
        <v>35001</v>
      </c>
      <c r="D384" s="372" t="s">
        <v>724</v>
      </c>
      <c r="E384" s="372"/>
      <c r="F384" s="634">
        <v>1.3</v>
      </c>
      <c r="G384" s="635"/>
      <c r="H384" s="640">
        <v>12162</v>
      </c>
      <c r="I384" s="635"/>
      <c r="J384" s="634" t="s">
        <v>635</v>
      </c>
      <c r="K384" s="372"/>
      <c r="L384" s="634" t="s">
        <v>635</v>
      </c>
      <c r="M384" s="372"/>
      <c r="N384" s="634" t="s">
        <v>635</v>
      </c>
      <c r="O384" s="635"/>
      <c r="P384" s="640">
        <v>12162</v>
      </c>
      <c r="Q384" s="372"/>
      <c r="R384" s="640">
        <v>12162</v>
      </c>
      <c r="S384" s="626"/>
      <c r="T384" s="626"/>
      <c r="U384" s="626"/>
      <c r="V384" s="696">
        <v>5</v>
      </c>
      <c r="W384" s="697">
        <v>0</v>
      </c>
      <c r="X384" s="697">
        <v>0</v>
      </c>
      <c r="Y384" s="697">
        <v>0</v>
      </c>
      <c r="Z384" s="696">
        <v>5</v>
      </c>
      <c r="AA384" s="696">
        <v>5</v>
      </c>
    </row>
    <row r="385" spans="1:27" hidden="1">
      <c r="A385" s="634">
        <v>31</v>
      </c>
      <c r="B385" s="639"/>
      <c r="C385" s="634">
        <v>35100</v>
      </c>
      <c r="D385" s="372" t="s">
        <v>725</v>
      </c>
      <c r="E385" s="372"/>
      <c r="F385" s="634">
        <v>10</v>
      </c>
      <c r="G385" s="635"/>
      <c r="H385" s="634" t="s">
        <v>628</v>
      </c>
      <c r="I385" s="635"/>
      <c r="J385" s="634" t="s">
        <v>635</v>
      </c>
      <c r="K385" s="372"/>
      <c r="L385" s="634" t="s">
        <v>635</v>
      </c>
      <c r="M385" s="372"/>
      <c r="N385" s="634" t="s">
        <v>635</v>
      </c>
      <c r="O385" s="635"/>
      <c r="P385" s="634" t="s">
        <v>635</v>
      </c>
      <c r="Q385" s="372"/>
      <c r="R385" s="634" t="s">
        <v>635</v>
      </c>
      <c r="S385" s="626"/>
      <c r="T385" s="626"/>
      <c r="U385" s="626"/>
      <c r="V385" s="697">
        <v>0</v>
      </c>
      <c r="W385" s="697">
        <v>0</v>
      </c>
      <c r="X385" s="697">
        <v>0</v>
      </c>
      <c r="Y385" s="697">
        <v>0</v>
      </c>
      <c r="Z385" s="697">
        <v>0</v>
      </c>
      <c r="AA385" s="697">
        <v>0</v>
      </c>
    </row>
    <row r="386" spans="1:27" hidden="1">
      <c r="A386" s="634">
        <v>32</v>
      </c>
      <c r="B386" s="639"/>
      <c r="C386" s="634">
        <v>35200</v>
      </c>
      <c r="D386" s="372" t="s">
        <v>726</v>
      </c>
      <c r="E386" s="372"/>
      <c r="F386" s="634">
        <v>1.8</v>
      </c>
      <c r="G386" s="635"/>
      <c r="H386" s="640">
        <v>72974</v>
      </c>
      <c r="I386" s="635"/>
      <c r="J386" s="640">
        <v>1834</v>
      </c>
      <c r="K386" s="372"/>
      <c r="L386" s="634">
        <v>-14</v>
      </c>
      <c r="M386" s="372"/>
      <c r="N386" s="634" t="s">
        <v>628</v>
      </c>
      <c r="O386" s="635"/>
      <c r="P386" s="640">
        <v>74793</v>
      </c>
      <c r="Q386" s="372"/>
      <c r="R386" s="640">
        <v>74527</v>
      </c>
      <c r="S386" s="626"/>
      <c r="T386" s="626"/>
      <c r="U386" s="626"/>
      <c r="V386" s="696">
        <v>5</v>
      </c>
      <c r="W386" s="696">
        <v>4</v>
      </c>
      <c r="X386" s="696">
        <v>4</v>
      </c>
      <c r="Y386" s="697">
        <v>0</v>
      </c>
      <c r="Z386" s="696">
        <v>5</v>
      </c>
      <c r="AA386" s="696">
        <v>5</v>
      </c>
    </row>
    <row r="387" spans="1:27" hidden="1">
      <c r="A387" s="634">
        <v>33</v>
      </c>
      <c r="B387" s="639"/>
      <c r="C387" s="634">
        <v>35300</v>
      </c>
      <c r="D387" s="372" t="s">
        <v>727</v>
      </c>
      <c r="E387" s="372"/>
      <c r="F387" s="634">
        <v>2.4</v>
      </c>
      <c r="G387" s="635"/>
      <c r="H387" s="640">
        <v>400698</v>
      </c>
      <c r="I387" s="635"/>
      <c r="J387" s="640">
        <v>33239</v>
      </c>
      <c r="K387" s="372"/>
      <c r="L387" s="640">
        <v>-4719</v>
      </c>
      <c r="M387" s="372"/>
      <c r="N387" s="640">
        <v>6628</v>
      </c>
      <c r="O387" s="635"/>
      <c r="P387" s="640">
        <v>435846</v>
      </c>
      <c r="Q387" s="372"/>
      <c r="R387" s="640">
        <v>416296</v>
      </c>
      <c r="S387" s="626"/>
      <c r="T387" s="626"/>
      <c r="U387" s="626"/>
      <c r="V387" s="696">
        <v>5</v>
      </c>
      <c r="W387" s="696">
        <v>5</v>
      </c>
      <c r="X387" s="696">
        <v>5</v>
      </c>
      <c r="Y387" s="696">
        <v>5</v>
      </c>
      <c r="Z387" s="696">
        <v>5</v>
      </c>
      <c r="AA387" s="696">
        <v>5</v>
      </c>
    </row>
    <row r="388" spans="1:27" hidden="1">
      <c r="A388" s="634">
        <v>34</v>
      </c>
      <c r="B388" s="639"/>
      <c r="C388" s="634">
        <v>35400</v>
      </c>
      <c r="D388" s="372" t="s">
        <v>728</v>
      </c>
      <c r="E388" s="372"/>
      <c r="F388" s="634">
        <v>2.8</v>
      </c>
      <c r="G388" s="635"/>
      <c r="H388" s="640">
        <v>5092</v>
      </c>
      <c r="I388" s="635"/>
      <c r="J388" s="634" t="s">
        <v>635</v>
      </c>
      <c r="K388" s="372"/>
      <c r="L388" s="634" t="s">
        <v>635</v>
      </c>
      <c r="M388" s="372"/>
      <c r="N388" s="634" t="s">
        <v>635</v>
      </c>
      <c r="O388" s="635"/>
      <c r="P388" s="640">
        <v>5092</v>
      </c>
      <c r="Q388" s="372"/>
      <c r="R388" s="640">
        <v>5092</v>
      </c>
      <c r="S388" s="626"/>
      <c r="T388" s="626"/>
      <c r="U388" s="626"/>
      <c r="V388" s="696">
        <v>5</v>
      </c>
      <c r="W388" s="697">
        <v>0</v>
      </c>
      <c r="X388" s="697">
        <v>0</v>
      </c>
      <c r="Y388" s="697">
        <v>0</v>
      </c>
      <c r="Z388" s="696">
        <v>5</v>
      </c>
      <c r="AA388" s="696">
        <v>5</v>
      </c>
    </row>
    <row r="389" spans="1:27" hidden="1">
      <c r="A389" s="634">
        <v>35</v>
      </c>
      <c r="B389" s="639"/>
      <c r="C389" s="634">
        <v>35500</v>
      </c>
      <c r="D389" s="372" t="s">
        <v>729</v>
      </c>
      <c r="E389" s="372"/>
      <c r="F389" s="634">
        <v>2.8</v>
      </c>
      <c r="G389" s="635"/>
      <c r="H389" s="640">
        <v>393449</v>
      </c>
      <c r="I389" s="635"/>
      <c r="J389" s="640">
        <v>26673</v>
      </c>
      <c r="K389" s="372"/>
      <c r="L389" s="634">
        <v>-985</v>
      </c>
      <c r="M389" s="372"/>
      <c r="N389" s="634">
        <v>-422</v>
      </c>
      <c r="O389" s="635"/>
      <c r="P389" s="640">
        <v>418715</v>
      </c>
      <c r="Q389" s="372"/>
      <c r="R389" s="640">
        <v>400578</v>
      </c>
      <c r="S389" s="626"/>
      <c r="T389" s="626"/>
      <c r="U389" s="626"/>
      <c r="V389" s="696">
        <v>5</v>
      </c>
      <c r="W389" s="696">
        <v>5</v>
      </c>
      <c r="X389" s="696">
        <v>5</v>
      </c>
      <c r="Y389" s="696">
        <v>5</v>
      </c>
      <c r="Z389" s="696">
        <v>5</v>
      </c>
      <c r="AA389" s="696">
        <v>5</v>
      </c>
    </row>
    <row r="390" spans="1:27" hidden="1">
      <c r="A390" s="634">
        <v>36</v>
      </c>
      <c r="B390" s="639"/>
      <c r="C390" s="634">
        <v>35600</v>
      </c>
      <c r="D390" s="372" t="s">
        <v>730</v>
      </c>
      <c r="E390" s="372"/>
      <c r="F390" s="634">
        <v>2.9</v>
      </c>
      <c r="G390" s="635"/>
      <c r="H390" s="640">
        <v>172223</v>
      </c>
      <c r="I390" s="635"/>
      <c r="J390" s="640">
        <v>7653</v>
      </c>
      <c r="K390" s="372"/>
      <c r="L390" s="640">
        <v>-1179</v>
      </c>
      <c r="M390" s="372"/>
      <c r="N390" s="634">
        <v>337</v>
      </c>
      <c r="O390" s="635"/>
      <c r="P390" s="640">
        <v>179035</v>
      </c>
      <c r="Q390" s="372"/>
      <c r="R390" s="640">
        <v>174213</v>
      </c>
      <c r="S390" s="626"/>
      <c r="T390" s="626"/>
      <c r="U390" s="626"/>
      <c r="V390" s="696">
        <v>5</v>
      </c>
      <c r="W390" s="696">
        <v>4</v>
      </c>
      <c r="X390" s="696">
        <v>5</v>
      </c>
      <c r="Y390" s="696">
        <v>5</v>
      </c>
      <c r="Z390" s="696">
        <v>5</v>
      </c>
      <c r="AA390" s="696">
        <v>4</v>
      </c>
    </row>
    <row r="391" spans="1:27" hidden="1">
      <c r="A391" s="634">
        <v>37</v>
      </c>
      <c r="B391" s="639"/>
      <c r="C391" s="634">
        <v>35601</v>
      </c>
      <c r="D391" s="372" t="s">
        <v>731</v>
      </c>
      <c r="E391" s="372"/>
      <c r="F391" s="634">
        <v>1.6</v>
      </c>
      <c r="G391" s="635"/>
      <c r="H391" s="640">
        <v>2111</v>
      </c>
      <c r="I391" s="635"/>
      <c r="J391" s="634" t="s">
        <v>635</v>
      </c>
      <c r="K391" s="372"/>
      <c r="L391" s="634" t="s">
        <v>635</v>
      </c>
      <c r="M391" s="372"/>
      <c r="N391" s="634" t="s">
        <v>635</v>
      </c>
      <c r="O391" s="635"/>
      <c r="P391" s="640">
        <v>2111</v>
      </c>
      <c r="Q391" s="372"/>
      <c r="R391" s="640">
        <v>2111</v>
      </c>
      <c r="S391" s="626"/>
      <c r="T391" s="626"/>
      <c r="U391" s="626"/>
      <c r="V391" s="696">
        <v>5</v>
      </c>
      <c r="W391" s="697">
        <v>0</v>
      </c>
      <c r="X391" s="697">
        <v>0</v>
      </c>
      <c r="Y391" s="697">
        <v>0</v>
      </c>
      <c r="Z391" s="696">
        <v>5</v>
      </c>
      <c r="AA391" s="696">
        <v>5</v>
      </c>
    </row>
    <row r="392" spans="1:27" hidden="1">
      <c r="A392" s="634">
        <v>38</v>
      </c>
      <c r="B392" s="639"/>
      <c r="C392" s="634">
        <v>35700</v>
      </c>
      <c r="D392" s="372" t="s">
        <v>732</v>
      </c>
      <c r="E392" s="372"/>
      <c r="F392" s="634">
        <v>1.7</v>
      </c>
      <c r="G392" s="635"/>
      <c r="H392" s="640">
        <v>4332</v>
      </c>
      <c r="I392" s="635"/>
      <c r="J392" s="634">
        <v>0</v>
      </c>
      <c r="K392" s="372"/>
      <c r="L392" s="634" t="s">
        <v>635</v>
      </c>
      <c r="M392" s="372"/>
      <c r="N392" s="634">
        <v>-10</v>
      </c>
      <c r="O392" s="635"/>
      <c r="P392" s="640">
        <v>4323</v>
      </c>
      <c r="Q392" s="372"/>
      <c r="R392" s="640">
        <v>4325</v>
      </c>
      <c r="S392" s="626"/>
      <c r="T392" s="626"/>
      <c r="U392" s="626"/>
      <c r="V392" s="696">
        <v>5</v>
      </c>
      <c r="W392" s="696">
        <v>5</v>
      </c>
      <c r="X392" s="697">
        <v>0</v>
      </c>
      <c r="Y392" s="696">
        <v>5</v>
      </c>
      <c r="Z392" s="696">
        <v>5</v>
      </c>
      <c r="AA392" s="696">
        <v>5</v>
      </c>
    </row>
    <row r="393" spans="1:27" hidden="1">
      <c r="A393" s="634">
        <v>39</v>
      </c>
      <c r="B393" s="639"/>
      <c r="C393" s="634">
        <v>35800</v>
      </c>
      <c r="D393" s="372" t="s">
        <v>733</v>
      </c>
      <c r="E393" s="372"/>
      <c r="F393" s="634">
        <v>2.7</v>
      </c>
      <c r="G393" s="635"/>
      <c r="H393" s="640">
        <v>11802</v>
      </c>
      <c r="I393" s="635"/>
      <c r="J393" s="634">
        <v>561</v>
      </c>
      <c r="K393" s="372"/>
      <c r="L393" s="634" t="s">
        <v>635</v>
      </c>
      <c r="M393" s="372"/>
      <c r="N393" s="634" t="s">
        <v>635</v>
      </c>
      <c r="O393" s="635"/>
      <c r="P393" s="640">
        <v>12363</v>
      </c>
      <c r="Q393" s="372"/>
      <c r="R393" s="640">
        <v>12055</v>
      </c>
      <c r="S393" s="626"/>
      <c r="T393" s="626"/>
      <c r="U393" s="626"/>
      <c r="V393" s="696">
        <v>5</v>
      </c>
      <c r="W393" s="696">
        <v>5</v>
      </c>
      <c r="X393" s="697">
        <v>0</v>
      </c>
      <c r="Y393" s="697">
        <v>0</v>
      </c>
      <c r="Z393" s="696">
        <v>5</v>
      </c>
      <c r="AA393" s="696">
        <v>5</v>
      </c>
    </row>
    <row r="394" spans="1:27" hidden="1">
      <c r="A394" s="634">
        <v>40</v>
      </c>
      <c r="B394" s="639"/>
      <c r="C394" s="634">
        <v>35900</v>
      </c>
      <c r="D394" s="372" t="s">
        <v>734</v>
      </c>
      <c r="E394" s="372"/>
      <c r="F394" s="634">
        <v>1.6</v>
      </c>
      <c r="G394" s="635"/>
      <c r="H394" s="640">
        <v>16354</v>
      </c>
      <c r="I394" s="635"/>
      <c r="J394" s="640">
        <v>2884</v>
      </c>
      <c r="K394" s="372"/>
      <c r="L394" s="634">
        <v>-14</v>
      </c>
      <c r="M394" s="372"/>
      <c r="N394" s="634" t="s">
        <v>628</v>
      </c>
      <c r="O394" s="635"/>
      <c r="P394" s="640">
        <v>19225</v>
      </c>
      <c r="Q394" s="372"/>
      <c r="R394" s="640">
        <v>17269</v>
      </c>
      <c r="S394" s="626"/>
      <c r="T394" s="626"/>
      <c r="U394" s="626"/>
      <c r="V394" s="696">
        <v>5</v>
      </c>
      <c r="W394" s="696">
        <v>5</v>
      </c>
      <c r="X394" s="696">
        <v>5</v>
      </c>
      <c r="Y394" s="697">
        <v>0</v>
      </c>
      <c r="Z394" s="696">
        <v>5</v>
      </c>
      <c r="AA394" s="696">
        <v>5</v>
      </c>
    </row>
    <row r="395" spans="1:27" ht="15" hidden="1" thickBot="1">
      <c r="A395" s="634">
        <v>41</v>
      </c>
      <c r="B395" s="639"/>
      <c r="C395" s="634"/>
      <c r="D395" s="372" t="s">
        <v>735</v>
      </c>
      <c r="E395" s="372"/>
      <c r="F395" s="372"/>
      <c r="G395" s="635"/>
      <c r="H395" s="648">
        <v>1091197</v>
      </c>
      <c r="I395" s="635"/>
      <c r="J395" s="648">
        <v>72844</v>
      </c>
      <c r="K395" s="635"/>
      <c r="L395" s="648">
        <v>-6911</v>
      </c>
      <c r="M395" s="635"/>
      <c r="N395" s="648">
        <v>6534</v>
      </c>
      <c r="O395" s="635"/>
      <c r="P395" s="648">
        <v>1163665</v>
      </c>
      <c r="Q395" s="635"/>
      <c r="R395" s="648">
        <v>1118627</v>
      </c>
      <c r="S395" s="626"/>
      <c r="T395" s="626"/>
      <c r="U395" s="626"/>
      <c r="V395" s="696">
        <v>5</v>
      </c>
      <c r="W395" s="696">
        <v>5</v>
      </c>
      <c r="X395" s="696">
        <v>5</v>
      </c>
      <c r="Y395" s="696">
        <v>4</v>
      </c>
      <c r="Z395" s="696">
        <v>4</v>
      </c>
      <c r="AA395" s="696">
        <v>5</v>
      </c>
    </row>
    <row r="396" spans="1:27" ht="15" hidden="1" thickTop="1">
      <c r="A396" s="634">
        <v>42</v>
      </c>
      <c r="B396" s="639"/>
      <c r="C396" s="634"/>
      <c r="D396" s="372"/>
      <c r="E396" s="372"/>
      <c r="F396" s="372"/>
      <c r="G396" s="372"/>
      <c r="H396" s="372"/>
      <c r="I396" s="372"/>
      <c r="J396" s="372"/>
      <c r="K396" s="372"/>
      <c r="L396" s="372"/>
      <c r="M396" s="372"/>
      <c r="N396" s="372"/>
      <c r="O396" s="635"/>
      <c r="P396" s="372"/>
      <c r="Q396" s="372"/>
      <c r="R396" s="372"/>
      <c r="S396" s="626"/>
      <c r="T396" s="626"/>
      <c r="U396" s="626"/>
      <c r="V396" s="697">
        <v>0</v>
      </c>
      <c r="W396" s="697">
        <v>0</v>
      </c>
      <c r="X396" s="697">
        <v>0</v>
      </c>
      <c r="Y396" s="697">
        <v>0</v>
      </c>
      <c r="Z396" s="697">
        <v>0</v>
      </c>
      <c r="AA396" s="697">
        <v>0</v>
      </c>
    </row>
    <row r="397" spans="1:27" hidden="1">
      <c r="A397" s="634">
        <v>43</v>
      </c>
      <c r="B397" s="639"/>
      <c r="C397" s="372"/>
      <c r="D397" s="372"/>
      <c r="E397" s="372"/>
      <c r="F397" s="372"/>
      <c r="G397" s="372"/>
      <c r="H397" s="372"/>
      <c r="I397" s="372"/>
      <c r="J397" s="372"/>
      <c r="K397" s="372"/>
      <c r="L397" s="372"/>
      <c r="M397" s="372"/>
      <c r="N397" s="372"/>
      <c r="O397" s="635"/>
      <c r="P397" s="372"/>
      <c r="Q397" s="372"/>
      <c r="R397" s="372"/>
      <c r="S397" s="626"/>
      <c r="T397" s="626"/>
      <c r="U397" s="626"/>
      <c r="V397" s="697">
        <v>0</v>
      </c>
      <c r="W397" s="697">
        <v>0</v>
      </c>
      <c r="X397" s="697">
        <v>0</v>
      </c>
      <c r="Y397" s="697">
        <v>0</v>
      </c>
      <c r="Z397" s="697">
        <v>0</v>
      </c>
      <c r="AA397" s="697">
        <v>0</v>
      </c>
    </row>
    <row r="398" spans="1:27" ht="15" hidden="1" thickBot="1">
      <c r="A398" s="637">
        <v>44</v>
      </c>
      <c r="B398" s="660" t="s">
        <v>67</v>
      </c>
      <c r="C398" s="660"/>
      <c r="D398" s="625"/>
      <c r="E398" s="625"/>
      <c r="F398" s="625"/>
      <c r="G398" s="625"/>
      <c r="H398" s="625"/>
      <c r="I398" s="625"/>
      <c r="J398" s="625"/>
      <c r="K398" s="625"/>
      <c r="L398" s="625"/>
      <c r="M398" s="625"/>
      <c r="N398" s="625"/>
      <c r="O398" s="638"/>
      <c r="P398" s="625"/>
      <c r="Q398" s="625"/>
      <c r="R398" s="625"/>
      <c r="S398" s="626"/>
      <c r="T398" s="626"/>
      <c r="U398" s="626"/>
      <c r="V398" s="697">
        <v>0</v>
      </c>
      <c r="W398" s="697">
        <v>0</v>
      </c>
      <c r="X398" s="697">
        <v>0</v>
      </c>
      <c r="Y398" s="697">
        <v>0</v>
      </c>
      <c r="Z398" s="697">
        <v>0</v>
      </c>
      <c r="AA398" s="697">
        <v>0</v>
      </c>
    </row>
    <row r="399" spans="1:27" hidden="1">
      <c r="A399" s="664" t="s">
        <v>643</v>
      </c>
      <c r="B399" s="664"/>
      <c r="C399" s="372"/>
      <c r="D399" s="372"/>
      <c r="E399" s="664"/>
      <c r="F399" s="664"/>
      <c r="G399" s="664"/>
      <c r="H399" s="664"/>
      <c r="I399" s="664"/>
      <c r="J399" s="664"/>
      <c r="K399" s="664"/>
      <c r="L399" s="664"/>
      <c r="M399" s="664"/>
      <c r="N399" s="664"/>
      <c r="O399" s="635"/>
      <c r="P399" s="372" t="s">
        <v>644</v>
      </c>
      <c r="Q399" s="664"/>
      <c r="R399" s="664"/>
      <c r="S399" s="626"/>
      <c r="T399" s="626"/>
      <c r="U399" s="626"/>
      <c r="V399" s="697">
        <v>0</v>
      </c>
      <c r="W399" s="697">
        <v>0</v>
      </c>
      <c r="X399" s="697">
        <v>0</v>
      </c>
      <c r="Y399" s="697">
        <v>0</v>
      </c>
      <c r="Z399" s="697">
        <v>0</v>
      </c>
      <c r="AA399" s="697">
        <v>0</v>
      </c>
    </row>
    <row r="400" spans="1:27" ht="15" hidden="1" thickBot="1">
      <c r="A400" s="625" t="s">
        <v>604</v>
      </c>
      <c r="B400" s="625"/>
      <c r="C400" s="625"/>
      <c r="D400" s="625"/>
      <c r="E400" s="625"/>
      <c r="F400" s="625"/>
      <c r="G400" s="625" t="s">
        <v>605</v>
      </c>
      <c r="H400" s="625"/>
      <c r="I400" s="625"/>
      <c r="J400" s="625"/>
      <c r="K400" s="625"/>
      <c r="L400" s="625"/>
      <c r="M400" s="625"/>
      <c r="N400" s="625"/>
      <c r="O400" s="638"/>
      <c r="P400" s="625"/>
      <c r="Q400" s="625"/>
      <c r="R400" s="625" t="s">
        <v>736</v>
      </c>
      <c r="S400" s="626"/>
      <c r="T400" s="626"/>
      <c r="U400" s="626"/>
      <c r="V400" s="697">
        <v>0</v>
      </c>
      <c r="W400" s="697">
        <v>0</v>
      </c>
      <c r="X400" s="697">
        <v>0</v>
      </c>
      <c r="Y400" s="697">
        <v>0</v>
      </c>
      <c r="Z400" s="697">
        <v>0</v>
      </c>
      <c r="AA400" s="697">
        <v>0</v>
      </c>
    </row>
    <row r="401" spans="1:27" hidden="1">
      <c r="A401" s="664" t="s">
        <v>4</v>
      </c>
      <c r="B401" s="664"/>
      <c r="C401" s="372"/>
      <c r="D401" s="372"/>
      <c r="E401" s="635" t="s">
        <v>553</v>
      </c>
      <c r="F401" s="372" t="s">
        <v>607</v>
      </c>
      <c r="G401" s="664"/>
      <c r="H401" s="664"/>
      <c r="I401" s="664"/>
      <c r="J401" s="664"/>
      <c r="K401" s="661"/>
      <c r="L401" s="661"/>
      <c r="M401" s="661"/>
      <c r="N401" s="661"/>
      <c r="O401" s="645"/>
      <c r="P401" s="372" t="s">
        <v>608</v>
      </c>
      <c r="Q401" s="664"/>
      <c r="R401" s="664"/>
      <c r="S401" s="626"/>
      <c r="T401" s="626"/>
      <c r="U401" s="626"/>
      <c r="V401" s="697">
        <v>0</v>
      </c>
      <c r="W401" s="697">
        <v>0</v>
      </c>
      <c r="X401" s="697">
        <v>0</v>
      </c>
      <c r="Y401" s="697">
        <v>0</v>
      </c>
      <c r="Z401" s="697">
        <v>0</v>
      </c>
      <c r="AA401" s="697">
        <v>0</v>
      </c>
    </row>
    <row r="402" spans="1:27" hidden="1">
      <c r="A402" s="372"/>
      <c r="B402" s="372"/>
      <c r="C402" s="372"/>
      <c r="D402" s="372"/>
      <c r="E402" s="372"/>
      <c r="F402" s="372" t="s">
        <v>609</v>
      </c>
      <c r="G402" s="372"/>
      <c r="H402" s="372"/>
      <c r="I402" s="372"/>
      <c r="J402" s="372"/>
      <c r="K402" s="636"/>
      <c r="L402" s="636"/>
      <c r="M402" s="372"/>
      <c r="N402" s="372"/>
      <c r="O402" s="635"/>
      <c r="P402" s="636" t="s">
        <v>9</v>
      </c>
      <c r="Q402" s="372"/>
      <c r="R402" s="372"/>
      <c r="S402" s="626"/>
      <c r="T402" s="626"/>
      <c r="U402" s="626"/>
      <c r="V402" s="697">
        <v>0</v>
      </c>
      <c r="W402" s="697">
        <v>0</v>
      </c>
      <c r="X402" s="697">
        <v>0</v>
      </c>
      <c r="Y402" s="697">
        <v>0</v>
      </c>
      <c r="Z402" s="697">
        <v>0</v>
      </c>
      <c r="AA402" s="697">
        <v>0</v>
      </c>
    </row>
    <row r="403" spans="1:27" hidden="1">
      <c r="A403" s="372" t="s">
        <v>10</v>
      </c>
      <c r="B403" s="372"/>
      <c r="C403" s="372"/>
      <c r="D403" s="372"/>
      <c r="E403" s="372"/>
      <c r="F403" s="372"/>
      <c r="G403" s="372"/>
      <c r="H403" s="372"/>
      <c r="I403" s="372"/>
      <c r="J403" s="372"/>
      <c r="K403" s="636"/>
      <c r="L403" s="636"/>
      <c r="M403" s="372"/>
      <c r="N403" s="372"/>
      <c r="O403" s="635"/>
      <c r="P403" s="636" t="s">
        <v>11</v>
      </c>
      <c r="Q403" s="372"/>
      <c r="R403" s="372"/>
      <c r="S403" s="626"/>
      <c r="T403" s="626"/>
      <c r="U403" s="626"/>
      <c r="V403" s="697">
        <v>0</v>
      </c>
      <c r="W403" s="697">
        <v>0</v>
      </c>
      <c r="X403" s="697">
        <v>0</v>
      </c>
      <c r="Y403" s="697">
        <v>0</v>
      </c>
      <c r="Z403" s="697">
        <v>0</v>
      </c>
      <c r="AA403" s="697">
        <v>0</v>
      </c>
    </row>
    <row r="404" spans="1:27" hidden="1">
      <c r="A404" s="372"/>
      <c r="B404" s="372"/>
      <c r="C404" s="372"/>
      <c r="D404" s="372"/>
      <c r="E404" s="372"/>
      <c r="F404" s="372"/>
      <c r="G404" s="372"/>
      <c r="H404" s="372"/>
      <c r="I404" s="372"/>
      <c r="J404" s="372"/>
      <c r="K404" s="636"/>
      <c r="L404" s="636"/>
      <c r="M404" s="372"/>
      <c r="N404" s="372"/>
      <c r="O404" s="635" t="s">
        <v>12</v>
      </c>
      <c r="P404" s="636" t="s">
        <v>13</v>
      </c>
      <c r="Q404" s="372"/>
      <c r="R404" s="372"/>
      <c r="S404" s="626"/>
      <c r="T404" s="626"/>
      <c r="U404" s="626"/>
      <c r="V404" s="697">
        <v>0</v>
      </c>
      <c r="W404" s="697">
        <v>0</v>
      </c>
      <c r="X404" s="697">
        <v>0</v>
      </c>
      <c r="Y404" s="697">
        <v>0</v>
      </c>
      <c r="Z404" s="697">
        <v>0</v>
      </c>
      <c r="AA404" s="697">
        <v>0</v>
      </c>
    </row>
    <row r="405" spans="1:27" hidden="1">
      <c r="A405" s="372"/>
      <c r="B405" s="372"/>
      <c r="C405" s="372"/>
      <c r="D405" s="372"/>
      <c r="E405" s="372"/>
      <c r="F405" s="372"/>
      <c r="G405" s="372"/>
      <c r="H405" s="372"/>
      <c r="I405" s="372"/>
      <c r="J405" s="372"/>
      <c r="K405" s="636"/>
      <c r="L405" s="636"/>
      <c r="M405" s="372"/>
      <c r="N405" s="372"/>
      <c r="O405" s="635"/>
      <c r="P405" s="636" t="s">
        <v>610</v>
      </c>
      <c r="Q405" s="372"/>
      <c r="R405" s="372"/>
      <c r="S405" s="626"/>
      <c r="T405" s="626"/>
      <c r="U405" s="626"/>
      <c r="V405" s="697">
        <v>0</v>
      </c>
      <c r="W405" s="697">
        <v>0</v>
      </c>
      <c r="X405" s="697">
        <v>0</v>
      </c>
      <c r="Y405" s="697">
        <v>0</v>
      </c>
      <c r="Z405" s="697">
        <v>0</v>
      </c>
      <c r="AA405" s="697">
        <v>0</v>
      </c>
    </row>
    <row r="406" spans="1:27" ht="15" hidden="1" thickBot="1">
      <c r="A406" s="625" t="s">
        <v>611</v>
      </c>
      <c r="B406" s="625"/>
      <c r="C406" s="625"/>
      <c r="D406" s="625"/>
      <c r="E406" s="625"/>
      <c r="F406" s="625"/>
      <c r="G406" s="625"/>
      <c r="H406" s="637" t="s">
        <v>612</v>
      </c>
      <c r="I406" s="625"/>
      <c r="J406" s="625"/>
      <c r="K406" s="625"/>
      <c r="L406" s="625"/>
      <c r="M406" s="625"/>
      <c r="N406" s="625"/>
      <c r="O406" s="638"/>
      <c r="P406" s="625" t="s">
        <v>249</v>
      </c>
      <c r="Q406" s="625"/>
      <c r="R406" s="625"/>
      <c r="S406" s="626"/>
      <c r="T406" s="626"/>
      <c r="U406" s="626"/>
      <c r="V406" s="697">
        <v>0</v>
      </c>
      <c r="W406" s="697">
        <v>0</v>
      </c>
      <c r="X406" s="697">
        <v>0</v>
      </c>
      <c r="Y406" s="697">
        <v>0</v>
      </c>
      <c r="Z406" s="697">
        <v>0</v>
      </c>
      <c r="AA406" s="697">
        <v>0</v>
      </c>
    </row>
    <row r="407" spans="1:27" hidden="1">
      <c r="A407" s="664"/>
      <c r="B407" s="664"/>
      <c r="C407" s="634"/>
      <c r="D407" s="634"/>
      <c r="E407" s="634"/>
      <c r="F407" s="634"/>
      <c r="G407" s="634"/>
      <c r="H407" s="634"/>
      <c r="I407" s="634"/>
      <c r="J407" s="634"/>
      <c r="K407" s="634"/>
      <c r="L407" s="634"/>
      <c r="M407" s="634"/>
      <c r="N407" s="634"/>
      <c r="O407" s="635"/>
      <c r="P407" s="634"/>
      <c r="Q407" s="634"/>
      <c r="R407" s="634"/>
      <c r="S407" s="626"/>
      <c r="T407" s="626"/>
      <c r="U407" s="626"/>
      <c r="V407" s="697">
        <v>0</v>
      </c>
      <c r="W407" s="697">
        <v>0</v>
      </c>
      <c r="X407" s="697">
        <v>0</v>
      </c>
      <c r="Y407" s="697">
        <v>0</v>
      </c>
      <c r="Z407" s="697">
        <v>0</v>
      </c>
      <c r="AA407" s="697">
        <v>0</v>
      </c>
    </row>
    <row r="408" spans="1:27" hidden="1">
      <c r="A408" s="372"/>
      <c r="B408" s="372"/>
      <c r="C408" s="634">
        <v>-1</v>
      </c>
      <c r="D408" s="634">
        <v>-2</v>
      </c>
      <c r="E408" s="634"/>
      <c r="F408" s="634">
        <v>-3</v>
      </c>
      <c r="G408" s="634"/>
      <c r="H408" s="634">
        <v>-4</v>
      </c>
      <c r="I408" s="634"/>
      <c r="J408" s="634">
        <v>-5</v>
      </c>
      <c r="K408" s="634"/>
      <c r="L408" s="634">
        <v>-6</v>
      </c>
      <c r="M408" s="634"/>
      <c r="N408" s="634">
        <v>-7</v>
      </c>
      <c r="O408" s="635"/>
      <c r="P408" s="634">
        <v>-8</v>
      </c>
      <c r="Q408" s="634"/>
      <c r="R408" s="634">
        <v>-9</v>
      </c>
      <c r="S408" s="626"/>
      <c r="T408" s="626"/>
      <c r="U408" s="626"/>
      <c r="V408" s="697">
        <v>0</v>
      </c>
      <c r="W408" s="697">
        <v>0</v>
      </c>
      <c r="X408" s="697">
        <v>0</v>
      </c>
      <c r="Y408" s="697">
        <v>0</v>
      </c>
      <c r="Z408" s="697">
        <v>0</v>
      </c>
      <c r="AA408" s="697">
        <v>0</v>
      </c>
    </row>
    <row r="409" spans="1:27" hidden="1">
      <c r="A409" s="372"/>
      <c r="B409" s="372"/>
      <c r="C409" s="634" t="s">
        <v>613</v>
      </c>
      <c r="D409" s="634" t="s">
        <v>613</v>
      </c>
      <c r="E409" s="372"/>
      <c r="F409" s="634" t="s">
        <v>37</v>
      </c>
      <c r="G409" s="634"/>
      <c r="H409" s="634" t="s">
        <v>30</v>
      </c>
      <c r="I409" s="634"/>
      <c r="J409" s="634" t="s">
        <v>45</v>
      </c>
      <c r="K409" s="634"/>
      <c r="L409" s="634" t="s">
        <v>45</v>
      </c>
      <c r="M409" s="634"/>
      <c r="N409" s="372"/>
      <c r="O409" s="635"/>
      <c r="P409" s="634" t="s">
        <v>30</v>
      </c>
      <c r="Q409" s="372"/>
      <c r="R409" s="372"/>
      <c r="S409" s="626"/>
      <c r="T409" s="626"/>
      <c r="U409" s="626"/>
      <c r="V409" s="697">
        <v>0</v>
      </c>
      <c r="W409" s="697">
        <v>0</v>
      </c>
      <c r="X409" s="697">
        <v>0</v>
      </c>
      <c r="Y409" s="697">
        <v>0</v>
      </c>
      <c r="Z409" s="697">
        <v>0</v>
      </c>
      <c r="AA409" s="697">
        <v>0</v>
      </c>
    </row>
    <row r="410" spans="1:27" hidden="1">
      <c r="A410" s="634" t="s">
        <v>35</v>
      </c>
      <c r="B410" s="634"/>
      <c r="C410" s="634" t="s">
        <v>614</v>
      </c>
      <c r="D410" s="634" t="s">
        <v>614</v>
      </c>
      <c r="E410" s="634"/>
      <c r="F410" s="634" t="s">
        <v>615</v>
      </c>
      <c r="G410" s="634"/>
      <c r="H410" s="634" t="s">
        <v>616</v>
      </c>
      <c r="I410" s="634"/>
      <c r="J410" s="634" t="s">
        <v>30</v>
      </c>
      <c r="K410" s="634"/>
      <c r="L410" s="634" t="s">
        <v>30</v>
      </c>
      <c r="M410" s="636"/>
      <c r="N410" s="634" t="s">
        <v>178</v>
      </c>
      <c r="O410" s="635"/>
      <c r="P410" s="634" t="s">
        <v>616</v>
      </c>
      <c r="Q410" s="634"/>
      <c r="R410" s="634" t="s">
        <v>353</v>
      </c>
      <c r="S410" s="626"/>
      <c r="T410" s="626"/>
      <c r="U410" s="626"/>
      <c r="V410" s="697">
        <v>0</v>
      </c>
      <c r="W410" s="697">
        <v>0</v>
      </c>
      <c r="X410" s="697">
        <v>0</v>
      </c>
      <c r="Y410" s="697">
        <v>0</v>
      </c>
      <c r="Z410" s="697">
        <v>0</v>
      </c>
      <c r="AA410" s="697">
        <v>0</v>
      </c>
    </row>
    <row r="411" spans="1:27" ht="15" hidden="1" thickBot="1">
      <c r="A411" s="637" t="s">
        <v>46</v>
      </c>
      <c r="B411" s="637"/>
      <c r="C411" s="637" t="s">
        <v>371</v>
      </c>
      <c r="D411" s="637" t="s">
        <v>617</v>
      </c>
      <c r="E411" s="637"/>
      <c r="F411" s="637" t="s">
        <v>618</v>
      </c>
      <c r="G411" s="637"/>
      <c r="H411" s="637" t="s">
        <v>619</v>
      </c>
      <c r="I411" s="637"/>
      <c r="J411" s="637" t="s">
        <v>620</v>
      </c>
      <c r="K411" s="637"/>
      <c r="L411" s="637" t="s">
        <v>621</v>
      </c>
      <c r="M411" s="637"/>
      <c r="N411" s="637" t="s">
        <v>622</v>
      </c>
      <c r="O411" s="638"/>
      <c r="P411" s="637" t="s">
        <v>623</v>
      </c>
      <c r="Q411" s="637"/>
      <c r="R411" s="637" t="s">
        <v>369</v>
      </c>
      <c r="S411" s="626"/>
      <c r="T411" s="626"/>
      <c r="U411" s="626"/>
      <c r="V411" s="697">
        <v>0</v>
      </c>
      <c r="W411" s="697">
        <v>0</v>
      </c>
      <c r="X411" s="697">
        <v>0</v>
      </c>
      <c r="Y411" s="697">
        <v>0</v>
      </c>
      <c r="Z411" s="697">
        <v>0</v>
      </c>
      <c r="AA411" s="697">
        <v>0</v>
      </c>
    </row>
    <row r="412" spans="1:27" hidden="1">
      <c r="A412" s="634">
        <v>1</v>
      </c>
      <c r="B412" s="634"/>
      <c r="C412" s="372"/>
      <c r="D412" s="372"/>
      <c r="E412" s="664"/>
      <c r="F412" s="664"/>
      <c r="G412" s="664"/>
      <c r="H412" s="664"/>
      <c r="I412" s="664"/>
      <c r="J412" s="664"/>
      <c r="K412" s="664"/>
      <c r="L412" s="664"/>
      <c r="M412" s="664"/>
      <c r="N412" s="664"/>
      <c r="O412" s="635"/>
      <c r="P412" s="372"/>
      <c r="Q412" s="664"/>
      <c r="R412" s="664"/>
      <c r="S412" s="626"/>
      <c r="T412" s="626"/>
      <c r="U412" s="626"/>
      <c r="V412" s="697">
        <v>0</v>
      </c>
      <c r="W412" s="697">
        <v>0</v>
      </c>
      <c r="X412" s="697">
        <v>0</v>
      </c>
      <c r="Y412" s="697">
        <v>0</v>
      </c>
      <c r="Z412" s="697">
        <v>0</v>
      </c>
      <c r="AA412" s="697">
        <v>0</v>
      </c>
    </row>
    <row r="413" spans="1:27" hidden="1">
      <c r="A413" s="634">
        <v>2</v>
      </c>
      <c r="B413" s="639"/>
      <c r="C413" s="634"/>
      <c r="D413" s="372" t="s">
        <v>737</v>
      </c>
      <c r="E413" s="372"/>
      <c r="F413" s="372"/>
      <c r="G413" s="372"/>
      <c r="H413" s="372"/>
      <c r="I413" s="634"/>
      <c r="J413" s="634"/>
      <c r="K413" s="634"/>
      <c r="L413" s="634"/>
      <c r="M413" s="634"/>
      <c r="N413" s="634"/>
      <c r="O413" s="635"/>
      <c r="P413" s="634"/>
      <c r="Q413" s="634"/>
      <c r="R413" s="634"/>
      <c r="S413" s="626"/>
      <c r="T413" s="626"/>
      <c r="U413" s="626"/>
      <c r="V413" s="697">
        <v>0</v>
      </c>
      <c r="W413" s="697">
        <v>0</v>
      </c>
      <c r="X413" s="697">
        <v>0</v>
      </c>
      <c r="Y413" s="697">
        <v>0</v>
      </c>
      <c r="Z413" s="697">
        <v>0</v>
      </c>
      <c r="AA413" s="697">
        <v>0</v>
      </c>
    </row>
    <row r="414" spans="1:27" hidden="1">
      <c r="A414" s="634">
        <v>3</v>
      </c>
      <c r="B414" s="639"/>
      <c r="C414" s="634">
        <v>36001</v>
      </c>
      <c r="D414" s="372" t="s">
        <v>724</v>
      </c>
      <c r="E414" s="372"/>
      <c r="F414" s="372"/>
      <c r="G414" s="635"/>
      <c r="H414" s="634"/>
      <c r="I414" s="635"/>
      <c r="J414" s="634"/>
      <c r="K414" s="635"/>
      <c r="L414" s="634"/>
      <c r="M414" s="635"/>
      <c r="N414" s="634"/>
      <c r="O414" s="635"/>
      <c r="P414" s="634"/>
      <c r="Q414" s="635"/>
      <c r="R414" s="634"/>
      <c r="S414" s="626"/>
      <c r="T414" s="626"/>
      <c r="U414" s="626"/>
      <c r="V414" s="697">
        <v>0</v>
      </c>
      <c r="W414" s="697">
        <v>0</v>
      </c>
      <c r="X414" s="697">
        <v>0</v>
      </c>
      <c r="Y414" s="697">
        <v>0</v>
      </c>
      <c r="Z414" s="697">
        <v>0</v>
      </c>
      <c r="AA414" s="697">
        <v>0</v>
      </c>
    </row>
    <row r="415" spans="1:27" hidden="1">
      <c r="A415" s="634">
        <v>4</v>
      </c>
      <c r="B415" s="639"/>
      <c r="C415" s="634">
        <v>36100</v>
      </c>
      <c r="D415" s="372" t="s">
        <v>726</v>
      </c>
      <c r="E415" s="372"/>
      <c r="F415" s="634">
        <v>1.8</v>
      </c>
      <c r="G415" s="635"/>
      <c r="H415" s="640">
        <v>31688</v>
      </c>
      <c r="I415" s="635"/>
      <c r="J415" s="640">
        <v>2460</v>
      </c>
      <c r="K415" s="372"/>
      <c r="L415" s="634">
        <v>-9</v>
      </c>
      <c r="M415" s="372"/>
      <c r="N415" s="634" t="s">
        <v>628</v>
      </c>
      <c r="O415" s="635"/>
      <c r="P415" s="640">
        <v>34138</v>
      </c>
      <c r="Q415" s="372"/>
      <c r="R415" s="640">
        <v>32905</v>
      </c>
      <c r="S415" s="626"/>
      <c r="T415" s="626"/>
      <c r="U415" s="626"/>
      <c r="V415" s="696">
        <v>5</v>
      </c>
      <c r="W415" s="696">
        <v>5</v>
      </c>
      <c r="X415" s="696">
        <v>5</v>
      </c>
      <c r="Y415" s="697">
        <v>0</v>
      </c>
      <c r="Z415" s="696">
        <v>5</v>
      </c>
      <c r="AA415" s="696">
        <v>5</v>
      </c>
    </row>
    <row r="416" spans="1:27" hidden="1">
      <c r="A416" s="634">
        <v>5</v>
      </c>
      <c r="B416" s="639"/>
      <c r="C416" s="634">
        <v>36200</v>
      </c>
      <c r="D416" s="372" t="s">
        <v>727</v>
      </c>
      <c r="E416" s="372"/>
      <c r="F416" s="634">
        <v>2.5</v>
      </c>
      <c r="G416" s="635"/>
      <c r="H416" s="640">
        <v>294955</v>
      </c>
      <c r="I416" s="635"/>
      <c r="J416" s="640">
        <v>23823</v>
      </c>
      <c r="K416" s="372"/>
      <c r="L416" s="640">
        <v>-3003</v>
      </c>
      <c r="M416" s="372"/>
      <c r="N416" s="640">
        <v>-6606</v>
      </c>
      <c r="O416" s="635"/>
      <c r="P416" s="640">
        <v>309169</v>
      </c>
      <c r="Q416" s="372"/>
      <c r="R416" s="640">
        <v>301238</v>
      </c>
      <c r="S416" s="626"/>
      <c r="T416" s="626"/>
      <c r="U416" s="626"/>
      <c r="V416" s="696">
        <v>5</v>
      </c>
      <c r="W416" s="696">
        <v>5</v>
      </c>
      <c r="X416" s="696">
        <v>5</v>
      </c>
      <c r="Y416" s="696">
        <v>5</v>
      </c>
      <c r="Z416" s="696">
        <v>5</v>
      </c>
      <c r="AA416" s="696">
        <v>5</v>
      </c>
    </row>
    <row r="417" spans="1:27" hidden="1">
      <c r="A417" s="634">
        <v>6</v>
      </c>
      <c r="B417" s="639"/>
      <c r="C417" s="634">
        <v>36300</v>
      </c>
      <c r="D417" s="372" t="s">
        <v>725</v>
      </c>
      <c r="E417" s="372"/>
      <c r="F417" s="634">
        <v>10</v>
      </c>
      <c r="G417" s="635"/>
      <c r="H417" s="634" t="s">
        <v>628</v>
      </c>
      <c r="I417" s="635"/>
      <c r="J417" s="634" t="s">
        <v>635</v>
      </c>
      <c r="K417" s="372"/>
      <c r="L417" s="634" t="s">
        <v>635</v>
      </c>
      <c r="M417" s="372"/>
      <c r="N417" s="634" t="s">
        <v>635</v>
      </c>
      <c r="O417" s="635"/>
      <c r="P417" s="634" t="s">
        <v>635</v>
      </c>
      <c r="Q417" s="372"/>
      <c r="R417" s="634" t="s">
        <v>635</v>
      </c>
      <c r="S417" s="626"/>
      <c r="T417" s="626"/>
      <c r="U417" s="626"/>
      <c r="V417" s="697">
        <v>0</v>
      </c>
      <c r="W417" s="697">
        <v>0</v>
      </c>
      <c r="X417" s="697">
        <v>0</v>
      </c>
      <c r="Y417" s="697">
        <v>0</v>
      </c>
      <c r="Z417" s="697">
        <v>0</v>
      </c>
      <c r="AA417" s="697">
        <v>0</v>
      </c>
    </row>
    <row r="418" spans="1:27" hidden="1">
      <c r="A418" s="634">
        <v>7</v>
      </c>
      <c r="B418" s="634"/>
      <c r="C418" s="634">
        <v>36400</v>
      </c>
      <c r="D418" s="372" t="s">
        <v>738</v>
      </c>
      <c r="E418" s="372"/>
      <c r="F418" s="634">
        <v>3.7</v>
      </c>
      <c r="G418" s="635"/>
      <c r="H418" s="640">
        <v>370648</v>
      </c>
      <c r="I418" s="635"/>
      <c r="J418" s="640">
        <v>34231</v>
      </c>
      <c r="K418" s="372"/>
      <c r="L418" s="640">
        <v>-5758</v>
      </c>
      <c r="M418" s="372"/>
      <c r="N418" s="634">
        <v>-737</v>
      </c>
      <c r="O418" s="635"/>
      <c r="P418" s="640">
        <v>398384</v>
      </c>
      <c r="Q418" s="372"/>
      <c r="R418" s="640">
        <v>380874</v>
      </c>
      <c r="S418" s="626"/>
      <c r="T418" s="626"/>
      <c r="U418" s="626"/>
      <c r="V418" s="696">
        <v>5</v>
      </c>
      <c r="W418" s="696">
        <v>5</v>
      </c>
      <c r="X418" s="696">
        <v>5</v>
      </c>
      <c r="Y418" s="696">
        <v>5</v>
      </c>
      <c r="Z418" s="696">
        <v>5</v>
      </c>
      <c r="AA418" s="696">
        <v>5</v>
      </c>
    </row>
    <row r="419" spans="1:27" hidden="1">
      <c r="A419" s="634">
        <v>8</v>
      </c>
      <c r="B419" s="634"/>
      <c r="C419" s="634">
        <v>36500</v>
      </c>
      <c r="D419" s="372" t="s">
        <v>730</v>
      </c>
      <c r="E419" s="372"/>
      <c r="F419" s="634">
        <v>2.2000000000000002</v>
      </c>
      <c r="G419" s="635"/>
      <c r="H419" s="640">
        <v>275367</v>
      </c>
      <c r="I419" s="635"/>
      <c r="J419" s="640">
        <v>17771</v>
      </c>
      <c r="K419" s="372"/>
      <c r="L419" s="640">
        <v>-5574</v>
      </c>
      <c r="M419" s="372"/>
      <c r="N419" s="634">
        <v>-116</v>
      </c>
      <c r="O419" s="635"/>
      <c r="P419" s="640">
        <v>287449</v>
      </c>
      <c r="Q419" s="372"/>
      <c r="R419" s="640">
        <v>280421</v>
      </c>
      <c r="S419" s="626"/>
      <c r="T419" s="626"/>
      <c r="U419" s="626"/>
      <c r="V419" s="696">
        <v>4</v>
      </c>
      <c r="W419" s="696">
        <v>5</v>
      </c>
      <c r="X419" s="696">
        <v>5</v>
      </c>
      <c r="Y419" s="696">
        <v>5</v>
      </c>
      <c r="Z419" s="696">
        <v>5</v>
      </c>
      <c r="AA419" s="696">
        <v>5</v>
      </c>
    </row>
    <row r="420" spans="1:27" hidden="1">
      <c r="A420" s="634">
        <v>9</v>
      </c>
      <c r="B420" s="634"/>
      <c r="C420" s="634">
        <v>36600</v>
      </c>
      <c r="D420" s="372" t="s">
        <v>732</v>
      </c>
      <c r="E420" s="372"/>
      <c r="F420" s="634">
        <v>1.7</v>
      </c>
      <c r="G420" s="635"/>
      <c r="H420" s="640">
        <v>364664</v>
      </c>
      <c r="I420" s="635"/>
      <c r="J420" s="640">
        <v>60439</v>
      </c>
      <c r="K420" s="372"/>
      <c r="L420" s="634">
        <v>-352</v>
      </c>
      <c r="M420" s="372"/>
      <c r="N420" s="640">
        <v>2114</v>
      </c>
      <c r="O420" s="635"/>
      <c r="P420" s="640">
        <v>426864</v>
      </c>
      <c r="Q420" s="372"/>
      <c r="R420" s="640">
        <v>393770</v>
      </c>
      <c r="S420" s="626"/>
      <c r="T420" s="626"/>
      <c r="U420" s="626"/>
      <c r="V420" s="696">
        <v>4</v>
      </c>
      <c r="W420" s="696">
        <v>5</v>
      </c>
      <c r="X420" s="696">
        <v>5</v>
      </c>
      <c r="Y420" s="696">
        <v>5</v>
      </c>
      <c r="Z420" s="696">
        <v>5</v>
      </c>
      <c r="AA420" s="696">
        <v>4</v>
      </c>
    </row>
    <row r="421" spans="1:27" hidden="1">
      <c r="A421" s="634">
        <v>10</v>
      </c>
      <c r="B421" s="639"/>
      <c r="C421" s="634">
        <v>36700</v>
      </c>
      <c r="D421" s="372" t="s">
        <v>733</v>
      </c>
      <c r="E421" s="372"/>
      <c r="F421" s="634">
        <v>2.2999999999999998</v>
      </c>
      <c r="G421" s="635"/>
      <c r="H421" s="640">
        <v>376942</v>
      </c>
      <c r="I421" s="635"/>
      <c r="J421" s="640">
        <v>64248</v>
      </c>
      <c r="K421" s="372"/>
      <c r="L421" s="640">
        <v>-5160</v>
      </c>
      <c r="M421" s="372"/>
      <c r="N421" s="640">
        <v>2193</v>
      </c>
      <c r="O421" s="635"/>
      <c r="P421" s="640">
        <v>438223</v>
      </c>
      <c r="Q421" s="372"/>
      <c r="R421" s="640">
        <v>405414</v>
      </c>
      <c r="S421" s="626"/>
      <c r="T421" s="626"/>
      <c r="U421" s="626"/>
      <c r="V421" s="696">
        <v>5</v>
      </c>
      <c r="W421" s="696">
        <v>5</v>
      </c>
      <c r="X421" s="696">
        <v>5</v>
      </c>
      <c r="Y421" s="696">
        <v>5</v>
      </c>
      <c r="Z421" s="696">
        <v>3</v>
      </c>
      <c r="AA421" s="696">
        <v>5</v>
      </c>
    </row>
    <row r="422" spans="1:27" hidden="1">
      <c r="A422" s="634">
        <v>11</v>
      </c>
      <c r="B422" s="639"/>
      <c r="C422" s="634">
        <v>36800</v>
      </c>
      <c r="D422" s="372" t="s">
        <v>739</v>
      </c>
      <c r="E422" s="372"/>
      <c r="F422" s="634">
        <v>4.5</v>
      </c>
      <c r="G422" s="635"/>
      <c r="H422" s="640">
        <v>852151</v>
      </c>
      <c r="I422" s="635"/>
      <c r="J422" s="640">
        <v>104099</v>
      </c>
      <c r="K422" s="372"/>
      <c r="L422" s="640">
        <v>-11304</v>
      </c>
      <c r="M422" s="372"/>
      <c r="N422" s="640">
        <v>-1220</v>
      </c>
      <c r="O422" s="635"/>
      <c r="P422" s="640">
        <v>943726</v>
      </c>
      <c r="Q422" s="372"/>
      <c r="R422" s="640">
        <v>892388</v>
      </c>
      <c r="S422" s="626"/>
      <c r="T422" s="626"/>
      <c r="U422" s="626"/>
      <c r="V422" s="696">
        <v>5</v>
      </c>
      <c r="W422" s="696">
        <v>5</v>
      </c>
      <c r="X422" s="696">
        <v>5</v>
      </c>
      <c r="Y422" s="696">
        <v>5</v>
      </c>
      <c r="Z422" s="696">
        <v>5</v>
      </c>
      <c r="AA422" s="696">
        <v>5</v>
      </c>
    </row>
    <row r="423" spans="1:27" hidden="1">
      <c r="A423" s="634">
        <v>12</v>
      </c>
      <c r="B423" s="639"/>
      <c r="C423" s="634">
        <v>36900</v>
      </c>
      <c r="D423" s="372" t="s">
        <v>740</v>
      </c>
      <c r="E423" s="372"/>
      <c r="F423" s="634">
        <v>1.9</v>
      </c>
      <c r="G423" s="635"/>
      <c r="H423" s="640">
        <v>79877</v>
      </c>
      <c r="I423" s="635"/>
      <c r="J423" s="640">
        <v>4760</v>
      </c>
      <c r="K423" s="372"/>
      <c r="L423" s="634">
        <v>-307</v>
      </c>
      <c r="M423" s="372"/>
      <c r="N423" s="640">
        <v>-1671</v>
      </c>
      <c r="O423" s="635"/>
      <c r="P423" s="640">
        <v>82659</v>
      </c>
      <c r="Q423" s="372"/>
      <c r="R423" s="640">
        <v>81500</v>
      </c>
      <c r="S423" s="626"/>
      <c r="T423" s="626"/>
      <c r="U423" s="626"/>
      <c r="V423" s="696">
        <v>5</v>
      </c>
      <c r="W423" s="696">
        <v>5</v>
      </c>
      <c r="X423" s="696">
        <v>5</v>
      </c>
      <c r="Y423" s="696">
        <v>5</v>
      </c>
      <c r="Z423" s="696">
        <v>5</v>
      </c>
      <c r="AA423" s="696">
        <v>5</v>
      </c>
    </row>
    <row r="424" spans="1:27" hidden="1">
      <c r="A424" s="634">
        <v>13</v>
      </c>
      <c r="B424" s="639"/>
      <c r="C424" s="634">
        <v>36902</v>
      </c>
      <c r="D424" s="372" t="s">
        <v>741</v>
      </c>
      <c r="E424" s="372"/>
      <c r="F424" s="634">
        <v>2.2999999999999998</v>
      </c>
      <c r="G424" s="635"/>
      <c r="H424" s="640">
        <v>139497</v>
      </c>
      <c r="I424" s="635"/>
      <c r="J424" s="640">
        <v>9991</v>
      </c>
      <c r="K424" s="372"/>
      <c r="L424" s="634">
        <v>-323</v>
      </c>
      <c r="M424" s="372"/>
      <c r="N424" s="634">
        <v>-720</v>
      </c>
      <c r="O424" s="635"/>
      <c r="P424" s="640">
        <v>148445</v>
      </c>
      <c r="Q424" s="372"/>
      <c r="R424" s="640">
        <v>144392</v>
      </c>
      <c r="S424" s="626"/>
      <c r="T424" s="626"/>
      <c r="U424" s="626"/>
      <c r="V424" s="696">
        <v>5</v>
      </c>
      <c r="W424" s="696">
        <v>5</v>
      </c>
      <c r="X424" s="696">
        <v>5</v>
      </c>
      <c r="Y424" s="696">
        <v>5</v>
      </c>
      <c r="Z424" s="696">
        <v>5</v>
      </c>
      <c r="AA424" s="696">
        <v>5</v>
      </c>
    </row>
    <row r="425" spans="1:27" hidden="1">
      <c r="A425" s="634">
        <v>14</v>
      </c>
      <c r="B425" s="639"/>
      <c r="C425" s="634">
        <v>37000</v>
      </c>
      <c r="D425" s="372" t="s">
        <v>742</v>
      </c>
      <c r="E425" s="372"/>
      <c r="F425" s="634">
        <v>7.9</v>
      </c>
      <c r="G425" s="635"/>
      <c r="H425" s="640">
        <v>18651</v>
      </c>
      <c r="I425" s="635"/>
      <c r="J425" s="634">
        <v>180</v>
      </c>
      <c r="K425" s="372"/>
      <c r="L425" s="634">
        <v>-31</v>
      </c>
      <c r="M425" s="372"/>
      <c r="N425" s="634" t="s">
        <v>628</v>
      </c>
      <c r="O425" s="635"/>
      <c r="P425" s="640">
        <v>18799</v>
      </c>
      <c r="Q425" s="372"/>
      <c r="R425" s="640">
        <v>18708</v>
      </c>
      <c r="S425" s="626"/>
      <c r="T425" s="626"/>
      <c r="U425" s="626"/>
      <c r="V425" s="696">
        <v>5</v>
      </c>
      <c r="W425" s="696">
        <v>5</v>
      </c>
      <c r="X425" s="696">
        <v>5</v>
      </c>
      <c r="Y425" s="697">
        <v>0</v>
      </c>
      <c r="Z425" s="696">
        <v>5</v>
      </c>
      <c r="AA425" s="696">
        <v>5</v>
      </c>
    </row>
    <row r="426" spans="1:27" hidden="1">
      <c r="A426" s="634">
        <v>15</v>
      </c>
      <c r="B426" s="634"/>
      <c r="C426" s="634">
        <v>37001</v>
      </c>
      <c r="D426" s="372" t="s">
        <v>743</v>
      </c>
      <c r="E426" s="372"/>
      <c r="F426" s="634">
        <v>8.6999999999999993</v>
      </c>
      <c r="G426" s="635"/>
      <c r="H426" s="640">
        <v>109374</v>
      </c>
      <c r="I426" s="635"/>
      <c r="J426" s="640">
        <v>3718</v>
      </c>
      <c r="K426" s="372"/>
      <c r="L426" s="634">
        <v>-98</v>
      </c>
      <c r="M426" s="372"/>
      <c r="N426" s="634" t="s">
        <v>628</v>
      </c>
      <c r="O426" s="635"/>
      <c r="P426" s="640">
        <v>112994</v>
      </c>
      <c r="Q426" s="372"/>
      <c r="R426" s="640">
        <v>109817</v>
      </c>
      <c r="S426" s="626"/>
      <c r="T426" s="626"/>
      <c r="U426" s="626"/>
      <c r="V426" s="696">
        <v>5</v>
      </c>
      <c r="W426" s="696">
        <v>5</v>
      </c>
      <c r="X426" s="696">
        <v>4</v>
      </c>
      <c r="Y426" s="697">
        <v>0</v>
      </c>
      <c r="Z426" s="696">
        <v>5</v>
      </c>
      <c r="AA426" s="696">
        <v>5</v>
      </c>
    </row>
    <row r="427" spans="1:27" hidden="1">
      <c r="A427" s="634">
        <v>16</v>
      </c>
      <c r="B427" s="634"/>
      <c r="C427" s="634">
        <v>37010</v>
      </c>
      <c r="D427" s="372" t="s">
        <v>744</v>
      </c>
      <c r="E427" s="372"/>
      <c r="F427" s="634">
        <v>10</v>
      </c>
      <c r="G427" s="635"/>
      <c r="H427" s="634" t="s">
        <v>628</v>
      </c>
      <c r="I427" s="635"/>
      <c r="J427" s="634">
        <v>53</v>
      </c>
      <c r="K427" s="372"/>
      <c r="L427" s="634" t="s">
        <v>635</v>
      </c>
      <c r="M427" s="372"/>
      <c r="N427" s="640">
        <v>1798</v>
      </c>
      <c r="O427" s="635"/>
      <c r="P427" s="640">
        <v>1850</v>
      </c>
      <c r="Q427" s="372"/>
      <c r="R427" s="634">
        <v>142</v>
      </c>
      <c r="S427" s="626"/>
      <c r="T427" s="626"/>
      <c r="U427" s="626"/>
      <c r="V427" s="697">
        <v>0</v>
      </c>
      <c r="W427" s="696">
        <v>5</v>
      </c>
      <c r="X427" s="697">
        <v>0</v>
      </c>
      <c r="Y427" s="696">
        <v>5</v>
      </c>
      <c r="Z427" s="696">
        <v>5</v>
      </c>
      <c r="AA427" s="696">
        <v>5</v>
      </c>
    </row>
    <row r="428" spans="1:27" hidden="1">
      <c r="A428" s="634">
        <v>17</v>
      </c>
      <c r="B428" s="634"/>
      <c r="C428" s="634">
        <v>37300</v>
      </c>
      <c r="D428" s="372" t="s">
        <v>745</v>
      </c>
      <c r="E428" s="372"/>
      <c r="F428" s="634">
        <v>2.8</v>
      </c>
      <c r="G428" s="635"/>
      <c r="H428" s="640">
        <v>359361</v>
      </c>
      <c r="I428" s="635"/>
      <c r="J428" s="640">
        <v>24985</v>
      </c>
      <c r="K428" s="372"/>
      <c r="L428" s="640">
        <v>-7198</v>
      </c>
      <c r="M428" s="372"/>
      <c r="N428" s="634">
        <v>247</v>
      </c>
      <c r="O428" s="635"/>
      <c r="P428" s="640">
        <v>377394</v>
      </c>
      <c r="Q428" s="372"/>
      <c r="R428" s="640">
        <v>368774</v>
      </c>
      <c r="S428" s="626"/>
      <c r="T428" s="626"/>
      <c r="U428" s="626"/>
      <c r="V428" s="696">
        <v>5</v>
      </c>
      <c r="W428" s="696">
        <v>5</v>
      </c>
      <c r="X428" s="696">
        <v>5</v>
      </c>
      <c r="Y428" s="696">
        <v>3</v>
      </c>
      <c r="Z428" s="696">
        <v>5</v>
      </c>
      <c r="AA428" s="697">
        <v>2</v>
      </c>
    </row>
    <row r="429" spans="1:27" hidden="1">
      <c r="A429" s="634">
        <v>18</v>
      </c>
      <c r="B429" s="634"/>
      <c r="C429" s="634">
        <v>37302</v>
      </c>
      <c r="D429" s="372" t="s">
        <v>746</v>
      </c>
      <c r="E429" s="372"/>
      <c r="F429" s="634">
        <v>2.8</v>
      </c>
      <c r="G429" s="635"/>
      <c r="H429" s="640">
        <v>4035</v>
      </c>
      <c r="I429" s="635"/>
      <c r="J429" s="640">
        <v>7293</v>
      </c>
      <c r="K429" s="372"/>
      <c r="L429" s="634">
        <v>-11</v>
      </c>
      <c r="M429" s="372"/>
      <c r="N429" s="634">
        <v>354</v>
      </c>
      <c r="O429" s="635"/>
      <c r="P429" s="640">
        <v>11671</v>
      </c>
      <c r="Q429" s="372"/>
      <c r="R429" s="640">
        <v>6313</v>
      </c>
      <c r="S429" s="626"/>
      <c r="T429" s="626"/>
      <c r="U429" s="626"/>
      <c r="V429" s="696">
        <v>5</v>
      </c>
      <c r="W429" s="696">
        <v>5</v>
      </c>
      <c r="X429" s="696">
        <v>5</v>
      </c>
      <c r="Y429" s="696">
        <v>5</v>
      </c>
      <c r="Z429" s="696">
        <v>5</v>
      </c>
      <c r="AA429" s="696">
        <v>5</v>
      </c>
    </row>
    <row r="430" spans="1:27" ht="15" hidden="1" thickBot="1">
      <c r="A430" s="634">
        <v>19</v>
      </c>
      <c r="B430" s="639"/>
      <c r="C430" s="372"/>
      <c r="D430" s="372" t="s">
        <v>747</v>
      </c>
      <c r="E430" s="372"/>
      <c r="F430" s="372"/>
      <c r="G430" s="635"/>
      <c r="H430" s="648">
        <v>3277209</v>
      </c>
      <c r="I430" s="635"/>
      <c r="J430" s="648">
        <v>358050</v>
      </c>
      <c r="K430" s="635"/>
      <c r="L430" s="648">
        <v>-39128</v>
      </c>
      <c r="M430" s="635"/>
      <c r="N430" s="648">
        <v>-4365</v>
      </c>
      <c r="O430" s="635"/>
      <c r="P430" s="648">
        <v>3591766</v>
      </c>
      <c r="Q430" s="635"/>
      <c r="R430" s="648">
        <v>3416657</v>
      </c>
      <c r="S430" s="626"/>
      <c r="T430" s="626"/>
      <c r="U430" s="626"/>
      <c r="V430" s="696">
        <v>5</v>
      </c>
      <c r="W430" s="696">
        <v>5</v>
      </c>
      <c r="X430" s="696">
        <v>5</v>
      </c>
      <c r="Y430" s="696">
        <v>5</v>
      </c>
      <c r="Z430" s="696">
        <v>5</v>
      </c>
      <c r="AA430" s="696">
        <v>5</v>
      </c>
    </row>
    <row r="431" spans="1:27" ht="15" hidden="1" thickTop="1">
      <c r="A431" s="634">
        <v>20</v>
      </c>
      <c r="B431" s="634"/>
      <c r="C431" s="372"/>
      <c r="D431" s="372"/>
      <c r="E431" s="372"/>
      <c r="F431" s="372"/>
      <c r="G431" s="372"/>
      <c r="H431" s="372"/>
      <c r="I431" s="372"/>
      <c r="J431" s="372"/>
      <c r="K431" s="372"/>
      <c r="L431" s="372"/>
      <c r="M431" s="372"/>
      <c r="N431" s="372"/>
      <c r="O431" s="635"/>
      <c r="P431" s="372"/>
      <c r="Q431" s="372"/>
      <c r="R431" s="372"/>
      <c r="S431" s="626"/>
      <c r="T431" s="626"/>
      <c r="U431" s="626"/>
      <c r="V431" s="697">
        <v>0</v>
      </c>
      <c r="W431" s="697">
        <v>0</v>
      </c>
      <c r="X431" s="697">
        <v>0</v>
      </c>
      <c r="Y431" s="697">
        <v>0</v>
      </c>
      <c r="Z431" s="697">
        <v>0</v>
      </c>
      <c r="AA431" s="697">
        <v>0</v>
      </c>
    </row>
    <row r="432" spans="1:27" hidden="1">
      <c r="A432" s="634">
        <v>21</v>
      </c>
      <c r="B432" s="634"/>
      <c r="C432" s="372"/>
      <c r="D432" s="372" t="s">
        <v>748</v>
      </c>
      <c r="E432" s="372"/>
      <c r="F432" s="372"/>
      <c r="G432" s="372"/>
      <c r="H432" s="372"/>
      <c r="I432" s="635"/>
      <c r="J432" s="635"/>
      <c r="K432" s="635"/>
      <c r="L432" s="635"/>
      <c r="M432" s="635"/>
      <c r="N432" s="635"/>
      <c r="O432" s="635"/>
      <c r="P432" s="635"/>
      <c r="Q432" s="635"/>
      <c r="R432" s="635"/>
      <c r="S432" s="626"/>
      <c r="T432" s="626"/>
      <c r="U432" s="626"/>
      <c r="V432" s="697">
        <v>0</v>
      </c>
      <c r="W432" s="697">
        <v>0</v>
      </c>
      <c r="X432" s="697">
        <v>0</v>
      </c>
      <c r="Y432" s="697">
        <v>0</v>
      </c>
      <c r="Z432" s="697">
        <v>0</v>
      </c>
      <c r="AA432" s="697">
        <v>0</v>
      </c>
    </row>
    <row r="433" spans="1:27" hidden="1">
      <c r="A433" s="634">
        <v>22</v>
      </c>
      <c r="B433" s="634"/>
      <c r="C433" s="634">
        <v>39000</v>
      </c>
      <c r="D433" s="372" t="s">
        <v>726</v>
      </c>
      <c r="E433" s="372"/>
      <c r="F433" s="634">
        <v>1.4</v>
      </c>
      <c r="G433" s="635"/>
      <c r="H433" s="640">
        <v>135803</v>
      </c>
      <c r="I433" s="635"/>
      <c r="J433" s="640">
        <v>6514</v>
      </c>
      <c r="K433" s="372"/>
      <c r="L433" s="634">
        <v>-615</v>
      </c>
      <c r="M433" s="372"/>
      <c r="N433" s="634" t="s">
        <v>628</v>
      </c>
      <c r="O433" s="635"/>
      <c r="P433" s="640">
        <v>141702</v>
      </c>
      <c r="Q433" s="372"/>
      <c r="R433" s="640">
        <v>137877</v>
      </c>
      <c r="S433" s="626"/>
      <c r="T433" s="626"/>
      <c r="U433" s="626"/>
      <c r="V433" s="696">
        <v>5</v>
      </c>
      <c r="W433" s="696">
        <v>5</v>
      </c>
      <c r="X433" s="696">
        <v>5</v>
      </c>
      <c r="Y433" s="697">
        <v>0</v>
      </c>
      <c r="Z433" s="696">
        <v>5</v>
      </c>
      <c r="AA433" s="696">
        <v>5</v>
      </c>
    </row>
    <row r="434" spans="1:27" hidden="1">
      <c r="A434" s="634">
        <v>23</v>
      </c>
      <c r="B434" s="634"/>
      <c r="C434" s="634">
        <v>39101</v>
      </c>
      <c r="D434" s="372" t="s">
        <v>749</v>
      </c>
      <c r="E434" s="372"/>
      <c r="F434" s="634">
        <v>14.3</v>
      </c>
      <c r="G434" s="635"/>
      <c r="H434" s="640">
        <v>7360</v>
      </c>
      <c r="I434" s="635"/>
      <c r="J434" s="634">
        <v>864</v>
      </c>
      <c r="K434" s="372"/>
      <c r="L434" s="634">
        <v>-720</v>
      </c>
      <c r="M434" s="372"/>
      <c r="N434" s="634" t="s">
        <v>628</v>
      </c>
      <c r="O434" s="635"/>
      <c r="P434" s="640">
        <v>7504</v>
      </c>
      <c r="Q434" s="372"/>
      <c r="R434" s="640">
        <v>7457</v>
      </c>
      <c r="S434" s="626"/>
      <c r="T434" s="626"/>
      <c r="U434" s="626"/>
      <c r="V434" s="696">
        <v>5</v>
      </c>
      <c r="W434" s="696">
        <v>5</v>
      </c>
      <c r="X434" s="696">
        <v>5</v>
      </c>
      <c r="Y434" s="697">
        <v>0</v>
      </c>
      <c r="Z434" s="696">
        <v>5</v>
      </c>
      <c r="AA434" s="696">
        <v>5</v>
      </c>
    </row>
    <row r="435" spans="1:27" hidden="1">
      <c r="A435" s="634">
        <v>24</v>
      </c>
      <c r="B435" s="634"/>
      <c r="C435" s="634">
        <v>39102</v>
      </c>
      <c r="D435" s="372" t="s">
        <v>750</v>
      </c>
      <c r="E435" s="372"/>
      <c r="F435" s="634">
        <v>25</v>
      </c>
      <c r="G435" s="635"/>
      <c r="H435" s="640">
        <v>12650</v>
      </c>
      <c r="I435" s="635"/>
      <c r="J435" s="634">
        <v>406</v>
      </c>
      <c r="K435" s="372"/>
      <c r="L435" s="634">
        <v>-355</v>
      </c>
      <c r="M435" s="372"/>
      <c r="N435" s="634" t="s">
        <v>628</v>
      </c>
      <c r="O435" s="635"/>
      <c r="P435" s="640">
        <v>12701</v>
      </c>
      <c r="Q435" s="372"/>
      <c r="R435" s="640">
        <v>12603</v>
      </c>
      <c r="S435" s="626"/>
      <c r="T435" s="626"/>
      <c r="U435" s="626"/>
      <c r="V435" s="696">
        <v>5</v>
      </c>
      <c r="W435" s="696">
        <v>5</v>
      </c>
      <c r="X435" s="696">
        <v>5</v>
      </c>
      <c r="Y435" s="697">
        <v>0</v>
      </c>
      <c r="Z435" s="696">
        <v>5</v>
      </c>
      <c r="AA435" s="696">
        <v>5</v>
      </c>
    </row>
    <row r="436" spans="1:27" hidden="1">
      <c r="A436" s="634">
        <v>25</v>
      </c>
      <c r="B436" s="634"/>
      <c r="C436" s="634">
        <v>39103</v>
      </c>
      <c r="D436" s="372" t="s">
        <v>751</v>
      </c>
      <c r="E436" s="372"/>
      <c r="F436" s="634">
        <v>14.3</v>
      </c>
      <c r="G436" s="635"/>
      <c r="H436" s="634" t="s">
        <v>628</v>
      </c>
      <c r="I436" s="635"/>
      <c r="J436" s="634" t="s">
        <v>635</v>
      </c>
      <c r="K436" s="372"/>
      <c r="L436" s="634" t="s">
        <v>635</v>
      </c>
      <c r="M436" s="372"/>
      <c r="N436" s="634" t="s">
        <v>635</v>
      </c>
      <c r="O436" s="635"/>
      <c r="P436" s="634" t="s">
        <v>635</v>
      </c>
      <c r="Q436" s="372"/>
      <c r="R436" s="634" t="s">
        <v>635</v>
      </c>
      <c r="S436" s="626"/>
      <c r="T436" s="626"/>
      <c r="U436" s="626"/>
      <c r="V436" s="697">
        <v>0</v>
      </c>
      <c r="W436" s="697">
        <v>0</v>
      </c>
      <c r="X436" s="697">
        <v>0</v>
      </c>
      <c r="Y436" s="697">
        <v>0</v>
      </c>
      <c r="Z436" s="697">
        <v>0</v>
      </c>
      <c r="AA436" s="697">
        <v>0</v>
      </c>
    </row>
    <row r="437" spans="1:27" hidden="1">
      <c r="A437" s="634">
        <v>26</v>
      </c>
      <c r="B437" s="634"/>
      <c r="C437" s="634">
        <v>39104</v>
      </c>
      <c r="D437" s="372" t="s">
        <v>752</v>
      </c>
      <c r="E437" s="372"/>
      <c r="F437" s="634">
        <v>20</v>
      </c>
      <c r="G437" s="635"/>
      <c r="H437" s="640">
        <v>40832</v>
      </c>
      <c r="I437" s="635"/>
      <c r="J437" s="640">
        <v>12297</v>
      </c>
      <c r="K437" s="372"/>
      <c r="L437" s="640">
        <v>-4121</v>
      </c>
      <c r="M437" s="372"/>
      <c r="N437" s="634" t="s">
        <v>628</v>
      </c>
      <c r="O437" s="635"/>
      <c r="P437" s="640">
        <v>49007</v>
      </c>
      <c r="Q437" s="372"/>
      <c r="R437" s="640">
        <v>42738</v>
      </c>
      <c r="S437" s="626"/>
      <c r="T437" s="626"/>
      <c r="U437" s="626"/>
      <c r="V437" s="696">
        <v>3</v>
      </c>
      <c r="W437" s="696">
        <v>5</v>
      </c>
      <c r="X437" s="696">
        <v>5</v>
      </c>
      <c r="Y437" s="697">
        <v>0</v>
      </c>
      <c r="Z437" s="696">
        <v>5</v>
      </c>
      <c r="AA437" s="696">
        <v>5</v>
      </c>
    </row>
    <row r="438" spans="1:27" hidden="1">
      <c r="A438" s="634">
        <v>27</v>
      </c>
      <c r="B438" s="634"/>
      <c r="C438" s="634">
        <v>39202</v>
      </c>
      <c r="D438" s="636" t="s">
        <v>753</v>
      </c>
      <c r="E438" s="372"/>
      <c r="F438" s="634">
        <v>7.5</v>
      </c>
      <c r="G438" s="635"/>
      <c r="H438" s="640">
        <v>21902</v>
      </c>
      <c r="I438" s="635"/>
      <c r="J438" s="640">
        <v>8268</v>
      </c>
      <c r="K438" s="372"/>
      <c r="L438" s="640">
        <v>-1028</v>
      </c>
      <c r="M438" s="372"/>
      <c r="N438" s="634" t="s">
        <v>628</v>
      </c>
      <c r="O438" s="635"/>
      <c r="P438" s="640">
        <v>29142</v>
      </c>
      <c r="Q438" s="372"/>
      <c r="R438" s="640">
        <v>25331</v>
      </c>
      <c r="S438" s="626"/>
      <c r="T438" s="626"/>
      <c r="U438" s="626"/>
      <c r="V438" s="696">
        <v>5</v>
      </c>
      <c r="W438" s="696">
        <v>5</v>
      </c>
      <c r="X438" s="696">
        <v>5</v>
      </c>
      <c r="Y438" s="697">
        <v>0</v>
      </c>
      <c r="Z438" s="696">
        <v>5</v>
      </c>
      <c r="AA438" s="696">
        <v>5</v>
      </c>
    </row>
    <row r="439" spans="1:27" hidden="1">
      <c r="A439" s="634">
        <v>28</v>
      </c>
      <c r="B439" s="634"/>
      <c r="C439" s="634">
        <v>39203</v>
      </c>
      <c r="D439" s="636" t="s">
        <v>754</v>
      </c>
      <c r="E439" s="372"/>
      <c r="F439" s="634">
        <v>5.2</v>
      </c>
      <c r="G439" s="635"/>
      <c r="H439" s="640">
        <v>77389</v>
      </c>
      <c r="I439" s="635"/>
      <c r="J439" s="640">
        <v>5090</v>
      </c>
      <c r="K439" s="372"/>
      <c r="L439" s="640">
        <v>-1748</v>
      </c>
      <c r="M439" s="372"/>
      <c r="N439" s="634" t="s">
        <v>628</v>
      </c>
      <c r="O439" s="635"/>
      <c r="P439" s="640">
        <v>80731</v>
      </c>
      <c r="Q439" s="372"/>
      <c r="R439" s="640">
        <v>76877</v>
      </c>
      <c r="S439" s="626"/>
      <c r="T439" s="626"/>
      <c r="U439" s="626"/>
      <c r="V439" s="696">
        <v>5</v>
      </c>
      <c r="W439" s="696">
        <v>5</v>
      </c>
      <c r="X439" s="696">
        <v>5</v>
      </c>
      <c r="Y439" s="697">
        <v>0</v>
      </c>
      <c r="Z439" s="696">
        <v>5</v>
      </c>
      <c r="AA439" s="696">
        <v>5</v>
      </c>
    </row>
    <row r="440" spans="1:27" hidden="1">
      <c r="A440" s="634">
        <v>29</v>
      </c>
      <c r="B440" s="639"/>
      <c r="C440" s="634">
        <v>39204</v>
      </c>
      <c r="D440" s="636" t="s">
        <v>755</v>
      </c>
      <c r="E440" s="372"/>
      <c r="F440" s="634">
        <v>6.5</v>
      </c>
      <c r="G440" s="635"/>
      <c r="H440" s="634" t="s">
        <v>628</v>
      </c>
      <c r="I440" s="635"/>
      <c r="J440" s="634" t="s">
        <v>635</v>
      </c>
      <c r="K440" s="372"/>
      <c r="L440" s="634" t="s">
        <v>635</v>
      </c>
      <c r="M440" s="372"/>
      <c r="N440" s="634" t="s">
        <v>635</v>
      </c>
      <c r="O440" s="635"/>
      <c r="P440" s="634" t="s">
        <v>635</v>
      </c>
      <c r="Q440" s="372"/>
      <c r="R440" s="634" t="s">
        <v>635</v>
      </c>
      <c r="S440" s="626"/>
      <c r="T440" s="626"/>
      <c r="U440" s="626"/>
      <c r="V440" s="697">
        <v>0</v>
      </c>
      <c r="W440" s="697">
        <v>0</v>
      </c>
      <c r="X440" s="697">
        <v>0</v>
      </c>
      <c r="Y440" s="697">
        <v>0</v>
      </c>
      <c r="Z440" s="697">
        <v>0</v>
      </c>
      <c r="AA440" s="697">
        <v>0</v>
      </c>
    </row>
    <row r="441" spans="1:27" hidden="1">
      <c r="A441" s="634">
        <v>30</v>
      </c>
      <c r="B441" s="639"/>
      <c r="C441" s="634">
        <v>39212</v>
      </c>
      <c r="D441" s="372" t="s">
        <v>756</v>
      </c>
      <c r="E441" s="372"/>
      <c r="F441" s="634">
        <v>6.1</v>
      </c>
      <c r="G441" s="635"/>
      <c r="H441" s="640">
        <v>4221</v>
      </c>
      <c r="I441" s="635"/>
      <c r="J441" s="640">
        <v>2012</v>
      </c>
      <c r="K441" s="372"/>
      <c r="L441" s="634">
        <v>-102</v>
      </c>
      <c r="M441" s="372"/>
      <c r="N441" s="634" t="s">
        <v>628</v>
      </c>
      <c r="O441" s="635"/>
      <c r="P441" s="640">
        <v>6130</v>
      </c>
      <c r="Q441" s="372"/>
      <c r="R441" s="640">
        <v>5026</v>
      </c>
      <c r="S441" s="626"/>
      <c r="T441" s="626"/>
      <c r="U441" s="626"/>
      <c r="V441" s="696">
        <v>5</v>
      </c>
      <c r="W441" s="696">
        <v>5</v>
      </c>
      <c r="X441" s="696">
        <v>5</v>
      </c>
      <c r="Y441" s="697">
        <v>0</v>
      </c>
      <c r="Z441" s="696">
        <v>5</v>
      </c>
      <c r="AA441" s="696">
        <v>5</v>
      </c>
    </row>
    <row r="442" spans="1:27" hidden="1">
      <c r="A442" s="634">
        <v>31</v>
      </c>
      <c r="B442" s="639"/>
      <c r="C442" s="634">
        <v>39213</v>
      </c>
      <c r="D442" s="372" t="s">
        <v>757</v>
      </c>
      <c r="E442" s="372"/>
      <c r="F442" s="634">
        <v>4.8</v>
      </c>
      <c r="G442" s="635"/>
      <c r="H442" s="640">
        <v>1033</v>
      </c>
      <c r="I442" s="635"/>
      <c r="J442" s="634">
        <v>38</v>
      </c>
      <c r="K442" s="372"/>
      <c r="L442" s="634" t="s">
        <v>635</v>
      </c>
      <c r="M442" s="372"/>
      <c r="N442" s="634" t="s">
        <v>635</v>
      </c>
      <c r="O442" s="635"/>
      <c r="P442" s="640">
        <v>1071</v>
      </c>
      <c r="Q442" s="372"/>
      <c r="R442" s="640">
        <v>1043</v>
      </c>
      <c r="S442" s="626"/>
      <c r="T442" s="626"/>
      <c r="U442" s="626"/>
      <c r="V442" s="696">
        <v>5</v>
      </c>
      <c r="W442" s="696">
        <v>5</v>
      </c>
      <c r="X442" s="697">
        <v>0</v>
      </c>
      <c r="Y442" s="697">
        <v>0</v>
      </c>
      <c r="Z442" s="696">
        <v>5</v>
      </c>
      <c r="AA442" s="696">
        <v>5</v>
      </c>
    </row>
    <row r="443" spans="1:27" hidden="1">
      <c r="A443" s="634">
        <v>32</v>
      </c>
      <c r="B443" s="639"/>
      <c r="C443" s="634">
        <v>39214</v>
      </c>
      <c r="D443" s="372" t="s">
        <v>758</v>
      </c>
      <c r="E443" s="372"/>
      <c r="F443" s="634">
        <v>4.7</v>
      </c>
      <c r="G443" s="635"/>
      <c r="H443" s="634" t="s">
        <v>628</v>
      </c>
      <c r="I443" s="635"/>
      <c r="J443" s="634" t="s">
        <v>635</v>
      </c>
      <c r="K443" s="372"/>
      <c r="L443" s="634" t="s">
        <v>635</v>
      </c>
      <c r="M443" s="372"/>
      <c r="N443" s="634" t="s">
        <v>635</v>
      </c>
      <c r="O443" s="635"/>
      <c r="P443" s="634" t="s">
        <v>635</v>
      </c>
      <c r="Q443" s="372"/>
      <c r="R443" s="634" t="s">
        <v>635</v>
      </c>
      <c r="S443" s="626"/>
      <c r="T443" s="626"/>
      <c r="U443" s="626"/>
      <c r="V443" s="697">
        <v>0</v>
      </c>
      <c r="W443" s="697">
        <v>0</v>
      </c>
      <c r="X443" s="697">
        <v>0</v>
      </c>
      <c r="Y443" s="697">
        <v>0</v>
      </c>
      <c r="Z443" s="697">
        <v>0</v>
      </c>
      <c r="AA443" s="697">
        <v>0</v>
      </c>
    </row>
    <row r="444" spans="1:27" hidden="1">
      <c r="A444" s="634">
        <v>33</v>
      </c>
      <c r="B444" s="639"/>
      <c r="C444" s="634">
        <v>39300</v>
      </c>
      <c r="D444" s="372" t="s">
        <v>759</v>
      </c>
      <c r="E444" s="372"/>
      <c r="F444" s="634">
        <v>14.3</v>
      </c>
      <c r="G444" s="635"/>
      <c r="H444" s="634" t="s">
        <v>628</v>
      </c>
      <c r="I444" s="635"/>
      <c r="J444" s="634" t="s">
        <v>635</v>
      </c>
      <c r="K444" s="372"/>
      <c r="L444" s="634" t="s">
        <v>635</v>
      </c>
      <c r="M444" s="372"/>
      <c r="N444" s="634" t="s">
        <v>635</v>
      </c>
      <c r="O444" s="635"/>
      <c r="P444" s="634" t="s">
        <v>635</v>
      </c>
      <c r="Q444" s="372"/>
      <c r="R444" s="634" t="s">
        <v>635</v>
      </c>
      <c r="S444" s="626"/>
      <c r="T444" s="626"/>
      <c r="U444" s="626"/>
      <c r="V444" s="697">
        <v>0</v>
      </c>
      <c r="W444" s="697">
        <v>0</v>
      </c>
      <c r="X444" s="697">
        <v>0</v>
      </c>
      <c r="Y444" s="697">
        <v>0</v>
      </c>
      <c r="Z444" s="697">
        <v>0</v>
      </c>
      <c r="AA444" s="697">
        <v>0</v>
      </c>
    </row>
    <row r="445" spans="1:27" hidden="1">
      <c r="A445" s="634">
        <v>34</v>
      </c>
      <c r="B445" s="639"/>
      <c r="C445" s="634">
        <v>39400</v>
      </c>
      <c r="D445" s="372" t="s">
        <v>760</v>
      </c>
      <c r="E445" s="372"/>
      <c r="F445" s="634">
        <v>14.3</v>
      </c>
      <c r="G445" s="635"/>
      <c r="H445" s="640">
        <v>12764</v>
      </c>
      <c r="I445" s="635"/>
      <c r="J445" s="640">
        <v>4796</v>
      </c>
      <c r="K445" s="372"/>
      <c r="L445" s="640">
        <v>-1556</v>
      </c>
      <c r="M445" s="372"/>
      <c r="N445" s="640">
        <v>-1798</v>
      </c>
      <c r="O445" s="635"/>
      <c r="P445" s="640">
        <v>14206</v>
      </c>
      <c r="Q445" s="372"/>
      <c r="R445" s="640">
        <v>13154</v>
      </c>
      <c r="S445" s="626"/>
      <c r="T445" s="626"/>
      <c r="U445" s="626"/>
      <c r="V445" s="696">
        <v>4</v>
      </c>
      <c r="W445" s="696">
        <v>5</v>
      </c>
      <c r="X445" s="696">
        <v>5</v>
      </c>
      <c r="Y445" s="696">
        <v>5</v>
      </c>
      <c r="Z445" s="696">
        <v>5</v>
      </c>
      <c r="AA445" s="696">
        <v>5</v>
      </c>
    </row>
    <row r="446" spans="1:27" hidden="1">
      <c r="A446" s="634">
        <v>35</v>
      </c>
      <c r="B446" s="639"/>
      <c r="C446" s="634">
        <v>39401</v>
      </c>
      <c r="D446" s="372" t="s">
        <v>761</v>
      </c>
      <c r="E446" s="372"/>
      <c r="F446" s="634">
        <v>20</v>
      </c>
      <c r="G446" s="635"/>
      <c r="H446" s="640">
        <v>4189</v>
      </c>
      <c r="I446" s="635"/>
      <c r="J446" s="634" t="s">
        <v>635</v>
      </c>
      <c r="K446" s="372"/>
      <c r="L446" s="634" t="s">
        <v>635</v>
      </c>
      <c r="M446" s="372"/>
      <c r="N446" s="634" t="s">
        <v>635</v>
      </c>
      <c r="O446" s="635"/>
      <c r="P446" s="640">
        <v>4189</v>
      </c>
      <c r="Q446" s="372"/>
      <c r="R446" s="640">
        <v>4189</v>
      </c>
      <c r="S446" s="626"/>
      <c r="T446" s="626"/>
      <c r="U446" s="626"/>
      <c r="V446" s="696">
        <v>5</v>
      </c>
      <c r="W446" s="697">
        <v>0</v>
      </c>
      <c r="X446" s="697">
        <v>0</v>
      </c>
      <c r="Y446" s="697">
        <v>0</v>
      </c>
      <c r="Z446" s="696">
        <v>5</v>
      </c>
      <c r="AA446" s="696">
        <v>5</v>
      </c>
    </row>
    <row r="447" spans="1:27" hidden="1">
      <c r="A447" s="634">
        <v>36</v>
      </c>
      <c r="B447" s="639"/>
      <c r="C447" s="634">
        <v>39500</v>
      </c>
      <c r="D447" s="372" t="s">
        <v>762</v>
      </c>
      <c r="E447" s="372"/>
      <c r="F447" s="634">
        <v>14.3</v>
      </c>
      <c r="G447" s="635"/>
      <c r="H447" s="640">
        <v>2674</v>
      </c>
      <c r="I447" s="635"/>
      <c r="J447" s="634">
        <v>178</v>
      </c>
      <c r="K447" s="372"/>
      <c r="L447" s="634">
        <v>-155</v>
      </c>
      <c r="M447" s="372"/>
      <c r="N447" s="634" t="s">
        <v>628</v>
      </c>
      <c r="O447" s="635"/>
      <c r="P447" s="640">
        <v>2697</v>
      </c>
      <c r="Q447" s="372"/>
      <c r="R447" s="640">
        <v>2732</v>
      </c>
      <c r="S447" s="626"/>
      <c r="T447" s="626"/>
      <c r="U447" s="626"/>
      <c r="V447" s="696">
        <v>5</v>
      </c>
      <c r="W447" s="696">
        <v>4</v>
      </c>
      <c r="X447" s="696">
        <v>5</v>
      </c>
      <c r="Y447" s="697">
        <v>0</v>
      </c>
      <c r="Z447" s="696">
        <v>5</v>
      </c>
      <c r="AA447" s="696">
        <v>5</v>
      </c>
    </row>
    <row r="448" spans="1:27" hidden="1">
      <c r="A448" s="634">
        <v>37</v>
      </c>
      <c r="B448" s="639"/>
      <c r="C448" s="634">
        <v>39600</v>
      </c>
      <c r="D448" s="372" t="s">
        <v>763</v>
      </c>
      <c r="E448" s="372"/>
      <c r="F448" s="634">
        <v>14.3</v>
      </c>
      <c r="G448" s="635"/>
      <c r="H448" s="634" t="s">
        <v>628</v>
      </c>
      <c r="I448" s="635"/>
      <c r="J448" s="634" t="s">
        <v>635</v>
      </c>
      <c r="K448" s="372"/>
      <c r="L448" s="634" t="s">
        <v>635</v>
      </c>
      <c r="M448" s="372"/>
      <c r="N448" s="634" t="s">
        <v>635</v>
      </c>
      <c r="O448" s="635"/>
      <c r="P448" s="634" t="s">
        <v>635</v>
      </c>
      <c r="Q448" s="372"/>
      <c r="R448" s="634" t="s">
        <v>635</v>
      </c>
      <c r="S448" s="626"/>
      <c r="T448" s="626"/>
      <c r="U448" s="626"/>
      <c r="V448" s="697">
        <v>0</v>
      </c>
      <c r="W448" s="697">
        <v>0</v>
      </c>
      <c r="X448" s="697">
        <v>0</v>
      </c>
      <c r="Y448" s="697">
        <v>0</v>
      </c>
      <c r="Z448" s="697">
        <v>0</v>
      </c>
      <c r="AA448" s="697">
        <v>0</v>
      </c>
    </row>
    <row r="449" spans="1:27" hidden="1">
      <c r="A449" s="634">
        <v>38</v>
      </c>
      <c r="B449" s="639"/>
      <c r="C449" s="634">
        <v>39700</v>
      </c>
      <c r="D449" s="372" t="s">
        <v>764</v>
      </c>
      <c r="E449" s="372"/>
      <c r="F449" s="634">
        <v>14.3</v>
      </c>
      <c r="G449" s="635"/>
      <c r="H449" s="640">
        <v>40949</v>
      </c>
      <c r="I449" s="635"/>
      <c r="J449" s="640">
        <v>6580</v>
      </c>
      <c r="K449" s="372"/>
      <c r="L449" s="640">
        <v>-3430</v>
      </c>
      <c r="M449" s="372"/>
      <c r="N449" s="634" t="s">
        <v>628</v>
      </c>
      <c r="O449" s="635"/>
      <c r="P449" s="640">
        <v>44099</v>
      </c>
      <c r="Q449" s="372"/>
      <c r="R449" s="640">
        <v>41903</v>
      </c>
      <c r="S449" s="626"/>
      <c r="T449" s="626"/>
      <c r="U449" s="626"/>
      <c r="V449" s="696">
        <v>5</v>
      </c>
      <c r="W449" s="696">
        <v>5</v>
      </c>
      <c r="X449" s="696">
        <v>5</v>
      </c>
      <c r="Y449" s="697">
        <v>0</v>
      </c>
      <c r="Z449" s="696">
        <v>5</v>
      </c>
      <c r="AA449" s="696">
        <v>5</v>
      </c>
    </row>
    <row r="450" spans="1:27" hidden="1">
      <c r="A450" s="634">
        <v>39</v>
      </c>
      <c r="B450" s="639"/>
      <c r="C450" s="634">
        <v>39725</v>
      </c>
      <c r="D450" s="372" t="s">
        <v>765</v>
      </c>
      <c r="E450" s="372"/>
      <c r="F450" s="634">
        <v>2.9</v>
      </c>
      <c r="G450" s="635"/>
      <c r="H450" s="640">
        <v>39504</v>
      </c>
      <c r="I450" s="635"/>
      <c r="J450" s="640">
        <v>2874</v>
      </c>
      <c r="K450" s="372"/>
      <c r="L450" s="634">
        <v>-428</v>
      </c>
      <c r="M450" s="372"/>
      <c r="N450" s="634">
        <v>208</v>
      </c>
      <c r="O450" s="635"/>
      <c r="P450" s="640">
        <v>42158</v>
      </c>
      <c r="Q450" s="372"/>
      <c r="R450" s="640">
        <v>40609</v>
      </c>
      <c r="S450" s="626"/>
      <c r="T450" s="626"/>
      <c r="U450" s="626"/>
      <c r="V450" s="696">
        <v>5</v>
      </c>
      <c r="W450" s="696">
        <v>5</v>
      </c>
      <c r="X450" s="696">
        <v>5</v>
      </c>
      <c r="Y450" s="696">
        <v>5</v>
      </c>
      <c r="Z450" s="696">
        <v>5</v>
      </c>
      <c r="AA450" s="696">
        <v>5</v>
      </c>
    </row>
    <row r="451" spans="1:27" hidden="1">
      <c r="A451" s="634">
        <v>40</v>
      </c>
      <c r="B451" s="639"/>
      <c r="C451" s="634">
        <v>39800</v>
      </c>
      <c r="D451" s="372" t="s">
        <v>766</v>
      </c>
      <c r="E451" s="372"/>
      <c r="F451" s="634">
        <v>14.3</v>
      </c>
      <c r="G451" s="635"/>
      <c r="H451" s="640">
        <v>4718</v>
      </c>
      <c r="I451" s="635"/>
      <c r="J451" s="634">
        <v>538</v>
      </c>
      <c r="K451" s="372"/>
      <c r="L451" s="634">
        <v>-93</v>
      </c>
      <c r="M451" s="372"/>
      <c r="N451" s="634" t="s">
        <v>628</v>
      </c>
      <c r="O451" s="635"/>
      <c r="P451" s="640">
        <v>5162</v>
      </c>
      <c r="Q451" s="372"/>
      <c r="R451" s="640">
        <v>4984</v>
      </c>
      <c r="S451" s="626"/>
      <c r="T451" s="626"/>
      <c r="U451" s="626"/>
      <c r="V451" s="696">
        <v>5</v>
      </c>
      <c r="W451" s="696">
        <v>5</v>
      </c>
      <c r="X451" s="696">
        <v>5</v>
      </c>
      <c r="Y451" s="697">
        <v>0</v>
      </c>
      <c r="Z451" s="696">
        <v>5</v>
      </c>
      <c r="AA451" s="696">
        <v>5</v>
      </c>
    </row>
    <row r="452" spans="1:27" ht="15" hidden="1" thickBot="1">
      <c r="A452" s="634">
        <v>41</v>
      </c>
      <c r="B452" s="639"/>
      <c r="C452" s="634"/>
      <c r="D452" s="372" t="s">
        <v>767</v>
      </c>
      <c r="E452" s="372"/>
      <c r="F452" s="372"/>
      <c r="G452" s="372"/>
      <c r="H452" s="648">
        <v>405987</v>
      </c>
      <c r="I452" s="635"/>
      <c r="J452" s="648">
        <v>50455</v>
      </c>
      <c r="K452" s="635"/>
      <c r="L452" s="648">
        <v>-14352</v>
      </c>
      <c r="M452" s="635"/>
      <c r="N452" s="648">
        <v>-1590</v>
      </c>
      <c r="O452" s="635"/>
      <c r="P452" s="648">
        <v>440500</v>
      </c>
      <c r="Q452" s="635"/>
      <c r="R452" s="648">
        <v>416522</v>
      </c>
      <c r="S452" s="626"/>
      <c r="T452" s="626"/>
      <c r="U452" s="626"/>
      <c r="V452" s="696">
        <v>4</v>
      </c>
      <c r="W452" s="696">
        <v>5</v>
      </c>
      <c r="X452" s="696">
        <v>5</v>
      </c>
      <c r="Y452" s="696">
        <v>5</v>
      </c>
      <c r="Z452" s="696">
        <v>5</v>
      </c>
      <c r="AA452" s="696">
        <v>5</v>
      </c>
    </row>
    <row r="453" spans="1:27" ht="15" hidden="1" thickTop="1">
      <c r="A453" s="634">
        <v>42</v>
      </c>
      <c r="B453" s="639"/>
      <c r="C453" s="634"/>
      <c r="D453" s="372"/>
      <c r="E453" s="372"/>
      <c r="F453" s="372"/>
      <c r="G453" s="372"/>
      <c r="H453" s="372"/>
      <c r="I453" s="372"/>
      <c r="J453" s="372"/>
      <c r="K453" s="372"/>
      <c r="L453" s="372"/>
      <c r="M453" s="372"/>
      <c r="N453" s="372"/>
      <c r="O453" s="635"/>
      <c r="P453" s="372"/>
      <c r="Q453" s="372"/>
      <c r="R453" s="372"/>
      <c r="S453" s="626"/>
      <c r="T453" s="626"/>
      <c r="U453" s="626"/>
      <c r="V453" s="697">
        <v>0</v>
      </c>
      <c r="W453" s="697">
        <v>0</v>
      </c>
      <c r="X453" s="697">
        <v>0</v>
      </c>
      <c r="Y453" s="697">
        <v>0</v>
      </c>
      <c r="Z453" s="697">
        <v>0</v>
      </c>
      <c r="AA453" s="697">
        <v>0</v>
      </c>
    </row>
    <row r="454" spans="1:27" ht="15" hidden="1" thickBot="1">
      <c r="A454" s="634">
        <v>43</v>
      </c>
      <c r="B454" s="639"/>
      <c r="C454" s="634"/>
      <c r="D454" s="636" t="s">
        <v>768</v>
      </c>
      <c r="E454" s="372"/>
      <c r="F454" s="372"/>
      <c r="G454" s="635"/>
      <c r="H454" s="652">
        <v>10870354</v>
      </c>
      <c r="I454" s="635"/>
      <c r="J454" s="652">
        <v>939595</v>
      </c>
      <c r="K454" s="635"/>
      <c r="L454" s="652">
        <v>-94854</v>
      </c>
      <c r="M454" s="635"/>
      <c r="N454" s="653">
        <v>579</v>
      </c>
      <c r="O454" s="635"/>
      <c r="P454" s="652">
        <v>11715675</v>
      </c>
      <c r="Q454" s="635"/>
      <c r="R454" s="652">
        <v>11138596</v>
      </c>
      <c r="S454" s="626"/>
      <c r="T454" s="626"/>
      <c r="U454" s="626"/>
      <c r="V454" s="696">
        <v>5</v>
      </c>
      <c r="W454" s="696">
        <v>5</v>
      </c>
      <c r="X454" s="696">
        <v>5</v>
      </c>
      <c r="Y454" s="696">
        <v>12</v>
      </c>
      <c r="Z454" s="696">
        <v>5</v>
      </c>
      <c r="AA454" s="696">
        <v>5</v>
      </c>
    </row>
    <row r="455" spans="1:27" ht="15.6" hidden="1" thickTop="1" thickBot="1">
      <c r="A455" s="637">
        <v>44</v>
      </c>
      <c r="B455" s="660" t="s">
        <v>67</v>
      </c>
      <c r="C455" s="660"/>
      <c r="D455" s="625"/>
      <c r="E455" s="625"/>
      <c r="F455" s="625"/>
      <c r="G455" s="625"/>
      <c r="H455" s="625"/>
      <c r="I455" s="625"/>
      <c r="J455" s="625"/>
      <c r="K455" s="625"/>
      <c r="L455" s="625"/>
      <c r="M455" s="625"/>
      <c r="N455" s="625"/>
      <c r="O455" s="638"/>
      <c r="P455" s="625"/>
      <c r="Q455" s="625"/>
      <c r="R455" s="625"/>
      <c r="S455" s="626"/>
      <c r="T455" s="626"/>
      <c r="U455" s="626"/>
      <c r="V455" s="697">
        <v>0</v>
      </c>
      <c r="W455" s="697">
        <v>0</v>
      </c>
      <c r="X455" s="697">
        <v>0</v>
      </c>
      <c r="Y455" s="697">
        <v>0</v>
      </c>
      <c r="Z455" s="697">
        <v>0</v>
      </c>
      <c r="AA455" s="697">
        <v>0</v>
      </c>
    </row>
    <row r="456" spans="1:27" hidden="1">
      <c r="A456" s="664" t="s">
        <v>643</v>
      </c>
      <c r="B456" s="664"/>
      <c r="C456" s="372"/>
      <c r="D456" s="372"/>
      <c r="E456" s="664"/>
      <c r="F456" s="664"/>
      <c r="G456" s="664"/>
      <c r="H456" s="664"/>
      <c r="I456" s="664"/>
      <c r="J456" s="664"/>
      <c r="K456" s="664"/>
      <c r="L456" s="664"/>
      <c r="M456" s="664"/>
      <c r="N456" s="664"/>
      <c r="O456" s="635"/>
      <c r="P456" s="372" t="s">
        <v>644</v>
      </c>
      <c r="Q456" s="664"/>
      <c r="R456" s="664"/>
      <c r="S456" s="626"/>
      <c r="T456" s="626"/>
      <c r="U456" s="626"/>
      <c r="V456" s="697">
        <v>0</v>
      </c>
      <c r="W456" s="697">
        <v>0</v>
      </c>
      <c r="X456" s="697">
        <v>0</v>
      </c>
      <c r="Y456" s="697">
        <v>0</v>
      </c>
      <c r="Z456" s="697">
        <v>0</v>
      </c>
      <c r="AA456" s="697">
        <v>0</v>
      </c>
    </row>
    <row r="457" spans="1:27" ht="15" hidden="1" thickBot="1">
      <c r="A457" s="625" t="s">
        <v>604</v>
      </c>
      <c r="B457" s="625"/>
      <c r="C457" s="625"/>
      <c r="D457" s="625"/>
      <c r="E457" s="625"/>
      <c r="F457" s="625"/>
      <c r="G457" s="625" t="s">
        <v>605</v>
      </c>
      <c r="H457" s="625"/>
      <c r="I457" s="625"/>
      <c r="J457" s="625"/>
      <c r="K457" s="625"/>
      <c r="L457" s="625"/>
      <c r="M457" s="625"/>
      <c r="N457" s="625"/>
      <c r="O457" s="638"/>
      <c r="P457" s="625"/>
      <c r="Q457" s="625"/>
      <c r="R457" s="625" t="s">
        <v>769</v>
      </c>
      <c r="S457" s="626"/>
      <c r="T457" s="626"/>
      <c r="U457" s="626"/>
      <c r="V457" s="697">
        <v>0</v>
      </c>
      <c r="W457" s="697">
        <v>0</v>
      </c>
      <c r="X457" s="697">
        <v>0</v>
      </c>
      <c r="Y457" s="697">
        <v>0</v>
      </c>
      <c r="Z457" s="697">
        <v>0</v>
      </c>
      <c r="AA457" s="697">
        <v>0</v>
      </c>
    </row>
    <row r="458" spans="1:27" hidden="1">
      <c r="A458" s="664" t="s">
        <v>4</v>
      </c>
      <c r="B458" s="664"/>
      <c r="C458" s="372"/>
      <c r="D458" s="372"/>
      <c r="E458" s="635" t="s">
        <v>553</v>
      </c>
      <c r="F458" s="372" t="s">
        <v>607</v>
      </c>
      <c r="G458" s="664"/>
      <c r="H458" s="664"/>
      <c r="I458" s="664"/>
      <c r="J458" s="664"/>
      <c r="K458" s="661"/>
      <c r="L458" s="661"/>
      <c r="M458" s="661"/>
      <c r="N458" s="661"/>
      <c r="O458" s="645"/>
      <c r="P458" s="372" t="s">
        <v>608</v>
      </c>
      <c r="Q458" s="664"/>
      <c r="R458" s="664"/>
      <c r="S458" s="626"/>
      <c r="T458" s="626"/>
      <c r="U458" s="626"/>
      <c r="V458" s="697">
        <v>0</v>
      </c>
      <c r="W458" s="697">
        <v>0</v>
      </c>
      <c r="X458" s="697">
        <v>0</v>
      </c>
      <c r="Y458" s="697">
        <v>0</v>
      </c>
      <c r="Z458" s="697">
        <v>0</v>
      </c>
      <c r="AA458" s="697">
        <v>0</v>
      </c>
    </row>
    <row r="459" spans="1:27" hidden="1">
      <c r="A459" s="372"/>
      <c r="B459" s="372"/>
      <c r="C459" s="372"/>
      <c r="D459" s="372"/>
      <c r="E459" s="372"/>
      <c r="F459" s="372" t="s">
        <v>609</v>
      </c>
      <c r="G459" s="372"/>
      <c r="H459" s="372"/>
      <c r="I459" s="372"/>
      <c r="J459" s="372"/>
      <c r="K459" s="636"/>
      <c r="L459" s="636"/>
      <c r="M459" s="372"/>
      <c r="N459" s="372"/>
      <c r="O459" s="635"/>
      <c r="P459" s="636" t="s">
        <v>9</v>
      </c>
      <c r="Q459" s="372"/>
      <c r="R459" s="372"/>
      <c r="S459" s="626"/>
      <c r="T459" s="626"/>
      <c r="U459" s="626"/>
      <c r="V459" s="697">
        <v>0</v>
      </c>
      <c r="W459" s="697">
        <v>0</v>
      </c>
      <c r="X459" s="697">
        <v>0</v>
      </c>
      <c r="Y459" s="697">
        <v>0</v>
      </c>
      <c r="Z459" s="697">
        <v>0</v>
      </c>
      <c r="AA459" s="697">
        <v>0</v>
      </c>
    </row>
    <row r="460" spans="1:27" hidden="1">
      <c r="A460" s="372" t="s">
        <v>10</v>
      </c>
      <c r="B460" s="372"/>
      <c r="C460" s="372"/>
      <c r="D460" s="372"/>
      <c r="E460" s="372"/>
      <c r="F460" s="372"/>
      <c r="G460" s="372"/>
      <c r="H460" s="372"/>
      <c r="I460" s="372"/>
      <c r="J460" s="372"/>
      <c r="K460" s="636"/>
      <c r="L460" s="636"/>
      <c r="M460" s="372"/>
      <c r="N460" s="372"/>
      <c r="O460" s="635"/>
      <c r="P460" s="636" t="s">
        <v>11</v>
      </c>
      <c r="Q460" s="372"/>
      <c r="R460" s="372"/>
      <c r="S460" s="626"/>
      <c r="T460" s="626"/>
      <c r="U460" s="626"/>
      <c r="V460" s="697">
        <v>0</v>
      </c>
      <c r="W460" s="697">
        <v>0</v>
      </c>
      <c r="X460" s="697">
        <v>0</v>
      </c>
      <c r="Y460" s="697">
        <v>0</v>
      </c>
      <c r="Z460" s="697">
        <v>0</v>
      </c>
      <c r="AA460" s="697">
        <v>0</v>
      </c>
    </row>
    <row r="461" spans="1:27" hidden="1">
      <c r="A461" s="372"/>
      <c r="B461" s="372"/>
      <c r="C461" s="372"/>
      <c r="D461" s="372"/>
      <c r="E461" s="372"/>
      <c r="F461" s="372"/>
      <c r="G461" s="372"/>
      <c r="H461" s="372"/>
      <c r="I461" s="372"/>
      <c r="J461" s="372"/>
      <c r="K461" s="636"/>
      <c r="L461" s="636"/>
      <c r="M461" s="372"/>
      <c r="N461" s="372"/>
      <c r="O461" s="635" t="s">
        <v>12</v>
      </c>
      <c r="P461" s="636" t="s">
        <v>13</v>
      </c>
      <c r="Q461" s="372"/>
      <c r="R461" s="372"/>
      <c r="S461" s="626"/>
      <c r="T461" s="626"/>
      <c r="U461" s="626"/>
      <c r="V461" s="697">
        <v>0</v>
      </c>
      <c r="W461" s="697">
        <v>0</v>
      </c>
      <c r="X461" s="697">
        <v>0</v>
      </c>
      <c r="Y461" s="697">
        <v>0</v>
      </c>
      <c r="Z461" s="697">
        <v>0</v>
      </c>
      <c r="AA461" s="697">
        <v>0</v>
      </c>
    </row>
    <row r="462" spans="1:27" hidden="1">
      <c r="A462" s="372"/>
      <c r="B462" s="372"/>
      <c r="C462" s="372"/>
      <c r="D462" s="372"/>
      <c r="E462" s="372"/>
      <c r="F462" s="372"/>
      <c r="G462" s="372"/>
      <c r="H462" s="372"/>
      <c r="I462" s="372"/>
      <c r="J462" s="372"/>
      <c r="K462" s="636"/>
      <c r="L462" s="636"/>
      <c r="M462" s="372"/>
      <c r="N462" s="372"/>
      <c r="O462" s="635"/>
      <c r="P462" s="636" t="s">
        <v>610</v>
      </c>
      <c r="Q462" s="372"/>
      <c r="R462" s="372"/>
      <c r="S462" s="626"/>
      <c r="T462" s="626"/>
      <c r="U462" s="626"/>
      <c r="V462" s="697">
        <v>0</v>
      </c>
      <c r="W462" s="697">
        <v>0</v>
      </c>
      <c r="X462" s="697">
        <v>0</v>
      </c>
      <c r="Y462" s="697">
        <v>0</v>
      </c>
      <c r="Z462" s="697">
        <v>0</v>
      </c>
      <c r="AA462" s="697">
        <v>0</v>
      </c>
    </row>
    <row r="463" spans="1:27" ht="15" hidden="1" thickBot="1">
      <c r="A463" s="625" t="s">
        <v>611</v>
      </c>
      <c r="B463" s="625"/>
      <c r="C463" s="625"/>
      <c r="D463" s="625"/>
      <c r="E463" s="625"/>
      <c r="F463" s="625"/>
      <c r="G463" s="625"/>
      <c r="H463" s="637" t="s">
        <v>612</v>
      </c>
      <c r="I463" s="625"/>
      <c r="J463" s="625"/>
      <c r="K463" s="625"/>
      <c r="L463" s="625"/>
      <c r="M463" s="625"/>
      <c r="N463" s="625"/>
      <c r="O463" s="638"/>
      <c r="P463" s="625" t="s">
        <v>249</v>
      </c>
      <c r="Q463" s="625"/>
      <c r="R463" s="625"/>
      <c r="S463" s="626"/>
      <c r="T463" s="626"/>
      <c r="U463" s="626"/>
      <c r="V463" s="697">
        <v>0</v>
      </c>
      <c r="W463" s="697">
        <v>0</v>
      </c>
      <c r="X463" s="697">
        <v>0</v>
      </c>
      <c r="Y463" s="697">
        <v>0</v>
      </c>
      <c r="Z463" s="697">
        <v>0</v>
      </c>
      <c r="AA463" s="697">
        <v>0</v>
      </c>
    </row>
    <row r="464" spans="1:27" hidden="1">
      <c r="A464" s="664"/>
      <c r="B464" s="664"/>
      <c r="C464" s="634"/>
      <c r="D464" s="634"/>
      <c r="E464" s="634"/>
      <c r="F464" s="634"/>
      <c r="G464" s="634"/>
      <c r="H464" s="634"/>
      <c r="I464" s="634"/>
      <c r="J464" s="634"/>
      <c r="K464" s="634"/>
      <c r="L464" s="634"/>
      <c r="M464" s="634"/>
      <c r="N464" s="634"/>
      <c r="O464" s="635"/>
      <c r="P464" s="634"/>
      <c r="Q464" s="634"/>
      <c r="R464" s="634"/>
      <c r="S464" s="626"/>
      <c r="T464" s="626"/>
      <c r="U464" s="626"/>
      <c r="V464" s="697">
        <v>0</v>
      </c>
      <c r="W464" s="697">
        <v>0</v>
      </c>
      <c r="X464" s="697">
        <v>0</v>
      </c>
      <c r="Y464" s="697">
        <v>0</v>
      </c>
      <c r="Z464" s="697">
        <v>0</v>
      </c>
      <c r="AA464" s="697">
        <v>0</v>
      </c>
    </row>
    <row r="465" spans="1:27" hidden="1">
      <c r="A465" s="372"/>
      <c r="B465" s="372"/>
      <c r="C465" s="634">
        <v>-1</v>
      </c>
      <c r="D465" s="634">
        <v>-2</v>
      </c>
      <c r="E465" s="634"/>
      <c r="F465" s="634">
        <v>-3</v>
      </c>
      <c r="G465" s="634"/>
      <c r="H465" s="634">
        <v>-4</v>
      </c>
      <c r="I465" s="634"/>
      <c r="J465" s="634">
        <v>-5</v>
      </c>
      <c r="K465" s="634"/>
      <c r="L465" s="634">
        <v>-6</v>
      </c>
      <c r="M465" s="634"/>
      <c r="N465" s="634">
        <v>-7</v>
      </c>
      <c r="O465" s="635"/>
      <c r="P465" s="634">
        <v>-8</v>
      </c>
      <c r="Q465" s="634"/>
      <c r="R465" s="634">
        <v>-9</v>
      </c>
      <c r="S465" s="626"/>
      <c r="T465" s="626"/>
      <c r="U465" s="626"/>
      <c r="V465" s="697">
        <v>0</v>
      </c>
      <c r="W465" s="697">
        <v>0</v>
      </c>
      <c r="X465" s="697">
        <v>0</v>
      </c>
      <c r="Y465" s="697">
        <v>0</v>
      </c>
      <c r="Z465" s="697">
        <v>0</v>
      </c>
      <c r="AA465" s="697">
        <v>0</v>
      </c>
    </row>
    <row r="466" spans="1:27" hidden="1">
      <c r="A466" s="372"/>
      <c r="B466" s="372"/>
      <c r="C466" s="634" t="s">
        <v>613</v>
      </c>
      <c r="D466" s="634" t="s">
        <v>613</v>
      </c>
      <c r="E466" s="372"/>
      <c r="F466" s="634" t="s">
        <v>37</v>
      </c>
      <c r="G466" s="634"/>
      <c r="H466" s="634" t="s">
        <v>30</v>
      </c>
      <c r="I466" s="634"/>
      <c r="J466" s="634" t="s">
        <v>45</v>
      </c>
      <c r="K466" s="634"/>
      <c r="L466" s="634" t="s">
        <v>45</v>
      </c>
      <c r="M466" s="634"/>
      <c r="N466" s="372"/>
      <c r="O466" s="635"/>
      <c r="P466" s="634" t="s">
        <v>30</v>
      </c>
      <c r="Q466" s="372"/>
      <c r="R466" s="372"/>
      <c r="S466" s="626"/>
      <c r="T466" s="626"/>
      <c r="U466" s="626"/>
      <c r="V466" s="697">
        <v>0</v>
      </c>
      <c r="W466" s="697">
        <v>0</v>
      </c>
      <c r="X466" s="697">
        <v>0</v>
      </c>
      <c r="Y466" s="697">
        <v>0</v>
      </c>
      <c r="Z466" s="697">
        <v>0</v>
      </c>
      <c r="AA466" s="697">
        <v>0</v>
      </c>
    </row>
    <row r="467" spans="1:27" hidden="1">
      <c r="A467" s="634" t="s">
        <v>35</v>
      </c>
      <c r="B467" s="634"/>
      <c r="C467" s="634" t="s">
        <v>614</v>
      </c>
      <c r="D467" s="634" t="s">
        <v>614</v>
      </c>
      <c r="E467" s="634"/>
      <c r="F467" s="634" t="s">
        <v>615</v>
      </c>
      <c r="G467" s="634"/>
      <c r="H467" s="634" t="s">
        <v>616</v>
      </c>
      <c r="I467" s="634"/>
      <c r="J467" s="634" t="s">
        <v>30</v>
      </c>
      <c r="K467" s="634"/>
      <c r="L467" s="634" t="s">
        <v>30</v>
      </c>
      <c r="M467" s="636"/>
      <c r="N467" s="634" t="s">
        <v>178</v>
      </c>
      <c r="O467" s="635"/>
      <c r="P467" s="634" t="s">
        <v>616</v>
      </c>
      <c r="Q467" s="634"/>
      <c r="R467" s="634" t="s">
        <v>353</v>
      </c>
      <c r="S467" s="626"/>
      <c r="T467" s="626"/>
      <c r="U467" s="626"/>
      <c r="V467" s="697">
        <v>0</v>
      </c>
      <c r="W467" s="697">
        <v>0</v>
      </c>
      <c r="X467" s="697">
        <v>0</v>
      </c>
      <c r="Y467" s="697">
        <v>0</v>
      </c>
      <c r="Z467" s="697">
        <v>0</v>
      </c>
      <c r="AA467" s="697">
        <v>0</v>
      </c>
    </row>
    <row r="468" spans="1:27" ht="15" hidden="1" thickBot="1">
      <c r="A468" s="637" t="s">
        <v>46</v>
      </c>
      <c r="B468" s="637"/>
      <c r="C468" s="637" t="s">
        <v>371</v>
      </c>
      <c r="D468" s="637" t="s">
        <v>617</v>
      </c>
      <c r="E468" s="637"/>
      <c r="F468" s="637" t="s">
        <v>618</v>
      </c>
      <c r="G468" s="637"/>
      <c r="H468" s="637" t="s">
        <v>619</v>
      </c>
      <c r="I468" s="637"/>
      <c r="J468" s="637" t="s">
        <v>620</v>
      </c>
      <c r="K468" s="637"/>
      <c r="L468" s="637" t="s">
        <v>621</v>
      </c>
      <c r="M468" s="637"/>
      <c r="N468" s="637" t="s">
        <v>622</v>
      </c>
      <c r="O468" s="638"/>
      <c r="P468" s="637" t="s">
        <v>623</v>
      </c>
      <c r="Q468" s="637"/>
      <c r="R468" s="637" t="s">
        <v>369</v>
      </c>
      <c r="S468" s="626"/>
      <c r="T468" s="626"/>
      <c r="U468" s="626"/>
      <c r="V468" s="697">
        <v>0</v>
      </c>
      <c r="W468" s="697">
        <v>0</v>
      </c>
      <c r="X468" s="697">
        <v>0</v>
      </c>
      <c r="Y468" s="697">
        <v>0</v>
      </c>
      <c r="Z468" s="697">
        <v>0</v>
      </c>
      <c r="AA468" s="697">
        <v>0</v>
      </c>
    </row>
    <row r="469" spans="1:27" hidden="1">
      <c r="A469" s="634">
        <v>1</v>
      </c>
      <c r="B469" s="639"/>
      <c r="C469" s="372"/>
      <c r="D469" s="372"/>
      <c r="E469" s="664"/>
      <c r="F469" s="664"/>
      <c r="G469" s="664"/>
      <c r="H469" s="664"/>
      <c r="I469" s="664"/>
      <c r="J469" s="664"/>
      <c r="K469" s="664"/>
      <c r="L469" s="664"/>
      <c r="M469" s="664"/>
      <c r="N469" s="664"/>
      <c r="O469" s="635"/>
      <c r="P469" s="372"/>
      <c r="Q469" s="664"/>
      <c r="R469" s="664"/>
      <c r="S469" s="626"/>
      <c r="T469" s="626"/>
      <c r="U469" s="626"/>
      <c r="V469" s="697">
        <v>0</v>
      </c>
      <c r="W469" s="697">
        <v>0</v>
      </c>
      <c r="X469" s="697">
        <v>0</v>
      </c>
      <c r="Y469" s="697">
        <v>0</v>
      </c>
      <c r="Z469" s="697">
        <v>0</v>
      </c>
      <c r="AA469" s="697">
        <v>0</v>
      </c>
    </row>
    <row r="470" spans="1:27" hidden="1">
      <c r="A470" s="634">
        <v>2</v>
      </c>
      <c r="B470" s="639"/>
      <c r="C470" s="634"/>
      <c r="D470" s="372" t="s">
        <v>770</v>
      </c>
      <c r="E470" s="372"/>
      <c r="F470" s="372"/>
      <c r="G470" s="372"/>
      <c r="H470" s="372"/>
      <c r="I470" s="634"/>
      <c r="J470" s="634"/>
      <c r="K470" s="634"/>
      <c r="L470" s="634"/>
      <c r="M470" s="634"/>
      <c r="N470" s="634"/>
      <c r="O470" s="635"/>
      <c r="P470" s="634"/>
      <c r="Q470" s="634"/>
      <c r="R470" s="634"/>
      <c r="S470" s="626"/>
      <c r="T470" s="626"/>
      <c r="U470" s="626"/>
      <c r="V470" s="697">
        <v>0</v>
      </c>
      <c r="W470" s="697">
        <v>0</v>
      </c>
      <c r="X470" s="697">
        <v>0</v>
      </c>
      <c r="Y470" s="697">
        <v>0</v>
      </c>
      <c r="Z470" s="697">
        <v>0</v>
      </c>
      <c r="AA470" s="697">
        <v>0</v>
      </c>
    </row>
    <row r="471" spans="1:27" hidden="1">
      <c r="A471" s="634">
        <v>3</v>
      </c>
      <c r="B471" s="639"/>
      <c r="C471" s="634" t="s">
        <v>771</v>
      </c>
      <c r="D471" s="636" t="s">
        <v>772</v>
      </c>
      <c r="E471" s="372"/>
      <c r="F471" s="654">
        <v>0</v>
      </c>
      <c r="G471" s="635"/>
      <c r="H471" s="739">
        <v>6924</v>
      </c>
      <c r="I471" s="635"/>
      <c r="J471" s="628" t="s">
        <v>635</v>
      </c>
      <c r="K471" s="635"/>
      <c r="L471" s="628" t="s">
        <v>635</v>
      </c>
      <c r="M471" s="635"/>
      <c r="N471" s="628" t="s">
        <v>635</v>
      </c>
      <c r="O471" s="635"/>
      <c r="P471" s="740">
        <v>6924</v>
      </c>
      <c r="Q471" s="635"/>
      <c r="R471" s="741">
        <v>6924</v>
      </c>
      <c r="S471" s="626"/>
      <c r="T471" s="626"/>
      <c r="U471" s="626"/>
      <c r="V471" s="696">
        <v>5</v>
      </c>
      <c r="W471" s="697">
        <v>0</v>
      </c>
      <c r="X471" s="697">
        <v>0</v>
      </c>
      <c r="Y471" s="697">
        <v>0</v>
      </c>
      <c r="Z471" s="696">
        <v>5</v>
      </c>
      <c r="AA471" s="696">
        <v>5</v>
      </c>
    </row>
    <row r="472" spans="1:27" hidden="1">
      <c r="A472" s="634">
        <v>4</v>
      </c>
      <c r="B472" s="639"/>
      <c r="C472" s="634" t="s">
        <v>773</v>
      </c>
      <c r="D472" s="372" t="s">
        <v>774</v>
      </c>
      <c r="E472" s="372"/>
      <c r="F472" s="654">
        <v>0</v>
      </c>
      <c r="G472" s="635"/>
      <c r="H472" s="739">
        <v>155125</v>
      </c>
      <c r="I472" s="635"/>
      <c r="J472" s="739">
        <v>32135</v>
      </c>
      <c r="K472" s="635"/>
      <c r="L472" s="628" t="s">
        <v>635</v>
      </c>
      <c r="M472" s="635"/>
      <c r="N472" s="628" t="s">
        <v>635</v>
      </c>
      <c r="O472" s="635"/>
      <c r="P472" s="740">
        <v>187260</v>
      </c>
      <c r="Q472" s="635"/>
      <c r="R472" s="741">
        <v>155668</v>
      </c>
      <c r="S472" s="626"/>
      <c r="T472" s="626"/>
      <c r="U472" s="626"/>
      <c r="V472" s="696">
        <v>5</v>
      </c>
      <c r="W472" s="696">
        <v>3</v>
      </c>
      <c r="X472" s="697">
        <v>0</v>
      </c>
      <c r="Y472" s="697">
        <v>0</v>
      </c>
      <c r="Z472" s="696">
        <v>5</v>
      </c>
      <c r="AA472" s="696">
        <v>3</v>
      </c>
    </row>
    <row r="473" spans="1:27" hidden="1">
      <c r="A473" s="634">
        <v>5</v>
      </c>
      <c r="B473" s="639"/>
      <c r="C473" s="634">
        <v>35000</v>
      </c>
      <c r="D473" s="372" t="s">
        <v>775</v>
      </c>
      <c r="E473" s="372"/>
      <c r="F473" s="634">
        <v>0</v>
      </c>
      <c r="G473" s="635"/>
      <c r="H473" s="740">
        <v>17789</v>
      </c>
      <c r="I473" s="635"/>
      <c r="J473" s="635">
        <v>11</v>
      </c>
      <c r="K473" s="635"/>
      <c r="L473" s="635" t="s">
        <v>635</v>
      </c>
      <c r="M473" s="635"/>
      <c r="N473" s="635" t="s">
        <v>635</v>
      </c>
      <c r="O473" s="635"/>
      <c r="P473" s="740">
        <v>17800</v>
      </c>
      <c r="Q473" s="635"/>
      <c r="R473" s="742">
        <v>17793</v>
      </c>
      <c r="S473" s="626"/>
      <c r="T473" s="626"/>
      <c r="U473" s="626"/>
      <c r="V473" s="696">
        <v>5</v>
      </c>
      <c r="W473" s="696">
        <v>5</v>
      </c>
      <c r="X473" s="697">
        <v>0</v>
      </c>
      <c r="Y473" s="697">
        <v>0</v>
      </c>
      <c r="Z473" s="696">
        <v>5</v>
      </c>
      <c r="AA473" s="696">
        <v>5</v>
      </c>
    </row>
    <row r="474" spans="1:27" hidden="1">
      <c r="A474" s="634">
        <v>6</v>
      </c>
      <c r="B474" s="639"/>
      <c r="C474" s="634">
        <v>36000</v>
      </c>
      <c r="D474" s="372" t="s">
        <v>776</v>
      </c>
      <c r="E474" s="372"/>
      <c r="F474" s="634">
        <v>0</v>
      </c>
      <c r="G474" s="635"/>
      <c r="H474" s="740">
        <v>10120</v>
      </c>
      <c r="I474" s="635"/>
      <c r="J474" s="635" t="s">
        <v>635</v>
      </c>
      <c r="K474" s="635"/>
      <c r="L474" s="635" t="s">
        <v>635</v>
      </c>
      <c r="M474" s="635"/>
      <c r="N474" s="635" t="s">
        <v>635</v>
      </c>
      <c r="O474" s="635"/>
      <c r="P474" s="740">
        <v>10120</v>
      </c>
      <c r="Q474" s="635"/>
      <c r="R474" s="742">
        <v>10120</v>
      </c>
      <c r="S474" s="626"/>
      <c r="T474" s="626"/>
      <c r="U474" s="626"/>
      <c r="V474" s="696">
        <v>5</v>
      </c>
      <c r="W474" s="697">
        <v>0</v>
      </c>
      <c r="X474" s="697">
        <v>0</v>
      </c>
      <c r="Y474" s="697">
        <v>0</v>
      </c>
      <c r="Z474" s="696">
        <v>5</v>
      </c>
      <c r="AA474" s="696">
        <v>5</v>
      </c>
    </row>
    <row r="475" spans="1:27" hidden="1">
      <c r="A475" s="634">
        <v>7</v>
      </c>
      <c r="B475" s="639"/>
      <c r="C475" s="634">
        <v>38900</v>
      </c>
      <c r="D475" s="372" t="s">
        <v>777</v>
      </c>
      <c r="E475" s="372"/>
      <c r="F475" s="634">
        <v>0</v>
      </c>
      <c r="G475" s="635"/>
      <c r="H475" s="740">
        <v>3287</v>
      </c>
      <c r="I475" s="635"/>
      <c r="J475" s="635" t="s">
        <v>635</v>
      </c>
      <c r="K475" s="635"/>
      <c r="L475" s="635" t="s">
        <v>635</v>
      </c>
      <c r="M475" s="635"/>
      <c r="N475" s="635" t="s">
        <v>635</v>
      </c>
      <c r="O475" s="635"/>
      <c r="P475" s="740">
        <v>3287</v>
      </c>
      <c r="Q475" s="635"/>
      <c r="R475" s="742">
        <v>3287</v>
      </c>
      <c r="S475" s="626"/>
      <c r="T475" s="626"/>
      <c r="U475" s="626"/>
      <c r="V475" s="696">
        <v>5</v>
      </c>
      <c r="W475" s="697">
        <v>0</v>
      </c>
      <c r="X475" s="697">
        <v>0</v>
      </c>
      <c r="Y475" s="697">
        <v>0</v>
      </c>
      <c r="Z475" s="696">
        <v>5</v>
      </c>
      <c r="AA475" s="696">
        <v>5</v>
      </c>
    </row>
    <row r="476" spans="1:27" ht="15" hidden="1" thickBot="1">
      <c r="A476" s="634">
        <v>8</v>
      </c>
      <c r="B476" s="639"/>
      <c r="C476" s="634"/>
      <c r="D476" s="720" t="s">
        <v>778</v>
      </c>
      <c r="E476" s="720"/>
      <c r="F476" s="720"/>
      <c r="G476" s="720"/>
      <c r="H476" s="732">
        <v>193244</v>
      </c>
      <c r="I476" s="731"/>
      <c r="J476" s="732">
        <v>32146</v>
      </c>
      <c r="K476" s="731"/>
      <c r="L476" s="733" t="s">
        <v>635</v>
      </c>
      <c r="M476" s="731"/>
      <c r="N476" s="733" t="s">
        <v>635</v>
      </c>
      <c r="O476" s="731"/>
      <c r="P476" s="732">
        <v>225390</v>
      </c>
      <c r="Q476" s="731"/>
      <c r="R476" s="732">
        <v>193791</v>
      </c>
      <c r="S476" s="738">
        <f>SUM(R471:R475)</f>
        <v>193792</v>
      </c>
      <c r="T476" s="626"/>
      <c r="U476" s="626"/>
      <c r="V476" s="696">
        <v>4</v>
      </c>
      <c r="W476" s="696">
        <v>5</v>
      </c>
      <c r="X476" s="697">
        <v>0</v>
      </c>
      <c r="Y476" s="697">
        <v>0</v>
      </c>
      <c r="Z476" s="696">
        <v>5</v>
      </c>
      <c r="AA476" s="696">
        <v>5</v>
      </c>
    </row>
    <row r="477" spans="1:27" ht="15" hidden="1" thickTop="1">
      <c r="A477" s="634">
        <v>9</v>
      </c>
      <c r="B477" s="639"/>
      <c r="C477" s="372"/>
      <c r="D477" s="372"/>
      <c r="E477" s="372"/>
      <c r="F477" s="372"/>
      <c r="G477" s="372"/>
      <c r="H477" s="372"/>
      <c r="I477" s="372"/>
      <c r="J477" s="372"/>
      <c r="K477" s="372"/>
      <c r="L477" s="372"/>
      <c r="M477" s="372"/>
      <c r="N477" s="372"/>
      <c r="O477" s="635"/>
      <c r="P477" s="372"/>
      <c r="Q477" s="372"/>
      <c r="R477" s="372"/>
      <c r="S477" s="626"/>
      <c r="T477" s="626"/>
      <c r="U477" s="626"/>
      <c r="V477" s="697">
        <v>0</v>
      </c>
      <c r="W477" s="697">
        <v>0</v>
      </c>
      <c r="X477" s="697">
        <v>0</v>
      </c>
      <c r="Y477" s="697">
        <v>0</v>
      </c>
      <c r="Z477" s="697">
        <v>0</v>
      </c>
      <c r="AA477" s="697">
        <v>0</v>
      </c>
    </row>
    <row r="478" spans="1:27" hidden="1">
      <c r="A478" s="634">
        <v>10</v>
      </c>
      <c r="B478" s="639"/>
      <c r="C478" s="634"/>
      <c r="D478" s="372" t="s">
        <v>779</v>
      </c>
      <c r="E478" s="372"/>
      <c r="F478" s="372"/>
      <c r="G478" s="372"/>
      <c r="H478" s="635"/>
      <c r="I478" s="635"/>
      <c r="J478" s="635"/>
      <c r="K478" s="635"/>
      <c r="L478" s="635"/>
      <c r="M478" s="635"/>
      <c r="N478" s="635"/>
      <c r="O478" s="635"/>
      <c r="P478" s="635"/>
      <c r="Q478" s="635"/>
      <c r="R478" s="635"/>
      <c r="S478" s="626"/>
      <c r="T478" s="626"/>
      <c r="U478" s="626"/>
      <c r="V478" s="697">
        <v>0</v>
      </c>
      <c r="W478" s="697">
        <v>0</v>
      </c>
      <c r="X478" s="697">
        <v>0</v>
      </c>
      <c r="Y478" s="697">
        <v>0</v>
      </c>
      <c r="Z478" s="697">
        <v>0</v>
      </c>
      <c r="AA478" s="697">
        <v>0</v>
      </c>
    </row>
    <row r="479" spans="1:27" hidden="1">
      <c r="A479" s="634">
        <v>11</v>
      </c>
      <c r="B479" s="639"/>
      <c r="C479" s="634">
        <v>30315</v>
      </c>
      <c r="D479" s="636" t="s">
        <v>780</v>
      </c>
      <c r="E479" s="372"/>
      <c r="F479" s="634">
        <v>6.7</v>
      </c>
      <c r="G479" s="635"/>
      <c r="H479" s="740">
        <v>458241</v>
      </c>
      <c r="I479" s="635"/>
      <c r="J479" s="740">
        <v>63276</v>
      </c>
      <c r="K479" s="635"/>
      <c r="L479" s="635" t="s">
        <v>635</v>
      </c>
      <c r="M479" s="635"/>
      <c r="N479" s="635" t="s">
        <v>635</v>
      </c>
      <c r="O479" s="635"/>
      <c r="P479" s="740">
        <v>521517</v>
      </c>
      <c r="Q479" s="635"/>
      <c r="R479" s="740">
        <v>479239</v>
      </c>
      <c r="S479" s="626"/>
      <c r="T479" s="626"/>
      <c r="U479" s="626"/>
      <c r="V479" s="696">
        <v>5</v>
      </c>
      <c r="W479" s="696">
        <v>4</v>
      </c>
      <c r="X479" s="697">
        <v>0</v>
      </c>
      <c r="Y479" s="697">
        <v>0</v>
      </c>
      <c r="Z479" s="696">
        <v>5</v>
      </c>
      <c r="AA479" s="696">
        <v>5</v>
      </c>
    </row>
    <row r="480" spans="1:27" hidden="1">
      <c r="A480" s="634">
        <v>12</v>
      </c>
      <c r="B480" s="639"/>
      <c r="C480" s="634">
        <v>30302</v>
      </c>
      <c r="D480" s="372" t="s">
        <v>781</v>
      </c>
      <c r="E480" s="372"/>
      <c r="F480" s="634">
        <v>0</v>
      </c>
      <c r="G480" s="635"/>
      <c r="H480" s="635" t="s">
        <v>628</v>
      </c>
      <c r="I480" s="635"/>
      <c r="J480" s="635" t="s">
        <v>635</v>
      </c>
      <c r="K480" s="635"/>
      <c r="L480" s="635" t="s">
        <v>635</v>
      </c>
      <c r="M480" s="635"/>
      <c r="N480" s="635" t="s">
        <v>635</v>
      </c>
      <c r="O480" s="635"/>
      <c r="P480" s="635" t="s">
        <v>635</v>
      </c>
      <c r="Q480" s="635"/>
      <c r="R480" s="635" t="s">
        <v>635</v>
      </c>
      <c r="S480" s="626"/>
      <c r="T480" s="626"/>
      <c r="U480" s="626"/>
      <c r="V480" s="697">
        <v>0</v>
      </c>
      <c r="W480" s="697">
        <v>0</v>
      </c>
      <c r="X480" s="697">
        <v>0</v>
      </c>
      <c r="Y480" s="697">
        <v>0</v>
      </c>
      <c r="Z480" s="697">
        <v>0</v>
      </c>
      <c r="AA480" s="697">
        <v>0</v>
      </c>
    </row>
    <row r="481" spans="1:27" hidden="1">
      <c r="A481" s="634">
        <v>13</v>
      </c>
      <c r="B481" s="639"/>
      <c r="C481" s="634">
        <v>30399</v>
      </c>
      <c r="D481" s="372" t="s">
        <v>782</v>
      </c>
      <c r="E481" s="372"/>
      <c r="F481" s="634">
        <v>3.3</v>
      </c>
      <c r="G481" s="635"/>
      <c r="H481" s="740">
        <v>2728</v>
      </c>
      <c r="I481" s="635"/>
      <c r="J481" s="740">
        <v>1836</v>
      </c>
      <c r="K481" s="635"/>
      <c r="L481" s="635" t="s">
        <v>635</v>
      </c>
      <c r="M481" s="635"/>
      <c r="N481" s="635" t="s">
        <v>635</v>
      </c>
      <c r="O481" s="635"/>
      <c r="P481" s="740">
        <v>4565</v>
      </c>
      <c r="Q481" s="635"/>
      <c r="R481" s="740">
        <v>3450</v>
      </c>
      <c r="S481" s="626"/>
      <c r="T481" s="626"/>
      <c r="U481" s="626"/>
      <c r="V481" s="696">
        <v>5</v>
      </c>
      <c r="W481" s="696">
        <v>5</v>
      </c>
      <c r="X481" s="697">
        <v>0</v>
      </c>
      <c r="Y481" s="697">
        <v>0</v>
      </c>
      <c r="Z481" s="696">
        <v>5</v>
      </c>
      <c r="AA481" s="696">
        <v>5</v>
      </c>
    </row>
    <row r="482" spans="1:27" ht="15" hidden="1" thickBot="1">
      <c r="A482" s="634">
        <v>14</v>
      </c>
      <c r="B482" s="372"/>
      <c r="C482" s="372"/>
      <c r="D482" s="372" t="s">
        <v>783</v>
      </c>
      <c r="E482" s="372"/>
      <c r="F482" s="372"/>
      <c r="G482" s="372"/>
      <c r="H482" s="656">
        <v>460970</v>
      </c>
      <c r="I482" s="635"/>
      <c r="J482" s="656">
        <v>65113</v>
      </c>
      <c r="K482" s="635"/>
      <c r="L482" s="657" t="s">
        <v>635</v>
      </c>
      <c r="M482" s="635"/>
      <c r="N482" s="657" t="s">
        <v>635</v>
      </c>
      <c r="O482" s="635"/>
      <c r="P482" s="656">
        <v>526082</v>
      </c>
      <c r="Q482" s="635"/>
      <c r="R482" s="656">
        <v>482689</v>
      </c>
      <c r="S482" s="626"/>
      <c r="T482" s="626"/>
      <c r="U482" s="626"/>
      <c r="V482" s="696">
        <v>5</v>
      </c>
      <c r="W482" s="696">
        <v>5</v>
      </c>
      <c r="X482" s="697">
        <v>0</v>
      </c>
      <c r="Y482" s="697">
        <v>0</v>
      </c>
      <c r="Z482" s="696">
        <v>5</v>
      </c>
      <c r="AA482" s="696">
        <v>5</v>
      </c>
    </row>
    <row r="483" spans="1:27" ht="15" hidden="1" thickTop="1">
      <c r="A483" s="634">
        <v>15</v>
      </c>
      <c r="B483" s="372"/>
      <c r="C483" s="372"/>
      <c r="D483" s="372"/>
      <c r="E483" s="372"/>
      <c r="F483" s="372"/>
      <c r="G483" s="372"/>
      <c r="H483" s="372"/>
      <c r="I483" s="372"/>
      <c r="J483" s="372"/>
      <c r="K483" s="372"/>
      <c r="L483" s="372"/>
      <c r="M483" s="372"/>
      <c r="N483" s="372"/>
      <c r="O483" s="635"/>
      <c r="P483" s="372"/>
      <c r="Q483" s="372"/>
      <c r="R483" s="372"/>
      <c r="S483" s="626"/>
      <c r="T483" s="626"/>
      <c r="U483" s="626"/>
      <c r="V483" s="697">
        <v>0</v>
      </c>
      <c r="W483" s="697">
        <v>0</v>
      </c>
      <c r="X483" s="697">
        <v>0</v>
      </c>
      <c r="Y483" s="697">
        <v>0</v>
      </c>
      <c r="Z483" s="697">
        <v>0</v>
      </c>
      <c r="AA483" s="697">
        <v>0</v>
      </c>
    </row>
    <row r="484" spans="1:27" hidden="1">
      <c r="A484" s="634">
        <v>16</v>
      </c>
      <c r="B484" s="372"/>
      <c r="C484" s="372"/>
      <c r="D484" s="636" t="s">
        <v>784</v>
      </c>
      <c r="E484" s="372"/>
      <c r="F484" s="372"/>
      <c r="G484" s="372"/>
      <c r="H484" s="372"/>
      <c r="I484" s="372"/>
      <c r="J484" s="372"/>
      <c r="K484" s="372"/>
      <c r="L484" s="372"/>
      <c r="M484" s="372"/>
      <c r="N484" s="372"/>
      <c r="O484" s="635"/>
      <c r="P484" s="372"/>
      <c r="Q484" s="372"/>
      <c r="R484" s="372"/>
      <c r="S484" s="626"/>
      <c r="T484" s="626"/>
      <c r="U484" s="626"/>
      <c r="V484" s="697">
        <v>0</v>
      </c>
      <c r="W484" s="697">
        <v>0</v>
      </c>
      <c r="X484" s="697">
        <v>0</v>
      </c>
      <c r="Y484" s="697">
        <v>0</v>
      </c>
      <c r="Z484" s="697">
        <v>0</v>
      </c>
      <c r="AA484" s="697">
        <v>0</v>
      </c>
    </row>
    <row r="485" spans="1:27" hidden="1">
      <c r="A485" s="634">
        <v>17</v>
      </c>
      <c r="B485" s="372"/>
      <c r="C485" s="634">
        <v>31700</v>
      </c>
      <c r="D485" s="372" t="s">
        <v>785</v>
      </c>
      <c r="E485" s="372"/>
      <c r="F485" s="634">
        <v>2.8</v>
      </c>
      <c r="G485" s="635"/>
      <c r="H485" s="740">
        <v>30037</v>
      </c>
      <c r="I485" s="635"/>
      <c r="J485" s="740" t="s">
        <v>635</v>
      </c>
      <c r="K485" s="635"/>
      <c r="L485" s="635">
        <v>-24434</v>
      </c>
      <c r="M485" s="635"/>
      <c r="N485" s="635" t="s">
        <v>628</v>
      </c>
      <c r="O485" s="635"/>
      <c r="P485" s="740">
        <v>5603</v>
      </c>
      <c r="Q485" s="635"/>
      <c r="R485" s="742">
        <v>11242</v>
      </c>
      <c r="S485" s="626"/>
      <c r="T485" s="626"/>
      <c r="U485" s="626"/>
      <c r="V485" s="696">
        <v>5</v>
      </c>
      <c r="W485" s="697">
        <v>0</v>
      </c>
      <c r="X485" s="696">
        <v>5</v>
      </c>
      <c r="Y485" s="697">
        <v>0</v>
      </c>
      <c r="Z485" s="696">
        <v>5</v>
      </c>
      <c r="AA485" s="696">
        <v>5</v>
      </c>
    </row>
    <row r="486" spans="1:27" hidden="1">
      <c r="A486" s="634">
        <v>18</v>
      </c>
      <c r="B486" s="372"/>
      <c r="C486" s="634">
        <v>34700</v>
      </c>
      <c r="D486" s="372" t="s">
        <v>786</v>
      </c>
      <c r="E486" s="372"/>
      <c r="F486" s="634">
        <v>3.4</v>
      </c>
      <c r="G486" s="635"/>
      <c r="H486" s="740">
        <v>12376</v>
      </c>
      <c r="I486" s="635"/>
      <c r="J486" s="740" t="s">
        <v>635</v>
      </c>
      <c r="K486" s="635"/>
      <c r="L486" s="635" t="s">
        <v>635</v>
      </c>
      <c r="M486" s="635"/>
      <c r="N486" s="635" t="s">
        <v>635</v>
      </c>
      <c r="O486" s="635"/>
      <c r="P486" s="740">
        <v>12376</v>
      </c>
      <c r="Q486" s="635"/>
      <c r="R486" s="742">
        <v>12376</v>
      </c>
      <c r="S486" s="626"/>
      <c r="T486" s="626"/>
      <c r="U486" s="626"/>
      <c r="V486" s="696">
        <v>5</v>
      </c>
      <c r="W486" s="697">
        <v>0</v>
      </c>
      <c r="X486" s="697">
        <v>0</v>
      </c>
      <c r="Y486" s="697">
        <v>0</v>
      </c>
      <c r="Z486" s="696">
        <v>5</v>
      </c>
      <c r="AA486" s="696">
        <v>5</v>
      </c>
    </row>
    <row r="487" spans="1:27" hidden="1">
      <c r="A487" s="634">
        <v>19</v>
      </c>
      <c r="B487" s="639"/>
      <c r="C487" s="634">
        <v>37400</v>
      </c>
      <c r="D487" s="372" t="s">
        <v>787</v>
      </c>
      <c r="E487" s="372"/>
      <c r="F487" s="634">
        <v>1.4</v>
      </c>
      <c r="G487" s="635"/>
      <c r="H487" s="740">
        <v>8572</v>
      </c>
      <c r="I487" s="635"/>
      <c r="J487" s="740">
        <v>-1412</v>
      </c>
      <c r="K487" s="635"/>
      <c r="L487" s="635" t="s">
        <v>628</v>
      </c>
      <c r="M487" s="635"/>
      <c r="N487" s="635" t="s">
        <v>635</v>
      </c>
      <c r="O487" s="635"/>
      <c r="P487" s="740">
        <v>7160</v>
      </c>
      <c r="Q487" s="635"/>
      <c r="R487" s="742">
        <v>8464</v>
      </c>
      <c r="S487" s="626"/>
      <c r="T487" s="626"/>
      <c r="U487" s="626"/>
      <c r="V487" s="696">
        <v>5</v>
      </c>
      <c r="W487" s="696">
        <v>5</v>
      </c>
      <c r="X487" s="697">
        <v>0</v>
      </c>
      <c r="Y487" s="697">
        <v>0</v>
      </c>
      <c r="Z487" s="696">
        <v>5</v>
      </c>
      <c r="AA487" s="696">
        <v>5</v>
      </c>
    </row>
    <row r="488" spans="1:27" hidden="1">
      <c r="A488" s="634">
        <v>20</v>
      </c>
      <c r="B488" s="639"/>
      <c r="C488" s="634">
        <v>39910</v>
      </c>
      <c r="D488" s="372" t="s">
        <v>788</v>
      </c>
      <c r="E488" s="372"/>
      <c r="F488" s="634">
        <v>4.3</v>
      </c>
      <c r="G488" s="635"/>
      <c r="H488" s="740">
        <v>269</v>
      </c>
      <c r="I488" s="635"/>
      <c r="J488" s="740" t="s">
        <v>635</v>
      </c>
      <c r="K488" s="635"/>
      <c r="L488" s="635" t="s">
        <v>635</v>
      </c>
      <c r="M488" s="635"/>
      <c r="N488" s="635" t="s">
        <v>635</v>
      </c>
      <c r="O488" s="635"/>
      <c r="P488" s="740">
        <v>269</v>
      </c>
      <c r="Q488" s="635"/>
      <c r="R488" s="742">
        <v>269</v>
      </c>
      <c r="S488" s="626"/>
      <c r="T488" s="626"/>
      <c r="U488" s="626"/>
      <c r="V488" s="696">
        <v>5</v>
      </c>
      <c r="W488" s="697">
        <v>0</v>
      </c>
      <c r="X488" s="697">
        <v>0</v>
      </c>
      <c r="Y488" s="697">
        <v>0</v>
      </c>
      <c r="Z488" s="696">
        <v>5</v>
      </c>
      <c r="AA488" s="696">
        <v>5</v>
      </c>
    </row>
    <row r="489" spans="1:27" ht="15" hidden="1" thickBot="1">
      <c r="A489" s="634">
        <v>21</v>
      </c>
      <c r="B489" s="639"/>
      <c r="C489" s="372"/>
      <c r="D489" s="730" t="s">
        <v>789</v>
      </c>
      <c r="E489" s="720"/>
      <c r="F489" s="720"/>
      <c r="G489" s="720"/>
      <c r="H489" s="734">
        <v>51255</v>
      </c>
      <c r="I489" s="720"/>
      <c r="J489" s="734">
        <v>-1412</v>
      </c>
      <c r="K489" s="720"/>
      <c r="L489" s="734">
        <v>-24434</v>
      </c>
      <c r="M489" s="720"/>
      <c r="N489" s="735" t="s">
        <v>628</v>
      </c>
      <c r="O489" s="731"/>
      <c r="P489" s="734">
        <v>25409</v>
      </c>
      <c r="Q489" s="720"/>
      <c r="R489" s="734">
        <v>32351</v>
      </c>
      <c r="S489" s="737">
        <f>SUM(R484:R488)</f>
        <v>32351</v>
      </c>
      <c r="T489" s="626"/>
      <c r="U489" s="626"/>
      <c r="V489" s="696">
        <v>5</v>
      </c>
      <c r="W489" s="696">
        <v>5</v>
      </c>
      <c r="X489" s="696">
        <v>5</v>
      </c>
      <c r="Y489" s="697">
        <v>0</v>
      </c>
      <c r="Z489" s="696">
        <v>5</v>
      </c>
      <c r="AA489" s="696">
        <v>5</v>
      </c>
    </row>
    <row r="490" spans="1:27" ht="15" hidden="1" thickTop="1">
      <c r="A490" s="634">
        <v>22</v>
      </c>
      <c r="B490" s="639"/>
      <c r="C490" s="372"/>
      <c r="D490" s="636"/>
      <c r="E490" s="372"/>
      <c r="F490" s="372"/>
      <c r="G490" s="372"/>
      <c r="H490" s="372"/>
      <c r="I490" s="372"/>
      <c r="J490" s="372"/>
      <c r="K490" s="372"/>
      <c r="L490" s="372"/>
      <c r="M490" s="372"/>
      <c r="N490" s="372"/>
      <c r="O490" s="635"/>
      <c r="P490" s="372"/>
      <c r="Q490" s="372"/>
      <c r="R490" s="372"/>
      <c r="S490" s="626"/>
      <c r="T490" s="626"/>
      <c r="U490" s="626"/>
      <c r="V490" s="697">
        <v>0</v>
      </c>
      <c r="W490" s="697">
        <v>0</v>
      </c>
      <c r="X490" s="697">
        <v>0</v>
      </c>
      <c r="Y490" s="697">
        <v>0</v>
      </c>
      <c r="Z490" s="697">
        <v>0</v>
      </c>
      <c r="AA490" s="697">
        <v>0</v>
      </c>
    </row>
    <row r="491" spans="1:27" hidden="1">
      <c r="A491" s="634">
        <v>23</v>
      </c>
      <c r="B491" s="639"/>
      <c r="C491" s="372"/>
      <c r="D491" s="372" t="s">
        <v>790</v>
      </c>
      <c r="E491" s="372"/>
      <c r="F491" s="372"/>
      <c r="G491" s="372"/>
      <c r="H491" s="740"/>
      <c r="I491" s="635"/>
      <c r="J491" s="740"/>
      <c r="K491" s="635"/>
      <c r="L491" s="635"/>
      <c r="M491" s="635"/>
      <c r="N491" s="635"/>
      <c r="O491" s="635"/>
      <c r="P491" s="740"/>
      <c r="Q491" s="635"/>
      <c r="R491" s="740"/>
      <c r="S491" s="626"/>
      <c r="T491" s="626"/>
      <c r="U491" s="626"/>
      <c r="V491" s="697">
        <v>0</v>
      </c>
      <c r="W491" s="697">
        <v>0</v>
      </c>
      <c r="X491" s="697">
        <v>0</v>
      </c>
      <c r="Y491" s="697">
        <v>0</v>
      </c>
      <c r="Z491" s="697">
        <v>0</v>
      </c>
      <c r="AA491" s="697">
        <v>0</v>
      </c>
    </row>
    <row r="492" spans="1:27" hidden="1">
      <c r="A492" s="634">
        <v>24</v>
      </c>
      <c r="B492" s="639"/>
      <c r="C492" s="634">
        <v>10110</v>
      </c>
      <c r="D492" s="372" t="s">
        <v>791</v>
      </c>
      <c r="E492" s="372"/>
      <c r="F492" s="634">
        <v>0</v>
      </c>
      <c r="G492" s="635"/>
      <c r="H492" s="740">
        <v>2865</v>
      </c>
      <c r="I492" s="635"/>
      <c r="J492" s="740" t="s">
        <v>635</v>
      </c>
      <c r="K492" s="635"/>
      <c r="L492" s="635" t="s">
        <v>635</v>
      </c>
      <c r="M492" s="635"/>
      <c r="N492" s="635">
        <v>615</v>
      </c>
      <c r="O492" s="635"/>
      <c r="P492" s="740">
        <v>3480</v>
      </c>
      <c r="Q492" s="635"/>
      <c r="R492" s="740">
        <v>3462</v>
      </c>
      <c r="S492" s="626"/>
      <c r="T492" s="626"/>
      <c r="U492" s="626"/>
      <c r="V492" s="696">
        <v>5</v>
      </c>
      <c r="W492" s="697">
        <v>0</v>
      </c>
      <c r="X492" s="697">
        <v>0</v>
      </c>
      <c r="Y492" s="696">
        <v>12</v>
      </c>
      <c r="Z492" s="696">
        <v>5</v>
      </c>
      <c r="AA492" s="696">
        <v>4</v>
      </c>
    </row>
    <row r="493" spans="1:27" hidden="1">
      <c r="A493" s="634">
        <v>25</v>
      </c>
      <c r="B493" s="639"/>
      <c r="C493" s="634">
        <v>10112</v>
      </c>
      <c r="D493" s="372" t="s">
        <v>792</v>
      </c>
      <c r="E493" s="372"/>
      <c r="F493" s="634">
        <v>0</v>
      </c>
      <c r="G493" s="372"/>
      <c r="H493" s="740">
        <v>22524</v>
      </c>
      <c r="I493" s="635"/>
      <c r="J493" s="740" t="s">
        <v>635</v>
      </c>
      <c r="K493" s="635"/>
      <c r="L493" s="635" t="s">
        <v>635</v>
      </c>
      <c r="M493" s="635"/>
      <c r="N493" s="635">
        <v>-1789</v>
      </c>
      <c r="O493" s="635"/>
      <c r="P493" s="740">
        <v>20735</v>
      </c>
      <c r="Q493" s="635"/>
      <c r="R493" s="740">
        <v>21764</v>
      </c>
      <c r="S493" s="626"/>
      <c r="T493" s="626"/>
      <c r="U493" s="626"/>
      <c r="V493" s="696">
        <v>5</v>
      </c>
      <c r="W493" s="697">
        <v>0</v>
      </c>
      <c r="X493" s="697">
        <v>0</v>
      </c>
      <c r="Y493" s="696">
        <v>5</v>
      </c>
      <c r="Z493" s="696">
        <v>4</v>
      </c>
      <c r="AA493" s="696">
        <v>5</v>
      </c>
    </row>
    <row r="494" spans="1:27" ht="15" hidden="1" thickBot="1">
      <c r="A494" s="634">
        <v>26</v>
      </c>
      <c r="B494" s="639"/>
      <c r="C494" s="634"/>
      <c r="D494" s="720" t="s">
        <v>793</v>
      </c>
      <c r="E494" s="720"/>
      <c r="F494" s="720"/>
      <c r="G494" s="720"/>
      <c r="H494" s="732">
        <v>25389</v>
      </c>
      <c r="I494" s="731"/>
      <c r="J494" s="733" t="s">
        <v>635</v>
      </c>
      <c r="K494" s="731"/>
      <c r="L494" s="733" t="s">
        <v>635</v>
      </c>
      <c r="M494" s="731"/>
      <c r="N494" s="732">
        <v>-1174</v>
      </c>
      <c r="O494" s="731"/>
      <c r="P494" s="732">
        <v>24215</v>
      </c>
      <c r="Q494" s="731"/>
      <c r="R494" s="732">
        <v>25226</v>
      </c>
      <c r="S494" s="737">
        <f>SUM(R492:R493)</f>
        <v>25226</v>
      </c>
      <c r="T494" s="626"/>
      <c r="U494" s="626"/>
      <c r="V494" s="696">
        <v>4</v>
      </c>
      <c r="W494" s="697">
        <v>0</v>
      </c>
      <c r="X494" s="697">
        <v>0</v>
      </c>
      <c r="Y494" s="696">
        <v>5</v>
      </c>
      <c r="Z494" s="696">
        <v>5</v>
      </c>
      <c r="AA494" s="696">
        <v>5</v>
      </c>
    </row>
    <row r="495" spans="1:27" ht="15" hidden="1" thickTop="1">
      <c r="A495" s="634">
        <v>27</v>
      </c>
      <c r="B495" s="639"/>
      <c r="C495" s="372"/>
      <c r="D495" s="372"/>
      <c r="E495" s="372"/>
      <c r="F495" s="372"/>
      <c r="G495" s="372"/>
      <c r="H495" s="372"/>
      <c r="I495" s="372"/>
      <c r="J495" s="372"/>
      <c r="K495" s="372"/>
      <c r="L495" s="372"/>
      <c r="M495" s="372"/>
      <c r="N495" s="372"/>
      <c r="O495" s="635"/>
      <c r="P495" s="372"/>
      <c r="Q495" s="372"/>
      <c r="R495" s="372"/>
      <c r="S495" s="626"/>
      <c r="T495" s="626"/>
      <c r="U495" s="626"/>
      <c r="V495" s="697">
        <v>0</v>
      </c>
      <c r="W495" s="697">
        <v>0</v>
      </c>
      <c r="X495" s="697">
        <v>0</v>
      </c>
      <c r="Y495" s="697">
        <v>0</v>
      </c>
      <c r="Z495" s="697">
        <v>0</v>
      </c>
      <c r="AA495" s="697">
        <v>0</v>
      </c>
    </row>
    <row r="496" spans="1:27" ht="15" hidden="1" thickBot="1">
      <c r="A496" s="634">
        <v>28</v>
      </c>
      <c r="B496" s="639"/>
      <c r="C496" s="372"/>
      <c r="D496" s="636" t="s">
        <v>794</v>
      </c>
      <c r="E496" s="372"/>
      <c r="F496" s="372"/>
      <c r="G496" s="372"/>
      <c r="H496" s="652">
        <v>11601211</v>
      </c>
      <c r="I496" s="372"/>
      <c r="J496" s="652">
        <v>1035441</v>
      </c>
      <c r="K496" s="372"/>
      <c r="L496" s="652">
        <v>-119288</v>
      </c>
      <c r="M496" s="372"/>
      <c r="N496" s="653">
        <v>-595</v>
      </c>
      <c r="O496" s="635"/>
      <c r="P496" s="652">
        <v>12516770</v>
      </c>
      <c r="Q496" s="372"/>
      <c r="R496" s="652">
        <v>11872652</v>
      </c>
      <c r="S496" s="626"/>
      <c r="T496" s="626"/>
      <c r="U496" s="626"/>
      <c r="V496" s="696">
        <v>5</v>
      </c>
      <c r="W496" s="696">
        <v>5</v>
      </c>
      <c r="X496" s="696">
        <v>5</v>
      </c>
      <c r="Y496" s="696">
        <v>12</v>
      </c>
      <c r="Z496" s="696">
        <v>5</v>
      </c>
      <c r="AA496" s="696">
        <v>5</v>
      </c>
    </row>
    <row r="497" spans="1:27" ht="15" hidden="1" thickTop="1">
      <c r="A497" s="634">
        <v>29</v>
      </c>
      <c r="B497" s="639"/>
      <c r="C497" s="372"/>
      <c r="D497" s="372"/>
      <c r="E497" s="372"/>
      <c r="F497" s="372"/>
      <c r="G497" s="372"/>
      <c r="H497" s="372"/>
      <c r="I497" s="372"/>
      <c r="J497" s="372"/>
      <c r="K497" s="372"/>
      <c r="L497" s="372"/>
      <c r="M497" s="372"/>
      <c r="N497" s="372"/>
      <c r="O497" s="635"/>
      <c r="P497" s="372"/>
      <c r="Q497" s="372"/>
      <c r="R497" s="372"/>
      <c r="S497" s="626"/>
      <c r="T497" s="626"/>
      <c r="U497" s="626"/>
      <c r="V497" s="697">
        <v>0</v>
      </c>
      <c r="W497" s="697">
        <v>0</v>
      </c>
      <c r="X497" s="697">
        <v>0</v>
      </c>
      <c r="Y497" s="697">
        <v>0</v>
      </c>
      <c r="Z497" s="697">
        <v>0</v>
      </c>
      <c r="AA497" s="697">
        <v>0</v>
      </c>
    </row>
    <row r="498" spans="1:27" hidden="1">
      <c r="A498" s="634">
        <v>30</v>
      </c>
      <c r="B498" s="639"/>
      <c r="C498" s="372"/>
      <c r="D498" s="636" t="s">
        <v>795</v>
      </c>
      <c r="E498" s="372"/>
      <c r="F498" s="372"/>
      <c r="G498" s="372"/>
      <c r="H498" s="372"/>
      <c r="I498" s="372"/>
      <c r="J498" s="372"/>
      <c r="K498" s="372"/>
      <c r="L498" s="372"/>
      <c r="M498" s="372"/>
      <c r="N498" s="372"/>
      <c r="O498" s="635"/>
      <c r="P498" s="372"/>
      <c r="Q498" s="372"/>
      <c r="R498" s="372"/>
      <c r="S498" s="626"/>
      <c r="T498" s="626"/>
      <c r="U498" s="626"/>
      <c r="V498" s="697">
        <v>0</v>
      </c>
      <c r="W498" s="697">
        <v>0</v>
      </c>
      <c r="X498" s="697">
        <v>0</v>
      </c>
      <c r="Y498" s="697">
        <v>0</v>
      </c>
      <c r="Z498" s="697">
        <v>0</v>
      </c>
      <c r="AA498" s="697">
        <v>0</v>
      </c>
    </row>
    <row r="499" spans="1:27" hidden="1">
      <c r="A499" s="634">
        <v>31</v>
      </c>
      <c r="B499" s="639"/>
      <c r="C499" s="634">
        <v>11401</v>
      </c>
      <c r="D499" s="636" t="s">
        <v>796</v>
      </c>
      <c r="E499" s="372"/>
      <c r="F499" s="634">
        <v>3</v>
      </c>
      <c r="G499" s="635"/>
      <c r="H499" s="740">
        <v>6183</v>
      </c>
      <c r="I499" s="635"/>
      <c r="J499" s="740" t="s">
        <v>635</v>
      </c>
      <c r="K499" s="635"/>
      <c r="L499" s="635" t="s">
        <v>635</v>
      </c>
      <c r="M499" s="635"/>
      <c r="N499" s="635" t="s">
        <v>635</v>
      </c>
      <c r="O499" s="635"/>
      <c r="P499" s="740">
        <v>6183</v>
      </c>
      <c r="Q499" s="635"/>
      <c r="R499" s="740">
        <v>6183</v>
      </c>
      <c r="S499" s="626"/>
      <c r="T499" s="626"/>
      <c r="U499" s="626"/>
      <c r="V499" s="697">
        <v>2</v>
      </c>
      <c r="W499" s="697">
        <v>0</v>
      </c>
      <c r="X499" s="697">
        <v>0</v>
      </c>
      <c r="Y499" s="697">
        <v>0</v>
      </c>
      <c r="Z499" s="697">
        <v>2</v>
      </c>
      <c r="AA499" s="697">
        <v>2</v>
      </c>
    </row>
    <row r="500" spans="1:27" hidden="1">
      <c r="A500" s="634">
        <v>32</v>
      </c>
      <c r="B500" s="639"/>
      <c r="C500" s="634">
        <v>11402</v>
      </c>
      <c r="D500" s="636" t="s">
        <v>797</v>
      </c>
      <c r="E500" s="372"/>
      <c r="F500" s="634">
        <v>4.3600000000000003</v>
      </c>
      <c r="G500" s="635"/>
      <c r="H500" s="740">
        <v>960</v>
      </c>
      <c r="I500" s="635"/>
      <c r="J500" s="740" t="s">
        <v>635</v>
      </c>
      <c r="K500" s="635"/>
      <c r="L500" s="635" t="s">
        <v>635</v>
      </c>
      <c r="M500" s="635"/>
      <c r="N500" s="635" t="s">
        <v>635</v>
      </c>
      <c r="O500" s="635"/>
      <c r="P500" s="740">
        <v>960</v>
      </c>
      <c r="Q500" s="635"/>
      <c r="R500" s="740">
        <v>960</v>
      </c>
      <c r="S500" s="626"/>
      <c r="T500" s="626"/>
      <c r="U500" s="626"/>
      <c r="V500" s="696">
        <v>5</v>
      </c>
      <c r="W500" s="697">
        <v>0</v>
      </c>
      <c r="X500" s="697">
        <v>0</v>
      </c>
      <c r="Y500" s="697">
        <v>0</v>
      </c>
      <c r="Z500" s="696">
        <v>5</v>
      </c>
      <c r="AA500" s="696">
        <v>5</v>
      </c>
    </row>
    <row r="501" spans="1:27" hidden="1">
      <c r="A501" s="634">
        <v>33</v>
      </c>
      <c r="B501" s="639"/>
      <c r="C501" s="634">
        <v>11403</v>
      </c>
      <c r="D501" s="372" t="s">
        <v>798</v>
      </c>
      <c r="E501" s="372"/>
      <c r="F501" s="634">
        <v>2.65</v>
      </c>
      <c r="G501" s="635"/>
      <c r="H501" s="740">
        <v>342</v>
      </c>
      <c r="I501" s="635"/>
      <c r="J501" s="740" t="s">
        <v>635</v>
      </c>
      <c r="K501" s="635"/>
      <c r="L501" s="635" t="s">
        <v>635</v>
      </c>
      <c r="M501" s="635"/>
      <c r="N501" s="635" t="s">
        <v>635</v>
      </c>
      <c r="O501" s="635"/>
      <c r="P501" s="740">
        <v>342</v>
      </c>
      <c r="Q501" s="635"/>
      <c r="R501" s="740">
        <v>342</v>
      </c>
      <c r="S501" s="626"/>
      <c r="T501" s="626"/>
      <c r="U501" s="626"/>
      <c r="V501" s="696">
        <v>5</v>
      </c>
      <c r="W501" s="697">
        <v>0</v>
      </c>
      <c r="X501" s="697">
        <v>0</v>
      </c>
      <c r="Y501" s="697">
        <v>0</v>
      </c>
      <c r="Z501" s="696">
        <v>5</v>
      </c>
      <c r="AA501" s="696">
        <v>5</v>
      </c>
    </row>
    <row r="502" spans="1:27" ht="15" hidden="1" thickBot="1">
      <c r="A502" s="634">
        <v>34</v>
      </c>
      <c r="B502" s="639"/>
      <c r="C502" s="372"/>
      <c r="D502" s="730" t="s">
        <v>799</v>
      </c>
      <c r="E502" s="720"/>
      <c r="F502" s="720"/>
      <c r="G502" s="720"/>
      <c r="H502" s="732">
        <v>7485</v>
      </c>
      <c r="I502" s="731"/>
      <c r="J502" s="733" t="s">
        <v>635</v>
      </c>
      <c r="K502" s="731"/>
      <c r="L502" s="733" t="s">
        <v>635</v>
      </c>
      <c r="M502" s="731"/>
      <c r="N502" s="733" t="s">
        <v>635</v>
      </c>
      <c r="O502" s="731"/>
      <c r="P502" s="732">
        <v>7485</v>
      </c>
      <c r="Q502" s="731"/>
      <c r="R502" s="732">
        <v>7485</v>
      </c>
      <c r="S502" s="737">
        <f>SUM(R499:R501)</f>
        <v>7485</v>
      </c>
      <c r="T502" s="626"/>
      <c r="U502" s="626"/>
      <c r="V502" s="696">
        <v>5</v>
      </c>
      <c r="W502" s="697">
        <v>0</v>
      </c>
      <c r="X502" s="697">
        <v>0</v>
      </c>
      <c r="Y502" s="697">
        <v>0</v>
      </c>
      <c r="Z502" s="696">
        <v>5</v>
      </c>
      <c r="AA502" s="696">
        <v>5</v>
      </c>
    </row>
    <row r="503" spans="1:27" ht="15" hidden="1" thickTop="1">
      <c r="A503" s="634">
        <v>35</v>
      </c>
      <c r="B503" s="639"/>
      <c r="C503" s="372"/>
      <c r="D503" s="372"/>
      <c r="E503" s="372"/>
      <c r="F503" s="372"/>
      <c r="G503" s="372"/>
      <c r="H503" s="372"/>
      <c r="I503" s="372"/>
      <c r="J503" s="372"/>
      <c r="K503" s="372"/>
      <c r="L503" s="372"/>
      <c r="M503" s="372"/>
      <c r="N503" s="372"/>
      <c r="O503" s="635"/>
      <c r="P503" s="372"/>
      <c r="Q503" s="372"/>
      <c r="R503" s="372"/>
      <c r="S503" s="626"/>
      <c r="T503" s="626"/>
      <c r="U503" s="626"/>
      <c r="V503" s="697">
        <v>0</v>
      </c>
      <c r="W503" s="697">
        <v>0</v>
      </c>
      <c r="X503" s="697">
        <v>0</v>
      </c>
      <c r="Y503" s="697">
        <v>0</v>
      </c>
      <c r="Z503" s="697">
        <v>0</v>
      </c>
      <c r="AA503" s="697">
        <v>0</v>
      </c>
    </row>
    <row r="504" spans="1:27" hidden="1">
      <c r="A504" s="634">
        <v>36</v>
      </c>
      <c r="B504" s="639"/>
      <c r="C504" s="634">
        <v>10200</v>
      </c>
      <c r="D504" s="730" t="s">
        <v>800</v>
      </c>
      <c r="E504" s="720"/>
      <c r="F504" s="736">
        <v>0</v>
      </c>
      <c r="G504" s="731"/>
      <c r="H504" s="731">
        <v>219</v>
      </c>
      <c r="I504" s="731"/>
      <c r="J504" s="731">
        <v>365</v>
      </c>
      <c r="K504" s="731"/>
      <c r="L504" s="731" t="s">
        <v>635</v>
      </c>
      <c r="M504" s="731"/>
      <c r="N504" s="731">
        <v>-173</v>
      </c>
      <c r="O504" s="731"/>
      <c r="P504" s="731">
        <v>411</v>
      </c>
      <c r="Q504" s="731"/>
      <c r="R504" s="731">
        <v>276</v>
      </c>
      <c r="S504" s="626"/>
      <c r="T504" s="626"/>
      <c r="U504" s="626"/>
      <c r="V504" s="696">
        <v>5</v>
      </c>
      <c r="W504" s="696">
        <v>5</v>
      </c>
      <c r="X504" s="697">
        <v>0</v>
      </c>
      <c r="Y504" s="696">
        <v>5</v>
      </c>
      <c r="Z504" s="696">
        <v>5</v>
      </c>
      <c r="AA504" s="696">
        <v>4</v>
      </c>
    </row>
    <row r="505" spans="1:27" hidden="1">
      <c r="A505" s="634">
        <v>37</v>
      </c>
      <c r="B505" s="639"/>
      <c r="C505" s="634">
        <v>10501</v>
      </c>
      <c r="D505" s="636" t="s">
        <v>801</v>
      </c>
      <c r="E505" s="372"/>
      <c r="F505" s="634">
        <v>0</v>
      </c>
      <c r="G505" s="635"/>
      <c r="H505" s="740">
        <v>54571</v>
      </c>
      <c r="I505" s="635"/>
      <c r="J505" s="740">
        <v>3557</v>
      </c>
      <c r="K505" s="635"/>
      <c r="L505" s="635" t="s">
        <v>635</v>
      </c>
      <c r="M505" s="635"/>
      <c r="N505" s="635" t="s">
        <v>635</v>
      </c>
      <c r="O505" s="635"/>
      <c r="P505" s="740">
        <v>58128</v>
      </c>
      <c r="Q505" s="635"/>
      <c r="R505" s="740">
        <v>55939</v>
      </c>
      <c r="S505" s="626"/>
      <c r="T505" s="626"/>
      <c r="U505" s="626"/>
      <c r="V505" s="696">
        <v>5</v>
      </c>
      <c r="W505" s="697">
        <v>1</v>
      </c>
      <c r="X505" s="697">
        <v>0</v>
      </c>
      <c r="Y505" s="697">
        <v>0</v>
      </c>
      <c r="Z505" s="696">
        <v>5</v>
      </c>
      <c r="AA505" s="696">
        <v>5</v>
      </c>
    </row>
    <row r="506" spans="1:27" hidden="1">
      <c r="A506" s="634">
        <v>38</v>
      </c>
      <c r="B506" s="639"/>
      <c r="C506" s="372"/>
      <c r="D506" s="372"/>
      <c r="E506" s="372"/>
      <c r="F506" s="372"/>
      <c r="G506" s="372"/>
      <c r="H506" s="740"/>
      <c r="I506" s="635"/>
      <c r="J506" s="740"/>
      <c r="K506" s="635"/>
      <c r="L506" s="635"/>
      <c r="M506" s="635"/>
      <c r="N506" s="635"/>
      <c r="O506" s="635"/>
      <c r="P506" s="740"/>
      <c r="Q506" s="635"/>
      <c r="R506" s="740"/>
      <c r="S506" s="626"/>
      <c r="T506" s="626"/>
      <c r="U506" s="626"/>
      <c r="V506" s="697">
        <v>0</v>
      </c>
      <c r="W506" s="697">
        <v>0</v>
      </c>
      <c r="X506" s="697">
        <v>0</v>
      </c>
      <c r="Y506" s="697">
        <v>0</v>
      </c>
      <c r="Z506" s="697">
        <v>0</v>
      </c>
      <c r="AA506" s="697">
        <v>0</v>
      </c>
    </row>
    <row r="507" spans="1:27" hidden="1">
      <c r="A507" s="634">
        <v>39</v>
      </c>
      <c r="B507" s="639"/>
      <c r="C507" s="634">
        <v>10803</v>
      </c>
      <c r="D507" s="372" t="s">
        <v>802</v>
      </c>
      <c r="E507" s="372"/>
      <c r="F507" s="634">
        <v>0</v>
      </c>
      <c r="G507" s="635"/>
      <c r="H507" s="740" t="s">
        <v>628</v>
      </c>
      <c r="I507" s="635"/>
      <c r="J507" s="740" t="s">
        <v>635</v>
      </c>
      <c r="K507" s="635"/>
      <c r="L507" s="635" t="s">
        <v>635</v>
      </c>
      <c r="M507" s="635"/>
      <c r="N507" s="635" t="s">
        <v>635</v>
      </c>
      <c r="O507" s="635"/>
      <c r="P507" s="740" t="s">
        <v>635</v>
      </c>
      <c r="Q507" s="635"/>
      <c r="R507" s="740" t="s">
        <v>635</v>
      </c>
      <c r="S507" s="626"/>
      <c r="T507" s="626"/>
      <c r="U507" s="626"/>
      <c r="V507" s="697">
        <v>0</v>
      </c>
      <c r="W507" s="697">
        <v>0</v>
      </c>
      <c r="X507" s="697">
        <v>0</v>
      </c>
      <c r="Y507" s="697">
        <v>0</v>
      </c>
      <c r="Z507" s="697">
        <v>0</v>
      </c>
      <c r="AA507" s="697">
        <v>0</v>
      </c>
    </row>
    <row r="508" spans="1:27" hidden="1">
      <c r="A508" s="634">
        <v>40</v>
      </c>
      <c r="B508" s="639"/>
      <c r="C508" s="372"/>
      <c r="D508" s="372" t="s">
        <v>803</v>
      </c>
      <c r="E508" s="372"/>
      <c r="F508" s="654">
        <v>0</v>
      </c>
      <c r="G508" s="635"/>
      <c r="H508" s="740" t="s">
        <v>628</v>
      </c>
      <c r="I508" s="635"/>
      <c r="J508" s="740" t="s">
        <v>635</v>
      </c>
      <c r="K508" s="635"/>
      <c r="L508" s="635" t="s">
        <v>635</v>
      </c>
      <c r="M508" s="635"/>
      <c r="N508" s="635" t="s">
        <v>635</v>
      </c>
      <c r="O508" s="635"/>
      <c r="P508" s="740" t="s">
        <v>635</v>
      </c>
      <c r="Q508" s="635"/>
      <c r="R508" s="740" t="s">
        <v>635</v>
      </c>
      <c r="S508" s="626"/>
      <c r="T508" s="626"/>
      <c r="U508" s="626"/>
      <c r="V508" s="697">
        <v>0</v>
      </c>
      <c r="W508" s="697">
        <v>0</v>
      </c>
      <c r="X508" s="697">
        <v>0</v>
      </c>
      <c r="Y508" s="697">
        <v>0</v>
      </c>
      <c r="Z508" s="697">
        <v>0</v>
      </c>
      <c r="AA508" s="697">
        <v>0</v>
      </c>
    </row>
    <row r="509" spans="1:27" ht="15" hidden="1" thickBot="1">
      <c r="A509" s="634">
        <v>41</v>
      </c>
      <c r="B509" s="639"/>
      <c r="C509" s="372"/>
      <c r="D509" s="372" t="s">
        <v>804</v>
      </c>
      <c r="E509" s="372"/>
      <c r="F509" s="372"/>
      <c r="G509" s="372"/>
      <c r="H509" s="649" t="s">
        <v>628</v>
      </c>
      <c r="I509" s="372"/>
      <c r="J509" s="649" t="s">
        <v>635</v>
      </c>
      <c r="K509" s="372"/>
      <c r="L509" s="649" t="s">
        <v>635</v>
      </c>
      <c r="M509" s="372"/>
      <c r="N509" s="649" t="s">
        <v>635</v>
      </c>
      <c r="O509" s="635"/>
      <c r="P509" s="649" t="s">
        <v>635</v>
      </c>
      <c r="Q509" s="372"/>
      <c r="R509" s="649" t="s">
        <v>635</v>
      </c>
      <c r="S509" s="626"/>
      <c r="T509" s="626"/>
      <c r="U509" s="626"/>
      <c r="V509" s="697">
        <v>0</v>
      </c>
      <c r="W509" s="697">
        <v>0</v>
      </c>
      <c r="X509" s="697">
        <v>0</v>
      </c>
      <c r="Y509" s="697">
        <v>0</v>
      </c>
      <c r="Z509" s="697">
        <v>0</v>
      </c>
      <c r="AA509" s="697">
        <v>0</v>
      </c>
    </row>
    <row r="510" spans="1:27" ht="15" hidden="1" thickTop="1">
      <c r="A510" s="634">
        <v>42</v>
      </c>
      <c r="B510" s="639"/>
      <c r="C510" s="372"/>
      <c r="D510" s="372"/>
      <c r="E510" s="372"/>
      <c r="F510" s="372"/>
      <c r="G510" s="372"/>
      <c r="H510" s="372"/>
      <c r="I510" s="372"/>
      <c r="J510" s="372"/>
      <c r="K510" s="372"/>
      <c r="L510" s="372"/>
      <c r="M510" s="372"/>
      <c r="N510" s="372"/>
      <c r="O510" s="635"/>
      <c r="P510" s="372"/>
      <c r="Q510" s="372"/>
      <c r="R510" s="372"/>
      <c r="S510" s="626"/>
      <c r="T510" s="626"/>
      <c r="U510" s="626"/>
      <c r="V510" s="697">
        <v>0</v>
      </c>
      <c r="W510" s="697">
        <v>0</v>
      </c>
      <c r="X510" s="697">
        <v>0</v>
      </c>
      <c r="Y510" s="697">
        <v>0</v>
      </c>
      <c r="Z510" s="697">
        <v>0</v>
      </c>
      <c r="AA510" s="697">
        <v>0</v>
      </c>
    </row>
    <row r="511" spans="1:27" ht="15" hidden="1" thickBot="1">
      <c r="A511" s="634">
        <v>43</v>
      </c>
      <c r="B511" s="639"/>
      <c r="C511" s="372"/>
      <c r="D511" s="372" t="s">
        <v>805</v>
      </c>
      <c r="E511" s="372"/>
      <c r="F511" s="372"/>
      <c r="G511" s="372"/>
      <c r="H511" s="652">
        <v>11663486</v>
      </c>
      <c r="I511" s="372"/>
      <c r="J511" s="652">
        <v>1039363</v>
      </c>
      <c r="K511" s="635"/>
      <c r="L511" s="652">
        <v>-119288</v>
      </c>
      <c r="M511" s="635"/>
      <c r="N511" s="653">
        <v>-768</v>
      </c>
      <c r="O511" s="635"/>
      <c r="P511" s="652">
        <v>12582793</v>
      </c>
      <c r="Q511" s="635"/>
      <c r="R511" s="652">
        <v>11936352</v>
      </c>
      <c r="S511" s="626"/>
      <c r="T511" s="626"/>
      <c r="U511" s="626"/>
      <c r="V511" s="696">
        <v>5</v>
      </c>
      <c r="W511" s="696">
        <v>5</v>
      </c>
      <c r="X511" s="696">
        <v>5</v>
      </c>
      <c r="Y511" s="696">
        <v>12</v>
      </c>
      <c r="Z511" s="696">
        <v>5</v>
      </c>
      <c r="AA511" s="696">
        <v>5</v>
      </c>
    </row>
    <row r="512" spans="1:27" ht="15.6" hidden="1" thickTop="1" thickBot="1">
      <c r="A512" s="637">
        <v>44</v>
      </c>
      <c r="B512" s="660" t="s">
        <v>67</v>
      </c>
      <c r="C512" s="660"/>
      <c r="D512" s="625"/>
      <c r="E512" s="625"/>
      <c r="F512" s="625"/>
      <c r="G512" s="625"/>
      <c r="H512" s="625"/>
      <c r="I512" s="625"/>
      <c r="J512" s="625"/>
      <c r="K512" s="625"/>
      <c r="L512" s="625"/>
      <c r="M512" s="625"/>
      <c r="N512" s="625"/>
      <c r="O512" s="638"/>
      <c r="P512" s="625"/>
      <c r="Q512" s="625"/>
      <c r="R512" s="625"/>
      <c r="S512" s="626"/>
      <c r="T512" s="626"/>
      <c r="U512" s="626"/>
      <c r="V512" s="697">
        <v>0</v>
      </c>
      <c r="W512" s="697">
        <v>0</v>
      </c>
      <c r="X512" s="697">
        <v>0</v>
      </c>
      <c r="Y512" s="697">
        <v>0</v>
      </c>
      <c r="Z512" s="697">
        <v>0</v>
      </c>
      <c r="AA512" s="697">
        <v>0</v>
      </c>
    </row>
    <row r="513" spans="1:27" hidden="1">
      <c r="A513" s="664" t="s">
        <v>643</v>
      </c>
      <c r="B513" s="664"/>
      <c r="C513" s="372"/>
      <c r="D513" s="372"/>
      <c r="E513" s="664"/>
      <c r="F513" s="664"/>
      <c r="G513" s="664"/>
      <c r="H513" s="664"/>
      <c r="I513" s="664"/>
      <c r="J513" s="664"/>
      <c r="K513" s="664"/>
      <c r="L513" s="664"/>
      <c r="M513" s="664"/>
      <c r="N513" s="664"/>
      <c r="O513" s="635"/>
      <c r="P513" s="372" t="s">
        <v>644</v>
      </c>
      <c r="Q513" s="664"/>
      <c r="R513" s="664"/>
      <c r="S513" s="626"/>
      <c r="T513" s="626"/>
      <c r="U513" s="626"/>
      <c r="V513" s="697">
        <v>0</v>
      </c>
      <c r="W513" s="697">
        <v>0</v>
      </c>
      <c r="X513" s="697">
        <v>0</v>
      </c>
      <c r="Y513" s="697">
        <v>0</v>
      </c>
      <c r="Z513" s="697">
        <v>0</v>
      </c>
      <c r="AA513" s="697">
        <v>0</v>
      </c>
    </row>
    <row r="514" spans="1:27" ht="15" hidden="1" thickBot="1">
      <c r="A514" s="625" t="s">
        <v>604</v>
      </c>
      <c r="B514" s="625"/>
      <c r="C514" s="625"/>
      <c r="D514" s="625"/>
      <c r="E514" s="625"/>
      <c r="F514" s="625"/>
      <c r="G514" s="625" t="s">
        <v>605</v>
      </c>
      <c r="H514" s="625"/>
      <c r="I514" s="625"/>
      <c r="J514" s="625"/>
      <c r="K514" s="625"/>
      <c r="L514" s="625"/>
      <c r="M514" s="625"/>
      <c r="N514" s="625"/>
      <c r="O514" s="638"/>
      <c r="P514" s="625"/>
      <c r="Q514" s="625"/>
      <c r="R514" s="625" t="s">
        <v>806</v>
      </c>
      <c r="S514" s="626"/>
      <c r="T514" s="626"/>
      <c r="U514" s="626"/>
      <c r="V514" s="697">
        <v>0</v>
      </c>
      <c r="W514" s="697">
        <v>0</v>
      </c>
      <c r="X514" s="697">
        <v>0</v>
      </c>
      <c r="Y514" s="697">
        <v>0</v>
      </c>
      <c r="Z514" s="697">
        <v>0</v>
      </c>
      <c r="AA514" s="697">
        <v>0</v>
      </c>
    </row>
    <row r="515" spans="1:27" hidden="1">
      <c r="A515" s="664" t="s">
        <v>4</v>
      </c>
      <c r="B515" s="664"/>
      <c r="C515" s="372"/>
      <c r="D515" s="372"/>
      <c r="E515" s="635" t="s">
        <v>553</v>
      </c>
      <c r="F515" s="372" t="s">
        <v>607</v>
      </c>
      <c r="G515" s="664"/>
      <c r="H515" s="664"/>
      <c r="I515" s="664"/>
      <c r="J515" s="664"/>
      <c r="K515" s="661"/>
      <c r="L515" s="661"/>
      <c r="M515" s="661"/>
      <c r="N515" s="661"/>
      <c r="O515" s="645"/>
      <c r="P515" s="372" t="s">
        <v>608</v>
      </c>
      <c r="Q515" s="664"/>
      <c r="R515" s="664"/>
      <c r="S515" s="626"/>
      <c r="T515" s="626"/>
      <c r="U515" s="626"/>
      <c r="V515" s="697">
        <v>0</v>
      </c>
      <c r="W515" s="697">
        <v>0</v>
      </c>
      <c r="X515" s="697">
        <v>0</v>
      </c>
      <c r="Y515" s="697">
        <v>0</v>
      </c>
      <c r="Z515" s="697">
        <v>0</v>
      </c>
      <c r="AA515" s="697">
        <v>0</v>
      </c>
    </row>
    <row r="516" spans="1:27" hidden="1">
      <c r="A516" s="372"/>
      <c r="B516" s="372"/>
      <c r="C516" s="372"/>
      <c r="D516" s="372"/>
      <c r="E516" s="372"/>
      <c r="F516" s="372" t="s">
        <v>609</v>
      </c>
      <c r="G516" s="372"/>
      <c r="H516" s="372"/>
      <c r="I516" s="372"/>
      <c r="J516" s="372"/>
      <c r="K516" s="636"/>
      <c r="L516" s="636"/>
      <c r="M516" s="372"/>
      <c r="N516" s="372"/>
      <c r="O516" s="635"/>
      <c r="P516" s="636" t="s">
        <v>9</v>
      </c>
      <c r="Q516" s="372"/>
      <c r="R516" s="372"/>
      <c r="S516" s="626"/>
      <c r="T516" s="626"/>
      <c r="U516" s="626"/>
      <c r="V516" s="697">
        <v>0</v>
      </c>
      <c r="W516" s="697">
        <v>0</v>
      </c>
      <c r="X516" s="697">
        <v>0</v>
      </c>
      <c r="Y516" s="697">
        <v>0</v>
      </c>
      <c r="Z516" s="697">
        <v>0</v>
      </c>
      <c r="AA516" s="697">
        <v>0</v>
      </c>
    </row>
    <row r="517" spans="1:27" hidden="1">
      <c r="A517" s="372" t="s">
        <v>10</v>
      </c>
      <c r="B517" s="372"/>
      <c r="C517" s="372"/>
      <c r="D517" s="372"/>
      <c r="E517" s="372"/>
      <c r="F517" s="372"/>
      <c r="G517" s="372"/>
      <c r="H517" s="372"/>
      <c r="I517" s="372"/>
      <c r="J517" s="372"/>
      <c r="K517" s="636"/>
      <c r="L517" s="636"/>
      <c r="M517" s="372"/>
      <c r="N517" s="372"/>
      <c r="O517" s="635"/>
      <c r="P517" s="636" t="s">
        <v>11</v>
      </c>
      <c r="Q517" s="372"/>
      <c r="R517" s="372"/>
      <c r="S517" s="626"/>
      <c r="T517" s="626"/>
      <c r="U517" s="626"/>
      <c r="V517" s="697">
        <v>0</v>
      </c>
      <c r="W517" s="697">
        <v>0</v>
      </c>
      <c r="X517" s="697">
        <v>0</v>
      </c>
      <c r="Y517" s="697">
        <v>0</v>
      </c>
      <c r="Z517" s="697">
        <v>0</v>
      </c>
      <c r="AA517" s="697">
        <v>0</v>
      </c>
    </row>
    <row r="518" spans="1:27" hidden="1">
      <c r="A518" s="372"/>
      <c r="B518" s="372"/>
      <c r="C518" s="372"/>
      <c r="D518" s="372"/>
      <c r="E518" s="372"/>
      <c r="F518" s="372"/>
      <c r="G518" s="372"/>
      <c r="H518" s="372"/>
      <c r="I518" s="372"/>
      <c r="J518" s="372"/>
      <c r="K518" s="636"/>
      <c r="L518" s="636"/>
      <c r="M518" s="372"/>
      <c r="N518" s="372"/>
      <c r="O518" s="635" t="s">
        <v>12</v>
      </c>
      <c r="P518" s="636" t="s">
        <v>13</v>
      </c>
      <c r="Q518" s="372"/>
      <c r="R518" s="372"/>
      <c r="S518" s="626"/>
      <c r="T518" s="626"/>
      <c r="U518" s="626"/>
      <c r="V518" s="697">
        <v>0</v>
      </c>
      <c r="W518" s="697">
        <v>0</v>
      </c>
      <c r="X518" s="697">
        <v>0</v>
      </c>
      <c r="Y518" s="697">
        <v>0</v>
      </c>
      <c r="Z518" s="697">
        <v>0</v>
      </c>
      <c r="AA518" s="697">
        <v>0</v>
      </c>
    </row>
    <row r="519" spans="1:27" hidden="1">
      <c r="A519" s="372"/>
      <c r="B519" s="372"/>
      <c r="C519" s="372"/>
      <c r="D519" s="372"/>
      <c r="E519" s="372"/>
      <c r="F519" s="372"/>
      <c r="G519" s="372"/>
      <c r="H519" s="372"/>
      <c r="I519" s="372"/>
      <c r="J519" s="372"/>
      <c r="K519" s="636"/>
      <c r="L519" s="636"/>
      <c r="M519" s="372"/>
      <c r="N519" s="372"/>
      <c r="O519" s="635"/>
      <c r="P519" s="636" t="s">
        <v>610</v>
      </c>
      <c r="Q519" s="372"/>
      <c r="R519" s="372"/>
      <c r="S519" s="626"/>
      <c r="T519" s="626"/>
      <c r="U519" s="626"/>
      <c r="V519" s="697">
        <v>0</v>
      </c>
      <c r="W519" s="697">
        <v>0</v>
      </c>
      <c r="X519" s="697">
        <v>0</v>
      </c>
      <c r="Y519" s="697">
        <v>0</v>
      </c>
      <c r="Z519" s="697">
        <v>0</v>
      </c>
      <c r="AA519" s="697">
        <v>0</v>
      </c>
    </row>
    <row r="520" spans="1:27" ht="15" hidden="1" thickBot="1">
      <c r="A520" s="625" t="s">
        <v>611</v>
      </c>
      <c r="B520" s="625"/>
      <c r="C520" s="625"/>
      <c r="D520" s="625"/>
      <c r="E520" s="625"/>
      <c r="F520" s="625"/>
      <c r="G520" s="625"/>
      <c r="H520" s="637" t="s">
        <v>612</v>
      </c>
      <c r="I520" s="625"/>
      <c r="J520" s="625"/>
      <c r="K520" s="625"/>
      <c r="L520" s="625"/>
      <c r="M520" s="625"/>
      <c r="N520" s="625"/>
      <c r="O520" s="638"/>
      <c r="P520" s="625" t="s">
        <v>249</v>
      </c>
      <c r="Q520" s="625"/>
      <c r="R520" s="625"/>
      <c r="S520" s="626"/>
      <c r="T520" s="626"/>
      <c r="U520" s="626"/>
      <c r="V520" s="697">
        <v>0</v>
      </c>
      <c r="W520" s="697">
        <v>0</v>
      </c>
      <c r="X520" s="697">
        <v>0</v>
      </c>
      <c r="Y520" s="697">
        <v>0</v>
      </c>
      <c r="Z520" s="697">
        <v>0</v>
      </c>
      <c r="AA520" s="697">
        <v>0</v>
      </c>
    </row>
    <row r="521" spans="1:27" hidden="1">
      <c r="A521" s="664"/>
      <c r="B521" s="664"/>
      <c r="C521" s="634"/>
      <c r="D521" s="634"/>
      <c r="E521" s="634"/>
      <c r="F521" s="634"/>
      <c r="G521" s="634"/>
      <c r="H521" s="634"/>
      <c r="I521" s="634"/>
      <c r="J521" s="634"/>
      <c r="K521" s="634"/>
      <c r="L521" s="634"/>
      <c r="M521" s="634"/>
      <c r="N521" s="634"/>
      <c r="O521" s="635"/>
      <c r="P521" s="634"/>
      <c r="Q521" s="634"/>
      <c r="R521" s="634"/>
      <c r="S521" s="626"/>
      <c r="T521" s="626"/>
      <c r="U521" s="626"/>
      <c r="V521" s="697">
        <v>0</v>
      </c>
      <c r="W521" s="697">
        <v>0</v>
      </c>
      <c r="X521" s="697">
        <v>0</v>
      </c>
      <c r="Y521" s="697">
        <v>0</v>
      </c>
      <c r="Z521" s="697">
        <v>0</v>
      </c>
      <c r="AA521" s="697">
        <v>0</v>
      </c>
    </row>
    <row r="522" spans="1:27" hidden="1">
      <c r="A522" s="372"/>
      <c r="B522" s="372"/>
      <c r="C522" s="634">
        <v>-1</v>
      </c>
      <c r="D522" s="634">
        <v>-2</v>
      </c>
      <c r="E522" s="634"/>
      <c r="F522" s="634">
        <v>-3</v>
      </c>
      <c r="G522" s="634"/>
      <c r="H522" s="634">
        <v>-4</v>
      </c>
      <c r="I522" s="634"/>
      <c r="J522" s="634">
        <v>-5</v>
      </c>
      <c r="K522" s="634"/>
      <c r="L522" s="634">
        <v>-6</v>
      </c>
      <c r="M522" s="634"/>
      <c r="N522" s="634">
        <v>-7</v>
      </c>
      <c r="O522" s="635"/>
      <c r="P522" s="634">
        <v>-8</v>
      </c>
      <c r="Q522" s="634"/>
      <c r="R522" s="634">
        <v>-9</v>
      </c>
      <c r="S522" s="626"/>
      <c r="T522" s="626"/>
      <c r="U522" s="626"/>
      <c r="V522" s="697">
        <v>0</v>
      </c>
      <c r="W522" s="697">
        <v>0</v>
      </c>
      <c r="X522" s="697">
        <v>0</v>
      </c>
      <c r="Y522" s="697">
        <v>0</v>
      </c>
      <c r="Z522" s="697">
        <v>0</v>
      </c>
      <c r="AA522" s="697">
        <v>0</v>
      </c>
    </row>
    <row r="523" spans="1:27" hidden="1">
      <c r="A523" s="372"/>
      <c r="B523" s="372"/>
      <c r="C523" s="634" t="s">
        <v>613</v>
      </c>
      <c r="D523" s="634" t="s">
        <v>613</v>
      </c>
      <c r="E523" s="372"/>
      <c r="F523" s="634" t="s">
        <v>37</v>
      </c>
      <c r="G523" s="634"/>
      <c r="H523" s="634" t="s">
        <v>30</v>
      </c>
      <c r="I523" s="634"/>
      <c r="J523" s="634" t="s">
        <v>45</v>
      </c>
      <c r="K523" s="634"/>
      <c r="L523" s="634" t="s">
        <v>45</v>
      </c>
      <c r="M523" s="634"/>
      <c r="N523" s="372"/>
      <c r="O523" s="635"/>
      <c r="P523" s="634" t="s">
        <v>30</v>
      </c>
      <c r="Q523" s="372"/>
      <c r="R523" s="372"/>
      <c r="S523" s="626"/>
      <c r="T523" s="626"/>
      <c r="U523" s="626"/>
      <c r="V523" s="697">
        <v>0</v>
      </c>
      <c r="W523" s="697">
        <v>0</v>
      </c>
      <c r="X523" s="697">
        <v>0</v>
      </c>
      <c r="Y523" s="697">
        <v>0</v>
      </c>
      <c r="Z523" s="697">
        <v>0</v>
      </c>
      <c r="AA523" s="697">
        <v>0</v>
      </c>
    </row>
    <row r="524" spans="1:27" hidden="1">
      <c r="A524" s="634" t="s">
        <v>35</v>
      </c>
      <c r="B524" s="634"/>
      <c r="C524" s="634" t="s">
        <v>614</v>
      </c>
      <c r="D524" s="634" t="s">
        <v>614</v>
      </c>
      <c r="E524" s="634"/>
      <c r="F524" s="634" t="s">
        <v>615</v>
      </c>
      <c r="G524" s="634"/>
      <c r="H524" s="634" t="s">
        <v>616</v>
      </c>
      <c r="I524" s="634"/>
      <c r="J524" s="634" t="s">
        <v>30</v>
      </c>
      <c r="K524" s="634"/>
      <c r="L524" s="634" t="s">
        <v>30</v>
      </c>
      <c r="M524" s="636"/>
      <c r="N524" s="634" t="s">
        <v>178</v>
      </c>
      <c r="O524" s="635"/>
      <c r="P524" s="634" t="s">
        <v>616</v>
      </c>
      <c r="Q524" s="634"/>
      <c r="R524" s="634" t="s">
        <v>353</v>
      </c>
      <c r="S524" s="626"/>
      <c r="T524" s="626"/>
      <c r="U524" s="626"/>
      <c r="V524" s="697">
        <v>0</v>
      </c>
      <c r="W524" s="697">
        <v>0</v>
      </c>
      <c r="X524" s="697">
        <v>0</v>
      </c>
      <c r="Y524" s="697">
        <v>0</v>
      </c>
      <c r="Z524" s="697">
        <v>0</v>
      </c>
      <c r="AA524" s="697">
        <v>0</v>
      </c>
    </row>
    <row r="525" spans="1:27" ht="15" hidden="1" thickBot="1">
      <c r="A525" s="637" t="s">
        <v>46</v>
      </c>
      <c r="B525" s="637"/>
      <c r="C525" s="637" t="s">
        <v>371</v>
      </c>
      <c r="D525" s="637" t="s">
        <v>617</v>
      </c>
      <c r="E525" s="637"/>
      <c r="F525" s="637" t="s">
        <v>618</v>
      </c>
      <c r="G525" s="637"/>
      <c r="H525" s="637" t="s">
        <v>619</v>
      </c>
      <c r="I525" s="637"/>
      <c r="J525" s="637" t="s">
        <v>620</v>
      </c>
      <c r="K525" s="637"/>
      <c r="L525" s="637" t="s">
        <v>621</v>
      </c>
      <c r="M525" s="637"/>
      <c r="N525" s="637" t="s">
        <v>622</v>
      </c>
      <c r="O525" s="638"/>
      <c r="P525" s="637" t="s">
        <v>623</v>
      </c>
      <c r="Q525" s="637"/>
      <c r="R525" s="637" t="s">
        <v>369</v>
      </c>
      <c r="S525" s="626"/>
      <c r="T525" s="626"/>
      <c r="U525" s="626"/>
      <c r="V525" s="697">
        <v>0</v>
      </c>
      <c r="W525" s="697">
        <v>0</v>
      </c>
      <c r="X525" s="697">
        <v>0</v>
      </c>
      <c r="Y525" s="697">
        <v>0</v>
      </c>
      <c r="Z525" s="697">
        <v>0</v>
      </c>
      <c r="AA525" s="697">
        <v>0</v>
      </c>
    </row>
    <row r="526" spans="1:27" hidden="1">
      <c r="A526" s="634">
        <v>1</v>
      </c>
      <c r="B526" s="639"/>
      <c r="C526" s="372"/>
      <c r="D526" s="372"/>
      <c r="E526" s="664"/>
      <c r="F526" s="664"/>
      <c r="G526" s="664"/>
      <c r="H526" s="664"/>
      <c r="I526" s="664"/>
      <c r="J526" s="664"/>
      <c r="K526" s="664"/>
      <c r="L526" s="664"/>
      <c r="M526" s="664"/>
      <c r="N526" s="664"/>
      <c r="O526" s="635"/>
      <c r="P526" s="372"/>
      <c r="Q526" s="664"/>
      <c r="R526" s="664"/>
      <c r="S526" s="626"/>
      <c r="T526" s="626"/>
      <c r="U526" s="626"/>
      <c r="V526" s="697">
        <v>0</v>
      </c>
      <c r="W526" s="697">
        <v>0</v>
      </c>
      <c r="X526" s="697">
        <v>0</v>
      </c>
      <c r="Y526" s="697">
        <v>0</v>
      </c>
      <c r="Z526" s="697">
        <v>0</v>
      </c>
      <c r="AA526" s="697">
        <v>0</v>
      </c>
    </row>
    <row r="527" spans="1:27" hidden="1">
      <c r="A527" s="634">
        <v>2</v>
      </c>
      <c r="B527" s="639"/>
      <c r="C527" s="372"/>
      <c r="D527" s="372"/>
      <c r="E527" s="372"/>
      <c r="F527" s="372"/>
      <c r="G527" s="372"/>
      <c r="H527" s="372"/>
      <c r="I527" s="372"/>
      <c r="J527" s="372"/>
      <c r="K527" s="372"/>
      <c r="L527" s="372"/>
      <c r="M527" s="372"/>
      <c r="N527" s="372"/>
      <c r="O527" s="635"/>
      <c r="P527" s="372"/>
      <c r="Q527" s="372"/>
      <c r="R527" s="372"/>
      <c r="S527" s="626"/>
      <c r="T527" s="626"/>
      <c r="U527" s="626"/>
      <c r="V527" s="697">
        <v>0</v>
      </c>
      <c r="W527" s="697">
        <v>0</v>
      </c>
      <c r="X527" s="697">
        <v>0</v>
      </c>
      <c r="Y527" s="697">
        <v>0</v>
      </c>
      <c r="Z527" s="697">
        <v>0</v>
      </c>
      <c r="AA527" s="697">
        <v>0</v>
      </c>
    </row>
    <row r="528" spans="1:27" hidden="1">
      <c r="A528" s="634">
        <v>3</v>
      </c>
      <c r="B528" s="639"/>
      <c r="C528" s="372"/>
      <c r="D528" s="372" t="s">
        <v>663</v>
      </c>
      <c r="E528" s="372"/>
      <c r="F528" s="372"/>
      <c r="G528" s="372"/>
      <c r="H528" s="658">
        <v>1374320</v>
      </c>
      <c r="I528" s="372"/>
      <c r="J528" s="658">
        <v>79436</v>
      </c>
      <c r="K528" s="372"/>
      <c r="L528" s="658">
        <v>-14684</v>
      </c>
      <c r="M528" s="372"/>
      <c r="N528" s="372" t="s">
        <v>628</v>
      </c>
      <c r="O528" s="635"/>
      <c r="P528" s="658">
        <v>1439072</v>
      </c>
      <c r="Q528" s="372"/>
      <c r="R528" s="658">
        <v>1397689</v>
      </c>
      <c r="S528" s="626"/>
      <c r="T528" s="626"/>
      <c r="U528" s="626"/>
      <c r="V528" s="696">
        <v>5</v>
      </c>
      <c r="W528" s="696">
        <v>5</v>
      </c>
      <c r="X528" s="696">
        <v>5</v>
      </c>
      <c r="Y528" s="697">
        <v>0</v>
      </c>
      <c r="Z528" s="696">
        <v>5</v>
      </c>
      <c r="AA528" s="696">
        <v>5</v>
      </c>
    </row>
    <row r="529" spans="1:27" hidden="1">
      <c r="A529" s="634">
        <v>4</v>
      </c>
      <c r="B529" s="639"/>
      <c r="C529" s="372"/>
      <c r="D529" s="372"/>
      <c r="E529" s="372"/>
      <c r="F529" s="372"/>
      <c r="G529" s="372"/>
      <c r="H529" s="372"/>
      <c r="I529" s="372"/>
      <c r="J529" s="372"/>
      <c r="K529" s="372"/>
      <c r="L529" s="372"/>
      <c r="M529" s="372"/>
      <c r="N529" s="372"/>
      <c r="O529" s="635"/>
      <c r="P529" s="372"/>
      <c r="Q529" s="372"/>
      <c r="R529" s="372"/>
      <c r="S529" s="626"/>
      <c r="T529" s="626"/>
      <c r="U529" s="626"/>
      <c r="V529" s="697">
        <v>0</v>
      </c>
      <c r="W529" s="697">
        <v>0</v>
      </c>
      <c r="X529" s="697">
        <v>0</v>
      </c>
      <c r="Y529" s="697">
        <v>0</v>
      </c>
      <c r="Z529" s="697">
        <v>0</v>
      </c>
      <c r="AA529" s="697">
        <v>0</v>
      </c>
    </row>
    <row r="530" spans="1:27" hidden="1">
      <c r="A530" s="634">
        <v>5</v>
      </c>
      <c r="B530" s="639"/>
      <c r="C530" s="372"/>
      <c r="D530" s="372" t="s">
        <v>721</v>
      </c>
      <c r="E530" s="372"/>
      <c r="F530" s="372"/>
      <c r="G530" s="372"/>
      <c r="H530" s="659">
        <v>4721641</v>
      </c>
      <c r="I530" s="372"/>
      <c r="J530" s="659">
        <v>378809</v>
      </c>
      <c r="K530" s="372"/>
      <c r="L530" s="659">
        <v>-19779</v>
      </c>
      <c r="M530" s="372"/>
      <c r="N530" s="363" t="s">
        <v>628</v>
      </c>
      <c r="O530" s="635"/>
      <c r="P530" s="659">
        <v>5080671</v>
      </c>
      <c r="Q530" s="372"/>
      <c r="R530" s="659">
        <v>4789100</v>
      </c>
      <c r="S530" s="626"/>
      <c r="T530" s="626"/>
      <c r="U530" s="626"/>
      <c r="V530" s="696">
        <v>5</v>
      </c>
      <c r="W530" s="696">
        <v>5</v>
      </c>
      <c r="X530" s="696">
        <v>5</v>
      </c>
      <c r="Y530" s="697">
        <v>0</v>
      </c>
      <c r="Z530" s="696">
        <v>5</v>
      </c>
      <c r="AA530" s="696">
        <v>5</v>
      </c>
    </row>
    <row r="531" spans="1:27" hidden="1">
      <c r="A531" s="634">
        <v>6</v>
      </c>
      <c r="B531" s="639"/>
      <c r="C531" s="372"/>
      <c r="D531" s="372"/>
      <c r="E531" s="372"/>
      <c r="F531" s="372"/>
      <c r="G531" s="372"/>
      <c r="H531" s="372"/>
      <c r="I531" s="372"/>
      <c r="J531" s="372"/>
      <c r="K531" s="372"/>
      <c r="L531" s="372"/>
      <c r="M531" s="372"/>
      <c r="N531" s="372"/>
      <c r="O531" s="635"/>
      <c r="P531" s="383"/>
      <c r="Q531" s="372"/>
      <c r="R531" s="372"/>
      <c r="S531" s="626"/>
      <c r="T531" s="626"/>
      <c r="U531" s="626"/>
      <c r="V531" s="697">
        <v>0</v>
      </c>
      <c r="W531" s="697">
        <v>0</v>
      </c>
      <c r="X531" s="697">
        <v>0</v>
      </c>
      <c r="Y531" s="697">
        <v>0</v>
      </c>
      <c r="Z531" s="697">
        <v>0</v>
      </c>
      <c r="AA531" s="697">
        <v>0</v>
      </c>
    </row>
    <row r="532" spans="1:27" ht="15" hidden="1" thickBot="1">
      <c r="A532" s="634">
        <v>7</v>
      </c>
      <c r="B532" s="639"/>
      <c r="C532" s="372"/>
      <c r="D532" s="372" t="s">
        <v>722</v>
      </c>
      <c r="E532" s="372"/>
      <c r="F532" s="372"/>
      <c r="G532" s="372"/>
      <c r="H532" s="646">
        <v>6095961</v>
      </c>
      <c r="I532" s="372"/>
      <c r="J532" s="646">
        <v>458246</v>
      </c>
      <c r="K532" s="372"/>
      <c r="L532" s="646">
        <v>-34463</v>
      </c>
      <c r="M532" s="372"/>
      <c r="N532" s="647" t="s">
        <v>628</v>
      </c>
      <c r="O532" s="635"/>
      <c r="P532" s="646">
        <v>6519744</v>
      </c>
      <c r="Q532" s="372"/>
      <c r="R532" s="646">
        <v>6186789</v>
      </c>
      <c r="S532" s="626"/>
      <c r="T532" s="626"/>
      <c r="U532" s="626"/>
      <c r="V532" s="696">
        <v>5</v>
      </c>
      <c r="W532" s="696">
        <v>5</v>
      </c>
      <c r="X532" s="696">
        <v>5</v>
      </c>
      <c r="Y532" s="697">
        <v>0</v>
      </c>
      <c r="Z532" s="696">
        <v>5</v>
      </c>
      <c r="AA532" s="696">
        <v>4</v>
      </c>
    </row>
    <row r="533" spans="1:27" ht="15" hidden="1" thickTop="1">
      <c r="A533" s="634">
        <v>8</v>
      </c>
      <c r="B533" s="639"/>
      <c r="C533" s="372"/>
      <c r="D533" s="372"/>
      <c r="E533" s="372"/>
      <c r="F533" s="372"/>
      <c r="G533" s="372"/>
      <c r="H533" s="372"/>
      <c r="I533" s="372"/>
      <c r="J533" s="372"/>
      <c r="K533" s="372"/>
      <c r="L533" s="372"/>
      <c r="M533" s="372"/>
      <c r="N533" s="372"/>
      <c r="O533" s="635"/>
      <c r="P533" s="372"/>
      <c r="Q533" s="372"/>
      <c r="R533" s="372"/>
      <c r="S533" s="626"/>
      <c r="T533" s="626"/>
      <c r="U533" s="626"/>
      <c r="V533" s="697">
        <v>0</v>
      </c>
      <c r="W533" s="697">
        <v>0</v>
      </c>
      <c r="X533" s="697">
        <v>0</v>
      </c>
      <c r="Y533" s="697">
        <v>0</v>
      </c>
      <c r="Z533" s="697">
        <v>0</v>
      </c>
      <c r="AA533" s="697">
        <v>0</v>
      </c>
    </row>
    <row r="534" spans="1:27" hidden="1">
      <c r="A534" s="634">
        <v>9</v>
      </c>
      <c r="B534" s="639"/>
      <c r="C534" s="372"/>
      <c r="D534" s="372" t="s">
        <v>735</v>
      </c>
      <c r="E534" s="372"/>
      <c r="F534" s="372"/>
      <c r="G534" s="372"/>
      <c r="H534" s="658">
        <v>1091197</v>
      </c>
      <c r="I534" s="372"/>
      <c r="J534" s="658">
        <v>72844</v>
      </c>
      <c r="K534" s="372"/>
      <c r="L534" s="658">
        <v>-6911</v>
      </c>
      <c r="M534" s="372"/>
      <c r="N534" s="658">
        <v>6534</v>
      </c>
      <c r="O534" s="635"/>
      <c r="P534" s="658">
        <v>1163665</v>
      </c>
      <c r="Q534" s="372"/>
      <c r="R534" s="658">
        <v>1118627</v>
      </c>
      <c r="S534" s="626"/>
      <c r="T534" s="626"/>
      <c r="U534" s="626"/>
      <c r="V534" s="696">
        <v>5</v>
      </c>
      <c r="W534" s="696">
        <v>5</v>
      </c>
      <c r="X534" s="696">
        <v>5</v>
      </c>
      <c r="Y534" s="696">
        <v>4</v>
      </c>
      <c r="Z534" s="696">
        <v>4</v>
      </c>
      <c r="AA534" s="696">
        <v>5</v>
      </c>
    </row>
    <row r="535" spans="1:27" hidden="1">
      <c r="A535" s="634">
        <v>10</v>
      </c>
      <c r="B535" s="639"/>
      <c r="C535" s="372"/>
      <c r="D535" s="372"/>
      <c r="E535" s="372"/>
      <c r="F535" s="372"/>
      <c r="G535" s="372"/>
      <c r="H535" s="372"/>
      <c r="I535" s="372"/>
      <c r="J535" s="372"/>
      <c r="K535" s="372"/>
      <c r="L535" s="372"/>
      <c r="M535" s="372"/>
      <c r="N535" s="372"/>
      <c r="O535" s="635"/>
      <c r="P535" s="372"/>
      <c r="Q535" s="372"/>
      <c r="R535" s="372"/>
      <c r="S535" s="626"/>
      <c r="T535" s="626"/>
      <c r="U535" s="626"/>
      <c r="V535" s="697">
        <v>0</v>
      </c>
      <c r="W535" s="697">
        <v>0</v>
      </c>
      <c r="X535" s="697">
        <v>0</v>
      </c>
      <c r="Y535" s="697">
        <v>0</v>
      </c>
      <c r="Z535" s="697">
        <v>0</v>
      </c>
      <c r="AA535" s="697">
        <v>0</v>
      </c>
    </row>
    <row r="536" spans="1:27" hidden="1">
      <c r="A536" s="634">
        <v>11</v>
      </c>
      <c r="B536" s="639"/>
      <c r="C536" s="372"/>
      <c r="D536" s="372" t="s">
        <v>747</v>
      </c>
      <c r="E536" s="372"/>
      <c r="F536" s="372"/>
      <c r="G536" s="372"/>
      <c r="H536" s="658">
        <v>3277209</v>
      </c>
      <c r="I536" s="372"/>
      <c r="J536" s="658">
        <v>358050</v>
      </c>
      <c r="K536" s="372"/>
      <c r="L536" s="658">
        <v>-39128</v>
      </c>
      <c r="M536" s="372"/>
      <c r="N536" s="658">
        <v>-4365</v>
      </c>
      <c r="O536" s="635"/>
      <c r="P536" s="658">
        <v>3591766</v>
      </c>
      <c r="Q536" s="372"/>
      <c r="R536" s="658">
        <v>3416657</v>
      </c>
      <c r="S536" s="626"/>
      <c r="T536" s="626"/>
      <c r="U536" s="626"/>
      <c r="V536" s="696">
        <v>5</v>
      </c>
      <c r="W536" s="696">
        <v>5</v>
      </c>
      <c r="X536" s="696">
        <v>5</v>
      </c>
      <c r="Y536" s="696">
        <v>5</v>
      </c>
      <c r="Z536" s="696">
        <v>5</v>
      </c>
      <c r="AA536" s="696">
        <v>5</v>
      </c>
    </row>
    <row r="537" spans="1:27" hidden="1">
      <c r="A537" s="634">
        <v>12</v>
      </c>
      <c r="B537" s="639"/>
      <c r="C537" s="372"/>
      <c r="D537" s="372"/>
      <c r="E537" s="372"/>
      <c r="F537" s="372"/>
      <c r="G537" s="372"/>
      <c r="H537" s="372"/>
      <c r="I537" s="372"/>
      <c r="J537" s="372"/>
      <c r="K537" s="372"/>
      <c r="L537" s="372"/>
      <c r="M537" s="372"/>
      <c r="N537" s="372"/>
      <c r="O537" s="635"/>
      <c r="P537" s="372"/>
      <c r="Q537" s="372"/>
      <c r="R537" s="372"/>
      <c r="S537" s="626"/>
      <c r="T537" s="626"/>
      <c r="U537" s="626"/>
      <c r="V537" s="697">
        <v>0</v>
      </c>
      <c r="W537" s="697">
        <v>0</v>
      </c>
      <c r="X537" s="697">
        <v>0</v>
      </c>
      <c r="Y537" s="697">
        <v>0</v>
      </c>
      <c r="Z537" s="697">
        <v>0</v>
      </c>
      <c r="AA537" s="697">
        <v>0</v>
      </c>
    </row>
    <row r="538" spans="1:27" hidden="1">
      <c r="A538" s="634">
        <v>13</v>
      </c>
      <c r="B538" s="639"/>
      <c r="C538" s="372"/>
      <c r="D538" s="372" t="s">
        <v>767</v>
      </c>
      <c r="E538" s="372"/>
      <c r="F538" s="372"/>
      <c r="G538" s="372"/>
      <c r="H538" s="659">
        <v>405987</v>
      </c>
      <c r="I538" s="372"/>
      <c r="J538" s="659">
        <v>50455</v>
      </c>
      <c r="K538" s="372"/>
      <c r="L538" s="659">
        <v>-14352</v>
      </c>
      <c r="M538" s="372"/>
      <c r="N538" s="659">
        <v>-1590</v>
      </c>
      <c r="O538" s="635"/>
      <c r="P538" s="659">
        <v>440500</v>
      </c>
      <c r="Q538" s="372"/>
      <c r="R538" s="659">
        <v>416522</v>
      </c>
      <c r="S538" s="626"/>
      <c r="T538" s="626"/>
      <c r="U538" s="626"/>
      <c r="V538" s="696">
        <v>4</v>
      </c>
      <c r="W538" s="696">
        <v>5</v>
      </c>
      <c r="X538" s="696">
        <v>5</v>
      </c>
      <c r="Y538" s="696">
        <v>5</v>
      </c>
      <c r="Z538" s="696">
        <v>5</v>
      </c>
      <c r="AA538" s="696">
        <v>5</v>
      </c>
    </row>
    <row r="539" spans="1:27" hidden="1">
      <c r="A539" s="634">
        <v>14</v>
      </c>
      <c r="B539" s="639"/>
      <c r="C539" s="372"/>
      <c r="D539" s="372"/>
      <c r="E539" s="372"/>
      <c r="F539" s="372"/>
      <c r="G539" s="372"/>
      <c r="H539" s="372"/>
      <c r="I539" s="372"/>
      <c r="J539" s="372"/>
      <c r="K539" s="372"/>
      <c r="L539" s="372"/>
      <c r="M539" s="372"/>
      <c r="N539" s="372"/>
      <c r="O539" s="635"/>
      <c r="P539" s="383"/>
      <c r="Q539" s="372"/>
      <c r="R539" s="372"/>
      <c r="S539" s="626"/>
      <c r="T539" s="626"/>
      <c r="U539" s="626"/>
      <c r="V539" s="697">
        <v>0</v>
      </c>
      <c r="W539" s="697">
        <v>0</v>
      </c>
      <c r="X539" s="697">
        <v>0</v>
      </c>
      <c r="Y539" s="697">
        <v>0</v>
      </c>
      <c r="Z539" s="697">
        <v>0</v>
      </c>
      <c r="AA539" s="697">
        <v>0</v>
      </c>
    </row>
    <row r="540" spans="1:27" ht="15" hidden="1" thickBot="1">
      <c r="A540" s="634">
        <v>15</v>
      </c>
      <c r="B540" s="639"/>
      <c r="C540" s="372"/>
      <c r="D540" s="636" t="s">
        <v>768</v>
      </c>
      <c r="E540" s="372"/>
      <c r="F540" s="372"/>
      <c r="G540" s="372"/>
      <c r="H540" s="646">
        <v>10870354</v>
      </c>
      <c r="I540" s="372"/>
      <c r="J540" s="646">
        <v>939595</v>
      </c>
      <c r="K540" s="372"/>
      <c r="L540" s="646">
        <v>-94854</v>
      </c>
      <c r="M540" s="372"/>
      <c r="N540" s="647">
        <v>579</v>
      </c>
      <c r="O540" s="635"/>
      <c r="P540" s="646">
        <v>11715675</v>
      </c>
      <c r="Q540" s="372"/>
      <c r="R540" s="646">
        <v>11138596</v>
      </c>
      <c r="S540" s="626"/>
      <c r="T540" s="626"/>
      <c r="U540" s="626"/>
      <c r="V540" s="696">
        <v>5</v>
      </c>
      <c r="W540" s="696">
        <v>5</v>
      </c>
      <c r="X540" s="696">
        <v>5</v>
      </c>
      <c r="Y540" s="696">
        <v>12</v>
      </c>
      <c r="Z540" s="696">
        <v>5</v>
      </c>
      <c r="AA540" s="696">
        <v>5</v>
      </c>
    </row>
    <row r="541" spans="1:27" ht="15" hidden="1" thickTop="1">
      <c r="A541" s="634">
        <v>16</v>
      </c>
      <c r="B541" s="639"/>
      <c r="C541" s="372"/>
      <c r="D541" s="372"/>
      <c r="E541" s="372"/>
      <c r="F541" s="372"/>
      <c r="G541" s="372"/>
      <c r="H541" s="372"/>
      <c r="I541" s="372"/>
      <c r="J541" s="372"/>
      <c r="K541" s="372"/>
      <c r="L541" s="372"/>
      <c r="M541" s="372"/>
      <c r="N541" s="372"/>
      <c r="O541" s="635"/>
      <c r="P541" s="372"/>
      <c r="Q541" s="372"/>
      <c r="R541" s="372"/>
      <c r="S541" s="626"/>
      <c r="T541" s="626"/>
      <c r="U541" s="626"/>
      <c r="V541" s="697">
        <v>0</v>
      </c>
      <c r="W541" s="697">
        <v>0</v>
      </c>
      <c r="X541" s="697">
        <v>0</v>
      </c>
      <c r="Y541" s="697">
        <v>0</v>
      </c>
      <c r="Z541" s="697">
        <v>0</v>
      </c>
      <c r="AA541" s="697">
        <v>0</v>
      </c>
    </row>
    <row r="542" spans="1:27" hidden="1">
      <c r="A542" s="634">
        <v>17</v>
      </c>
      <c r="B542" s="639"/>
      <c r="C542" s="372"/>
      <c r="D542" s="720" t="s">
        <v>778</v>
      </c>
      <c r="E542" s="720"/>
      <c r="F542" s="720"/>
      <c r="G542" s="720"/>
      <c r="H542" s="719">
        <v>193244</v>
      </c>
      <c r="I542" s="720"/>
      <c r="J542" s="719">
        <v>32146</v>
      </c>
      <c r="K542" s="720"/>
      <c r="L542" s="720" t="s">
        <v>635</v>
      </c>
      <c r="M542" s="720"/>
      <c r="N542" s="720" t="s">
        <v>635</v>
      </c>
      <c r="O542" s="731"/>
      <c r="P542" s="719">
        <v>225390</v>
      </c>
      <c r="Q542" s="720"/>
      <c r="R542" s="719">
        <v>193791</v>
      </c>
      <c r="S542" s="626"/>
      <c r="T542" s="626"/>
      <c r="U542" s="626"/>
      <c r="V542" s="696">
        <v>4</v>
      </c>
      <c r="W542" s="696">
        <v>5</v>
      </c>
      <c r="X542" s="697">
        <v>0</v>
      </c>
      <c r="Y542" s="697">
        <v>0</v>
      </c>
      <c r="Z542" s="696">
        <v>5</v>
      </c>
      <c r="AA542" s="696">
        <v>5</v>
      </c>
    </row>
    <row r="543" spans="1:27" hidden="1">
      <c r="A543" s="634">
        <v>18</v>
      </c>
      <c r="B543" s="639"/>
      <c r="C543" s="372"/>
      <c r="D543" s="372"/>
      <c r="E543" s="372"/>
      <c r="F543" s="372"/>
      <c r="G543" s="372"/>
      <c r="H543" s="372"/>
      <c r="I543" s="372"/>
      <c r="J543" s="372"/>
      <c r="K543" s="372"/>
      <c r="L543" s="372"/>
      <c r="M543" s="372"/>
      <c r="N543" s="372"/>
      <c r="O543" s="635"/>
      <c r="P543" s="372"/>
      <c r="Q543" s="372"/>
      <c r="R543" s="372"/>
      <c r="S543" s="626"/>
      <c r="T543" s="626"/>
      <c r="U543" s="626"/>
      <c r="V543" s="697">
        <v>0</v>
      </c>
      <c r="W543" s="697">
        <v>0</v>
      </c>
      <c r="X543" s="697">
        <v>0</v>
      </c>
      <c r="Y543" s="697">
        <v>0</v>
      </c>
      <c r="Z543" s="697">
        <v>0</v>
      </c>
      <c r="AA543" s="697">
        <v>0</v>
      </c>
    </row>
    <row r="544" spans="1:27" hidden="1">
      <c r="A544" s="634">
        <v>19</v>
      </c>
      <c r="B544" s="639"/>
      <c r="C544" s="372"/>
      <c r="D544" s="636" t="s">
        <v>783</v>
      </c>
      <c r="E544" s="372"/>
      <c r="F544" s="372"/>
      <c r="G544" s="372"/>
      <c r="H544" s="658">
        <v>460970</v>
      </c>
      <c r="I544" s="372"/>
      <c r="J544" s="658">
        <v>65113</v>
      </c>
      <c r="K544" s="372"/>
      <c r="L544" s="372" t="s">
        <v>635</v>
      </c>
      <c r="M544" s="372"/>
      <c r="N544" s="372" t="s">
        <v>635</v>
      </c>
      <c r="O544" s="635"/>
      <c r="P544" s="658">
        <v>526082</v>
      </c>
      <c r="Q544" s="372"/>
      <c r="R544" s="658">
        <v>482689</v>
      </c>
      <c r="S544" s="626"/>
      <c r="T544" s="626"/>
      <c r="U544" s="626"/>
      <c r="V544" s="696">
        <v>5</v>
      </c>
      <c r="W544" s="696">
        <v>5</v>
      </c>
      <c r="X544" s="697">
        <v>0</v>
      </c>
      <c r="Y544" s="697">
        <v>0</v>
      </c>
      <c r="Z544" s="696">
        <v>5</v>
      </c>
      <c r="AA544" s="696">
        <v>5</v>
      </c>
    </row>
    <row r="545" spans="1:27" hidden="1">
      <c r="A545" s="634">
        <v>20</v>
      </c>
      <c r="B545" s="639"/>
      <c r="C545" s="372"/>
      <c r="D545" s="636"/>
      <c r="E545" s="372"/>
      <c r="F545" s="372"/>
      <c r="G545" s="372"/>
      <c r="H545" s="372"/>
      <c r="I545" s="372"/>
      <c r="J545" s="372"/>
      <c r="K545" s="372"/>
      <c r="L545" s="372"/>
      <c r="M545" s="372"/>
      <c r="N545" s="372"/>
      <c r="O545" s="635"/>
      <c r="P545" s="372"/>
      <c r="Q545" s="372"/>
      <c r="R545" s="372"/>
      <c r="S545" s="626"/>
      <c r="T545" s="626"/>
      <c r="U545" s="626"/>
      <c r="V545" s="697">
        <v>0</v>
      </c>
      <c r="W545" s="697">
        <v>0</v>
      </c>
      <c r="X545" s="697">
        <v>0</v>
      </c>
      <c r="Y545" s="697">
        <v>0</v>
      </c>
      <c r="Z545" s="697">
        <v>0</v>
      </c>
      <c r="AA545" s="697">
        <v>0</v>
      </c>
    </row>
    <row r="546" spans="1:27" hidden="1">
      <c r="A546" s="634">
        <v>21</v>
      </c>
      <c r="B546" s="639"/>
      <c r="C546" s="372"/>
      <c r="D546" s="720" t="s">
        <v>789</v>
      </c>
      <c r="E546" s="720"/>
      <c r="F546" s="720"/>
      <c r="G546" s="720"/>
      <c r="H546" s="719">
        <v>51255</v>
      </c>
      <c r="I546" s="720"/>
      <c r="J546" s="719">
        <v>-1412</v>
      </c>
      <c r="K546" s="720"/>
      <c r="L546" s="720">
        <v>-24434</v>
      </c>
      <c r="M546" s="720"/>
      <c r="N546" s="720" t="s">
        <v>628</v>
      </c>
      <c r="O546" s="731"/>
      <c r="P546" s="719">
        <v>25409</v>
      </c>
      <c r="Q546" s="720"/>
      <c r="R546" s="719">
        <v>32351</v>
      </c>
      <c r="S546" s="626"/>
      <c r="T546" s="626"/>
      <c r="U546" s="626"/>
      <c r="V546" s="696">
        <v>5</v>
      </c>
      <c r="W546" s="696">
        <v>5</v>
      </c>
      <c r="X546" s="696">
        <v>5</v>
      </c>
      <c r="Y546" s="697">
        <v>0</v>
      </c>
      <c r="Z546" s="696">
        <v>5</v>
      </c>
      <c r="AA546" s="696">
        <v>5</v>
      </c>
    </row>
    <row r="547" spans="1:27" hidden="1">
      <c r="A547" s="634">
        <v>22</v>
      </c>
      <c r="B547" s="639"/>
      <c r="C547" s="372"/>
      <c r="D547" s="372"/>
      <c r="E547" s="372"/>
      <c r="F547" s="372"/>
      <c r="G547" s="372"/>
      <c r="H547" s="372"/>
      <c r="I547" s="372"/>
      <c r="J547" s="372"/>
      <c r="K547" s="372"/>
      <c r="L547" s="372"/>
      <c r="M547" s="372"/>
      <c r="N547" s="372"/>
      <c r="O547" s="635"/>
      <c r="P547" s="372"/>
      <c r="Q547" s="372"/>
      <c r="R547" s="372"/>
      <c r="S547" s="626"/>
      <c r="T547" s="626"/>
      <c r="U547" s="626"/>
      <c r="V547" s="697">
        <v>0</v>
      </c>
      <c r="W547" s="697">
        <v>0</v>
      </c>
      <c r="X547" s="697">
        <v>0</v>
      </c>
      <c r="Y547" s="697">
        <v>0</v>
      </c>
      <c r="Z547" s="697">
        <v>0</v>
      </c>
      <c r="AA547" s="697">
        <v>0</v>
      </c>
    </row>
    <row r="548" spans="1:27" hidden="1">
      <c r="A548" s="634">
        <v>23</v>
      </c>
      <c r="B548" s="639"/>
      <c r="C548" s="372"/>
      <c r="D548" s="720" t="s">
        <v>793</v>
      </c>
      <c r="E548" s="720"/>
      <c r="F548" s="720"/>
      <c r="G548" s="720"/>
      <c r="H548" s="719">
        <v>25389</v>
      </c>
      <c r="I548" s="720"/>
      <c r="J548" s="719" t="s">
        <v>635</v>
      </c>
      <c r="K548" s="720"/>
      <c r="L548" s="720" t="s">
        <v>635</v>
      </c>
      <c r="M548" s="720"/>
      <c r="N548" s="720">
        <v>-1174</v>
      </c>
      <c r="O548" s="731"/>
      <c r="P548" s="719">
        <v>24215</v>
      </c>
      <c r="Q548" s="720"/>
      <c r="R548" s="719">
        <v>25226</v>
      </c>
      <c r="S548" s="626"/>
      <c r="T548" s="626"/>
      <c r="U548" s="626"/>
      <c r="V548" s="696">
        <v>4</v>
      </c>
      <c r="W548" s="697">
        <v>0</v>
      </c>
      <c r="X548" s="697">
        <v>0</v>
      </c>
      <c r="Y548" s="696">
        <v>5</v>
      </c>
      <c r="Z548" s="696">
        <v>5</v>
      </c>
      <c r="AA548" s="696">
        <v>5</v>
      </c>
    </row>
    <row r="549" spans="1:27" hidden="1">
      <c r="A549" s="634">
        <v>24</v>
      </c>
      <c r="B549" s="639"/>
      <c r="C549" s="372"/>
      <c r="D549" s="372"/>
      <c r="E549" s="372"/>
      <c r="F549" s="372"/>
      <c r="G549" s="372"/>
      <c r="H549" s="372"/>
      <c r="I549" s="372"/>
      <c r="J549" s="372"/>
      <c r="K549" s="372"/>
      <c r="L549" s="372"/>
      <c r="M549" s="372"/>
      <c r="N549" s="372"/>
      <c r="O549" s="635"/>
      <c r="P549" s="383"/>
      <c r="Q549" s="372"/>
      <c r="R549" s="372"/>
      <c r="S549" s="626"/>
      <c r="T549" s="626"/>
      <c r="U549" s="626"/>
      <c r="V549" s="697">
        <v>0</v>
      </c>
      <c r="W549" s="697">
        <v>0</v>
      </c>
      <c r="X549" s="697">
        <v>0</v>
      </c>
      <c r="Y549" s="697">
        <v>0</v>
      </c>
      <c r="Z549" s="697">
        <v>0</v>
      </c>
      <c r="AA549" s="697">
        <v>0</v>
      </c>
    </row>
    <row r="550" spans="1:27" ht="15" hidden="1" thickBot="1">
      <c r="A550" s="634">
        <v>25</v>
      </c>
      <c r="B550" s="639"/>
      <c r="C550" s="372"/>
      <c r="D550" s="636" t="s">
        <v>794</v>
      </c>
      <c r="E550" s="372"/>
      <c r="F550" s="372"/>
      <c r="G550" s="372"/>
      <c r="H550" s="646">
        <v>11601211</v>
      </c>
      <c r="I550" s="372"/>
      <c r="J550" s="646">
        <v>1035441</v>
      </c>
      <c r="K550" s="372"/>
      <c r="L550" s="646">
        <v>-119288</v>
      </c>
      <c r="M550" s="372"/>
      <c r="N550" s="647">
        <v>-595</v>
      </c>
      <c r="O550" s="635"/>
      <c r="P550" s="646">
        <v>12516770</v>
      </c>
      <c r="Q550" s="372"/>
      <c r="R550" s="646">
        <v>11872652</v>
      </c>
      <c r="S550" s="626"/>
      <c r="T550" s="626"/>
      <c r="U550" s="626"/>
      <c r="V550" s="696">
        <v>5</v>
      </c>
      <c r="W550" s="696">
        <v>5</v>
      </c>
      <c r="X550" s="696">
        <v>5</v>
      </c>
      <c r="Y550" s="696">
        <v>12</v>
      </c>
      <c r="Z550" s="696">
        <v>5</v>
      </c>
      <c r="AA550" s="696">
        <v>5</v>
      </c>
    </row>
    <row r="551" spans="1:27" ht="15" hidden="1" thickTop="1">
      <c r="A551" s="634">
        <v>26</v>
      </c>
      <c r="B551" s="639"/>
      <c r="C551" s="372"/>
      <c r="D551" s="372"/>
      <c r="E551" s="372"/>
      <c r="F551" s="372"/>
      <c r="G551" s="372"/>
      <c r="H551" s="372"/>
      <c r="I551" s="372"/>
      <c r="J551" s="372"/>
      <c r="K551" s="372"/>
      <c r="L551" s="372"/>
      <c r="M551" s="372"/>
      <c r="N551" s="372"/>
      <c r="O551" s="635"/>
      <c r="P551" s="372"/>
      <c r="Q551" s="372"/>
      <c r="R551" s="372"/>
      <c r="S551" s="626"/>
      <c r="T551" s="626"/>
      <c r="U551" s="626"/>
      <c r="V551" s="697">
        <v>0</v>
      </c>
      <c r="W551" s="697">
        <v>0</v>
      </c>
      <c r="X551" s="697">
        <v>0</v>
      </c>
      <c r="Y551" s="697">
        <v>0</v>
      </c>
      <c r="Z551" s="697">
        <v>0</v>
      </c>
      <c r="AA551" s="697">
        <v>0</v>
      </c>
    </row>
    <row r="552" spans="1:27" hidden="1">
      <c r="A552" s="634">
        <v>27</v>
      </c>
      <c r="B552" s="639"/>
      <c r="C552" s="372"/>
      <c r="D552" s="730" t="s">
        <v>799</v>
      </c>
      <c r="E552" s="720"/>
      <c r="F552" s="720"/>
      <c r="G552" s="720"/>
      <c r="H552" s="719">
        <v>7485</v>
      </c>
      <c r="I552" s="720"/>
      <c r="J552" s="720" t="s">
        <v>807</v>
      </c>
      <c r="K552" s="720"/>
      <c r="L552" s="720" t="s">
        <v>807</v>
      </c>
      <c r="M552" s="720"/>
      <c r="N552" s="720" t="s">
        <v>807</v>
      </c>
      <c r="O552" s="731"/>
      <c r="P552" s="719">
        <v>7485</v>
      </c>
      <c r="Q552" s="720"/>
      <c r="R552" s="719">
        <v>7485</v>
      </c>
      <c r="S552" s="626"/>
      <c r="T552" s="626"/>
      <c r="U552" s="626"/>
      <c r="V552" s="696">
        <v>5</v>
      </c>
      <c r="W552" s="697">
        <v>0</v>
      </c>
      <c r="X552" s="697">
        <v>0</v>
      </c>
      <c r="Y552" s="697">
        <v>0</v>
      </c>
      <c r="Z552" s="696">
        <v>5</v>
      </c>
      <c r="AA552" s="696">
        <v>5</v>
      </c>
    </row>
    <row r="553" spans="1:27" hidden="1">
      <c r="A553" s="634">
        <v>28</v>
      </c>
      <c r="B553" s="639"/>
      <c r="C553" s="372"/>
      <c r="D553" s="372"/>
      <c r="E553" s="372"/>
      <c r="F553" s="372"/>
      <c r="G553" s="372"/>
      <c r="H553" s="372"/>
      <c r="I553" s="372"/>
      <c r="J553" s="372"/>
      <c r="K553" s="372"/>
      <c r="L553" s="372"/>
      <c r="M553" s="372"/>
      <c r="N553" s="372"/>
      <c r="O553" s="635"/>
      <c r="P553" s="372"/>
      <c r="Q553" s="372"/>
      <c r="R553" s="372"/>
      <c r="S553" s="626"/>
      <c r="T553" s="626"/>
      <c r="U553" s="626"/>
      <c r="V553" s="697">
        <v>0</v>
      </c>
      <c r="W553" s="697">
        <v>0</v>
      </c>
      <c r="X553" s="697">
        <v>0</v>
      </c>
      <c r="Y553" s="697">
        <v>0</v>
      </c>
      <c r="Z553" s="697">
        <v>0</v>
      </c>
      <c r="AA553" s="697">
        <v>0</v>
      </c>
    </row>
    <row r="554" spans="1:27" hidden="1">
      <c r="A554" s="634">
        <v>29</v>
      </c>
      <c r="B554" s="639"/>
      <c r="C554" s="372"/>
      <c r="D554" s="720" t="s">
        <v>800</v>
      </c>
      <c r="E554" s="720"/>
      <c r="F554" s="720"/>
      <c r="G554" s="720"/>
      <c r="H554" s="719">
        <v>219</v>
      </c>
      <c r="I554" s="720"/>
      <c r="J554" s="719">
        <v>365</v>
      </c>
      <c r="K554" s="720"/>
      <c r="L554" s="720" t="s">
        <v>635</v>
      </c>
      <c r="M554" s="720"/>
      <c r="N554" s="720">
        <v>-173</v>
      </c>
      <c r="O554" s="731"/>
      <c r="P554" s="719">
        <v>411</v>
      </c>
      <c r="Q554" s="720"/>
      <c r="R554" s="719">
        <v>276</v>
      </c>
      <c r="S554" s="626"/>
      <c r="T554" s="626"/>
      <c r="U554" s="626"/>
      <c r="V554" s="696">
        <v>5</v>
      </c>
      <c r="W554" s="696">
        <v>5</v>
      </c>
      <c r="X554" s="697">
        <v>0</v>
      </c>
      <c r="Y554" s="696">
        <v>5</v>
      </c>
      <c r="Z554" s="696">
        <v>5</v>
      </c>
      <c r="AA554" s="696">
        <v>4</v>
      </c>
    </row>
    <row r="555" spans="1:27" hidden="1">
      <c r="A555" s="634">
        <v>30</v>
      </c>
      <c r="B555" s="639"/>
      <c r="C555" s="372"/>
      <c r="D555" s="372"/>
      <c r="E555" s="372"/>
      <c r="F555" s="372"/>
      <c r="G555" s="372"/>
      <c r="H555" s="372"/>
      <c r="I555" s="372"/>
      <c r="J555" s="372"/>
      <c r="K555" s="372"/>
      <c r="L555" s="372"/>
      <c r="M555" s="372"/>
      <c r="N555" s="372"/>
      <c r="O555" s="635"/>
      <c r="P555" s="372"/>
      <c r="Q555" s="372"/>
      <c r="R555" s="372"/>
      <c r="S555" s="626"/>
      <c r="T555" s="626"/>
      <c r="U555" s="626"/>
      <c r="V555" s="697">
        <v>0</v>
      </c>
      <c r="W555" s="697">
        <v>0</v>
      </c>
      <c r="X555" s="697">
        <v>0</v>
      </c>
      <c r="Y555" s="697">
        <v>0</v>
      </c>
      <c r="Z555" s="697">
        <v>0</v>
      </c>
      <c r="AA555" s="697">
        <v>0</v>
      </c>
    </row>
    <row r="556" spans="1:27" hidden="1">
      <c r="A556" s="634">
        <v>31</v>
      </c>
      <c r="B556" s="639"/>
      <c r="C556" s="372"/>
      <c r="D556" s="372" t="s">
        <v>801</v>
      </c>
      <c r="E556" s="372"/>
      <c r="F556" s="372"/>
      <c r="G556" s="372"/>
      <c r="H556" s="658">
        <v>54571</v>
      </c>
      <c r="I556" s="372"/>
      <c r="J556" s="658">
        <v>3557</v>
      </c>
      <c r="K556" s="372"/>
      <c r="L556" s="372" t="s">
        <v>635</v>
      </c>
      <c r="M556" s="372"/>
      <c r="N556" s="372" t="s">
        <v>635</v>
      </c>
      <c r="O556" s="635"/>
      <c r="P556" s="658">
        <v>58128</v>
      </c>
      <c r="Q556" s="372"/>
      <c r="R556" s="658">
        <v>55939</v>
      </c>
      <c r="S556" s="626"/>
      <c r="T556" s="626"/>
      <c r="U556" s="626"/>
      <c r="V556" s="696">
        <v>5</v>
      </c>
      <c r="W556" s="697">
        <v>1</v>
      </c>
      <c r="X556" s="697">
        <v>0</v>
      </c>
      <c r="Y556" s="697">
        <v>0</v>
      </c>
      <c r="Z556" s="696">
        <v>5</v>
      </c>
      <c r="AA556" s="696">
        <v>5</v>
      </c>
    </row>
    <row r="557" spans="1:27" hidden="1">
      <c r="A557" s="634">
        <v>32</v>
      </c>
      <c r="B557" s="639"/>
      <c r="C557" s="372"/>
      <c r="D557" s="372"/>
      <c r="E557" s="372"/>
      <c r="F557" s="372"/>
      <c r="G557" s="372"/>
      <c r="H557" s="372"/>
      <c r="I557" s="372"/>
      <c r="J557" s="372"/>
      <c r="K557" s="372"/>
      <c r="L557" s="372"/>
      <c r="M557" s="372"/>
      <c r="N557" s="372"/>
      <c r="O557" s="635"/>
      <c r="P557" s="372"/>
      <c r="Q557" s="372"/>
      <c r="R557" s="372"/>
      <c r="S557" s="626"/>
      <c r="T557" s="626"/>
      <c r="U557" s="626"/>
      <c r="V557" s="697">
        <v>0</v>
      </c>
      <c r="W557" s="697">
        <v>0</v>
      </c>
      <c r="X557" s="697">
        <v>0</v>
      </c>
      <c r="Y557" s="697">
        <v>0</v>
      </c>
      <c r="Z557" s="697">
        <v>0</v>
      </c>
      <c r="AA557" s="697">
        <v>0</v>
      </c>
    </row>
    <row r="558" spans="1:27" hidden="1">
      <c r="A558" s="634">
        <v>33</v>
      </c>
      <c r="B558" s="639"/>
      <c r="C558" s="372"/>
      <c r="D558" s="372" t="s">
        <v>804</v>
      </c>
      <c r="E558" s="372"/>
      <c r="F558" s="372"/>
      <c r="G558" s="372"/>
      <c r="H558" s="372" t="s">
        <v>628</v>
      </c>
      <c r="I558" s="372"/>
      <c r="J558" s="372" t="s">
        <v>635</v>
      </c>
      <c r="K558" s="372"/>
      <c r="L558" s="372" t="s">
        <v>635</v>
      </c>
      <c r="M558" s="372"/>
      <c r="N558" s="372" t="s">
        <v>635</v>
      </c>
      <c r="O558" s="635"/>
      <c r="P558" s="372" t="s">
        <v>635</v>
      </c>
      <c r="Q558" s="372"/>
      <c r="R558" s="372" t="s">
        <v>635</v>
      </c>
      <c r="S558" s="626"/>
      <c r="T558" s="626"/>
      <c r="U558" s="626"/>
      <c r="V558" s="697">
        <v>0</v>
      </c>
      <c r="W558" s="697">
        <v>0</v>
      </c>
      <c r="X558" s="697">
        <v>0</v>
      </c>
      <c r="Y558" s="697">
        <v>0</v>
      </c>
      <c r="Z558" s="697">
        <v>0</v>
      </c>
      <c r="AA558" s="697">
        <v>0</v>
      </c>
    </row>
    <row r="559" spans="1:27" hidden="1">
      <c r="A559" s="634">
        <v>34</v>
      </c>
      <c r="B559" s="639"/>
      <c r="C559" s="372"/>
      <c r="D559" s="372"/>
      <c r="E559" s="372"/>
      <c r="F559" s="372"/>
      <c r="G559" s="372"/>
      <c r="H559" s="372"/>
      <c r="I559" s="372"/>
      <c r="J559" s="372"/>
      <c r="K559" s="372"/>
      <c r="L559" s="372"/>
      <c r="M559" s="372"/>
      <c r="N559" s="372"/>
      <c r="O559" s="635"/>
      <c r="P559" s="383"/>
      <c r="Q559" s="372"/>
      <c r="R559" s="372"/>
      <c r="S559" s="626"/>
      <c r="T559" s="626"/>
      <c r="U559" s="626"/>
      <c r="V559" s="697">
        <v>0</v>
      </c>
      <c r="W559" s="697">
        <v>0</v>
      </c>
      <c r="X559" s="697">
        <v>0</v>
      </c>
      <c r="Y559" s="697">
        <v>0</v>
      </c>
      <c r="Z559" s="697">
        <v>0</v>
      </c>
      <c r="AA559" s="697">
        <v>0</v>
      </c>
    </row>
    <row r="560" spans="1:27" ht="15" hidden="1" thickBot="1">
      <c r="A560" s="634">
        <v>35</v>
      </c>
      <c r="B560" s="639"/>
      <c r="C560" s="372"/>
      <c r="D560" s="372" t="s">
        <v>805</v>
      </c>
      <c r="E560" s="372"/>
      <c r="F560" s="372"/>
      <c r="G560" s="372"/>
      <c r="H560" s="646">
        <v>11663486</v>
      </c>
      <c r="I560" s="372"/>
      <c r="J560" s="646">
        <v>1039363</v>
      </c>
      <c r="K560" s="372"/>
      <c r="L560" s="646">
        <v>-119288</v>
      </c>
      <c r="M560" s="372"/>
      <c r="N560" s="647">
        <v>-768</v>
      </c>
      <c r="O560" s="635"/>
      <c r="P560" s="646">
        <v>12582793</v>
      </c>
      <c r="Q560" s="372"/>
      <c r="R560" s="646">
        <v>11936352</v>
      </c>
      <c r="S560" s="626"/>
      <c r="T560" s="626"/>
      <c r="U560" s="626"/>
      <c r="V560" s="696">
        <v>5</v>
      </c>
      <c r="W560" s="696">
        <v>5</v>
      </c>
      <c r="X560" s="696">
        <v>5</v>
      </c>
      <c r="Y560" s="696">
        <v>12</v>
      </c>
      <c r="Z560" s="696">
        <v>5</v>
      </c>
      <c r="AA560" s="696">
        <v>5</v>
      </c>
    </row>
    <row r="561" spans="1:27" ht="15" hidden="1" thickTop="1">
      <c r="A561" s="634">
        <v>36</v>
      </c>
      <c r="B561" s="639"/>
      <c r="C561" s="372"/>
      <c r="D561" s="372"/>
      <c r="E561" s="372"/>
      <c r="F561" s="372"/>
      <c r="G561" s="372"/>
      <c r="H561" s="372" t="s">
        <v>628</v>
      </c>
      <c r="I561" s="372"/>
      <c r="J561" s="372" t="s">
        <v>635</v>
      </c>
      <c r="K561" s="372"/>
      <c r="L561" s="372" t="s">
        <v>635</v>
      </c>
      <c r="M561" s="372"/>
      <c r="N561" s="372" t="s">
        <v>635</v>
      </c>
      <c r="O561" s="635"/>
      <c r="P561" s="372" t="s">
        <v>635</v>
      </c>
      <c r="Q561" s="372"/>
      <c r="R561" s="372" t="s">
        <v>635</v>
      </c>
      <c r="S561" s="626"/>
      <c r="T561" s="626"/>
      <c r="U561" s="626"/>
      <c r="V561" s="697">
        <v>0</v>
      </c>
      <c r="W561" s="697">
        <v>0</v>
      </c>
      <c r="X561" s="697">
        <v>0</v>
      </c>
      <c r="Y561" s="697">
        <v>0</v>
      </c>
      <c r="Z561" s="697">
        <v>0</v>
      </c>
      <c r="AA561" s="697">
        <v>0</v>
      </c>
    </row>
    <row r="562" spans="1:27" hidden="1">
      <c r="A562" s="634">
        <v>37</v>
      </c>
      <c r="B562" s="639"/>
      <c r="C562" s="372"/>
      <c r="D562" s="372"/>
      <c r="E562" s="372"/>
      <c r="F562" s="372"/>
      <c r="G562" s="372"/>
      <c r="H562" s="372" t="s">
        <v>628</v>
      </c>
      <c r="I562" s="372"/>
      <c r="J562" s="372" t="s">
        <v>635</v>
      </c>
      <c r="K562" s="372"/>
      <c r="L562" s="372" t="s">
        <v>635</v>
      </c>
      <c r="M562" s="372"/>
      <c r="N562" s="372" t="s">
        <v>635</v>
      </c>
      <c r="O562" s="635"/>
      <c r="P562" s="372" t="s">
        <v>635</v>
      </c>
      <c r="Q562" s="372"/>
      <c r="R562" s="372" t="s">
        <v>635</v>
      </c>
      <c r="S562" s="626"/>
      <c r="T562" s="626"/>
      <c r="U562" s="626"/>
      <c r="V562" s="697">
        <v>0</v>
      </c>
      <c r="W562" s="697">
        <v>0</v>
      </c>
      <c r="X562" s="697">
        <v>0</v>
      </c>
      <c r="Y562" s="697">
        <v>0</v>
      </c>
      <c r="Z562" s="697">
        <v>0</v>
      </c>
      <c r="AA562" s="697">
        <v>0</v>
      </c>
    </row>
    <row r="563" spans="1:27" hidden="1">
      <c r="A563" s="634">
        <v>38</v>
      </c>
      <c r="B563" s="639"/>
      <c r="C563" s="372"/>
      <c r="D563" s="372"/>
      <c r="E563" s="372"/>
      <c r="F563" s="372"/>
      <c r="G563" s="372"/>
      <c r="H563" s="372"/>
      <c r="I563" s="372"/>
      <c r="J563" s="372"/>
      <c r="K563" s="372"/>
      <c r="L563" s="372"/>
      <c r="M563" s="372"/>
      <c r="N563" s="372"/>
      <c r="O563" s="635"/>
      <c r="P563" s="372"/>
      <c r="Q563" s="372"/>
      <c r="R563" s="372"/>
      <c r="S563" s="626"/>
      <c r="T563" s="626"/>
      <c r="U563" s="626"/>
      <c r="V563" s="697">
        <v>0</v>
      </c>
      <c r="W563" s="697">
        <v>0</v>
      </c>
      <c r="X563" s="697">
        <v>0</v>
      </c>
      <c r="Y563" s="697">
        <v>0</v>
      </c>
      <c r="Z563" s="697">
        <v>0</v>
      </c>
      <c r="AA563" s="697">
        <v>0</v>
      </c>
    </row>
    <row r="564" spans="1:27" hidden="1">
      <c r="A564" s="634">
        <v>39</v>
      </c>
      <c r="B564" s="644"/>
      <c r="C564" s="372"/>
      <c r="D564" s="372"/>
      <c r="E564" s="372"/>
      <c r="F564" s="372"/>
      <c r="G564" s="372"/>
      <c r="H564" s="372"/>
      <c r="I564" s="372"/>
      <c r="J564" s="372"/>
      <c r="K564" s="372"/>
      <c r="L564" s="372"/>
      <c r="M564" s="372"/>
      <c r="N564" s="372"/>
      <c r="O564" s="372"/>
      <c r="P564" s="372"/>
      <c r="Q564" s="372"/>
      <c r="R564" s="372"/>
      <c r="S564" s="626"/>
      <c r="T564" s="626"/>
      <c r="U564" s="626"/>
      <c r="V564" s="697">
        <v>0</v>
      </c>
      <c r="W564" s="697">
        <v>0</v>
      </c>
      <c r="X564" s="697">
        <v>0</v>
      </c>
      <c r="Y564" s="697">
        <v>0</v>
      </c>
      <c r="Z564" s="697">
        <v>0</v>
      </c>
      <c r="AA564" s="697">
        <v>0</v>
      </c>
    </row>
    <row r="565" spans="1:27" hidden="1">
      <c r="A565" s="634">
        <v>40</v>
      </c>
      <c r="B565" s="644"/>
      <c r="C565" s="372"/>
      <c r="D565" s="372"/>
      <c r="E565" s="372"/>
      <c r="F565" s="372"/>
      <c r="G565" s="372"/>
      <c r="H565" s="372"/>
      <c r="I565" s="372"/>
      <c r="J565" s="372"/>
      <c r="K565" s="372"/>
      <c r="L565" s="372"/>
      <c r="M565" s="372"/>
      <c r="N565" s="372"/>
      <c r="O565" s="635"/>
      <c r="P565" s="372"/>
      <c r="Q565" s="372"/>
      <c r="R565" s="372"/>
      <c r="S565" s="626"/>
      <c r="T565" s="626"/>
      <c r="U565" s="626"/>
      <c r="V565" s="697">
        <v>0</v>
      </c>
      <c r="W565" s="697">
        <v>0</v>
      </c>
      <c r="X565" s="697">
        <v>0</v>
      </c>
      <c r="Y565" s="697">
        <v>0</v>
      </c>
      <c r="Z565" s="697">
        <v>0</v>
      </c>
      <c r="AA565" s="697">
        <v>0</v>
      </c>
    </row>
    <row r="566" spans="1:27" hidden="1">
      <c r="A566" s="634">
        <v>41</v>
      </c>
      <c r="B566" s="644"/>
      <c r="C566" s="372"/>
      <c r="D566" s="372"/>
      <c r="E566" s="372"/>
      <c r="F566" s="372"/>
      <c r="G566" s="372"/>
      <c r="H566" s="372"/>
      <c r="I566" s="372"/>
      <c r="J566" s="372"/>
      <c r="K566" s="372"/>
      <c r="L566" s="372"/>
      <c r="M566" s="372"/>
      <c r="N566" s="372"/>
      <c r="O566" s="372"/>
      <c r="P566" s="372"/>
      <c r="Q566" s="372"/>
      <c r="R566" s="372"/>
      <c r="S566" s="626"/>
      <c r="T566" s="626"/>
      <c r="U566" s="626"/>
      <c r="V566" s="697">
        <v>0</v>
      </c>
      <c r="W566" s="697">
        <v>0</v>
      </c>
      <c r="X566" s="697">
        <v>0</v>
      </c>
      <c r="Y566" s="697">
        <v>0</v>
      </c>
      <c r="Z566" s="697">
        <v>0</v>
      </c>
      <c r="AA566" s="697">
        <v>0</v>
      </c>
    </row>
    <row r="567" spans="1:27" hidden="1">
      <c r="A567" s="634">
        <v>42</v>
      </c>
      <c r="B567" s="644"/>
      <c r="C567" s="372"/>
      <c r="D567" s="372"/>
      <c r="E567" s="372"/>
      <c r="F567" s="372"/>
      <c r="G567" s="372"/>
      <c r="H567" s="372"/>
      <c r="I567" s="372"/>
      <c r="J567" s="372"/>
      <c r="K567" s="372"/>
      <c r="L567" s="372"/>
      <c r="M567" s="372"/>
      <c r="N567" s="372"/>
      <c r="O567" s="635"/>
      <c r="P567" s="372"/>
      <c r="Q567" s="372"/>
      <c r="R567" s="372"/>
      <c r="S567" s="626"/>
      <c r="T567" s="626"/>
      <c r="U567" s="626"/>
      <c r="V567" s="697">
        <v>0</v>
      </c>
      <c r="W567" s="697">
        <v>0</v>
      </c>
      <c r="X567" s="697">
        <v>0</v>
      </c>
      <c r="Y567" s="697">
        <v>0</v>
      </c>
      <c r="Z567" s="697">
        <v>0</v>
      </c>
      <c r="AA567" s="697">
        <v>0</v>
      </c>
    </row>
    <row r="568" spans="1:27" hidden="1">
      <c r="A568" s="634">
        <v>43</v>
      </c>
      <c r="B568" s="644"/>
      <c r="C568" s="372"/>
      <c r="D568" s="372"/>
      <c r="E568" s="372"/>
      <c r="F568" s="372"/>
      <c r="G568" s="372"/>
      <c r="H568" s="372"/>
      <c r="I568" s="372"/>
      <c r="J568" s="372"/>
      <c r="K568" s="372"/>
      <c r="L568" s="372"/>
      <c r="M568" s="372"/>
      <c r="N568" s="372"/>
      <c r="O568" s="635"/>
      <c r="P568" s="372"/>
      <c r="Q568" s="372"/>
      <c r="R568" s="372"/>
      <c r="S568" s="626"/>
      <c r="T568" s="626"/>
      <c r="U568" s="626"/>
      <c r="V568" s="697">
        <v>0</v>
      </c>
      <c r="W568" s="697">
        <v>0</v>
      </c>
      <c r="X568" s="697">
        <v>0</v>
      </c>
      <c r="Y568" s="697">
        <v>0</v>
      </c>
      <c r="Z568" s="697">
        <v>0</v>
      </c>
      <c r="AA568" s="697">
        <v>0</v>
      </c>
    </row>
    <row r="569" spans="1:27" ht="15" hidden="1" thickBot="1">
      <c r="A569" s="637">
        <v>44</v>
      </c>
      <c r="B569" s="660" t="s">
        <v>67</v>
      </c>
      <c r="C569" s="660"/>
      <c r="D569" s="625"/>
      <c r="E569" s="625"/>
      <c r="F569" s="625"/>
      <c r="G569" s="625"/>
      <c r="H569" s="625"/>
      <c r="I569" s="625"/>
      <c r="J569" s="625"/>
      <c r="K569" s="625"/>
      <c r="L569" s="625"/>
      <c r="M569" s="625"/>
      <c r="N569" s="625"/>
      <c r="O569" s="638"/>
      <c r="P569" s="625"/>
      <c r="Q569" s="625"/>
      <c r="R569" s="625"/>
      <c r="S569" s="626"/>
      <c r="T569" s="626"/>
      <c r="U569" s="626"/>
      <c r="V569" s="697">
        <v>0</v>
      </c>
      <c r="W569" s="697">
        <v>0</v>
      </c>
      <c r="X569" s="697">
        <v>0</v>
      </c>
      <c r="Y569" s="697">
        <v>0</v>
      </c>
      <c r="Z569" s="697">
        <v>0</v>
      </c>
      <c r="AA569" s="697">
        <v>0</v>
      </c>
    </row>
    <row r="570" spans="1:27" hidden="1">
      <c r="A570" s="664" t="s">
        <v>643</v>
      </c>
      <c r="B570" s="664"/>
      <c r="C570" s="372"/>
      <c r="D570" s="372"/>
      <c r="E570" s="664"/>
      <c r="F570" s="664"/>
      <c r="G570" s="664"/>
      <c r="H570" s="664"/>
      <c r="I570" s="664"/>
      <c r="J570" s="664"/>
      <c r="K570" s="664"/>
      <c r="L570" s="664"/>
      <c r="M570" s="664"/>
      <c r="N570" s="664"/>
      <c r="O570" s="635"/>
      <c r="P570" s="372" t="s">
        <v>644</v>
      </c>
      <c r="Q570" s="664"/>
      <c r="R570" s="664"/>
      <c r="S570" s="626"/>
      <c r="T570" s="626"/>
      <c r="U570" s="626"/>
      <c r="V570" s="697">
        <v>0</v>
      </c>
      <c r="W570" s="697">
        <v>0</v>
      </c>
      <c r="X570" s="697">
        <v>0</v>
      </c>
      <c r="Y570" s="697">
        <v>0</v>
      </c>
      <c r="Z570" s="697">
        <v>0</v>
      </c>
      <c r="AA570" s="697">
        <v>0</v>
      </c>
    </row>
    <row r="571" spans="1:27" s="670" customFormat="1" hidden="1">
      <c r="A571" s="667"/>
      <c r="B571" s="667"/>
      <c r="C571" s="667"/>
      <c r="D571" s="667"/>
      <c r="E571" s="667"/>
      <c r="F571" s="667"/>
      <c r="G571" s="667"/>
      <c r="H571" s="667"/>
      <c r="I571" s="667"/>
      <c r="J571" s="667"/>
      <c r="K571" s="667"/>
      <c r="L571" s="667"/>
      <c r="M571" s="667"/>
      <c r="N571" s="667"/>
      <c r="O571" s="668"/>
      <c r="P571" s="667"/>
      <c r="Q571" s="667"/>
      <c r="R571" s="667"/>
      <c r="S571" s="669" t="s">
        <v>249</v>
      </c>
      <c r="T571" s="669" t="s">
        <v>249</v>
      </c>
      <c r="U571" s="669"/>
      <c r="V571" s="693"/>
      <c r="W571" s="693"/>
      <c r="X571" s="693"/>
      <c r="Y571" s="693"/>
      <c r="Z571" s="693"/>
      <c r="AA571" s="693"/>
    </row>
    <row r="572" spans="1:27" s="670" customFormat="1" hidden="1">
      <c r="A572" s="667"/>
      <c r="B572" s="667"/>
      <c r="C572" s="667"/>
      <c r="D572" s="667"/>
      <c r="E572" s="667"/>
      <c r="F572" s="667"/>
      <c r="G572" s="667"/>
      <c r="H572" s="667"/>
      <c r="I572" s="667"/>
      <c r="J572" s="667"/>
      <c r="K572" s="667"/>
      <c r="L572" s="667"/>
      <c r="M572" s="667"/>
      <c r="N572" s="667"/>
      <c r="O572" s="668"/>
      <c r="P572" s="667"/>
      <c r="Q572" s="667"/>
      <c r="R572" s="667"/>
      <c r="S572" s="669" t="s">
        <v>249</v>
      </c>
      <c r="T572" s="669" t="s">
        <v>249</v>
      </c>
      <c r="U572" s="669"/>
      <c r="V572" s="693"/>
      <c r="W572" s="693"/>
      <c r="X572" s="693"/>
      <c r="Y572" s="693"/>
      <c r="Z572" s="693"/>
      <c r="AA572" s="693"/>
    </row>
    <row r="573" spans="1:27" ht="15" thickBot="1">
      <c r="A573" s="662" t="s">
        <v>604</v>
      </c>
      <c r="B573" s="662"/>
      <c r="C573" s="622"/>
      <c r="D573" s="622"/>
      <c r="E573" s="622"/>
      <c r="F573" s="622"/>
      <c r="G573" s="622" t="s">
        <v>605</v>
      </c>
      <c r="H573" s="622"/>
      <c r="I573" s="622"/>
      <c r="J573" s="622"/>
      <c r="K573" s="622"/>
      <c r="L573" s="622"/>
      <c r="M573" s="622"/>
      <c r="N573" s="622"/>
      <c r="O573" s="623"/>
      <c r="P573" s="624"/>
      <c r="Q573" s="625"/>
      <c r="R573" s="625" t="s">
        <v>606</v>
      </c>
    </row>
    <row r="574" spans="1:27">
      <c r="A574" s="663" t="s">
        <v>4</v>
      </c>
      <c r="B574" s="663"/>
      <c r="C574" s="426"/>
      <c r="D574" s="426"/>
      <c r="E574" s="628" t="s">
        <v>553</v>
      </c>
      <c r="F574" s="621" t="s">
        <v>607</v>
      </c>
      <c r="G574" s="663"/>
      <c r="H574" s="663"/>
      <c r="I574" s="663"/>
      <c r="J574" s="663"/>
      <c r="K574" s="629"/>
      <c r="L574" s="629"/>
      <c r="M574" s="629"/>
      <c r="N574" s="629"/>
      <c r="O574" s="630"/>
      <c r="P574" s="629" t="s">
        <v>608</v>
      </c>
      <c r="Q574" s="664"/>
      <c r="R574" s="664"/>
    </row>
    <row r="575" spans="1:27">
      <c r="A575" s="426"/>
      <c r="B575" s="426"/>
      <c r="C575" s="426"/>
      <c r="D575" s="426"/>
      <c r="E575" s="426"/>
      <c r="F575" s="426" t="s">
        <v>609</v>
      </c>
      <c r="G575" s="426"/>
      <c r="H575" s="426"/>
      <c r="I575" s="426"/>
      <c r="J575" s="426"/>
      <c r="K575" s="621"/>
      <c r="L575" s="621"/>
      <c r="M575" s="426"/>
      <c r="N575" s="426"/>
      <c r="O575" s="632" t="s">
        <v>12</v>
      </c>
      <c r="P575" s="633" t="s">
        <v>9</v>
      </c>
      <c r="Q575" s="665"/>
      <c r="R575" s="665"/>
    </row>
    <row r="576" spans="1:27">
      <c r="A576" s="426" t="s">
        <v>10</v>
      </c>
      <c r="B576" s="426"/>
      <c r="C576" s="426"/>
      <c r="D576" s="426"/>
      <c r="E576" s="426"/>
      <c r="F576" s="426"/>
      <c r="G576" s="426"/>
      <c r="H576" s="426"/>
      <c r="I576" s="426"/>
      <c r="J576" s="426"/>
      <c r="K576" s="621"/>
      <c r="L576" s="621"/>
      <c r="M576" s="426"/>
      <c r="N576" s="426"/>
      <c r="O576" s="628"/>
      <c r="P576" s="621" t="s">
        <v>11</v>
      </c>
      <c r="Q576" s="372"/>
      <c r="R576" s="372"/>
    </row>
    <row r="577" spans="1:18">
      <c r="A577" s="426"/>
      <c r="B577" s="426"/>
      <c r="C577" s="426"/>
      <c r="D577" s="426"/>
      <c r="E577" s="426"/>
      <c r="F577" s="426"/>
      <c r="G577" s="426"/>
      <c r="H577" s="426"/>
      <c r="I577" s="426"/>
      <c r="J577" s="426"/>
      <c r="K577" s="621"/>
      <c r="L577" s="621"/>
      <c r="M577" s="426"/>
      <c r="N577" s="426"/>
      <c r="O577" s="628"/>
      <c r="P577" s="621" t="s">
        <v>13</v>
      </c>
      <c r="Q577" s="372"/>
      <c r="R577" s="372"/>
    </row>
    <row r="578" spans="1:18">
      <c r="A578" s="426"/>
      <c r="B578" s="426"/>
      <c r="C578" s="426"/>
      <c r="D578" s="426"/>
      <c r="E578" s="426"/>
      <c r="F578" s="426"/>
      <c r="G578" s="426"/>
      <c r="H578" s="426"/>
      <c r="I578" s="426"/>
      <c r="J578" s="426"/>
      <c r="K578" s="621"/>
      <c r="L578" s="621"/>
      <c r="M578" s="426"/>
      <c r="N578" s="426"/>
      <c r="O578" s="628"/>
      <c r="P578" s="621" t="s">
        <v>610</v>
      </c>
      <c r="Q578" s="372"/>
      <c r="R578" s="372"/>
    </row>
    <row r="579" spans="1:18" ht="15" thickBot="1">
      <c r="A579" s="662" t="s">
        <v>611</v>
      </c>
      <c r="B579" s="662"/>
      <c r="C579" s="622"/>
      <c r="D579" s="622"/>
      <c r="E579" s="622"/>
      <c r="F579" s="622"/>
      <c r="G579" s="622"/>
      <c r="H579" s="624" t="s">
        <v>612</v>
      </c>
      <c r="I579" s="622"/>
      <c r="J579" s="622"/>
      <c r="K579" s="622"/>
      <c r="L579" s="622"/>
      <c r="M579" s="622"/>
      <c r="N579" s="622"/>
      <c r="O579" s="623"/>
      <c r="P579" s="622" t="s">
        <v>249</v>
      </c>
      <c r="Q579" s="625"/>
      <c r="R579" s="625"/>
    </row>
    <row r="580" spans="1:18">
      <c r="A580" s="664"/>
      <c r="B580" s="664"/>
      <c r="C580" s="634"/>
      <c r="D580" s="634"/>
      <c r="E580" s="634"/>
      <c r="F580" s="634"/>
      <c r="G580" s="634"/>
      <c r="H580" s="634"/>
      <c r="I580" s="634"/>
      <c r="J580" s="634"/>
      <c r="K580" s="634"/>
      <c r="L580" s="634"/>
      <c r="M580" s="634"/>
      <c r="N580" s="634"/>
      <c r="O580" s="635"/>
      <c r="P580" s="634"/>
      <c r="Q580" s="634"/>
      <c r="R580" s="634"/>
    </row>
    <row r="581" spans="1:18">
      <c r="A581" s="372"/>
      <c r="B581" s="372"/>
      <c r="C581" s="634">
        <v>-1</v>
      </c>
      <c r="D581" s="634">
        <v>-2</v>
      </c>
      <c r="E581" s="634"/>
      <c r="F581" s="634">
        <v>-3</v>
      </c>
      <c r="G581" s="634"/>
      <c r="H581" s="634">
        <v>-4</v>
      </c>
      <c r="I581" s="634"/>
      <c r="J581" s="634">
        <v>-5</v>
      </c>
      <c r="K581" s="634"/>
      <c r="L581" s="634">
        <v>-6</v>
      </c>
      <c r="M581" s="634"/>
      <c r="N581" s="634">
        <v>-7</v>
      </c>
      <c r="O581" s="635"/>
      <c r="P581" s="634">
        <v>-8</v>
      </c>
      <c r="Q581" s="634"/>
      <c r="R581" s="634">
        <v>-9</v>
      </c>
    </row>
    <row r="582" spans="1:18">
      <c r="A582" s="372"/>
      <c r="B582" s="372"/>
      <c r="C582" s="634" t="s">
        <v>613</v>
      </c>
      <c r="D582" s="634" t="s">
        <v>613</v>
      </c>
      <c r="E582" s="372"/>
      <c r="F582" s="634" t="s">
        <v>37</v>
      </c>
      <c r="G582" s="634"/>
      <c r="H582" s="634" t="s">
        <v>30</v>
      </c>
      <c r="I582" s="634"/>
      <c r="J582" s="634" t="s">
        <v>45</v>
      </c>
      <c r="K582" s="634"/>
      <c r="L582" s="634" t="s">
        <v>45</v>
      </c>
      <c r="M582" s="634"/>
      <c r="N582" s="372"/>
      <c r="O582" s="635"/>
      <c r="P582" s="634" t="s">
        <v>30</v>
      </c>
      <c r="Q582" s="372"/>
      <c r="R582" s="372"/>
    </row>
    <row r="583" spans="1:18">
      <c r="A583" s="634" t="s">
        <v>35</v>
      </c>
      <c r="B583" s="634"/>
      <c r="C583" s="634" t="s">
        <v>614</v>
      </c>
      <c r="D583" s="634" t="s">
        <v>614</v>
      </c>
      <c r="E583" s="634"/>
      <c r="F583" s="634" t="s">
        <v>615</v>
      </c>
      <c r="G583" s="634"/>
      <c r="H583" s="634" t="s">
        <v>616</v>
      </c>
      <c r="I583" s="634"/>
      <c r="J583" s="634" t="s">
        <v>30</v>
      </c>
      <c r="K583" s="634"/>
      <c r="L583" s="634" t="s">
        <v>30</v>
      </c>
      <c r="M583" s="636"/>
      <c r="N583" s="634" t="s">
        <v>178</v>
      </c>
      <c r="O583" s="635"/>
      <c r="P583" s="634" t="s">
        <v>616</v>
      </c>
      <c r="Q583" s="634"/>
      <c r="R583" s="634" t="s">
        <v>353</v>
      </c>
    </row>
    <row r="584" spans="1:18" ht="15" thickBot="1">
      <c r="A584" s="637" t="s">
        <v>46</v>
      </c>
      <c r="B584" s="637"/>
      <c r="C584" s="637" t="s">
        <v>371</v>
      </c>
      <c r="D584" s="637" t="s">
        <v>617</v>
      </c>
      <c r="E584" s="637"/>
      <c r="F584" s="637" t="s">
        <v>618</v>
      </c>
      <c r="G584" s="637"/>
      <c r="H584" s="637" t="s">
        <v>619</v>
      </c>
      <c r="I584" s="637"/>
      <c r="J584" s="637" t="s">
        <v>620</v>
      </c>
      <c r="K584" s="637"/>
      <c r="L584" s="637" t="s">
        <v>621</v>
      </c>
      <c r="M584" s="637"/>
      <c r="N584" s="637" t="s">
        <v>622</v>
      </c>
      <c r="O584" s="638"/>
      <c r="P584" s="637" t="s">
        <v>623</v>
      </c>
      <c r="Q584" s="637"/>
      <c r="R584" s="637" t="s">
        <v>369</v>
      </c>
    </row>
    <row r="585" spans="1:18">
      <c r="A585" s="634">
        <v>1</v>
      </c>
      <c r="B585" s="639"/>
      <c r="C585" s="372"/>
      <c r="D585" s="372"/>
      <c r="E585" s="664"/>
      <c r="F585" s="664"/>
      <c r="G585" s="664"/>
      <c r="H585" s="664"/>
      <c r="I585" s="664"/>
      <c r="J585" s="664"/>
      <c r="K585" s="664"/>
      <c r="L585" s="664"/>
      <c r="M585" s="372"/>
      <c r="N585" s="634"/>
      <c r="O585" s="635"/>
      <c r="P585" s="372"/>
      <c r="Q585" s="664"/>
      <c r="R585" s="664"/>
    </row>
    <row r="586" spans="1:18">
      <c r="A586" s="634">
        <v>2</v>
      </c>
      <c r="B586" s="639"/>
      <c r="C586" s="372"/>
      <c r="D586" s="372" t="s">
        <v>624</v>
      </c>
      <c r="E586" s="372"/>
      <c r="F586" s="634"/>
      <c r="G586" s="372"/>
      <c r="H586" s="634"/>
      <c r="I586" s="372"/>
      <c r="J586" s="634"/>
      <c r="K586" s="372"/>
      <c r="L586" s="634"/>
      <c r="M586" s="372"/>
      <c r="N586" s="634"/>
      <c r="O586" s="635"/>
      <c r="P586" s="634"/>
      <c r="Q586" s="372"/>
      <c r="R586" s="634"/>
    </row>
    <row r="587" spans="1:18">
      <c r="A587" s="634">
        <v>3</v>
      </c>
      <c r="B587" s="639"/>
      <c r="C587" s="372"/>
      <c r="D587" s="372" t="s">
        <v>625</v>
      </c>
      <c r="E587" s="372"/>
      <c r="F587" s="372"/>
      <c r="G587" s="372"/>
      <c r="H587" s="372"/>
      <c r="I587" s="372"/>
      <c r="J587" s="372"/>
      <c r="K587" s="372"/>
      <c r="L587" s="372"/>
      <c r="M587" s="372"/>
      <c r="N587" s="372"/>
      <c r="O587" s="635"/>
      <c r="P587" s="372"/>
      <c r="Q587" s="372"/>
      <c r="R587" s="372"/>
    </row>
    <row r="588" spans="1:18">
      <c r="A588" s="634">
        <v>4</v>
      </c>
      <c r="B588" s="639"/>
      <c r="C588" s="372"/>
      <c r="D588" s="372" t="s">
        <v>626</v>
      </c>
      <c r="E588" s="372"/>
      <c r="F588" s="372"/>
      <c r="G588" s="372"/>
      <c r="H588" s="372"/>
      <c r="I588" s="372"/>
      <c r="J588" s="372"/>
      <c r="K588" s="372"/>
      <c r="L588" s="372"/>
      <c r="M588" s="372"/>
      <c r="N588" s="372"/>
      <c r="O588" s="635"/>
      <c r="P588" s="372"/>
      <c r="Q588" s="372"/>
      <c r="R588" s="372"/>
    </row>
    <row r="589" spans="1:18">
      <c r="A589" s="634">
        <v>5</v>
      </c>
      <c r="B589" s="639"/>
      <c r="C589" s="634">
        <v>31140</v>
      </c>
      <c r="D589" s="372" t="s">
        <v>627</v>
      </c>
      <c r="E589" s="372"/>
      <c r="F589" s="634">
        <v>2.52</v>
      </c>
      <c r="G589" s="635"/>
      <c r="H589" s="640">
        <v>280964</v>
      </c>
      <c r="I589" s="635"/>
      <c r="J589" s="634" t="s">
        <v>635</v>
      </c>
      <c r="K589" s="372"/>
      <c r="L589" s="634" t="s">
        <v>635</v>
      </c>
      <c r="M589" s="372"/>
      <c r="N589" s="634" t="s">
        <v>635</v>
      </c>
      <c r="O589" s="635"/>
      <c r="P589" s="640">
        <v>280964</v>
      </c>
      <c r="Q589" s="372"/>
      <c r="R589" s="640">
        <v>280964</v>
      </c>
    </row>
    <row r="590" spans="1:18">
      <c r="A590" s="634">
        <v>6</v>
      </c>
      <c r="B590" s="639"/>
      <c r="C590" s="634">
        <v>31240</v>
      </c>
      <c r="D590" s="372" t="s">
        <v>629</v>
      </c>
      <c r="E590" s="372"/>
      <c r="F590" s="634">
        <v>3.81</v>
      </c>
      <c r="G590" s="635"/>
      <c r="H590" s="640">
        <v>197729</v>
      </c>
      <c r="I590" s="635"/>
      <c r="J590" s="640">
        <v>5357</v>
      </c>
      <c r="K590" s="372"/>
      <c r="L590" s="640">
        <v>-1071</v>
      </c>
      <c r="M590" s="372"/>
      <c r="N590" s="634" t="s">
        <v>628</v>
      </c>
      <c r="O590" s="635"/>
      <c r="P590" s="640">
        <v>202014</v>
      </c>
      <c r="Q590" s="372"/>
      <c r="R590" s="640">
        <v>199558</v>
      </c>
    </row>
    <row r="591" spans="1:18">
      <c r="A591" s="634">
        <v>7</v>
      </c>
      <c r="B591" s="639"/>
      <c r="C591" s="634">
        <v>31440</v>
      </c>
      <c r="D591" s="372" t="s">
        <v>630</v>
      </c>
      <c r="E591" s="372"/>
      <c r="F591" s="634">
        <v>3.9</v>
      </c>
      <c r="G591" s="635"/>
      <c r="H591" s="640">
        <v>28786</v>
      </c>
      <c r="I591" s="635"/>
      <c r="J591" s="640">
        <v>5357</v>
      </c>
      <c r="K591" s="372"/>
      <c r="L591" s="640">
        <v>-1071</v>
      </c>
      <c r="M591" s="372"/>
      <c r="N591" s="634" t="s">
        <v>628</v>
      </c>
      <c r="O591" s="635"/>
      <c r="P591" s="640">
        <v>33071</v>
      </c>
      <c r="Q591" s="372"/>
      <c r="R591" s="640">
        <v>30615</v>
      </c>
    </row>
    <row r="592" spans="1:18">
      <c r="A592" s="634">
        <v>8</v>
      </c>
      <c r="B592" s="639"/>
      <c r="C592" s="634">
        <v>31540</v>
      </c>
      <c r="D592" s="372" t="s">
        <v>631</v>
      </c>
      <c r="E592" s="372"/>
      <c r="F592" s="634">
        <v>2.16</v>
      </c>
      <c r="G592" s="635"/>
      <c r="H592" s="640">
        <v>43980</v>
      </c>
      <c r="I592" s="635"/>
      <c r="J592" s="634" t="s">
        <v>635</v>
      </c>
      <c r="K592" s="372"/>
      <c r="L592" s="634" t="s">
        <v>635</v>
      </c>
      <c r="M592" s="372"/>
      <c r="N592" s="634" t="s">
        <v>635</v>
      </c>
      <c r="O592" s="635"/>
      <c r="P592" s="640">
        <v>43980</v>
      </c>
      <c r="Q592" s="372"/>
      <c r="R592" s="640">
        <v>43980</v>
      </c>
    </row>
    <row r="593" spans="1:18">
      <c r="A593" s="634">
        <v>9</v>
      </c>
      <c r="B593" s="639"/>
      <c r="C593" s="634">
        <v>31640</v>
      </c>
      <c r="D593" s="372" t="s">
        <v>632</v>
      </c>
      <c r="E593" s="372"/>
      <c r="F593" s="634">
        <v>2.02</v>
      </c>
      <c r="G593" s="635"/>
      <c r="H593" s="640">
        <v>26448</v>
      </c>
      <c r="I593" s="635"/>
      <c r="J593" s="634" t="s">
        <v>635</v>
      </c>
      <c r="K593" s="372"/>
      <c r="L593" s="634" t="s">
        <v>635</v>
      </c>
      <c r="M593" s="372"/>
      <c r="N593" s="634" t="s">
        <v>635</v>
      </c>
      <c r="O593" s="635"/>
      <c r="P593" s="640">
        <v>26448</v>
      </c>
      <c r="Q593" s="372"/>
      <c r="R593" s="640">
        <v>26448</v>
      </c>
    </row>
    <row r="594" spans="1:18">
      <c r="A594" s="634">
        <v>10</v>
      </c>
      <c r="B594" s="639"/>
      <c r="C594" s="634"/>
      <c r="D594" s="372" t="s">
        <v>633</v>
      </c>
      <c r="E594" s="372"/>
      <c r="F594" s="372"/>
      <c r="G594" s="372"/>
      <c r="H594" s="642">
        <v>577907</v>
      </c>
      <c r="I594" s="635"/>
      <c r="J594" s="642">
        <v>10714</v>
      </c>
      <c r="K594" s="635"/>
      <c r="L594" s="642">
        <v>-2143</v>
      </c>
      <c r="M594" s="635"/>
      <c r="N594" s="643" t="s">
        <v>628</v>
      </c>
      <c r="O594" s="635"/>
      <c r="P594" s="642">
        <v>586478</v>
      </c>
      <c r="Q594" s="635"/>
      <c r="R594" s="642">
        <v>581564</v>
      </c>
    </row>
    <row r="595" spans="1:18">
      <c r="A595" s="634">
        <v>11</v>
      </c>
      <c r="B595" s="639"/>
      <c r="C595" s="634"/>
      <c r="D595" s="372"/>
      <c r="E595" s="372"/>
      <c r="F595" s="372"/>
      <c r="G595" s="372"/>
      <c r="H595" s="372"/>
      <c r="I595" s="635"/>
      <c r="J595" s="635"/>
      <c r="K595" s="635"/>
      <c r="L595" s="635"/>
      <c r="M595" s="635"/>
      <c r="N595" s="635"/>
      <c r="O595" s="635"/>
      <c r="P595" s="635"/>
      <c r="Q595" s="635"/>
      <c r="R595" s="635"/>
    </row>
    <row r="596" spans="1:18">
      <c r="A596" s="634">
        <v>12</v>
      </c>
      <c r="B596" s="639"/>
      <c r="C596" s="634"/>
      <c r="D596" s="372" t="s">
        <v>634</v>
      </c>
      <c r="E596" s="372"/>
      <c r="F596" s="372"/>
      <c r="G596" s="372"/>
      <c r="H596" s="372"/>
      <c r="I596" s="635"/>
      <c r="J596" s="635"/>
      <c r="K596" s="635"/>
      <c r="L596" s="635"/>
      <c r="M596" s="635"/>
      <c r="N596" s="635"/>
      <c r="O596" s="635"/>
      <c r="P596" s="635"/>
      <c r="Q596" s="635"/>
      <c r="R596" s="635"/>
    </row>
    <row r="597" spans="1:18">
      <c r="A597" s="634">
        <v>13</v>
      </c>
      <c r="B597" s="639"/>
      <c r="C597" s="634">
        <v>31141</v>
      </c>
      <c r="D597" s="372" t="s">
        <v>627</v>
      </c>
      <c r="E597" s="372"/>
      <c r="F597" s="634">
        <v>0</v>
      </c>
      <c r="G597" s="635"/>
      <c r="H597" s="634" t="s">
        <v>628</v>
      </c>
      <c r="I597" s="635"/>
      <c r="J597" s="634" t="s">
        <v>635</v>
      </c>
      <c r="K597" s="372"/>
      <c r="L597" s="634" t="s">
        <v>635</v>
      </c>
      <c r="M597" s="372"/>
      <c r="N597" s="634" t="s">
        <v>635</v>
      </c>
      <c r="O597" s="635"/>
      <c r="P597" s="634" t="s">
        <v>635</v>
      </c>
      <c r="Q597" s="372"/>
      <c r="R597" s="634" t="s">
        <v>635</v>
      </c>
    </row>
    <row r="598" spans="1:18">
      <c r="A598" s="634">
        <v>14</v>
      </c>
      <c r="B598" s="639"/>
      <c r="C598" s="634">
        <v>31241</v>
      </c>
      <c r="D598" s="372" t="s">
        <v>629</v>
      </c>
      <c r="E598" s="372"/>
      <c r="F598" s="634">
        <v>0</v>
      </c>
      <c r="G598" s="635"/>
      <c r="H598" s="634" t="s">
        <v>628</v>
      </c>
      <c r="I598" s="635"/>
      <c r="J598" s="634" t="s">
        <v>635</v>
      </c>
      <c r="K598" s="372"/>
      <c r="L598" s="634" t="s">
        <v>635</v>
      </c>
      <c r="M598" s="372"/>
      <c r="N598" s="634" t="s">
        <v>635</v>
      </c>
      <c r="O598" s="635"/>
      <c r="P598" s="634" t="s">
        <v>635</v>
      </c>
      <c r="Q598" s="372"/>
      <c r="R598" s="634" t="s">
        <v>635</v>
      </c>
    </row>
    <row r="599" spans="1:18">
      <c r="A599" s="634">
        <v>15</v>
      </c>
      <c r="B599" s="639"/>
      <c r="C599" s="634">
        <v>31441</v>
      </c>
      <c r="D599" s="372" t="s">
        <v>630</v>
      </c>
      <c r="E599" s="372"/>
      <c r="F599" s="634">
        <v>0</v>
      </c>
      <c r="G599" s="635"/>
      <c r="H599" s="634" t="s">
        <v>628</v>
      </c>
      <c r="I599" s="635"/>
      <c r="J599" s="634" t="s">
        <v>635</v>
      </c>
      <c r="K599" s="372"/>
      <c r="L599" s="634" t="s">
        <v>635</v>
      </c>
      <c r="M599" s="372"/>
      <c r="N599" s="634" t="s">
        <v>635</v>
      </c>
      <c r="O599" s="635"/>
      <c r="P599" s="634" t="s">
        <v>635</v>
      </c>
      <c r="Q599" s="372"/>
      <c r="R599" s="634" t="s">
        <v>635</v>
      </c>
    </row>
    <row r="600" spans="1:18">
      <c r="A600" s="634">
        <v>16</v>
      </c>
      <c r="B600" s="639"/>
      <c r="C600" s="634">
        <v>31541</v>
      </c>
      <c r="D600" s="372" t="s">
        <v>631</v>
      </c>
      <c r="E600" s="372"/>
      <c r="F600" s="634">
        <v>0</v>
      </c>
      <c r="G600" s="635"/>
      <c r="H600" s="634" t="s">
        <v>628</v>
      </c>
      <c r="I600" s="635"/>
      <c r="J600" s="634" t="s">
        <v>635</v>
      </c>
      <c r="K600" s="372"/>
      <c r="L600" s="634" t="s">
        <v>635</v>
      </c>
      <c r="M600" s="372"/>
      <c r="N600" s="634" t="s">
        <v>635</v>
      </c>
      <c r="O600" s="635"/>
      <c r="P600" s="634" t="s">
        <v>635</v>
      </c>
      <c r="Q600" s="372"/>
      <c r="R600" s="634" t="s">
        <v>635</v>
      </c>
    </row>
    <row r="601" spans="1:18">
      <c r="A601" s="634">
        <v>17</v>
      </c>
      <c r="B601" s="639"/>
      <c r="C601" s="634">
        <v>31641</v>
      </c>
      <c r="D601" s="372" t="s">
        <v>632</v>
      </c>
      <c r="E601" s="372"/>
      <c r="F601" s="634">
        <v>0</v>
      </c>
      <c r="G601" s="635"/>
      <c r="H601" s="634" t="s">
        <v>628</v>
      </c>
      <c r="I601" s="635"/>
      <c r="J601" s="634" t="s">
        <v>635</v>
      </c>
      <c r="K601" s="372"/>
      <c r="L601" s="634" t="s">
        <v>635</v>
      </c>
      <c r="M601" s="372"/>
      <c r="N601" s="634" t="s">
        <v>635</v>
      </c>
      <c r="O601" s="635"/>
      <c r="P601" s="634" t="s">
        <v>635</v>
      </c>
      <c r="Q601" s="372"/>
      <c r="R601" s="634" t="s">
        <v>635</v>
      </c>
    </row>
    <row r="602" spans="1:18">
      <c r="A602" s="634">
        <v>18</v>
      </c>
      <c r="B602" s="639"/>
      <c r="C602" s="634"/>
      <c r="D602" s="372" t="s">
        <v>636</v>
      </c>
      <c r="E602" s="372"/>
      <c r="F602" s="372"/>
      <c r="G602" s="372"/>
      <c r="H602" s="643" t="s">
        <v>628</v>
      </c>
      <c r="I602" s="635"/>
      <c r="J602" s="643" t="s">
        <v>635</v>
      </c>
      <c r="K602" s="635"/>
      <c r="L602" s="643" t="s">
        <v>635</v>
      </c>
      <c r="M602" s="635"/>
      <c r="N602" s="643" t="s">
        <v>635</v>
      </c>
      <c r="O602" s="635"/>
      <c r="P602" s="643" t="s">
        <v>635</v>
      </c>
      <c r="Q602" s="635"/>
      <c r="R602" s="643" t="s">
        <v>635</v>
      </c>
    </row>
    <row r="603" spans="1:18">
      <c r="A603" s="634">
        <v>19</v>
      </c>
      <c r="B603" s="639"/>
      <c r="C603" s="372"/>
      <c r="D603" s="372"/>
      <c r="E603" s="372"/>
      <c r="F603" s="372"/>
      <c r="G603" s="372"/>
      <c r="H603" s="372"/>
      <c r="I603" s="372"/>
      <c r="J603" s="372"/>
      <c r="K603" s="372"/>
      <c r="L603" s="372"/>
      <c r="M603" s="372"/>
      <c r="N603" s="372"/>
      <c r="O603" s="635"/>
      <c r="P603" s="372"/>
      <c r="Q603" s="372"/>
      <c r="R603" s="372"/>
    </row>
    <row r="604" spans="1:18">
      <c r="A604" s="634">
        <v>20</v>
      </c>
      <c r="B604" s="639"/>
      <c r="C604" s="634"/>
      <c r="D604" s="372" t="s">
        <v>637</v>
      </c>
      <c r="E604" s="372"/>
      <c r="F604" s="372"/>
      <c r="G604" s="372"/>
      <c r="H604" s="372"/>
      <c r="I604" s="635"/>
      <c r="J604" s="635"/>
      <c r="K604" s="635"/>
      <c r="L604" s="635"/>
      <c r="M604" s="635"/>
      <c r="N604" s="635"/>
      <c r="O604" s="635"/>
      <c r="P604" s="635"/>
      <c r="Q604" s="635"/>
      <c r="R604" s="635"/>
    </row>
    <row r="605" spans="1:18">
      <c r="A605" s="634">
        <v>21</v>
      </c>
      <c r="B605" s="639"/>
      <c r="C605" s="634">
        <v>31142</v>
      </c>
      <c r="D605" s="372" t="s">
        <v>627</v>
      </c>
      <c r="E605" s="372"/>
      <c r="F605" s="634">
        <v>0</v>
      </c>
      <c r="G605" s="635"/>
      <c r="H605" s="634" t="s">
        <v>628</v>
      </c>
      <c r="I605" s="635"/>
      <c r="J605" s="634" t="s">
        <v>635</v>
      </c>
      <c r="K605" s="372"/>
      <c r="L605" s="634" t="s">
        <v>635</v>
      </c>
      <c r="M605" s="372"/>
      <c r="N605" s="634" t="s">
        <v>635</v>
      </c>
      <c r="O605" s="635"/>
      <c r="P605" s="634" t="s">
        <v>635</v>
      </c>
      <c r="Q605" s="372"/>
      <c r="R605" s="634" t="s">
        <v>635</v>
      </c>
    </row>
    <row r="606" spans="1:18">
      <c r="A606" s="634">
        <v>22</v>
      </c>
      <c r="B606" s="639"/>
      <c r="C606" s="634">
        <v>31242</v>
      </c>
      <c r="D606" s="372" t="s">
        <v>629</v>
      </c>
      <c r="E606" s="372"/>
      <c r="F606" s="634">
        <v>0</v>
      </c>
      <c r="G606" s="635"/>
      <c r="H606" s="634" t="s">
        <v>628</v>
      </c>
      <c r="I606" s="635"/>
      <c r="J606" s="634" t="s">
        <v>635</v>
      </c>
      <c r="K606" s="372"/>
      <c r="L606" s="634" t="s">
        <v>635</v>
      </c>
      <c r="M606" s="372"/>
      <c r="N606" s="634" t="s">
        <v>635</v>
      </c>
      <c r="O606" s="635"/>
      <c r="P606" s="634" t="s">
        <v>635</v>
      </c>
      <c r="Q606" s="372"/>
      <c r="R606" s="634" t="s">
        <v>635</v>
      </c>
    </row>
    <row r="607" spans="1:18">
      <c r="A607" s="634">
        <v>23</v>
      </c>
      <c r="B607" s="639"/>
      <c r="C607" s="634">
        <v>31442</v>
      </c>
      <c r="D607" s="372" t="s">
        <v>630</v>
      </c>
      <c r="E607" s="372"/>
      <c r="F607" s="634">
        <v>0</v>
      </c>
      <c r="G607" s="635"/>
      <c r="H607" s="634" t="s">
        <v>628</v>
      </c>
      <c r="I607" s="635"/>
      <c r="J607" s="634" t="s">
        <v>635</v>
      </c>
      <c r="K607" s="372"/>
      <c r="L607" s="634" t="s">
        <v>635</v>
      </c>
      <c r="M607" s="372"/>
      <c r="N607" s="634" t="s">
        <v>635</v>
      </c>
      <c r="O607" s="635"/>
      <c r="P607" s="634" t="s">
        <v>635</v>
      </c>
      <c r="Q607" s="372"/>
      <c r="R607" s="634" t="s">
        <v>635</v>
      </c>
    </row>
    <row r="608" spans="1:18">
      <c r="A608" s="634">
        <v>24</v>
      </c>
      <c r="B608" s="639"/>
      <c r="C608" s="634">
        <v>31542</v>
      </c>
      <c r="D608" s="372" t="s">
        <v>631</v>
      </c>
      <c r="E608" s="372"/>
      <c r="F608" s="634">
        <v>0</v>
      </c>
      <c r="G608" s="635"/>
      <c r="H608" s="634" t="s">
        <v>628</v>
      </c>
      <c r="I608" s="635"/>
      <c r="J608" s="634" t="s">
        <v>635</v>
      </c>
      <c r="K608" s="372"/>
      <c r="L608" s="634" t="s">
        <v>635</v>
      </c>
      <c r="M608" s="372"/>
      <c r="N608" s="634" t="s">
        <v>635</v>
      </c>
      <c r="O608" s="635"/>
      <c r="P608" s="634" t="s">
        <v>635</v>
      </c>
      <c r="Q608" s="372"/>
      <c r="R608" s="634" t="s">
        <v>635</v>
      </c>
    </row>
    <row r="609" spans="1:18">
      <c r="A609" s="634">
        <v>25</v>
      </c>
      <c r="B609" s="639"/>
      <c r="C609" s="634">
        <v>31642</v>
      </c>
      <c r="D609" s="372" t="s">
        <v>632</v>
      </c>
      <c r="E609" s="372"/>
      <c r="F609" s="634">
        <v>0</v>
      </c>
      <c r="G609" s="635"/>
      <c r="H609" s="634" t="s">
        <v>628</v>
      </c>
      <c r="I609" s="635"/>
      <c r="J609" s="634" t="s">
        <v>635</v>
      </c>
      <c r="K609" s="372"/>
      <c r="L609" s="634" t="s">
        <v>635</v>
      </c>
      <c r="M609" s="372"/>
      <c r="N609" s="634" t="s">
        <v>635</v>
      </c>
      <c r="O609" s="635"/>
      <c r="P609" s="634" t="s">
        <v>635</v>
      </c>
      <c r="Q609" s="372"/>
      <c r="R609" s="634" t="s">
        <v>635</v>
      </c>
    </row>
    <row r="610" spans="1:18">
      <c r="A610" s="634">
        <v>26</v>
      </c>
      <c r="B610" s="639"/>
      <c r="C610" s="634"/>
      <c r="D610" s="372" t="s">
        <v>638</v>
      </c>
      <c r="E610" s="372"/>
      <c r="F610" s="372"/>
      <c r="G610" s="372"/>
      <c r="H610" s="643" t="s">
        <v>628</v>
      </c>
      <c r="I610" s="635"/>
      <c r="J610" s="643" t="s">
        <v>635</v>
      </c>
      <c r="K610" s="635"/>
      <c r="L610" s="643" t="s">
        <v>635</v>
      </c>
      <c r="M610" s="635"/>
      <c r="N610" s="643" t="s">
        <v>635</v>
      </c>
      <c r="O610" s="635"/>
      <c r="P610" s="643" t="s">
        <v>635</v>
      </c>
      <c r="Q610" s="635"/>
      <c r="R610" s="643" t="s">
        <v>635</v>
      </c>
    </row>
    <row r="611" spans="1:18">
      <c r="A611" s="634">
        <v>27</v>
      </c>
      <c r="B611" s="639"/>
      <c r="C611" s="634"/>
      <c r="D611" s="372"/>
      <c r="E611" s="372"/>
      <c r="F611" s="372"/>
      <c r="G611" s="372"/>
      <c r="H611" s="372"/>
      <c r="I611" s="635"/>
      <c r="J611" s="635"/>
      <c r="K611" s="635"/>
      <c r="L611" s="635"/>
      <c r="M611" s="635"/>
      <c r="N611" s="635"/>
      <c r="O611" s="635"/>
      <c r="P611" s="635"/>
      <c r="Q611" s="635"/>
      <c r="R611" s="635"/>
    </row>
    <row r="612" spans="1:18">
      <c r="A612" s="634">
        <v>28</v>
      </c>
      <c r="B612" s="639"/>
      <c r="C612" s="634"/>
      <c r="D612" s="372" t="s">
        <v>639</v>
      </c>
      <c r="E612" s="372"/>
      <c r="F612" s="372"/>
      <c r="G612" s="372"/>
      <c r="H612" s="372"/>
      <c r="I612" s="635"/>
      <c r="J612" s="635"/>
      <c r="K612" s="635"/>
      <c r="L612" s="635"/>
      <c r="M612" s="635"/>
      <c r="N612" s="635"/>
      <c r="O612" s="635"/>
      <c r="P612" s="635"/>
      <c r="Q612" s="635"/>
      <c r="R612" s="635"/>
    </row>
    <row r="613" spans="1:18">
      <c r="A613" s="634">
        <v>29</v>
      </c>
      <c r="B613" s="639"/>
      <c r="C613" s="634">
        <v>31143</v>
      </c>
      <c r="D613" s="372" t="s">
        <v>627</v>
      </c>
      <c r="E613" s="372"/>
      <c r="F613" s="634">
        <v>0</v>
      </c>
      <c r="G613" s="635"/>
      <c r="H613" s="634" t="s">
        <v>628</v>
      </c>
      <c r="I613" s="635"/>
      <c r="J613" s="634" t="s">
        <v>635</v>
      </c>
      <c r="K613" s="372"/>
      <c r="L613" s="634" t="s">
        <v>635</v>
      </c>
      <c r="M613" s="372"/>
      <c r="N613" s="634" t="s">
        <v>635</v>
      </c>
      <c r="O613" s="635"/>
      <c r="P613" s="634" t="s">
        <v>635</v>
      </c>
      <c r="Q613" s="372"/>
      <c r="R613" s="634" t="s">
        <v>635</v>
      </c>
    </row>
    <row r="614" spans="1:18">
      <c r="A614" s="634">
        <v>30</v>
      </c>
      <c r="B614" s="639"/>
      <c r="C614" s="634">
        <v>31243</v>
      </c>
      <c r="D614" s="372" t="s">
        <v>629</v>
      </c>
      <c r="E614" s="372"/>
      <c r="F614" s="634">
        <v>0</v>
      </c>
      <c r="G614" s="635"/>
      <c r="H614" s="634" t="s">
        <v>628</v>
      </c>
      <c r="I614" s="635"/>
      <c r="J614" s="634" t="s">
        <v>635</v>
      </c>
      <c r="K614" s="372"/>
      <c r="L614" s="634" t="s">
        <v>635</v>
      </c>
      <c r="M614" s="372"/>
      <c r="N614" s="634" t="s">
        <v>635</v>
      </c>
      <c r="O614" s="635"/>
      <c r="P614" s="634" t="s">
        <v>635</v>
      </c>
      <c r="Q614" s="372"/>
      <c r="R614" s="634" t="s">
        <v>635</v>
      </c>
    </row>
    <row r="615" spans="1:18">
      <c r="A615" s="634">
        <v>31</v>
      </c>
      <c r="B615" s="639"/>
      <c r="C615" s="634">
        <v>31443</v>
      </c>
      <c r="D615" s="372" t="s">
        <v>630</v>
      </c>
      <c r="E615" s="372"/>
      <c r="F615" s="634">
        <v>0</v>
      </c>
      <c r="G615" s="635"/>
      <c r="H615" s="634" t="s">
        <v>628</v>
      </c>
      <c r="I615" s="635"/>
      <c r="J615" s="634" t="s">
        <v>635</v>
      </c>
      <c r="K615" s="372"/>
      <c r="L615" s="634" t="s">
        <v>635</v>
      </c>
      <c r="M615" s="372"/>
      <c r="N615" s="634" t="s">
        <v>635</v>
      </c>
      <c r="O615" s="635"/>
      <c r="P615" s="634" t="s">
        <v>635</v>
      </c>
      <c r="Q615" s="372"/>
      <c r="R615" s="634" t="s">
        <v>635</v>
      </c>
    </row>
    <row r="616" spans="1:18">
      <c r="A616" s="634">
        <v>32</v>
      </c>
      <c r="B616" s="639"/>
      <c r="C616" s="634">
        <v>31543</v>
      </c>
      <c r="D616" s="372" t="s">
        <v>631</v>
      </c>
      <c r="E616" s="372"/>
      <c r="F616" s="634">
        <v>0</v>
      </c>
      <c r="G616" s="635"/>
      <c r="H616" s="634" t="s">
        <v>628</v>
      </c>
      <c r="I616" s="635"/>
      <c r="J616" s="634" t="s">
        <v>635</v>
      </c>
      <c r="K616" s="372"/>
      <c r="L616" s="634" t="s">
        <v>635</v>
      </c>
      <c r="M616" s="372"/>
      <c r="N616" s="634" t="s">
        <v>635</v>
      </c>
      <c r="O616" s="635"/>
      <c r="P616" s="634" t="s">
        <v>635</v>
      </c>
      <c r="Q616" s="372"/>
      <c r="R616" s="634" t="s">
        <v>635</v>
      </c>
    </row>
    <row r="617" spans="1:18">
      <c r="A617" s="634">
        <v>33</v>
      </c>
      <c r="B617" s="639"/>
      <c r="C617" s="634">
        <v>31643</v>
      </c>
      <c r="D617" s="372" t="s">
        <v>632</v>
      </c>
      <c r="E617" s="372"/>
      <c r="F617" s="634">
        <v>0</v>
      </c>
      <c r="G617" s="635"/>
      <c r="H617" s="634" t="s">
        <v>628</v>
      </c>
      <c r="I617" s="635"/>
      <c r="J617" s="634" t="s">
        <v>635</v>
      </c>
      <c r="K617" s="372"/>
      <c r="L617" s="634" t="s">
        <v>635</v>
      </c>
      <c r="M617" s="372"/>
      <c r="N617" s="634" t="s">
        <v>635</v>
      </c>
      <c r="O617" s="635"/>
      <c r="P617" s="634" t="s">
        <v>635</v>
      </c>
      <c r="Q617" s="372"/>
      <c r="R617" s="634" t="s">
        <v>635</v>
      </c>
    </row>
    <row r="618" spans="1:18">
      <c r="A618" s="634">
        <v>34</v>
      </c>
      <c r="B618" s="639"/>
      <c r="C618" s="634"/>
      <c r="D618" s="372" t="s">
        <v>640</v>
      </c>
      <c r="E618" s="372"/>
      <c r="F618" s="372"/>
      <c r="G618" s="372"/>
      <c r="H618" s="643" t="s">
        <v>628</v>
      </c>
      <c r="I618" s="635"/>
      <c r="J618" s="643" t="s">
        <v>635</v>
      </c>
      <c r="K618" s="635"/>
      <c r="L618" s="643" t="s">
        <v>635</v>
      </c>
      <c r="M618" s="635"/>
      <c r="N618" s="643" t="s">
        <v>635</v>
      </c>
      <c r="O618" s="635"/>
      <c r="P618" s="643" t="s">
        <v>635</v>
      </c>
      <c r="Q618" s="635"/>
      <c r="R618" s="643" t="s">
        <v>635</v>
      </c>
    </row>
    <row r="619" spans="1:18">
      <c r="A619" s="634">
        <v>35</v>
      </c>
      <c r="B619" s="639"/>
      <c r="C619" s="372"/>
      <c r="D619" s="372"/>
      <c r="E619" s="372"/>
      <c r="F619" s="372"/>
      <c r="G619" s="372"/>
      <c r="H619" s="372"/>
      <c r="I619" s="372"/>
      <c r="J619" s="372"/>
      <c r="K619" s="372"/>
      <c r="L619" s="372"/>
      <c r="M619" s="372"/>
      <c r="N619" s="372"/>
      <c r="O619" s="635"/>
      <c r="P619" s="372"/>
      <c r="Q619" s="372"/>
      <c r="R619" s="372"/>
    </row>
    <row r="620" spans="1:18">
      <c r="A620" s="634">
        <v>36</v>
      </c>
      <c r="B620" s="639"/>
      <c r="C620" s="634"/>
      <c r="D620" s="372" t="s">
        <v>641</v>
      </c>
      <c r="E620" s="372"/>
      <c r="F620" s="372"/>
      <c r="G620" s="372"/>
      <c r="H620" s="372"/>
      <c r="I620" s="635"/>
      <c r="J620" s="635"/>
      <c r="K620" s="635"/>
      <c r="L620" s="635"/>
      <c r="M620" s="635"/>
      <c r="N620" s="635"/>
      <c r="O620" s="635"/>
      <c r="P620" s="635"/>
      <c r="Q620" s="635"/>
      <c r="R620" s="635"/>
    </row>
    <row r="621" spans="1:18">
      <c r="A621" s="634">
        <v>37</v>
      </c>
      <c r="B621" s="644"/>
      <c r="C621" s="634">
        <v>31144</v>
      </c>
      <c r="D621" s="372" t="s">
        <v>627</v>
      </c>
      <c r="E621" s="372"/>
      <c r="F621" s="634">
        <v>3.49</v>
      </c>
      <c r="G621" s="635"/>
      <c r="H621" s="640">
        <v>55902</v>
      </c>
      <c r="I621" s="635"/>
      <c r="J621" s="634" t="s">
        <v>635</v>
      </c>
      <c r="K621" s="372"/>
      <c r="L621" s="634" t="s">
        <v>635</v>
      </c>
      <c r="M621" s="372"/>
      <c r="N621" s="634" t="s">
        <v>635</v>
      </c>
      <c r="O621" s="635"/>
      <c r="P621" s="640">
        <v>55902</v>
      </c>
      <c r="Q621" s="372"/>
      <c r="R621" s="640">
        <v>55902</v>
      </c>
    </row>
    <row r="622" spans="1:18">
      <c r="A622" s="634">
        <v>38</v>
      </c>
      <c r="B622" s="644"/>
      <c r="C622" s="634">
        <v>31244</v>
      </c>
      <c r="D622" s="372" t="s">
        <v>629</v>
      </c>
      <c r="E622" s="372"/>
      <c r="F622" s="634">
        <v>5.38</v>
      </c>
      <c r="G622" s="635"/>
      <c r="H622" s="640">
        <v>315953</v>
      </c>
      <c r="I622" s="635"/>
      <c r="J622" s="640">
        <v>3285</v>
      </c>
      <c r="K622" s="372"/>
      <c r="L622" s="634">
        <v>-657</v>
      </c>
      <c r="M622" s="372"/>
      <c r="N622" s="634" t="s">
        <v>628</v>
      </c>
      <c r="O622" s="635"/>
      <c r="P622" s="640">
        <v>318581</v>
      </c>
      <c r="Q622" s="372"/>
      <c r="R622" s="640">
        <v>316924</v>
      </c>
    </row>
    <row r="623" spans="1:18">
      <c r="A623" s="634">
        <v>39</v>
      </c>
      <c r="B623" s="644"/>
      <c r="C623" s="634">
        <v>31444</v>
      </c>
      <c r="D623" s="372" t="s">
        <v>630</v>
      </c>
      <c r="E623" s="372"/>
      <c r="F623" s="634">
        <v>4.66</v>
      </c>
      <c r="G623" s="635"/>
      <c r="H623" s="640">
        <v>120281</v>
      </c>
      <c r="I623" s="635"/>
      <c r="J623" s="640">
        <v>3285</v>
      </c>
      <c r="K623" s="372"/>
      <c r="L623" s="634">
        <v>-657</v>
      </c>
      <c r="M623" s="372"/>
      <c r="N623" s="634" t="s">
        <v>628</v>
      </c>
      <c r="O623" s="635"/>
      <c r="P623" s="640">
        <v>122909</v>
      </c>
      <c r="Q623" s="372"/>
      <c r="R623" s="640">
        <v>121251</v>
      </c>
    </row>
    <row r="624" spans="1:18">
      <c r="A624" s="634">
        <v>40</v>
      </c>
      <c r="B624" s="644"/>
      <c r="C624" s="634">
        <v>31544</v>
      </c>
      <c r="D624" s="372" t="s">
        <v>631</v>
      </c>
      <c r="E624" s="372"/>
      <c r="F624" s="634">
        <v>2.8</v>
      </c>
      <c r="G624" s="635"/>
      <c r="H624" s="640">
        <v>52859</v>
      </c>
      <c r="I624" s="635"/>
      <c r="J624" s="634" t="s">
        <v>635</v>
      </c>
      <c r="K624" s="372"/>
      <c r="L624" s="634" t="s">
        <v>635</v>
      </c>
      <c r="M624" s="372"/>
      <c r="N624" s="634" t="s">
        <v>635</v>
      </c>
      <c r="O624" s="635"/>
      <c r="P624" s="640">
        <v>52859</v>
      </c>
      <c r="Q624" s="372"/>
      <c r="R624" s="640">
        <v>52859</v>
      </c>
    </row>
    <row r="625" spans="1:18">
      <c r="A625" s="634">
        <v>41</v>
      </c>
      <c r="B625" s="644"/>
      <c r="C625" s="634">
        <v>31644</v>
      </c>
      <c r="D625" s="372" t="s">
        <v>632</v>
      </c>
      <c r="E625" s="372"/>
      <c r="F625" s="634">
        <v>1.92</v>
      </c>
      <c r="G625" s="635"/>
      <c r="H625" s="640">
        <v>5866</v>
      </c>
      <c r="I625" s="635"/>
      <c r="J625" s="634" t="s">
        <v>635</v>
      </c>
      <c r="K625" s="372"/>
      <c r="L625" s="634" t="s">
        <v>635</v>
      </c>
      <c r="M625" s="372"/>
      <c r="N625" s="634" t="s">
        <v>635</v>
      </c>
      <c r="O625" s="635"/>
      <c r="P625" s="640">
        <v>5866</v>
      </c>
      <c r="Q625" s="372"/>
      <c r="R625" s="640">
        <v>5866</v>
      </c>
    </row>
    <row r="626" spans="1:18">
      <c r="A626" s="634">
        <v>42</v>
      </c>
      <c r="B626" s="644"/>
      <c r="C626" s="372"/>
      <c r="D626" s="372" t="s">
        <v>642</v>
      </c>
      <c r="E626" s="372"/>
      <c r="F626" s="372"/>
      <c r="G626" s="372"/>
      <c r="H626" s="642">
        <v>550862</v>
      </c>
      <c r="I626" s="635"/>
      <c r="J626" s="642">
        <v>6570</v>
      </c>
      <c r="K626" s="635"/>
      <c r="L626" s="642">
        <v>-1314</v>
      </c>
      <c r="M626" s="635"/>
      <c r="N626" s="643" t="s">
        <v>628</v>
      </c>
      <c r="O626" s="635"/>
      <c r="P626" s="642">
        <v>556118</v>
      </c>
      <c r="Q626" s="635"/>
      <c r="R626" s="642">
        <v>552803</v>
      </c>
    </row>
    <row r="627" spans="1:18">
      <c r="A627" s="634">
        <v>43</v>
      </c>
      <c r="B627" s="644"/>
      <c r="C627" s="372"/>
      <c r="D627" s="372"/>
      <c r="E627" s="372"/>
      <c r="F627" s="372"/>
      <c r="G627" s="372"/>
      <c r="H627" s="372"/>
      <c r="I627" s="372"/>
      <c r="J627" s="372"/>
      <c r="K627" s="372"/>
      <c r="L627" s="372"/>
      <c r="M627" s="372"/>
      <c r="N627" s="372"/>
      <c r="O627" s="635"/>
      <c r="P627" s="372"/>
      <c r="Q627" s="372"/>
      <c r="R627" s="372"/>
    </row>
    <row r="628" spans="1:18" ht="15" thickBot="1">
      <c r="A628" s="637">
        <v>44</v>
      </c>
      <c r="B628" s="660" t="s">
        <v>67</v>
      </c>
      <c r="C628" s="660"/>
      <c r="D628" s="625"/>
      <c r="E628" s="625"/>
      <c r="F628" s="625"/>
      <c r="G628" s="625"/>
      <c r="H628" s="625"/>
      <c r="I628" s="625"/>
      <c r="J628" s="625"/>
      <c r="K628" s="625"/>
      <c r="L628" s="625"/>
      <c r="M628" s="625"/>
      <c r="N628" s="625"/>
      <c r="O628" s="638"/>
      <c r="P628" s="625"/>
      <c r="Q628" s="625"/>
      <c r="R628" s="625"/>
    </row>
    <row r="629" spans="1:18">
      <c r="A629" s="629" t="s">
        <v>643</v>
      </c>
      <c r="B629" s="629"/>
      <c r="C629" s="372"/>
      <c r="D629" s="372"/>
      <c r="E629" s="664"/>
      <c r="F629" s="664"/>
      <c r="G629" s="664"/>
      <c r="H629" s="664"/>
      <c r="I629" s="664"/>
      <c r="J629" s="664"/>
      <c r="K629" s="664"/>
      <c r="L629" s="664"/>
      <c r="M629" s="664"/>
      <c r="N629" s="664"/>
      <c r="O629" s="635"/>
      <c r="P629" s="426" t="s">
        <v>644</v>
      </c>
      <c r="Q629" s="664"/>
      <c r="R629" s="664"/>
    </row>
    <row r="630" spans="1:18" ht="15" thickBot="1">
      <c r="A630" s="625" t="s">
        <v>604</v>
      </c>
      <c r="B630" s="625"/>
      <c r="C630" s="625"/>
      <c r="D630" s="625"/>
      <c r="E630" s="625"/>
      <c r="F630" s="625"/>
      <c r="G630" s="625" t="s">
        <v>605</v>
      </c>
      <c r="H630" s="625"/>
      <c r="I630" s="625"/>
      <c r="J630" s="625"/>
      <c r="K630" s="625"/>
      <c r="L630" s="625"/>
      <c r="M630" s="625"/>
      <c r="N630" s="625"/>
      <c r="O630" s="638"/>
      <c r="P630" s="625"/>
      <c r="Q630" s="625"/>
      <c r="R630" s="625" t="s">
        <v>645</v>
      </c>
    </row>
    <row r="631" spans="1:18">
      <c r="A631" s="664" t="s">
        <v>4</v>
      </c>
      <c r="B631" s="664"/>
      <c r="C631" s="372"/>
      <c r="D631" s="372"/>
      <c r="E631" s="635" t="s">
        <v>553</v>
      </c>
      <c r="F631" s="372" t="s">
        <v>607</v>
      </c>
      <c r="G631" s="664"/>
      <c r="H631" s="664"/>
      <c r="I631" s="664"/>
      <c r="J631" s="664"/>
      <c r="K631" s="661"/>
      <c r="L631" s="661"/>
      <c r="M631" s="661"/>
      <c r="N631" s="661"/>
      <c r="O631" s="645"/>
      <c r="P631" s="372" t="s">
        <v>608</v>
      </c>
      <c r="Q631" s="664"/>
      <c r="R631" s="664"/>
    </row>
    <row r="632" spans="1:18">
      <c r="A632" s="372"/>
      <c r="B632" s="372"/>
      <c r="C632" s="372"/>
      <c r="D632" s="372"/>
      <c r="E632" s="372"/>
      <c r="F632" s="372" t="s">
        <v>609</v>
      </c>
      <c r="G632" s="372"/>
      <c r="H632" s="372"/>
      <c r="I632" s="372"/>
      <c r="J632" s="372"/>
      <c r="K632" s="636"/>
      <c r="L632" s="636"/>
      <c r="M632" s="372"/>
      <c r="N632" s="372"/>
      <c r="O632" s="635" t="s">
        <v>12</v>
      </c>
      <c r="P632" s="636" t="s">
        <v>9</v>
      </c>
      <c r="Q632" s="372"/>
      <c r="R632" s="372"/>
    </row>
    <row r="633" spans="1:18">
      <c r="A633" s="372" t="s">
        <v>10</v>
      </c>
      <c r="B633" s="372"/>
      <c r="C633" s="372"/>
      <c r="D633" s="372"/>
      <c r="E633" s="372"/>
      <c r="F633" s="372"/>
      <c r="G633" s="372"/>
      <c r="H633" s="372"/>
      <c r="I633" s="372"/>
      <c r="J633" s="372"/>
      <c r="K633" s="636"/>
      <c r="L633" s="636"/>
      <c r="M633" s="372"/>
      <c r="N633" s="372"/>
      <c r="O633" s="635"/>
      <c r="P633" s="636" t="s">
        <v>11</v>
      </c>
      <c r="Q633" s="372"/>
      <c r="R633" s="372"/>
    </row>
    <row r="634" spans="1:18">
      <c r="A634" s="372"/>
      <c r="B634" s="372"/>
      <c r="C634" s="372"/>
      <c r="D634" s="372"/>
      <c r="E634" s="372"/>
      <c r="F634" s="372"/>
      <c r="G634" s="372"/>
      <c r="H634" s="372"/>
      <c r="I634" s="372"/>
      <c r="J634" s="372"/>
      <c r="K634" s="636"/>
      <c r="L634" s="636"/>
      <c r="M634" s="372"/>
      <c r="N634" s="372"/>
      <c r="O634" s="635"/>
      <c r="P634" s="636" t="s">
        <v>13</v>
      </c>
      <c r="Q634" s="372"/>
      <c r="R634" s="372"/>
    </row>
    <row r="635" spans="1:18">
      <c r="A635" s="372"/>
      <c r="B635" s="372"/>
      <c r="C635" s="372"/>
      <c r="D635" s="372"/>
      <c r="E635" s="372"/>
      <c r="F635" s="372"/>
      <c r="G635" s="372"/>
      <c r="H635" s="372"/>
      <c r="I635" s="372"/>
      <c r="J635" s="372"/>
      <c r="K635" s="636"/>
      <c r="L635" s="636"/>
      <c r="M635" s="372"/>
      <c r="N635" s="372"/>
      <c r="O635" s="635"/>
      <c r="P635" s="636" t="s">
        <v>610</v>
      </c>
      <c r="Q635" s="372"/>
      <c r="R635" s="372"/>
    </row>
    <row r="636" spans="1:18" ht="15" thickBot="1">
      <c r="A636" s="625" t="s">
        <v>611</v>
      </c>
      <c r="B636" s="625"/>
      <c r="C636" s="625"/>
      <c r="D636" s="625"/>
      <c r="E636" s="625"/>
      <c r="F636" s="625"/>
      <c r="G636" s="625"/>
      <c r="H636" s="637" t="s">
        <v>612</v>
      </c>
      <c r="I636" s="625"/>
      <c r="J636" s="625"/>
      <c r="K636" s="625"/>
      <c r="L636" s="625"/>
      <c r="M636" s="625"/>
      <c r="N636" s="625"/>
      <c r="O636" s="638"/>
      <c r="P636" s="625" t="s">
        <v>249</v>
      </c>
      <c r="Q636" s="625"/>
      <c r="R636" s="625"/>
    </row>
    <row r="637" spans="1:18">
      <c r="A637" s="664"/>
      <c r="B637" s="664"/>
      <c r="C637" s="634"/>
      <c r="D637" s="634"/>
      <c r="E637" s="634"/>
      <c r="F637" s="634"/>
      <c r="G637" s="634"/>
      <c r="H637" s="634"/>
      <c r="I637" s="634"/>
      <c r="J637" s="634"/>
      <c r="K637" s="634"/>
      <c r="L637" s="634"/>
      <c r="M637" s="634"/>
      <c r="N637" s="634"/>
      <c r="O637" s="635"/>
      <c r="P637" s="634"/>
      <c r="Q637" s="634"/>
      <c r="R637" s="634"/>
    </row>
    <row r="638" spans="1:18">
      <c r="A638" s="372"/>
      <c r="B638" s="372"/>
      <c r="C638" s="634">
        <v>-1</v>
      </c>
      <c r="D638" s="634">
        <v>-2</v>
      </c>
      <c r="E638" s="634"/>
      <c r="F638" s="634">
        <v>-3</v>
      </c>
      <c r="G638" s="634"/>
      <c r="H638" s="634">
        <v>-4</v>
      </c>
      <c r="I638" s="634"/>
      <c r="J638" s="634">
        <v>-5</v>
      </c>
      <c r="K638" s="634"/>
      <c r="L638" s="634">
        <v>-6</v>
      </c>
      <c r="M638" s="634"/>
      <c r="N638" s="634">
        <v>-7</v>
      </c>
      <c r="O638" s="635"/>
      <c r="P638" s="634">
        <v>-8</v>
      </c>
      <c r="Q638" s="634"/>
      <c r="R638" s="634">
        <v>-9</v>
      </c>
    </row>
    <row r="639" spans="1:18">
      <c r="A639" s="372"/>
      <c r="B639" s="372"/>
      <c r="C639" s="634" t="s">
        <v>613</v>
      </c>
      <c r="D639" s="634" t="s">
        <v>613</v>
      </c>
      <c r="E639" s="372"/>
      <c r="F639" s="634" t="s">
        <v>37</v>
      </c>
      <c r="G639" s="634"/>
      <c r="H639" s="634" t="s">
        <v>30</v>
      </c>
      <c r="I639" s="634"/>
      <c r="J639" s="634" t="s">
        <v>45</v>
      </c>
      <c r="K639" s="634"/>
      <c r="L639" s="634" t="s">
        <v>45</v>
      </c>
      <c r="M639" s="634"/>
      <c r="N639" s="372"/>
      <c r="O639" s="635"/>
      <c r="P639" s="634" t="s">
        <v>30</v>
      </c>
      <c r="Q639" s="372"/>
      <c r="R639" s="372"/>
    </row>
    <row r="640" spans="1:18">
      <c r="A640" s="634" t="s">
        <v>35</v>
      </c>
      <c r="B640" s="634"/>
      <c r="C640" s="634" t="s">
        <v>614</v>
      </c>
      <c r="D640" s="634" t="s">
        <v>614</v>
      </c>
      <c r="E640" s="634"/>
      <c r="F640" s="634" t="s">
        <v>615</v>
      </c>
      <c r="G640" s="634"/>
      <c r="H640" s="634" t="s">
        <v>616</v>
      </c>
      <c r="I640" s="634"/>
      <c r="J640" s="634" t="s">
        <v>30</v>
      </c>
      <c r="K640" s="634"/>
      <c r="L640" s="634" t="s">
        <v>30</v>
      </c>
      <c r="M640" s="636"/>
      <c r="N640" s="634" t="s">
        <v>178</v>
      </c>
      <c r="O640" s="635"/>
      <c r="P640" s="634" t="s">
        <v>616</v>
      </c>
      <c r="Q640" s="634"/>
      <c r="R640" s="634" t="s">
        <v>353</v>
      </c>
    </row>
    <row r="641" spans="1:18" ht="15" thickBot="1">
      <c r="A641" s="637" t="s">
        <v>46</v>
      </c>
      <c r="B641" s="637"/>
      <c r="C641" s="637" t="s">
        <v>371</v>
      </c>
      <c r="D641" s="637" t="s">
        <v>617</v>
      </c>
      <c r="E641" s="637"/>
      <c r="F641" s="637" t="s">
        <v>618</v>
      </c>
      <c r="G641" s="637"/>
      <c r="H641" s="637" t="s">
        <v>619</v>
      </c>
      <c r="I641" s="637"/>
      <c r="J641" s="637" t="s">
        <v>620</v>
      </c>
      <c r="K641" s="637"/>
      <c r="L641" s="637" t="s">
        <v>621</v>
      </c>
      <c r="M641" s="637"/>
      <c r="N641" s="637" t="s">
        <v>622</v>
      </c>
      <c r="O641" s="638"/>
      <c r="P641" s="637" t="s">
        <v>623</v>
      </c>
      <c r="Q641" s="637"/>
      <c r="R641" s="637" t="s">
        <v>369</v>
      </c>
    </row>
    <row r="642" spans="1:18">
      <c r="A642" s="634">
        <v>1</v>
      </c>
      <c r="B642" s="634"/>
      <c r="C642" s="372"/>
      <c r="D642" s="372"/>
      <c r="E642" s="664"/>
      <c r="F642" s="664"/>
      <c r="G642" s="664"/>
      <c r="H642" s="664"/>
      <c r="I642" s="664"/>
      <c r="J642" s="664"/>
      <c r="K642" s="664"/>
      <c r="L642" s="664"/>
      <c r="M642" s="664"/>
      <c r="N642" s="664"/>
      <c r="O642" s="635"/>
      <c r="P642" s="372"/>
      <c r="Q642" s="664"/>
      <c r="R642" s="664"/>
    </row>
    <row r="643" spans="1:18">
      <c r="A643" s="634">
        <v>2</v>
      </c>
      <c r="B643" s="639"/>
      <c r="C643" s="372"/>
      <c r="D643" s="636" t="s">
        <v>646</v>
      </c>
      <c r="E643" s="372"/>
      <c r="F643" s="372"/>
      <c r="G643" s="372"/>
      <c r="H643" s="372"/>
      <c r="I643" s="372"/>
      <c r="J643" s="372"/>
      <c r="K643" s="372"/>
      <c r="L643" s="372"/>
      <c r="M643" s="372"/>
      <c r="N643" s="372"/>
      <c r="O643" s="635"/>
      <c r="P643" s="372"/>
      <c r="Q643" s="372"/>
      <c r="R643" s="372"/>
    </row>
    <row r="644" spans="1:18">
      <c r="A644" s="634">
        <v>3</v>
      </c>
      <c r="B644" s="639"/>
      <c r="C644" s="634">
        <v>31145</v>
      </c>
      <c r="D644" s="372" t="s">
        <v>627</v>
      </c>
      <c r="E644" s="372"/>
      <c r="F644" s="634">
        <v>3.49</v>
      </c>
      <c r="G644" s="635"/>
      <c r="H644" s="640">
        <v>31999</v>
      </c>
      <c r="I644" s="635"/>
      <c r="J644" s="634" t="s">
        <v>635</v>
      </c>
      <c r="K644" s="372"/>
      <c r="L644" s="634" t="s">
        <v>635</v>
      </c>
      <c r="M644" s="372"/>
      <c r="N644" s="634" t="s">
        <v>635</v>
      </c>
      <c r="O644" s="635"/>
      <c r="P644" s="640">
        <v>31999</v>
      </c>
      <c r="Q644" s="372"/>
      <c r="R644" s="640">
        <v>31999</v>
      </c>
    </row>
    <row r="645" spans="1:18">
      <c r="A645" s="634">
        <v>4</v>
      </c>
      <c r="B645" s="639"/>
      <c r="C645" s="634">
        <v>31245</v>
      </c>
      <c r="D645" s="372" t="s">
        <v>629</v>
      </c>
      <c r="E645" s="372"/>
      <c r="F645" s="634">
        <v>5.38</v>
      </c>
      <c r="G645" s="635"/>
      <c r="H645" s="640">
        <v>197145</v>
      </c>
      <c r="I645" s="635"/>
      <c r="J645" s="634">
        <v>575</v>
      </c>
      <c r="K645" s="372"/>
      <c r="L645" s="634">
        <v>-115</v>
      </c>
      <c r="M645" s="372"/>
      <c r="N645" s="634" t="s">
        <v>628</v>
      </c>
      <c r="O645" s="635"/>
      <c r="P645" s="640">
        <v>197605</v>
      </c>
      <c r="Q645" s="372"/>
      <c r="R645" s="640">
        <v>197293</v>
      </c>
    </row>
    <row r="646" spans="1:18">
      <c r="A646" s="634">
        <v>5</v>
      </c>
      <c r="B646" s="639"/>
      <c r="C646" s="634">
        <v>31545</v>
      </c>
      <c r="D646" s="372" t="s">
        <v>631</v>
      </c>
      <c r="E646" s="372"/>
      <c r="F646" s="634">
        <v>2.8</v>
      </c>
      <c r="G646" s="635"/>
      <c r="H646" s="640">
        <v>26850</v>
      </c>
      <c r="I646" s="635"/>
      <c r="J646" s="634">
        <v>575</v>
      </c>
      <c r="K646" s="372"/>
      <c r="L646" s="634">
        <v>-115</v>
      </c>
      <c r="M646" s="372"/>
      <c r="N646" s="634" t="s">
        <v>628</v>
      </c>
      <c r="O646" s="635"/>
      <c r="P646" s="640">
        <v>27310</v>
      </c>
      <c r="Q646" s="372"/>
      <c r="R646" s="640">
        <v>26998</v>
      </c>
    </row>
    <row r="647" spans="1:18">
      <c r="A647" s="634">
        <v>6</v>
      </c>
      <c r="B647" s="639"/>
      <c r="C647" s="634">
        <v>31645</v>
      </c>
      <c r="D647" s="372" t="s">
        <v>632</v>
      </c>
      <c r="E647" s="372"/>
      <c r="F647" s="634">
        <v>1.92</v>
      </c>
      <c r="G647" s="635"/>
      <c r="H647" s="640">
        <v>1695</v>
      </c>
      <c r="I647" s="635"/>
      <c r="J647" s="634" t="s">
        <v>635</v>
      </c>
      <c r="K647" s="372"/>
      <c r="L647" s="634" t="s">
        <v>635</v>
      </c>
      <c r="M647" s="372"/>
      <c r="N647" s="634" t="s">
        <v>635</v>
      </c>
      <c r="O647" s="635"/>
      <c r="P647" s="640">
        <v>1695</v>
      </c>
      <c r="Q647" s="372"/>
      <c r="R647" s="640">
        <v>1695</v>
      </c>
    </row>
    <row r="648" spans="1:18">
      <c r="A648" s="634">
        <v>7</v>
      </c>
      <c r="B648" s="634"/>
      <c r="C648" s="634"/>
      <c r="D648" s="636" t="s">
        <v>647</v>
      </c>
      <c r="E648" s="372"/>
      <c r="F648" s="372"/>
      <c r="G648" s="372"/>
      <c r="H648" s="642">
        <v>257688</v>
      </c>
      <c r="I648" s="635"/>
      <c r="J648" s="642">
        <v>1150</v>
      </c>
      <c r="K648" s="635"/>
      <c r="L648" s="643">
        <v>-230</v>
      </c>
      <c r="M648" s="635"/>
      <c r="N648" s="643" t="s">
        <v>628</v>
      </c>
      <c r="O648" s="635"/>
      <c r="P648" s="642">
        <v>258608</v>
      </c>
      <c r="Q648" s="635"/>
      <c r="R648" s="642">
        <v>257984</v>
      </c>
    </row>
    <row r="649" spans="1:18">
      <c r="A649" s="634">
        <v>8</v>
      </c>
      <c r="B649" s="634"/>
      <c r="C649" s="372"/>
      <c r="D649" s="372"/>
      <c r="E649" s="372"/>
      <c r="F649" s="372"/>
      <c r="G649" s="372"/>
      <c r="H649" s="372"/>
      <c r="I649" s="372"/>
      <c r="J649" s="372"/>
      <c r="K649" s="372"/>
      <c r="L649" s="372"/>
      <c r="M649" s="372"/>
      <c r="N649" s="372"/>
      <c r="O649" s="635"/>
      <c r="P649" s="372"/>
      <c r="Q649" s="372"/>
      <c r="R649" s="372"/>
    </row>
    <row r="650" spans="1:18">
      <c r="A650" s="634">
        <v>9</v>
      </c>
      <c r="B650" s="639"/>
      <c r="C650" s="634"/>
      <c r="D650" s="372" t="s">
        <v>648</v>
      </c>
      <c r="E650" s="372"/>
      <c r="F650" s="372"/>
      <c r="G650" s="372"/>
      <c r="H650" s="372"/>
      <c r="I650" s="635"/>
      <c r="J650" s="635"/>
      <c r="K650" s="635"/>
      <c r="L650" s="635"/>
      <c r="M650" s="635"/>
      <c r="N650" s="635"/>
      <c r="O650" s="635"/>
      <c r="P650" s="635"/>
      <c r="Q650" s="635"/>
      <c r="R650" s="635"/>
    </row>
    <row r="651" spans="1:18">
      <c r="A651" s="634">
        <v>10</v>
      </c>
      <c r="B651" s="639"/>
      <c r="C651" s="634">
        <v>31146</v>
      </c>
      <c r="D651" s="372" t="s">
        <v>627</v>
      </c>
      <c r="E651" s="372"/>
      <c r="F651" s="634">
        <v>0</v>
      </c>
      <c r="G651" s="635"/>
      <c r="H651" s="634" t="s">
        <v>628</v>
      </c>
      <c r="I651" s="635"/>
      <c r="J651" s="634" t="s">
        <v>635</v>
      </c>
      <c r="K651" s="372"/>
      <c r="L651" s="634" t="s">
        <v>635</v>
      </c>
      <c r="M651" s="372"/>
      <c r="N651" s="634" t="s">
        <v>635</v>
      </c>
      <c r="O651" s="635"/>
      <c r="P651" s="634" t="s">
        <v>635</v>
      </c>
      <c r="Q651" s="372"/>
      <c r="R651" s="634" t="s">
        <v>635</v>
      </c>
    </row>
    <row r="652" spans="1:18">
      <c r="A652" s="634">
        <v>11</v>
      </c>
      <c r="B652" s="639"/>
      <c r="C652" s="634">
        <v>31246</v>
      </c>
      <c r="D652" s="372" t="s">
        <v>629</v>
      </c>
      <c r="E652" s="372"/>
      <c r="F652" s="634">
        <v>0</v>
      </c>
      <c r="G652" s="635"/>
      <c r="H652" s="634" t="s">
        <v>628</v>
      </c>
      <c r="I652" s="635"/>
      <c r="J652" s="634" t="s">
        <v>635</v>
      </c>
      <c r="K652" s="372"/>
      <c r="L652" s="634" t="s">
        <v>635</v>
      </c>
      <c r="M652" s="372"/>
      <c r="N652" s="634" t="s">
        <v>635</v>
      </c>
      <c r="O652" s="635"/>
      <c r="P652" s="634" t="s">
        <v>635</v>
      </c>
      <c r="Q652" s="372"/>
      <c r="R652" s="634" t="s">
        <v>635</v>
      </c>
    </row>
    <row r="653" spans="1:18">
      <c r="A653" s="634">
        <v>12</v>
      </c>
      <c r="B653" s="639"/>
      <c r="C653" s="634">
        <v>31546</v>
      </c>
      <c r="D653" s="372" t="s">
        <v>631</v>
      </c>
      <c r="E653" s="372"/>
      <c r="F653" s="634">
        <v>0</v>
      </c>
      <c r="G653" s="635"/>
      <c r="H653" s="634" t="s">
        <v>628</v>
      </c>
      <c r="I653" s="635"/>
      <c r="J653" s="634" t="s">
        <v>635</v>
      </c>
      <c r="K653" s="372"/>
      <c r="L653" s="634" t="s">
        <v>635</v>
      </c>
      <c r="M653" s="372"/>
      <c r="N653" s="634" t="s">
        <v>635</v>
      </c>
      <c r="O653" s="635"/>
      <c r="P653" s="634" t="s">
        <v>635</v>
      </c>
      <c r="Q653" s="372"/>
      <c r="R653" s="634" t="s">
        <v>635</v>
      </c>
    </row>
    <row r="654" spans="1:18">
      <c r="A654" s="634">
        <v>13</v>
      </c>
      <c r="B654" s="639"/>
      <c r="C654" s="634">
        <v>31646</v>
      </c>
      <c r="D654" s="372" t="s">
        <v>632</v>
      </c>
      <c r="E654" s="372"/>
      <c r="F654" s="634">
        <v>0</v>
      </c>
      <c r="G654" s="635"/>
      <c r="H654" s="634" t="s">
        <v>628</v>
      </c>
      <c r="I654" s="635"/>
      <c r="J654" s="634" t="s">
        <v>635</v>
      </c>
      <c r="K654" s="372"/>
      <c r="L654" s="634" t="s">
        <v>635</v>
      </c>
      <c r="M654" s="372"/>
      <c r="N654" s="634" t="s">
        <v>635</v>
      </c>
      <c r="O654" s="635"/>
      <c r="P654" s="634" t="s">
        <v>635</v>
      </c>
      <c r="Q654" s="372"/>
      <c r="R654" s="634" t="s">
        <v>635</v>
      </c>
    </row>
    <row r="655" spans="1:18">
      <c r="A655" s="634">
        <v>14</v>
      </c>
      <c r="B655" s="639"/>
      <c r="C655" s="634"/>
      <c r="D655" s="372" t="s">
        <v>649</v>
      </c>
      <c r="E655" s="372"/>
      <c r="F655" s="372"/>
      <c r="G655" s="372"/>
      <c r="H655" s="643" t="s">
        <v>628</v>
      </c>
      <c r="I655" s="635"/>
      <c r="J655" s="643" t="s">
        <v>635</v>
      </c>
      <c r="K655" s="635"/>
      <c r="L655" s="643" t="s">
        <v>635</v>
      </c>
      <c r="M655" s="635"/>
      <c r="N655" s="643" t="s">
        <v>635</v>
      </c>
      <c r="O655" s="635"/>
      <c r="P655" s="643" t="s">
        <v>635</v>
      </c>
      <c r="Q655" s="635"/>
      <c r="R655" s="643" t="s">
        <v>635</v>
      </c>
    </row>
    <row r="656" spans="1:18">
      <c r="A656" s="634">
        <v>15</v>
      </c>
      <c r="B656" s="639"/>
      <c r="C656" s="372"/>
      <c r="D656" s="372"/>
      <c r="E656" s="372"/>
      <c r="F656" s="372"/>
      <c r="G656" s="372"/>
      <c r="H656" s="372"/>
      <c r="I656" s="372"/>
      <c r="J656" s="372"/>
      <c r="K656" s="372"/>
      <c r="L656" s="372"/>
      <c r="M656" s="372"/>
      <c r="N656" s="372"/>
      <c r="O656" s="635"/>
      <c r="P656" s="372"/>
      <c r="Q656" s="372"/>
      <c r="R656" s="372"/>
    </row>
    <row r="657" spans="1:18">
      <c r="A657" s="634">
        <v>16</v>
      </c>
      <c r="B657" s="639"/>
      <c r="C657" s="635"/>
      <c r="D657" s="636" t="s">
        <v>650</v>
      </c>
      <c r="E657" s="372"/>
      <c r="F657" s="372"/>
      <c r="G657" s="372"/>
      <c r="H657" s="372"/>
      <c r="I657" s="635"/>
      <c r="J657" s="635"/>
      <c r="K657" s="635"/>
      <c r="L657" s="635"/>
      <c r="M657" s="635"/>
      <c r="N657" s="635"/>
      <c r="O657" s="635"/>
      <c r="P657" s="635"/>
      <c r="Q657" s="635"/>
      <c r="R657" s="635"/>
    </row>
    <row r="658" spans="1:18">
      <c r="A658" s="634">
        <v>17</v>
      </c>
      <c r="B658" s="639"/>
      <c r="C658" s="634">
        <v>31151</v>
      </c>
      <c r="D658" s="372" t="s">
        <v>627</v>
      </c>
      <c r="E658" s="372"/>
      <c r="F658" s="634">
        <v>0</v>
      </c>
      <c r="G658" s="635"/>
      <c r="H658" s="634" t="s">
        <v>628</v>
      </c>
      <c r="I658" s="635"/>
      <c r="J658" s="634" t="s">
        <v>635</v>
      </c>
      <c r="K658" s="372"/>
      <c r="L658" s="634" t="s">
        <v>635</v>
      </c>
      <c r="M658" s="372"/>
      <c r="N658" s="634" t="s">
        <v>635</v>
      </c>
      <c r="O658" s="635"/>
      <c r="P658" s="634" t="s">
        <v>635</v>
      </c>
      <c r="Q658" s="372"/>
      <c r="R658" s="634" t="s">
        <v>635</v>
      </c>
    </row>
    <row r="659" spans="1:18">
      <c r="A659" s="634">
        <v>18</v>
      </c>
      <c r="B659" s="639"/>
      <c r="C659" s="634">
        <v>31251</v>
      </c>
      <c r="D659" s="372" t="s">
        <v>629</v>
      </c>
      <c r="E659" s="372"/>
      <c r="F659" s="634">
        <v>0</v>
      </c>
      <c r="G659" s="635"/>
      <c r="H659" s="634" t="s">
        <v>628</v>
      </c>
      <c r="I659" s="635"/>
      <c r="J659" s="634" t="s">
        <v>635</v>
      </c>
      <c r="K659" s="372"/>
      <c r="L659" s="634" t="s">
        <v>635</v>
      </c>
      <c r="M659" s="372"/>
      <c r="N659" s="634" t="s">
        <v>635</v>
      </c>
      <c r="O659" s="635"/>
      <c r="P659" s="634" t="s">
        <v>635</v>
      </c>
      <c r="Q659" s="372"/>
      <c r="R659" s="634" t="s">
        <v>635</v>
      </c>
    </row>
    <row r="660" spans="1:18">
      <c r="A660" s="634">
        <v>19</v>
      </c>
      <c r="B660" s="639"/>
      <c r="C660" s="634">
        <v>31551</v>
      </c>
      <c r="D660" s="372" t="s">
        <v>631</v>
      </c>
      <c r="E660" s="372"/>
      <c r="F660" s="634">
        <v>0</v>
      </c>
      <c r="G660" s="635"/>
      <c r="H660" s="634" t="s">
        <v>628</v>
      </c>
      <c r="I660" s="635"/>
      <c r="J660" s="634" t="s">
        <v>635</v>
      </c>
      <c r="K660" s="372"/>
      <c r="L660" s="634" t="s">
        <v>635</v>
      </c>
      <c r="M660" s="372"/>
      <c r="N660" s="634" t="s">
        <v>635</v>
      </c>
      <c r="O660" s="635"/>
      <c r="P660" s="634" t="s">
        <v>635</v>
      </c>
      <c r="Q660" s="372"/>
      <c r="R660" s="634" t="s">
        <v>635</v>
      </c>
    </row>
    <row r="661" spans="1:18">
      <c r="A661" s="634">
        <v>20</v>
      </c>
      <c r="B661" s="639"/>
      <c r="C661" s="634">
        <v>31651</v>
      </c>
      <c r="D661" s="372" t="s">
        <v>651</v>
      </c>
      <c r="E661" s="372"/>
      <c r="F661" s="634">
        <v>0</v>
      </c>
      <c r="G661" s="635"/>
      <c r="H661" s="634" t="s">
        <v>628</v>
      </c>
      <c r="I661" s="635"/>
      <c r="J661" s="634" t="s">
        <v>635</v>
      </c>
      <c r="K661" s="372"/>
      <c r="L661" s="634" t="s">
        <v>635</v>
      </c>
      <c r="M661" s="372"/>
      <c r="N661" s="634" t="s">
        <v>635</v>
      </c>
      <c r="O661" s="635"/>
      <c r="P661" s="634" t="s">
        <v>635</v>
      </c>
      <c r="Q661" s="372"/>
      <c r="R661" s="634" t="s">
        <v>635</v>
      </c>
    </row>
    <row r="662" spans="1:18">
      <c r="A662" s="634">
        <v>21</v>
      </c>
      <c r="B662" s="639"/>
      <c r="C662" s="634"/>
      <c r="D662" s="636" t="s">
        <v>652</v>
      </c>
      <c r="E662" s="372"/>
      <c r="F662" s="372"/>
      <c r="G662" s="372"/>
      <c r="H662" s="643" t="s">
        <v>628</v>
      </c>
      <c r="I662" s="635"/>
      <c r="J662" s="643" t="s">
        <v>635</v>
      </c>
      <c r="K662" s="635"/>
      <c r="L662" s="643" t="s">
        <v>635</v>
      </c>
      <c r="M662" s="635"/>
      <c r="N662" s="643" t="s">
        <v>635</v>
      </c>
      <c r="O662" s="635"/>
      <c r="P662" s="643" t="s">
        <v>635</v>
      </c>
      <c r="Q662" s="635"/>
      <c r="R662" s="643" t="s">
        <v>635</v>
      </c>
    </row>
    <row r="663" spans="1:18">
      <c r="A663" s="634">
        <v>22</v>
      </c>
      <c r="B663" s="639"/>
      <c r="C663" s="372"/>
      <c r="D663" s="372"/>
      <c r="E663" s="372"/>
      <c r="F663" s="372"/>
      <c r="G663" s="372"/>
      <c r="H663" s="372"/>
      <c r="I663" s="372"/>
      <c r="J663" s="372"/>
      <c r="K663" s="372"/>
      <c r="L663" s="372"/>
      <c r="M663" s="372"/>
      <c r="N663" s="372"/>
      <c r="O663" s="635"/>
      <c r="P663" s="372"/>
      <c r="Q663" s="372"/>
      <c r="R663" s="372"/>
    </row>
    <row r="664" spans="1:18">
      <c r="A664" s="634">
        <v>23</v>
      </c>
      <c r="B664" s="639"/>
      <c r="C664" s="635"/>
      <c r="D664" s="636" t="s">
        <v>653</v>
      </c>
      <c r="E664" s="372"/>
      <c r="F664" s="372"/>
      <c r="G664" s="372"/>
      <c r="H664" s="372"/>
      <c r="I664" s="635"/>
      <c r="J664" s="635"/>
      <c r="K664" s="635"/>
      <c r="L664" s="635"/>
      <c r="M664" s="635"/>
      <c r="N664" s="635"/>
      <c r="O664" s="635"/>
      <c r="P664" s="635"/>
      <c r="Q664" s="635"/>
      <c r="R664" s="635"/>
    </row>
    <row r="665" spans="1:18">
      <c r="A665" s="634">
        <v>24</v>
      </c>
      <c r="B665" s="639"/>
      <c r="C665" s="634">
        <v>31152</v>
      </c>
      <c r="D665" s="372" t="s">
        <v>627</v>
      </c>
      <c r="E665" s="372"/>
      <c r="F665" s="634">
        <v>0</v>
      </c>
      <c r="G665" s="635"/>
      <c r="H665" s="634" t="s">
        <v>628</v>
      </c>
      <c r="I665" s="635"/>
      <c r="J665" s="634" t="s">
        <v>635</v>
      </c>
      <c r="K665" s="372"/>
      <c r="L665" s="634" t="s">
        <v>635</v>
      </c>
      <c r="M665" s="372"/>
      <c r="N665" s="634" t="s">
        <v>635</v>
      </c>
      <c r="O665" s="635"/>
      <c r="P665" s="634" t="s">
        <v>635</v>
      </c>
      <c r="Q665" s="372"/>
      <c r="R665" s="634" t="s">
        <v>635</v>
      </c>
    </row>
    <row r="666" spans="1:18">
      <c r="A666" s="634">
        <v>25</v>
      </c>
      <c r="B666" s="639"/>
      <c r="C666" s="634">
        <v>31252</v>
      </c>
      <c r="D666" s="372" t="s">
        <v>629</v>
      </c>
      <c r="E666" s="372"/>
      <c r="F666" s="634">
        <v>0</v>
      </c>
      <c r="G666" s="635"/>
      <c r="H666" s="634" t="s">
        <v>628</v>
      </c>
      <c r="I666" s="635"/>
      <c r="J666" s="634" t="s">
        <v>635</v>
      </c>
      <c r="K666" s="372"/>
      <c r="L666" s="634" t="s">
        <v>635</v>
      </c>
      <c r="M666" s="372"/>
      <c r="N666" s="634" t="s">
        <v>635</v>
      </c>
      <c r="O666" s="635"/>
      <c r="P666" s="634" t="s">
        <v>635</v>
      </c>
      <c r="Q666" s="372"/>
      <c r="R666" s="634" t="s">
        <v>635</v>
      </c>
    </row>
    <row r="667" spans="1:18">
      <c r="A667" s="634">
        <v>26</v>
      </c>
      <c r="B667" s="639"/>
      <c r="C667" s="634">
        <v>31552</v>
      </c>
      <c r="D667" s="372" t="s">
        <v>631</v>
      </c>
      <c r="E667" s="372"/>
      <c r="F667" s="634">
        <v>0</v>
      </c>
      <c r="G667" s="635"/>
      <c r="H667" s="634" t="s">
        <v>628</v>
      </c>
      <c r="I667" s="635"/>
      <c r="J667" s="634" t="s">
        <v>635</v>
      </c>
      <c r="K667" s="372"/>
      <c r="L667" s="634" t="s">
        <v>635</v>
      </c>
      <c r="M667" s="372"/>
      <c r="N667" s="634" t="s">
        <v>635</v>
      </c>
      <c r="O667" s="635"/>
      <c r="P667" s="634" t="s">
        <v>635</v>
      </c>
      <c r="Q667" s="372"/>
      <c r="R667" s="634" t="s">
        <v>635</v>
      </c>
    </row>
    <row r="668" spans="1:18">
      <c r="A668" s="634">
        <v>27</v>
      </c>
      <c r="B668" s="639"/>
      <c r="C668" s="634">
        <v>31652</v>
      </c>
      <c r="D668" s="372" t="s">
        <v>632</v>
      </c>
      <c r="E668" s="372"/>
      <c r="F668" s="634">
        <v>0</v>
      </c>
      <c r="G668" s="635"/>
      <c r="H668" s="634" t="s">
        <v>628</v>
      </c>
      <c r="I668" s="635"/>
      <c r="J668" s="634" t="s">
        <v>635</v>
      </c>
      <c r="K668" s="372"/>
      <c r="L668" s="634" t="s">
        <v>635</v>
      </c>
      <c r="M668" s="372"/>
      <c r="N668" s="634" t="s">
        <v>635</v>
      </c>
      <c r="O668" s="635"/>
      <c r="P668" s="634" t="s">
        <v>635</v>
      </c>
      <c r="Q668" s="372"/>
      <c r="R668" s="634" t="s">
        <v>635</v>
      </c>
    </row>
    <row r="669" spans="1:18">
      <c r="A669" s="634">
        <v>28</v>
      </c>
      <c r="B669" s="639"/>
      <c r="C669" s="372"/>
      <c r="D669" s="636" t="s">
        <v>654</v>
      </c>
      <c r="E669" s="372"/>
      <c r="F669" s="372"/>
      <c r="G669" s="372"/>
      <c r="H669" s="643" t="s">
        <v>628</v>
      </c>
      <c r="I669" s="635"/>
      <c r="J669" s="643" t="s">
        <v>635</v>
      </c>
      <c r="K669" s="635"/>
      <c r="L669" s="643" t="s">
        <v>635</v>
      </c>
      <c r="M669" s="635"/>
      <c r="N669" s="643" t="s">
        <v>635</v>
      </c>
      <c r="O669" s="635"/>
      <c r="P669" s="643" t="s">
        <v>635</v>
      </c>
      <c r="Q669" s="635"/>
      <c r="R669" s="643" t="s">
        <v>635</v>
      </c>
    </row>
    <row r="670" spans="1:18">
      <c r="A670" s="634">
        <v>29</v>
      </c>
      <c r="B670" s="639"/>
      <c r="C670" s="372"/>
      <c r="D670" s="372"/>
      <c r="E670" s="372"/>
      <c r="F670" s="372"/>
      <c r="G670" s="372"/>
      <c r="H670" s="372"/>
      <c r="I670" s="372"/>
      <c r="J670" s="372"/>
      <c r="K670" s="372"/>
      <c r="L670" s="372"/>
      <c r="M670" s="372"/>
      <c r="N670" s="372"/>
      <c r="O670" s="635"/>
      <c r="P670" s="372"/>
      <c r="Q670" s="372"/>
      <c r="R670" s="372"/>
    </row>
    <row r="671" spans="1:18">
      <c r="A671" s="634">
        <v>30</v>
      </c>
      <c r="B671" s="639"/>
      <c r="C671" s="635"/>
      <c r="D671" s="636" t="s">
        <v>655</v>
      </c>
      <c r="E671" s="372"/>
      <c r="F671" s="372"/>
      <c r="G671" s="372"/>
      <c r="H671" s="372"/>
      <c r="I671" s="372"/>
      <c r="J671" s="372"/>
      <c r="K671" s="372"/>
      <c r="L671" s="372"/>
      <c r="M671" s="372"/>
      <c r="N671" s="372"/>
      <c r="O671" s="635"/>
      <c r="P671" s="372"/>
      <c r="Q671" s="372"/>
      <c r="R671" s="372"/>
    </row>
    <row r="672" spans="1:18">
      <c r="A672" s="634">
        <v>31</v>
      </c>
      <c r="B672" s="639"/>
      <c r="C672" s="634">
        <v>31153</v>
      </c>
      <c r="D672" s="372" t="s">
        <v>627</v>
      </c>
      <c r="E672" s="372"/>
      <c r="F672" s="634">
        <v>0</v>
      </c>
      <c r="G672" s="635"/>
      <c r="H672" s="634" t="s">
        <v>628</v>
      </c>
      <c r="I672" s="635"/>
      <c r="J672" s="634" t="s">
        <v>635</v>
      </c>
      <c r="K672" s="372"/>
      <c r="L672" s="634" t="s">
        <v>635</v>
      </c>
      <c r="M672" s="372"/>
      <c r="N672" s="634" t="s">
        <v>635</v>
      </c>
      <c r="O672" s="635"/>
      <c r="P672" s="634" t="s">
        <v>635</v>
      </c>
      <c r="Q672" s="372"/>
      <c r="R672" s="634" t="s">
        <v>635</v>
      </c>
    </row>
    <row r="673" spans="1:18">
      <c r="A673" s="634">
        <v>32</v>
      </c>
      <c r="B673" s="639"/>
      <c r="C673" s="634">
        <v>31253</v>
      </c>
      <c r="D673" s="372" t="s">
        <v>629</v>
      </c>
      <c r="E673" s="372"/>
      <c r="F673" s="634">
        <v>0</v>
      </c>
      <c r="G673" s="635"/>
      <c r="H673" s="634" t="s">
        <v>628</v>
      </c>
      <c r="I673" s="635"/>
      <c r="J673" s="634" t="s">
        <v>635</v>
      </c>
      <c r="K673" s="372"/>
      <c r="L673" s="634" t="s">
        <v>635</v>
      </c>
      <c r="M673" s="372"/>
      <c r="N673" s="634" t="s">
        <v>635</v>
      </c>
      <c r="O673" s="635"/>
      <c r="P673" s="634" t="s">
        <v>635</v>
      </c>
      <c r="Q673" s="372"/>
      <c r="R673" s="634" t="s">
        <v>635</v>
      </c>
    </row>
    <row r="674" spans="1:18">
      <c r="A674" s="634">
        <v>33</v>
      </c>
      <c r="B674" s="639"/>
      <c r="C674" s="634">
        <v>31553</v>
      </c>
      <c r="D674" s="372" t="s">
        <v>631</v>
      </c>
      <c r="E674" s="372"/>
      <c r="F674" s="634">
        <v>0</v>
      </c>
      <c r="G674" s="635"/>
      <c r="H674" s="634" t="s">
        <v>628</v>
      </c>
      <c r="I674" s="635"/>
      <c r="J674" s="634" t="s">
        <v>635</v>
      </c>
      <c r="K674" s="372"/>
      <c r="L674" s="634" t="s">
        <v>635</v>
      </c>
      <c r="M674" s="372"/>
      <c r="N674" s="634" t="s">
        <v>635</v>
      </c>
      <c r="O674" s="635"/>
      <c r="P674" s="634" t="s">
        <v>635</v>
      </c>
      <c r="Q674" s="372"/>
      <c r="R674" s="634" t="s">
        <v>635</v>
      </c>
    </row>
    <row r="675" spans="1:18">
      <c r="A675" s="634">
        <v>34</v>
      </c>
      <c r="B675" s="639"/>
      <c r="C675" s="634">
        <v>31653</v>
      </c>
      <c r="D675" s="372" t="s">
        <v>632</v>
      </c>
      <c r="E675" s="372"/>
      <c r="F675" s="634">
        <v>0</v>
      </c>
      <c r="G675" s="635"/>
      <c r="H675" s="634" t="s">
        <v>628</v>
      </c>
      <c r="I675" s="635"/>
      <c r="J675" s="634" t="s">
        <v>635</v>
      </c>
      <c r="K675" s="372"/>
      <c r="L675" s="634" t="s">
        <v>635</v>
      </c>
      <c r="M675" s="372"/>
      <c r="N675" s="634" t="s">
        <v>635</v>
      </c>
      <c r="O675" s="635"/>
      <c r="P675" s="634" t="s">
        <v>635</v>
      </c>
      <c r="Q675" s="372"/>
      <c r="R675" s="634" t="s">
        <v>635</v>
      </c>
    </row>
    <row r="676" spans="1:18">
      <c r="A676" s="634">
        <v>35</v>
      </c>
      <c r="B676" s="639"/>
      <c r="C676" s="634"/>
      <c r="D676" s="636" t="s">
        <v>656</v>
      </c>
      <c r="E676" s="372"/>
      <c r="F676" s="372"/>
      <c r="G676" s="372"/>
      <c r="H676" s="643" t="s">
        <v>628</v>
      </c>
      <c r="I676" s="635"/>
      <c r="J676" s="643" t="s">
        <v>635</v>
      </c>
      <c r="K676" s="635"/>
      <c r="L676" s="643" t="s">
        <v>635</v>
      </c>
      <c r="M676" s="635"/>
      <c r="N676" s="643" t="s">
        <v>635</v>
      </c>
      <c r="O676" s="635"/>
      <c r="P676" s="643" t="s">
        <v>635</v>
      </c>
      <c r="Q676" s="635"/>
      <c r="R676" s="643" t="s">
        <v>635</v>
      </c>
    </row>
    <row r="677" spans="1:18">
      <c r="A677" s="634">
        <v>36</v>
      </c>
      <c r="B677" s="639"/>
      <c r="C677" s="372"/>
      <c r="D677" s="372"/>
      <c r="E677" s="372"/>
      <c r="F677" s="372"/>
      <c r="G677" s="372"/>
      <c r="H677" s="372"/>
      <c r="I677" s="372"/>
      <c r="J677" s="372"/>
      <c r="K677" s="372"/>
      <c r="L677" s="372"/>
      <c r="M677" s="372"/>
      <c r="N677" s="372"/>
      <c r="O677" s="635"/>
      <c r="P677" s="372"/>
      <c r="Q677" s="372"/>
      <c r="R677" s="372"/>
    </row>
    <row r="678" spans="1:18">
      <c r="A678" s="634">
        <v>37</v>
      </c>
      <c r="B678" s="639"/>
      <c r="C678" s="635"/>
      <c r="D678" s="636" t="s">
        <v>657</v>
      </c>
      <c r="E678" s="372"/>
      <c r="F678" s="372"/>
      <c r="G678" s="372"/>
      <c r="H678" s="372"/>
      <c r="I678" s="635"/>
      <c r="J678" s="635"/>
      <c r="K678" s="635"/>
      <c r="L678" s="635"/>
      <c r="M678" s="635"/>
      <c r="N678" s="635"/>
      <c r="O678" s="635"/>
      <c r="P678" s="635"/>
      <c r="Q678" s="635"/>
      <c r="R678" s="635"/>
    </row>
    <row r="679" spans="1:18">
      <c r="A679" s="634">
        <v>38</v>
      </c>
      <c r="B679" s="639"/>
      <c r="C679" s="634">
        <v>31154</v>
      </c>
      <c r="D679" s="372" t="s">
        <v>627</v>
      </c>
      <c r="E679" s="372"/>
      <c r="F679" s="634">
        <v>3.49</v>
      </c>
      <c r="G679" s="635"/>
      <c r="H679" s="640">
        <v>16995</v>
      </c>
      <c r="I679" s="635"/>
      <c r="J679" s="634" t="s">
        <v>635</v>
      </c>
      <c r="K679" s="372"/>
      <c r="L679" s="634" t="s">
        <v>635</v>
      </c>
      <c r="M679" s="372"/>
      <c r="N679" s="634" t="s">
        <v>635</v>
      </c>
      <c r="O679" s="635"/>
      <c r="P679" s="640">
        <v>16995</v>
      </c>
      <c r="Q679" s="372"/>
      <c r="R679" s="640">
        <v>16995</v>
      </c>
    </row>
    <row r="680" spans="1:18">
      <c r="A680" s="634">
        <v>39</v>
      </c>
      <c r="B680" s="639"/>
      <c r="C680" s="634">
        <v>31254</v>
      </c>
      <c r="D680" s="372" t="s">
        <v>629</v>
      </c>
      <c r="E680" s="372"/>
      <c r="F680" s="634">
        <v>5.38</v>
      </c>
      <c r="G680" s="635"/>
      <c r="H680" s="640">
        <v>40268</v>
      </c>
      <c r="I680" s="635"/>
      <c r="J680" s="634" t="s">
        <v>635</v>
      </c>
      <c r="K680" s="372"/>
      <c r="L680" s="634" t="s">
        <v>635</v>
      </c>
      <c r="M680" s="372"/>
      <c r="N680" s="634" t="s">
        <v>635</v>
      </c>
      <c r="O680" s="635"/>
      <c r="P680" s="640">
        <v>40268</v>
      </c>
      <c r="Q680" s="372"/>
      <c r="R680" s="640">
        <v>40268</v>
      </c>
    </row>
    <row r="681" spans="1:18">
      <c r="A681" s="634">
        <v>40</v>
      </c>
      <c r="B681" s="639"/>
      <c r="C681" s="634">
        <v>31554</v>
      </c>
      <c r="D681" s="372" t="s">
        <v>631</v>
      </c>
      <c r="E681" s="372"/>
      <c r="F681" s="634">
        <v>2.8</v>
      </c>
      <c r="G681" s="635"/>
      <c r="H681" s="640">
        <v>15496</v>
      </c>
      <c r="I681" s="635"/>
      <c r="J681" s="634" t="s">
        <v>635</v>
      </c>
      <c r="K681" s="372"/>
      <c r="L681" s="634" t="s">
        <v>635</v>
      </c>
      <c r="M681" s="372"/>
      <c r="N681" s="634" t="s">
        <v>635</v>
      </c>
      <c r="O681" s="635"/>
      <c r="P681" s="640">
        <v>15496</v>
      </c>
      <c r="Q681" s="372"/>
      <c r="R681" s="640">
        <v>15496</v>
      </c>
    </row>
    <row r="682" spans="1:18">
      <c r="A682" s="634">
        <v>41</v>
      </c>
      <c r="B682" s="639"/>
      <c r="C682" s="634">
        <v>31654</v>
      </c>
      <c r="D682" s="372" t="s">
        <v>632</v>
      </c>
      <c r="E682" s="372"/>
      <c r="F682" s="634">
        <v>1.92</v>
      </c>
      <c r="G682" s="635"/>
      <c r="H682" s="634">
        <v>688</v>
      </c>
      <c r="I682" s="635"/>
      <c r="J682" s="634" t="s">
        <v>635</v>
      </c>
      <c r="K682" s="372"/>
      <c r="L682" s="634" t="s">
        <v>635</v>
      </c>
      <c r="M682" s="372"/>
      <c r="N682" s="634" t="s">
        <v>635</v>
      </c>
      <c r="O682" s="635"/>
      <c r="P682" s="634">
        <v>688</v>
      </c>
      <c r="Q682" s="372"/>
      <c r="R682" s="634">
        <v>688</v>
      </c>
    </row>
    <row r="683" spans="1:18">
      <c r="A683" s="634">
        <v>42</v>
      </c>
      <c r="B683" s="639"/>
      <c r="C683" s="634"/>
      <c r="D683" s="636" t="s">
        <v>658</v>
      </c>
      <c r="E683" s="372"/>
      <c r="F683" s="372"/>
      <c r="G683" s="372"/>
      <c r="H683" s="642">
        <v>73447</v>
      </c>
      <c r="I683" s="635"/>
      <c r="J683" s="643" t="s">
        <v>635</v>
      </c>
      <c r="K683" s="635"/>
      <c r="L683" s="643" t="s">
        <v>635</v>
      </c>
      <c r="M683" s="635"/>
      <c r="N683" s="643" t="s">
        <v>635</v>
      </c>
      <c r="O683" s="635"/>
      <c r="P683" s="642">
        <v>73447</v>
      </c>
      <c r="Q683" s="635"/>
      <c r="R683" s="642">
        <v>73447</v>
      </c>
    </row>
    <row r="684" spans="1:18">
      <c r="A684" s="634">
        <v>43</v>
      </c>
      <c r="B684" s="639"/>
      <c r="C684" s="634"/>
      <c r="D684" s="372"/>
      <c r="E684" s="372"/>
      <c r="F684" s="372"/>
      <c r="G684" s="635"/>
      <c r="H684" s="372"/>
      <c r="I684" s="635"/>
      <c r="J684" s="372"/>
      <c r="K684" s="635"/>
      <c r="L684" s="372"/>
      <c r="M684" s="635"/>
      <c r="N684" s="372"/>
      <c r="O684" s="635"/>
      <c r="P684" s="372"/>
      <c r="Q684" s="635"/>
      <c r="R684" s="372"/>
    </row>
    <row r="685" spans="1:18" ht="15" thickBot="1">
      <c r="A685" s="637">
        <v>44</v>
      </c>
      <c r="B685" s="660" t="s">
        <v>67</v>
      </c>
      <c r="C685" s="660"/>
      <c r="D685" s="625"/>
      <c r="E685" s="625"/>
      <c r="F685" s="625"/>
      <c r="G685" s="625"/>
      <c r="H685" s="625"/>
      <c r="I685" s="625"/>
      <c r="J685" s="625"/>
      <c r="K685" s="625"/>
      <c r="L685" s="625"/>
      <c r="M685" s="625"/>
      <c r="N685" s="625"/>
      <c r="O685" s="638"/>
      <c r="P685" s="625"/>
      <c r="Q685" s="625"/>
      <c r="R685" s="625"/>
    </row>
    <row r="686" spans="1:18">
      <c r="A686" s="664" t="s">
        <v>643</v>
      </c>
      <c r="B686" s="664"/>
      <c r="C686" s="372"/>
      <c r="D686" s="372"/>
      <c r="E686" s="664"/>
      <c r="F686" s="664"/>
      <c r="G686" s="664"/>
      <c r="H686" s="664"/>
      <c r="I686" s="664"/>
      <c r="J686" s="664"/>
      <c r="K686" s="664"/>
      <c r="L686" s="664"/>
      <c r="M686" s="664"/>
      <c r="N686" s="664"/>
      <c r="O686" s="635"/>
      <c r="P686" s="372" t="s">
        <v>644</v>
      </c>
      <c r="Q686" s="664"/>
      <c r="R686" s="664"/>
    </row>
    <row r="687" spans="1:18" ht="15" thickBot="1">
      <c r="A687" s="625" t="s">
        <v>604</v>
      </c>
      <c r="B687" s="625"/>
      <c r="C687" s="625"/>
      <c r="D687" s="625"/>
      <c r="E687" s="625"/>
      <c r="F687" s="625"/>
      <c r="G687" s="625" t="s">
        <v>605</v>
      </c>
      <c r="H687" s="625"/>
      <c r="I687" s="625"/>
      <c r="J687" s="625"/>
      <c r="K687" s="625"/>
      <c r="L687" s="625"/>
      <c r="M687" s="625"/>
      <c r="N687" s="625"/>
      <c r="O687" s="638"/>
      <c r="P687" s="625"/>
      <c r="Q687" s="625"/>
      <c r="R687" s="625" t="s">
        <v>659</v>
      </c>
    </row>
    <row r="688" spans="1:18">
      <c r="A688" s="664" t="s">
        <v>4</v>
      </c>
      <c r="B688" s="664"/>
      <c r="C688" s="372"/>
      <c r="D688" s="372"/>
      <c r="E688" s="635" t="s">
        <v>553</v>
      </c>
      <c r="F688" s="372" t="s">
        <v>607</v>
      </c>
      <c r="G688" s="664"/>
      <c r="H688" s="664"/>
      <c r="I688" s="664"/>
      <c r="J688" s="664"/>
      <c r="K688" s="661"/>
      <c r="L688" s="661"/>
      <c r="M688" s="661"/>
      <c r="N688" s="661"/>
      <c r="O688" s="645"/>
      <c r="P688" s="372" t="s">
        <v>608</v>
      </c>
      <c r="Q688" s="664"/>
      <c r="R688" s="664"/>
    </row>
    <row r="689" spans="1:18">
      <c r="A689" s="372"/>
      <c r="B689" s="372"/>
      <c r="C689" s="372"/>
      <c r="D689" s="372"/>
      <c r="E689" s="372"/>
      <c r="F689" s="372" t="s">
        <v>609</v>
      </c>
      <c r="G689" s="372"/>
      <c r="H689" s="372"/>
      <c r="I689" s="372"/>
      <c r="J689" s="372"/>
      <c r="K689" s="636"/>
      <c r="L689" s="636"/>
      <c r="M689" s="372"/>
      <c r="N689" s="372"/>
      <c r="O689" s="635" t="s">
        <v>12</v>
      </c>
      <c r="P689" s="636" t="s">
        <v>9</v>
      </c>
      <c r="Q689" s="372"/>
      <c r="R689" s="372"/>
    </row>
    <row r="690" spans="1:18">
      <c r="A690" s="372" t="s">
        <v>10</v>
      </c>
      <c r="B690" s="372"/>
      <c r="C690" s="372"/>
      <c r="D690" s="372"/>
      <c r="E690" s="372"/>
      <c r="F690" s="372"/>
      <c r="G690" s="372"/>
      <c r="H690" s="372"/>
      <c r="I690" s="372"/>
      <c r="J690" s="372"/>
      <c r="K690" s="636"/>
      <c r="L690" s="636"/>
      <c r="M690" s="372"/>
      <c r="N690" s="372"/>
      <c r="O690" s="635"/>
      <c r="P690" s="636" t="s">
        <v>11</v>
      </c>
      <c r="Q690" s="372"/>
      <c r="R690" s="372"/>
    </row>
    <row r="691" spans="1:18">
      <c r="A691" s="372"/>
      <c r="B691" s="372"/>
      <c r="C691" s="372"/>
      <c r="D691" s="372"/>
      <c r="E691" s="372"/>
      <c r="F691" s="372"/>
      <c r="G691" s="372"/>
      <c r="H691" s="372"/>
      <c r="I691" s="372"/>
      <c r="J691" s="372"/>
      <c r="K691" s="636"/>
      <c r="L691" s="636"/>
      <c r="M691" s="372"/>
      <c r="N691" s="372"/>
      <c r="O691" s="635"/>
      <c r="P691" s="636" t="s">
        <v>13</v>
      </c>
      <c r="Q691" s="372"/>
      <c r="R691" s="372"/>
    </row>
    <row r="692" spans="1:18">
      <c r="A692" s="372"/>
      <c r="B692" s="372"/>
      <c r="C692" s="372"/>
      <c r="D692" s="372"/>
      <c r="E692" s="372"/>
      <c r="F692" s="372"/>
      <c r="G692" s="372"/>
      <c r="H692" s="372"/>
      <c r="I692" s="372"/>
      <c r="J692" s="372"/>
      <c r="K692" s="636"/>
      <c r="L692" s="636"/>
      <c r="M692" s="372"/>
      <c r="N692" s="372"/>
      <c r="O692" s="635"/>
      <c r="P692" s="636" t="s">
        <v>610</v>
      </c>
      <c r="Q692" s="372"/>
      <c r="R692" s="372"/>
    </row>
    <row r="693" spans="1:18" ht="15" thickBot="1">
      <c r="A693" s="625" t="s">
        <v>611</v>
      </c>
      <c r="B693" s="625"/>
      <c r="C693" s="625"/>
      <c r="D693" s="625"/>
      <c r="E693" s="625"/>
      <c r="F693" s="625"/>
      <c r="G693" s="625"/>
      <c r="H693" s="637" t="s">
        <v>612</v>
      </c>
      <c r="I693" s="625"/>
      <c r="J693" s="625"/>
      <c r="K693" s="625"/>
      <c r="L693" s="625"/>
      <c r="M693" s="625"/>
      <c r="N693" s="625"/>
      <c r="O693" s="638"/>
      <c r="P693" s="625" t="s">
        <v>249</v>
      </c>
      <c r="Q693" s="625"/>
      <c r="R693" s="625"/>
    </row>
    <row r="694" spans="1:18">
      <c r="A694" s="664"/>
      <c r="B694" s="664"/>
      <c r="C694" s="634"/>
      <c r="D694" s="634"/>
      <c r="E694" s="634"/>
      <c r="F694" s="634"/>
      <c r="G694" s="634"/>
      <c r="H694" s="634"/>
      <c r="I694" s="634"/>
      <c r="J694" s="634"/>
      <c r="K694" s="634"/>
      <c r="L694" s="634"/>
      <c r="M694" s="634"/>
      <c r="N694" s="634"/>
      <c r="O694" s="635"/>
      <c r="P694" s="634"/>
      <c r="Q694" s="634"/>
      <c r="R694" s="634"/>
    </row>
    <row r="695" spans="1:18">
      <c r="A695" s="372"/>
      <c r="B695" s="372"/>
      <c r="C695" s="634">
        <v>-1</v>
      </c>
      <c r="D695" s="634">
        <v>-2</v>
      </c>
      <c r="E695" s="634"/>
      <c r="F695" s="634">
        <v>-3</v>
      </c>
      <c r="G695" s="634"/>
      <c r="H695" s="634">
        <v>-4</v>
      </c>
      <c r="I695" s="634"/>
      <c r="J695" s="634">
        <v>-5</v>
      </c>
      <c r="K695" s="634"/>
      <c r="L695" s="634">
        <v>-6</v>
      </c>
      <c r="M695" s="634"/>
      <c r="N695" s="634">
        <v>-7</v>
      </c>
      <c r="O695" s="635"/>
      <c r="P695" s="634">
        <v>-8</v>
      </c>
      <c r="Q695" s="634"/>
      <c r="R695" s="634">
        <v>-9</v>
      </c>
    </row>
    <row r="696" spans="1:18">
      <c r="A696" s="372"/>
      <c r="B696" s="372"/>
      <c r="C696" s="634" t="s">
        <v>613</v>
      </c>
      <c r="D696" s="634" t="s">
        <v>613</v>
      </c>
      <c r="E696" s="372"/>
      <c r="F696" s="634" t="s">
        <v>37</v>
      </c>
      <c r="G696" s="634"/>
      <c r="H696" s="634" t="s">
        <v>30</v>
      </c>
      <c r="I696" s="634"/>
      <c r="J696" s="634" t="s">
        <v>45</v>
      </c>
      <c r="K696" s="634"/>
      <c r="L696" s="634" t="s">
        <v>45</v>
      </c>
      <c r="M696" s="634"/>
      <c r="N696" s="372"/>
      <c r="O696" s="635"/>
      <c r="P696" s="634" t="s">
        <v>30</v>
      </c>
      <c r="Q696" s="372"/>
      <c r="R696" s="372"/>
    </row>
    <row r="697" spans="1:18">
      <c r="A697" s="634" t="s">
        <v>35</v>
      </c>
      <c r="B697" s="634"/>
      <c r="C697" s="634" t="s">
        <v>614</v>
      </c>
      <c r="D697" s="634" t="s">
        <v>614</v>
      </c>
      <c r="E697" s="634"/>
      <c r="F697" s="634" t="s">
        <v>615</v>
      </c>
      <c r="G697" s="634"/>
      <c r="H697" s="634" t="s">
        <v>616</v>
      </c>
      <c r="I697" s="634"/>
      <c r="J697" s="634" t="s">
        <v>30</v>
      </c>
      <c r="K697" s="634"/>
      <c r="L697" s="634" t="s">
        <v>30</v>
      </c>
      <c r="M697" s="636"/>
      <c r="N697" s="634" t="s">
        <v>178</v>
      </c>
      <c r="O697" s="635"/>
      <c r="P697" s="634" t="s">
        <v>616</v>
      </c>
      <c r="Q697" s="634"/>
      <c r="R697" s="634" t="s">
        <v>353</v>
      </c>
    </row>
    <row r="698" spans="1:18" ht="15" thickBot="1">
      <c r="A698" s="637" t="s">
        <v>46</v>
      </c>
      <c r="B698" s="637"/>
      <c r="C698" s="637" t="s">
        <v>371</v>
      </c>
      <c r="D698" s="637" t="s">
        <v>617</v>
      </c>
      <c r="E698" s="637"/>
      <c r="F698" s="637" t="s">
        <v>618</v>
      </c>
      <c r="G698" s="637"/>
      <c r="H698" s="637" t="s">
        <v>619</v>
      </c>
      <c r="I698" s="637"/>
      <c r="J698" s="637" t="s">
        <v>620</v>
      </c>
      <c r="K698" s="637"/>
      <c r="L698" s="637" t="s">
        <v>621</v>
      </c>
      <c r="M698" s="637"/>
      <c r="N698" s="637" t="s">
        <v>622</v>
      </c>
      <c r="O698" s="638"/>
      <c r="P698" s="637" t="s">
        <v>623</v>
      </c>
      <c r="Q698" s="637"/>
      <c r="R698" s="637" t="s">
        <v>369</v>
      </c>
    </row>
    <row r="699" spans="1:18">
      <c r="A699" s="634">
        <v>1</v>
      </c>
      <c r="B699" s="634"/>
      <c r="C699" s="372"/>
      <c r="D699" s="372"/>
      <c r="E699" s="664"/>
      <c r="F699" s="664"/>
      <c r="G699" s="664"/>
      <c r="H699" s="664"/>
      <c r="I699" s="664"/>
      <c r="J699" s="664"/>
      <c r="K699" s="664"/>
      <c r="L699" s="664"/>
      <c r="M699" s="664"/>
      <c r="N699" s="664"/>
      <c r="O699" s="635"/>
      <c r="P699" s="372"/>
      <c r="Q699" s="664"/>
      <c r="R699" s="664"/>
    </row>
    <row r="700" spans="1:18">
      <c r="A700" s="634">
        <v>2</v>
      </c>
      <c r="B700" s="639"/>
      <c r="C700" s="634">
        <v>31247</v>
      </c>
      <c r="D700" s="372" t="s">
        <v>660</v>
      </c>
      <c r="E700" s="372"/>
      <c r="F700" s="634">
        <v>20</v>
      </c>
      <c r="G700" s="635"/>
      <c r="H700" s="695">
        <v>10157</v>
      </c>
      <c r="I700" s="635"/>
      <c r="J700" s="695" t="s">
        <v>635</v>
      </c>
      <c r="K700" s="372"/>
      <c r="L700" s="695" t="s">
        <v>635</v>
      </c>
      <c r="M700" s="372"/>
      <c r="N700" s="695" t="s">
        <v>635</v>
      </c>
      <c r="O700" s="635"/>
      <c r="P700" s="695">
        <v>10157</v>
      </c>
      <c r="Q700" s="372"/>
      <c r="R700" s="695">
        <v>10157</v>
      </c>
    </row>
    <row r="701" spans="1:18">
      <c r="A701" s="634">
        <v>3</v>
      </c>
      <c r="B701" s="639"/>
      <c r="C701" s="634">
        <v>31647</v>
      </c>
      <c r="D701" s="372" t="s">
        <v>661</v>
      </c>
      <c r="E701" s="372"/>
      <c r="F701" s="634">
        <v>14.3</v>
      </c>
      <c r="G701" s="635"/>
      <c r="H701" s="692">
        <v>765</v>
      </c>
      <c r="I701" s="635"/>
      <c r="J701" s="692" t="s">
        <v>635</v>
      </c>
      <c r="K701" s="372"/>
      <c r="L701" s="692">
        <v>-38</v>
      </c>
      <c r="M701" s="372"/>
      <c r="N701" s="692" t="s">
        <v>628</v>
      </c>
      <c r="O701" s="635"/>
      <c r="P701" s="692">
        <v>728</v>
      </c>
      <c r="Q701" s="372"/>
      <c r="R701" s="692">
        <v>736</v>
      </c>
    </row>
    <row r="702" spans="1:18">
      <c r="A702" s="634">
        <v>4</v>
      </c>
      <c r="B702" s="639"/>
      <c r="C702" s="634"/>
      <c r="D702" s="372"/>
      <c r="E702" s="372"/>
      <c r="F702" s="372"/>
      <c r="G702" s="372"/>
      <c r="H702" s="372"/>
      <c r="I702" s="635"/>
      <c r="J702" s="643"/>
      <c r="K702" s="635"/>
      <c r="L702" s="643"/>
      <c r="M702" s="635"/>
      <c r="N702" s="643"/>
      <c r="O702" s="635"/>
      <c r="P702" s="643"/>
      <c r="Q702" s="635"/>
      <c r="R702" s="643"/>
    </row>
    <row r="703" spans="1:18" ht="15" thickBot="1">
      <c r="A703" s="634">
        <v>5</v>
      </c>
      <c r="B703" s="639"/>
      <c r="C703" s="634"/>
      <c r="D703" s="636" t="s">
        <v>662</v>
      </c>
      <c r="E703" s="372"/>
      <c r="F703" s="372"/>
      <c r="G703" s="635"/>
      <c r="H703" s="646">
        <v>1470825</v>
      </c>
      <c r="I703" s="635"/>
      <c r="J703" s="646">
        <v>18434</v>
      </c>
      <c r="K703" s="635"/>
      <c r="L703" s="646">
        <v>-3724</v>
      </c>
      <c r="M703" s="635"/>
      <c r="N703" s="647" t="s">
        <v>628</v>
      </c>
      <c r="O703" s="635"/>
      <c r="P703" s="646">
        <v>1485535</v>
      </c>
      <c r="Q703" s="635"/>
      <c r="R703" s="646">
        <v>1476691</v>
      </c>
    </row>
    <row r="704" spans="1:18" ht="15" thickTop="1">
      <c r="A704" s="634">
        <v>6</v>
      </c>
      <c r="B704" s="639"/>
      <c r="C704" s="634"/>
      <c r="D704" s="372"/>
      <c r="E704" s="372"/>
      <c r="F704" s="372"/>
      <c r="G704" s="635"/>
      <c r="H704" s="372"/>
      <c r="I704" s="635"/>
      <c r="J704" s="372"/>
      <c r="K704" s="635"/>
      <c r="L704" s="372"/>
      <c r="M704" s="635"/>
      <c r="N704" s="372"/>
      <c r="O704" s="635"/>
      <c r="P704" s="372"/>
      <c r="Q704" s="635"/>
      <c r="R704" s="372"/>
    </row>
    <row r="705" spans="1:18" ht="15" thickBot="1">
      <c r="A705" s="634">
        <v>7</v>
      </c>
      <c r="B705" s="634"/>
      <c r="C705" s="634"/>
      <c r="D705" s="372" t="s">
        <v>663</v>
      </c>
      <c r="E705" s="372"/>
      <c r="F705" s="372"/>
      <c r="G705" s="635"/>
      <c r="H705" s="646">
        <v>1470825</v>
      </c>
      <c r="I705" s="635"/>
      <c r="J705" s="646">
        <v>18434</v>
      </c>
      <c r="K705" s="635"/>
      <c r="L705" s="646">
        <v>-3724</v>
      </c>
      <c r="M705" s="635"/>
      <c r="N705" s="647" t="s">
        <v>628</v>
      </c>
      <c r="O705" s="635"/>
      <c r="P705" s="646">
        <v>1485535</v>
      </c>
      <c r="Q705" s="635"/>
      <c r="R705" s="646">
        <v>1476691</v>
      </c>
    </row>
    <row r="706" spans="1:18" ht="15" thickTop="1">
      <c r="A706" s="634">
        <v>8</v>
      </c>
      <c r="B706" s="634"/>
      <c r="C706" s="372"/>
      <c r="D706" s="372"/>
      <c r="E706" s="372"/>
      <c r="F706" s="372"/>
      <c r="G706" s="372"/>
      <c r="H706" s="372"/>
      <c r="I706" s="372"/>
      <c r="J706" s="372"/>
      <c r="K706" s="372"/>
      <c r="L706" s="372"/>
      <c r="M706" s="372"/>
      <c r="N706" s="372"/>
      <c r="O706" s="635"/>
      <c r="P706" s="372"/>
      <c r="Q706" s="372"/>
      <c r="R706" s="372"/>
    </row>
    <row r="707" spans="1:18">
      <c r="A707" s="634">
        <v>9</v>
      </c>
      <c r="B707" s="639"/>
      <c r="C707" s="372"/>
      <c r="D707" s="372" t="s">
        <v>664</v>
      </c>
      <c r="E707" s="372"/>
      <c r="F707" s="372"/>
      <c r="G707" s="372"/>
      <c r="H707" s="372"/>
      <c r="I707" s="372"/>
      <c r="J707" s="372"/>
      <c r="K707" s="372"/>
      <c r="L707" s="372"/>
      <c r="M707" s="372"/>
      <c r="N707" s="372"/>
      <c r="O707" s="635"/>
      <c r="P707" s="372"/>
      <c r="Q707" s="372"/>
      <c r="R707" s="372"/>
    </row>
    <row r="708" spans="1:18">
      <c r="A708" s="634">
        <v>10</v>
      </c>
      <c r="B708" s="639"/>
      <c r="C708" s="372"/>
      <c r="D708" s="372" t="s">
        <v>625</v>
      </c>
      <c r="E708" s="372"/>
      <c r="F708" s="372"/>
      <c r="G708" s="372"/>
      <c r="H708" s="372"/>
      <c r="I708" s="372"/>
      <c r="J708" s="372"/>
      <c r="K708" s="372"/>
      <c r="L708" s="372"/>
      <c r="M708" s="372"/>
      <c r="N708" s="372"/>
      <c r="O708" s="635"/>
      <c r="P708" s="372"/>
      <c r="Q708" s="372"/>
      <c r="R708" s="372"/>
    </row>
    <row r="709" spans="1:18">
      <c r="A709" s="634">
        <v>11</v>
      </c>
      <c r="B709" s="639"/>
      <c r="C709" s="372"/>
      <c r="D709" s="372" t="s">
        <v>665</v>
      </c>
      <c r="E709" s="634"/>
      <c r="F709" s="634"/>
      <c r="G709" s="634"/>
      <c r="H709" s="634"/>
      <c r="I709" s="634"/>
      <c r="J709" s="634"/>
      <c r="K709" s="634"/>
      <c r="L709" s="634"/>
      <c r="M709" s="634"/>
      <c r="N709" s="634"/>
      <c r="O709" s="635"/>
      <c r="P709" s="634"/>
      <c r="Q709" s="634"/>
      <c r="R709" s="634"/>
    </row>
    <row r="710" spans="1:18">
      <c r="A710" s="634">
        <v>12</v>
      </c>
      <c r="B710" s="639"/>
      <c r="C710" s="634">
        <v>34144</v>
      </c>
      <c r="D710" s="372" t="s">
        <v>627</v>
      </c>
      <c r="E710" s="634"/>
      <c r="F710" s="634">
        <v>3.38</v>
      </c>
      <c r="G710" s="635"/>
      <c r="H710" s="640">
        <v>3336</v>
      </c>
      <c r="I710" s="635"/>
      <c r="J710" s="634" t="s">
        <v>635</v>
      </c>
      <c r="K710" s="372"/>
      <c r="L710" s="634" t="s">
        <v>635</v>
      </c>
      <c r="M710" s="372"/>
      <c r="N710" s="634" t="s">
        <v>635</v>
      </c>
      <c r="O710" s="635"/>
      <c r="P710" s="640">
        <v>3336</v>
      </c>
      <c r="Q710" s="372"/>
      <c r="R710" s="640">
        <v>3336</v>
      </c>
    </row>
    <row r="711" spans="1:18">
      <c r="A711" s="634">
        <v>13</v>
      </c>
      <c r="B711" s="639"/>
      <c r="C711" s="634">
        <v>34244</v>
      </c>
      <c r="D711" s="372" t="s">
        <v>666</v>
      </c>
      <c r="E711" s="634"/>
      <c r="F711" s="634">
        <v>4.45</v>
      </c>
      <c r="G711" s="635"/>
      <c r="H711" s="640">
        <v>3723</v>
      </c>
      <c r="I711" s="635"/>
      <c r="J711" s="634" t="s">
        <v>635</v>
      </c>
      <c r="K711" s="372"/>
      <c r="L711" s="634" t="s">
        <v>635</v>
      </c>
      <c r="M711" s="372"/>
      <c r="N711" s="634" t="s">
        <v>635</v>
      </c>
      <c r="O711" s="635"/>
      <c r="P711" s="640">
        <v>3723</v>
      </c>
      <c r="Q711" s="372"/>
      <c r="R711" s="640">
        <v>3723</v>
      </c>
    </row>
    <row r="712" spans="1:18">
      <c r="A712" s="634">
        <v>14</v>
      </c>
      <c r="B712" s="639"/>
      <c r="C712" s="634">
        <v>34344</v>
      </c>
      <c r="D712" s="372" t="s">
        <v>667</v>
      </c>
      <c r="E712" s="634"/>
      <c r="F712" s="634">
        <v>2.72</v>
      </c>
      <c r="G712" s="635"/>
      <c r="H712" s="640">
        <v>21710</v>
      </c>
      <c r="I712" s="635"/>
      <c r="J712" s="634" t="s">
        <v>635</v>
      </c>
      <c r="K712" s="372"/>
      <c r="L712" s="634" t="s">
        <v>635</v>
      </c>
      <c r="M712" s="372"/>
      <c r="N712" s="634" t="s">
        <v>635</v>
      </c>
      <c r="O712" s="635"/>
      <c r="P712" s="640">
        <v>21710</v>
      </c>
      <c r="Q712" s="372"/>
      <c r="R712" s="640">
        <v>21710</v>
      </c>
    </row>
    <row r="713" spans="1:18">
      <c r="A713" s="634">
        <v>15</v>
      </c>
      <c r="B713" s="639"/>
      <c r="C713" s="634">
        <v>34544</v>
      </c>
      <c r="D713" s="372" t="s">
        <v>631</v>
      </c>
      <c r="E713" s="634"/>
      <c r="F713" s="634">
        <v>2.42</v>
      </c>
      <c r="G713" s="635"/>
      <c r="H713" s="640">
        <v>16329</v>
      </c>
      <c r="I713" s="635"/>
      <c r="J713" s="634" t="s">
        <v>635</v>
      </c>
      <c r="K713" s="372"/>
      <c r="L713" s="634" t="s">
        <v>635</v>
      </c>
      <c r="M713" s="372"/>
      <c r="N713" s="634" t="s">
        <v>635</v>
      </c>
      <c r="O713" s="635"/>
      <c r="P713" s="640">
        <v>16329</v>
      </c>
      <c r="Q713" s="372"/>
      <c r="R713" s="640">
        <v>16329</v>
      </c>
    </row>
    <row r="714" spans="1:18">
      <c r="A714" s="634">
        <v>16</v>
      </c>
      <c r="B714" s="639"/>
      <c r="C714" s="634">
        <v>34644</v>
      </c>
      <c r="D714" s="372" t="s">
        <v>632</v>
      </c>
      <c r="E714" s="372"/>
      <c r="F714" s="634">
        <v>3.13</v>
      </c>
      <c r="G714" s="635"/>
      <c r="H714" s="634">
        <v>511</v>
      </c>
      <c r="I714" s="635"/>
      <c r="J714" s="634" t="s">
        <v>635</v>
      </c>
      <c r="K714" s="372"/>
      <c r="L714" s="634" t="s">
        <v>635</v>
      </c>
      <c r="M714" s="372"/>
      <c r="N714" s="634" t="s">
        <v>635</v>
      </c>
      <c r="O714" s="635"/>
      <c r="P714" s="634">
        <v>511</v>
      </c>
      <c r="Q714" s="372"/>
      <c r="R714" s="634">
        <v>511</v>
      </c>
    </row>
    <row r="715" spans="1:18">
      <c r="A715" s="634">
        <v>17</v>
      </c>
      <c r="B715" s="639"/>
      <c r="C715" s="634"/>
      <c r="D715" s="636" t="s">
        <v>668</v>
      </c>
      <c r="E715" s="634"/>
      <c r="F715" s="634"/>
      <c r="G715" s="372"/>
      <c r="H715" s="642">
        <v>45608</v>
      </c>
      <c r="I715" s="635"/>
      <c r="J715" s="643" t="s">
        <v>635</v>
      </c>
      <c r="K715" s="635"/>
      <c r="L715" s="643" t="s">
        <v>635</v>
      </c>
      <c r="M715" s="635"/>
      <c r="N715" s="643" t="s">
        <v>635</v>
      </c>
      <c r="O715" s="635"/>
      <c r="P715" s="642">
        <v>45608</v>
      </c>
      <c r="Q715" s="635"/>
      <c r="R715" s="642">
        <v>45608</v>
      </c>
    </row>
    <row r="716" spans="1:18">
      <c r="A716" s="634">
        <v>18</v>
      </c>
      <c r="B716" s="639"/>
      <c r="C716" s="372"/>
      <c r="D716" s="372"/>
      <c r="E716" s="372"/>
      <c r="F716" s="372"/>
      <c r="G716" s="372"/>
      <c r="H716" s="372"/>
      <c r="I716" s="372"/>
      <c r="J716" s="372"/>
      <c r="K716" s="372"/>
      <c r="L716" s="372"/>
      <c r="M716" s="372"/>
      <c r="N716" s="372"/>
      <c r="O716" s="635"/>
      <c r="P716" s="372"/>
      <c r="Q716" s="372"/>
      <c r="R716" s="372"/>
    </row>
    <row r="717" spans="1:18">
      <c r="A717" s="634">
        <v>19</v>
      </c>
      <c r="B717" s="639"/>
      <c r="C717" s="634"/>
      <c r="D717" s="372" t="s">
        <v>669</v>
      </c>
      <c r="E717" s="372"/>
      <c r="F717" s="372"/>
      <c r="G717" s="372"/>
      <c r="H717" s="372"/>
      <c r="I717" s="372"/>
      <c r="J717" s="372"/>
      <c r="K717" s="372"/>
      <c r="L717" s="372"/>
      <c r="M717" s="372"/>
      <c r="N717" s="372"/>
      <c r="O717" s="635"/>
      <c r="P717" s="372"/>
      <c r="Q717" s="372"/>
      <c r="R717" s="372"/>
    </row>
    <row r="718" spans="1:18">
      <c r="A718" s="634">
        <v>20</v>
      </c>
      <c r="B718" s="639"/>
      <c r="C718" s="634">
        <v>34145</v>
      </c>
      <c r="D718" s="372" t="s">
        <v>627</v>
      </c>
      <c r="E718" s="372"/>
      <c r="F718" s="634">
        <v>2.2000000000000002</v>
      </c>
      <c r="G718" s="635"/>
      <c r="H718" s="634" t="s">
        <v>628</v>
      </c>
      <c r="I718" s="635"/>
      <c r="J718" s="634" t="s">
        <v>635</v>
      </c>
      <c r="K718" s="372"/>
      <c r="L718" s="634" t="s">
        <v>635</v>
      </c>
      <c r="M718" s="372"/>
      <c r="N718" s="634" t="s">
        <v>635</v>
      </c>
      <c r="O718" s="635"/>
      <c r="P718" s="634" t="s">
        <v>635</v>
      </c>
      <c r="Q718" s="372"/>
      <c r="R718" s="634" t="s">
        <v>635</v>
      </c>
    </row>
    <row r="719" spans="1:18">
      <c r="A719" s="634">
        <v>21</v>
      </c>
      <c r="B719" s="639"/>
      <c r="C719" s="634">
        <v>34245</v>
      </c>
      <c r="D719" s="372" t="s">
        <v>666</v>
      </c>
      <c r="E719" s="372"/>
      <c r="F719" s="634">
        <v>3.78</v>
      </c>
      <c r="G719" s="635"/>
      <c r="H719" s="634">
        <v>307</v>
      </c>
      <c r="I719" s="635"/>
      <c r="J719" s="634">
        <v>203</v>
      </c>
      <c r="K719" s="372"/>
      <c r="L719" s="634" t="s">
        <v>635</v>
      </c>
      <c r="M719" s="372"/>
      <c r="N719" s="634" t="s">
        <v>635</v>
      </c>
      <c r="O719" s="635"/>
      <c r="P719" s="634">
        <v>510</v>
      </c>
      <c r="Q719" s="372"/>
      <c r="R719" s="634">
        <v>392</v>
      </c>
    </row>
    <row r="720" spans="1:18">
      <c r="A720" s="634">
        <v>22</v>
      </c>
      <c r="B720" s="639"/>
      <c r="C720" s="634">
        <v>34345</v>
      </c>
      <c r="D720" s="372" t="s">
        <v>667</v>
      </c>
      <c r="E720" s="372"/>
      <c r="F720" s="634">
        <v>3.5</v>
      </c>
      <c r="G720" s="635"/>
      <c r="H720" s="640">
        <v>176825</v>
      </c>
      <c r="I720" s="635"/>
      <c r="J720" s="634">
        <v>203</v>
      </c>
      <c r="K720" s="372"/>
      <c r="L720" s="634" t="s">
        <v>635</v>
      </c>
      <c r="M720" s="372"/>
      <c r="N720" s="634" t="s">
        <v>635</v>
      </c>
      <c r="O720" s="635"/>
      <c r="P720" s="640">
        <v>177028</v>
      </c>
      <c r="Q720" s="372"/>
      <c r="R720" s="640">
        <v>176910</v>
      </c>
    </row>
    <row r="721" spans="1:18">
      <c r="A721" s="634">
        <v>23</v>
      </c>
      <c r="B721" s="639"/>
      <c r="C721" s="634">
        <v>34545</v>
      </c>
      <c r="D721" s="372" t="s">
        <v>631</v>
      </c>
      <c r="E721" s="372"/>
      <c r="F721" s="634">
        <v>1.89</v>
      </c>
      <c r="G721" s="635"/>
      <c r="H721" s="634">
        <v>59</v>
      </c>
      <c r="I721" s="635"/>
      <c r="J721" s="634" t="s">
        <v>635</v>
      </c>
      <c r="K721" s="372"/>
      <c r="L721" s="634" t="s">
        <v>635</v>
      </c>
      <c r="M721" s="372"/>
      <c r="N721" s="634" t="s">
        <v>635</v>
      </c>
      <c r="O721" s="635"/>
      <c r="P721" s="634">
        <v>59</v>
      </c>
      <c r="Q721" s="372"/>
      <c r="R721" s="634">
        <v>59</v>
      </c>
    </row>
    <row r="722" spans="1:18">
      <c r="A722" s="634">
        <v>24</v>
      </c>
      <c r="B722" s="639"/>
      <c r="C722" s="634">
        <v>34645</v>
      </c>
      <c r="D722" s="372" t="s">
        <v>632</v>
      </c>
      <c r="E722" s="372"/>
      <c r="F722" s="634">
        <v>2.94</v>
      </c>
      <c r="G722" s="635"/>
      <c r="H722" s="634" t="s">
        <v>628</v>
      </c>
      <c r="I722" s="635"/>
      <c r="J722" s="634" t="s">
        <v>635</v>
      </c>
      <c r="K722" s="372"/>
      <c r="L722" s="634" t="s">
        <v>635</v>
      </c>
      <c r="M722" s="372"/>
      <c r="N722" s="634" t="s">
        <v>635</v>
      </c>
      <c r="O722" s="635"/>
      <c r="P722" s="634" t="s">
        <v>635</v>
      </c>
      <c r="Q722" s="372"/>
      <c r="R722" s="634" t="s">
        <v>635</v>
      </c>
    </row>
    <row r="723" spans="1:18">
      <c r="A723" s="634">
        <v>25</v>
      </c>
      <c r="B723" s="639"/>
      <c r="C723" s="634"/>
      <c r="D723" s="636" t="s">
        <v>670</v>
      </c>
      <c r="E723" s="372"/>
      <c r="F723" s="372"/>
      <c r="G723" s="372"/>
      <c r="H723" s="642">
        <v>177191</v>
      </c>
      <c r="I723" s="635"/>
      <c r="J723" s="643">
        <v>405</v>
      </c>
      <c r="K723" s="635"/>
      <c r="L723" s="643" t="s">
        <v>635</v>
      </c>
      <c r="M723" s="635"/>
      <c r="N723" s="643" t="s">
        <v>635</v>
      </c>
      <c r="O723" s="635"/>
      <c r="P723" s="642">
        <v>177596</v>
      </c>
      <c r="Q723" s="635"/>
      <c r="R723" s="642">
        <v>177361</v>
      </c>
    </row>
    <row r="724" spans="1:18">
      <c r="A724" s="634">
        <v>26</v>
      </c>
      <c r="B724" s="639"/>
      <c r="C724" s="634"/>
      <c r="D724" s="634"/>
      <c r="E724" s="634"/>
      <c r="F724" s="634"/>
      <c r="G724" s="634"/>
      <c r="H724" s="634"/>
      <c r="I724" s="635"/>
      <c r="J724" s="634"/>
      <c r="K724" s="635"/>
      <c r="L724" s="634"/>
      <c r="M724" s="635"/>
      <c r="N724" s="634"/>
      <c r="O724" s="635"/>
      <c r="P724" s="634"/>
      <c r="Q724" s="635"/>
      <c r="R724" s="634"/>
    </row>
    <row r="725" spans="1:18">
      <c r="A725" s="634">
        <v>27</v>
      </c>
      <c r="B725" s="639"/>
      <c r="C725" s="634"/>
      <c r="D725" s="372" t="s">
        <v>671</v>
      </c>
      <c r="E725" s="372"/>
      <c r="F725" s="372"/>
      <c r="G725" s="372"/>
      <c r="H725" s="372"/>
      <c r="I725" s="372"/>
      <c r="J725" s="372"/>
      <c r="K725" s="372"/>
      <c r="L725" s="372"/>
      <c r="M725" s="372"/>
      <c r="N725" s="372"/>
      <c r="O725" s="635"/>
      <c r="P725" s="372"/>
      <c r="Q725" s="372"/>
      <c r="R725" s="372"/>
    </row>
    <row r="726" spans="1:18">
      <c r="A726" s="634">
        <v>28</v>
      </c>
      <c r="B726" s="639"/>
      <c r="C726" s="634">
        <v>34146</v>
      </c>
      <c r="D726" s="372" t="s">
        <v>627</v>
      </c>
      <c r="E726" s="372"/>
      <c r="F726" s="634">
        <v>2.2000000000000002</v>
      </c>
      <c r="G726" s="635"/>
      <c r="H726" s="634" t="s">
        <v>628</v>
      </c>
      <c r="I726" s="635"/>
      <c r="J726" s="634" t="s">
        <v>635</v>
      </c>
      <c r="K726" s="372"/>
      <c r="L726" s="634" t="s">
        <v>635</v>
      </c>
      <c r="M726" s="372"/>
      <c r="N726" s="634" t="s">
        <v>635</v>
      </c>
      <c r="O726" s="635"/>
      <c r="P726" s="634" t="s">
        <v>635</v>
      </c>
      <c r="Q726" s="372"/>
      <c r="R726" s="634" t="s">
        <v>635</v>
      </c>
    </row>
    <row r="727" spans="1:18">
      <c r="A727" s="634">
        <v>29</v>
      </c>
      <c r="B727" s="639"/>
      <c r="C727" s="634">
        <v>34246</v>
      </c>
      <c r="D727" s="372" t="s">
        <v>666</v>
      </c>
      <c r="E727" s="372"/>
      <c r="F727" s="634">
        <v>3.65</v>
      </c>
      <c r="G727" s="635"/>
      <c r="H727" s="634">
        <v>388</v>
      </c>
      <c r="I727" s="635"/>
      <c r="J727" s="634" t="s">
        <v>635</v>
      </c>
      <c r="K727" s="372"/>
      <c r="L727" s="634" t="s">
        <v>635</v>
      </c>
      <c r="M727" s="372"/>
      <c r="N727" s="634" t="s">
        <v>635</v>
      </c>
      <c r="O727" s="635"/>
      <c r="P727" s="634">
        <v>388</v>
      </c>
      <c r="Q727" s="372"/>
      <c r="R727" s="634">
        <v>388</v>
      </c>
    </row>
    <row r="728" spans="1:18">
      <c r="A728" s="634">
        <v>30</v>
      </c>
      <c r="B728" s="639"/>
      <c r="C728" s="634">
        <v>34346</v>
      </c>
      <c r="D728" s="372" t="s">
        <v>667</v>
      </c>
      <c r="E728" s="372"/>
      <c r="F728" s="634">
        <v>3.5</v>
      </c>
      <c r="G728" s="635"/>
      <c r="H728" s="640">
        <v>175636</v>
      </c>
      <c r="I728" s="635"/>
      <c r="J728" s="634" t="s">
        <v>635</v>
      </c>
      <c r="K728" s="372"/>
      <c r="L728" s="634" t="s">
        <v>635</v>
      </c>
      <c r="M728" s="372"/>
      <c r="N728" s="634" t="s">
        <v>635</v>
      </c>
      <c r="O728" s="635"/>
      <c r="P728" s="640">
        <v>175636</v>
      </c>
      <c r="Q728" s="372"/>
      <c r="R728" s="640">
        <v>175636</v>
      </c>
    </row>
    <row r="729" spans="1:18">
      <c r="A729" s="634">
        <v>31</v>
      </c>
      <c r="B729" s="639"/>
      <c r="C729" s="634">
        <v>34546</v>
      </c>
      <c r="D729" s="372" t="s">
        <v>631</v>
      </c>
      <c r="E729" s="372"/>
      <c r="F729" s="634">
        <v>1.89</v>
      </c>
      <c r="G729" s="635"/>
      <c r="H729" s="634">
        <v>19</v>
      </c>
      <c r="I729" s="635"/>
      <c r="J729" s="634" t="s">
        <v>635</v>
      </c>
      <c r="K729" s="372"/>
      <c r="L729" s="634" t="s">
        <v>635</v>
      </c>
      <c r="M729" s="372"/>
      <c r="N729" s="634" t="s">
        <v>635</v>
      </c>
      <c r="O729" s="635"/>
      <c r="P729" s="634">
        <v>19</v>
      </c>
      <c r="Q729" s="372"/>
      <c r="R729" s="634">
        <v>19</v>
      </c>
    </row>
    <row r="730" spans="1:18">
      <c r="A730" s="634">
        <v>32</v>
      </c>
      <c r="B730" s="639"/>
      <c r="C730" s="634">
        <v>34646</v>
      </c>
      <c r="D730" s="372" t="s">
        <v>632</v>
      </c>
      <c r="E730" s="372"/>
      <c r="F730" s="634">
        <v>2.94</v>
      </c>
      <c r="G730" s="635"/>
      <c r="H730" s="634" t="s">
        <v>628</v>
      </c>
      <c r="I730" s="635"/>
      <c r="J730" s="634" t="s">
        <v>635</v>
      </c>
      <c r="K730" s="372"/>
      <c r="L730" s="634" t="s">
        <v>635</v>
      </c>
      <c r="M730" s="372"/>
      <c r="N730" s="634" t="s">
        <v>635</v>
      </c>
      <c r="O730" s="635"/>
      <c r="P730" s="634" t="s">
        <v>635</v>
      </c>
      <c r="Q730" s="372"/>
      <c r="R730" s="634" t="s">
        <v>635</v>
      </c>
    </row>
    <row r="731" spans="1:18">
      <c r="A731" s="634">
        <v>33</v>
      </c>
      <c r="B731" s="639"/>
      <c r="C731" s="372"/>
      <c r="D731" s="636" t="s">
        <v>672</v>
      </c>
      <c r="E731" s="372"/>
      <c r="F731" s="372"/>
      <c r="G731" s="372"/>
      <c r="H731" s="642">
        <v>176044</v>
      </c>
      <c r="I731" s="635"/>
      <c r="J731" s="643" t="s">
        <v>635</v>
      </c>
      <c r="K731" s="635"/>
      <c r="L731" s="643" t="s">
        <v>635</v>
      </c>
      <c r="M731" s="635"/>
      <c r="N731" s="643" t="s">
        <v>635</v>
      </c>
      <c r="O731" s="635"/>
      <c r="P731" s="642">
        <v>176044</v>
      </c>
      <c r="Q731" s="635"/>
      <c r="R731" s="642">
        <v>176044</v>
      </c>
    </row>
    <row r="732" spans="1:18">
      <c r="A732" s="634">
        <v>34</v>
      </c>
      <c r="B732" s="639"/>
      <c r="C732" s="372"/>
      <c r="D732" s="372"/>
      <c r="E732" s="372"/>
      <c r="F732" s="372"/>
      <c r="G732" s="372"/>
      <c r="H732" s="372"/>
      <c r="I732" s="372"/>
      <c r="J732" s="372"/>
      <c r="K732" s="372"/>
      <c r="L732" s="372"/>
      <c r="M732" s="372"/>
      <c r="N732" s="372"/>
      <c r="O732" s="635"/>
      <c r="P732" s="372"/>
      <c r="Q732" s="372"/>
      <c r="R732" s="372"/>
    </row>
    <row r="733" spans="1:18">
      <c r="A733" s="634">
        <v>35</v>
      </c>
      <c r="B733" s="639"/>
      <c r="C733" s="634"/>
      <c r="D733" s="372" t="s">
        <v>673</v>
      </c>
      <c r="E733" s="372"/>
      <c r="F733" s="372"/>
      <c r="G733" s="372"/>
      <c r="H733" s="372"/>
      <c r="I733" s="372"/>
      <c r="J733" s="372"/>
      <c r="K733" s="372"/>
      <c r="L733" s="372"/>
      <c r="M733" s="372"/>
      <c r="N733" s="372"/>
      <c r="O733" s="635"/>
      <c r="P733" s="372"/>
      <c r="Q733" s="372"/>
      <c r="R733" s="372"/>
    </row>
    <row r="734" spans="1:18">
      <c r="A734" s="634">
        <v>36</v>
      </c>
      <c r="B734" s="639"/>
      <c r="C734" s="634">
        <v>34143</v>
      </c>
      <c r="D734" s="372" t="s">
        <v>627</v>
      </c>
      <c r="E734" s="372"/>
      <c r="F734" s="634">
        <v>3.43</v>
      </c>
      <c r="G734" s="635"/>
      <c r="H734" s="640">
        <v>2291</v>
      </c>
      <c r="I734" s="635"/>
      <c r="J734" s="634" t="s">
        <v>635</v>
      </c>
      <c r="K734" s="372"/>
      <c r="L734" s="634" t="s">
        <v>635</v>
      </c>
      <c r="M734" s="372"/>
      <c r="N734" s="634" t="s">
        <v>635</v>
      </c>
      <c r="O734" s="635"/>
      <c r="P734" s="640">
        <v>2291</v>
      </c>
      <c r="Q734" s="372"/>
      <c r="R734" s="640">
        <v>2291</v>
      </c>
    </row>
    <row r="735" spans="1:18">
      <c r="A735" s="634">
        <v>37</v>
      </c>
      <c r="B735" s="639"/>
      <c r="C735" s="634">
        <v>34243</v>
      </c>
      <c r="D735" s="372" t="s">
        <v>666</v>
      </c>
      <c r="E735" s="372"/>
      <c r="F735" s="634">
        <v>2.2200000000000002</v>
      </c>
      <c r="G735" s="635"/>
      <c r="H735" s="640">
        <v>3578</v>
      </c>
      <c r="I735" s="635"/>
      <c r="J735" s="634">
        <v>23</v>
      </c>
      <c r="K735" s="372"/>
      <c r="L735" s="634" t="s">
        <v>635</v>
      </c>
      <c r="M735" s="372"/>
      <c r="N735" s="634" t="s">
        <v>635</v>
      </c>
      <c r="O735" s="635"/>
      <c r="P735" s="640">
        <v>3601</v>
      </c>
      <c r="Q735" s="372"/>
      <c r="R735" s="640">
        <v>3591</v>
      </c>
    </row>
    <row r="736" spans="1:18">
      <c r="A736" s="634">
        <v>38</v>
      </c>
      <c r="B736" s="639"/>
      <c r="C736" s="634">
        <v>34343</v>
      </c>
      <c r="D736" s="372" t="s">
        <v>667</v>
      </c>
      <c r="E736" s="372"/>
      <c r="F736" s="634">
        <v>3.64</v>
      </c>
      <c r="G736" s="635"/>
      <c r="H736" s="640">
        <v>459235</v>
      </c>
      <c r="I736" s="635"/>
      <c r="J736" s="634">
        <v>23</v>
      </c>
      <c r="K736" s="372"/>
      <c r="L736" s="634" t="s">
        <v>635</v>
      </c>
      <c r="M736" s="372"/>
      <c r="N736" s="634" t="s">
        <v>635</v>
      </c>
      <c r="O736" s="635"/>
      <c r="P736" s="640">
        <v>459258</v>
      </c>
      <c r="Q736" s="372"/>
      <c r="R736" s="640">
        <v>459248</v>
      </c>
    </row>
    <row r="737" spans="1:18">
      <c r="A737" s="634">
        <v>39</v>
      </c>
      <c r="B737" s="639"/>
      <c r="C737" s="634">
        <v>34543</v>
      </c>
      <c r="D737" s="372" t="s">
        <v>631</v>
      </c>
      <c r="E737" s="372"/>
      <c r="F737" s="634">
        <v>2.92</v>
      </c>
      <c r="G737" s="635"/>
      <c r="H737" s="634">
        <v>701</v>
      </c>
      <c r="I737" s="635"/>
      <c r="J737" s="634" t="s">
        <v>635</v>
      </c>
      <c r="K737" s="372"/>
      <c r="L737" s="634" t="s">
        <v>635</v>
      </c>
      <c r="M737" s="372"/>
      <c r="N737" s="634" t="s">
        <v>635</v>
      </c>
      <c r="O737" s="635"/>
      <c r="P737" s="634">
        <v>701</v>
      </c>
      <c r="Q737" s="372"/>
      <c r="R737" s="634">
        <v>701</v>
      </c>
    </row>
    <row r="738" spans="1:18">
      <c r="A738" s="634">
        <v>40</v>
      </c>
      <c r="B738" s="639"/>
      <c r="C738" s="634">
        <v>34643</v>
      </c>
      <c r="D738" s="372" t="s">
        <v>632</v>
      </c>
      <c r="E738" s="372"/>
      <c r="F738" s="634">
        <v>2.66</v>
      </c>
      <c r="G738" s="635"/>
      <c r="H738" s="634">
        <v>309</v>
      </c>
      <c r="I738" s="635"/>
      <c r="J738" s="634" t="s">
        <v>635</v>
      </c>
      <c r="K738" s="372"/>
      <c r="L738" s="634" t="s">
        <v>635</v>
      </c>
      <c r="M738" s="372"/>
      <c r="N738" s="634" t="s">
        <v>635</v>
      </c>
      <c r="O738" s="635"/>
      <c r="P738" s="634">
        <v>309</v>
      </c>
      <c r="Q738" s="372"/>
      <c r="R738" s="634">
        <v>309</v>
      </c>
    </row>
    <row r="739" spans="1:18">
      <c r="A739" s="634">
        <v>41</v>
      </c>
      <c r="B739" s="639"/>
      <c r="C739" s="372"/>
      <c r="D739" s="636" t="s">
        <v>674</v>
      </c>
      <c r="E739" s="372"/>
      <c r="F739" s="372"/>
      <c r="G739" s="372"/>
      <c r="H739" s="642">
        <v>466113</v>
      </c>
      <c r="I739" s="635"/>
      <c r="J739" s="643">
        <v>45</v>
      </c>
      <c r="K739" s="635"/>
      <c r="L739" s="643" t="s">
        <v>635</v>
      </c>
      <c r="M739" s="635"/>
      <c r="N739" s="643" t="s">
        <v>635</v>
      </c>
      <c r="O739" s="635"/>
      <c r="P739" s="642">
        <v>466159</v>
      </c>
      <c r="Q739" s="635"/>
      <c r="R739" s="642">
        <v>466138</v>
      </c>
    </row>
    <row r="740" spans="1:18">
      <c r="A740" s="634">
        <v>42</v>
      </c>
      <c r="B740" s="639"/>
      <c r="C740" s="372"/>
      <c r="D740" s="372"/>
      <c r="E740" s="372"/>
      <c r="F740" s="372"/>
      <c r="G740" s="372"/>
      <c r="H740" s="372"/>
      <c r="I740" s="372"/>
      <c r="J740" s="372"/>
      <c r="K740" s="372"/>
      <c r="L740" s="372"/>
      <c r="M740" s="372"/>
      <c r="N740" s="372"/>
      <c r="O740" s="635"/>
      <c r="P740" s="383"/>
      <c r="Q740" s="372"/>
      <c r="R740" s="372"/>
    </row>
    <row r="741" spans="1:18" ht="15" thickBot="1">
      <c r="A741" s="634">
        <v>43</v>
      </c>
      <c r="B741" s="639"/>
      <c r="C741" s="372"/>
      <c r="D741" s="636" t="s">
        <v>662</v>
      </c>
      <c r="E741" s="372"/>
      <c r="F741" s="372"/>
      <c r="G741" s="635"/>
      <c r="H741" s="646">
        <v>864957</v>
      </c>
      <c r="I741" s="635"/>
      <c r="J741" s="647">
        <v>450</v>
      </c>
      <c r="K741" s="635"/>
      <c r="L741" s="647" t="s">
        <v>635</v>
      </c>
      <c r="M741" s="635"/>
      <c r="N741" s="647" t="s">
        <v>635</v>
      </c>
      <c r="O741" s="635"/>
      <c r="P741" s="646">
        <v>865407</v>
      </c>
      <c r="Q741" s="635"/>
      <c r="R741" s="646">
        <v>865151</v>
      </c>
    </row>
    <row r="742" spans="1:18" ht="15.6" thickTop="1" thickBot="1">
      <c r="A742" s="637">
        <v>44</v>
      </c>
      <c r="B742" s="660" t="s">
        <v>67</v>
      </c>
      <c r="C742" s="660"/>
      <c r="D742" s="625"/>
      <c r="E742" s="625"/>
      <c r="F742" s="625"/>
      <c r="G742" s="625"/>
      <c r="H742" s="625"/>
      <c r="I742" s="625"/>
      <c r="J742" s="625"/>
      <c r="K742" s="625"/>
      <c r="L742" s="625"/>
      <c r="M742" s="625"/>
      <c r="N742" s="625"/>
      <c r="O742" s="638"/>
      <c r="P742" s="625"/>
      <c r="Q742" s="625"/>
      <c r="R742" s="625"/>
    </row>
    <row r="743" spans="1:18">
      <c r="A743" s="664" t="s">
        <v>643</v>
      </c>
      <c r="B743" s="664"/>
      <c r="C743" s="372"/>
      <c r="D743" s="372"/>
      <c r="E743" s="664"/>
      <c r="F743" s="664"/>
      <c r="G743" s="664"/>
      <c r="H743" s="664"/>
      <c r="I743" s="664"/>
      <c r="J743" s="664"/>
      <c r="K743" s="664"/>
      <c r="L743" s="664"/>
      <c r="M743" s="664"/>
      <c r="N743" s="664"/>
      <c r="O743" s="635"/>
      <c r="P743" s="372" t="s">
        <v>644</v>
      </c>
      <c r="Q743" s="664"/>
      <c r="R743" s="664"/>
    </row>
    <row r="744" spans="1:18" ht="15" thickBot="1">
      <c r="A744" s="625" t="s">
        <v>604</v>
      </c>
      <c r="B744" s="625"/>
      <c r="C744" s="625"/>
      <c r="D744" s="625"/>
      <c r="E744" s="625"/>
      <c r="F744" s="625"/>
      <c r="G744" s="625" t="s">
        <v>605</v>
      </c>
      <c r="H744" s="625"/>
      <c r="I744" s="625"/>
      <c r="J744" s="625"/>
      <c r="K744" s="625"/>
      <c r="L744" s="625"/>
      <c r="M744" s="625"/>
      <c r="N744" s="625"/>
      <c r="O744" s="638"/>
      <c r="P744" s="625"/>
      <c r="Q744" s="625"/>
      <c r="R744" s="625" t="s">
        <v>675</v>
      </c>
    </row>
    <row r="745" spans="1:18">
      <c r="A745" s="664" t="s">
        <v>4</v>
      </c>
      <c r="B745" s="664"/>
      <c r="C745" s="372"/>
      <c r="D745" s="372"/>
      <c r="E745" s="635" t="s">
        <v>553</v>
      </c>
      <c r="F745" s="372" t="s">
        <v>607</v>
      </c>
      <c r="G745" s="664"/>
      <c r="H745" s="664"/>
      <c r="I745" s="664"/>
      <c r="J745" s="664"/>
      <c r="K745" s="661"/>
      <c r="L745" s="661"/>
      <c r="M745" s="661"/>
      <c r="N745" s="661"/>
      <c r="O745" s="645"/>
      <c r="P745" s="372" t="s">
        <v>608</v>
      </c>
      <c r="Q745" s="664"/>
      <c r="R745" s="664"/>
    </row>
    <row r="746" spans="1:18">
      <c r="A746" s="372"/>
      <c r="B746" s="372"/>
      <c r="C746" s="372"/>
      <c r="D746" s="372"/>
      <c r="E746" s="372"/>
      <c r="F746" s="372" t="s">
        <v>609</v>
      </c>
      <c r="G746" s="372"/>
      <c r="H746" s="372"/>
      <c r="I746" s="372"/>
      <c r="J746" s="372"/>
      <c r="K746" s="636"/>
      <c r="L746" s="636"/>
      <c r="M746" s="372"/>
      <c r="N746" s="372"/>
      <c r="O746" s="635" t="s">
        <v>12</v>
      </c>
      <c r="P746" s="636" t="s">
        <v>9</v>
      </c>
      <c r="Q746" s="372"/>
      <c r="R746" s="372"/>
    </row>
    <row r="747" spans="1:18">
      <c r="A747" s="372" t="s">
        <v>10</v>
      </c>
      <c r="B747" s="372"/>
      <c r="C747" s="372"/>
      <c r="D747" s="372"/>
      <c r="E747" s="372"/>
      <c r="F747" s="372"/>
      <c r="G747" s="372"/>
      <c r="H747" s="372"/>
      <c r="I747" s="372"/>
      <c r="J747" s="372"/>
      <c r="K747" s="636"/>
      <c r="L747" s="636"/>
      <c r="M747" s="372"/>
      <c r="N747" s="372"/>
      <c r="O747" s="635"/>
      <c r="P747" s="636" t="s">
        <v>11</v>
      </c>
      <c r="Q747" s="372"/>
      <c r="R747" s="372"/>
    </row>
    <row r="748" spans="1:18">
      <c r="A748" s="372"/>
      <c r="B748" s="372"/>
      <c r="C748" s="372"/>
      <c r="D748" s="372"/>
      <c r="E748" s="372"/>
      <c r="F748" s="372"/>
      <c r="G748" s="372"/>
      <c r="H748" s="372"/>
      <c r="I748" s="372"/>
      <c r="J748" s="372"/>
      <c r="K748" s="636"/>
      <c r="L748" s="636"/>
      <c r="M748" s="372"/>
      <c r="N748" s="372"/>
      <c r="O748" s="635"/>
      <c r="P748" s="636" t="s">
        <v>13</v>
      </c>
      <c r="Q748" s="372"/>
      <c r="R748" s="372"/>
    </row>
    <row r="749" spans="1:18">
      <c r="A749" s="372"/>
      <c r="B749" s="372"/>
      <c r="C749" s="372"/>
      <c r="D749" s="372"/>
      <c r="E749" s="372"/>
      <c r="F749" s="372"/>
      <c r="G749" s="372"/>
      <c r="H749" s="372"/>
      <c r="I749" s="372"/>
      <c r="J749" s="372"/>
      <c r="K749" s="636"/>
      <c r="L749" s="636"/>
      <c r="M749" s="372"/>
      <c r="N749" s="372"/>
      <c r="O749" s="635"/>
      <c r="P749" s="636" t="s">
        <v>610</v>
      </c>
      <c r="Q749" s="372"/>
      <c r="R749" s="372"/>
    </row>
    <row r="750" spans="1:18" ht="15" thickBot="1">
      <c r="A750" s="625" t="s">
        <v>611</v>
      </c>
      <c r="B750" s="625"/>
      <c r="C750" s="625"/>
      <c r="D750" s="625"/>
      <c r="E750" s="625"/>
      <c r="F750" s="625"/>
      <c r="G750" s="625"/>
      <c r="H750" s="637" t="s">
        <v>612</v>
      </c>
      <c r="I750" s="625"/>
      <c r="J750" s="625"/>
      <c r="K750" s="625"/>
      <c r="L750" s="625"/>
      <c r="M750" s="625"/>
      <c r="N750" s="625"/>
      <c r="O750" s="638"/>
      <c r="P750" s="625" t="s">
        <v>249</v>
      </c>
      <c r="Q750" s="625"/>
      <c r="R750" s="625"/>
    </row>
    <row r="751" spans="1:18">
      <c r="A751" s="664"/>
      <c r="B751" s="664"/>
      <c r="C751" s="634"/>
      <c r="D751" s="634"/>
      <c r="E751" s="634"/>
      <c r="F751" s="634"/>
      <c r="G751" s="634"/>
      <c r="H751" s="634"/>
      <c r="I751" s="634"/>
      <c r="J751" s="634"/>
      <c r="K751" s="634"/>
      <c r="L751" s="634"/>
      <c r="M751" s="634"/>
      <c r="N751" s="634"/>
      <c r="O751" s="635"/>
      <c r="P751" s="634"/>
      <c r="Q751" s="634"/>
      <c r="R751" s="634"/>
    </row>
    <row r="752" spans="1:18">
      <c r="A752" s="372"/>
      <c r="B752" s="372"/>
      <c r="C752" s="634">
        <v>-1</v>
      </c>
      <c r="D752" s="634">
        <v>-2</v>
      </c>
      <c r="E752" s="634"/>
      <c r="F752" s="634">
        <v>-3</v>
      </c>
      <c r="G752" s="634"/>
      <c r="H752" s="634">
        <v>-4</v>
      </c>
      <c r="I752" s="634"/>
      <c r="J752" s="634">
        <v>-5</v>
      </c>
      <c r="K752" s="634"/>
      <c r="L752" s="634">
        <v>-6</v>
      </c>
      <c r="M752" s="634"/>
      <c r="N752" s="634">
        <v>-7</v>
      </c>
      <c r="O752" s="635"/>
      <c r="P752" s="634">
        <v>-8</v>
      </c>
      <c r="Q752" s="634"/>
      <c r="R752" s="634">
        <v>-9</v>
      </c>
    </row>
    <row r="753" spans="1:18">
      <c r="A753" s="372"/>
      <c r="B753" s="372"/>
      <c r="C753" s="634" t="s">
        <v>613</v>
      </c>
      <c r="D753" s="634" t="s">
        <v>613</v>
      </c>
      <c r="E753" s="372"/>
      <c r="F753" s="634" t="s">
        <v>37</v>
      </c>
      <c r="G753" s="634"/>
      <c r="H753" s="634" t="s">
        <v>30</v>
      </c>
      <c r="I753" s="634"/>
      <c r="J753" s="634" t="s">
        <v>45</v>
      </c>
      <c r="K753" s="634"/>
      <c r="L753" s="634" t="s">
        <v>45</v>
      </c>
      <c r="M753" s="634"/>
      <c r="N753" s="372"/>
      <c r="O753" s="635"/>
      <c r="P753" s="634" t="s">
        <v>30</v>
      </c>
      <c r="Q753" s="372"/>
      <c r="R753" s="372"/>
    </row>
    <row r="754" spans="1:18">
      <c r="A754" s="634" t="s">
        <v>35</v>
      </c>
      <c r="B754" s="634"/>
      <c r="C754" s="634" t="s">
        <v>614</v>
      </c>
      <c r="D754" s="634" t="s">
        <v>614</v>
      </c>
      <c r="E754" s="634"/>
      <c r="F754" s="634" t="s">
        <v>615</v>
      </c>
      <c r="G754" s="634"/>
      <c r="H754" s="634" t="s">
        <v>616</v>
      </c>
      <c r="I754" s="634"/>
      <c r="J754" s="634" t="s">
        <v>30</v>
      </c>
      <c r="K754" s="634"/>
      <c r="L754" s="634" t="s">
        <v>30</v>
      </c>
      <c r="M754" s="636"/>
      <c r="N754" s="634" t="s">
        <v>178</v>
      </c>
      <c r="O754" s="635"/>
      <c r="P754" s="634" t="s">
        <v>616</v>
      </c>
      <c r="Q754" s="634"/>
      <c r="R754" s="634" t="s">
        <v>353</v>
      </c>
    </row>
    <row r="755" spans="1:18" ht="15" thickBot="1">
      <c r="A755" s="637" t="s">
        <v>46</v>
      </c>
      <c r="B755" s="637"/>
      <c r="C755" s="637" t="s">
        <v>371</v>
      </c>
      <c r="D755" s="637" t="s">
        <v>617</v>
      </c>
      <c r="E755" s="637"/>
      <c r="F755" s="637" t="s">
        <v>618</v>
      </c>
      <c r="G755" s="637"/>
      <c r="H755" s="637" t="s">
        <v>619</v>
      </c>
      <c r="I755" s="637"/>
      <c r="J755" s="637" t="s">
        <v>620</v>
      </c>
      <c r="K755" s="637"/>
      <c r="L755" s="637" t="s">
        <v>621</v>
      </c>
      <c r="M755" s="637"/>
      <c r="N755" s="637" t="s">
        <v>622</v>
      </c>
      <c r="O755" s="638"/>
      <c r="P755" s="637" t="s">
        <v>623</v>
      </c>
      <c r="Q755" s="637"/>
      <c r="R755" s="637" t="s">
        <v>369</v>
      </c>
    </row>
    <row r="756" spans="1:18">
      <c r="A756" s="634">
        <v>1</v>
      </c>
      <c r="B756" s="634"/>
      <c r="C756" s="372"/>
      <c r="D756" s="372"/>
      <c r="E756" s="664"/>
      <c r="F756" s="664"/>
      <c r="G756" s="664"/>
      <c r="H756" s="664"/>
      <c r="I756" s="664"/>
      <c r="J756" s="664"/>
      <c r="K756" s="664"/>
      <c r="L756" s="664"/>
      <c r="M756" s="664"/>
      <c r="N756" s="664"/>
      <c r="O756" s="635"/>
      <c r="P756" s="372"/>
      <c r="Q756" s="664"/>
      <c r="R756" s="664"/>
    </row>
    <row r="757" spans="1:18">
      <c r="A757" s="634">
        <v>2</v>
      </c>
      <c r="B757" s="634"/>
      <c r="C757" s="372"/>
      <c r="D757" s="372" t="s">
        <v>676</v>
      </c>
      <c r="E757" s="372"/>
      <c r="F757" s="372"/>
      <c r="G757" s="372"/>
      <c r="H757" s="372"/>
      <c r="I757" s="635"/>
      <c r="J757" s="372"/>
      <c r="K757" s="635"/>
      <c r="L757" s="372"/>
      <c r="M757" s="635"/>
      <c r="N757" s="372"/>
      <c r="O757" s="635"/>
      <c r="P757" s="372"/>
      <c r="Q757" s="635"/>
      <c r="R757" s="372"/>
    </row>
    <row r="758" spans="1:18">
      <c r="A758" s="634">
        <v>3</v>
      </c>
      <c r="B758" s="634"/>
      <c r="C758" s="634"/>
      <c r="D758" s="636" t="s">
        <v>677</v>
      </c>
      <c r="E758" s="372"/>
      <c r="F758" s="372"/>
      <c r="G758" s="635"/>
      <c r="H758" s="635"/>
      <c r="I758" s="635"/>
      <c r="J758" s="635"/>
      <c r="K758" s="635"/>
      <c r="L758" s="635"/>
      <c r="M758" s="635"/>
      <c r="N758" s="635"/>
      <c r="O758" s="635"/>
      <c r="P758" s="635"/>
      <c r="Q758" s="635"/>
      <c r="R758" s="635"/>
    </row>
    <row r="759" spans="1:18">
      <c r="A759" s="634">
        <v>4</v>
      </c>
      <c r="B759" s="634"/>
      <c r="C759" s="634">
        <v>34180</v>
      </c>
      <c r="D759" s="372" t="s">
        <v>627</v>
      </c>
      <c r="E759" s="372"/>
      <c r="F759" s="634">
        <v>2.98</v>
      </c>
      <c r="G759" s="635"/>
      <c r="H759" s="640">
        <v>193029</v>
      </c>
      <c r="I759" s="635"/>
      <c r="J759" s="634" t="s">
        <v>635</v>
      </c>
      <c r="K759" s="372"/>
      <c r="L759" s="634" t="s">
        <v>635</v>
      </c>
      <c r="M759" s="372"/>
      <c r="N759" s="634" t="s">
        <v>635</v>
      </c>
      <c r="O759" s="635"/>
      <c r="P759" s="640">
        <v>193029</v>
      </c>
      <c r="Q759" s="372"/>
      <c r="R759" s="640">
        <v>193029</v>
      </c>
    </row>
    <row r="760" spans="1:18">
      <c r="A760" s="634">
        <v>5</v>
      </c>
      <c r="B760" s="634"/>
      <c r="C760" s="634">
        <v>34280</v>
      </c>
      <c r="D760" s="372" t="s">
        <v>666</v>
      </c>
      <c r="E760" s="372"/>
      <c r="F760" s="634">
        <v>3.18</v>
      </c>
      <c r="G760" s="635"/>
      <c r="H760" s="640">
        <v>12463</v>
      </c>
      <c r="I760" s="635"/>
      <c r="J760" s="640">
        <v>3095</v>
      </c>
      <c r="K760" s="372"/>
      <c r="L760" s="634">
        <v>-619</v>
      </c>
      <c r="M760" s="372"/>
      <c r="N760" s="634" t="s">
        <v>628</v>
      </c>
      <c r="O760" s="635"/>
      <c r="P760" s="640">
        <v>14939</v>
      </c>
      <c r="Q760" s="372"/>
      <c r="R760" s="640">
        <v>13157</v>
      </c>
    </row>
    <row r="761" spans="1:18">
      <c r="A761" s="634">
        <v>6</v>
      </c>
      <c r="B761" s="634"/>
      <c r="C761" s="634">
        <v>34380</v>
      </c>
      <c r="D761" s="372" t="s">
        <v>667</v>
      </c>
      <c r="E761" s="372"/>
      <c r="F761" s="634">
        <v>3.78</v>
      </c>
      <c r="G761" s="635"/>
      <c r="H761" s="640">
        <v>13374</v>
      </c>
      <c r="I761" s="635"/>
      <c r="J761" s="640">
        <v>3095</v>
      </c>
      <c r="K761" s="372"/>
      <c r="L761" s="634">
        <v>-619</v>
      </c>
      <c r="M761" s="372"/>
      <c r="N761" s="634" t="s">
        <v>628</v>
      </c>
      <c r="O761" s="635"/>
      <c r="P761" s="640">
        <v>15850</v>
      </c>
      <c r="Q761" s="372"/>
      <c r="R761" s="640">
        <v>14068</v>
      </c>
    </row>
    <row r="762" spans="1:18">
      <c r="A762" s="634">
        <v>7</v>
      </c>
      <c r="B762" s="634"/>
      <c r="C762" s="634">
        <v>34580</v>
      </c>
      <c r="D762" s="372" t="s">
        <v>631</v>
      </c>
      <c r="E762" s="372"/>
      <c r="F762" s="634">
        <v>2.84</v>
      </c>
      <c r="G762" s="635"/>
      <c r="H762" s="640">
        <v>14501</v>
      </c>
      <c r="I762" s="635"/>
      <c r="J762" s="634" t="s">
        <v>635</v>
      </c>
      <c r="K762" s="372"/>
      <c r="L762" s="634" t="s">
        <v>635</v>
      </c>
      <c r="M762" s="372"/>
      <c r="N762" s="634" t="s">
        <v>635</v>
      </c>
      <c r="O762" s="635"/>
      <c r="P762" s="640">
        <v>14501</v>
      </c>
      <c r="Q762" s="372"/>
      <c r="R762" s="640">
        <v>14501</v>
      </c>
    </row>
    <row r="763" spans="1:18">
      <c r="A763" s="634">
        <v>8</v>
      </c>
      <c r="B763" s="634"/>
      <c r="C763" s="634">
        <v>34680</v>
      </c>
      <c r="D763" s="372" t="s">
        <v>632</v>
      </c>
      <c r="E763" s="372"/>
      <c r="F763" s="634">
        <v>4.67</v>
      </c>
      <c r="G763" s="635"/>
      <c r="H763" s="640">
        <v>1260</v>
      </c>
      <c r="I763" s="635"/>
      <c r="J763" s="634" t="s">
        <v>635</v>
      </c>
      <c r="K763" s="372"/>
      <c r="L763" s="634" t="s">
        <v>635</v>
      </c>
      <c r="M763" s="372"/>
      <c r="N763" s="634" t="s">
        <v>635</v>
      </c>
      <c r="O763" s="635"/>
      <c r="P763" s="640">
        <v>1260</v>
      </c>
      <c r="Q763" s="372"/>
      <c r="R763" s="640">
        <v>1260</v>
      </c>
    </row>
    <row r="764" spans="1:18">
      <c r="A764" s="634">
        <v>9</v>
      </c>
      <c r="B764" s="639"/>
      <c r="C764" s="634"/>
      <c r="D764" s="372" t="s">
        <v>678</v>
      </c>
      <c r="E764" s="372"/>
      <c r="F764" s="372"/>
      <c r="G764" s="372"/>
      <c r="H764" s="642">
        <v>234627</v>
      </c>
      <c r="I764" s="635"/>
      <c r="J764" s="642">
        <v>6190</v>
      </c>
      <c r="K764" s="635"/>
      <c r="L764" s="642">
        <v>-1238</v>
      </c>
      <c r="M764" s="635"/>
      <c r="N764" s="643" t="s">
        <v>628</v>
      </c>
      <c r="O764" s="635"/>
      <c r="P764" s="642">
        <v>239578</v>
      </c>
      <c r="Q764" s="635"/>
      <c r="R764" s="642">
        <v>236014</v>
      </c>
    </row>
    <row r="765" spans="1:18">
      <c r="A765" s="634">
        <v>10</v>
      </c>
      <c r="B765" s="639"/>
      <c r="C765" s="372"/>
      <c r="D765" s="372"/>
      <c r="E765" s="372"/>
      <c r="F765" s="372"/>
      <c r="G765" s="372"/>
      <c r="H765" s="372"/>
      <c r="I765" s="372"/>
      <c r="J765" s="372"/>
      <c r="K765" s="372"/>
      <c r="L765" s="372"/>
      <c r="M765" s="372"/>
      <c r="N765" s="372"/>
      <c r="O765" s="635"/>
      <c r="P765" s="372"/>
      <c r="Q765" s="372"/>
      <c r="R765" s="372"/>
    </row>
    <row r="766" spans="1:18">
      <c r="A766" s="634">
        <v>11</v>
      </c>
      <c r="B766" s="639"/>
      <c r="C766" s="372"/>
      <c r="D766" s="372" t="s">
        <v>679</v>
      </c>
      <c r="E766" s="372"/>
      <c r="F766" s="372"/>
      <c r="G766" s="635"/>
      <c r="H766" s="635"/>
      <c r="I766" s="635"/>
      <c r="J766" s="635"/>
      <c r="K766" s="635"/>
      <c r="L766" s="635"/>
      <c r="M766" s="635"/>
      <c r="N766" s="635"/>
      <c r="O766" s="635"/>
      <c r="P766" s="635"/>
      <c r="Q766" s="635"/>
      <c r="R766" s="635"/>
    </row>
    <row r="767" spans="1:18">
      <c r="A767" s="634">
        <v>12</v>
      </c>
      <c r="B767" s="639"/>
      <c r="C767" s="634">
        <v>34181</v>
      </c>
      <c r="D767" s="372" t="s">
        <v>627</v>
      </c>
      <c r="E767" s="372"/>
      <c r="F767" s="634">
        <v>4.9000000000000004</v>
      </c>
      <c r="G767" s="635"/>
      <c r="H767" s="640">
        <v>53101</v>
      </c>
      <c r="I767" s="635"/>
      <c r="J767" s="634" t="s">
        <v>635</v>
      </c>
      <c r="K767" s="372"/>
      <c r="L767" s="634" t="s">
        <v>635</v>
      </c>
      <c r="M767" s="372"/>
      <c r="N767" s="634" t="s">
        <v>635</v>
      </c>
      <c r="O767" s="635"/>
      <c r="P767" s="640">
        <v>53101</v>
      </c>
      <c r="Q767" s="372"/>
      <c r="R767" s="640">
        <v>53101</v>
      </c>
    </row>
    <row r="768" spans="1:18">
      <c r="A768" s="634">
        <v>13</v>
      </c>
      <c r="B768" s="639"/>
      <c r="C768" s="634">
        <v>34281</v>
      </c>
      <c r="D768" s="372" t="s">
        <v>666</v>
      </c>
      <c r="E768" s="372"/>
      <c r="F768" s="634">
        <v>3.73</v>
      </c>
      <c r="G768" s="635"/>
      <c r="H768" s="640">
        <v>249191</v>
      </c>
      <c r="I768" s="635"/>
      <c r="J768" s="640">
        <v>41699</v>
      </c>
      <c r="K768" s="372"/>
      <c r="L768" s="634">
        <v>-283</v>
      </c>
      <c r="M768" s="372"/>
      <c r="N768" s="634" t="s">
        <v>628</v>
      </c>
      <c r="O768" s="635"/>
      <c r="P768" s="640">
        <v>290607</v>
      </c>
      <c r="Q768" s="372"/>
      <c r="R768" s="640">
        <v>274203</v>
      </c>
    </row>
    <row r="769" spans="1:18">
      <c r="A769" s="634">
        <v>14</v>
      </c>
      <c r="B769" s="639"/>
      <c r="C769" s="634">
        <v>34381</v>
      </c>
      <c r="D769" s="372" t="s">
        <v>667</v>
      </c>
      <c r="E769" s="372"/>
      <c r="F769" s="634">
        <v>4.28</v>
      </c>
      <c r="G769" s="635"/>
      <c r="H769" s="640">
        <v>164019</v>
      </c>
      <c r="I769" s="635"/>
      <c r="J769" s="640">
        <v>41699</v>
      </c>
      <c r="K769" s="372"/>
      <c r="L769" s="634">
        <v>-283</v>
      </c>
      <c r="M769" s="372"/>
      <c r="N769" s="634" t="s">
        <v>628</v>
      </c>
      <c r="O769" s="635"/>
      <c r="P769" s="640">
        <v>205435</v>
      </c>
      <c r="Q769" s="372"/>
      <c r="R769" s="640">
        <v>189031</v>
      </c>
    </row>
    <row r="770" spans="1:18">
      <c r="A770" s="634">
        <v>15</v>
      </c>
      <c r="B770" s="639"/>
      <c r="C770" s="634">
        <v>34581</v>
      </c>
      <c r="D770" s="372" t="s">
        <v>631</v>
      </c>
      <c r="E770" s="372"/>
      <c r="F770" s="634">
        <v>2.54</v>
      </c>
      <c r="G770" s="635"/>
      <c r="H770" s="640">
        <v>60503</v>
      </c>
      <c r="I770" s="635"/>
      <c r="J770" s="634" t="s">
        <v>635</v>
      </c>
      <c r="K770" s="372"/>
      <c r="L770" s="634" t="s">
        <v>635</v>
      </c>
      <c r="M770" s="372"/>
      <c r="N770" s="634" t="s">
        <v>635</v>
      </c>
      <c r="O770" s="635"/>
      <c r="P770" s="640">
        <v>60503</v>
      </c>
      <c r="Q770" s="372"/>
      <c r="R770" s="640">
        <v>60503</v>
      </c>
    </row>
    <row r="771" spans="1:18">
      <c r="A771" s="634">
        <v>16</v>
      </c>
      <c r="B771" s="639"/>
      <c r="C771" s="634">
        <v>34681</v>
      </c>
      <c r="D771" s="372" t="s">
        <v>632</v>
      </c>
      <c r="E771" s="372"/>
      <c r="F771" s="634">
        <v>5.28</v>
      </c>
      <c r="G771" s="635"/>
      <c r="H771" s="640">
        <v>6717</v>
      </c>
      <c r="I771" s="635"/>
      <c r="J771" s="634" t="s">
        <v>635</v>
      </c>
      <c r="K771" s="372"/>
      <c r="L771" s="634" t="s">
        <v>635</v>
      </c>
      <c r="M771" s="372"/>
      <c r="N771" s="634" t="s">
        <v>635</v>
      </c>
      <c r="O771" s="635"/>
      <c r="P771" s="640">
        <v>6717</v>
      </c>
      <c r="Q771" s="372"/>
      <c r="R771" s="640">
        <v>6717</v>
      </c>
    </row>
    <row r="772" spans="1:18">
      <c r="A772" s="634">
        <v>17</v>
      </c>
      <c r="B772" s="639"/>
      <c r="C772" s="634"/>
      <c r="D772" s="636" t="s">
        <v>680</v>
      </c>
      <c r="E772" s="372"/>
      <c r="F772" s="372"/>
      <c r="G772" s="372"/>
      <c r="H772" s="642">
        <v>533531</v>
      </c>
      <c r="I772" s="635"/>
      <c r="J772" s="642">
        <v>83398</v>
      </c>
      <c r="K772" s="635"/>
      <c r="L772" s="643">
        <v>-566</v>
      </c>
      <c r="M772" s="635"/>
      <c r="N772" s="643" t="s">
        <v>628</v>
      </c>
      <c r="O772" s="635"/>
      <c r="P772" s="642">
        <v>616363</v>
      </c>
      <c r="Q772" s="635"/>
      <c r="R772" s="642">
        <v>583555</v>
      </c>
    </row>
    <row r="773" spans="1:18">
      <c r="A773" s="634">
        <v>18</v>
      </c>
      <c r="B773" s="639"/>
      <c r="C773" s="372"/>
      <c r="D773" s="372"/>
      <c r="E773" s="372"/>
      <c r="F773" s="372"/>
      <c r="G773" s="372"/>
      <c r="H773" s="372"/>
      <c r="I773" s="372"/>
      <c r="J773" s="372"/>
      <c r="K773" s="372"/>
      <c r="L773" s="372"/>
      <c r="M773" s="372"/>
      <c r="N773" s="372"/>
      <c r="O773" s="635"/>
      <c r="P773" s="372"/>
      <c r="Q773" s="372"/>
      <c r="R773" s="372"/>
    </row>
    <row r="774" spans="1:18">
      <c r="A774" s="634">
        <v>19</v>
      </c>
      <c r="B774" s="639"/>
      <c r="C774" s="634"/>
      <c r="D774" s="636" t="s">
        <v>681</v>
      </c>
      <c r="E774" s="372"/>
      <c r="F774" s="372"/>
      <c r="G774" s="372"/>
      <c r="H774" s="372"/>
      <c r="I774" s="635"/>
      <c r="J774" s="372"/>
      <c r="K774" s="635"/>
      <c r="L774" s="372"/>
      <c r="M774" s="635"/>
      <c r="N774" s="372"/>
      <c r="O774" s="635"/>
      <c r="P774" s="372"/>
      <c r="Q774" s="635"/>
      <c r="R774" s="372"/>
    </row>
    <row r="775" spans="1:18">
      <c r="A775" s="634">
        <v>20</v>
      </c>
      <c r="B775" s="639"/>
      <c r="C775" s="634">
        <v>34182</v>
      </c>
      <c r="D775" s="372" t="s">
        <v>627</v>
      </c>
      <c r="E775" s="372"/>
      <c r="F775" s="634">
        <v>2.2599999999999998</v>
      </c>
      <c r="G775" s="635"/>
      <c r="H775" s="640">
        <v>2342</v>
      </c>
      <c r="I775" s="635"/>
      <c r="J775" s="634" t="s">
        <v>635</v>
      </c>
      <c r="K775" s="372"/>
      <c r="L775" s="634" t="s">
        <v>635</v>
      </c>
      <c r="M775" s="372"/>
      <c r="N775" s="634" t="s">
        <v>635</v>
      </c>
      <c r="O775" s="635"/>
      <c r="P775" s="640">
        <v>2342</v>
      </c>
      <c r="Q775" s="372"/>
      <c r="R775" s="640">
        <v>2342</v>
      </c>
    </row>
    <row r="776" spans="1:18">
      <c r="A776" s="634">
        <v>21</v>
      </c>
      <c r="B776" s="639"/>
      <c r="C776" s="634">
        <v>34282</v>
      </c>
      <c r="D776" s="372" t="s">
        <v>666</v>
      </c>
      <c r="E776" s="372"/>
      <c r="F776" s="634">
        <v>3.08</v>
      </c>
      <c r="G776" s="635"/>
      <c r="H776" s="640">
        <v>3721</v>
      </c>
      <c r="I776" s="635"/>
      <c r="J776" s="640">
        <v>5122</v>
      </c>
      <c r="K776" s="372"/>
      <c r="L776" s="640">
        <v>-1024</v>
      </c>
      <c r="M776" s="372"/>
      <c r="N776" s="634" t="s">
        <v>628</v>
      </c>
      <c r="O776" s="635"/>
      <c r="P776" s="640">
        <v>7819</v>
      </c>
      <c r="Q776" s="372"/>
      <c r="R776" s="640">
        <v>4238</v>
      </c>
    </row>
    <row r="777" spans="1:18">
      <c r="A777" s="634">
        <v>22</v>
      </c>
      <c r="B777" s="639"/>
      <c r="C777" s="634">
        <v>34382</v>
      </c>
      <c r="D777" s="372" t="s">
        <v>667</v>
      </c>
      <c r="E777" s="372"/>
      <c r="F777" s="634">
        <v>3.92</v>
      </c>
      <c r="G777" s="635"/>
      <c r="H777" s="640">
        <v>37467</v>
      </c>
      <c r="I777" s="635"/>
      <c r="J777" s="640">
        <v>5122</v>
      </c>
      <c r="K777" s="372"/>
      <c r="L777" s="640">
        <v>-1024</v>
      </c>
      <c r="M777" s="372"/>
      <c r="N777" s="634" t="s">
        <v>628</v>
      </c>
      <c r="O777" s="635"/>
      <c r="P777" s="640">
        <v>41565</v>
      </c>
      <c r="Q777" s="372"/>
      <c r="R777" s="640">
        <v>37984</v>
      </c>
    </row>
    <row r="778" spans="1:18">
      <c r="A778" s="634">
        <v>23</v>
      </c>
      <c r="B778" s="639"/>
      <c r="C778" s="634">
        <v>34582</v>
      </c>
      <c r="D778" s="372" t="s">
        <v>631</v>
      </c>
      <c r="E778" s="372"/>
      <c r="F778" s="634">
        <v>1.93</v>
      </c>
      <c r="G778" s="635"/>
      <c r="H778" s="640">
        <v>19218</v>
      </c>
      <c r="I778" s="635"/>
      <c r="J778" s="634" t="s">
        <v>635</v>
      </c>
      <c r="K778" s="372"/>
      <c r="L778" s="634" t="s">
        <v>635</v>
      </c>
      <c r="M778" s="372"/>
      <c r="N778" s="634" t="s">
        <v>635</v>
      </c>
      <c r="O778" s="635"/>
      <c r="P778" s="640">
        <v>19218</v>
      </c>
      <c r="Q778" s="372"/>
      <c r="R778" s="640">
        <v>19218</v>
      </c>
    </row>
    <row r="779" spans="1:18">
      <c r="A779" s="634">
        <v>24</v>
      </c>
      <c r="B779" s="639"/>
      <c r="C779" s="634">
        <v>34682</v>
      </c>
      <c r="D779" s="372" t="s">
        <v>632</v>
      </c>
      <c r="E779" s="372"/>
      <c r="F779" s="634">
        <v>1.5</v>
      </c>
      <c r="G779" s="635"/>
      <c r="H779" s="634">
        <v>173</v>
      </c>
      <c r="I779" s="635"/>
      <c r="J779" s="634" t="s">
        <v>635</v>
      </c>
      <c r="K779" s="372"/>
      <c r="L779" s="634" t="s">
        <v>635</v>
      </c>
      <c r="M779" s="372"/>
      <c r="N779" s="634" t="s">
        <v>635</v>
      </c>
      <c r="O779" s="635"/>
      <c r="P779" s="634">
        <v>173</v>
      </c>
      <c r="Q779" s="372"/>
      <c r="R779" s="634">
        <v>173</v>
      </c>
    </row>
    <row r="780" spans="1:18">
      <c r="A780" s="634">
        <v>25</v>
      </c>
      <c r="B780" s="639"/>
      <c r="C780" s="634"/>
      <c r="D780" s="636" t="s">
        <v>682</v>
      </c>
      <c r="E780" s="372"/>
      <c r="F780" s="372"/>
      <c r="G780" s="372"/>
      <c r="H780" s="642">
        <v>62922</v>
      </c>
      <c r="I780" s="635"/>
      <c r="J780" s="642">
        <v>10245</v>
      </c>
      <c r="K780" s="635"/>
      <c r="L780" s="642">
        <v>-2049</v>
      </c>
      <c r="M780" s="635"/>
      <c r="N780" s="643" t="s">
        <v>628</v>
      </c>
      <c r="O780" s="635"/>
      <c r="P780" s="642">
        <v>71118</v>
      </c>
      <c r="Q780" s="635"/>
      <c r="R780" s="642">
        <v>63956</v>
      </c>
    </row>
    <row r="781" spans="1:18">
      <c r="A781" s="634">
        <v>26</v>
      </c>
      <c r="B781" s="639"/>
      <c r="C781" s="372"/>
      <c r="D781" s="372"/>
      <c r="E781" s="372"/>
      <c r="F781" s="372"/>
      <c r="G781" s="372"/>
      <c r="H781" s="372"/>
      <c r="I781" s="372"/>
      <c r="J781" s="372"/>
      <c r="K781" s="372"/>
      <c r="L781" s="372"/>
      <c r="M781" s="372"/>
      <c r="N781" s="372"/>
      <c r="O781" s="635"/>
      <c r="P781" s="372"/>
      <c r="Q781" s="372"/>
      <c r="R781" s="372"/>
    </row>
    <row r="782" spans="1:18">
      <c r="A782" s="634">
        <v>27</v>
      </c>
      <c r="B782" s="639"/>
      <c r="C782" s="634"/>
      <c r="D782" s="636" t="s">
        <v>683</v>
      </c>
      <c r="E782" s="372"/>
      <c r="F782" s="372"/>
      <c r="G782" s="372"/>
      <c r="H782" s="372"/>
      <c r="I782" s="635"/>
      <c r="J782" s="635"/>
      <c r="K782" s="635"/>
      <c r="L782" s="635"/>
      <c r="M782" s="635"/>
      <c r="N782" s="635"/>
      <c r="O782" s="635"/>
      <c r="P782" s="635"/>
      <c r="Q782" s="635"/>
      <c r="R782" s="635"/>
    </row>
    <row r="783" spans="1:18">
      <c r="A783" s="634">
        <v>28</v>
      </c>
      <c r="B783" s="639"/>
      <c r="C783" s="634">
        <v>34183</v>
      </c>
      <c r="D783" s="372" t="s">
        <v>627</v>
      </c>
      <c r="E783" s="372"/>
      <c r="F783" s="634">
        <v>2.27</v>
      </c>
      <c r="G783" s="635"/>
      <c r="H783" s="640">
        <v>10709</v>
      </c>
      <c r="I783" s="635"/>
      <c r="J783" s="634" t="s">
        <v>635</v>
      </c>
      <c r="K783" s="372"/>
      <c r="L783" s="634" t="s">
        <v>635</v>
      </c>
      <c r="M783" s="372"/>
      <c r="N783" s="634" t="s">
        <v>635</v>
      </c>
      <c r="O783" s="635"/>
      <c r="P783" s="640">
        <v>10709</v>
      </c>
      <c r="Q783" s="372"/>
      <c r="R783" s="640">
        <v>10709</v>
      </c>
    </row>
    <row r="784" spans="1:18">
      <c r="A784" s="634">
        <v>29</v>
      </c>
      <c r="B784" s="639"/>
      <c r="C784" s="634">
        <v>34283</v>
      </c>
      <c r="D784" s="372" t="s">
        <v>666</v>
      </c>
      <c r="E784" s="372"/>
      <c r="F784" s="634">
        <v>2.56</v>
      </c>
      <c r="G784" s="635"/>
      <c r="H784" s="640">
        <v>1847</v>
      </c>
      <c r="I784" s="635"/>
      <c r="J784" s="640">
        <v>1950</v>
      </c>
      <c r="K784" s="372"/>
      <c r="L784" s="634">
        <v>-390</v>
      </c>
      <c r="M784" s="372"/>
      <c r="N784" s="634" t="s">
        <v>628</v>
      </c>
      <c r="O784" s="635"/>
      <c r="P784" s="640">
        <v>3407</v>
      </c>
      <c r="Q784" s="372"/>
      <c r="R784" s="640">
        <v>1967</v>
      </c>
    </row>
    <row r="785" spans="1:18">
      <c r="A785" s="634">
        <v>30</v>
      </c>
      <c r="B785" s="639"/>
      <c r="C785" s="634">
        <v>34383</v>
      </c>
      <c r="D785" s="372" t="s">
        <v>667</v>
      </c>
      <c r="E785" s="372"/>
      <c r="F785" s="634">
        <v>2.2599999999999998</v>
      </c>
      <c r="G785" s="635"/>
      <c r="H785" s="640">
        <v>38712</v>
      </c>
      <c r="I785" s="635"/>
      <c r="J785" s="640">
        <v>1950</v>
      </c>
      <c r="K785" s="372"/>
      <c r="L785" s="634">
        <v>-390</v>
      </c>
      <c r="M785" s="372"/>
      <c r="N785" s="634" t="s">
        <v>628</v>
      </c>
      <c r="O785" s="635"/>
      <c r="P785" s="640">
        <v>40271</v>
      </c>
      <c r="Q785" s="372"/>
      <c r="R785" s="640">
        <v>38832</v>
      </c>
    </row>
    <row r="786" spans="1:18">
      <c r="A786" s="634">
        <v>31</v>
      </c>
      <c r="B786" s="372"/>
      <c r="C786" s="634">
        <v>34583</v>
      </c>
      <c r="D786" s="372" t="s">
        <v>631</v>
      </c>
      <c r="E786" s="372"/>
      <c r="F786" s="634">
        <v>1.66</v>
      </c>
      <c r="G786" s="635"/>
      <c r="H786" s="640">
        <v>9147</v>
      </c>
      <c r="I786" s="635"/>
      <c r="J786" s="634" t="s">
        <v>635</v>
      </c>
      <c r="K786" s="372"/>
      <c r="L786" s="634" t="s">
        <v>635</v>
      </c>
      <c r="M786" s="372"/>
      <c r="N786" s="634" t="s">
        <v>635</v>
      </c>
      <c r="O786" s="635"/>
      <c r="P786" s="640">
        <v>9147</v>
      </c>
      <c r="Q786" s="372"/>
      <c r="R786" s="640">
        <v>9147</v>
      </c>
    </row>
    <row r="787" spans="1:18">
      <c r="A787" s="634">
        <v>32</v>
      </c>
      <c r="B787" s="372"/>
      <c r="C787" s="634">
        <v>34683</v>
      </c>
      <c r="D787" s="372" t="s">
        <v>632</v>
      </c>
      <c r="E787" s="372"/>
      <c r="F787" s="634">
        <v>2.44</v>
      </c>
      <c r="G787" s="635"/>
      <c r="H787" s="634">
        <v>433</v>
      </c>
      <c r="I787" s="635"/>
      <c r="J787" s="634" t="s">
        <v>635</v>
      </c>
      <c r="K787" s="372"/>
      <c r="L787" s="634" t="s">
        <v>635</v>
      </c>
      <c r="M787" s="372"/>
      <c r="N787" s="634" t="s">
        <v>635</v>
      </c>
      <c r="O787" s="635"/>
      <c r="P787" s="634">
        <v>433</v>
      </c>
      <c r="Q787" s="372"/>
      <c r="R787" s="634">
        <v>433</v>
      </c>
    </row>
    <row r="788" spans="1:18">
      <c r="A788" s="634">
        <v>33</v>
      </c>
      <c r="B788" s="372"/>
      <c r="C788" s="372"/>
      <c r="D788" s="636" t="s">
        <v>684</v>
      </c>
      <c r="E788" s="372"/>
      <c r="F788" s="372"/>
      <c r="G788" s="372"/>
      <c r="H788" s="642">
        <v>60847</v>
      </c>
      <c r="I788" s="635"/>
      <c r="J788" s="642">
        <v>3900</v>
      </c>
      <c r="K788" s="635"/>
      <c r="L788" s="643">
        <v>-780</v>
      </c>
      <c r="M788" s="635"/>
      <c r="N788" s="643" t="s">
        <v>628</v>
      </c>
      <c r="O788" s="635"/>
      <c r="P788" s="642">
        <v>63967</v>
      </c>
      <c r="Q788" s="635"/>
      <c r="R788" s="642">
        <v>61087</v>
      </c>
    </row>
    <row r="789" spans="1:18">
      <c r="A789" s="634">
        <v>34</v>
      </c>
      <c r="B789" s="372"/>
      <c r="C789" s="372"/>
      <c r="D789" s="372"/>
      <c r="E789" s="372"/>
      <c r="F789" s="372"/>
      <c r="G789" s="372"/>
      <c r="H789" s="372"/>
      <c r="I789" s="635"/>
      <c r="J789" s="372"/>
      <c r="K789" s="635"/>
      <c r="L789" s="372"/>
      <c r="M789" s="635"/>
      <c r="N789" s="372"/>
      <c r="O789" s="635"/>
      <c r="P789" s="372"/>
      <c r="Q789" s="635"/>
      <c r="R789" s="372"/>
    </row>
    <row r="790" spans="1:18">
      <c r="A790" s="634">
        <v>35</v>
      </c>
      <c r="B790" s="372"/>
      <c r="C790" s="372"/>
      <c r="D790" s="636" t="s">
        <v>685</v>
      </c>
      <c r="E790" s="372"/>
      <c r="F790" s="372"/>
      <c r="G790" s="372"/>
      <c r="H790" s="372"/>
      <c r="I790" s="635"/>
      <c r="J790" s="635"/>
      <c r="K790" s="635"/>
      <c r="L790" s="635"/>
      <c r="M790" s="635"/>
      <c r="N790" s="635"/>
      <c r="O790" s="635"/>
      <c r="P790" s="635"/>
      <c r="Q790" s="635"/>
      <c r="R790" s="635"/>
    </row>
    <row r="791" spans="1:18">
      <c r="A791" s="634">
        <v>36</v>
      </c>
      <c r="B791" s="372"/>
      <c r="C791" s="634">
        <v>34184</v>
      </c>
      <c r="D791" s="372" t="s">
        <v>627</v>
      </c>
      <c r="E791" s="372"/>
      <c r="F791" s="634">
        <v>2.74</v>
      </c>
      <c r="G791" s="635"/>
      <c r="H791" s="640">
        <v>5812</v>
      </c>
      <c r="I791" s="635"/>
      <c r="J791" s="634" t="s">
        <v>635</v>
      </c>
      <c r="K791" s="372"/>
      <c r="L791" s="634" t="s">
        <v>635</v>
      </c>
      <c r="M791" s="372"/>
      <c r="N791" s="634" t="s">
        <v>635</v>
      </c>
      <c r="O791" s="635"/>
      <c r="P791" s="640">
        <v>5812</v>
      </c>
      <c r="Q791" s="372"/>
      <c r="R791" s="640">
        <v>5812</v>
      </c>
    </row>
    <row r="792" spans="1:18">
      <c r="A792" s="634">
        <v>37</v>
      </c>
      <c r="B792" s="372"/>
      <c r="C792" s="634">
        <v>34284</v>
      </c>
      <c r="D792" s="372" t="s">
        <v>666</v>
      </c>
      <c r="E792" s="372"/>
      <c r="F792" s="634">
        <v>3.88</v>
      </c>
      <c r="G792" s="635"/>
      <c r="H792" s="640">
        <v>2711</v>
      </c>
      <c r="I792" s="635"/>
      <c r="J792" s="640">
        <v>3207</v>
      </c>
      <c r="K792" s="372"/>
      <c r="L792" s="634">
        <v>-641</v>
      </c>
      <c r="M792" s="372"/>
      <c r="N792" s="634" t="s">
        <v>628</v>
      </c>
      <c r="O792" s="635"/>
      <c r="P792" s="640">
        <v>5276</v>
      </c>
      <c r="Q792" s="372"/>
      <c r="R792" s="640">
        <v>2908</v>
      </c>
    </row>
    <row r="793" spans="1:18">
      <c r="A793" s="634">
        <v>38</v>
      </c>
      <c r="B793" s="372"/>
      <c r="C793" s="634">
        <v>34384</v>
      </c>
      <c r="D793" s="372" t="s">
        <v>667</v>
      </c>
      <c r="E793" s="372"/>
      <c r="F793" s="634">
        <v>4.08</v>
      </c>
      <c r="G793" s="635"/>
      <c r="H793" s="640">
        <v>28730</v>
      </c>
      <c r="I793" s="635"/>
      <c r="J793" s="640">
        <v>3207</v>
      </c>
      <c r="K793" s="372"/>
      <c r="L793" s="634">
        <v>-641</v>
      </c>
      <c r="M793" s="372"/>
      <c r="N793" s="634" t="s">
        <v>628</v>
      </c>
      <c r="O793" s="635"/>
      <c r="P793" s="640">
        <v>31296</v>
      </c>
      <c r="Q793" s="372"/>
      <c r="R793" s="640">
        <v>28928</v>
      </c>
    </row>
    <row r="794" spans="1:18">
      <c r="A794" s="634">
        <v>39</v>
      </c>
      <c r="B794" s="372"/>
      <c r="C794" s="634">
        <v>34584</v>
      </c>
      <c r="D794" s="372" t="s">
        <v>631</v>
      </c>
      <c r="E794" s="372"/>
      <c r="F794" s="634">
        <v>1.75</v>
      </c>
      <c r="G794" s="635"/>
      <c r="H794" s="640">
        <v>5587</v>
      </c>
      <c r="I794" s="635"/>
      <c r="J794" s="634" t="s">
        <v>635</v>
      </c>
      <c r="K794" s="372"/>
      <c r="L794" s="634" t="s">
        <v>635</v>
      </c>
      <c r="M794" s="372"/>
      <c r="N794" s="634" t="s">
        <v>635</v>
      </c>
      <c r="O794" s="635"/>
      <c r="P794" s="640">
        <v>5587</v>
      </c>
      <c r="Q794" s="372"/>
      <c r="R794" s="640">
        <v>5587</v>
      </c>
    </row>
    <row r="795" spans="1:18">
      <c r="A795" s="634">
        <v>40</v>
      </c>
      <c r="B795" s="372"/>
      <c r="C795" s="634">
        <v>34684</v>
      </c>
      <c r="D795" s="372" t="s">
        <v>632</v>
      </c>
      <c r="E795" s="372"/>
      <c r="F795" s="634">
        <v>2.94</v>
      </c>
      <c r="G795" s="635"/>
      <c r="H795" s="634" t="s">
        <v>628</v>
      </c>
      <c r="I795" s="635"/>
      <c r="J795" s="634" t="s">
        <v>635</v>
      </c>
      <c r="K795" s="372"/>
      <c r="L795" s="634" t="s">
        <v>635</v>
      </c>
      <c r="M795" s="372"/>
      <c r="N795" s="634" t="s">
        <v>635</v>
      </c>
      <c r="O795" s="635"/>
      <c r="P795" s="634" t="s">
        <v>635</v>
      </c>
      <c r="Q795" s="372"/>
      <c r="R795" s="634" t="s">
        <v>635</v>
      </c>
    </row>
    <row r="796" spans="1:18">
      <c r="A796" s="634">
        <v>41</v>
      </c>
      <c r="B796" s="372"/>
      <c r="C796" s="372"/>
      <c r="D796" s="636" t="s">
        <v>686</v>
      </c>
      <c r="E796" s="372"/>
      <c r="F796" s="372"/>
      <c r="G796" s="372"/>
      <c r="H796" s="642">
        <v>42840</v>
      </c>
      <c r="I796" s="635"/>
      <c r="J796" s="642">
        <v>6414</v>
      </c>
      <c r="K796" s="635"/>
      <c r="L796" s="642">
        <v>-1283</v>
      </c>
      <c r="M796" s="635"/>
      <c r="N796" s="643" t="s">
        <v>628</v>
      </c>
      <c r="O796" s="635"/>
      <c r="P796" s="642">
        <v>47971</v>
      </c>
      <c r="Q796" s="635"/>
      <c r="R796" s="642">
        <v>43234</v>
      </c>
    </row>
    <row r="797" spans="1:18">
      <c r="A797" s="634">
        <v>42</v>
      </c>
      <c r="B797" s="372"/>
      <c r="C797" s="372"/>
      <c r="D797" s="372"/>
      <c r="E797" s="372"/>
      <c r="F797" s="372"/>
      <c r="G797" s="372"/>
      <c r="H797" s="372"/>
      <c r="I797" s="372"/>
      <c r="J797" s="372"/>
      <c r="K797" s="372"/>
      <c r="L797" s="372"/>
      <c r="M797" s="372"/>
      <c r="N797" s="372"/>
      <c r="O797" s="635"/>
      <c r="P797" s="372"/>
      <c r="Q797" s="372"/>
      <c r="R797" s="372"/>
    </row>
    <row r="798" spans="1:18">
      <c r="A798" s="634">
        <v>43</v>
      </c>
      <c r="B798" s="372"/>
      <c r="C798" s="372"/>
      <c r="D798" s="372"/>
      <c r="E798" s="372"/>
      <c r="F798" s="372"/>
      <c r="G798" s="372"/>
      <c r="H798" s="372"/>
      <c r="I798" s="372"/>
      <c r="J798" s="372"/>
      <c r="K798" s="372"/>
      <c r="L798" s="372"/>
      <c r="M798" s="372"/>
      <c r="N798" s="372"/>
      <c r="O798" s="635"/>
      <c r="P798" s="372"/>
      <c r="Q798" s="372"/>
      <c r="R798" s="372"/>
    </row>
    <row r="799" spans="1:18" ht="15" thickBot="1">
      <c r="A799" s="637">
        <v>44</v>
      </c>
      <c r="B799" s="660" t="s">
        <v>67</v>
      </c>
      <c r="C799" s="660"/>
      <c r="D799" s="625"/>
      <c r="E799" s="625"/>
      <c r="F799" s="625"/>
      <c r="G799" s="625"/>
      <c r="H799" s="625"/>
      <c r="I799" s="625"/>
      <c r="J799" s="625"/>
      <c r="K799" s="625"/>
      <c r="L799" s="625"/>
      <c r="M799" s="625"/>
      <c r="N799" s="625"/>
      <c r="O799" s="638"/>
      <c r="P799" s="625"/>
      <c r="Q799" s="625"/>
      <c r="R799" s="625"/>
    </row>
    <row r="800" spans="1:18">
      <c r="A800" s="664" t="s">
        <v>643</v>
      </c>
      <c r="B800" s="664"/>
      <c r="C800" s="372"/>
      <c r="D800" s="372"/>
      <c r="E800" s="664"/>
      <c r="F800" s="664"/>
      <c r="G800" s="664"/>
      <c r="H800" s="664"/>
      <c r="I800" s="664"/>
      <c r="J800" s="664"/>
      <c r="K800" s="664"/>
      <c r="L800" s="664"/>
      <c r="M800" s="664"/>
      <c r="N800" s="664"/>
      <c r="O800" s="635"/>
      <c r="P800" s="372" t="s">
        <v>644</v>
      </c>
      <c r="Q800" s="664"/>
      <c r="R800" s="664"/>
    </row>
    <row r="801" spans="1:18" ht="15" thickBot="1">
      <c r="A801" s="625" t="s">
        <v>604</v>
      </c>
      <c r="B801" s="625"/>
      <c r="C801" s="625"/>
      <c r="D801" s="625"/>
      <c r="E801" s="625"/>
      <c r="F801" s="625"/>
      <c r="G801" s="625" t="s">
        <v>605</v>
      </c>
      <c r="H801" s="625"/>
      <c r="I801" s="625"/>
      <c r="J801" s="625"/>
      <c r="K801" s="625"/>
      <c r="L801" s="625"/>
      <c r="M801" s="625"/>
      <c r="N801" s="625"/>
      <c r="O801" s="638"/>
      <c r="P801" s="625"/>
      <c r="Q801" s="625"/>
      <c r="R801" s="625" t="s">
        <v>687</v>
      </c>
    </row>
    <row r="802" spans="1:18">
      <c r="A802" s="664" t="s">
        <v>4</v>
      </c>
      <c r="B802" s="664"/>
      <c r="C802" s="372"/>
      <c r="D802" s="372"/>
      <c r="E802" s="635" t="s">
        <v>553</v>
      </c>
      <c r="F802" s="372" t="s">
        <v>607</v>
      </c>
      <c r="G802" s="664"/>
      <c r="H802" s="664"/>
      <c r="I802" s="664"/>
      <c r="J802" s="664"/>
      <c r="K802" s="661"/>
      <c r="L802" s="661"/>
      <c r="M802" s="661"/>
      <c r="N802" s="661"/>
      <c r="O802" s="645"/>
      <c r="P802" s="372" t="s">
        <v>608</v>
      </c>
      <c r="Q802" s="664"/>
      <c r="R802" s="664"/>
    </row>
    <row r="803" spans="1:18">
      <c r="A803" s="372"/>
      <c r="B803" s="372"/>
      <c r="C803" s="372"/>
      <c r="D803" s="372"/>
      <c r="E803" s="372"/>
      <c r="F803" s="372" t="s">
        <v>609</v>
      </c>
      <c r="G803" s="372"/>
      <c r="H803" s="372"/>
      <c r="I803" s="372"/>
      <c r="J803" s="372"/>
      <c r="K803" s="636"/>
      <c r="L803" s="636"/>
      <c r="M803" s="372"/>
      <c r="N803" s="372"/>
      <c r="O803" s="635" t="s">
        <v>12</v>
      </c>
      <c r="P803" s="636" t="s">
        <v>9</v>
      </c>
      <c r="Q803" s="372"/>
      <c r="R803" s="372"/>
    </row>
    <row r="804" spans="1:18">
      <c r="A804" s="372" t="s">
        <v>10</v>
      </c>
      <c r="B804" s="372"/>
      <c r="C804" s="372"/>
      <c r="D804" s="372"/>
      <c r="E804" s="372"/>
      <c r="F804" s="372"/>
      <c r="G804" s="372"/>
      <c r="H804" s="372"/>
      <c r="I804" s="372"/>
      <c r="J804" s="372"/>
      <c r="K804" s="636"/>
      <c r="L804" s="636"/>
      <c r="M804" s="372"/>
      <c r="N804" s="372"/>
      <c r="O804" s="635"/>
      <c r="P804" s="636" t="s">
        <v>11</v>
      </c>
      <c r="Q804" s="372"/>
      <c r="R804" s="372"/>
    </row>
    <row r="805" spans="1:18">
      <c r="A805" s="372"/>
      <c r="B805" s="372"/>
      <c r="C805" s="372"/>
      <c r="D805" s="372"/>
      <c r="E805" s="372"/>
      <c r="F805" s="372"/>
      <c r="G805" s="372"/>
      <c r="H805" s="372"/>
      <c r="I805" s="372"/>
      <c r="J805" s="372"/>
      <c r="K805" s="636"/>
      <c r="L805" s="636"/>
      <c r="M805" s="372"/>
      <c r="N805" s="372"/>
      <c r="O805" s="635"/>
      <c r="P805" s="636" t="s">
        <v>13</v>
      </c>
      <c r="Q805" s="372"/>
      <c r="R805" s="372"/>
    </row>
    <row r="806" spans="1:18">
      <c r="A806" s="372"/>
      <c r="B806" s="372"/>
      <c r="C806" s="372"/>
      <c r="D806" s="372"/>
      <c r="E806" s="372"/>
      <c r="F806" s="372"/>
      <c r="G806" s="372"/>
      <c r="H806" s="372"/>
      <c r="I806" s="372"/>
      <c r="J806" s="372"/>
      <c r="K806" s="636"/>
      <c r="L806" s="636"/>
      <c r="M806" s="372"/>
      <c r="N806" s="372"/>
      <c r="O806" s="635"/>
      <c r="P806" s="636" t="s">
        <v>610</v>
      </c>
      <c r="Q806" s="372"/>
      <c r="R806" s="372"/>
    </row>
    <row r="807" spans="1:18" ht="15" thickBot="1">
      <c r="A807" s="625" t="s">
        <v>611</v>
      </c>
      <c r="B807" s="625"/>
      <c r="C807" s="625"/>
      <c r="D807" s="625"/>
      <c r="E807" s="625"/>
      <c r="F807" s="625"/>
      <c r="G807" s="625"/>
      <c r="H807" s="637" t="s">
        <v>612</v>
      </c>
      <c r="I807" s="625"/>
      <c r="J807" s="625"/>
      <c r="K807" s="625"/>
      <c r="L807" s="625"/>
      <c r="M807" s="625"/>
      <c r="N807" s="625"/>
      <c r="O807" s="638"/>
      <c r="P807" s="625" t="s">
        <v>249</v>
      </c>
      <c r="Q807" s="625"/>
      <c r="R807" s="625"/>
    </row>
    <row r="808" spans="1:18">
      <c r="A808" s="664"/>
      <c r="B808" s="664"/>
      <c r="C808" s="634"/>
      <c r="D808" s="634"/>
      <c r="E808" s="634"/>
      <c r="F808" s="634"/>
      <c r="G808" s="634"/>
      <c r="H808" s="634"/>
      <c r="I808" s="634"/>
      <c r="J808" s="634"/>
      <c r="K808" s="634"/>
      <c r="L808" s="634"/>
      <c r="M808" s="634"/>
      <c r="N808" s="634"/>
      <c r="O808" s="635"/>
      <c r="P808" s="634"/>
      <c r="Q808" s="634"/>
      <c r="R808" s="634"/>
    </row>
    <row r="809" spans="1:18">
      <c r="A809" s="372"/>
      <c r="B809" s="372"/>
      <c r="C809" s="634">
        <v>-1</v>
      </c>
      <c r="D809" s="634">
        <v>-2</v>
      </c>
      <c r="E809" s="634"/>
      <c r="F809" s="634">
        <v>-3</v>
      </c>
      <c r="G809" s="634"/>
      <c r="H809" s="634">
        <v>-4</v>
      </c>
      <c r="I809" s="634"/>
      <c r="J809" s="634">
        <v>-5</v>
      </c>
      <c r="K809" s="634"/>
      <c r="L809" s="634">
        <v>-6</v>
      </c>
      <c r="M809" s="634"/>
      <c r="N809" s="634">
        <v>-7</v>
      </c>
      <c r="O809" s="635"/>
      <c r="P809" s="634">
        <v>-8</v>
      </c>
      <c r="Q809" s="634"/>
      <c r="R809" s="634">
        <v>-9</v>
      </c>
    </row>
    <row r="810" spans="1:18">
      <c r="A810" s="372"/>
      <c r="B810" s="372"/>
      <c r="C810" s="634" t="s">
        <v>613</v>
      </c>
      <c r="D810" s="634" t="s">
        <v>613</v>
      </c>
      <c r="E810" s="372"/>
      <c r="F810" s="634" t="s">
        <v>37</v>
      </c>
      <c r="G810" s="634"/>
      <c r="H810" s="634" t="s">
        <v>30</v>
      </c>
      <c r="I810" s="634"/>
      <c r="J810" s="634" t="s">
        <v>45</v>
      </c>
      <c r="K810" s="634"/>
      <c r="L810" s="634" t="s">
        <v>45</v>
      </c>
      <c r="M810" s="634"/>
      <c r="N810" s="372"/>
      <c r="O810" s="635"/>
      <c r="P810" s="634" t="s">
        <v>30</v>
      </c>
      <c r="Q810" s="372"/>
      <c r="R810" s="372"/>
    </row>
    <row r="811" spans="1:18">
      <c r="A811" s="634" t="s">
        <v>35</v>
      </c>
      <c r="B811" s="634"/>
      <c r="C811" s="634" t="s">
        <v>614</v>
      </c>
      <c r="D811" s="634" t="s">
        <v>614</v>
      </c>
      <c r="E811" s="634"/>
      <c r="F811" s="634" t="s">
        <v>615</v>
      </c>
      <c r="G811" s="634"/>
      <c r="H811" s="634" t="s">
        <v>616</v>
      </c>
      <c r="I811" s="634"/>
      <c r="J811" s="634" t="s">
        <v>30</v>
      </c>
      <c r="K811" s="634"/>
      <c r="L811" s="634" t="s">
        <v>30</v>
      </c>
      <c r="M811" s="636"/>
      <c r="N811" s="634" t="s">
        <v>178</v>
      </c>
      <c r="O811" s="635"/>
      <c r="P811" s="634" t="s">
        <v>616</v>
      </c>
      <c r="Q811" s="634"/>
      <c r="R811" s="634" t="s">
        <v>353</v>
      </c>
    </row>
    <row r="812" spans="1:18" ht="15" thickBot="1">
      <c r="A812" s="637" t="s">
        <v>46</v>
      </c>
      <c r="B812" s="637"/>
      <c r="C812" s="637" t="s">
        <v>371</v>
      </c>
      <c r="D812" s="637" t="s">
        <v>617</v>
      </c>
      <c r="E812" s="637"/>
      <c r="F812" s="637" t="s">
        <v>618</v>
      </c>
      <c r="G812" s="637"/>
      <c r="H812" s="637" t="s">
        <v>619</v>
      </c>
      <c r="I812" s="637"/>
      <c r="J812" s="637" t="s">
        <v>620</v>
      </c>
      <c r="K812" s="637"/>
      <c r="L812" s="637" t="s">
        <v>621</v>
      </c>
      <c r="M812" s="637"/>
      <c r="N812" s="637" t="s">
        <v>622</v>
      </c>
      <c r="O812" s="638"/>
      <c r="P812" s="637" t="s">
        <v>623</v>
      </c>
      <c r="Q812" s="637"/>
      <c r="R812" s="637" t="s">
        <v>369</v>
      </c>
    </row>
    <row r="813" spans="1:18">
      <c r="A813" s="634">
        <v>1</v>
      </c>
      <c r="B813" s="634"/>
      <c r="C813" s="372"/>
      <c r="D813" s="372"/>
      <c r="E813" s="664"/>
      <c r="F813" s="664"/>
      <c r="G813" s="664"/>
      <c r="H813" s="664"/>
      <c r="I813" s="664"/>
      <c r="J813" s="664"/>
      <c r="K813" s="664"/>
      <c r="L813" s="664"/>
      <c r="M813" s="664"/>
      <c r="N813" s="664"/>
      <c r="O813" s="635"/>
      <c r="P813" s="372"/>
      <c r="Q813" s="664"/>
      <c r="R813" s="664"/>
    </row>
    <row r="814" spans="1:18">
      <c r="A814" s="634">
        <v>2</v>
      </c>
      <c r="B814" s="639"/>
      <c r="C814" s="634"/>
      <c r="D814" s="636" t="s">
        <v>688</v>
      </c>
      <c r="E814" s="372"/>
      <c r="F814" s="372"/>
      <c r="G814" s="372"/>
      <c r="H814" s="372"/>
      <c r="I814" s="635"/>
      <c r="J814" s="635"/>
      <c r="K814" s="635"/>
      <c r="L814" s="635"/>
      <c r="M814" s="635"/>
      <c r="N814" s="635"/>
      <c r="O814" s="635"/>
      <c r="P814" s="635"/>
      <c r="Q814" s="635"/>
      <c r="R814" s="635"/>
    </row>
    <row r="815" spans="1:18">
      <c r="A815" s="634">
        <v>3</v>
      </c>
      <c r="B815" s="639"/>
      <c r="C815" s="634">
        <v>34185</v>
      </c>
      <c r="D815" s="372" t="s">
        <v>627</v>
      </c>
      <c r="E815" s="372"/>
      <c r="F815" s="634">
        <v>2.72</v>
      </c>
      <c r="G815" s="635"/>
      <c r="H815" s="640">
        <v>5747</v>
      </c>
      <c r="I815" s="635"/>
      <c r="J815" s="634" t="s">
        <v>635</v>
      </c>
      <c r="K815" s="372"/>
      <c r="L815" s="634" t="s">
        <v>635</v>
      </c>
      <c r="M815" s="372"/>
      <c r="N815" s="634" t="s">
        <v>635</v>
      </c>
      <c r="O815" s="635"/>
      <c r="P815" s="640">
        <v>5747</v>
      </c>
      <c r="Q815" s="372"/>
      <c r="R815" s="640">
        <v>5747</v>
      </c>
    </row>
    <row r="816" spans="1:18">
      <c r="A816" s="634">
        <v>4</v>
      </c>
      <c r="B816" s="639"/>
      <c r="C816" s="634">
        <v>34285</v>
      </c>
      <c r="D816" s="372" t="s">
        <v>666</v>
      </c>
      <c r="E816" s="372"/>
      <c r="F816" s="634">
        <v>3.13</v>
      </c>
      <c r="G816" s="635"/>
      <c r="H816" s="640">
        <v>3091</v>
      </c>
      <c r="I816" s="635"/>
      <c r="J816" s="640">
        <v>3543</v>
      </c>
      <c r="K816" s="372"/>
      <c r="L816" s="634">
        <v>-709</v>
      </c>
      <c r="M816" s="372"/>
      <c r="N816" s="634" t="s">
        <v>628</v>
      </c>
      <c r="O816" s="635"/>
      <c r="P816" s="640">
        <v>5925</v>
      </c>
      <c r="Q816" s="372"/>
      <c r="R816" s="640">
        <v>3438</v>
      </c>
    </row>
    <row r="817" spans="1:18">
      <c r="A817" s="634">
        <v>5</v>
      </c>
      <c r="B817" s="639"/>
      <c r="C817" s="634">
        <v>34385</v>
      </c>
      <c r="D817" s="372" t="s">
        <v>667</v>
      </c>
      <c r="E817" s="372"/>
      <c r="F817" s="634">
        <v>4.18</v>
      </c>
      <c r="G817" s="635"/>
      <c r="H817" s="640">
        <v>25538</v>
      </c>
      <c r="I817" s="635"/>
      <c r="J817" s="640">
        <v>3543</v>
      </c>
      <c r="K817" s="372"/>
      <c r="L817" s="634">
        <v>-709</v>
      </c>
      <c r="M817" s="372"/>
      <c r="N817" s="634" t="s">
        <v>628</v>
      </c>
      <c r="O817" s="635"/>
      <c r="P817" s="640">
        <v>28372</v>
      </c>
      <c r="Q817" s="372"/>
      <c r="R817" s="640">
        <v>25884</v>
      </c>
    </row>
    <row r="818" spans="1:18">
      <c r="A818" s="634">
        <v>6</v>
      </c>
      <c r="B818" s="639"/>
      <c r="C818" s="634">
        <v>34585</v>
      </c>
      <c r="D818" s="372" t="s">
        <v>631</v>
      </c>
      <c r="E818" s="372"/>
      <c r="F818" s="634">
        <v>1.71</v>
      </c>
      <c r="G818" s="635"/>
      <c r="H818" s="640">
        <v>5489</v>
      </c>
      <c r="I818" s="635"/>
      <c r="J818" s="634" t="s">
        <v>635</v>
      </c>
      <c r="K818" s="372"/>
      <c r="L818" s="634" t="s">
        <v>635</v>
      </c>
      <c r="M818" s="372"/>
      <c r="N818" s="634" t="s">
        <v>635</v>
      </c>
      <c r="O818" s="635"/>
      <c r="P818" s="640">
        <v>5489</v>
      </c>
      <c r="Q818" s="372"/>
      <c r="R818" s="640">
        <v>5489</v>
      </c>
    </row>
    <row r="819" spans="1:18">
      <c r="A819" s="634">
        <v>7</v>
      </c>
      <c r="B819" s="634"/>
      <c r="C819" s="634">
        <v>34685</v>
      </c>
      <c r="D819" s="372" t="s">
        <v>632</v>
      </c>
      <c r="E819" s="372"/>
      <c r="F819" s="634">
        <v>2.94</v>
      </c>
      <c r="G819" s="635"/>
      <c r="H819" s="634" t="s">
        <v>628</v>
      </c>
      <c r="I819" s="635"/>
      <c r="J819" s="634" t="s">
        <v>635</v>
      </c>
      <c r="K819" s="372"/>
      <c r="L819" s="634" t="s">
        <v>635</v>
      </c>
      <c r="M819" s="372"/>
      <c r="N819" s="634" t="s">
        <v>635</v>
      </c>
      <c r="O819" s="635"/>
      <c r="P819" s="634" t="s">
        <v>635</v>
      </c>
      <c r="Q819" s="372"/>
      <c r="R819" s="634" t="s">
        <v>635</v>
      </c>
    </row>
    <row r="820" spans="1:18">
      <c r="A820" s="634">
        <v>8</v>
      </c>
      <c r="B820" s="634"/>
      <c r="C820" s="634"/>
      <c r="D820" s="636" t="s">
        <v>689</v>
      </c>
      <c r="E820" s="372"/>
      <c r="F820" s="372"/>
      <c r="G820" s="372"/>
      <c r="H820" s="642">
        <v>39864</v>
      </c>
      <c r="I820" s="635"/>
      <c r="J820" s="642">
        <v>7086</v>
      </c>
      <c r="K820" s="635"/>
      <c r="L820" s="642">
        <v>-1417</v>
      </c>
      <c r="M820" s="635"/>
      <c r="N820" s="643" t="s">
        <v>628</v>
      </c>
      <c r="O820" s="635"/>
      <c r="P820" s="642">
        <v>45533</v>
      </c>
      <c r="Q820" s="635"/>
      <c r="R820" s="642">
        <v>40558</v>
      </c>
    </row>
    <row r="821" spans="1:18">
      <c r="A821" s="634">
        <v>9</v>
      </c>
      <c r="B821" s="634"/>
      <c r="C821" s="372"/>
      <c r="D821" s="372"/>
      <c r="E821" s="372"/>
      <c r="F821" s="372"/>
      <c r="G821" s="372"/>
      <c r="H821" s="372"/>
      <c r="I821" s="372"/>
      <c r="J821" s="372"/>
      <c r="K821" s="372"/>
      <c r="L821" s="372"/>
      <c r="M821" s="372"/>
      <c r="N821" s="372"/>
      <c r="O821" s="635"/>
      <c r="P821" s="372"/>
      <c r="Q821" s="372"/>
      <c r="R821" s="372"/>
    </row>
    <row r="822" spans="1:18">
      <c r="A822" s="634">
        <v>10</v>
      </c>
      <c r="B822" s="634"/>
      <c r="C822" s="634"/>
      <c r="D822" s="636" t="s">
        <v>690</v>
      </c>
      <c r="E822" s="372"/>
      <c r="F822" s="372"/>
      <c r="G822" s="372"/>
      <c r="H822" s="372"/>
      <c r="I822" s="635"/>
      <c r="J822" s="635"/>
      <c r="K822" s="635"/>
      <c r="L822" s="635"/>
      <c r="M822" s="635"/>
      <c r="N822" s="635"/>
      <c r="O822" s="635"/>
      <c r="P822" s="635"/>
      <c r="Q822" s="635"/>
      <c r="R822" s="635"/>
    </row>
    <row r="823" spans="1:18">
      <c r="A823" s="634">
        <v>11</v>
      </c>
      <c r="B823" s="634"/>
      <c r="C823" s="634">
        <v>34186</v>
      </c>
      <c r="D823" s="372" t="s">
        <v>627</v>
      </c>
      <c r="E823" s="372"/>
      <c r="F823" s="634">
        <v>2.93</v>
      </c>
      <c r="G823" s="635"/>
      <c r="H823" s="640">
        <v>13375</v>
      </c>
      <c r="I823" s="635"/>
      <c r="J823" s="640">
        <v>1291</v>
      </c>
      <c r="K823" s="372"/>
      <c r="L823" s="634">
        <v>-258</v>
      </c>
      <c r="M823" s="372"/>
      <c r="N823" s="634" t="s">
        <v>628</v>
      </c>
      <c r="O823" s="635"/>
      <c r="P823" s="640">
        <v>14407</v>
      </c>
      <c r="Q823" s="372"/>
      <c r="R823" s="640">
        <v>13593</v>
      </c>
    </row>
    <row r="824" spans="1:18">
      <c r="A824" s="634">
        <v>12</v>
      </c>
      <c r="B824" s="639"/>
      <c r="C824" s="634">
        <v>34286</v>
      </c>
      <c r="D824" s="372" t="s">
        <v>666</v>
      </c>
      <c r="E824" s="372"/>
      <c r="F824" s="634">
        <v>3.37</v>
      </c>
      <c r="G824" s="635"/>
      <c r="H824" s="640">
        <v>215270</v>
      </c>
      <c r="I824" s="635"/>
      <c r="J824" s="640">
        <v>3629</v>
      </c>
      <c r="K824" s="372"/>
      <c r="L824" s="634">
        <v>-726</v>
      </c>
      <c r="M824" s="372"/>
      <c r="N824" s="634" t="s">
        <v>628</v>
      </c>
      <c r="O824" s="635"/>
      <c r="P824" s="640">
        <v>218174</v>
      </c>
      <c r="Q824" s="372"/>
      <c r="R824" s="640">
        <v>215840</v>
      </c>
    </row>
    <row r="825" spans="1:18">
      <c r="A825" s="634">
        <v>13</v>
      </c>
      <c r="B825" s="639"/>
      <c r="C825" s="634">
        <v>34386</v>
      </c>
      <c r="D825" s="372" t="s">
        <v>667</v>
      </c>
      <c r="E825" s="372"/>
      <c r="F825" s="634">
        <v>3.48</v>
      </c>
      <c r="G825" s="635"/>
      <c r="H825" s="640">
        <v>225351</v>
      </c>
      <c r="I825" s="635"/>
      <c r="J825" s="640">
        <v>3629</v>
      </c>
      <c r="K825" s="372"/>
      <c r="L825" s="634">
        <v>-726</v>
      </c>
      <c r="M825" s="372"/>
      <c r="N825" s="634" t="s">
        <v>628</v>
      </c>
      <c r="O825" s="635"/>
      <c r="P825" s="640">
        <v>228255</v>
      </c>
      <c r="Q825" s="372"/>
      <c r="R825" s="640">
        <v>225920</v>
      </c>
    </row>
    <row r="826" spans="1:18">
      <c r="A826" s="634">
        <v>14</v>
      </c>
      <c r="B826" s="639"/>
      <c r="C826" s="634">
        <v>34586</v>
      </c>
      <c r="D826" s="372" t="s">
        <v>631</v>
      </c>
      <c r="E826" s="372"/>
      <c r="F826" s="634">
        <v>3.04</v>
      </c>
      <c r="G826" s="635"/>
      <c r="H826" s="640">
        <v>18339</v>
      </c>
      <c r="I826" s="635"/>
      <c r="J826" s="634" t="s">
        <v>635</v>
      </c>
      <c r="K826" s="372"/>
      <c r="L826" s="634" t="s">
        <v>635</v>
      </c>
      <c r="M826" s="372"/>
      <c r="N826" s="634" t="s">
        <v>635</v>
      </c>
      <c r="O826" s="635"/>
      <c r="P826" s="640">
        <v>18339</v>
      </c>
      <c r="Q826" s="372"/>
      <c r="R826" s="640">
        <v>18339</v>
      </c>
    </row>
    <row r="827" spans="1:18">
      <c r="A827" s="634">
        <v>15</v>
      </c>
      <c r="B827" s="639"/>
      <c r="C827" s="634">
        <v>34686</v>
      </c>
      <c r="D827" s="372" t="s">
        <v>632</v>
      </c>
      <c r="E827" s="372"/>
      <c r="F827" s="634">
        <v>3.71</v>
      </c>
      <c r="G827" s="635"/>
      <c r="H827" s="634">
        <v>142</v>
      </c>
      <c r="I827" s="635"/>
      <c r="J827" s="634" t="s">
        <v>635</v>
      </c>
      <c r="K827" s="372"/>
      <c r="L827" s="634" t="s">
        <v>635</v>
      </c>
      <c r="M827" s="372"/>
      <c r="N827" s="634" t="s">
        <v>635</v>
      </c>
      <c r="O827" s="635"/>
      <c r="P827" s="634">
        <v>142</v>
      </c>
      <c r="Q827" s="372"/>
      <c r="R827" s="634">
        <v>142</v>
      </c>
    </row>
    <row r="828" spans="1:18">
      <c r="A828" s="634">
        <v>16</v>
      </c>
      <c r="B828" s="639"/>
      <c r="C828" s="634"/>
      <c r="D828" s="636" t="s">
        <v>691</v>
      </c>
      <c r="E828" s="372"/>
      <c r="F828" s="372"/>
      <c r="G828" s="372"/>
      <c r="H828" s="642">
        <v>472476</v>
      </c>
      <c r="I828" s="635"/>
      <c r="J828" s="642">
        <v>8550</v>
      </c>
      <c r="K828" s="635"/>
      <c r="L828" s="642">
        <v>-1710</v>
      </c>
      <c r="M828" s="635"/>
      <c r="N828" s="643" t="s">
        <v>628</v>
      </c>
      <c r="O828" s="635"/>
      <c r="P828" s="642">
        <v>479316</v>
      </c>
      <c r="Q828" s="635"/>
      <c r="R828" s="642">
        <v>473833</v>
      </c>
    </row>
    <row r="829" spans="1:18">
      <c r="A829" s="634">
        <v>17</v>
      </c>
      <c r="B829" s="639"/>
      <c r="C829" s="372"/>
      <c r="D829" s="372"/>
      <c r="E829" s="372"/>
      <c r="F829" s="372"/>
      <c r="G829" s="372"/>
      <c r="H829" s="372"/>
      <c r="I829" s="372"/>
      <c r="J829" s="372"/>
      <c r="K829" s="372"/>
      <c r="L829" s="372"/>
      <c r="M829" s="372"/>
      <c r="N829" s="372"/>
      <c r="O829" s="635"/>
      <c r="P829" s="372"/>
      <c r="Q829" s="372"/>
      <c r="R829" s="372"/>
    </row>
    <row r="830" spans="1:18">
      <c r="A830" s="634">
        <v>18</v>
      </c>
      <c r="B830" s="639"/>
      <c r="C830" s="634">
        <v>34287</v>
      </c>
      <c r="D830" s="636" t="s">
        <v>692</v>
      </c>
      <c r="E830" s="372"/>
      <c r="F830" s="634">
        <v>20</v>
      </c>
      <c r="G830" s="635"/>
      <c r="H830" s="634" t="s">
        <v>628</v>
      </c>
      <c r="I830" s="635"/>
      <c r="J830" s="634" t="s">
        <v>635</v>
      </c>
      <c r="K830" s="372"/>
      <c r="L830" s="634" t="s">
        <v>635</v>
      </c>
      <c r="M830" s="372"/>
      <c r="N830" s="634" t="s">
        <v>635</v>
      </c>
      <c r="O830" s="635"/>
      <c r="P830" s="634" t="s">
        <v>635</v>
      </c>
      <c r="Q830" s="372"/>
      <c r="R830" s="634" t="s">
        <v>635</v>
      </c>
    </row>
    <row r="831" spans="1:18">
      <c r="A831" s="634">
        <v>19</v>
      </c>
      <c r="B831" s="639"/>
      <c r="C831" s="634">
        <v>34687</v>
      </c>
      <c r="D831" s="372" t="s">
        <v>693</v>
      </c>
      <c r="E831" s="372"/>
      <c r="F831" s="634">
        <v>14.3</v>
      </c>
      <c r="G831" s="635"/>
      <c r="H831" s="640">
        <v>2112</v>
      </c>
      <c r="I831" s="635"/>
      <c r="J831" s="634" t="s">
        <v>635</v>
      </c>
      <c r="K831" s="372"/>
      <c r="L831" s="634" t="s">
        <v>635</v>
      </c>
      <c r="M831" s="372"/>
      <c r="N831" s="634" t="s">
        <v>635</v>
      </c>
      <c r="O831" s="635"/>
      <c r="P831" s="640">
        <v>2112</v>
      </c>
      <c r="Q831" s="372"/>
      <c r="R831" s="640">
        <v>2112</v>
      </c>
    </row>
    <row r="832" spans="1:18">
      <c r="A832" s="634">
        <v>20</v>
      </c>
      <c r="B832" s="639"/>
      <c r="C832" s="634"/>
      <c r="D832" s="372"/>
      <c r="E832" s="372"/>
      <c r="F832" s="372"/>
      <c r="G832" s="372"/>
      <c r="H832" s="372"/>
      <c r="I832" s="635"/>
      <c r="J832" s="643"/>
      <c r="K832" s="635"/>
      <c r="L832" s="643"/>
      <c r="M832" s="635"/>
      <c r="N832" s="643"/>
      <c r="O832" s="635"/>
      <c r="P832" s="643"/>
      <c r="Q832" s="635"/>
      <c r="R832" s="643"/>
    </row>
    <row r="833" spans="1:18" ht="15" thickBot="1">
      <c r="A833" s="634">
        <v>21</v>
      </c>
      <c r="B833" s="639"/>
      <c r="C833" s="634"/>
      <c r="D833" s="372" t="s">
        <v>694</v>
      </c>
      <c r="E833" s="372"/>
      <c r="F833" s="372"/>
      <c r="G833" s="372"/>
      <c r="H833" s="646">
        <v>1449219</v>
      </c>
      <c r="I833" s="635"/>
      <c r="J833" s="646">
        <v>125782</v>
      </c>
      <c r="K833" s="635"/>
      <c r="L833" s="646">
        <v>-9043</v>
      </c>
      <c r="M833" s="635"/>
      <c r="N833" s="647" t="s">
        <v>628</v>
      </c>
      <c r="O833" s="635"/>
      <c r="P833" s="646">
        <v>1565958</v>
      </c>
      <c r="Q833" s="635"/>
      <c r="R833" s="646">
        <v>1504349</v>
      </c>
    </row>
    <row r="834" spans="1:18" ht="15" thickTop="1">
      <c r="A834" s="634">
        <v>22</v>
      </c>
      <c r="B834" s="639"/>
      <c r="C834" s="372"/>
      <c r="D834" s="372"/>
      <c r="E834" s="372"/>
      <c r="F834" s="372"/>
      <c r="G834" s="372"/>
      <c r="H834" s="372"/>
      <c r="I834" s="372"/>
      <c r="J834" s="372"/>
      <c r="K834" s="372"/>
      <c r="L834" s="372"/>
      <c r="M834" s="372"/>
      <c r="N834" s="372"/>
      <c r="O834" s="635"/>
      <c r="P834" s="372"/>
      <c r="Q834" s="372"/>
      <c r="R834" s="372"/>
    </row>
    <row r="835" spans="1:18">
      <c r="A835" s="634">
        <v>23</v>
      </c>
      <c r="B835" s="639"/>
      <c r="C835" s="372"/>
      <c r="D835" s="372"/>
      <c r="E835" s="372"/>
      <c r="F835" s="372"/>
      <c r="G835" s="372"/>
      <c r="H835" s="372"/>
      <c r="I835" s="372"/>
      <c r="J835" s="372"/>
      <c r="K835" s="372"/>
      <c r="L835" s="372"/>
      <c r="M835" s="372"/>
      <c r="N835" s="372"/>
      <c r="O835" s="635"/>
      <c r="P835" s="372"/>
      <c r="Q835" s="372"/>
      <c r="R835" s="372"/>
    </row>
    <row r="836" spans="1:18">
      <c r="A836" s="634">
        <v>24</v>
      </c>
      <c r="B836" s="639"/>
      <c r="C836" s="372"/>
      <c r="D836" s="372"/>
      <c r="E836" s="372"/>
      <c r="F836" s="372"/>
      <c r="G836" s="372"/>
      <c r="H836" s="372"/>
      <c r="I836" s="372"/>
      <c r="J836" s="372"/>
      <c r="K836" s="372"/>
      <c r="L836" s="372"/>
      <c r="M836" s="372"/>
      <c r="N836" s="372"/>
      <c r="O836" s="635"/>
      <c r="P836" s="372"/>
      <c r="Q836" s="372"/>
      <c r="R836" s="372"/>
    </row>
    <row r="837" spans="1:18">
      <c r="A837" s="634">
        <v>25</v>
      </c>
      <c r="B837" s="639"/>
      <c r="C837" s="372"/>
      <c r="D837" s="372" t="s">
        <v>695</v>
      </c>
      <c r="E837" s="372"/>
      <c r="F837" s="372"/>
      <c r="G837" s="372"/>
      <c r="H837" s="372"/>
      <c r="I837" s="372"/>
      <c r="J837" s="372"/>
      <c r="K837" s="372"/>
      <c r="L837" s="372"/>
      <c r="M837" s="372"/>
      <c r="N837" s="372"/>
      <c r="O837" s="635"/>
      <c r="P837" s="372"/>
      <c r="Q837" s="372"/>
      <c r="R837" s="372"/>
    </row>
    <row r="838" spans="1:18">
      <c r="A838" s="634">
        <v>26</v>
      </c>
      <c r="B838" s="644"/>
      <c r="C838" s="372"/>
      <c r="D838" s="636" t="s">
        <v>696</v>
      </c>
      <c r="E838" s="372"/>
      <c r="F838" s="372"/>
      <c r="G838" s="372"/>
      <c r="H838" s="372"/>
      <c r="I838" s="635"/>
      <c r="J838" s="635"/>
      <c r="K838" s="635"/>
      <c r="L838" s="635"/>
      <c r="M838" s="635"/>
      <c r="N838" s="635"/>
      <c r="O838" s="635"/>
      <c r="P838" s="635"/>
      <c r="Q838" s="635"/>
      <c r="R838" s="635"/>
    </row>
    <row r="839" spans="1:18">
      <c r="A839" s="634">
        <v>27</v>
      </c>
      <c r="B839" s="644"/>
      <c r="C839" s="634">
        <v>34130</v>
      </c>
      <c r="D839" s="372" t="s">
        <v>627</v>
      </c>
      <c r="E839" s="372"/>
      <c r="F839" s="634">
        <v>3.7</v>
      </c>
      <c r="G839" s="635"/>
      <c r="H839" s="640">
        <v>112232</v>
      </c>
      <c r="I839" s="635"/>
      <c r="J839" s="634" t="s">
        <v>635</v>
      </c>
      <c r="K839" s="372"/>
      <c r="L839" s="634" t="s">
        <v>635</v>
      </c>
      <c r="M839" s="372"/>
      <c r="N839" s="634" t="s">
        <v>635</v>
      </c>
      <c r="O839" s="635"/>
      <c r="P839" s="640">
        <v>112232</v>
      </c>
      <c r="Q839" s="372"/>
      <c r="R839" s="640">
        <v>112232</v>
      </c>
    </row>
    <row r="840" spans="1:18">
      <c r="A840" s="634">
        <v>28</v>
      </c>
      <c r="B840" s="644"/>
      <c r="C840" s="634">
        <v>34230</v>
      </c>
      <c r="D840" s="372" t="s">
        <v>666</v>
      </c>
      <c r="E840" s="372"/>
      <c r="F840" s="634">
        <v>4.26</v>
      </c>
      <c r="G840" s="635"/>
      <c r="H840" s="640">
        <v>41315</v>
      </c>
      <c r="I840" s="635"/>
      <c r="J840" s="640">
        <v>8972</v>
      </c>
      <c r="K840" s="372"/>
      <c r="L840" s="640">
        <v>-1794</v>
      </c>
      <c r="M840" s="372"/>
      <c r="N840" s="634" t="s">
        <v>628</v>
      </c>
      <c r="O840" s="635"/>
      <c r="P840" s="640">
        <v>48493</v>
      </c>
      <c r="Q840" s="372"/>
      <c r="R840" s="640">
        <v>45244</v>
      </c>
    </row>
    <row r="841" spans="1:18">
      <c r="A841" s="634">
        <v>29</v>
      </c>
      <c r="B841" s="639"/>
      <c r="C841" s="634">
        <v>34330</v>
      </c>
      <c r="D841" s="372" t="s">
        <v>667</v>
      </c>
      <c r="E841" s="372"/>
      <c r="F841" s="634">
        <v>5.47</v>
      </c>
      <c r="G841" s="635"/>
      <c r="H841" s="640">
        <v>56329</v>
      </c>
      <c r="I841" s="635"/>
      <c r="J841" s="640">
        <v>8972</v>
      </c>
      <c r="K841" s="372"/>
      <c r="L841" s="640">
        <v>-1794</v>
      </c>
      <c r="M841" s="372"/>
      <c r="N841" s="634" t="s">
        <v>628</v>
      </c>
      <c r="O841" s="635"/>
      <c r="P841" s="640">
        <v>63507</v>
      </c>
      <c r="Q841" s="372"/>
      <c r="R841" s="640">
        <v>60258</v>
      </c>
    </row>
    <row r="842" spans="1:18">
      <c r="A842" s="634">
        <v>30</v>
      </c>
      <c r="B842" s="639"/>
      <c r="C842" s="634">
        <v>34530</v>
      </c>
      <c r="D842" s="372" t="s">
        <v>631</v>
      </c>
      <c r="E842" s="372"/>
      <c r="F842" s="634">
        <v>2.46</v>
      </c>
      <c r="G842" s="635"/>
      <c r="H842" s="640">
        <v>32859</v>
      </c>
      <c r="I842" s="635"/>
      <c r="J842" s="634" t="s">
        <v>635</v>
      </c>
      <c r="K842" s="372"/>
      <c r="L842" s="634" t="s">
        <v>635</v>
      </c>
      <c r="M842" s="372"/>
      <c r="N842" s="634" t="s">
        <v>635</v>
      </c>
      <c r="O842" s="635"/>
      <c r="P842" s="640">
        <v>32859</v>
      </c>
      <c r="Q842" s="372"/>
      <c r="R842" s="640">
        <v>32859</v>
      </c>
    </row>
    <row r="843" spans="1:18">
      <c r="A843" s="634">
        <v>31</v>
      </c>
      <c r="B843" s="639"/>
      <c r="C843" s="634">
        <v>34630</v>
      </c>
      <c r="D843" s="372" t="s">
        <v>632</v>
      </c>
      <c r="E843" s="372"/>
      <c r="F843" s="634">
        <v>3.26</v>
      </c>
      <c r="G843" s="635"/>
      <c r="H843" s="640">
        <v>11492</v>
      </c>
      <c r="I843" s="635"/>
      <c r="J843" s="634" t="s">
        <v>635</v>
      </c>
      <c r="K843" s="372"/>
      <c r="L843" s="634" t="s">
        <v>635</v>
      </c>
      <c r="M843" s="372"/>
      <c r="N843" s="634" t="s">
        <v>635</v>
      </c>
      <c r="O843" s="635"/>
      <c r="P843" s="640">
        <v>11492</v>
      </c>
      <c r="Q843" s="372"/>
      <c r="R843" s="640">
        <v>11492</v>
      </c>
    </row>
    <row r="844" spans="1:18">
      <c r="A844" s="634">
        <v>32</v>
      </c>
      <c r="B844" s="639"/>
      <c r="C844" s="634"/>
      <c r="D844" s="636" t="s">
        <v>697</v>
      </c>
      <c r="E844" s="372"/>
      <c r="F844" s="372"/>
      <c r="G844" s="372"/>
      <c r="H844" s="642">
        <v>254227</v>
      </c>
      <c r="I844" s="635"/>
      <c r="J844" s="642">
        <v>17945</v>
      </c>
      <c r="K844" s="635"/>
      <c r="L844" s="642">
        <v>-3589</v>
      </c>
      <c r="M844" s="635"/>
      <c r="N844" s="643" t="s">
        <v>628</v>
      </c>
      <c r="O844" s="635"/>
      <c r="P844" s="642">
        <v>268583</v>
      </c>
      <c r="Q844" s="635"/>
      <c r="R844" s="642">
        <v>262084</v>
      </c>
    </row>
    <row r="845" spans="1:18">
      <c r="A845" s="634">
        <v>33</v>
      </c>
      <c r="B845" s="639"/>
      <c r="C845" s="372"/>
      <c r="D845" s="372"/>
      <c r="E845" s="372"/>
      <c r="F845" s="372"/>
      <c r="G845" s="372"/>
      <c r="H845" s="372"/>
      <c r="I845" s="372"/>
      <c r="J845" s="372"/>
      <c r="K845" s="372"/>
      <c r="L845" s="372"/>
      <c r="M845" s="372"/>
      <c r="N845" s="372"/>
      <c r="O845" s="635"/>
      <c r="P845" s="372"/>
      <c r="Q845" s="372"/>
      <c r="R845" s="372"/>
    </row>
    <row r="846" spans="1:18">
      <c r="A846" s="634">
        <v>34</v>
      </c>
      <c r="B846" s="372"/>
      <c r="C846" s="372"/>
      <c r="D846" s="636" t="s">
        <v>698</v>
      </c>
      <c r="E846" s="372"/>
      <c r="F846" s="372"/>
      <c r="G846" s="372"/>
      <c r="H846" s="372"/>
      <c r="I846" s="372"/>
      <c r="J846" s="372"/>
      <c r="K846" s="372"/>
      <c r="L846" s="372"/>
      <c r="M846" s="372"/>
      <c r="N846" s="372"/>
      <c r="O846" s="635"/>
      <c r="P846" s="372"/>
      <c r="Q846" s="372"/>
      <c r="R846" s="372"/>
    </row>
    <row r="847" spans="1:18">
      <c r="A847" s="634">
        <v>35</v>
      </c>
      <c r="B847" s="372"/>
      <c r="C847" s="634">
        <v>34131</v>
      </c>
      <c r="D847" s="372" t="s">
        <v>627</v>
      </c>
      <c r="E847" s="372"/>
      <c r="F847" s="634">
        <v>4.9000000000000004</v>
      </c>
      <c r="G847" s="635"/>
      <c r="H847" s="640">
        <v>21253</v>
      </c>
      <c r="I847" s="635"/>
      <c r="J847" s="634" t="s">
        <v>635</v>
      </c>
      <c r="K847" s="372"/>
      <c r="L847" s="634" t="s">
        <v>635</v>
      </c>
      <c r="M847" s="372"/>
      <c r="N847" s="634" t="s">
        <v>635</v>
      </c>
      <c r="O847" s="635"/>
      <c r="P847" s="640">
        <v>21253</v>
      </c>
      <c r="Q847" s="372"/>
      <c r="R847" s="640">
        <v>21253</v>
      </c>
    </row>
    <row r="848" spans="1:18">
      <c r="A848" s="634">
        <v>36</v>
      </c>
      <c r="B848" s="372"/>
      <c r="C848" s="634">
        <v>34231</v>
      </c>
      <c r="D848" s="372" t="s">
        <v>666</v>
      </c>
      <c r="E848" s="372"/>
      <c r="F848" s="634">
        <v>4.71</v>
      </c>
      <c r="G848" s="635"/>
      <c r="H848" s="640">
        <v>90649</v>
      </c>
      <c r="I848" s="635"/>
      <c r="J848" s="640">
        <v>17524</v>
      </c>
      <c r="K848" s="372"/>
      <c r="L848" s="640">
        <v>-3505</v>
      </c>
      <c r="M848" s="372"/>
      <c r="N848" s="634" t="s">
        <v>628</v>
      </c>
      <c r="O848" s="635"/>
      <c r="P848" s="640">
        <v>104668</v>
      </c>
      <c r="Q848" s="372"/>
      <c r="R848" s="640">
        <v>97775</v>
      </c>
    </row>
    <row r="849" spans="1:18">
      <c r="A849" s="634">
        <v>37</v>
      </c>
      <c r="B849" s="372"/>
      <c r="C849" s="634">
        <v>34331</v>
      </c>
      <c r="D849" s="372" t="s">
        <v>667</v>
      </c>
      <c r="E849" s="372"/>
      <c r="F849" s="634">
        <v>5.17</v>
      </c>
      <c r="G849" s="635"/>
      <c r="H849" s="640">
        <v>257143</v>
      </c>
      <c r="I849" s="635"/>
      <c r="J849" s="640">
        <v>17524</v>
      </c>
      <c r="K849" s="372"/>
      <c r="L849" s="640">
        <v>-3505</v>
      </c>
      <c r="M849" s="372"/>
      <c r="N849" s="634" t="s">
        <v>628</v>
      </c>
      <c r="O849" s="635"/>
      <c r="P849" s="640">
        <v>271162</v>
      </c>
      <c r="Q849" s="372"/>
      <c r="R849" s="640">
        <v>264269</v>
      </c>
    </row>
    <row r="850" spans="1:18">
      <c r="A850" s="634">
        <v>38</v>
      </c>
      <c r="B850" s="372"/>
      <c r="C850" s="634">
        <v>34531</v>
      </c>
      <c r="D850" s="372" t="s">
        <v>631</v>
      </c>
      <c r="E850" s="372"/>
      <c r="F850" s="634">
        <v>3.36</v>
      </c>
      <c r="G850" s="635"/>
      <c r="H850" s="640">
        <v>40602</v>
      </c>
      <c r="I850" s="635"/>
      <c r="J850" s="634" t="s">
        <v>635</v>
      </c>
      <c r="K850" s="372"/>
      <c r="L850" s="634" t="s">
        <v>635</v>
      </c>
      <c r="M850" s="372"/>
      <c r="N850" s="634" t="s">
        <v>635</v>
      </c>
      <c r="O850" s="635"/>
      <c r="P850" s="640">
        <v>40602</v>
      </c>
      <c r="Q850" s="372"/>
      <c r="R850" s="640">
        <v>40602</v>
      </c>
    </row>
    <row r="851" spans="1:18">
      <c r="A851" s="634">
        <v>39</v>
      </c>
      <c r="B851" s="372"/>
      <c r="C851" s="634">
        <v>34631</v>
      </c>
      <c r="D851" s="372" t="s">
        <v>632</v>
      </c>
      <c r="E851" s="372"/>
      <c r="F851" s="634">
        <v>4.29</v>
      </c>
      <c r="G851" s="635"/>
      <c r="H851" s="640">
        <v>1176</v>
      </c>
      <c r="I851" s="635"/>
      <c r="J851" s="634" t="s">
        <v>635</v>
      </c>
      <c r="K851" s="372"/>
      <c r="L851" s="634" t="s">
        <v>635</v>
      </c>
      <c r="M851" s="372"/>
      <c r="N851" s="634" t="s">
        <v>635</v>
      </c>
      <c r="O851" s="635"/>
      <c r="P851" s="640">
        <v>1176</v>
      </c>
      <c r="Q851" s="372"/>
      <c r="R851" s="640">
        <v>1176</v>
      </c>
    </row>
    <row r="852" spans="1:18">
      <c r="A852" s="634">
        <v>40</v>
      </c>
      <c r="B852" s="372"/>
      <c r="C852" s="372"/>
      <c r="D852" s="636" t="s">
        <v>699</v>
      </c>
      <c r="E852" s="372"/>
      <c r="F852" s="372"/>
      <c r="G852" s="372"/>
      <c r="H852" s="642">
        <v>410823</v>
      </c>
      <c r="I852" s="635"/>
      <c r="J852" s="642">
        <v>35048</v>
      </c>
      <c r="K852" s="635"/>
      <c r="L852" s="642">
        <v>-7010</v>
      </c>
      <c r="M852" s="635"/>
      <c r="N852" s="643" t="s">
        <v>628</v>
      </c>
      <c r="O852" s="635"/>
      <c r="P852" s="642">
        <v>438861</v>
      </c>
      <c r="Q852" s="635"/>
      <c r="R852" s="642">
        <v>425075</v>
      </c>
    </row>
    <row r="853" spans="1:18">
      <c r="A853" s="634">
        <v>41</v>
      </c>
      <c r="B853" s="372"/>
      <c r="C853" s="372"/>
      <c r="D853" s="372"/>
      <c r="E853" s="372"/>
      <c r="F853" s="372"/>
      <c r="G853" s="372"/>
      <c r="H853" s="372"/>
      <c r="I853" s="372"/>
      <c r="J853" s="372"/>
      <c r="K853" s="372"/>
      <c r="L853" s="372"/>
      <c r="M853" s="372"/>
      <c r="N853" s="372"/>
      <c r="O853" s="635"/>
      <c r="P853" s="372"/>
      <c r="Q853" s="372"/>
      <c r="R853" s="372"/>
    </row>
    <row r="854" spans="1:18">
      <c r="A854" s="634">
        <v>42</v>
      </c>
      <c r="B854" s="372"/>
      <c r="C854" s="372"/>
      <c r="D854" s="372"/>
      <c r="E854" s="372"/>
      <c r="F854" s="372"/>
      <c r="G854" s="372"/>
      <c r="H854" s="372"/>
      <c r="I854" s="372"/>
      <c r="J854" s="372"/>
      <c r="K854" s="372"/>
      <c r="L854" s="372"/>
      <c r="M854" s="372"/>
      <c r="N854" s="372"/>
      <c r="O854" s="635"/>
      <c r="P854" s="372"/>
      <c r="Q854" s="372"/>
      <c r="R854" s="372"/>
    </row>
    <row r="855" spans="1:18">
      <c r="A855" s="634">
        <v>43</v>
      </c>
      <c r="B855" s="372"/>
      <c r="C855" s="372"/>
      <c r="D855" s="372"/>
      <c r="E855" s="372"/>
      <c r="F855" s="372"/>
      <c r="G855" s="372"/>
      <c r="H855" s="372"/>
      <c r="I855" s="372"/>
      <c r="J855" s="372"/>
      <c r="K855" s="372"/>
      <c r="L855" s="372"/>
      <c r="M855" s="372"/>
      <c r="N855" s="372"/>
      <c r="O855" s="635"/>
      <c r="P855" s="372"/>
      <c r="Q855" s="372"/>
      <c r="R855" s="372"/>
    </row>
    <row r="856" spans="1:18" ht="15" thickBot="1">
      <c r="A856" s="637">
        <v>44</v>
      </c>
      <c r="B856" s="660" t="s">
        <v>67</v>
      </c>
      <c r="C856" s="660"/>
      <c r="D856" s="625"/>
      <c r="E856" s="625"/>
      <c r="F856" s="625"/>
      <c r="G856" s="625"/>
      <c r="H856" s="625"/>
      <c r="I856" s="625"/>
      <c r="J856" s="625"/>
      <c r="K856" s="625"/>
      <c r="L856" s="625"/>
      <c r="M856" s="625"/>
      <c r="N856" s="625"/>
      <c r="O856" s="638"/>
      <c r="P856" s="625"/>
      <c r="Q856" s="625"/>
      <c r="R856" s="625"/>
    </row>
    <row r="857" spans="1:18">
      <c r="A857" s="664" t="s">
        <v>643</v>
      </c>
      <c r="B857" s="664"/>
      <c r="C857" s="372"/>
      <c r="D857" s="372"/>
      <c r="E857" s="664"/>
      <c r="F857" s="664"/>
      <c r="G857" s="664"/>
      <c r="H857" s="664"/>
      <c r="I857" s="664"/>
      <c r="J857" s="664"/>
      <c r="K857" s="664"/>
      <c r="L857" s="664"/>
      <c r="M857" s="664"/>
      <c r="N857" s="664"/>
      <c r="O857" s="635"/>
      <c r="P857" s="372" t="s">
        <v>644</v>
      </c>
      <c r="Q857" s="664"/>
      <c r="R857" s="664"/>
    </row>
    <row r="858" spans="1:18" ht="15" thickBot="1">
      <c r="A858" s="625" t="s">
        <v>604</v>
      </c>
      <c r="B858" s="625"/>
      <c r="C858" s="625"/>
      <c r="D858" s="625"/>
      <c r="E858" s="625"/>
      <c r="F858" s="625"/>
      <c r="G858" s="625" t="s">
        <v>605</v>
      </c>
      <c r="H858" s="625"/>
      <c r="I858" s="625"/>
      <c r="J858" s="625"/>
      <c r="K858" s="625"/>
      <c r="L858" s="625"/>
      <c r="M858" s="625"/>
      <c r="N858" s="625"/>
      <c r="O858" s="638"/>
      <c r="P858" s="625"/>
      <c r="Q858" s="625"/>
      <c r="R858" s="625" t="s">
        <v>700</v>
      </c>
    </row>
    <row r="859" spans="1:18">
      <c r="A859" s="664" t="s">
        <v>4</v>
      </c>
      <c r="B859" s="664"/>
      <c r="C859" s="372"/>
      <c r="D859" s="372"/>
      <c r="E859" s="635" t="s">
        <v>553</v>
      </c>
      <c r="F859" s="372" t="s">
        <v>607</v>
      </c>
      <c r="G859" s="664"/>
      <c r="H859" s="664"/>
      <c r="I859" s="664"/>
      <c r="J859" s="664"/>
      <c r="K859" s="661"/>
      <c r="L859" s="661"/>
      <c r="M859" s="661"/>
      <c r="N859" s="661"/>
      <c r="O859" s="645"/>
      <c r="P859" s="372" t="s">
        <v>608</v>
      </c>
      <c r="Q859" s="664"/>
      <c r="R859" s="664"/>
    </row>
    <row r="860" spans="1:18">
      <c r="A860" s="372"/>
      <c r="B860" s="372"/>
      <c r="C860" s="372"/>
      <c r="D860" s="372"/>
      <c r="E860" s="372"/>
      <c r="F860" s="372" t="s">
        <v>609</v>
      </c>
      <c r="G860" s="372"/>
      <c r="H860" s="372"/>
      <c r="I860" s="372"/>
      <c r="J860" s="372"/>
      <c r="K860" s="636"/>
      <c r="L860" s="636"/>
      <c r="M860" s="372"/>
      <c r="N860" s="372"/>
      <c r="O860" s="635" t="s">
        <v>12</v>
      </c>
      <c r="P860" s="636" t="s">
        <v>9</v>
      </c>
      <c r="Q860" s="372"/>
      <c r="R860" s="372"/>
    </row>
    <row r="861" spans="1:18">
      <c r="A861" s="372" t="s">
        <v>10</v>
      </c>
      <c r="B861" s="372"/>
      <c r="C861" s="372"/>
      <c r="D861" s="372"/>
      <c r="E861" s="372"/>
      <c r="F861" s="372"/>
      <c r="G861" s="372"/>
      <c r="H861" s="372"/>
      <c r="I861" s="372"/>
      <c r="J861" s="372"/>
      <c r="K861" s="636"/>
      <c r="L861" s="636"/>
      <c r="M861" s="372"/>
      <c r="N861" s="372"/>
      <c r="O861" s="635"/>
      <c r="P861" s="636" t="s">
        <v>11</v>
      </c>
      <c r="Q861" s="372"/>
      <c r="R861" s="372"/>
    </row>
    <row r="862" spans="1:18">
      <c r="A862" s="372"/>
      <c r="B862" s="372"/>
      <c r="C862" s="372"/>
      <c r="D862" s="372"/>
      <c r="E862" s="372"/>
      <c r="F862" s="372"/>
      <c r="G862" s="372"/>
      <c r="H862" s="372"/>
      <c r="I862" s="372"/>
      <c r="J862" s="372"/>
      <c r="K862" s="636"/>
      <c r="L862" s="636"/>
      <c r="M862" s="372"/>
      <c r="N862" s="372"/>
      <c r="O862" s="635"/>
      <c r="P862" s="636" t="s">
        <v>13</v>
      </c>
      <c r="Q862" s="372"/>
      <c r="R862" s="372"/>
    </row>
    <row r="863" spans="1:18">
      <c r="A863" s="372"/>
      <c r="B863" s="372"/>
      <c r="C863" s="372"/>
      <c r="D863" s="372"/>
      <c r="E863" s="372"/>
      <c r="F863" s="372"/>
      <c r="G863" s="372"/>
      <c r="H863" s="372"/>
      <c r="I863" s="372"/>
      <c r="J863" s="372"/>
      <c r="K863" s="636"/>
      <c r="L863" s="636"/>
      <c r="M863" s="372"/>
      <c r="N863" s="372"/>
      <c r="O863" s="635"/>
      <c r="P863" s="636" t="s">
        <v>610</v>
      </c>
      <c r="Q863" s="372"/>
      <c r="R863" s="372"/>
    </row>
    <row r="864" spans="1:18" ht="15" thickBot="1">
      <c r="A864" s="625" t="s">
        <v>611</v>
      </c>
      <c r="B864" s="625"/>
      <c r="C864" s="625"/>
      <c r="D864" s="625"/>
      <c r="E864" s="625"/>
      <c r="F864" s="625"/>
      <c r="G864" s="625"/>
      <c r="H864" s="637" t="s">
        <v>612</v>
      </c>
      <c r="I864" s="625"/>
      <c r="J864" s="625"/>
      <c r="K864" s="625"/>
      <c r="L864" s="625"/>
      <c r="M864" s="625"/>
      <c r="N864" s="625"/>
      <c r="O864" s="638"/>
      <c r="P864" s="625" t="s">
        <v>249</v>
      </c>
      <c r="Q864" s="625"/>
      <c r="R864" s="625"/>
    </row>
    <row r="865" spans="1:18">
      <c r="A865" s="664"/>
      <c r="B865" s="664"/>
      <c r="C865" s="634"/>
      <c r="D865" s="634"/>
      <c r="E865" s="634"/>
      <c r="F865" s="634"/>
      <c r="G865" s="634"/>
      <c r="H865" s="634"/>
      <c r="I865" s="634"/>
      <c r="J865" s="634"/>
      <c r="K865" s="634"/>
      <c r="L865" s="634"/>
      <c r="M865" s="634"/>
      <c r="N865" s="634"/>
      <c r="O865" s="635"/>
      <c r="P865" s="634"/>
      <c r="Q865" s="634"/>
      <c r="R865" s="634"/>
    </row>
    <row r="866" spans="1:18">
      <c r="A866" s="372"/>
      <c r="B866" s="372"/>
      <c r="C866" s="634">
        <v>-1</v>
      </c>
      <c r="D866" s="634">
        <v>-2</v>
      </c>
      <c r="E866" s="634"/>
      <c r="F866" s="634">
        <v>-3</v>
      </c>
      <c r="G866" s="634"/>
      <c r="H866" s="634">
        <v>-4</v>
      </c>
      <c r="I866" s="634"/>
      <c r="J866" s="634">
        <v>-5</v>
      </c>
      <c r="K866" s="634"/>
      <c r="L866" s="634">
        <v>-6</v>
      </c>
      <c r="M866" s="634"/>
      <c r="N866" s="634">
        <v>-7</v>
      </c>
      <c r="O866" s="635"/>
      <c r="P866" s="634">
        <v>-8</v>
      </c>
      <c r="Q866" s="634"/>
      <c r="R866" s="634">
        <v>-9</v>
      </c>
    </row>
    <row r="867" spans="1:18">
      <c r="A867" s="372"/>
      <c r="B867" s="372"/>
      <c r="C867" s="634" t="s">
        <v>613</v>
      </c>
      <c r="D867" s="634" t="s">
        <v>613</v>
      </c>
      <c r="E867" s="372"/>
      <c r="F867" s="634" t="s">
        <v>37</v>
      </c>
      <c r="G867" s="634"/>
      <c r="H867" s="634" t="s">
        <v>30</v>
      </c>
      <c r="I867" s="634"/>
      <c r="J867" s="634" t="s">
        <v>45</v>
      </c>
      <c r="K867" s="634"/>
      <c r="L867" s="634" t="s">
        <v>45</v>
      </c>
      <c r="M867" s="634"/>
      <c r="N867" s="372"/>
      <c r="O867" s="635"/>
      <c r="P867" s="634" t="s">
        <v>30</v>
      </c>
      <c r="Q867" s="372"/>
      <c r="R867" s="372"/>
    </row>
    <row r="868" spans="1:18">
      <c r="A868" s="634" t="s">
        <v>35</v>
      </c>
      <c r="B868" s="634"/>
      <c r="C868" s="634" t="s">
        <v>614</v>
      </c>
      <c r="D868" s="634" t="s">
        <v>614</v>
      </c>
      <c r="E868" s="634"/>
      <c r="F868" s="634" t="s">
        <v>615</v>
      </c>
      <c r="G868" s="634"/>
      <c r="H868" s="634" t="s">
        <v>616</v>
      </c>
      <c r="I868" s="634"/>
      <c r="J868" s="634" t="s">
        <v>30</v>
      </c>
      <c r="K868" s="634"/>
      <c r="L868" s="634" t="s">
        <v>30</v>
      </c>
      <c r="M868" s="636"/>
      <c r="N868" s="634" t="s">
        <v>178</v>
      </c>
      <c r="O868" s="635"/>
      <c r="P868" s="634" t="s">
        <v>616</v>
      </c>
      <c r="Q868" s="634"/>
      <c r="R868" s="634" t="s">
        <v>353</v>
      </c>
    </row>
    <row r="869" spans="1:18" ht="15" thickBot="1">
      <c r="A869" s="637" t="s">
        <v>46</v>
      </c>
      <c r="B869" s="637"/>
      <c r="C869" s="637" t="s">
        <v>371</v>
      </c>
      <c r="D869" s="637" t="s">
        <v>617</v>
      </c>
      <c r="E869" s="637"/>
      <c r="F869" s="637" t="s">
        <v>618</v>
      </c>
      <c r="G869" s="637"/>
      <c r="H869" s="637" t="s">
        <v>619</v>
      </c>
      <c r="I869" s="637"/>
      <c r="J869" s="637" t="s">
        <v>620</v>
      </c>
      <c r="K869" s="637"/>
      <c r="L869" s="637" t="s">
        <v>621</v>
      </c>
      <c r="M869" s="637"/>
      <c r="N869" s="637" t="s">
        <v>622</v>
      </c>
      <c r="O869" s="638"/>
      <c r="P869" s="637" t="s">
        <v>623</v>
      </c>
      <c r="Q869" s="637"/>
      <c r="R869" s="637" t="s">
        <v>369</v>
      </c>
    </row>
    <row r="870" spans="1:18">
      <c r="A870" s="634">
        <v>1</v>
      </c>
      <c r="B870" s="639"/>
      <c r="C870" s="372"/>
      <c r="D870" s="372"/>
      <c r="E870" s="664"/>
      <c r="F870" s="664"/>
      <c r="G870" s="664"/>
      <c r="H870" s="664"/>
      <c r="I870" s="664"/>
      <c r="J870" s="664"/>
      <c r="K870" s="664"/>
      <c r="L870" s="664"/>
      <c r="M870" s="664"/>
      <c r="N870" s="664"/>
      <c r="O870" s="635"/>
      <c r="P870" s="372"/>
      <c r="Q870" s="664"/>
      <c r="R870" s="664"/>
    </row>
    <row r="871" spans="1:18">
      <c r="A871" s="634">
        <v>2</v>
      </c>
      <c r="B871" s="639"/>
      <c r="C871" s="634"/>
      <c r="D871" s="636" t="s">
        <v>701</v>
      </c>
      <c r="E871" s="372"/>
      <c r="F871" s="372"/>
      <c r="G871" s="372"/>
      <c r="H871" s="372"/>
      <c r="I871" s="635"/>
      <c r="J871" s="635"/>
      <c r="K871" s="635"/>
      <c r="L871" s="635"/>
      <c r="M871" s="635"/>
      <c r="N871" s="635"/>
      <c r="O871" s="635"/>
      <c r="P871" s="635"/>
      <c r="Q871" s="635"/>
      <c r="R871" s="635"/>
    </row>
    <row r="872" spans="1:18">
      <c r="A872" s="634">
        <v>3</v>
      </c>
      <c r="B872" s="639"/>
      <c r="C872" s="634">
        <v>34132</v>
      </c>
      <c r="D872" s="372" t="s">
        <v>627</v>
      </c>
      <c r="E872" s="372"/>
      <c r="F872" s="634">
        <v>4.24</v>
      </c>
      <c r="G872" s="635"/>
      <c r="H872" s="640">
        <v>27131</v>
      </c>
      <c r="I872" s="635"/>
      <c r="J872" s="634" t="s">
        <v>635</v>
      </c>
      <c r="K872" s="372"/>
      <c r="L872" s="634" t="s">
        <v>635</v>
      </c>
      <c r="M872" s="372"/>
      <c r="N872" s="634" t="s">
        <v>635</v>
      </c>
      <c r="O872" s="635"/>
      <c r="P872" s="640">
        <v>27131</v>
      </c>
      <c r="Q872" s="372"/>
      <c r="R872" s="640">
        <v>27131</v>
      </c>
    </row>
    <row r="873" spans="1:18">
      <c r="A873" s="634">
        <v>4</v>
      </c>
      <c r="B873" s="639"/>
      <c r="C873" s="634">
        <v>34232</v>
      </c>
      <c r="D873" s="372" t="s">
        <v>666</v>
      </c>
      <c r="E873" s="372"/>
      <c r="F873" s="634">
        <v>5.6</v>
      </c>
      <c r="G873" s="635"/>
      <c r="H873" s="640">
        <v>142690</v>
      </c>
      <c r="I873" s="635"/>
      <c r="J873" s="640">
        <v>5985</v>
      </c>
      <c r="K873" s="372"/>
      <c r="L873" s="640">
        <v>-1197</v>
      </c>
      <c r="M873" s="372"/>
      <c r="N873" s="634" t="s">
        <v>628</v>
      </c>
      <c r="O873" s="635"/>
      <c r="P873" s="640">
        <v>147479</v>
      </c>
      <c r="Q873" s="372"/>
      <c r="R873" s="640">
        <v>144286</v>
      </c>
    </row>
    <row r="874" spans="1:18">
      <c r="A874" s="634">
        <v>5</v>
      </c>
      <c r="B874" s="639"/>
      <c r="C874" s="634">
        <v>34332</v>
      </c>
      <c r="D874" s="372" t="s">
        <v>667</v>
      </c>
      <c r="E874" s="372"/>
      <c r="F874" s="634">
        <v>5.4</v>
      </c>
      <c r="G874" s="635"/>
      <c r="H874" s="640">
        <v>325380</v>
      </c>
      <c r="I874" s="635"/>
      <c r="J874" s="640">
        <v>5985</v>
      </c>
      <c r="K874" s="372"/>
      <c r="L874" s="640">
        <v>-1197</v>
      </c>
      <c r="M874" s="372"/>
      <c r="N874" s="634" t="s">
        <v>628</v>
      </c>
      <c r="O874" s="635"/>
      <c r="P874" s="640">
        <v>330168</v>
      </c>
      <c r="Q874" s="372"/>
      <c r="R874" s="640">
        <v>326975</v>
      </c>
    </row>
    <row r="875" spans="1:18">
      <c r="A875" s="634">
        <v>6</v>
      </c>
      <c r="B875" s="639"/>
      <c r="C875" s="634">
        <v>34532</v>
      </c>
      <c r="D875" s="372" t="s">
        <v>631</v>
      </c>
      <c r="E875" s="372"/>
      <c r="F875" s="634">
        <v>3.58</v>
      </c>
      <c r="G875" s="635"/>
      <c r="H875" s="640">
        <v>44699</v>
      </c>
      <c r="I875" s="635"/>
      <c r="J875" s="634" t="s">
        <v>635</v>
      </c>
      <c r="K875" s="372"/>
      <c r="L875" s="634" t="s">
        <v>635</v>
      </c>
      <c r="M875" s="372"/>
      <c r="N875" s="634" t="s">
        <v>635</v>
      </c>
      <c r="O875" s="635"/>
      <c r="P875" s="640">
        <v>44699</v>
      </c>
      <c r="Q875" s="372"/>
      <c r="R875" s="640">
        <v>44699</v>
      </c>
    </row>
    <row r="876" spans="1:18">
      <c r="A876" s="634">
        <v>7</v>
      </c>
      <c r="B876" s="639"/>
      <c r="C876" s="634">
        <v>34632</v>
      </c>
      <c r="D876" s="372" t="s">
        <v>632</v>
      </c>
      <c r="E876" s="372"/>
      <c r="F876" s="634">
        <v>4.1399999999999997</v>
      </c>
      <c r="G876" s="635"/>
      <c r="H876" s="640">
        <v>1456</v>
      </c>
      <c r="I876" s="635"/>
      <c r="J876" s="634" t="s">
        <v>635</v>
      </c>
      <c r="K876" s="372"/>
      <c r="L876" s="634" t="s">
        <v>635</v>
      </c>
      <c r="M876" s="372"/>
      <c r="N876" s="634" t="s">
        <v>635</v>
      </c>
      <c r="O876" s="635"/>
      <c r="P876" s="640">
        <v>1456</v>
      </c>
      <c r="Q876" s="372"/>
      <c r="R876" s="640">
        <v>1456</v>
      </c>
    </row>
    <row r="877" spans="1:18">
      <c r="A877" s="634">
        <v>8</v>
      </c>
      <c r="B877" s="639"/>
      <c r="C877" s="634"/>
      <c r="D877" s="636" t="s">
        <v>702</v>
      </c>
      <c r="E877" s="372"/>
      <c r="F877" s="372"/>
      <c r="G877" s="372"/>
      <c r="H877" s="642">
        <v>541355</v>
      </c>
      <c r="I877" s="635"/>
      <c r="J877" s="642">
        <v>11971</v>
      </c>
      <c r="K877" s="635"/>
      <c r="L877" s="642">
        <v>-2394</v>
      </c>
      <c r="M877" s="635"/>
      <c r="N877" s="643" t="s">
        <v>628</v>
      </c>
      <c r="O877" s="635"/>
      <c r="P877" s="642">
        <v>550932</v>
      </c>
      <c r="Q877" s="635"/>
      <c r="R877" s="642">
        <v>544547</v>
      </c>
    </row>
    <row r="878" spans="1:18">
      <c r="A878" s="634">
        <v>9</v>
      </c>
      <c r="B878" s="639"/>
      <c r="C878" s="372"/>
      <c r="D878" s="372"/>
      <c r="E878" s="372"/>
      <c r="F878" s="372"/>
      <c r="G878" s="372"/>
      <c r="H878" s="372"/>
      <c r="I878" s="372"/>
      <c r="J878" s="372"/>
      <c r="K878" s="372"/>
      <c r="L878" s="372"/>
      <c r="M878" s="372"/>
      <c r="N878" s="372"/>
      <c r="O878" s="635"/>
      <c r="P878" s="372"/>
      <c r="Q878" s="372"/>
      <c r="R878" s="372"/>
    </row>
    <row r="879" spans="1:18">
      <c r="A879" s="634">
        <v>10</v>
      </c>
      <c r="B879" s="639"/>
      <c r="C879" s="634"/>
      <c r="D879" s="636" t="s">
        <v>703</v>
      </c>
      <c r="E879" s="372"/>
      <c r="F879" s="372"/>
      <c r="G879" s="372"/>
      <c r="H879" s="372"/>
      <c r="I879" s="635"/>
      <c r="J879" s="372"/>
      <c r="K879" s="635"/>
      <c r="L879" s="372"/>
      <c r="M879" s="635"/>
      <c r="N879" s="372"/>
      <c r="O879" s="635"/>
      <c r="P879" s="372"/>
      <c r="Q879" s="635"/>
      <c r="R879" s="372"/>
    </row>
    <row r="880" spans="1:18">
      <c r="A880" s="634">
        <v>11</v>
      </c>
      <c r="B880" s="639"/>
      <c r="C880" s="634">
        <v>34133</v>
      </c>
      <c r="D880" s="372" t="s">
        <v>627</v>
      </c>
      <c r="E880" s="372"/>
      <c r="F880" s="634">
        <v>4.24</v>
      </c>
      <c r="G880" s="635"/>
      <c r="H880" s="634">
        <v>656</v>
      </c>
      <c r="I880" s="635"/>
      <c r="J880" s="634" t="s">
        <v>635</v>
      </c>
      <c r="K880" s="372"/>
      <c r="L880" s="634" t="s">
        <v>635</v>
      </c>
      <c r="M880" s="372"/>
      <c r="N880" s="634" t="s">
        <v>635</v>
      </c>
      <c r="O880" s="635"/>
      <c r="P880" s="634">
        <v>656</v>
      </c>
      <c r="Q880" s="372"/>
      <c r="R880" s="634">
        <v>656</v>
      </c>
    </row>
    <row r="881" spans="1:18">
      <c r="A881" s="634">
        <v>12</v>
      </c>
      <c r="B881" s="639"/>
      <c r="C881" s="634">
        <v>34233</v>
      </c>
      <c r="D881" s="372" t="s">
        <v>666</v>
      </c>
      <c r="E881" s="372"/>
      <c r="F881" s="634">
        <v>3.23</v>
      </c>
      <c r="G881" s="635"/>
      <c r="H881" s="640">
        <v>4701</v>
      </c>
      <c r="I881" s="635"/>
      <c r="J881" s="634" t="s">
        <v>635</v>
      </c>
      <c r="K881" s="372"/>
      <c r="L881" s="634" t="s">
        <v>635</v>
      </c>
      <c r="M881" s="372"/>
      <c r="N881" s="634" t="s">
        <v>635</v>
      </c>
      <c r="O881" s="635"/>
      <c r="P881" s="640">
        <v>4701</v>
      </c>
      <c r="Q881" s="372"/>
      <c r="R881" s="640">
        <v>4701</v>
      </c>
    </row>
    <row r="882" spans="1:18">
      <c r="A882" s="634">
        <v>13</v>
      </c>
      <c r="B882" s="639"/>
      <c r="C882" s="634">
        <v>34333</v>
      </c>
      <c r="D882" s="372" t="s">
        <v>667</v>
      </c>
      <c r="E882" s="372"/>
      <c r="F882" s="634">
        <v>2.12</v>
      </c>
      <c r="G882" s="635"/>
      <c r="H882" s="640">
        <v>16800</v>
      </c>
      <c r="I882" s="635"/>
      <c r="J882" s="634" t="s">
        <v>635</v>
      </c>
      <c r="K882" s="372"/>
      <c r="L882" s="634" t="s">
        <v>635</v>
      </c>
      <c r="M882" s="372"/>
      <c r="N882" s="634" t="s">
        <v>635</v>
      </c>
      <c r="O882" s="635"/>
      <c r="P882" s="640">
        <v>16800</v>
      </c>
      <c r="Q882" s="372"/>
      <c r="R882" s="640">
        <v>16800</v>
      </c>
    </row>
    <row r="883" spans="1:18">
      <c r="A883" s="634">
        <v>14</v>
      </c>
      <c r="B883" s="639"/>
      <c r="C883" s="634">
        <v>34533</v>
      </c>
      <c r="D883" s="372" t="s">
        <v>631</v>
      </c>
      <c r="E883" s="372"/>
      <c r="F883" s="634">
        <v>2.57</v>
      </c>
      <c r="G883" s="635"/>
      <c r="H883" s="640">
        <v>14174</v>
      </c>
      <c r="I883" s="635"/>
      <c r="J883" s="634" t="s">
        <v>635</v>
      </c>
      <c r="K883" s="372"/>
      <c r="L883" s="634" t="s">
        <v>635</v>
      </c>
      <c r="M883" s="372"/>
      <c r="N883" s="634" t="s">
        <v>635</v>
      </c>
      <c r="O883" s="635"/>
      <c r="P883" s="640">
        <v>14174</v>
      </c>
      <c r="Q883" s="372"/>
      <c r="R883" s="640">
        <v>14174</v>
      </c>
    </row>
    <row r="884" spans="1:18">
      <c r="A884" s="634">
        <v>15</v>
      </c>
      <c r="B884" s="639"/>
      <c r="C884" s="634">
        <v>34633</v>
      </c>
      <c r="D884" s="372" t="s">
        <v>632</v>
      </c>
      <c r="E884" s="372"/>
      <c r="F884" s="634">
        <v>2.87</v>
      </c>
      <c r="G884" s="635"/>
      <c r="H884" s="634">
        <v>1</v>
      </c>
      <c r="I884" s="635"/>
      <c r="J884" s="634" t="s">
        <v>635</v>
      </c>
      <c r="K884" s="372"/>
      <c r="L884" s="634" t="s">
        <v>635</v>
      </c>
      <c r="M884" s="372"/>
      <c r="N884" s="634" t="s">
        <v>635</v>
      </c>
      <c r="O884" s="635"/>
      <c r="P884" s="634">
        <v>1</v>
      </c>
      <c r="Q884" s="372"/>
      <c r="R884" s="634">
        <v>1</v>
      </c>
    </row>
    <row r="885" spans="1:18">
      <c r="A885" s="634">
        <v>16</v>
      </c>
      <c r="B885" s="639"/>
      <c r="C885" s="372"/>
      <c r="D885" s="636" t="s">
        <v>704</v>
      </c>
      <c r="E885" s="372"/>
      <c r="F885" s="372"/>
      <c r="G885" s="372"/>
      <c r="H885" s="642">
        <v>36333</v>
      </c>
      <c r="I885" s="635"/>
      <c r="J885" s="643" t="s">
        <v>635</v>
      </c>
      <c r="K885" s="635"/>
      <c r="L885" s="643" t="s">
        <v>635</v>
      </c>
      <c r="M885" s="635"/>
      <c r="N885" s="643" t="s">
        <v>635</v>
      </c>
      <c r="O885" s="635"/>
      <c r="P885" s="642">
        <v>36333</v>
      </c>
      <c r="Q885" s="635"/>
      <c r="R885" s="642">
        <v>36333</v>
      </c>
    </row>
    <row r="886" spans="1:18">
      <c r="A886" s="634">
        <v>17</v>
      </c>
      <c r="B886" s="639"/>
      <c r="C886" s="372"/>
      <c r="D886" s="372"/>
      <c r="E886" s="372"/>
      <c r="F886" s="372"/>
      <c r="G886" s="372"/>
      <c r="H886" s="372"/>
      <c r="I886" s="372"/>
      <c r="J886" s="372"/>
      <c r="K886" s="372"/>
      <c r="L886" s="372"/>
      <c r="M886" s="372"/>
      <c r="N886" s="372"/>
      <c r="O886" s="635"/>
      <c r="P886" s="372"/>
      <c r="Q886" s="372"/>
      <c r="R886" s="372"/>
    </row>
    <row r="887" spans="1:18">
      <c r="A887" s="634">
        <v>18</v>
      </c>
      <c r="B887" s="639"/>
      <c r="C887" s="634"/>
      <c r="D887" s="636" t="s">
        <v>705</v>
      </c>
      <c r="E887" s="372"/>
      <c r="F887" s="372"/>
      <c r="G887" s="372"/>
      <c r="H887" s="372"/>
      <c r="I887" s="635"/>
      <c r="J887" s="372"/>
      <c r="K887" s="635"/>
      <c r="L887" s="372"/>
      <c r="M887" s="635"/>
      <c r="N887" s="372"/>
      <c r="O887" s="635"/>
      <c r="P887" s="372"/>
      <c r="Q887" s="635"/>
      <c r="R887" s="372"/>
    </row>
    <row r="888" spans="1:18">
      <c r="A888" s="634">
        <v>19</v>
      </c>
      <c r="B888" s="639"/>
      <c r="C888" s="634">
        <v>34134</v>
      </c>
      <c r="D888" s="372" t="s">
        <v>627</v>
      </c>
      <c r="E888" s="372"/>
      <c r="F888" s="634">
        <v>6.05</v>
      </c>
      <c r="G888" s="635"/>
      <c r="H888" s="634">
        <v>242</v>
      </c>
      <c r="I888" s="635"/>
      <c r="J888" s="634" t="s">
        <v>635</v>
      </c>
      <c r="K888" s="372"/>
      <c r="L888" s="634" t="s">
        <v>635</v>
      </c>
      <c r="M888" s="372"/>
      <c r="N888" s="634" t="s">
        <v>635</v>
      </c>
      <c r="O888" s="635"/>
      <c r="P888" s="634">
        <v>242</v>
      </c>
      <c r="Q888" s="372"/>
      <c r="R888" s="634">
        <v>242</v>
      </c>
    </row>
    <row r="889" spans="1:18">
      <c r="A889" s="634">
        <v>20</v>
      </c>
      <c r="B889" s="639"/>
      <c r="C889" s="634">
        <v>34234</v>
      </c>
      <c r="D889" s="372" t="s">
        <v>666</v>
      </c>
      <c r="E889" s="372"/>
      <c r="F889" s="634">
        <v>2.81</v>
      </c>
      <c r="G889" s="635"/>
      <c r="H889" s="640">
        <v>3384</v>
      </c>
      <c r="I889" s="635"/>
      <c r="J889" s="634" t="s">
        <v>635</v>
      </c>
      <c r="K889" s="372"/>
      <c r="L889" s="634" t="s">
        <v>635</v>
      </c>
      <c r="M889" s="372"/>
      <c r="N889" s="634" t="s">
        <v>635</v>
      </c>
      <c r="O889" s="635"/>
      <c r="P889" s="640">
        <v>3384</v>
      </c>
      <c r="Q889" s="372"/>
      <c r="R889" s="640">
        <v>3384</v>
      </c>
    </row>
    <row r="890" spans="1:18">
      <c r="A890" s="634">
        <v>21</v>
      </c>
      <c r="B890" s="639"/>
      <c r="C890" s="634">
        <v>34334</v>
      </c>
      <c r="D890" s="372" t="s">
        <v>667</v>
      </c>
      <c r="E890" s="372"/>
      <c r="F890" s="634">
        <v>2.0499999999999998</v>
      </c>
      <c r="G890" s="635"/>
      <c r="H890" s="640">
        <v>16052</v>
      </c>
      <c r="I890" s="635"/>
      <c r="J890" s="634" t="s">
        <v>635</v>
      </c>
      <c r="K890" s="372"/>
      <c r="L890" s="634" t="s">
        <v>635</v>
      </c>
      <c r="M890" s="372"/>
      <c r="N890" s="634" t="s">
        <v>635</v>
      </c>
      <c r="O890" s="635"/>
      <c r="P890" s="640">
        <v>16052</v>
      </c>
      <c r="Q890" s="372"/>
      <c r="R890" s="640">
        <v>16052</v>
      </c>
    </row>
    <row r="891" spans="1:18">
      <c r="A891" s="634">
        <v>22</v>
      </c>
      <c r="B891" s="639"/>
      <c r="C891" s="634">
        <v>34534</v>
      </c>
      <c r="D891" s="372" t="s">
        <v>631</v>
      </c>
      <c r="E891" s="372"/>
      <c r="F891" s="634">
        <v>2.4300000000000002</v>
      </c>
      <c r="G891" s="635"/>
      <c r="H891" s="640">
        <v>4189</v>
      </c>
      <c r="I891" s="635"/>
      <c r="J891" s="634" t="s">
        <v>635</v>
      </c>
      <c r="K891" s="372"/>
      <c r="L891" s="634" t="s">
        <v>635</v>
      </c>
      <c r="M891" s="372"/>
      <c r="N891" s="634" t="s">
        <v>635</v>
      </c>
      <c r="O891" s="635"/>
      <c r="P891" s="640">
        <v>4189</v>
      </c>
      <c r="Q891" s="372"/>
      <c r="R891" s="640">
        <v>4189</v>
      </c>
    </row>
    <row r="892" spans="1:18">
      <c r="A892" s="634">
        <v>23</v>
      </c>
      <c r="B892" s="639"/>
      <c r="C892" s="634">
        <v>34634</v>
      </c>
      <c r="D892" s="372" t="s">
        <v>632</v>
      </c>
      <c r="E892" s="372"/>
      <c r="F892" s="634">
        <v>2.87</v>
      </c>
      <c r="G892" s="635"/>
      <c r="H892" s="634">
        <v>1</v>
      </c>
      <c r="I892" s="635"/>
      <c r="J892" s="634" t="s">
        <v>635</v>
      </c>
      <c r="K892" s="372"/>
      <c r="L892" s="634" t="s">
        <v>635</v>
      </c>
      <c r="M892" s="372"/>
      <c r="N892" s="634" t="s">
        <v>635</v>
      </c>
      <c r="O892" s="635"/>
      <c r="P892" s="634">
        <v>1</v>
      </c>
      <c r="Q892" s="372"/>
      <c r="R892" s="634">
        <v>1</v>
      </c>
    </row>
    <row r="893" spans="1:18">
      <c r="A893" s="634">
        <v>24</v>
      </c>
      <c r="B893" s="639"/>
      <c r="C893" s="634"/>
      <c r="D893" s="636" t="s">
        <v>706</v>
      </c>
      <c r="E893" s="372"/>
      <c r="F893" s="372"/>
      <c r="G893" s="372"/>
      <c r="H893" s="642">
        <v>23869</v>
      </c>
      <c r="I893" s="635"/>
      <c r="J893" s="643" t="s">
        <v>635</v>
      </c>
      <c r="K893" s="635"/>
      <c r="L893" s="643" t="s">
        <v>635</v>
      </c>
      <c r="M893" s="635"/>
      <c r="N893" s="643" t="s">
        <v>635</v>
      </c>
      <c r="O893" s="635"/>
      <c r="P893" s="642">
        <v>23869</v>
      </c>
      <c r="Q893" s="635"/>
      <c r="R893" s="642">
        <v>23869</v>
      </c>
    </row>
    <row r="894" spans="1:18">
      <c r="A894" s="634">
        <v>25</v>
      </c>
      <c r="B894" s="639"/>
      <c r="C894" s="372"/>
      <c r="D894" s="372"/>
      <c r="E894" s="372"/>
      <c r="F894" s="372"/>
      <c r="G894" s="372"/>
      <c r="H894" s="372"/>
      <c r="I894" s="372"/>
      <c r="J894" s="372"/>
      <c r="K894" s="372"/>
      <c r="L894" s="372"/>
      <c r="M894" s="372"/>
      <c r="N894" s="372"/>
      <c r="O894" s="635"/>
      <c r="P894" s="372"/>
      <c r="Q894" s="372"/>
      <c r="R894" s="372"/>
    </row>
    <row r="895" spans="1:18">
      <c r="A895" s="634">
        <v>26</v>
      </c>
      <c r="B895" s="639"/>
      <c r="C895" s="634"/>
      <c r="D895" s="636" t="s">
        <v>707</v>
      </c>
      <c r="E895" s="634"/>
      <c r="F895" s="634"/>
      <c r="G895" s="634"/>
      <c r="H895" s="634"/>
      <c r="I895" s="634"/>
      <c r="J895" s="634"/>
      <c r="K895" s="634"/>
      <c r="L895" s="634"/>
      <c r="M895" s="634"/>
      <c r="N895" s="634"/>
      <c r="O895" s="635"/>
      <c r="P895" s="634"/>
      <c r="Q895" s="634"/>
      <c r="R895" s="634"/>
    </row>
    <row r="896" spans="1:18">
      <c r="A896" s="634">
        <v>27</v>
      </c>
      <c r="B896" s="639"/>
      <c r="C896" s="634">
        <v>34135</v>
      </c>
      <c r="D896" s="372" t="s">
        <v>627</v>
      </c>
      <c r="E896" s="634"/>
      <c r="F896" s="634">
        <v>4.8600000000000003</v>
      </c>
      <c r="G896" s="635"/>
      <c r="H896" s="634">
        <v>793</v>
      </c>
      <c r="I896" s="635"/>
      <c r="J896" s="634" t="s">
        <v>635</v>
      </c>
      <c r="K896" s="372"/>
      <c r="L896" s="634" t="s">
        <v>635</v>
      </c>
      <c r="M896" s="372"/>
      <c r="N896" s="634" t="s">
        <v>635</v>
      </c>
      <c r="O896" s="635"/>
      <c r="P896" s="634">
        <v>793</v>
      </c>
      <c r="Q896" s="372"/>
      <c r="R896" s="634">
        <v>793</v>
      </c>
    </row>
    <row r="897" spans="1:18">
      <c r="A897" s="634">
        <v>28</v>
      </c>
      <c r="B897" s="639"/>
      <c r="C897" s="634">
        <v>34235</v>
      </c>
      <c r="D897" s="372" t="s">
        <v>666</v>
      </c>
      <c r="E897" s="634"/>
      <c r="F897" s="634">
        <v>3.05</v>
      </c>
      <c r="G897" s="635"/>
      <c r="H897" s="640">
        <v>2225</v>
      </c>
      <c r="I897" s="635"/>
      <c r="J897" s="634" t="s">
        <v>635</v>
      </c>
      <c r="K897" s="372"/>
      <c r="L897" s="634" t="s">
        <v>635</v>
      </c>
      <c r="M897" s="372"/>
      <c r="N897" s="634" t="s">
        <v>635</v>
      </c>
      <c r="O897" s="635"/>
      <c r="P897" s="640">
        <v>2225</v>
      </c>
      <c r="Q897" s="372"/>
      <c r="R897" s="640">
        <v>2225</v>
      </c>
    </row>
    <row r="898" spans="1:18">
      <c r="A898" s="634">
        <v>29</v>
      </c>
      <c r="B898" s="639"/>
      <c r="C898" s="634">
        <v>34335</v>
      </c>
      <c r="D898" s="372" t="s">
        <v>667</v>
      </c>
      <c r="E898" s="634"/>
      <c r="F898" s="634">
        <v>2.0699999999999998</v>
      </c>
      <c r="G898" s="635"/>
      <c r="H898" s="640">
        <v>18802</v>
      </c>
      <c r="I898" s="635"/>
      <c r="J898" s="634" t="s">
        <v>635</v>
      </c>
      <c r="K898" s="372"/>
      <c r="L898" s="634" t="s">
        <v>635</v>
      </c>
      <c r="M898" s="372"/>
      <c r="N898" s="634" t="s">
        <v>635</v>
      </c>
      <c r="O898" s="635"/>
      <c r="P898" s="640">
        <v>18802</v>
      </c>
      <c r="Q898" s="372"/>
      <c r="R898" s="640">
        <v>18802</v>
      </c>
    </row>
    <row r="899" spans="1:18">
      <c r="A899" s="634">
        <v>30</v>
      </c>
      <c r="B899" s="639"/>
      <c r="C899" s="634">
        <v>34535</v>
      </c>
      <c r="D899" s="372" t="s">
        <v>631</v>
      </c>
      <c r="E899" s="634"/>
      <c r="F899" s="634">
        <v>1.76</v>
      </c>
      <c r="G899" s="635"/>
      <c r="H899" s="640">
        <v>10409</v>
      </c>
      <c r="I899" s="635"/>
      <c r="J899" s="634" t="s">
        <v>635</v>
      </c>
      <c r="K899" s="372"/>
      <c r="L899" s="634" t="s">
        <v>635</v>
      </c>
      <c r="M899" s="372"/>
      <c r="N899" s="634" t="s">
        <v>635</v>
      </c>
      <c r="O899" s="635"/>
      <c r="P899" s="640">
        <v>10409</v>
      </c>
      <c r="Q899" s="372"/>
      <c r="R899" s="640">
        <v>10409</v>
      </c>
    </row>
    <row r="900" spans="1:18">
      <c r="A900" s="634">
        <v>31</v>
      </c>
      <c r="B900" s="639"/>
      <c r="C900" s="634">
        <v>34635</v>
      </c>
      <c r="D900" s="372" t="s">
        <v>632</v>
      </c>
      <c r="E900" s="372"/>
      <c r="F900" s="634">
        <v>2.94</v>
      </c>
      <c r="G900" s="635"/>
      <c r="H900" s="634" t="s">
        <v>628</v>
      </c>
      <c r="I900" s="635"/>
      <c r="J900" s="634" t="s">
        <v>635</v>
      </c>
      <c r="K900" s="372"/>
      <c r="L900" s="634" t="s">
        <v>635</v>
      </c>
      <c r="M900" s="372"/>
      <c r="N900" s="634" t="s">
        <v>635</v>
      </c>
      <c r="O900" s="635"/>
      <c r="P900" s="634" t="s">
        <v>635</v>
      </c>
      <c r="Q900" s="372"/>
      <c r="R900" s="634" t="s">
        <v>635</v>
      </c>
    </row>
    <row r="901" spans="1:18">
      <c r="A901" s="634">
        <v>32</v>
      </c>
      <c r="B901" s="639"/>
      <c r="C901" s="634"/>
      <c r="D901" s="636" t="s">
        <v>708</v>
      </c>
      <c r="E901" s="634"/>
      <c r="F901" s="634"/>
      <c r="G901" s="372"/>
      <c r="H901" s="642">
        <v>32228</v>
      </c>
      <c r="I901" s="635"/>
      <c r="J901" s="643" t="s">
        <v>635</v>
      </c>
      <c r="K901" s="635"/>
      <c r="L901" s="643" t="s">
        <v>635</v>
      </c>
      <c r="M901" s="635"/>
      <c r="N901" s="643" t="s">
        <v>635</v>
      </c>
      <c r="O901" s="635"/>
      <c r="P901" s="642">
        <v>32228</v>
      </c>
      <c r="Q901" s="635"/>
      <c r="R901" s="642">
        <v>32228</v>
      </c>
    </row>
    <row r="902" spans="1:18">
      <c r="A902" s="634">
        <v>33</v>
      </c>
      <c r="B902" s="639"/>
      <c r="C902" s="372"/>
      <c r="D902" s="372"/>
      <c r="E902" s="372"/>
      <c r="F902" s="372"/>
      <c r="G902" s="372"/>
      <c r="H902" s="372"/>
      <c r="I902" s="372"/>
      <c r="J902" s="372"/>
      <c r="K902" s="372"/>
      <c r="L902" s="372"/>
      <c r="M902" s="372"/>
      <c r="N902" s="372"/>
      <c r="O902" s="635"/>
      <c r="P902" s="372"/>
      <c r="Q902" s="372"/>
      <c r="R902" s="372"/>
    </row>
    <row r="903" spans="1:18">
      <c r="A903" s="634">
        <v>34</v>
      </c>
      <c r="B903" s="639"/>
      <c r="C903" s="634"/>
      <c r="D903" s="636" t="s">
        <v>709</v>
      </c>
      <c r="E903" s="372"/>
      <c r="F903" s="372"/>
      <c r="G903" s="372"/>
      <c r="H903" s="372"/>
      <c r="I903" s="635"/>
      <c r="J903" s="372"/>
      <c r="K903" s="635"/>
      <c r="L903" s="372"/>
      <c r="M903" s="635"/>
      <c r="N903" s="372"/>
      <c r="O903" s="635"/>
      <c r="P903" s="372"/>
      <c r="Q903" s="635"/>
      <c r="R903" s="372"/>
    </row>
    <row r="904" spans="1:18">
      <c r="A904" s="634">
        <v>35</v>
      </c>
      <c r="B904" s="639"/>
      <c r="C904" s="634">
        <v>34136</v>
      </c>
      <c r="D904" s="372" t="s">
        <v>627</v>
      </c>
      <c r="E904" s="372"/>
      <c r="F904" s="634">
        <v>3.62</v>
      </c>
      <c r="G904" s="635"/>
      <c r="H904" s="640">
        <v>2656</v>
      </c>
      <c r="I904" s="635"/>
      <c r="J904" s="634" t="s">
        <v>635</v>
      </c>
      <c r="K904" s="372"/>
      <c r="L904" s="634" t="s">
        <v>635</v>
      </c>
      <c r="M904" s="372"/>
      <c r="N904" s="634" t="s">
        <v>635</v>
      </c>
      <c r="O904" s="635"/>
      <c r="P904" s="640">
        <v>2656</v>
      </c>
      <c r="Q904" s="372"/>
      <c r="R904" s="640">
        <v>2656</v>
      </c>
    </row>
    <row r="905" spans="1:18">
      <c r="A905" s="634">
        <v>36</v>
      </c>
      <c r="B905" s="639"/>
      <c r="C905" s="634">
        <v>34236</v>
      </c>
      <c r="D905" s="372" t="s">
        <v>666</v>
      </c>
      <c r="E905" s="372"/>
      <c r="F905" s="634">
        <v>2.84</v>
      </c>
      <c r="G905" s="635"/>
      <c r="H905" s="640">
        <v>1563</v>
      </c>
      <c r="I905" s="635"/>
      <c r="J905" s="634" t="s">
        <v>635</v>
      </c>
      <c r="K905" s="372"/>
      <c r="L905" s="634" t="s">
        <v>635</v>
      </c>
      <c r="M905" s="372"/>
      <c r="N905" s="634" t="s">
        <v>635</v>
      </c>
      <c r="O905" s="635"/>
      <c r="P905" s="640">
        <v>1563</v>
      </c>
      <c r="Q905" s="372"/>
      <c r="R905" s="640">
        <v>1563</v>
      </c>
    </row>
    <row r="906" spans="1:18">
      <c r="A906" s="634">
        <v>37</v>
      </c>
      <c r="B906" s="639"/>
      <c r="C906" s="634">
        <v>34336</v>
      </c>
      <c r="D906" s="372" t="s">
        <v>667</v>
      </c>
      <c r="E906" s="372"/>
      <c r="F906" s="634">
        <v>1.8</v>
      </c>
      <c r="G906" s="635"/>
      <c r="H906" s="640">
        <v>17542</v>
      </c>
      <c r="I906" s="635"/>
      <c r="J906" s="634" t="s">
        <v>635</v>
      </c>
      <c r="K906" s="372"/>
      <c r="L906" s="634" t="s">
        <v>635</v>
      </c>
      <c r="M906" s="372"/>
      <c r="N906" s="634" t="s">
        <v>635</v>
      </c>
      <c r="O906" s="635"/>
      <c r="P906" s="640">
        <v>17542</v>
      </c>
      <c r="Q906" s="372"/>
      <c r="R906" s="640">
        <v>17542</v>
      </c>
    </row>
    <row r="907" spans="1:18">
      <c r="A907" s="634">
        <v>38</v>
      </c>
      <c r="B907" s="639"/>
      <c r="C907" s="634">
        <v>34536</v>
      </c>
      <c r="D907" s="372" t="s">
        <v>631</v>
      </c>
      <c r="E907" s="372"/>
      <c r="F907" s="634">
        <v>2.41</v>
      </c>
      <c r="G907" s="635"/>
      <c r="H907" s="640">
        <v>14353</v>
      </c>
      <c r="I907" s="635"/>
      <c r="J907" s="634" t="s">
        <v>635</v>
      </c>
      <c r="K907" s="372"/>
      <c r="L907" s="634" t="s">
        <v>635</v>
      </c>
      <c r="M907" s="372"/>
      <c r="N907" s="634" t="s">
        <v>635</v>
      </c>
      <c r="O907" s="635"/>
      <c r="P907" s="640">
        <v>14353</v>
      </c>
      <c r="Q907" s="372"/>
      <c r="R907" s="640">
        <v>14353</v>
      </c>
    </row>
    <row r="908" spans="1:18">
      <c r="A908" s="634">
        <v>39</v>
      </c>
      <c r="B908" s="639"/>
      <c r="C908" s="634">
        <v>34636</v>
      </c>
      <c r="D908" s="372" t="s">
        <v>632</v>
      </c>
      <c r="E908" s="372"/>
      <c r="F908" s="634">
        <v>3.1</v>
      </c>
      <c r="G908" s="635"/>
      <c r="H908" s="634">
        <v>12</v>
      </c>
      <c r="I908" s="635"/>
      <c r="J908" s="634" t="s">
        <v>635</v>
      </c>
      <c r="K908" s="372"/>
      <c r="L908" s="634" t="s">
        <v>635</v>
      </c>
      <c r="M908" s="372"/>
      <c r="N908" s="634" t="s">
        <v>635</v>
      </c>
      <c r="O908" s="635"/>
      <c r="P908" s="634">
        <v>12</v>
      </c>
      <c r="Q908" s="372"/>
      <c r="R908" s="634">
        <v>12</v>
      </c>
    </row>
    <row r="909" spans="1:18">
      <c r="A909" s="634">
        <v>40</v>
      </c>
      <c r="B909" s="639"/>
      <c r="C909" s="634"/>
      <c r="D909" s="636" t="s">
        <v>710</v>
      </c>
      <c r="E909" s="372"/>
      <c r="F909" s="372"/>
      <c r="G909" s="372"/>
      <c r="H909" s="642">
        <v>36126</v>
      </c>
      <c r="I909" s="635"/>
      <c r="J909" s="643" t="s">
        <v>635</v>
      </c>
      <c r="K909" s="635"/>
      <c r="L909" s="643" t="s">
        <v>635</v>
      </c>
      <c r="M909" s="635"/>
      <c r="N909" s="643" t="s">
        <v>635</v>
      </c>
      <c r="O909" s="635"/>
      <c r="P909" s="642">
        <v>36126</v>
      </c>
      <c r="Q909" s="635"/>
      <c r="R909" s="642">
        <v>36126</v>
      </c>
    </row>
    <row r="910" spans="1:18">
      <c r="A910" s="634">
        <v>41</v>
      </c>
      <c r="B910" s="639"/>
      <c r="C910" s="372"/>
      <c r="D910" s="372"/>
      <c r="E910" s="372"/>
      <c r="F910" s="372"/>
      <c r="G910" s="372"/>
      <c r="H910" s="372"/>
      <c r="I910" s="372"/>
      <c r="J910" s="372"/>
      <c r="K910" s="372"/>
      <c r="L910" s="372"/>
      <c r="M910" s="372"/>
      <c r="N910" s="372"/>
      <c r="O910" s="635"/>
      <c r="P910" s="372"/>
      <c r="Q910" s="372"/>
      <c r="R910" s="372"/>
    </row>
    <row r="911" spans="1:18">
      <c r="A911" s="634">
        <v>42</v>
      </c>
      <c r="B911" s="639"/>
      <c r="C911" s="634">
        <v>34637</v>
      </c>
      <c r="D911" s="636" t="s">
        <v>711</v>
      </c>
      <c r="E911" s="372"/>
      <c r="F911" s="634">
        <v>14.3</v>
      </c>
      <c r="G911" s="635"/>
      <c r="H911" s="634">
        <v>268</v>
      </c>
      <c r="I911" s="635"/>
      <c r="J911" s="634" t="s">
        <v>635</v>
      </c>
      <c r="K911" s="372"/>
      <c r="L911" s="634">
        <v>-47</v>
      </c>
      <c r="M911" s="372"/>
      <c r="N911" s="634" t="s">
        <v>628</v>
      </c>
      <c r="O911" s="635"/>
      <c r="P911" s="634">
        <v>221</v>
      </c>
      <c r="Q911" s="372"/>
      <c r="R911" s="634">
        <v>254</v>
      </c>
    </row>
    <row r="912" spans="1:18" ht="15" thickBot="1">
      <c r="A912" s="634">
        <v>43</v>
      </c>
      <c r="B912" s="639"/>
      <c r="C912" s="372"/>
      <c r="D912" s="372" t="s">
        <v>712</v>
      </c>
      <c r="E912" s="372"/>
      <c r="F912" s="372"/>
      <c r="G912" s="372"/>
      <c r="H912" s="648">
        <v>1335229</v>
      </c>
      <c r="I912" s="635"/>
      <c r="J912" s="648">
        <v>64964</v>
      </c>
      <c r="K912" s="635"/>
      <c r="L912" s="648">
        <v>-13040</v>
      </c>
      <c r="M912" s="635"/>
      <c r="N912" s="649" t="s">
        <v>628</v>
      </c>
      <c r="O912" s="635"/>
      <c r="P912" s="648">
        <v>1387153</v>
      </c>
      <c r="Q912" s="635"/>
      <c r="R912" s="648">
        <v>1360516</v>
      </c>
    </row>
    <row r="913" spans="1:18" ht="15.6" thickTop="1" thickBot="1">
      <c r="A913" s="637">
        <v>44</v>
      </c>
      <c r="B913" s="660" t="s">
        <v>67</v>
      </c>
      <c r="C913" s="660"/>
      <c r="D913" s="625"/>
      <c r="E913" s="625"/>
      <c r="F913" s="625"/>
      <c r="G913" s="625"/>
      <c r="H913" s="625"/>
      <c r="I913" s="625"/>
      <c r="J913" s="625"/>
      <c r="K913" s="625"/>
      <c r="L913" s="625"/>
      <c r="M913" s="625"/>
      <c r="N913" s="625"/>
      <c r="O913" s="638"/>
      <c r="P913" s="625"/>
      <c r="Q913" s="625"/>
      <c r="R913" s="625"/>
    </row>
    <row r="914" spans="1:18">
      <c r="A914" s="664" t="s">
        <v>643</v>
      </c>
      <c r="B914" s="664"/>
      <c r="C914" s="372"/>
      <c r="D914" s="372"/>
      <c r="E914" s="664"/>
      <c r="F914" s="664"/>
      <c r="G914" s="664"/>
      <c r="H914" s="664"/>
      <c r="I914" s="664"/>
      <c r="J914" s="664"/>
      <c r="K914" s="664"/>
      <c r="L914" s="664"/>
      <c r="M914" s="664"/>
      <c r="N914" s="664"/>
      <c r="O914" s="635"/>
      <c r="P914" s="372" t="s">
        <v>644</v>
      </c>
      <c r="Q914" s="664"/>
      <c r="R914" s="664"/>
    </row>
    <row r="915" spans="1:18" ht="15" thickBot="1">
      <c r="A915" s="625" t="s">
        <v>604</v>
      </c>
      <c r="B915" s="625"/>
      <c r="C915" s="625"/>
      <c r="D915" s="625"/>
      <c r="E915" s="625"/>
      <c r="F915" s="625"/>
      <c r="G915" s="625" t="s">
        <v>605</v>
      </c>
      <c r="H915" s="625"/>
      <c r="I915" s="625"/>
      <c r="J915" s="625"/>
      <c r="K915" s="625"/>
      <c r="L915" s="625"/>
      <c r="M915" s="625"/>
      <c r="N915" s="625"/>
      <c r="O915" s="638"/>
      <c r="P915" s="625"/>
      <c r="Q915" s="625"/>
      <c r="R915" s="625" t="s">
        <v>713</v>
      </c>
    </row>
    <row r="916" spans="1:18">
      <c r="A916" s="664" t="s">
        <v>4</v>
      </c>
      <c r="B916" s="664"/>
      <c r="C916" s="372"/>
      <c r="D916" s="372"/>
      <c r="E916" s="635" t="s">
        <v>553</v>
      </c>
      <c r="F916" s="372" t="s">
        <v>607</v>
      </c>
      <c r="G916" s="664"/>
      <c r="H916" s="664"/>
      <c r="I916" s="664"/>
      <c r="J916" s="664"/>
      <c r="K916" s="661"/>
      <c r="L916" s="661"/>
      <c r="M916" s="661"/>
      <c r="N916" s="661"/>
      <c r="O916" s="645"/>
      <c r="P916" s="372" t="s">
        <v>608</v>
      </c>
      <c r="Q916" s="664"/>
      <c r="R916" s="664"/>
    </row>
    <row r="917" spans="1:18">
      <c r="A917" s="372"/>
      <c r="B917" s="372"/>
      <c r="C917" s="372"/>
      <c r="D917" s="372"/>
      <c r="E917" s="372"/>
      <c r="F917" s="372" t="s">
        <v>609</v>
      </c>
      <c r="G917" s="372"/>
      <c r="H917" s="372"/>
      <c r="I917" s="372"/>
      <c r="J917" s="372"/>
      <c r="K917" s="636"/>
      <c r="L917" s="636"/>
      <c r="M917" s="372"/>
      <c r="N917" s="372"/>
      <c r="O917" s="635" t="s">
        <v>12</v>
      </c>
      <c r="P917" s="636" t="s">
        <v>9</v>
      </c>
      <c r="Q917" s="372"/>
      <c r="R917" s="372"/>
    </row>
    <row r="918" spans="1:18">
      <c r="A918" s="372" t="s">
        <v>10</v>
      </c>
      <c r="B918" s="372"/>
      <c r="C918" s="372"/>
      <c r="D918" s="372"/>
      <c r="E918" s="372"/>
      <c r="F918" s="372"/>
      <c r="G918" s="372"/>
      <c r="H918" s="372"/>
      <c r="I918" s="372"/>
      <c r="J918" s="372"/>
      <c r="K918" s="636"/>
      <c r="L918" s="636"/>
      <c r="M918" s="372"/>
      <c r="N918" s="372"/>
      <c r="O918" s="635"/>
      <c r="P918" s="636" t="s">
        <v>11</v>
      </c>
      <c r="Q918" s="372"/>
      <c r="R918" s="372"/>
    </row>
    <row r="919" spans="1:18">
      <c r="A919" s="372"/>
      <c r="B919" s="372"/>
      <c r="C919" s="372"/>
      <c r="D919" s="372"/>
      <c r="E919" s="372"/>
      <c r="F919" s="372"/>
      <c r="G919" s="372"/>
      <c r="H919" s="372"/>
      <c r="I919" s="372"/>
      <c r="J919" s="372"/>
      <c r="K919" s="636"/>
      <c r="L919" s="636"/>
      <c r="M919" s="372"/>
      <c r="N919" s="372"/>
      <c r="O919" s="635"/>
      <c r="P919" s="636" t="s">
        <v>13</v>
      </c>
      <c r="Q919" s="372"/>
      <c r="R919" s="372"/>
    </row>
    <row r="920" spans="1:18">
      <c r="A920" s="372"/>
      <c r="B920" s="372"/>
      <c r="C920" s="372"/>
      <c r="D920" s="372"/>
      <c r="E920" s="372"/>
      <c r="F920" s="372"/>
      <c r="G920" s="372"/>
      <c r="H920" s="372"/>
      <c r="I920" s="372"/>
      <c r="J920" s="372"/>
      <c r="K920" s="636"/>
      <c r="L920" s="636"/>
      <c r="M920" s="372"/>
      <c r="N920" s="372"/>
      <c r="O920" s="635"/>
      <c r="P920" s="636" t="s">
        <v>610</v>
      </c>
      <c r="Q920" s="372"/>
      <c r="R920" s="372"/>
    </row>
    <row r="921" spans="1:18" ht="15" thickBot="1">
      <c r="A921" s="625" t="s">
        <v>611</v>
      </c>
      <c r="B921" s="625"/>
      <c r="C921" s="625"/>
      <c r="D921" s="625"/>
      <c r="E921" s="625"/>
      <c r="F921" s="625"/>
      <c r="G921" s="625"/>
      <c r="H921" s="637" t="s">
        <v>612</v>
      </c>
      <c r="I921" s="625"/>
      <c r="J921" s="625"/>
      <c r="K921" s="625"/>
      <c r="L921" s="625"/>
      <c r="M921" s="625"/>
      <c r="N921" s="625"/>
      <c r="O921" s="638"/>
      <c r="P921" s="625" t="s">
        <v>249</v>
      </c>
      <c r="Q921" s="625"/>
      <c r="R921" s="625"/>
    </row>
    <row r="922" spans="1:18">
      <c r="A922" s="664"/>
      <c r="B922" s="664"/>
      <c r="C922" s="634"/>
      <c r="D922" s="634"/>
      <c r="E922" s="634"/>
      <c r="F922" s="634"/>
      <c r="G922" s="634"/>
      <c r="H922" s="634"/>
      <c r="I922" s="634"/>
      <c r="J922" s="634"/>
      <c r="K922" s="634"/>
      <c r="L922" s="634"/>
      <c r="M922" s="634"/>
      <c r="N922" s="634"/>
      <c r="O922" s="635"/>
      <c r="P922" s="634"/>
      <c r="Q922" s="634"/>
      <c r="R922" s="634"/>
    </row>
    <row r="923" spans="1:18">
      <c r="A923" s="372"/>
      <c r="B923" s="372"/>
      <c r="C923" s="634">
        <v>-1</v>
      </c>
      <c r="D923" s="634">
        <v>-2</v>
      </c>
      <c r="E923" s="634"/>
      <c r="F923" s="634">
        <v>-3</v>
      </c>
      <c r="G923" s="634"/>
      <c r="H923" s="634">
        <v>-4</v>
      </c>
      <c r="I923" s="634"/>
      <c r="J923" s="634">
        <v>-5</v>
      </c>
      <c r="K923" s="634"/>
      <c r="L923" s="634">
        <v>-6</v>
      </c>
      <c r="M923" s="634"/>
      <c r="N923" s="634">
        <v>-7</v>
      </c>
      <c r="O923" s="635"/>
      <c r="P923" s="634">
        <v>-8</v>
      </c>
      <c r="Q923" s="634"/>
      <c r="R923" s="634">
        <v>-9</v>
      </c>
    </row>
    <row r="924" spans="1:18">
      <c r="A924" s="372"/>
      <c r="B924" s="372"/>
      <c r="C924" s="634" t="s">
        <v>613</v>
      </c>
      <c r="D924" s="634" t="s">
        <v>613</v>
      </c>
      <c r="E924" s="372"/>
      <c r="F924" s="634" t="s">
        <v>37</v>
      </c>
      <c r="G924" s="634"/>
      <c r="H924" s="634" t="s">
        <v>30</v>
      </c>
      <c r="I924" s="634"/>
      <c r="J924" s="634" t="s">
        <v>45</v>
      </c>
      <c r="K924" s="634"/>
      <c r="L924" s="634" t="s">
        <v>45</v>
      </c>
      <c r="M924" s="634"/>
      <c r="N924" s="372"/>
      <c r="O924" s="635"/>
      <c r="P924" s="634" t="s">
        <v>30</v>
      </c>
      <c r="Q924" s="372"/>
      <c r="R924" s="372"/>
    </row>
    <row r="925" spans="1:18">
      <c r="A925" s="634" t="s">
        <v>35</v>
      </c>
      <c r="B925" s="634"/>
      <c r="C925" s="634" t="s">
        <v>614</v>
      </c>
      <c r="D925" s="634" t="s">
        <v>614</v>
      </c>
      <c r="E925" s="634"/>
      <c r="F925" s="634" t="s">
        <v>615</v>
      </c>
      <c r="G925" s="634"/>
      <c r="H925" s="634" t="s">
        <v>616</v>
      </c>
      <c r="I925" s="634"/>
      <c r="J925" s="634" t="s">
        <v>30</v>
      </c>
      <c r="K925" s="634"/>
      <c r="L925" s="634" t="s">
        <v>30</v>
      </c>
      <c r="M925" s="636"/>
      <c r="N925" s="634" t="s">
        <v>178</v>
      </c>
      <c r="O925" s="635"/>
      <c r="P925" s="634" t="s">
        <v>616</v>
      </c>
      <c r="Q925" s="634"/>
      <c r="R925" s="634" t="s">
        <v>353</v>
      </c>
    </row>
    <row r="926" spans="1:18" ht="15" thickBot="1">
      <c r="A926" s="637" t="s">
        <v>46</v>
      </c>
      <c r="B926" s="637"/>
      <c r="C926" s="637" t="s">
        <v>371</v>
      </c>
      <c r="D926" s="637" t="s">
        <v>617</v>
      </c>
      <c r="E926" s="637"/>
      <c r="F926" s="637" t="s">
        <v>618</v>
      </c>
      <c r="G926" s="637"/>
      <c r="H926" s="637" t="s">
        <v>619</v>
      </c>
      <c r="I926" s="637"/>
      <c r="J926" s="637" t="s">
        <v>620</v>
      </c>
      <c r="K926" s="637"/>
      <c r="L926" s="637" t="s">
        <v>621</v>
      </c>
      <c r="M926" s="637"/>
      <c r="N926" s="637" t="s">
        <v>622</v>
      </c>
      <c r="O926" s="638"/>
      <c r="P926" s="637" t="s">
        <v>623</v>
      </c>
      <c r="Q926" s="637"/>
      <c r="R926" s="637" t="s">
        <v>369</v>
      </c>
    </row>
    <row r="927" spans="1:18">
      <c r="A927" s="634">
        <v>1</v>
      </c>
      <c r="B927" s="639"/>
      <c r="C927" s="372"/>
      <c r="D927" s="372"/>
      <c r="E927" s="664"/>
      <c r="F927" s="664"/>
      <c r="G927" s="664"/>
      <c r="H927" s="664"/>
      <c r="I927" s="664"/>
      <c r="J927" s="664"/>
      <c r="K927" s="664"/>
      <c r="L927" s="664"/>
      <c r="M927" s="664"/>
      <c r="N927" s="664"/>
      <c r="O927" s="635"/>
      <c r="P927" s="372"/>
      <c r="Q927" s="664"/>
      <c r="R927" s="664"/>
    </row>
    <row r="928" spans="1:18">
      <c r="A928" s="634">
        <v>2</v>
      </c>
      <c r="B928" s="639"/>
      <c r="C928" s="372"/>
      <c r="D928" s="372" t="s">
        <v>714</v>
      </c>
      <c r="E928" s="372"/>
      <c r="F928" s="372"/>
      <c r="G928" s="372"/>
      <c r="H928" s="372"/>
      <c r="I928" s="635"/>
      <c r="J928" s="372"/>
      <c r="K928" s="635"/>
      <c r="L928" s="372"/>
      <c r="M928" s="635"/>
      <c r="N928" s="372"/>
      <c r="O928" s="635"/>
      <c r="P928" s="372"/>
      <c r="Q928" s="635"/>
      <c r="R928" s="372"/>
    </row>
    <row r="929" spans="1:18">
      <c r="A929" s="634">
        <v>3</v>
      </c>
      <c r="B929" s="639"/>
      <c r="C929" s="634">
        <v>34199</v>
      </c>
      <c r="D929" s="372" t="s">
        <v>627</v>
      </c>
      <c r="E929" s="372"/>
      <c r="F929" s="634">
        <v>3.37</v>
      </c>
      <c r="G929" s="635"/>
      <c r="H929" s="640">
        <v>470719</v>
      </c>
      <c r="I929" s="635"/>
      <c r="J929" s="634" t="s">
        <v>635</v>
      </c>
      <c r="K929" s="372"/>
      <c r="L929" s="634" t="s">
        <v>635</v>
      </c>
      <c r="M929" s="372"/>
      <c r="N929" s="634" t="s">
        <v>635</v>
      </c>
      <c r="O929" s="635"/>
      <c r="P929" s="640">
        <v>470719</v>
      </c>
      <c r="Q929" s="372"/>
      <c r="R929" s="640">
        <v>470719</v>
      </c>
    </row>
    <row r="930" spans="1:18">
      <c r="A930" s="634">
        <v>4</v>
      </c>
      <c r="B930" s="639"/>
      <c r="C930" s="634">
        <v>34399</v>
      </c>
      <c r="D930" s="372" t="s">
        <v>667</v>
      </c>
      <c r="E930" s="372"/>
      <c r="F930" s="634">
        <v>3.39</v>
      </c>
      <c r="G930" s="635"/>
      <c r="H930" s="640">
        <v>960796</v>
      </c>
      <c r="I930" s="635"/>
      <c r="J930" s="640">
        <v>222494</v>
      </c>
      <c r="K930" s="372"/>
      <c r="L930" s="634" t="s">
        <v>635</v>
      </c>
      <c r="M930" s="372"/>
      <c r="N930" s="634" t="s">
        <v>635</v>
      </c>
      <c r="O930" s="635"/>
      <c r="P930" s="640">
        <v>1183290</v>
      </c>
      <c r="Q930" s="372"/>
      <c r="R930" s="640">
        <v>988809</v>
      </c>
    </row>
    <row r="931" spans="1:18">
      <c r="A931" s="634">
        <v>5</v>
      </c>
      <c r="B931" s="639"/>
      <c r="C931" s="634">
        <v>34599</v>
      </c>
      <c r="D931" s="372" t="s">
        <v>631</v>
      </c>
      <c r="E931" s="372"/>
      <c r="F931" s="634">
        <v>3.38</v>
      </c>
      <c r="G931" s="635"/>
      <c r="H931" s="640">
        <v>324613</v>
      </c>
      <c r="I931" s="635"/>
      <c r="J931" s="634" t="s">
        <v>635</v>
      </c>
      <c r="K931" s="372"/>
      <c r="L931" s="634" t="s">
        <v>635</v>
      </c>
      <c r="M931" s="372"/>
      <c r="N931" s="634" t="s">
        <v>635</v>
      </c>
      <c r="O931" s="635"/>
      <c r="P931" s="640">
        <v>324613</v>
      </c>
      <c r="Q931" s="372"/>
      <c r="R931" s="640">
        <v>324613</v>
      </c>
    </row>
    <row r="932" spans="1:18">
      <c r="A932" s="634">
        <v>6</v>
      </c>
      <c r="B932" s="639"/>
      <c r="C932" s="634">
        <v>34899</v>
      </c>
      <c r="D932" s="372" t="s">
        <v>715</v>
      </c>
      <c r="E932" s="372"/>
      <c r="F932" s="634">
        <v>10.28</v>
      </c>
      <c r="G932" s="635"/>
      <c r="H932" s="640">
        <v>28010</v>
      </c>
      <c r="I932" s="635"/>
      <c r="J932" s="640">
        <v>115229</v>
      </c>
      <c r="K932" s="372"/>
      <c r="L932" s="634" t="s">
        <v>635</v>
      </c>
      <c r="M932" s="372"/>
      <c r="N932" s="634" t="s">
        <v>635</v>
      </c>
      <c r="O932" s="635"/>
      <c r="P932" s="640">
        <v>143239</v>
      </c>
      <c r="Q932" s="372"/>
      <c r="R932" s="640">
        <v>108542</v>
      </c>
    </row>
    <row r="933" spans="1:18" ht="15" thickBot="1">
      <c r="A933" s="634">
        <v>7</v>
      </c>
      <c r="B933" s="639"/>
      <c r="C933" s="634"/>
      <c r="D933" s="372" t="s">
        <v>716</v>
      </c>
      <c r="E933" s="372"/>
      <c r="F933" s="372"/>
      <c r="G933" s="372"/>
      <c r="H933" s="650">
        <v>1784138</v>
      </c>
      <c r="I933" s="634"/>
      <c r="J933" s="650">
        <v>337723</v>
      </c>
      <c r="K933" s="635"/>
      <c r="L933" s="651" t="s">
        <v>635</v>
      </c>
      <c r="M933" s="635"/>
      <c r="N933" s="651" t="s">
        <v>635</v>
      </c>
      <c r="O933" s="635"/>
      <c r="P933" s="650">
        <v>2121862</v>
      </c>
      <c r="Q933" s="635"/>
      <c r="R933" s="650">
        <v>1892683</v>
      </c>
    </row>
    <row r="934" spans="1:18" ht="15" thickTop="1">
      <c r="A934" s="634">
        <v>8</v>
      </c>
      <c r="B934" s="639"/>
      <c r="C934" s="372"/>
      <c r="D934" s="372"/>
      <c r="E934" s="372"/>
      <c r="F934" s="372"/>
      <c r="G934" s="372"/>
      <c r="H934" s="372"/>
      <c r="I934" s="372"/>
      <c r="J934" s="372"/>
      <c r="K934" s="372"/>
      <c r="L934" s="372"/>
      <c r="M934" s="372"/>
      <c r="N934" s="372"/>
      <c r="O934" s="635"/>
      <c r="P934" s="372"/>
      <c r="Q934" s="372"/>
      <c r="R934" s="372"/>
    </row>
    <row r="935" spans="1:18">
      <c r="A935" s="634">
        <v>9</v>
      </c>
      <c r="B935" s="639"/>
      <c r="C935" s="372"/>
      <c r="D935" s="372" t="s">
        <v>717</v>
      </c>
      <c r="E935" s="372"/>
      <c r="F935" s="372"/>
      <c r="G935" s="372"/>
      <c r="H935" s="372"/>
      <c r="I935" s="635"/>
      <c r="J935" s="372"/>
      <c r="K935" s="635"/>
      <c r="L935" s="372"/>
      <c r="M935" s="635"/>
      <c r="N935" s="372"/>
      <c r="O935" s="635"/>
      <c r="P935" s="372"/>
      <c r="Q935" s="635"/>
      <c r="R935" s="372"/>
    </row>
    <row r="936" spans="1:18">
      <c r="A936" s="634">
        <v>10</v>
      </c>
      <c r="B936" s="639"/>
      <c r="C936" s="634">
        <v>34198</v>
      </c>
      <c r="D936" s="372" t="s">
        <v>627</v>
      </c>
      <c r="E936" s="372"/>
      <c r="F936" s="634">
        <v>3.33</v>
      </c>
      <c r="G936" s="635"/>
      <c r="H936" s="634" t="s">
        <v>628</v>
      </c>
      <c r="I936" s="635"/>
      <c r="J936" s="634" t="s">
        <v>635</v>
      </c>
      <c r="K936" s="372"/>
      <c r="L936" s="634" t="s">
        <v>635</v>
      </c>
      <c r="M936" s="372"/>
      <c r="N936" s="634" t="s">
        <v>635</v>
      </c>
      <c r="O936" s="635"/>
      <c r="P936" s="634" t="s">
        <v>635</v>
      </c>
      <c r="Q936" s="372"/>
      <c r="R936" s="634" t="s">
        <v>635</v>
      </c>
    </row>
    <row r="937" spans="1:18">
      <c r="A937" s="634">
        <v>11</v>
      </c>
      <c r="B937" s="639"/>
      <c r="C937" s="634">
        <v>34398</v>
      </c>
      <c r="D937" s="372" t="s">
        <v>667</v>
      </c>
      <c r="E937" s="372"/>
      <c r="F937" s="634">
        <v>3.41</v>
      </c>
      <c r="G937" s="635"/>
      <c r="H937" s="634">
        <v>941</v>
      </c>
      <c r="I937" s="635"/>
      <c r="J937" s="634" t="s">
        <v>635</v>
      </c>
      <c r="K937" s="372"/>
      <c r="L937" s="634" t="s">
        <v>635</v>
      </c>
      <c r="M937" s="372"/>
      <c r="N937" s="634" t="s">
        <v>635</v>
      </c>
      <c r="O937" s="635"/>
      <c r="P937" s="634">
        <v>941</v>
      </c>
      <c r="Q937" s="372"/>
      <c r="R937" s="634">
        <v>941</v>
      </c>
    </row>
    <row r="938" spans="1:18">
      <c r="A938" s="634">
        <v>12</v>
      </c>
      <c r="B938" s="639"/>
      <c r="C938" s="634">
        <v>34598</v>
      </c>
      <c r="D938" s="372" t="s">
        <v>631</v>
      </c>
      <c r="E938" s="372"/>
      <c r="F938" s="634">
        <v>3.33</v>
      </c>
      <c r="G938" s="635"/>
      <c r="H938" s="634" t="s">
        <v>628</v>
      </c>
      <c r="I938" s="635"/>
      <c r="J938" s="634" t="s">
        <v>635</v>
      </c>
      <c r="K938" s="372"/>
      <c r="L938" s="634" t="s">
        <v>635</v>
      </c>
      <c r="M938" s="372"/>
      <c r="N938" s="634" t="s">
        <v>635</v>
      </c>
      <c r="O938" s="635"/>
      <c r="P938" s="634" t="s">
        <v>635</v>
      </c>
      <c r="Q938" s="372"/>
      <c r="R938" s="634" t="s">
        <v>635</v>
      </c>
    </row>
    <row r="939" spans="1:18">
      <c r="A939" s="634">
        <v>13</v>
      </c>
      <c r="B939" s="639"/>
      <c r="C939" s="634">
        <v>34898</v>
      </c>
      <c r="D939" s="372" t="s">
        <v>715</v>
      </c>
      <c r="E939" s="372"/>
      <c r="F939" s="634">
        <v>10.73</v>
      </c>
      <c r="G939" s="635"/>
      <c r="H939" s="634">
        <v>9</v>
      </c>
      <c r="I939" s="635"/>
      <c r="J939" s="634" t="s">
        <v>635</v>
      </c>
      <c r="K939" s="372"/>
      <c r="L939" s="634" t="s">
        <v>635</v>
      </c>
      <c r="M939" s="372"/>
      <c r="N939" s="634" t="s">
        <v>635</v>
      </c>
      <c r="O939" s="635"/>
      <c r="P939" s="634">
        <v>9</v>
      </c>
      <c r="Q939" s="372"/>
      <c r="R939" s="634">
        <v>9</v>
      </c>
    </row>
    <row r="940" spans="1:18" ht="15" thickBot="1">
      <c r="A940" s="634">
        <v>14</v>
      </c>
      <c r="B940" s="639"/>
      <c r="C940" s="634"/>
      <c r="D940" s="372" t="s">
        <v>718</v>
      </c>
      <c r="E940" s="372"/>
      <c r="F940" s="372"/>
      <c r="G940" s="372"/>
      <c r="H940" s="651">
        <v>950</v>
      </c>
      <c r="I940" s="634"/>
      <c r="J940" s="651" t="s">
        <v>635</v>
      </c>
      <c r="K940" s="635"/>
      <c r="L940" s="651" t="s">
        <v>635</v>
      </c>
      <c r="M940" s="635"/>
      <c r="N940" s="651" t="s">
        <v>635</v>
      </c>
      <c r="O940" s="635"/>
      <c r="P940" s="651">
        <v>950</v>
      </c>
      <c r="Q940" s="635"/>
      <c r="R940" s="651">
        <v>950</v>
      </c>
    </row>
    <row r="941" spans="1:18" ht="15" thickTop="1">
      <c r="A941" s="634">
        <v>15</v>
      </c>
      <c r="B941" s="639"/>
      <c r="C941" s="372"/>
      <c r="D941" s="372"/>
      <c r="E941" s="372"/>
      <c r="F941" s="372"/>
      <c r="G941" s="372"/>
      <c r="H941" s="372"/>
      <c r="I941" s="372"/>
      <c r="J941" s="372"/>
      <c r="K941" s="372"/>
      <c r="L941" s="372"/>
      <c r="M941" s="372"/>
      <c r="N941" s="372"/>
      <c r="O941" s="635"/>
      <c r="P941" s="372"/>
      <c r="Q941" s="372"/>
      <c r="R941" s="372"/>
    </row>
    <row r="942" spans="1:18">
      <c r="A942" s="634">
        <v>16</v>
      </c>
      <c r="B942" s="639"/>
      <c r="C942" s="634"/>
      <c r="D942" s="636" t="s">
        <v>719</v>
      </c>
      <c r="E942" s="372"/>
      <c r="F942" s="372"/>
      <c r="G942" s="372"/>
      <c r="H942" s="372"/>
      <c r="I942" s="372"/>
      <c r="J942" s="372"/>
      <c r="K942" s="372"/>
      <c r="L942" s="372"/>
      <c r="M942" s="372"/>
      <c r="N942" s="372"/>
      <c r="O942" s="635"/>
      <c r="P942" s="372"/>
      <c r="Q942" s="372"/>
      <c r="R942" s="372"/>
    </row>
    <row r="943" spans="1:18">
      <c r="A943" s="634">
        <v>17</v>
      </c>
      <c r="B943" s="639"/>
      <c r="C943" s="634">
        <v>34120</v>
      </c>
      <c r="D943" s="372" t="s">
        <v>627</v>
      </c>
      <c r="E943" s="372"/>
      <c r="F943" s="634">
        <v>2.2000000000000002</v>
      </c>
      <c r="G943" s="635"/>
      <c r="H943" s="634" t="s">
        <v>628</v>
      </c>
      <c r="I943" s="635"/>
      <c r="J943" s="634" t="s">
        <v>635</v>
      </c>
      <c r="K943" s="372"/>
      <c r="L943" s="634" t="s">
        <v>635</v>
      </c>
      <c r="M943" s="372"/>
      <c r="N943" s="634" t="s">
        <v>635</v>
      </c>
      <c r="O943" s="635"/>
      <c r="P943" s="634" t="s">
        <v>635</v>
      </c>
      <c r="Q943" s="372"/>
      <c r="R943" s="634" t="s">
        <v>635</v>
      </c>
    </row>
    <row r="944" spans="1:18">
      <c r="A944" s="634">
        <v>18</v>
      </c>
      <c r="B944" s="644"/>
      <c r="C944" s="634">
        <v>34220</v>
      </c>
      <c r="D944" s="372" t="s">
        <v>666</v>
      </c>
      <c r="E944" s="372"/>
      <c r="F944" s="634">
        <v>2.2000000000000002</v>
      </c>
      <c r="G944" s="635"/>
      <c r="H944" s="634" t="s">
        <v>628</v>
      </c>
      <c r="I944" s="635"/>
      <c r="J944" s="640">
        <v>53790</v>
      </c>
      <c r="K944" s="372"/>
      <c r="L944" s="634" t="s">
        <v>635</v>
      </c>
      <c r="M944" s="372"/>
      <c r="N944" s="634" t="s">
        <v>635</v>
      </c>
      <c r="O944" s="635"/>
      <c r="P944" s="640">
        <v>53790</v>
      </c>
      <c r="Q944" s="372"/>
      <c r="R944" s="640">
        <v>36099</v>
      </c>
    </row>
    <row r="945" spans="1:18">
      <c r="A945" s="634">
        <v>19</v>
      </c>
      <c r="B945" s="644"/>
      <c r="C945" s="634">
        <v>34320</v>
      </c>
      <c r="D945" s="372" t="s">
        <v>667</v>
      </c>
      <c r="E945" s="372"/>
      <c r="F945" s="634">
        <v>2.08</v>
      </c>
      <c r="G945" s="635"/>
      <c r="H945" s="634" t="s">
        <v>628</v>
      </c>
      <c r="I945" s="635"/>
      <c r="J945" s="640">
        <v>53790</v>
      </c>
      <c r="K945" s="372"/>
      <c r="L945" s="634" t="s">
        <v>635</v>
      </c>
      <c r="M945" s="372"/>
      <c r="N945" s="634" t="s">
        <v>635</v>
      </c>
      <c r="O945" s="635"/>
      <c r="P945" s="640">
        <v>53790</v>
      </c>
      <c r="Q945" s="372"/>
      <c r="R945" s="640">
        <v>36099</v>
      </c>
    </row>
    <row r="946" spans="1:18">
      <c r="A946" s="634">
        <v>20</v>
      </c>
      <c r="B946" s="639"/>
      <c r="C946" s="634">
        <v>34520</v>
      </c>
      <c r="D946" s="372" t="s">
        <v>631</v>
      </c>
      <c r="E946" s="372"/>
      <c r="F946" s="634">
        <v>1.89</v>
      </c>
      <c r="G946" s="635"/>
      <c r="H946" s="634" t="s">
        <v>628</v>
      </c>
      <c r="I946" s="635"/>
      <c r="J946" s="634" t="s">
        <v>635</v>
      </c>
      <c r="K946" s="372"/>
      <c r="L946" s="634" t="s">
        <v>635</v>
      </c>
      <c r="M946" s="372"/>
      <c r="N946" s="634" t="s">
        <v>635</v>
      </c>
      <c r="O946" s="635"/>
      <c r="P946" s="634" t="s">
        <v>635</v>
      </c>
      <c r="Q946" s="372"/>
      <c r="R946" s="634" t="s">
        <v>635</v>
      </c>
    </row>
    <row r="947" spans="1:18">
      <c r="A947" s="634">
        <v>21</v>
      </c>
      <c r="B947" s="639"/>
      <c r="C947" s="634">
        <v>34620</v>
      </c>
      <c r="D947" s="372" t="s">
        <v>632</v>
      </c>
      <c r="E947" s="372"/>
      <c r="F947" s="634">
        <v>2.97</v>
      </c>
      <c r="G947" s="635"/>
      <c r="H947" s="634" t="s">
        <v>628</v>
      </c>
      <c r="I947" s="635"/>
      <c r="J947" s="634" t="s">
        <v>635</v>
      </c>
      <c r="K947" s="372"/>
      <c r="L947" s="634" t="s">
        <v>635</v>
      </c>
      <c r="M947" s="372"/>
      <c r="N947" s="634" t="s">
        <v>635</v>
      </c>
      <c r="O947" s="635"/>
      <c r="P947" s="634" t="s">
        <v>635</v>
      </c>
      <c r="Q947" s="372"/>
      <c r="R947" s="634" t="s">
        <v>635</v>
      </c>
    </row>
    <row r="948" spans="1:18">
      <c r="A948" s="634">
        <v>22</v>
      </c>
      <c r="B948" s="639"/>
      <c r="C948" s="634">
        <v>34820</v>
      </c>
      <c r="D948" s="372" t="s">
        <v>715</v>
      </c>
      <c r="E948" s="372"/>
      <c r="F948" s="634">
        <v>10</v>
      </c>
      <c r="G948" s="635"/>
      <c r="H948" s="634" t="s">
        <v>628</v>
      </c>
      <c r="I948" s="635"/>
      <c r="J948" s="640">
        <v>32204</v>
      </c>
      <c r="K948" s="372"/>
      <c r="L948" s="634" t="s">
        <v>635</v>
      </c>
      <c r="M948" s="372"/>
      <c r="N948" s="634" t="s">
        <v>635</v>
      </c>
      <c r="O948" s="635"/>
      <c r="P948" s="640">
        <v>32204</v>
      </c>
      <c r="Q948" s="372"/>
      <c r="R948" s="640">
        <v>20610</v>
      </c>
    </row>
    <row r="949" spans="1:18" ht="15" thickBot="1">
      <c r="A949" s="634">
        <v>23</v>
      </c>
      <c r="B949" s="639"/>
      <c r="C949" s="372"/>
      <c r="D949" s="636" t="s">
        <v>720</v>
      </c>
      <c r="E949" s="372"/>
      <c r="F949" s="372"/>
      <c r="G949" s="372"/>
      <c r="H949" s="651" t="s">
        <v>628</v>
      </c>
      <c r="I949" s="634"/>
      <c r="J949" s="650">
        <v>139784</v>
      </c>
      <c r="K949" s="635"/>
      <c r="L949" s="651" t="s">
        <v>635</v>
      </c>
      <c r="M949" s="635"/>
      <c r="N949" s="651" t="s">
        <v>635</v>
      </c>
      <c r="O949" s="635"/>
      <c r="P949" s="650">
        <v>139784</v>
      </c>
      <c r="Q949" s="372"/>
      <c r="R949" s="650">
        <v>92808</v>
      </c>
    </row>
    <row r="950" spans="1:18" ht="15" thickTop="1">
      <c r="A950" s="634">
        <v>24</v>
      </c>
      <c r="B950" s="639"/>
      <c r="C950" s="372"/>
      <c r="D950" s="372"/>
      <c r="E950" s="372"/>
      <c r="F950" s="372"/>
      <c r="G950" s="372"/>
      <c r="H950" s="372"/>
      <c r="I950" s="372"/>
      <c r="J950" s="372"/>
      <c r="K950" s="372"/>
      <c r="L950" s="372"/>
      <c r="M950" s="372"/>
      <c r="N950" s="372"/>
      <c r="O950" s="372"/>
      <c r="P950" s="372"/>
      <c r="Q950" s="372"/>
      <c r="R950" s="372"/>
    </row>
    <row r="951" spans="1:18" ht="15" thickBot="1">
      <c r="A951" s="634">
        <v>25</v>
      </c>
      <c r="B951" s="639"/>
      <c r="C951" s="634"/>
      <c r="D951" s="372" t="s">
        <v>721</v>
      </c>
      <c r="E951" s="372"/>
      <c r="F951" s="372"/>
      <c r="G951" s="372"/>
      <c r="H951" s="646">
        <v>5434493</v>
      </c>
      <c r="I951" s="635"/>
      <c r="J951" s="646">
        <v>668703</v>
      </c>
      <c r="K951" s="635"/>
      <c r="L951" s="646">
        <v>-22083</v>
      </c>
      <c r="M951" s="635"/>
      <c r="N951" s="647" t="s">
        <v>628</v>
      </c>
      <c r="O951" s="635"/>
      <c r="P951" s="646">
        <v>6081114</v>
      </c>
      <c r="Q951" s="635"/>
      <c r="R951" s="646">
        <v>5716457</v>
      </c>
    </row>
    <row r="952" spans="1:18" ht="15" thickTop="1">
      <c r="A952" s="634">
        <v>26</v>
      </c>
      <c r="B952" s="372"/>
      <c r="C952" s="372"/>
      <c r="D952" s="372"/>
      <c r="E952" s="372"/>
      <c r="F952" s="372"/>
      <c r="G952" s="372"/>
      <c r="H952" s="372"/>
      <c r="I952" s="635"/>
      <c r="J952" s="635"/>
      <c r="K952" s="635"/>
      <c r="L952" s="635"/>
      <c r="M952" s="635"/>
      <c r="N952" s="635"/>
      <c r="O952" s="635"/>
      <c r="P952" s="635"/>
      <c r="Q952" s="635"/>
      <c r="R952" s="635"/>
    </row>
    <row r="953" spans="1:18" ht="15" thickBot="1">
      <c r="A953" s="634">
        <v>27</v>
      </c>
      <c r="B953" s="372"/>
      <c r="C953" s="372"/>
      <c r="D953" s="372" t="s">
        <v>722</v>
      </c>
      <c r="E953" s="372"/>
      <c r="F953" s="372"/>
      <c r="G953" s="372"/>
      <c r="H953" s="646">
        <v>6905318</v>
      </c>
      <c r="I953" s="635"/>
      <c r="J953" s="646">
        <v>687138</v>
      </c>
      <c r="K953" s="635"/>
      <c r="L953" s="646">
        <v>-25807</v>
      </c>
      <c r="M953" s="635"/>
      <c r="N953" s="647" t="s">
        <v>628</v>
      </c>
      <c r="O953" s="635"/>
      <c r="P953" s="646">
        <v>7566649</v>
      </c>
      <c r="Q953" s="635"/>
      <c r="R953" s="646">
        <v>7193148</v>
      </c>
    </row>
    <row r="954" spans="1:18" ht="15" thickTop="1">
      <c r="A954" s="634">
        <v>28</v>
      </c>
      <c r="B954" s="639"/>
      <c r="C954" s="372"/>
      <c r="D954" s="372"/>
      <c r="E954" s="372"/>
      <c r="F954" s="372"/>
      <c r="G954" s="372"/>
      <c r="H954" s="372"/>
      <c r="I954" s="372"/>
      <c r="J954" s="372"/>
      <c r="K954" s="372"/>
      <c r="L954" s="372"/>
      <c r="M954" s="372"/>
      <c r="N954" s="372"/>
      <c r="O954" s="635"/>
      <c r="P954" s="372"/>
      <c r="Q954" s="372"/>
      <c r="R954" s="372"/>
    </row>
    <row r="955" spans="1:18">
      <c r="A955" s="634">
        <v>29</v>
      </c>
      <c r="B955" s="639"/>
      <c r="C955" s="634"/>
      <c r="D955" s="372" t="s">
        <v>723</v>
      </c>
      <c r="E955" s="372"/>
      <c r="F955" s="372"/>
      <c r="G955" s="372"/>
      <c r="H955" s="372"/>
      <c r="I955" s="635"/>
      <c r="J955" s="634"/>
      <c r="K955" s="634"/>
      <c r="L955" s="634"/>
      <c r="M955" s="634"/>
      <c r="N955" s="634"/>
      <c r="O955" s="635"/>
      <c r="P955" s="634"/>
      <c r="Q955" s="634"/>
      <c r="R955" s="634"/>
    </row>
    <row r="956" spans="1:18">
      <c r="A956" s="634">
        <v>30</v>
      </c>
      <c r="B956" s="639"/>
      <c r="C956" s="634">
        <v>35001</v>
      </c>
      <c r="D956" s="372" t="s">
        <v>724</v>
      </c>
      <c r="E956" s="372"/>
      <c r="F956" s="634">
        <v>1.54</v>
      </c>
      <c r="G956" s="635"/>
      <c r="H956" s="640">
        <v>12162</v>
      </c>
      <c r="I956" s="635"/>
      <c r="J956" s="634" t="s">
        <v>635</v>
      </c>
      <c r="K956" s="372"/>
      <c r="L956" s="634" t="s">
        <v>635</v>
      </c>
      <c r="M956" s="372"/>
      <c r="N956" s="634" t="s">
        <v>635</v>
      </c>
      <c r="O956" s="635"/>
      <c r="P956" s="640">
        <v>12162</v>
      </c>
      <c r="Q956" s="372"/>
      <c r="R956" s="640">
        <v>12162</v>
      </c>
    </row>
    <row r="957" spans="1:18">
      <c r="A957" s="634">
        <v>31</v>
      </c>
      <c r="B957" s="639"/>
      <c r="C957" s="634">
        <v>35100</v>
      </c>
      <c r="D957" s="372" t="s">
        <v>725</v>
      </c>
      <c r="E957" s="372"/>
      <c r="F957" s="634">
        <v>10</v>
      </c>
      <c r="G957" s="635"/>
      <c r="H957" s="634" t="s">
        <v>628</v>
      </c>
      <c r="I957" s="635"/>
      <c r="J957" s="634" t="s">
        <v>635</v>
      </c>
      <c r="K957" s="372"/>
      <c r="L957" s="634" t="s">
        <v>635</v>
      </c>
      <c r="M957" s="372"/>
      <c r="N957" s="634" t="s">
        <v>635</v>
      </c>
      <c r="O957" s="635"/>
      <c r="P957" s="634" t="s">
        <v>635</v>
      </c>
      <c r="Q957" s="372"/>
      <c r="R957" s="634" t="s">
        <v>635</v>
      </c>
    </row>
    <row r="958" spans="1:18">
      <c r="A958" s="634">
        <v>32</v>
      </c>
      <c r="B958" s="639"/>
      <c r="C958" s="634">
        <v>35200</v>
      </c>
      <c r="D958" s="372" t="s">
        <v>726</v>
      </c>
      <c r="E958" s="372"/>
      <c r="F958" s="634">
        <v>2.17</v>
      </c>
      <c r="G958" s="635"/>
      <c r="H958" s="640">
        <v>76277</v>
      </c>
      <c r="I958" s="635"/>
      <c r="J958" s="634" t="s">
        <v>635</v>
      </c>
      <c r="K958" s="372"/>
      <c r="L958" s="634" t="s">
        <v>635</v>
      </c>
      <c r="M958" s="372"/>
      <c r="N958" s="634" t="s">
        <v>635</v>
      </c>
      <c r="O958" s="635"/>
      <c r="P958" s="640">
        <v>76277</v>
      </c>
      <c r="Q958" s="372"/>
      <c r="R958" s="640">
        <v>76277</v>
      </c>
    </row>
    <row r="959" spans="1:18">
      <c r="A959" s="634">
        <v>33</v>
      </c>
      <c r="B959" s="639"/>
      <c r="C959" s="634">
        <v>35300</v>
      </c>
      <c r="D959" s="372" t="s">
        <v>727</v>
      </c>
      <c r="E959" s="372"/>
      <c r="F959" s="634">
        <v>2.36</v>
      </c>
      <c r="G959" s="635"/>
      <c r="H959" s="640">
        <v>449281</v>
      </c>
      <c r="I959" s="635"/>
      <c r="J959" s="640">
        <v>36762</v>
      </c>
      <c r="K959" s="372"/>
      <c r="L959" s="640">
        <v>-5514</v>
      </c>
      <c r="M959" s="372"/>
      <c r="N959" s="634" t="s">
        <v>628</v>
      </c>
      <c r="O959" s="635"/>
      <c r="P959" s="640">
        <v>480529</v>
      </c>
      <c r="Q959" s="372"/>
      <c r="R959" s="640">
        <v>458450</v>
      </c>
    </row>
    <row r="960" spans="1:18">
      <c r="A960" s="634">
        <v>34</v>
      </c>
      <c r="B960" s="639"/>
      <c r="C960" s="634">
        <v>35400</v>
      </c>
      <c r="D960" s="372" t="s">
        <v>728</v>
      </c>
      <c r="E960" s="372"/>
      <c r="F960" s="634">
        <v>1.29</v>
      </c>
      <c r="G960" s="635"/>
      <c r="H960" s="640">
        <v>5092</v>
      </c>
      <c r="I960" s="635"/>
      <c r="J960" s="634" t="s">
        <v>635</v>
      </c>
      <c r="K960" s="372"/>
      <c r="L960" s="634" t="s">
        <v>635</v>
      </c>
      <c r="M960" s="372"/>
      <c r="N960" s="634" t="s">
        <v>635</v>
      </c>
      <c r="O960" s="635"/>
      <c r="P960" s="640">
        <v>5092</v>
      </c>
      <c r="Q960" s="372"/>
      <c r="R960" s="640">
        <v>5092</v>
      </c>
    </row>
    <row r="961" spans="1:18">
      <c r="A961" s="634">
        <v>35</v>
      </c>
      <c r="B961" s="639"/>
      <c r="C961" s="634">
        <v>35500</v>
      </c>
      <c r="D961" s="372" t="s">
        <v>729</v>
      </c>
      <c r="E961" s="372"/>
      <c r="F961" s="634">
        <v>2.85</v>
      </c>
      <c r="G961" s="635"/>
      <c r="H961" s="640">
        <v>502089</v>
      </c>
      <c r="I961" s="635"/>
      <c r="J961" s="640">
        <v>98504</v>
      </c>
      <c r="K961" s="372"/>
      <c r="L961" s="640">
        <v>-5910</v>
      </c>
      <c r="M961" s="372"/>
      <c r="N961" s="634" t="s">
        <v>628</v>
      </c>
      <c r="O961" s="635"/>
      <c r="P961" s="640">
        <v>594683</v>
      </c>
      <c r="Q961" s="372"/>
      <c r="R961" s="640">
        <v>534135</v>
      </c>
    </row>
    <row r="962" spans="1:18">
      <c r="A962" s="634">
        <v>36</v>
      </c>
      <c r="B962" s="639"/>
      <c r="C962" s="634">
        <v>35600</v>
      </c>
      <c r="D962" s="372" t="s">
        <v>730</v>
      </c>
      <c r="E962" s="372"/>
      <c r="F962" s="634">
        <v>2.99</v>
      </c>
      <c r="G962" s="635"/>
      <c r="H962" s="640">
        <v>186194</v>
      </c>
      <c r="I962" s="635"/>
      <c r="J962" s="640">
        <v>22785</v>
      </c>
      <c r="K962" s="372"/>
      <c r="L962" s="640">
        <v>-5696</v>
      </c>
      <c r="M962" s="372"/>
      <c r="N962" s="634" t="s">
        <v>628</v>
      </c>
      <c r="O962" s="635"/>
      <c r="P962" s="640">
        <v>203283</v>
      </c>
      <c r="Q962" s="372"/>
      <c r="R962" s="640">
        <v>191363</v>
      </c>
    </row>
    <row r="963" spans="1:18">
      <c r="A963" s="634">
        <v>37</v>
      </c>
      <c r="B963" s="639"/>
      <c r="C963" s="634">
        <v>35601</v>
      </c>
      <c r="D963" s="372" t="s">
        <v>731</v>
      </c>
      <c r="E963" s="372"/>
      <c r="F963" s="634">
        <v>1.02</v>
      </c>
      <c r="G963" s="635"/>
      <c r="H963" s="640">
        <v>2111</v>
      </c>
      <c r="I963" s="635"/>
      <c r="J963" s="634" t="s">
        <v>635</v>
      </c>
      <c r="K963" s="372"/>
      <c r="L963" s="634" t="s">
        <v>635</v>
      </c>
      <c r="M963" s="372"/>
      <c r="N963" s="634" t="s">
        <v>635</v>
      </c>
      <c r="O963" s="635"/>
      <c r="P963" s="640">
        <v>2111</v>
      </c>
      <c r="Q963" s="372"/>
      <c r="R963" s="640">
        <v>2111</v>
      </c>
    </row>
    <row r="964" spans="1:18">
      <c r="A964" s="634">
        <v>38</v>
      </c>
      <c r="B964" s="639"/>
      <c r="C964" s="634">
        <v>35700</v>
      </c>
      <c r="D964" s="372" t="s">
        <v>732</v>
      </c>
      <c r="E964" s="372"/>
      <c r="F964" s="634">
        <v>1.82</v>
      </c>
      <c r="G964" s="635"/>
      <c r="H964" s="640">
        <v>4323</v>
      </c>
      <c r="I964" s="635"/>
      <c r="J964" s="634" t="s">
        <v>635</v>
      </c>
      <c r="K964" s="372"/>
      <c r="L964" s="634" t="s">
        <v>635</v>
      </c>
      <c r="M964" s="372"/>
      <c r="N964" s="634" t="s">
        <v>635</v>
      </c>
      <c r="O964" s="635"/>
      <c r="P964" s="640">
        <v>4323</v>
      </c>
      <c r="Q964" s="372"/>
      <c r="R964" s="640">
        <v>4323</v>
      </c>
    </row>
    <row r="965" spans="1:18">
      <c r="A965" s="634">
        <v>39</v>
      </c>
      <c r="B965" s="639"/>
      <c r="C965" s="634">
        <v>35800</v>
      </c>
      <c r="D965" s="372" t="s">
        <v>733</v>
      </c>
      <c r="E965" s="372"/>
      <c r="F965" s="634">
        <v>2.8</v>
      </c>
      <c r="G965" s="635"/>
      <c r="H965" s="640">
        <v>12363</v>
      </c>
      <c r="I965" s="635"/>
      <c r="J965" s="634" t="s">
        <v>635</v>
      </c>
      <c r="K965" s="372"/>
      <c r="L965" s="634" t="s">
        <v>635</v>
      </c>
      <c r="M965" s="372"/>
      <c r="N965" s="634" t="s">
        <v>635</v>
      </c>
      <c r="O965" s="635"/>
      <c r="P965" s="640">
        <v>12363</v>
      </c>
      <c r="Q965" s="372"/>
      <c r="R965" s="640">
        <v>12363</v>
      </c>
    </row>
    <row r="966" spans="1:18">
      <c r="A966" s="634">
        <v>40</v>
      </c>
      <c r="B966" s="639"/>
      <c r="C966" s="634">
        <v>35900</v>
      </c>
      <c r="D966" s="372" t="s">
        <v>734</v>
      </c>
      <c r="E966" s="372"/>
      <c r="F966" s="634">
        <v>1.77</v>
      </c>
      <c r="G966" s="635"/>
      <c r="H966" s="640">
        <v>19816</v>
      </c>
      <c r="I966" s="635"/>
      <c r="J966" s="640">
        <v>1362</v>
      </c>
      <c r="K966" s="372"/>
      <c r="L966" s="634">
        <v>14</v>
      </c>
      <c r="M966" s="372"/>
      <c r="N966" s="634" t="s">
        <v>635</v>
      </c>
      <c r="O966" s="635"/>
      <c r="P966" s="640">
        <v>21191</v>
      </c>
      <c r="Q966" s="372"/>
      <c r="R966" s="640">
        <v>20219</v>
      </c>
    </row>
    <row r="967" spans="1:18" ht="15" thickBot="1">
      <c r="A967" s="634">
        <v>41</v>
      </c>
      <c r="B967" s="639"/>
      <c r="C967" s="634"/>
      <c r="D967" s="372" t="s">
        <v>735</v>
      </c>
      <c r="E967" s="372"/>
      <c r="F967" s="372"/>
      <c r="G967" s="635"/>
      <c r="H967" s="648">
        <v>1269709</v>
      </c>
      <c r="I967" s="635"/>
      <c r="J967" s="648">
        <v>159412</v>
      </c>
      <c r="K967" s="635"/>
      <c r="L967" s="648">
        <v>-17107</v>
      </c>
      <c r="M967" s="635"/>
      <c r="N967" s="649" t="s">
        <v>628</v>
      </c>
      <c r="O967" s="635"/>
      <c r="P967" s="648">
        <v>1412014</v>
      </c>
      <c r="Q967" s="635"/>
      <c r="R967" s="648">
        <v>1316495</v>
      </c>
    </row>
    <row r="968" spans="1:18" ht="15" thickTop="1">
      <c r="A968" s="634">
        <v>42</v>
      </c>
      <c r="B968" s="639"/>
      <c r="C968" s="634"/>
      <c r="D968" s="372"/>
      <c r="E968" s="372"/>
      <c r="F968" s="372"/>
      <c r="G968" s="372"/>
      <c r="H968" s="372"/>
      <c r="I968" s="372"/>
      <c r="J968" s="372"/>
      <c r="K968" s="372"/>
      <c r="L968" s="372"/>
      <c r="M968" s="372"/>
      <c r="N968" s="372"/>
      <c r="O968" s="635"/>
      <c r="P968" s="372"/>
      <c r="Q968" s="372"/>
      <c r="R968" s="372"/>
    </row>
    <row r="969" spans="1:18">
      <c r="A969" s="634">
        <v>43</v>
      </c>
      <c r="B969" s="639"/>
      <c r="C969" s="372"/>
      <c r="D969" s="372"/>
      <c r="E969" s="372"/>
      <c r="F969" s="372"/>
      <c r="G969" s="372"/>
      <c r="H969" s="372"/>
      <c r="I969" s="372"/>
      <c r="J969" s="372"/>
      <c r="K969" s="372"/>
      <c r="L969" s="372"/>
      <c r="M969" s="372"/>
      <c r="N969" s="372"/>
      <c r="O969" s="635"/>
      <c r="P969" s="372"/>
      <c r="Q969" s="372"/>
      <c r="R969" s="372"/>
    </row>
    <row r="970" spans="1:18" ht="15" thickBot="1">
      <c r="A970" s="637">
        <v>44</v>
      </c>
      <c r="B970" s="660" t="s">
        <v>67</v>
      </c>
      <c r="C970" s="660"/>
      <c r="D970" s="625"/>
      <c r="E970" s="625"/>
      <c r="F970" s="625"/>
      <c r="G970" s="625"/>
      <c r="H970" s="625"/>
      <c r="I970" s="625"/>
      <c r="J970" s="625"/>
      <c r="K970" s="625"/>
      <c r="L970" s="625"/>
      <c r="M970" s="625"/>
      <c r="N970" s="625"/>
      <c r="O970" s="638"/>
      <c r="P970" s="625"/>
      <c r="Q970" s="625"/>
      <c r="R970" s="625"/>
    </row>
    <row r="971" spans="1:18">
      <c r="A971" s="664" t="s">
        <v>643</v>
      </c>
      <c r="B971" s="664"/>
      <c r="C971" s="372"/>
      <c r="D971" s="372"/>
      <c r="E971" s="664"/>
      <c r="F971" s="664"/>
      <c r="G971" s="664"/>
      <c r="H971" s="664"/>
      <c r="I971" s="664"/>
      <c r="J971" s="664"/>
      <c r="K971" s="664"/>
      <c r="L971" s="664"/>
      <c r="M971" s="664"/>
      <c r="N971" s="664"/>
      <c r="O971" s="635"/>
      <c r="P971" s="372" t="s">
        <v>644</v>
      </c>
      <c r="Q971" s="664"/>
      <c r="R971" s="664"/>
    </row>
    <row r="972" spans="1:18" ht="15" thickBot="1">
      <c r="A972" s="625" t="s">
        <v>604</v>
      </c>
      <c r="B972" s="625"/>
      <c r="C972" s="625"/>
      <c r="D972" s="625"/>
      <c r="E972" s="625"/>
      <c r="F972" s="625"/>
      <c r="G972" s="625" t="s">
        <v>605</v>
      </c>
      <c r="H972" s="625"/>
      <c r="I972" s="625"/>
      <c r="J972" s="625"/>
      <c r="K972" s="625"/>
      <c r="L972" s="625"/>
      <c r="M972" s="625"/>
      <c r="N972" s="625"/>
      <c r="O972" s="638"/>
      <c r="P972" s="625"/>
      <c r="Q972" s="625"/>
      <c r="R972" s="625" t="s">
        <v>736</v>
      </c>
    </row>
    <row r="973" spans="1:18">
      <c r="A973" s="664" t="s">
        <v>4</v>
      </c>
      <c r="B973" s="664"/>
      <c r="C973" s="372"/>
      <c r="D973" s="372"/>
      <c r="E973" s="635" t="s">
        <v>553</v>
      </c>
      <c r="F973" s="372" t="s">
        <v>607</v>
      </c>
      <c r="G973" s="664"/>
      <c r="H973" s="664"/>
      <c r="I973" s="664"/>
      <c r="J973" s="664"/>
      <c r="K973" s="661"/>
      <c r="L973" s="661"/>
      <c r="M973" s="661"/>
      <c r="N973" s="661"/>
      <c r="O973" s="645"/>
      <c r="P973" s="372" t="s">
        <v>608</v>
      </c>
      <c r="Q973" s="664"/>
      <c r="R973" s="664"/>
    </row>
    <row r="974" spans="1:18">
      <c r="A974" s="372"/>
      <c r="B974" s="372"/>
      <c r="C974" s="372"/>
      <c r="D974" s="372"/>
      <c r="E974" s="372"/>
      <c r="F974" s="372" t="s">
        <v>609</v>
      </c>
      <c r="G974" s="372"/>
      <c r="H974" s="372"/>
      <c r="I974" s="372"/>
      <c r="J974" s="372"/>
      <c r="K974" s="636"/>
      <c r="L974" s="636"/>
      <c r="M974" s="372"/>
      <c r="N974" s="372"/>
      <c r="O974" s="635" t="s">
        <v>12</v>
      </c>
      <c r="P974" s="636" t="s">
        <v>9</v>
      </c>
      <c r="Q974" s="372"/>
      <c r="R974" s="372"/>
    </row>
    <row r="975" spans="1:18">
      <c r="A975" s="372" t="s">
        <v>10</v>
      </c>
      <c r="B975" s="372"/>
      <c r="C975" s="372"/>
      <c r="D975" s="372"/>
      <c r="E975" s="372"/>
      <c r="F975" s="372"/>
      <c r="G975" s="372"/>
      <c r="H975" s="372"/>
      <c r="I975" s="372"/>
      <c r="J975" s="372"/>
      <c r="K975" s="636"/>
      <c r="L975" s="636"/>
      <c r="M975" s="372"/>
      <c r="N975" s="372"/>
      <c r="O975" s="635"/>
      <c r="P975" s="636" t="s">
        <v>11</v>
      </c>
      <c r="Q975" s="372"/>
      <c r="R975" s="372"/>
    </row>
    <row r="976" spans="1:18">
      <c r="A976" s="372"/>
      <c r="B976" s="372"/>
      <c r="C976" s="372"/>
      <c r="D976" s="372"/>
      <c r="E976" s="372"/>
      <c r="F976" s="372"/>
      <c r="G976" s="372"/>
      <c r="H976" s="372"/>
      <c r="I976" s="372"/>
      <c r="J976" s="372"/>
      <c r="K976" s="636"/>
      <c r="L976" s="636"/>
      <c r="M976" s="372"/>
      <c r="N976" s="372"/>
      <c r="O976" s="635"/>
      <c r="P976" s="636" t="s">
        <v>13</v>
      </c>
      <c r="Q976" s="372"/>
      <c r="R976" s="372"/>
    </row>
    <row r="977" spans="1:18">
      <c r="A977" s="372"/>
      <c r="B977" s="372"/>
      <c r="C977" s="372"/>
      <c r="D977" s="372"/>
      <c r="E977" s="372"/>
      <c r="F977" s="372"/>
      <c r="G977" s="372"/>
      <c r="H977" s="372"/>
      <c r="I977" s="372"/>
      <c r="J977" s="372"/>
      <c r="K977" s="636"/>
      <c r="L977" s="636"/>
      <c r="M977" s="372"/>
      <c r="N977" s="372"/>
      <c r="O977" s="635"/>
      <c r="P977" s="636" t="s">
        <v>610</v>
      </c>
      <c r="Q977" s="372"/>
      <c r="R977" s="372"/>
    </row>
    <row r="978" spans="1:18" ht="15" thickBot="1">
      <c r="A978" s="625" t="s">
        <v>611</v>
      </c>
      <c r="B978" s="625"/>
      <c r="C978" s="625"/>
      <c r="D978" s="625"/>
      <c r="E978" s="625"/>
      <c r="F978" s="625"/>
      <c r="G978" s="625"/>
      <c r="H978" s="637" t="s">
        <v>612</v>
      </c>
      <c r="I978" s="625"/>
      <c r="J978" s="625"/>
      <c r="K978" s="625"/>
      <c r="L978" s="625"/>
      <c r="M978" s="625"/>
      <c r="N978" s="625"/>
      <c r="O978" s="638"/>
      <c r="P978" s="625" t="s">
        <v>249</v>
      </c>
      <c r="Q978" s="625"/>
      <c r="R978" s="625"/>
    </row>
    <row r="979" spans="1:18">
      <c r="A979" s="664"/>
      <c r="B979" s="664"/>
      <c r="C979" s="634"/>
      <c r="D979" s="634"/>
      <c r="E979" s="634"/>
      <c r="F979" s="634"/>
      <c r="G979" s="634"/>
      <c r="H979" s="634"/>
      <c r="I979" s="634"/>
      <c r="J979" s="634"/>
      <c r="K979" s="634"/>
      <c r="L979" s="634"/>
      <c r="M979" s="634"/>
      <c r="N979" s="634"/>
      <c r="O979" s="635"/>
      <c r="P979" s="634"/>
      <c r="Q979" s="634"/>
      <c r="R979" s="634"/>
    </row>
    <row r="980" spans="1:18">
      <c r="A980" s="372"/>
      <c r="B980" s="372"/>
      <c r="C980" s="634">
        <v>-1</v>
      </c>
      <c r="D980" s="634">
        <v>-2</v>
      </c>
      <c r="E980" s="634"/>
      <c r="F980" s="634">
        <v>-3</v>
      </c>
      <c r="G980" s="634"/>
      <c r="H980" s="634">
        <v>-4</v>
      </c>
      <c r="I980" s="634"/>
      <c r="J980" s="634">
        <v>-5</v>
      </c>
      <c r="K980" s="634"/>
      <c r="L980" s="634">
        <v>-6</v>
      </c>
      <c r="M980" s="634"/>
      <c r="N980" s="634">
        <v>-7</v>
      </c>
      <c r="O980" s="635"/>
      <c r="P980" s="634">
        <v>-8</v>
      </c>
      <c r="Q980" s="634"/>
      <c r="R980" s="634">
        <v>-9</v>
      </c>
    </row>
    <row r="981" spans="1:18">
      <c r="A981" s="372"/>
      <c r="B981" s="372"/>
      <c r="C981" s="634" t="s">
        <v>613</v>
      </c>
      <c r="D981" s="634" t="s">
        <v>613</v>
      </c>
      <c r="E981" s="372"/>
      <c r="F981" s="634" t="s">
        <v>37</v>
      </c>
      <c r="G981" s="634"/>
      <c r="H981" s="634" t="s">
        <v>30</v>
      </c>
      <c r="I981" s="634"/>
      <c r="J981" s="634" t="s">
        <v>45</v>
      </c>
      <c r="K981" s="634"/>
      <c r="L981" s="634" t="s">
        <v>45</v>
      </c>
      <c r="M981" s="634"/>
      <c r="N981" s="372"/>
      <c r="O981" s="635"/>
      <c r="P981" s="634" t="s">
        <v>30</v>
      </c>
      <c r="Q981" s="372"/>
      <c r="R981" s="372"/>
    </row>
    <row r="982" spans="1:18">
      <c r="A982" s="634" t="s">
        <v>35</v>
      </c>
      <c r="B982" s="634"/>
      <c r="C982" s="634" t="s">
        <v>614</v>
      </c>
      <c r="D982" s="634" t="s">
        <v>614</v>
      </c>
      <c r="E982" s="634"/>
      <c r="F982" s="634" t="s">
        <v>615</v>
      </c>
      <c r="G982" s="634"/>
      <c r="H982" s="634" t="s">
        <v>616</v>
      </c>
      <c r="I982" s="634"/>
      <c r="J982" s="634" t="s">
        <v>30</v>
      </c>
      <c r="K982" s="634"/>
      <c r="L982" s="634" t="s">
        <v>30</v>
      </c>
      <c r="M982" s="636"/>
      <c r="N982" s="634" t="s">
        <v>178</v>
      </c>
      <c r="O982" s="635"/>
      <c r="P982" s="634" t="s">
        <v>616</v>
      </c>
      <c r="Q982" s="634"/>
      <c r="R982" s="634" t="s">
        <v>353</v>
      </c>
    </row>
    <row r="983" spans="1:18" ht="15" thickBot="1">
      <c r="A983" s="637" t="s">
        <v>46</v>
      </c>
      <c r="B983" s="637"/>
      <c r="C983" s="637" t="s">
        <v>371</v>
      </c>
      <c r="D983" s="637" t="s">
        <v>617</v>
      </c>
      <c r="E983" s="637"/>
      <c r="F983" s="637" t="s">
        <v>618</v>
      </c>
      <c r="G983" s="637"/>
      <c r="H983" s="637" t="s">
        <v>619</v>
      </c>
      <c r="I983" s="637"/>
      <c r="J983" s="637" t="s">
        <v>620</v>
      </c>
      <c r="K983" s="637"/>
      <c r="L983" s="637" t="s">
        <v>621</v>
      </c>
      <c r="M983" s="637"/>
      <c r="N983" s="637" t="s">
        <v>622</v>
      </c>
      <c r="O983" s="638"/>
      <c r="P983" s="637" t="s">
        <v>623</v>
      </c>
      <c r="Q983" s="637"/>
      <c r="R983" s="637" t="s">
        <v>369</v>
      </c>
    </row>
    <row r="984" spans="1:18">
      <c r="A984" s="634">
        <v>1</v>
      </c>
      <c r="B984" s="634"/>
      <c r="C984" s="372"/>
      <c r="D984" s="372"/>
      <c r="E984" s="664"/>
      <c r="F984" s="664"/>
      <c r="G984" s="664"/>
      <c r="H984" s="664"/>
      <c r="I984" s="664"/>
      <c r="J984" s="664"/>
      <c r="K984" s="664"/>
      <c r="L984" s="664"/>
      <c r="M984" s="664"/>
      <c r="N984" s="664"/>
      <c r="O984" s="635"/>
      <c r="P984" s="372"/>
      <c r="Q984" s="664"/>
      <c r="R984" s="664"/>
    </row>
    <row r="985" spans="1:18">
      <c r="A985" s="634">
        <v>2</v>
      </c>
      <c r="B985" s="639"/>
      <c r="C985" s="634"/>
      <c r="D985" s="372" t="s">
        <v>737</v>
      </c>
      <c r="E985" s="372"/>
      <c r="F985" s="372"/>
      <c r="G985" s="372"/>
      <c r="H985" s="372"/>
      <c r="I985" s="634"/>
      <c r="J985" s="634"/>
      <c r="K985" s="634"/>
      <c r="L985" s="634"/>
      <c r="M985" s="634"/>
      <c r="N985" s="634"/>
      <c r="O985" s="635"/>
      <c r="P985" s="634"/>
      <c r="Q985" s="634"/>
      <c r="R985" s="634"/>
    </row>
    <row r="986" spans="1:18">
      <c r="A986" s="634">
        <v>3</v>
      </c>
      <c r="B986" s="639"/>
      <c r="C986" s="634">
        <v>36001</v>
      </c>
      <c r="D986" s="372" t="s">
        <v>724</v>
      </c>
      <c r="E986" s="372"/>
      <c r="F986" s="372"/>
      <c r="G986" s="635"/>
      <c r="H986" s="634"/>
      <c r="I986" s="635"/>
      <c r="J986" s="634"/>
      <c r="K986" s="635"/>
      <c r="L986" s="634"/>
      <c r="M986" s="635"/>
      <c r="N986" s="634"/>
      <c r="O986" s="635"/>
      <c r="P986" s="634"/>
      <c r="Q986" s="635"/>
      <c r="R986" s="634"/>
    </row>
    <row r="987" spans="1:18">
      <c r="A987" s="634">
        <v>4</v>
      </c>
      <c r="B987" s="639"/>
      <c r="C987" s="634">
        <v>36100</v>
      </c>
      <c r="D987" s="372" t="s">
        <v>726</v>
      </c>
      <c r="E987" s="372"/>
      <c r="F987" s="634">
        <v>2.58</v>
      </c>
      <c r="G987" s="635"/>
      <c r="H987" s="640">
        <v>34138</v>
      </c>
      <c r="I987" s="635"/>
      <c r="J987" s="634" t="s">
        <v>635</v>
      </c>
      <c r="K987" s="372"/>
      <c r="L987" s="634" t="s">
        <v>635</v>
      </c>
      <c r="M987" s="372"/>
      <c r="N987" s="634" t="s">
        <v>635</v>
      </c>
      <c r="O987" s="635"/>
      <c r="P987" s="640">
        <v>34138</v>
      </c>
      <c r="Q987" s="372"/>
      <c r="R987" s="640">
        <v>34138</v>
      </c>
    </row>
    <row r="988" spans="1:18">
      <c r="A988" s="634">
        <v>5</v>
      </c>
      <c r="B988" s="639"/>
      <c r="C988" s="634">
        <v>36200</v>
      </c>
      <c r="D988" s="372" t="s">
        <v>727</v>
      </c>
      <c r="E988" s="372"/>
      <c r="F988" s="634">
        <v>2.76</v>
      </c>
      <c r="G988" s="635"/>
      <c r="H988" s="640">
        <v>324447</v>
      </c>
      <c r="I988" s="635"/>
      <c r="J988" s="640">
        <v>20543</v>
      </c>
      <c r="K988" s="372"/>
      <c r="L988" s="640">
        <v>-1849</v>
      </c>
      <c r="M988" s="372"/>
      <c r="N988" s="634" t="s">
        <v>628</v>
      </c>
      <c r="O988" s="635"/>
      <c r="P988" s="640">
        <v>343141</v>
      </c>
      <c r="Q988" s="372"/>
      <c r="R988" s="640">
        <v>331220</v>
      </c>
    </row>
    <row r="989" spans="1:18">
      <c r="A989" s="634">
        <v>6</v>
      </c>
      <c r="B989" s="639"/>
      <c r="C989" s="634">
        <v>36300</v>
      </c>
      <c r="D989" s="372" t="s">
        <v>725</v>
      </c>
      <c r="E989" s="372"/>
      <c r="F989" s="634">
        <v>10</v>
      </c>
      <c r="G989" s="635"/>
      <c r="H989" s="634" t="s">
        <v>628</v>
      </c>
      <c r="I989" s="635"/>
      <c r="J989" s="634" t="s">
        <v>635</v>
      </c>
      <c r="K989" s="372"/>
      <c r="L989" s="634" t="s">
        <v>635</v>
      </c>
      <c r="M989" s="372"/>
      <c r="N989" s="634" t="s">
        <v>635</v>
      </c>
      <c r="O989" s="635"/>
      <c r="P989" s="634" t="s">
        <v>635</v>
      </c>
      <c r="Q989" s="372"/>
      <c r="R989" s="634" t="s">
        <v>635</v>
      </c>
    </row>
    <row r="990" spans="1:18">
      <c r="A990" s="634">
        <v>7</v>
      </c>
      <c r="B990" s="634"/>
      <c r="C990" s="634">
        <v>36400</v>
      </c>
      <c r="D990" s="372" t="s">
        <v>738</v>
      </c>
      <c r="E990" s="372"/>
      <c r="F990" s="634">
        <v>5.31</v>
      </c>
      <c r="G990" s="635"/>
      <c r="H990" s="640">
        <v>463677</v>
      </c>
      <c r="I990" s="635"/>
      <c r="J990" s="640">
        <v>86228</v>
      </c>
      <c r="K990" s="372"/>
      <c r="L990" s="640">
        <v>-12934</v>
      </c>
      <c r="M990" s="372"/>
      <c r="N990" s="634" t="s">
        <v>628</v>
      </c>
      <c r="O990" s="635"/>
      <c r="P990" s="640">
        <v>536971</v>
      </c>
      <c r="Q990" s="372"/>
      <c r="R990" s="640">
        <v>499219</v>
      </c>
    </row>
    <row r="991" spans="1:18">
      <c r="A991" s="634">
        <v>8</v>
      </c>
      <c r="B991" s="634"/>
      <c r="C991" s="634">
        <v>36500</v>
      </c>
      <c r="D991" s="372" t="s">
        <v>730</v>
      </c>
      <c r="E991" s="372"/>
      <c r="F991" s="634">
        <v>2.33</v>
      </c>
      <c r="G991" s="635"/>
      <c r="H991" s="640">
        <v>295009</v>
      </c>
      <c r="I991" s="635"/>
      <c r="J991" s="640">
        <v>24716</v>
      </c>
      <c r="K991" s="372"/>
      <c r="L991" s="640">
        <v>-7909</v>
      </c>
      <c r="M991" s="372"/>
      <c r="N991" s="634" t="s">
        <v>628</v>
      </c>
      <c r="O991" s="635"/>
      <c r="P991" s="640">
        <v>311815</v>
      </c>
      <c r="Q991" s="372"/>
      <c r="R991" s="640">
        <v>303328</v>
      </c>
    </row>
    <row r="992" spans="1:18">
      <c r="A992" s="634">
        <v>9</v>
      </c>
      <c r="B992" s="634"/>
      <c r="C992" s="634">
        <v>36600</v>
      </c>
      <c r="D992" s="372" t="s">
        <v>732</v>
      </c>
      <c r="E992" s="372"/>
      <c r="F992" s="634">
        <v>1.76</v>
      </c>
      <c r="G992" s="635"/>
      <c r="H992" s="640">
        <v>453437</v>
      </c>
      <c r="I992" s="635"/>
      <c r="J992" s="640">
        <v>23500</v>
      </c>
      <c r="K992" s="372"/>
      <c r="L992" s="634">
        <v>-235</v>
      </c>
      <c r="M992" s="372"/>
      <c r="N992" s="634" t="s">
        <v>628</v>
      </c>
      <c r="O992" s="635"/>
      <c r="P992" s="640">
        <v>476701</v>
      </c>
      <c r="Q992" s="372"/>
      <c r="R992" s="640">
        <v>464182</v>
      </c>
    </row>
    <row r="993" spans="1:18">
      <c r="A993" s="634">
        <v>10</v>
      </c>
      <c r="B993" s="639"/>
      <c r="C993" s="634">
        <v>36700</v>
      </c>
      <c r="D993" s="372" t="s">
        <v>733</v>
      </c>
      <c r="E993" s="372"/>
      <c r="F993" s="634">
        <v>3.58</v>
      </c>
      <c r="G993" s="635"/>
      <c r="H993" s="640">
        <v>710560</v>
      </c>
      <c r="I993" s="635"/>
      <c r="J993" s="640">
        <v>164552</v>
      </c>
      <c r="K993" s="372"/>
      <c r="L993" s="640">
        <v>-16455</v>
      </c>
      <c r="M993" s="372"/>
      <c r="N993" s="634" t="s">
        <v>628</v>
      </c>
      <c r="O993" s="635"/>
      <c r="P993" s="640">
        <v>858657</v>
      </c>
      <c r="Q993" s="372"/>
      <c r="R993" s="640">
        <v>784983</v>
      </c>
    </row>
    <row r="994" spans="1:18">
      <c r="A994" s="634">
        <v>11</v>
      </c>
      <c r="B994" s="639"/>
      <c r="C994" s="634">
        <v>36800</v>
      </c>
      <c r="D994" s="372" t="s">
        <v>739</v>
      </c>
      <c r="E994" s="372"/>
      <c r="F994" s="634">
        <v>3.92</v>
      </c>
      <c r="G994" s="635"/>
      <c r="H994" s="640">
        <v>1012769</v>
      </c>
      <c r="I994" s="635"/>
      <c r="J994" s="640">
        <v>68691</v>
      </c>
      <c r="K994" s="372"/>
      <c r="L994" s="640">
        <v>-8243</v>
      </c>
      <c r="M994" s="372"/>
      <c r="N994" s="634" t="s">
        <v>628</v>
      </c>
      <c r="O994" s="635"/>
      <c r="P994" s="640">
        <v>1073217</v>
      </c>
      <c r="Q994" s="372"/>
      <c r="R994" s="640">
        <v>1040688</v>
      </c>
    </row>
    <row r="995" spans="1:18">
      <c r="A995" s="634">
        <v>12</v>
      </c>
      <c r="B995" s="639"/>
      <c r="C995" s="634">
        <v>36900</v>
      </c>
      <c r="D995" s="372" t="s">
        <v>740</v>
      </c>
      <c r="E995" s="372"/>
      <c r="F995" s="634">
        <v>2.34</v>
      </c>
      <c r="G995" s="635"/>
      <c r="H995" s="640">
        <v>84517</v>
      </c>
      <c r="I995" s="635"/>
      <c r="J995" s="640">
        <v>1808</v>
      </c>
      <c r="K995" s="372"/>
      <c r="L995" s="634">
        <v>-181</v>
      </c>
      <c r="M995" s="372"/>
      <c r="N995" s="634" t="s">
        <v>628</v>
      </c>
      <c r="O995" s="635"/>
      <c r="P995" s="640">
        <v>86144</v>
      </c>
      <c r="Q995" s="372"/>
      <c r="R995" s="640">
        <v>85269</v>
      </c>
    </row>
    <row r="996" spans="1:18">
      <c r="A996" s="634">
        <v>13</v>
      </c>
      <c r="B996" s="639"/>
      <c r="C996" s="634">
        <v>36902</v>
      </c>
      <c r="D996" s="372" t="s">
        <v>741</v>
      </c>
      <c r="E996" s="372"/>
      <c r="F996" s="634">
        <v>2.64</v>
      </c>
      <c r="G996" s="635"/>
      <c r="H996" s="640">
        <v>152451</v>
      </c>
      <c r="I996" s="635"/>
      <c r="J996" s="640">
        <v>3615</v>
      </c>
      <c r="K996" s="372"/>
      <c r="L996" s="634">
        <v>-108</v>
      </c>
      <c r="M996" s="372"/>
      <c r="N996" s="634" t="s">
        <v>628</v>
      </c>
      <c r="O996" s="635"/>
      <c r="P996" s="640">
        <v>155957</v>
      </c>
      <c r="Q996" s="372"/>
      <c r="R996" s="640">
        <v>154070</v>
      </c>
    </row>
    <row r="997" spans="1:18">
      <c r="A997" s="634">
        <v>14</v>
      </c>
      <c r="B997" s="639"/>
      <c r="C997" s="634">
        <v>37000</v>
      </c>
      <c r="D997" s="372" t="s">
        <v>742</v>
      </c>
      <c r="E997" s="372"/>
      <c r="F997" s="634">
        <v>7.3</v>
      </c>
      <c r="G997" s="635"/>
      <c r="H997" s="640">
        <v>18799</v>
      </c>
      <c r="I997" s="635"/>
      <c r="J997" s="634" t="s">
        <v>635</v>
      </c>
      <c r="K997" s="372"/>
      <c r="L997" s="634" t="s">
        <v>635</v>
      </c>
      <c r="M997" s="372"/>
      <c r="N997" s="634" t="s">
        <v>635</v>
      </c>
      <c r="O997" s="635"/>
      <c r="P997" s="640">
        <v>18799</v>
      </c>
      <c r="Q997" s="372"/>
      <c r="R997" s="640">
        <v>18799</v>
      </c>
    </row>
    <row r="998" spans="1:18">
      <c r="A998" s="634">
        <v>15</v>
      </c>
      <c r="B998" s="634"/>
      <c r="C998" s="634">
        <v>37001</v>
      </c>
      <c r="D998" s="372" t="s">
        <v>743</v>
      </c>
      <c r="E998" s="372"/>
      <c r="F998" s="634">
        <v>10.78</v>
      </c>
      <c r="G998" s="635"/>
      <c r="H998" s="640">
        <v>121028</v>
      </c>
      <c r="I998" s="635"/>
      <c r="J998" s="640">
        <v>14637</v>
      </c>
      <c r="K998" s="372"/>
      <c r="L998" s="640">
        <v>-7319</v>
      </c>
      <c r="M998" s="372"/>
      <c r="N998" s="634" t="s">
        <v>628</v>
      </c>
      <c r="O998" s="635"/>
      <c r="P998" s="640">
        <v>128346</v>
      </c>
      <c r="Q998" s="372"/>
      <c r="R998" s="640">
        <v>124480</v>
      </c>
    </row>
    <row r="999" spans="1:18">
      <c r="A999" s="634">
        <v>16</v>
      </c>
      <c r="B999" s="634"/>
      <c r="C999" s="634">
        <v>37010</v>
      </c>
      <c r="D999" s="372" t="s">
        <v>744</v>
      </c>
      <c r="E999" s="372"/>
      <c r="F999" s="634">
        <v>10.050000000000001</v>
      </c>
      <c r="G999" s="635"/>
      <c r="H999" s="640">
        <v>4960</v>
      </c>
      <c r="I999" s="635"/>
      <c r="J999" s="640">
        <v>3209</v>
      </c>
      <c r="K999" s="372"/>
      <c r="L999" s="634" t="s">
        <v>635</v>
      </c>
      <c r="M999" s="372"/>
      <c r="N999" s="634" t="s">
        <v>635</v>
      </c>
      <c r="O999" s="635"/>
      <c r="P999" s="640">
        <v>8168</v>
      </c>
      <c r="Q999" s="372"/>
      <c r="R999" s="640">
        <v>6575</v>
      </c>
    </row>
    <row r="1000" spans="1:18">
      <c r="A1000" s="634">
        <v>17</v>
      </c>
      <c r="B1000" s="634"/>
      <c r="C1000" s="634">
        <v>37300</v>
      </c>
      <c r="D1000" s="372" t="s">
        <v>745</v>
      </c>
      <c r="E1000" s="372"/>
      <c r="F1000" s="634">
        <v>3.65</v>
      </c>
      <c r="G1000" s="635"/>
      <c r="H1000" s="640">
        <v>389454</v>
      </c>
      <c r="I1000" s="635"/>
      <c r="J1000" s="640">
        <v>14546</v>
      </c>
      <c r="K1000" s="372"/>
      <c r="L1000" s="640">
        <v>-5091</v>
      </c>
      <c r="M1000" s="372"/>
      <c r="N1000" s="634" t="s">
        <v>628</v>
      </c>
      <c r="O1000" s="635"/>
      <c r="P1000" s="640">
        <v>398909</v>
      </c>
      <c r="Q1000" s="372"/>
      <c r="R1000" s="640">
        <v>394176</v>
      </c>
    </row>
    <row r="1001" spans="1:18">
      <c r="A1001" s="634">
        <v>18</v>
      </c>
      <c r="B1001" s="634"/>
      <c r="C1001" s="634">
        <v>37302</v>
      </c>
      <c r="D1001" s="372" t="s">
        <v>746</v>
      </c>
      <c r="E1001" s="372"/>
      <c r="F1001" s="634">
        <v>4.08</v>
      </c>
      <c r="G1001" s="635"/>
      <c r="H1001" s="640">
        <v>22122</v>
      </c>
      <c r="I1001" s="635"/>
      <c r="J1001" s="634" t="s">
        <v>635</v>
      </c>
      <c r="K1001" s="372"/>
      <c r="L1001" s="634" t="s">
        <v>635</v>
      </c>
      <c r="M1001" s="372"/>
      <c r="N1001" s="634" t="s">
        <v>635</v>
      </c>
      <c r="O1001" s="635"/>
      <c r="P1001" s="640">
        <v>22122</v>
      </c>
      <c r="Q1001" s="372"/>
      <c r="R1001" s="640">
        <v>22122</v>
      </c>
    </row>
    <row r="1002" spans="1:18" ht="15" thickBot="1">
      <c r="A1002" s="634">
        <v>19</v>
      </c>
      <c r="B1002" s="639"/>
      <c r="C1002" s="372"/>
      <c r="D1002" s="372" t="s">
        <v>747</v>
      </c>
      <c r="E1002" s="372"/>
      <c r="F1002" s="372"/>
      <c r="G1002" s="635"/>
      <c r="H1002" s="648">
        <v>4087367</v>
      </c>
      <c r="I1002" s="635"/>
      <c r="J1002" s="648">
        <v>426044</v>
      </c>
      <c r="K1002" s="635"/>
      <c r="L1002" s="648">
        <v>-60324</v>
      </c>
      <c r="M1002" s="635"/>
      <c r="N1002" s="649" t="s">
        <v>628</v>
      </c>
      <c r="O1002" s="635"/>
      <c r="P1002" s="648">
        <v>4453087</v>
      </c>
      <c r="Q1002" s="635"/>
      <c r="R1002" s="648">
        <v>4263251</v>
      </c>
    </row>
    <row r="1003" spans="1:18" ht="15" thickTop="1">
      <c r="A1003" s="634">
        <v>20</v>
      </c>
      <c r="B1003" s="634"/>
      <c r="C1003" s="372"/>
      <c r="D1003" s="372"/>
      <c r="E1003" s="372"/>
      <c r="F1003" s="372"/>
      <c r="G1003" s="372"/>
      <c r="H1003" s="372"/>
      <c r="I1003" s="372"/>
      <c r="J1003" s="372"/>
      <c r="K1003" s="372"/>
      <c r="L1003" s="372"/>
      <c r="M1003" s="372"/>
      <c r="N1003" s="372"/>
      <c r="O1003" s="635"/>
      <c r="P1003" s="372"/>
      <c r="Q1003" s="372"/>
      <c r="R1003" s="372"/>
    </row>
    <row r="1004" spans="1:18">
      <c r="A1004" s="634">
        <v>21</v>
      </c>
      <c r="B1004" s="634"/>
      <c r="C1004" s="372"/>
      <c r="D1004" s="372" t="s">
        <v>748</v>
      </c>
      <c r="E1004" s="372"/>
      <c r="F1004" s="372"/>
      <c r="G1004" s="372"/>
      <c r="H1004" s="372"/>
      <c r="I1004" s="635"/>
      <c r="J1004" s="635"/>
      <c r="K1004" s="635"/>
      <c r="L1004" s="635"/>
      <c r="M1004" s="635"/>
      <c r="N1004" s="635"/>
      <c r="O1004" s="635"/>
      <c r="P1004" s="635"/>
      <c r="Q1004" s="635"/>
      <c r="R1004" s="635"/>
    </row>
    <row r="1005" spans="1:18">
      <c r="A1005" s="634">
        <v>22</v>
      </c>
      <c r="B1005" s="634"/>
      <c r="C1005" s="634">
        <v>39000</v>
      </c>
      <c r="D1005" s="372" t="s">
        <v>726</v>
      </c>
      <c r="E1005" s="372"/>
      <c r="F1005" s="634">
        <v>1.7</v>
      </c>
      <c r="G1005" s="635"/>
      <c r="H1005" s="640">
        <v>178441</v>
      </c>
      <c r="I1005" s="635"/>
      <c r="J1005" s="640">
        <v>485650</v>
      </c>
      <c r="K1005" s="372"/>
      <c r="L1005" s="640">
        <v>-15499</v>
      </c>
      <c r="M1005" s="372"/>
      <c r="N1005" s="634" t="s">
        <v>628</v>
      </c>
      <c r="O1005" s="635"/>
      <c r="P1005" s="640">
        <v>648592</v>
      </c>
      <c r="Q1005" s="372"/>
      <c r="R1005" s="640">
        <v>440479</v>
      </c>
    </row>
    <row r="1006" spans="1:18">
      <c r="A1006" s="634">
        <v>23</v>
      </c>
      <c r="B1006" s="634"/>
      <c r="C1006" s="634">
        <v>39101</v>
      </c>
      <c r="D1006" s="372" t="s">
        <v>749</v>
      </c>
      <c r="E1006" s="372"/>
      <c r="F1006" s="634">
        <v>14.3</v>
      </c>
      <c r="G1006" s="635"/>
      <c r="H1006" s="640">
        <v>6802</v>
      </c>
      <c r="I1006" s="635"/>
      <c r="J1006" s="634">
        <v>322</v>
      </c>
      <c r="K1006" s="372"/>
      <c r="L1006" s="634">
        <v>-675</v>
      </c>
      <c r="M1006" s="372"/>
      <c r="N1006" s="634" t="s">
        <v>628</v>
      </c>
      <c r="O1006" s="635"/>
      <c r="P1006" s="640">
        <v>6449</v>
      </c>
      <c r="Q1006" s="372"/>
      <c r="R1006" s="640">
        <v>6522</v>
      </c>
    </row>
    <row r="1007" spans="1:18">
      <c r="A1007" s="634">
        <v>24</v>
      </c>
      <c r="B1007" s="634"/>
      <c r="C1007" s="634">
        <v>39102</v>
      </c>
      <c r="D1007" s="372" t="s">
        <v>750</v>
      </c>
      <c r="E1007" s="372"/>
      <c r="F1007" s="634">
        <v>25</v>
      </c>
      <c r="G1007" s="635"/>
      <c r="H1007" s="640">
        <v>13056</v>
      </c>
      <c r="I1007" s="635"/>
      <c r="J1007" s="640">
        <v>2848</v>
      </c>
      <c r="K1007" s="372"/>
      <c r="L1007" s="634">
        <v>-891</v>
      </c>
      <c r="M1007" s="372"/>
      <c r="N1007" s="634" t="s">
        <v>628</v>
      </c>
      <c r="O1007" s="635"/>
      <c r="P1007" s="640">
        <v>15013</v>
      </c>
      <c r="Q1007" s="372"/>
      <c r="R1007" s="640">
        <v>13314</v>
      </c>
    </row>
    <row r="1008" spans="1:18">
      <c r="A1008" s="634">
        <v>25</v>
      </c>
      <c r="B1008" s="634"/>
      <c r="C1008" s="634">
        <v>39103</v>
      </c>
      <c r="D1008" s="372" t="s">
        <v>751</v>
      </c>
      <c r="E1008" s="372"/>
      <c r="F1008" s="634">
        <v>0</v>
      </c>
      <c r="G1008" s="635"/>
      <c r="H1008" s="634" t="s">
        <v>628</v>
      </c>
      <c r="I1008" s="635"/>
      <c r="J1008" s="634" t="s">
        <v>635</v>
      </c>
      <c r="K1008" s="372"/>
      <c r="L1008" s="634" t="s">
        <v>635</v>
      </c>
      <c r="M1008" s="372"/>
      <c r="N1008" s="634" t="s">
        <v>635</v>
      </c>
      <c r="O1008" s="635"/>
      <c r="P1008" s="634" t="s">
        <v>635</v>
      </c>
      <c r="Q1008" s="372"/>
      <c r="R1008" s="634" t="s">
        <v>635</v>
      </c>
    </row>
    <row r="1009" spans="1:18">
      <c r="A1009" s="634">
        <v>26</v>
      </c>
      <c r="B1009" s="634"/>
      <c r="C1009" s="634">
        <v>39104</v>
      </c>
      <c r="D1009" s="372" t="s">
        <v>752</v>
      </c>
      <c r="E1009" s="372"/>
      <c r="F1009" s="634">
        <v>20</v>
      </c>
      <c r="G1009" s="635"/>
      <c r="H1009" s="640">
        <v>55362</v>
      </c>
      <c r="I1009" s="635"/>
      <c r="J1009" s="640">
        <v>13377</v>
      </c>
      <c r="K1009" s="372"/>
      <c r="L1009" s="640">
        <v>-4172</v>
      </c>
      <c r="M1009" s="372"/>
      <c r="N1009" s="634" t="s">
        <v>628</v>
      </c>
      <c r="O1009" s="635"/>
      <c r="P1009" s="640">
        <v>64566</v>
      </c>
      <c r="Q1009" s="372"/>
      <c r="R1009" s="640">
        <v>53762</v>
      </c>
    </row>
    <row r="1010" spans="1:18">
      <c r="A1010" s="634">
        <v>27</v>
      </c>
      <c r="B1010" s="634"/>
      <c r="C1010" s="634">
        <v>39202</v>
      </c>
      <c r="D1010" s="636" t="s">
        <v>753</v>
      </c>
      <c r="E1010" s="372"/>
      <c r="F1010" s="634">
        <v>6.97</v>
      </c>
      <c r="G1010" s="635"/>
      <c r="H1010" s="640">
        <v>31039</v>
      </c>
      <c r="I1010" s="635"/>
      <c r="J1010" s="634">
        <v>130</v>
      </c>
      <c r="K1010" s="372"/>
      <c r="L1010" s="634">
        <v>-20</v>
      </c>
      <c r="M1010" s="372"/>
      <c r="N1010" s="634" t="s">
        <v>628</v>
      </c>
      <c r="O1010" s="635"/>
      <c r="P1010" s="640">
        <v>31149</v>
      </c>
      <c r="Q1010" s="372"/>
      <c r="R1010" s="640">
        <v>31089</v>
      </c>
    </row>
    <row r="1011" spans="1:18">
      <c r="A1011" s="634">
        <v>28</v>
      </c>
      <c r="B1011" s="634"/>
      <c r="C1011" s="634">
        <v>39203</v>
      </c>
      <c r="D1011" s="636" t="s">
        <v>754</v>
      </c>
      <c r="E1011" s="372"/>
      <c r="F1011" s="634">
        <v>4.17</v>
      </c>
      <c r="G1011" s="635"/>
      <c r="H1011" s="640">
        <v>80731</v>
      </c>
      <c r="I1011" s="635"/>
      <c r="J1011" s="634" t="s">
        <v>635</v>
      </c>
      <c r="K1011" s="372"/>
      <c r="L1011" s="634" t="s">
        <v>635</v>
      </c>
      <c r="M1011" s="372"/>
      <c r="N1011" s="634" t="s">
        <v>635</v>
      </c>
      <c r="O1011" s="635"/>
      <c r="P1011" s="640">
        <v>80731</v>
      </c>
      <c r="Q1011" s="372"/>
      <c r="R1011" s="640">
        <v>80731</v>
      </c>
    </row>
    <row r="1012" spans="1:18">
      <c r="A1012" s="634">
        <v>29</v>
      </c>
      <c r="B1012" s="639"/>
      <c r="C1012" s="634">
        <v>39204</v>
      </c>
      <c r="D1012" s="636" t="s">
        <v>755</v>
      </c>
      <c r="E1012" s="372"/>
      <c r="F1012" s="634">
        <v>0</v>
      </c>
      <c r="G1012" s="635"/>
      <c r="H1012" s="634" t="s">
        <v>628</v>
      </c>
      <c r="I1012" s="635"/>
      <c r="J1012" s="634" t="s">
        <v>635</v>
      </c>
      <c r="K1012" s="372"/>
      <c r="L1012" s="634" t="s">
        <v>635</v>
      </c>
      <c r="M1012" s="372"/>
      <c r="N1012" s="634" t="s">
        <v>635</v>
      </c>
      <c r="O1012" s="635"/>
      <c r="P1012" s="634" t="s">
        <v>635</v>
      </c>
      <c r="Q1012" s="372"/>
      <c r="R1012" s="634" t="s">
        <v>635</v>
      </c>
    </row>
    <row r="1013" spans="1:18">
      <c r="A1013" s="634">
        <v>30</v>
      </c>
      <c r="B1013" s="639"/>
      <c r="C1013" s="634">
        <v>39212</v>
      </c>
      <c r="D1013" s="372" t="s">
        <v>756</v>
      </c>
      <c r="E1013" s="372"/>
      <c r="F1013" s="634">
        <v>5.67</v>
      </c>
      <c r="G1013" s="635"/>
      <c r="H1013" s="640">
        <v>6412</v>
      </c>
      <c r="I1013" s="635"/>
      <c r="J1013" s="634" t="s">
        <v>635</v>
      </c>
      <c r="K1013" s="372"/>
      <c r="L1013" s="634" t="s">
        <v>635</v>
      </c>
      <c r="M1013" s="372"/>
      <c r="N1013" s="634" t="s">
        <v>635</v>
      </c>
      <c r="O1013" s="635"/>
      <c r="P1013" s="640">
        <v>6412</v>
      </c>
      <c r="Q1013" s="372"/>
      <c r="R1013" s="640">
        <v>6412</v>
      </c>
    </row>
    <row r="1014" spans="1:18">
      <c r="A1014" s="634">
        <v>31</v>
      </c>
      <c r="B1014" s="639"/>
      <c r="C1014" s="634">
        <v>39213</v>
      </c>
      <c r="D1014" s="372" t="s">
        <v>757</v>
      </c>
      <c r="E1014" s="372"/>
      <c r="F1014" s="634">
        <v>6.03</v>
      </c>
      <c r="G1014" s="635"/>
      <c r="H1014" s="640">
        <v>1071</v>
      </c>
      <c r="I1014" s="635"/>
      <c r="J1014" s="634" t="s">
        <v>635</v>
      </c>
      <c r="K1014" s="372"/>
      <c r="L1014" s="634" t="s">
        <v>635</v>
      </c>
      <c r="M1014" s="372"/>
      <c r="N1014" s="634" t="s">
        <v>635</v>
      </c>
      <c r="O1014" s="635"/>
      <c r="P1014" s="640">
        <v>1071</v>
      </c>
      <c r="Q1014" s="372"/>
      <c r="R1014" s="640">
        <v>1071</v>
      </c>
    </row>
    <row r="1015" spans="1:18">
      <c r="A1015" s="634">
        <v>32</v>
      </c>
      <c r="B1015" s="639"/>
      <c r="C1015" s="634">
        <v>39214</v>
      </c>
      <c r="D1015" s="372" t="s">
        <v>758</v>
      </c>
      <c r="E1015" s="372"/>
      <c r="F1015" s="634">
        <v>0</v>
      </c>
      <c r="G1015" s="635"/>
      <c r="H1015" s="634" t="s">
        <v>628</v>
      </c>
      <c r="I1015" s="635"/>
      <c r="J1015" s="634" t="s">
        <v>635</v>
      </c>
      <c r="K1015" s="372"/>
      <c r="L1015" s="634" t="s">
        <v>635</v>
      </c>
      <c r="M1015" s="372"/>
      <c r="N1015" s="634" t="s">
        <v>635</v>
      </c>
      <c r="O1015" s="635"/>
      <c r="P1015" s="634" t="s">
        <v>635</v>
      </c>
      <c r="Q1015" s="372"/>
      <c r="R1015" s="634" t="s">
        <v>635</v>
      </c>
    </row>
    <row r="1016" spans="1:18">
      <c r="A1016" s="634">
        <v>33</v>
      </c>
      <c r="B1016" s="639"/>
      <c r="C1016" s="634">
        <v>39300</v>
      </c>
      <c r="D1016" s="372" t="s">
        <v>759</v>
      </c>
      <c r="E1016" s="372"/>
      <c r="F1016" s="634">
        <v>14.3</v>
      </c>
      <c r="G1016" s="635"/>
      <c r="H1016" s="634" t="s">
        <v>628</v>
      </c>
      <c r="I1016" s="635"/>
      <c r="J1016" s="634" t="s">
        <v>635</v>
      </c>
      <c r="K1016" s="372"/>
      <c r="L1016" s="634" t="s">
        <v>635</v>
      </c>
      <c r="M1016" s="372"/>
      <c r="N1016" s="634" t="s">
        <v>635</v>
      </c>
      <c r="O1016" s="635"/>
      <c r="P1016" s="634" t="s">
        <v>635</v>
      </c>
      <c r="Q1016" s="372"/>
      <c r="R1016" s="634" t="s">
        <v>635</v>
      </c>
    </row>
    <row r="1017" spans="1:18">
      <c r="A1017" s="634">
        <v>34</v>
      </c>
      <c r="B1017" s="639"/>
      <c r="C1017" s="634">
        <v>39400</v>
      </c>
      <c r="D1017" s="372" t="s">
        <v>760</v>
      </c>
      <c r="E1017" s="372"/>
      <c r="F1017" s="634">
        <v>14.3</v>
      </c>
      <c r="G1017" s="635"/>
      <c r="H1017" s="640">
        <v>16146</v>
      </c>
      <c r="I1017" s="635"/>
      <c r="J1017" s="640">
        <v>2800</v>
      </c>
      <c r="K1017" s="372"/>
      <c r="L1017" s="640">
        <v>-2312</v>
      </c>
      <c r="M1017" s="372"/>
      <c r="N1017" s="634" t="s">
        <v>628</v>
      </c>
      <c r="O1017" s="635"/>
      <c r="P1017" s="640">
        <v>16634</v>
      </c>
      <c r="Q1017" s="372"/>
      <c r="R1017" s="640">
        <v>15906</v>
      </c>
    </row>
    <row r="1018" spans="1:18">
      <c r="A1018" s="634">
        <v>35</v>
      </c>
      <c r="B1018" s="639"/>
      <c r="C1018" s="634">
        <v>39401</v>
      </c>
      <c r="D1018" s="372" t="s">
        <v>761</v>
      </c>
      <c r="E1018" s="372"/>
      <c r="F1018" s="634">
        <v>20</v>
      </c>
      <c r="G1018" s="635"/>
      <c r="H1018" s="640">
        <v>4189</v>
      </c>
      <c r="I1018" s="635"/>
      <c r="J1018" s="634" t="s">
        <v>635</v>
      </c>
      <c r="K1018" s="372"/>
      <c r="L1018" s="634" t="s">
        <v>635</v>
      </c>
      <c r="M1018" s="372"/>
      <c r="N1018" s="634" t="s">
        <v>635</v>
      </c>
      <c r="O1018" s="635"/>
      <c r="P1018" s="640">
        <v>4189</v>
      </c>
      <c r="Q1018" s="372"/>
      <c r="R1018" s="640">
        <v>4189</v>
      </c>
    </row>
    <row r="1019" spans="1:18">
      <c r="A1019" s="634">
        <v>36</v>
      </c>
      <c r="B1019" s="639"/>
      <c r="C1019" s="634">
        <v>39500</v>
      </c>
      <c r="D1019" s="372" t="s">
        <v>762</v>
      </c>
      <c r="E1019" s="372"/>
      <c r="F1019" s="634">
        <v>14.3</v>
      </c>
      <c r="G1019" s="635"/>
      <c r="H1019" s="640">
        <v>12804</v>
      </c>
      <c r="I1019" s="635"/>
      <c r="J1019" s="640">
        <v>8613</v>
      </c>
      <c r="K1019" s="372"/>
      <c r="L1019" s="634">
        <v>-458</v>
      </c>
      <c r="M1019" s="372"/>
      <c r="N1019" s="634" t="s">
        <v>628</v>
      </c>
      <c r="O1019" s="635"/>
      <c r="P1019" s="640">
        <v>20959</v>
      </c>
      <c r="Q1019" s="372"/>
      <c r="R1019" s="640">
        <v>17773</v>
      </c>
    </row>
    <row r="1020" spans="1:18">
      <c r="A1020" s="634">
        <v>37</v>
      </c>
      <c r="B1020" s="639"/>
      <c r="C1020" s="634">
        <v>39600</v>
      </c>
      <c r="D1020" s="372" t="s">
        <v>763</v>
      </c>
      <c r="E1020" s="372"/>
      <c r="F1020" s="634">
        <v>14.3</v>
      </c>
      <c r="G1020" s="635"/>
      <c r="H1020" s="634" t="s">
        <v>628</v>
      </c>
      <c r="I1020" s="635"/>
      <c r="J1020" s="634" t="s">
        <v>635</v>
      </c>
      <c r="K1020" s="372"/>
      <c r="L1020" s="634" t="s">
        <v>635</v>
      </c>
      <c r="M1020" s="372"/>
      <c r="N1020" s="634" t="s">
        <v>635</v>
      </c>
      <c r="O1020" s="635"/>
      <c r="P1020" s="634" t="s">
        <v>635</v>
      </c>
      <c r="Q1020" s="372"/>
      <c r="R1020" s="634" t="s">
        <v>635</v>
      </c>
    </row>
    <row r="1021" spans="1:18">
      <c r="A1021" s="634">
        <v>38</v>
      </c>
      <c r="B1021" s="639"/>
      <c r="C1021" s="634">
        <v>39700</v>
      </c>
      <c r="D1021" s="372" t="s">
        <v>764</v>
      </c>
      <c r="E1021" s="372"/>
      <c r="F1021" s="634">
        <v>14.3</v>
      </c>
      <c r="G1021" s="635"/>
      <c r="H1021" s="640">
        <v>46193</v>
      </c>
      <c r="I1021" s="635"/>
      <c r="J1021" s="640">
        <v>6480</v>
      </c>
      <c r="K1021" s="372"/>
      <c r="L1021" s="640">
        <v>-13201</v>
      </c>
      <c r="M1021" s="372"/>
      <c r="N1021" s="634" t="s">
        <v>628</v>
      </c>
      <c r="O1021" s="635"/>
      <c r="P1021" s="640">
        <v>39473</v>
      </c>
      <c r="Q1021" s="372"/>
      <c r="R1021" s="640">
        <v>45250</v>
      </c>
    </row>
    <row r="1022" spans="1:18">
      <c r="A1022" s="634">
        <v>39</v>
      </c>
      <c r="B1022" s="639"/>
      <c r="C1022" s="634">
        <v>39725</v>
      </c>
      <c r="D1022" s="372" t="s">
        <v>765</v>
      </c>
      <c r="E1022" s="372"/>
      <c r="F1022" s="634">
        <v>2.87</v>
      </c>
      <c r="G1022" s="635"/>
      <c r="H1022" s="640">
        <v>51778</v>
      </c>
      <c r="I1022" s="635"/>
      <c r="J1022" s="640">
        <v>37340</v>
      </c>
      <c r="K1022" s="372"/>
      <c r="L1022" s="640">
        <v>-4245</v>
      </c>
      <c r="M1022" s="372"/>
      <c r="N1022" s="634" t="s">
        <v>628</v>
      </c>
      <c r="O1022" s="635"/>
      <c r="P1022" s="640">
        <v>84874</v>
      </c>
      <c r="Q1022" s="372"/>
      <c r="R1022" s="640">
        <v>64751</v>
      </c>
    </row>
    <row r="1023" spans="1:18">
      <c r="A1023" s="634">
        <v>40</v>
      </c>
      <c r="B1023" s="639"/>
      <c r="C1023" s="634">
        <v>39800</v>
      </c>
      <c r="D1023" s="372" t="s">
        <v>766</v>
      </c>
      <c r="E1023" s="372"/>
      <c r="F1023" s="634">
        <v>14.3</v>
      </c>
      <c r="G1023" s="635"/>
      <c r="H1023" s="640">
        <v>5269</v>
      </c>
      <c r="I1023" s="635"/>
      <c r="J1023" s="634">
        <v>910</v>
      </c>
      <c r="K1023" s="372"/>
      <c r="L1023" s="634">
        <v>-693</v>
      </c>
      <c r="M1023" s="372"/>
      <c r="N1023" s="634" t="s">
        <v>628</v>
      </c>
      <c r="O1023" s="635"/>
      <c r="P1023" s="640">
        <v>5486</v>
      </c>
      <c r="Q1023" s="372"/>
      <c r="R1023" s="640">
        <v>4973</v>
      </c>
    </row>
    <row r="1024" spans="1:18" ht="15" thickBot="1">
      <c r="A1024" s="634">
        <v>41</v>
      </c>
      <c r="B1024" s="639"/>
      <c r="C1024" s="634"/>
      <c r="D1024" s="372" t="s">
        <v>767</v>
      </c>
      <c r="E1024" s="372"/>
      <c r="F1024" s="372"/>
      <c r="G1024" s="372"/>
      <c r="H1024" s="648">
        <v>509293</v>
      </c>
      <c r="I1024" s="635"/>
      <c r="J1024" s="648">
        <v>558469</v>
      </c>
      <c r="K1024" s="635"/>
      <c r="L1024" s="648">
        <v>-42165</v>
      </c>
      <c r="M1024" s="635"/>
      <c r="N1024" s="649" t="s">
        <v>628</v>
      </c>
      <c r="O1024" s="635"/>
      <c r="P1024" s="648">
        <v>1025597</v>
      </c>
      <c r="Q1024" s="635"/>
      <c r="R1024" s="648">
        <v>786221</v>
      </c>
    </row>
    <row r="1025" spans="1:18" ht="15" thickTop="1">
      <c r="A1025" s="634">
        <v>42</v>
      </c>
      <c r="B1025" s="639"/>
      <c r="C1025" s="634"/>
      <c r="D1025" s="372"/>
      <c r="E1025" s="372"/>
      <c r="F1025" s="372"/>
      <c r="G1025" s="372"/>
      <c r="H1025" s="372"/>
      <c r="I1025" s="372"/>
      <c r="J1025" s="372"/>
      <c r="K1025" s="372"/>
      <c r="L1025" s="372"/>
      <c r="M1025" s="372"/>
      <c r="N1025" s="372"/>
      <c r="O1025" s="635"/>
      <c r="P1025" s="372"/>
      <c r="Q1025" s="372"/>
      <c r="R1025" s="372"/>
    </row>
    <row r="1026" spans="1:18" ht="15" thickBot="1">
      <c r="A1026" s="634">
        <v>43</v>
      </c>
      <c r="B1026" s="639"/>
      <c r="C1026" s="634"/>
      <c r="D1026" s="636" t="s">
        <v>768</v>
      </c>
      <c r="E1026" s="372"/>
      <c r="F1026" s="372"/>
      <c r="G1026" s="635"/>
      <c r="H1026" s="652">
        <v>12771686</v>
      </c>
      <c r="I1026" s="635"/>
      <c r="J1026" s="652">
        <v>1831064</v>
      </c>
      <c r="K1026" s="635"/>
      <c r="L1026" s="652">
        <v>-145403</v>
      </c>
      <c r="M1026" s="635"/>
      <c r="N1026" s="653" t="s">
        <v>628</v>
      </c>
      <c r="O1026" s="635"/>
      <c r="P1026" s="652">
        <v>14457347</v>
      </c>
      <c r="Q1026" s="635"/>
      <c r="R1026" s="652">
        <v>13559116</v>
      </c>
    </row>
    <row r="1027" spans="1:18" ht="15.6" thickTop="1" thickBot="1">
      <c r="A1027" s="637">
        <v>44</v>
      </c>
      <c r="B1027" s="660" t="s">
        <v>67</v>
      </c>
      <c r="C1027" s="660"/>
      <c r="D1027" s="625"/>
      <c r="E1027" s="625"/>
      <c r="F1027" s="625"/>
      <c r="G1027" s="625"/>
      <c r="H1027" s="625"/>
      <c r="I1027" s="625"/>
      <c r="J1027" s="625"/>
      <c r="K1027" s="625"/>
      <c r="L1027" s="625"/>
      <c r="M1027" s="625"/>
      <c r="N1027" s="625"/>
      <c r="O1027" s="638"/>
      <c r="P1027" s="625"/>
      <c r="Q1027" s="625"/>
      <c r="R1027" s="625"/>
    </row>
    <row r="1028" spans="1:18">
      <c r="A1028" s="664" t="s">
        <v>643</v>
      </c>
      <c r="B1028" s="664"/>
      <c r="C1028" s="372"/>
      <c r="D1028" s="372"/>
      <c r="E1028" s="664"/>
      <c r="F1028" s="664"/>
      <c r="G1028" s="664"/>
      <c r="H1028" s="664"/>
      <c r="I1028" s="664"/>
      <c r="J1028" s="664"/>
      <c r="K1028" s="664"/>
      <c r="L1028" s="664"/>
      <c r="M1028" s="664"/>
      <c r="N1028" s="664"/>
      <c r="O1028" s="635"/>
      <c r="P1028" s="372" t="s">
        <v>644</v>
      </c>
      <c r="Q1028" s="664"/>
      <c r="R1028" s="664"/>
    </row>
    <row r="1029" spans="1:18" ht="15" thickBot="1">
      <c r="A1029" s="625" t="s">
        <v>604</v>
      </c>
      <c r="B1029" s="625"/>
      <c r="C1029" s="625"/>
      <c r="D1029" s="625"/>
      <c r="E1029" s="625"/>
      <c r="F1029" s="625"/>
      <c r="G1029" s="625" t="s">
        <v>605</v>
      </c>
      <c r="H1029" s="625"/>
      <c r="I1029" s="625"/>
      <c r="J1029" s="625"/>
      <c r="K1029" s="625"/>
      <c r="L1029" s="625"/>
      <c r="M1029" s="625"/>
      <c r="N1029" s="625"/>
      <c r="O1029" s="638"/>
      <c r="P1029" s="625"/>
      <c r="Q1029" s="625"/>
      <c r="R1029" s="625" t="s">
        <v>769</v>
      </c>
    </row>
    <row r="1030" spans="1:18">
      <c r="A1030" s="664" t="s">
        <v>4</v>
      </c>
      <c r="B1030" s="664"/>
      <c r="C1030" s="372"/>
      <c r="D1030" s="372"/>
      <c r="E1030" s="635" t="s">
        <v>553</v>
      </c>
      <c r="F1030" s="372" t="s">
        <v>607</v>
      </c>
      <c r="G1030" s="664"/>
      <c r="H1030" s="664"/>
      <c r="I1030" s="664"/>
      <c r="J1030" s="664"/>
      <c r="K1030" s="661"/>
      <c r="L1030" s="661"/>
      <c r="M1030" s="661"/>
      <c r="N1030" s="661"/>
      <c r="O1030" s="645"/>
      <c r="P1030" s="372" t="s">
        <v>608</v>
      </c>
      <c r="Q1030" s="664"/>
      <c r="R1030" s="664"/>
    </row>
    <row r="1031" spans="1:18">
      <c r="A1031" s="372"/>
      <c r="B1031" s="372"/>
      <c r="C1031" s="372"/>
      <c r="D1031" s="372"/>
      <c r="E1031" s="372"/>
      <c r="F1031" s="372" t="s">
        <v>609</v>
      </c>
      <c r="G1031" s="372"/>
      <c r="H1031" s="372"/>
      <c r="I1031" s="372"/>
      <c r="J1031" s="372"/>
      <c r="K1031" s="636"/>
      <c r="L1031" s="636"/>
      <c r="M1031" s="372"/>
      <c r="N1031" s="372"/>
      <c r="O1031" s="635" t="s">
        <v>12</v>
      </c>
      <c r="P1031" s="636" t="s">
        <v>9</v>
      </c>
      <c r="Q1031" s="372"/>
      <c r="R1031" s="372"/>
    </row>
    <row r="1032" spans="1:18">
      <c r="A1032" s="372" t="s">
        <v>10</v>
      </c>
      <c r="B1032" s="372"/>
      <c r="C1032" s="372"/>
      <c r="D1032" s="372"/>
      <c r="E1032" s="372"/>
      <c r="F1032" s="372"/>
      <c r="G1032" s="372"/>
      <c r="H1032" s="372"/>
      <c r="I1032" s="372"/>
      <c r="J1032" s="372"/>
      <c r="K1032" s="636"/>
      <c r="L1032" s="636"/>
      <c r="M1032" s="372"/>
      <c r="N1032" s="372"/>
      <c r="O1032" s="635"/>
      <c r="P1032" s="636" t="s">
        <v>11</v>
      </c>
      <c r="Q1032" s="372"/>
      <c r="R1032" s="372"/>
    </row>
    <row r="1033" spans="1:18">
      <c r="A1033" s="372"/>
      <c r="B1033" s="372"/>
      <c r="C1033" s="372"/>
      <c r="D1033" s="372"/>
      <c r="E1033" s="372"/>
      <c r="F1033" s="372"/>
      <c r="G1033" s="372"/>
      <c r="H1033" s="372"/>
      <c r="I1033" s="372"/>
      <c r="J1033" s="372"/>
      <c r="K1033" s="636"/>
      <c r="L1033" s="636"/>
      <c r="M1033" s="372"/>
      <c r="N1033" s="372"/>
      <c r="O1033" s="635"/>
      <c r="P1033" s="636" t="s">
        <v>13</v>
      </c>
      <c r="Q1033" s="372"/>
      <c r="R1033" s="372"/>
    </row>
    <row r="1034" spans="1:18">
      <c r="A1034" s="372"/>
      <c r="B1034" s="372"/>
      <c r="C1034" s="372"/>
      <c r="D1034" s="372"/>
      <c r="E1034" s="372"/>
      <c r="F1034" s="372"/>
      <c r="G1034" s="372"/>
      <c r="H1034" s="372"/>
      <c r="I1034" s="372"/>
      <c r="J1034" s="372"/>
      <c r="K1034" s="636"/>
      <c r="L1034" s="636"/>
      <c r="M1034" s="372"/>
      <c r="N1034" s="372"/>
      <c r="O1034" s="635"/>
      <c r="P1034" s="636" t="s">
        <v>610</v>
      </c>
      <c r="Q1034" s="372"/>
      <c r="R1034" s="372"/>
    </row>
    <row r="1035" spans="1:18" ht="15" thickBot="1">
      <c r="A1035" s="625" t="s">
        <v>611</v>
      </c>
      <c r="B1035" s="625"/>
      <c r="C1035" s="625"/>
      <c r="D1035" s="625"/>
      <c r="E1035" s="625"/>
      <c r="F1035" s="625"/>
      <c r="G1035" s="625"/>
      <c r="H1035" s="637" t="s">
        <v>612</v>
      </c>
      <c r="I1035" s="625"/>
      <c r="J1035" s="625"/>
      <c r="K1035" s="625"/>
      <c r="L1035" s="625"/>
      <c r="M1035" s="625"/>
      <c r="N1035" s="625"/>
      <c r="O1035" s="638"/>
      <c r="P1035" s="625" t="s">
        <v>249</v>
      </c>
      <c r="Q1035" s="625"/>
      <c r="R1035" s="625"/>
    </row>
    <row r="1036" spans="1:18">
      <c r="A1036" s="664"/>
      <c r="B1036" s="664"/>
      <c r="C1036" s="634"/>
      <c r="D1036" s="634"/>
      <c r="E1036" s="634"/>
      <c r="F1036" s="634"/>
      <c r="G1036" s="634"/>
      <c r="H1036" s="634"/>
      <c r="I1036" s="634"/>
      <c r="J1036" s="634"/>
      <c r="K1036" s="634"/>
      <c r="L1036" s="634"/>
      <c r="M1036" s="634"/>
      <c r="N1036" s="634"/>
      <c r="O1036" s="635"/>
      <c r="P1036" s="634"/>
      <c r="Q1036" s="634"/>
      <c r="R1036" s="634"/>
    </row>
    <row r="1037" spans="1:18">
      <c r="A1037" s="372"/>
      <c r="B1037" s="372"/>
      <c r="C1037" s="634">
        <v>-1</v>
      </c>
      <c r="D1037" s="634">
        <v>-2</v>
      </c>
      <c r="E1037" s="634"/>
      <c r="F1037" s="634">
        <v>-3</v>
      </c>
      <c r="G1037" s="634"/>
      <c r="H1037" s="634">
        <v>-4</v>
      </c>
      <c r="I1037" s="634"/>
      <c r="J1037" s="634">
        <v>-5</v>
      </c>
      <c r="K1037" s="634"/>
      <c r="L1037" s="634">
        <v>-6</v>
      </c>
      <c r="M1037" s="634"/>
      <c r="N1037" s="634">
        <v>-7</v>
      </c>
      <c r="O1037" s="635"/>
      <c r="P1037" s="634">
        <v>-8</v>
      </c>
      <c r="Q1037" s="634"/>
      <c r="R1037" s="634">
        <v>-9</v>
      </c>
    </row>
    <row r="1038" spans="1:18">
      <c r="A1038" s="372"/>
      <c r="B1038" s="372"/>
      <c r="C1038" s="634" t="s">
        <v>613</v>
      </c>
      <c r="D1038" s="634" t="s">
        <v>613</v>
      </c>
      <c r="E1038" s="372"/>
      <c r="F1038" s="634" t="s">
        <v>37</v>
      </c>
      <c r="G1038" s="634"/>
      <c r="H1038" s="634" t="s">
        <v>30</v>
      </c>
      <c r="I1038" s="634"/>
      <c r="J1038" s="634" t="s">
        <v>45</v>
      </c>
      <c r="K1038" s="634"/>
      <c r="L1038" s="634" t="s">
        <v>45</v>
      </c>
      <c r="M1038" s="634"/>
      <c r="N1038" s="372"/>
      <c r="O1038" s="635"/>
      <c r="P1038" s="634" t="s">
        <v>30</v>
      </c>
      <c r="Q1038" s="372"/>
      <c r="R1038" s="372"/>
    </row>
    <row r="1039" spans="1:18">
      <c r="A1039" s="634" t="s">
        <v>35</v>
      </c>
      <c r="B1039" s="634"/>
      <c r="C1039" s="634" t="s">
        <v>614</v>
      </c>
      <c r="D1039" s="634" t="s">
        <v>614</v>
      </c>
      <c r="E1039" s="634"/>
      <c r="F1039" s="634" t="s">
        <v>615</v>
      </c>
      <c r="G1039" s="634"/>
      <c r="H1039" s="634" t="s">
        <v>616</v>
      </c>
      <c r="I1039" s="634"/>
      <c r="J1039" s="634" t="s">
        <v>30</v>
      </c>
      <c r="K1039" s="634"/>
      <c r="L1039" s="634" t="s">
        <v>30</v>
      </c>
      <c r="M1039" s="636"/>
      <c r="N1039" s="634" t="s">
        <v>178</v>
      </c>
      <c r="O1039" s="635"/>
      <c r="P1039" s="634" t="s">
        <v>616</v>
      </c>
      <c r="Q1039" s="634"/>
      <c r="R1039" s="634" t="s">
        <v>353</v>
      </c>
    </row>
    <row r="1040" spans="1:18" ht="15" thickBot="1">
      <c r="A1040" s="637" t="s">
        <v>46</v>
      </c>
      <c r="B1040" s="637"/>
      <c r="C1040" s="637" t="s">
        <v>371</v>
      </c>
      <c r="D1040" s="637" t="s">
        <v>617</v>
      </c>
      <c r="E1040" s="637"/>
      <c r="F1040" s="637" t="s">
        <v>618</v>
      </c>
      <c r="G1040" s="637"/>
      <c r="H1040" s="637" t="s">
        <v>619</v>
      </c>
      <c r="I1040" s="637"/>
      <c r="J1040" s="637" t="s">
        <v>620</v>
      </c>
      <c r="K1040" s="637"/>
      <c r="L1040" s="637" t="s">
        <v>621</v>
      </c>
      <c r="M1040" s="637"/>
      <c r="N1040" s="637" t="s">
        <v>622</v>
      </c>
      <c r="O1040" s="638"/>
      <c r="P1040" s="637" t="s">
        <v>623</v>
      </c>
      <c r="Q1040" s="637"/>
      <c r="R1040" s="637" t="s">
        <v>369</v>
      </c>
    </row>
    <row r="1041" spans="1:18">
      <c r="A1041" s="634">
        <v>1</v>
      </c>
      <c r="B1041" s="639"/>
      <c r="C1041" s="372"/>
      <c r="D1041" s="372"/>
      <c r="E1041" s="664"/>
      <c r="F1041" s="664"/>
      <c r="G1041" s="664"/>
      <c r="H1041" s="664"/>
      <c r="I1041" s="664"/>
      <c r="J1041" s="664"/>
      <c r="K1041" s="664"/>
      <c r="L1041" s="664"/>
      <c r="M1041" s="664"/>
      <c r="N1041" s="664"/>
      <c r="O1041" s="635"/>
      <c r="P1041" s="372"/>
      <c r="Q1041" s="664"/>
      <c r="R1041" s="664"/>
    </row>
    <row r="1042" spans="1:18">
      <c r="A1042" s="634">
        <v>2</v>
      </c>
      <c r="B1042" s="639"/>
      <c r="C1042" s="634"/>
      <c r="D1042" s="372" t="s">
        <v>770</v>
      </c>
      <c r="E1042" s="372"/>
      <c r="F1042" s="372"/>
      <c r="G1042" s="372"/>
      <c r="H1042" s="372"/>
      <c r="I1042" s="634"/>
      <c r="J1042" s="634"/>
      <c r="K1042" s="634"/>
      <c r="L1042" s="634"/>
      <c r="M1042" s="634"/>
      <c r="N1042" s="634"/>
      <c r="O1042" s="635"/>
      <c r="P1042" s="634"/>
      <c r="Q1042" s="634"/>
      <c r="R1042" s="634"/>
    </row>
    <row r="1043" spans="1:18">
      <c r="A1043" s="634">
        <v>3</v>
      </c>
      <c r="B1043" s="639"/>
      <c r="C1043" s="634" t="s">
        <v>771</v>
      </c>
      <c r="D1043" s="636" t="s">
        <v>772</v>
      </c>
      <c r="E1043" s="372"/>
      <c r="F1043" s="654">
        <v>0</v>
      </c>
      <c r="G1043" s="635"/>
      <c r="H1043" s="655">
        <v>6924</v>
      </c>
      <c r="I1043" s="635"/>
      <c r="J1043" s="654" t="s">
        <v>635</v>
      </c>
      <c r="K1043" s="372"/>
      <c r="L1043" s="654" t="s">
        <v>635</v>
      </c>
      <c r="M1043" s="372"/>
      <c r="N1043" s="654" t="s">
        <v>635</v>
      </c>
      <c r="O1043" s="635"/>
      <c r="P1043" s="640">
        <v>6924</v>
      </c>
      <c r="Q1043" s="372"/>
      <c r="R1043" s="655">
        <v>6924</v>
      </c>
    </row>
    <row r="1044" spans="1:18">
      <c r="A1044" s="634">
        <v>4</v>
      </c>
      <c r="B1044" s="639"/>
      <c r="C1044" s="634" t="s">
        <v>773</v>
      </c>
      <c r="D1044" s="372" t="s">
        <v>774</v>
      </c>
      <c r="E1044" s="372"/>
      <c r="F1044" s="654">
        <v>0</v>
      </c>
      <c r="G1044" s="635"/>
      <c r="H1044" s="655">
        <v>193954</v>
      </c>
      <c r="I1044" s="635"/>
      <c r="J1044" s="655">
        <v>15362</v>
      </c>
      <c r="K1044" s="372"/>
      <c r="L1044" s="654" t="s">
        <v>635</v>
      </c>
      <c r="M1044" s="372"/>
      <c r="N1044" s="654" t="s">
        <v>635</v>
      </c>
      <c r="O1044" s="635"/>
      <c r="P1044" s="640">
        <v>209316</v>
      </c>
      <c r="Q1044" s="372"/>
      <c r="R1044" s="655">
        <v>195135</v>
      </c>
    </row>
    <row r="1045" spans="1:18">
      <c r="A1045" s="634">
        <v>5</v>
      </c>
      <c r="B1045" s="639"/>
      <c r="C1045" s="634">
        <v>35000</v>
      </c>
      <c r="D1045" s="372" t="s">
        <v>775</v>
      </c>
      <c r="E1045" s="372"/>
      <c r="F1045" s="634">
        <v>0</v>
      </c>
      <c r="G1045" s="635"/>
      <c r="H1045" s="640">
        <v>17800</v>
      </c>
      <c r="I1045" s="635"/>
      <c r="J1045" s="634" t="s">
        <v>635</v>
      </c>
      <c r="K1045" s="372"/>
      <c r="L1045" s="634" t="s">
        <v>635</v>
      </c>
      <c r="M1045" s="372"/>
      <c r="N1045" s="634" t="s">
        <v>635</v>
      </c>
      <c r="O1045" s="635"/>
      <c r="P1045" s="640">
        <v>17800</v>
      </c>
      <c r="Q1045" s="372"/>
      <c r="R1045" s="640">
        <v>17800</v>
      </c>
    </row>
    <row r="1046" spans="1:18">
      <c r="A1046" s="634">
        <v>6</v>
      </c>
      <c r="B1046" s="639"/>
      <c r="C1046" s="634">
        <v>36000</v>
      </c>
      <c r="D1046" s="372" t="s">
        <v>776</v>
      </c>
      <c r="E1046" s="372"/>
      <c r="F1046" s="634">
        <v>0</v>
      </c>
      <c r="G1046" s="635"/>
      <c r="H1046" s="640">
        <v>10120</v>
      </c>
      <c r="I1046" s="635"/>
      <c r="J1046" s="634" t="s">
        <v>635</v>
      </c>
      <c r="K1046" s="372"/>
      <c r="L1046" s="634" t="s">
        <v>635</v>
      </c>
      <c r="M1046" s="372"/>
      <c r="N1046" s="634" t="s">
        <v>635</v>
      </c>
      <c r="O1046" s="635"/>
      <c r="P1046" s="640">
        <v>10120</v>
      </c>
      <c r="Q1046" s="372"/>
      <c r="R1046" s="640">
        <v>10120</v>
      </c>
    </row>
    <row r="1047" spans="1:18">
      <c r="A1047" s="634">
        <v>7</v>
      </c>
      <c r="B1047" s="639"/>
      <c r="C1047" s="634">
        <v>38900</v>
      </c>
      <c r="D1047" s="372" t="s">
        <v>777</v>
      </c>
      <c r="E1047" s="372"/>
      <c r="F1047" s="634">
        <v>0</v>
      </c>
      <c r="G1047" s="635"/>
      <c r="H1047" s="640">
        <v>3287</v>
      </c>
      <c r="I1047" s="635"/>
      <c r="J1047" s="640">
        <v>23299</v>
      </c>
      <c r="K1047" s="372"/>
      <c r="L1047" s="634" t="s">
        <v>635</v>
      </c>
      <c r="M1047" s="372"/>
      <c r="N1047" s="634" t="s">
        <v>635</v>
      </c>
      <c r="O1047" s="635"/>
      <c r="P1047" s="640">
        <v>26586</v>
      </c>
      <c r="Q1047" s="372"/>
      <c r="R1047" s="640">
        <v>16601</v>
      </c>
    </row>
    <row r="1048" spans="1:18" ht="15" thickBot="1">
      <c r="A1048" s="634">
        <v>8</v>
      </c>
      <c r="B1048" s="639"/>
      <c r="C1048" s="634"/>
      <c r="D1048" s="372" t="s">
        <v>778</v>
      </c>
      <c r="E1048" s="372"/>
      <c r="F1048" s="372"/>
      <c r="G1048" s="372"/>
      <c r="H1048" s="656">
        <v>232084</v>
      </c>
      <c r="I1048" s="635"/>
      <c r="J1048" s="656">
        <v>38661</v>
      </c>
      <c r="K1048" s="635"/>
      <c r="L1048" s="657" t="s">
        <v>635</v>
      </c>
      <c r="M1048" s="635"/>
      <c r="N1048" s="657" t="s">
        <v>635</v>
      </c>
      <c r="O1048" s="635"/>
      <c r="P1048" s="656">
        <v>270745</v>
      </c>
      <c r="Q1048" s="635"/>
      <c r="R1048" s="656">
        <v>246580</v>
      </c>
    </row>
    <row r="1049" spans="1:18" ht="15" thickTop="1">
      <c r="A1049" s="634">
        <v>9</v>
      </c>
      <c r="B1049" s="639"/>
      <c r="C1049" s="372"/>
      <c r="D1049" s="372"/>
      <c r="E1049" s="372"/>
      <c r="F1049" s="372"/>
      <c r="G1049" s="372"/>
      <c r="H1049" s="372"/>
      <c r="I1049" s="372"/>
      <c r="J1049" s="372"/>
      <c r="K1049" s="372"/>
      <c r="L1049" s="372"/>
      <c r="M1049" s="372"/>
      <c r="N1049" s="372"/>
      <c r="O1049" s="635"/>
      <c r="P1049" s="372"/>
      <c r="Q1049" s="372"/>
      <c r="R1049" s="372"/>
    </row>
    <row r="1050" spans="1:18">
      <c r="A1050" s="634">
        <v>10</v>
      </c>
      <c r="B1050" s="639"/>
      <c r="C1050" s="634"/>
      <c r="D1050" s="372" t="s">
        <v>779</v>
      </c>
      <c r="E1050" s="372"/>
      <c r="F1050" s="372"/>
      <c r="G1050" s="372"/>
      <c r="H1050" s="372"/>
      <c r="I1050" s="635"/>
      <c r="J1050" s="635"/>
      <c r="K1050" s="635"/>
      <c r="L1050" s="635"/>
      <c r="M1050" s="635"/>
      <c r="N1050" s="635"/>
      <c r="O1050" s="635"/>
      <c r="P1050" s="635"/>
      <c r="Q1050" s="635"/>
      <c r="R1050" s="635"/>
    </row>
    <row r="1051" spans="1:18">
      <c r="A1051" s="634">
        <v>11</v>
      </c>
      <c r="B1051" s="639"/>
      <c r="C1051" s="634">
        <v>30315</v>
      </c>
      <c r="D1051" s="636" t="s">
        <v>780</v>
      </c>
      <c r="E1051" s="372"/>
      <c r="F1051" s="634">
        <v>6.7</v>
      </c>
      <c r="G1051" s="635"/>
      <c r="H1051" s="640">
        <v>577595</v>
      </c>
      <c r="I1051" s="635"/>
      <c r="J1051" s="640">
        <v>83862</v>
      </c>
      <c r="K1051" s="372"/>
      <c r="L1051" s="640">
        <v>-4800</v>
      </c>
      <c r="M1051" s="372"/>
      <c r="N1051" s="634" t="s">
        <v>628</v>
      </c>
      <c r="O1051" s="635"/>
      <c r="P1051" s="640">
        <v>656657</v>
      </c>
      <c r="Q1051" s="372"/>
      <c r="R1051" s="640">
        <v>596630</v>
      </c>
    </row>
    <row r="1052" spans="1:18">
      <c r="A1052" s="634">
        <v>12</v>
      </c>
      <c r="B1052" s="639"/>
      <c r="C1052" s="634">
        <v>30302</v>
      </c>
      <c r="D1052" s="372" t="s">
        <v>781</v>
      </c>
      <c r="E1052" s="372"/>
      <c r="F1052" s="634">
        <v>0</v>
      </c>
      <c r="G1052" s="635"/>
      <c r="H1052" s="634" t="s">
        <v>628</v>
      </c>
      <c r="I1052" s="635"/>
      <c r="J1052" s="634" t="s">
        <v>635</v>
      </c>
      <c r="K1052" s="372"/>
      <c r="L1052" s="634" t="s">
        <v>635</v>
      </c>
      <c r="M1052" s="372"/>
      <c r="N1052" s="634" t="s">
        <v>635</v>
      </c>
      <c r="O1052" s="635"/>
      <c r="P1052" s="634" t="s">
        <v>635</v>
      </c>
      <c r="Q1052" s="372"/>
      <c r="R1052" s="634" t="s">
        <v>635</v>
      </c>
    </row>
    <row r="1053" spans="1:18">
      <c r="A1053" s="634">
        <v>13</v>
      </c>
      <c r="B1053" s="639"/>
      <c r="C1053" s="634">
        <v>30399</v>
      </c>
      <c r="D1053" s="372" t="s">
        <v>782</v>
      </c>
      <c r="E1053" s="372"/>
      <c r="F1053" s="634">
        <v>3.3</v>
      </c>
      <c r="G1053" s="635"/>
      <c r="H1053" s="640">
        <v>4620</v>
      </c>
      <c r="I1053" s="635"/>
      <c r="J1053" s="634" t="s">
        <v>635</v>
      </c>
      <c r="K1053" s="372"/>
      <c r="L1053" s="634" t="s">
        <v>635</v>
      </c>
      <c r="M1053" s="372"/>
      <c r="N1053" s="634" t="s">
        <v>635</v>
      </c>
      <c r="O1053" s="635"/>
      <c r="P1053" s="640">
        <v>4620</v>
      </c>
      <c r="Q1053" s="372"/>
      <c r="R1053" s="640">
        <v>4620</v>
      </c>
    </row>
    <row r="1054" spans="1:18" ht="15" thickBot="1">
      <c r="A1054" s="634">
        <v>14</v>
      </c>
      <c r="B1054" s="372"/>
      <c r="C1054" s="372"/>
      <c r="D1054" s="372" t="s">
        <v>783</v>
      </c>
      <c r="E1054" s="372"/>
      <c r="F1054" s="372"/>
      <c r="G1054" s="372"/>
      <c r="H1054" s="656">
        <v>582215</v>
      </c>
      <c r="I1054" s="635"/>
      <c r="J1054" s="656">
        <v>83862</v>
      </c>
      <c r="K1054" s="635"/>
      <c r="L1054" s="656">
        <v>-4800</v>
      </c>
      <c r="M1054" s="635"/>
      <c r="N1054" s="657" t="s">
        <v>628</v>
      </c>
      <c r="O1054" s="635"/>
      <c r="P1054" s="656">
        <v>661277</v>
      </c>
      <c r="Q1054" s="635"/>
      <c r="R1054" s="656">
        <v>601250</v>
      </c>
    </row>
    <row r="1055" spans="1:18" ht="15" thickTop="1">
      <c r="A1055" s="634">
        <v>15</v>
      </c>
      <c r="B1055" s="372"/>
      <c r="C1055" s="372"/>
      <c r="D1055" s="372"/>
      <c r="E1055" s="372"/>
      <c r="F1055" s="372"/>
      <c r="G1055" s="372"/>
      <c r="H1055" s="372"/>
      <c r="I1055" s="372"/>
      <c r="J1055" s="372"/>
      <c r="K1055" s="372"/>
      <c r="L1055" s="372"/>
      <c r="M1055" s="372"/>
      <c r="N1055" s="372"/>
      <c r="O1055" s="635"/>
      <c r="P1055" s="372"/>
      <c r="Q1055" s="372"/>
      <c r="R1055" s="372"/>
    </row>
    <row r="1056" spans="1:18">
      <c r="A1056" s="634">
        <v>16</v>
      </c>
      <c r="B1056" s="372"/>
      <c r="C1056" s="372"/>
      <c r="D1056" s="636" t="s">
        <v>784</v>
      </c>
      <c r="E1056" s="372"/>
      <c r="F1056" s="372"/>
      <c r="G1056" s="372"/>
      <c r="H1056" s="372"/>
      <c r="I1056" s="372"/>
      <c r="J1056" s="372"/>
      <c r="K1056" s="372"/>
      <c r="L1056" s="372"/>
      <c r="M1056" s="372"/>
      <c r="N1056" s="372"/>
      <c r="O1056" s="635"/>
      <c r="P1056" s="372"/>
      <c r="Q1056" s="372"/>
      <c r="R1056" s="372"/>
    </row>
    <row r="1057" spans="1:18">
      <c r="A1057" s="634">
        <v>17</v>
      </c>
      <c r="B1057" s="372"/>
      <c r="C1057" s="634">
        <v>31700</v>
      </c>
      <c r="D1057" s="372" t="s">
        <v>785</v>
      </c>
      <c r="E1057" s="372"/>
      <c r="F1057" s="634">
        <v>2.8</v>
      </c>
      <c r="G1057" s="635"/>
      <c r="H1057" s="640">
        <v>5603</v>
      </c>
      <c r="I1057" s="635"/>
      <c r="J1057" s="634" t="s">
        <v>635</v>
      </c>
      <c r="K1057" s="372"/>
      <c r="L1057" s="634" t="s">
        <v>635</v>
      </c>
      <c r="M1057" s="372"/>
      <c r="N1057" s="634" t="s">
        <v>635</v>
      </c>
      <c r="O1057" s="635"/>
      <c r="P1057" s="640">
        <v>5603</v>
      </c>
      <c r="Q1057" s="372"/>
      <c r="R1057" s="640">
        <v>5603</v>
      </c>
    </row>
    <row r="1058" spans="1:18">
      <c r="A1058" s="634">
        <v>18</v>
      </c>
      <c r="B1058" s="372"/>
      <c r="C1058" s="634">
        <v>34700</v>
      </c>
      <c r="D1058" s="372" t="s">
        <v>786</v>
      </c>
      <c r="E1058" s="372"/>
      <c r="F1058" s="634">
        <v>3.4</v>
      </c>
      <c r="G1058" s="635"/>
      <c r="H1058" s="640">
        <v>12376</v>
      </c>
      <c r="I1058" s="635"/>
      <c r="J1058" s="634" t="s">
        <v>635</v>
      </c>
      <c r="K1058" s="372"/>
      <c r="L1058" s="634" t="s">
        <v>635</v>
      </c>
      <c r="M1058" s="372"/>
      <c r="N1058" s="634" t="s">
        <v>635</v>
      </c>
      <c r="O1058" s="635"/>
      <c r="P1058" s="640">
        <v>12376</v>
      </c>
      <c r="Q1058" s="372"/>
      <c r="R1058" s="640">
        <v>12376</v>
      </c>
    </row>
    <row r="1059" spans="1:18">
      <c r="A1059" s="634">
        <v>19</v>
      </c>
      <c r="B1059" s="639"/>
      <c r="C1059" s="634">
        <v>37400</v>
      </c>
      <c r="D1059" s="372" t="s">
        <v>787</v>
      </c>
      <c r="E1059" s="372"/>
      <c r="F1059" s="634">
        <v>1.4</v>
      </c>
      <c r="G1059" s="635"/>
      <c r="H1059" s="640">
        <v>7160</v>
      </c>
      <c r="I1059" s="635"/>
      <c r="J1059" s="634" t="s">
        <v>635</v>
      </c>
      <c r="K1059" s="372"/>
      <c r="L1059" s="634" t="s">
        <v>635</v>
      </c>
      <c r="M1059" s="372"/>
      <c r="N1059" s="634" t="s">
        <v>635</v>
      </c>
      <c r="O1059" s="635"/>
      <c r="P1059" s="640">
        <v>7160</v>
      </c>
      <c r="Q1059" s="372"/>
      <c r="R1059" s="640">
        <v>7160</v>
      </c>
    </row>
    <row r="1060" spans="1:18">
      <c r="A1060" s="634">
        <v>20</v>
      </c>
      <c r="B1060" s="639"/>
      <c r="C1060" s="634">
        <v>39910</v>
      </c>
      <c r="D1060" s="372" t="s">
        <v>788</v>
      </c>
      <c r="E1060" s="372"/>
      <c r="F1060" s="634">
        <v>4.3</v>
      </c>
      <c r="G1060" s="635"/>
      <c r="H1060" s="634">
        <v>269</v>
      </c>
      <c r="I1060" s="635"/>
      <c r="J1060" s="634" t="s">
        <v>635</v>
      </c>
      <c r="K1060" s="372"/>
      <c r="L1060" s="634" t="s">
        <v>635</v>
      </c>
      <c r="M1060" s="372"/>
      <c r="N1060" s="634" t="s">
        <v>635</v>
      </c>
      <c r="O1060" s="635"/>
      <c r="P1060" s="634">
        <v>269</v>
      </c>
      <c r="Q1060" s="372"/>
      <c r="R1060" s="634">
        <v>269</v>
      </c>
    </row>
    <row r="1061" spans="1:18" ht="15" thickBot="1">
      <c r="A1061" s="634">
        <v>21</v>
      </c>
      <c r="B1061" s="639"/>
      <c r="C1061" s="372"/>
      <c r="D1061" s="636" t="s">
        <v>789</v>
      </c>
      <c r="E1061" s="372"/>
      <c r="F1061" s="372"/>
      <c r="G1061" s="372"/>
      <c r="H1061" s="648">
        <v>25409</v>
      </c>
      <c r="I1061" s="372"/>
      <c r="J1061" s="649" t="s">
        <v>635</v>
      </c>
      <c r="K1061" s="372"/>
      <c r="L1061" s="649" t="s">
        <v>635</v>
      </c>
      <c r="M1061" s="372"/>
      <c r="N1061" s="649" t="s">
        <v>635</v>
      </c>
      <c r="O1061" s="635"/>
      <c r="P1061" s="648">
        <v>25409</v>
      </c>
      <c r="Q1061" s="372"/>
      <c r="R1061" s="648">
        <v>25409</v>
      </c>
    </row>
    <row r="1062" spans="1:18" ht="15" thickTop="1">
      <c r="A1062" s="634">
        <v>22</v>
      </c>
      <c r="B1062" s="639"/>
      <c r="C1062" s="372"/>
      <c r="D1062" s="636"/>
      <c r="E1062" s="372"/>
      <c r="F1062" s="372"/>
      <c r="G1062" s="372"/>
      <c r="H1062" s="372"/>
      <c r="I1062" s="372"/>
      <c r="J1062" s="372"/>
      <c r="K1062" s="372"/>
      <c r="L1062" s="372"/>
      <c r="M1062" s="372"/>
      <c r="N1062" s="372"/>
      <c r="O1062" s="635"/>
      <c r="P1062" s="372"/>
      <c r="Q1062" s="372"/>
      <c r="R1062" s="372"/>
    </row>
    <row r="1063" spans="1:18">
      <c r="A1063" s="634">
        <v>23</v>
      </c>
      <c r="B1063" s="639"/>
      <c r="C1063" s="372"/>
      <c r="D1063" s="372" t="s">
        <v>790</v>
      </c>
      <c r="E1063" s="372"/>
      <c r="F1063" s="372"/>
      <c r="G1063" s="372"/>
      <c r="H1063" s="372"/>
      <c r="I1063" s="372"/>
      <c r="J1063" s="372"/>
      <c r="K1063" s="372"/>
      <c r="L1063" s="372"/>
      <c r="M1063" s="372"/>
      <c r="N1063" s="372"/>
      <c r="O1063" s="635"/>
      <c r="P1063" s="372"/>
      <c r="Q1063" s="372"/>
      <c r="R1063" s="372"/>
    </row>
    <row r="1064" spans="1:18">
      <c r="A1064" s="634">
        <v>24</v>
      </c>
      <c r="B1064" s="639"/>
      <c r="C1064" s="634">
        <v>10110</v>
      </c>
      <c r="D1064" s="372" t="s">
        <v>791</v>
      </c>
      <c r="E1064" s="372"/>
      <c r="F1064" s="634">
        <v>0</v>
      </c>
      <c r="G1064" s="635"/>
      <c r="H1064" s="640">
        <v>3026</v>
      </c>
      <c r="I1064" s="635"/>
      <c r="J1064" s="634" t="s">
        <v>635</v>
      </c>
      <c r="K1064" s="372"/>
      <c r="L1064" s="634" t="s">
        <v>635</v>
      </c>
      <c r="M1064" s="372"/>
      <c r="N1064" s="634">
        <v>-454</v>
      </c>
      <c r="O1064" s="635"/>
      <c r="P1064" s="640">
        <v>2572</v>
      </c>
      <c r="Q1064" s="372"/>
      <c r="R1064" s="640">
        <v>2799</v>
      </c>
    </row>
    <row r="1065" spans="1:18">
      <c r="A1065" s="634">
        <v>25</v>
      </c>
      <c r="B1065" s="639"/>
      <c r="C1065" s="634">
        <v>10112</v>
      </c>
      <c r="D1065" s="372" t="s">
        <v>792</v>
      </c>
      <c r="E1065" s="372"/>
      <c r="F1065" s="634">
        <v>0</v>
      </c>
      <c r="G1065" s="372"/>
      <c r="H1065" s="640">
        <v>29714</v>
      </c>
      <c r="I1065" s="635"/>
      <c r="J1065" s="634" t="s">
        <v>635</v>
      </c>
      <c r="K1065" s="372"/>
      <c r="L1065" s="634" t="s">
        <v>635</v>
      </c>
      <c r="M1065" s="372"/>
      <c r="N1065" s="640">
        <v>-1722</v>
      </c>
      <c r="O1065" s="635"/>
      <c r="P1065" s="640">
        <v>27992</v>
      </c>
      <c r="Q1065" s="372"/>
      <c r="R1065" s="640">
        <v>28698</v>
      </c>
    </row>
    <row r="1066" spans="1:18" ht="15" thickBot="1">
      <c r="A1066" s="634">
        <v>26</v>
      </c>
      <c r="B1066" s="639"/>
      <c r="C1066" s="634"/>
      <c r="D1066" s="372" t="s">
        <v>793</v>
      </c>
      <c r="E1066" s="372"/>
      <c r="F1066" s="372"/>
      <c r="G1066" s="372"/>
      <c r="H1066" s="656">
        <v>32740</v>
      </c>
      <c r="I1066" s="635"/>
      <c r="J1066" s="657" t="s">
        <v>635</v>
      </c>
      <c r="K1066" s="635"/>
      <c r="L1066" s="657" t="s">
        <v>635</v>
      </c>
      <c r="M1066" s="635"/>
      <c r="N1066" s="656">
        <v>-2176</v>
      </c>
      <c r="O1066" s="635"/>
      <c r="P1066" s="656">
        <v>30564</v>
      </c>
      <c r="Q1066" s="635"/>
      <c r="R1066" s="656">
        <v>31497</v>
      </c>
    </row>
    <row r="1067" spans="1:18" ht="15" thickTop="1">
      <c r="A1067" s="634">
        <v>27</v>
      </c>
      <c r="B1067" s="639"/>
      <c r="C1067" s="372"/>
      <c r="D1067" s="372"/>
      <c r="E1067" s="372"/>
      <c r="F1067" s="372"/>
      <c r="G1067" s="372"/>
      <c r="H1067" s="372"/>
      <c r="I1067" s="372"/>
      <c r="J1067" s="372"/>
      <c r="K1067" s="372"/>
      <c r="L1067" s="372"/>
      <c r="M1067" s="372"/>
      <c r="N1067" s="372"/>
      <c r="O1067" s="635"/>
      <c r="P1067" s="372"/>
      <c r="Q1067" s="372"/>
      <c r="R1067" s="372"/>
    </row>
    <row r="1068" spans="1:18" ht="15" thickBot="1">
      <c r="A1068" s="634">
        <v>28</v>
      </c>
      <c r="B1068" s="639"/>
      <c r="C1068" s="372"/>
      <c r="D1068" s="636" t="s">
        <v>794</v>
      </c>
      <c r="E1068" s="372"/>
      <c r="F1068" s="372"/>
      <c r="G1068" s="372"/>
      <c r="H1068" s="652">
        <v>13644134</v>
      </c>
      <c r="I1068" s="372"/>
      <c r="J1068" s="652">
        <v>1953586</v>
      </c>
      <c r="K1068" s="372"/>
      <c r="L1068" s="652">
        <v>-150204</v>
      </c>
      <c r="M1068" s="372"/>
      <c r="N1068" s="652">
        <v>-2176</v>
      </c>
      <c r="O1068" s="635"/>
      <c r="P1068" s="652">
        <v>15445341</v>
      </c>
      <c r="Q1068" s="372"/>
      <c r="R1068" s="652">
        <v>14463851</v>
      </c>
    </row>
    <row r="1069" spans="1:18" ht="15" thickTop="1">
      <c r="A1069" s="634">
        <v>29</v>
      </c>
      <c r="B1069" s="639"/>
      <c r="C1069" s="372"/>
      <c r="D1069" s="372"/>
      <c r="E1069" s="372"/>
      <c r="F1069" s="372"/>
      <c r="G1069" s="372"/>
      <c r="H1069" s="372"/>
      <c r="I1069" s="372"/>
      <c r="J1069" s="372"/>
      <c r="K1069" s="372"/>
      <c r="L1069" s="372"/>
      <c r="M1069" s="372"/>
      <c r="N1069" s="372"/>
      <c r="O1069" s="635"/>
      <c r="P1069" s="372"/>
      <c r="Q1069" s="372"/>
      <c r="R1069" s="372"/>
    </row>
    <row r="1070" spans="1:18">
      <c r="A1070" s="634">
        <v>30</v>
      </c>
      <c r="B1070" s="639"/>
      <c r="C1070" s="372"/>
      <c r="D1070" s="636" t="s">
        <v>795</v>
      </c>
      <c r="E1070" s="372"/>
      <c r="F1070" s="372"/>
      <c r="G1070" s="372"/>
      <c r="H1070" s="372"/>
      <c r="I1070" s="372"/>
      <c r="J1070" s="372"/>
      <c r="K1070" s="372"/>
      <c r="L1070" s="372"/>
      <c r="M1070" s="372"/>
      <c r="N1070" s="372"/>
      <c r="O1070" s="635"/>
      <c r="P1070" s="372"/>
      <c r="Q1070" s="372"/>
      <c r="R1070" s="372"/>
    </row>
    <row r="1071" spans="1:18">
      <c r="A1071" s="634">
        <v>31</v>
      </c>
      <c r="B1071" s="639"/>
      <c r="C1071" s="634">
        <v>11401</v>
      </c>
      <c r="D1071" s="636" t="s">
        <v>796</v>
      </c>
      <c r="E1071" s="372"/>
      <c r="F1071" s="634">
        <v>3</v>
      </c>
      <c r="G1071" s="635"/>
      <c r="H1071" s="640">
        <v>6183</v>
      </c>
      <c r="I1071" s="635"/>
      <c r="J1071" s="634" t="s">
        <v>635</v>
      </c>
      <c r="K1071" s="372"/>
      <c r="L1071" s="634" t="s">
        <v>635</v>
      </c>
      <c r="M1071" s="372"/>
      <c r="N1071" s="634" t="s">
        <v>635</v>
      </c>
      <c r="O1071" s="635"/>
      <c r="P1071" s="640">
        <v>6183</v>
      </c>
      <c r="Q1071" s="372"/>
      <c r="R1071" s="640">
        <v>6183</v>
      </c>
    </row>
    <row r="1072" spans="1:18">
      <c r="A1072" s="634">
        <v>32</v>
      </c>
      <c r="B1072" s="639"/>
      <c r="C1072" s="634">
        <v>11402</v>
      </c>
      <c r="D1072" s="636" t="s">
        <v>797</v>
      </c>
      <c r="E1072" s="372"/>
      <c r="F1072" s="634">
        <v>4.3600000000000003</v>
      </c>
      <c r="G1072" s="635"/>
      <c r="H1072" s="634">
        <v>960</v>
      </c>
      <c r="I1072" s="635"/>
      <c r="J1072" s="634" t="s">
        <v>635</v>
      </c>
      <c r="K1072" s="372"/>
      <c r="L1072" s="634" t="s">
        <v>635</v>
      </c>
      <c r="M1072" s="372"/>
      <c r="N1072" s="634" t="s">
        <v>635</v>
      </c>
      <c r="O1072" s="635"/>
      <c r="P1072" s="634">
        <v>960</v>
      </c>
      <c r="Q1072" s="372"/>
      <c r="R1072" s="634">
        <v>960</v>
      </c>
    </row>
    <row r="1073" spans="1:18">
      <c r="A1073" s="634">
        <v>33</v>
      </c>
      <c r="B1073" s="639"/>
      <c r="C1073" s="634">
        <v>11403</v>
      </c>
      <c r="D1073" s="372" t="s">
        <v>798</v>
      </c>
      <c r="E1073" s="372"/>
      <c r="F1073" s="634">
        <v>2.65</v>
      </c>
      <c r="G1073" s="635"/>
      <c r="H1073" s="634">
        <v>342</v>
      </c>
      <c r="I1073" s="635"/>
      <c r="J1073" s="634" t="s">
        <v>635</v>
      </c>
      <c r="K1073" s="372"/>
      <c r="L1073" s="634" t="s">
        <v>635</v>
      </c>
      <c r="M1073" s="372"/>
      <c r="N1073" s="634" t="s">
        <v>635</v>
      </c>
      <c r="O1073" s="635"/>
      <c r="P1073" s="634">
        <v>342</v>
      </c>
      <c r="Q1073" s="372"/>
      <c r="R1073" s="634">
        <v>342</v>
      </c>
    </row>
    <row r="1074" spans="1:18" ht="15" thickBot="1">
      <c r="A1074" s="634">
        <v>34</v>
      </c>
      <c r="B1074" s="639"/>
      <c r="C1074" s="372"/>
      <c r="D1074" s="636" t="s">
        <v>799</v>
      </c>
      <c r="E1074" s="372"/>
      <c r="F1074" s="372"/>
      <c r="G1074" s="372"/>
      <c r="H1074" s="656">
        <v>7485</v>
      </c>
      <c r="I1074" s="635"/>
      <c r="J1074" s="657" t="s">
        <v>635</v>
      </c>
      <c r="K1074" s="635"/>
      <c r="L1074" s="657" t="s">
        <v>635</v>
      </c>
      <c r="M1074" s="635"/>
      <c r="N1074" s="657" t="s">
        <v>635</v>
      </c>
      <c r="O1074" s="635"/>
      <c r="P1074" s="656">
        <v>7485</v>
      </c>
      <c r="Q1074" s="635"/>
      <c r="R1074" s="656">
        <v>7485</v>
      </c>
    </row>
    <row r="1075" spans="1:18" ht="15" thickTop="1">
      <c r="A1075" s="634">
        <v>35</v>
      </c>
      <c r="B1075" s="639"/>
      <c r="C1075" s="372"/>
      <c r="D1075" s="372"/>
      <c r="E1075" s="372"/>
      <c r="F1075" s="372"/>
      <c r="G1075" s="372"/>
      <c r="H1075" s="372"/>
      <c r="I1075" s="372"/>
      <c r="J1075" s="372"/>
      <c r="K1075" s="372"/>
      <c r="L1075" s="372"/>
      <c r="M1075" s="372"/>
      <c r="N1075" s="372"/>
      <c r="O1075" s="635"/>
      <c r="P1075" s="372"/>
      <c r="Q1075" s="372"/>
      <c r="R1075" s="372"/>
    </row>
    <row r="1076" spans="1:18">
      <c r="A1076" s="634">
        <v>36</v>
      </c>
      <c r="B1076" s="639"/>
      <c r="C1076" s="634">
        <v>10200</v>
      </c>
      <c r="D1076" s="636" t="s">
        <v>800</v>
      </c>
      <c r="E1076" s="372"/>
      <c r="F1076" s="634">
        <v>0</v>
      </c>
      <c r="G1076" s="635"/>
      <c r="H1076" s="634" t="s">
        <v>628</v>
      </c>
      <c r="I1076" s="635"/>
      <c r="J1076" s="634" t="s">
        <v>635</v>
      </c>
      <c r="K1076" s="372"/>
      <c r="L1076" s="634" t="s">
        <v>635</v>
      </c>
      <c r="M1076" s="372"/>
      <c r="N1076" s="634" t="s">
        <v>635</v>
      </c>
      <c r="O1076" s="635"/>
      <c r="P1076" s="634" t="s">
        <v>635</v>
      </c>
      <c r="Q1076" s="372"/>
      <c r="R1076" s="634" t="s">
        <v>635</v>
      </c>
    </row>
    <row r="1077" spans="1:18">
      <c r="A1077" s="634">
        <v>37</v>
      </c>
      <c r="B1077" s="639"/>
      <c r="C1077" s="634">
        <v>10501</v>
      </c>
      <c r="D1077" s="636" t="s">
        <v>801</v>
      </c>
      <c r="E1077" s="372"/>
      <c r="F1077" s="634">
        <v>0</v>
      </c>
      <c r="G1077" s="635"/>
      <c r="H1077" s="640">
        <v>64262</v>
      </c>
      <c r="I1077" s="635"/>
      <c r="J1077" s="640">
        <v>6503</v>
      </c>
      <c r="K1077" s="372"/>
      <c r="L1077" s="634" t="s">
        <v>635</v>
      </c>
      <c r="M1077" s="372"/>
      <c r="N1077" s="634" t="s">
        <v>635</v>
      </c>
      <c r="O1077" s="635"/>
      <c r="P1077" s="640">
        <v>70765</v>
      </c>
      <c r="Q1077" s="372"/>
      <c r="R1077" s="640">
        <v>69495</v>
      </c>
    </row>
    <row r="1078" spans="1:18">
      <c r="A1078" s="634">
        <v>38</v>
      </c>
      <c r="B1078" s="639"/>
      <c r="C1078" s="372"/>
      <c r="D1078" s="372"/>
      <c r="E1078" s="372"/>
      <c r="F1078" s="372"/>
      <c r="G1078" s="372"/>
      <c r="H1078" s="372"/>
      <c r="I1078" s="372"/>
      <c r="J1078" s="372"/>
      <c r="K1078" s="372"/>
      <c r="L1078" s="372"/>
      <c r="M1078" s="372"/>
      <c r="N1078" s="372"/>
      <c r="O1078" s="635"/>
      <c r="P1078" s="372"/>
      <c r="Q1078" s="372"/>
      <c r="R1078" s="372"/>
    </row>
    <row r="1079" spans="1:18">
      <c r="A1079" s="634">
        <v>39</v>
      </c>
      <c r="B1079" s="639"/>
      <c r="C1079" s="634">
        <v>10803</v>
      </c>
      <c r="D1079" s="372" t="s">
        <v>802</v>
      </c>
      <c r="E1079" s="372"/>
      <c r="F1079" s="634">
        <v>0</v>
      </c>
      <c r="G1079" s="635"/>
      <c r="H1079" s="634" t="s">
        <v>628</v>
      </c>
      <c r="I1079" s="635"/>
      <c r="J1079" s="634" t="s">
        <v>635</v>
      </c>
      <c r="K1079" s="372"/>
      <c r="L1079" s="634" t="s">
        <v>635</v>
      </c>
      <c r="M1079" s="372"/>
      <c r="N1079" s="634" t="s">
        <v>635</v>
      </c>
      <c r="O1079" s="635"/>
      <c r="P1079" s="634" t="s">
        <v>635</v>
      </c>
      <c r="Q1079" s="372"/>
      <c r="R1079" s="634" t="s">
        <v>635</v>
      </c>
    </row>
    <row r="1080" spans="1:18">
      <c r="A1080" s="634">
        <v>40</v>
      </c>
      <c r="B1080" s="639"/>
      <c r="C1080" s="372"/>
      <c r="D1080" s="372" t="s">
        <v>803</v>
      </c>
      <c r="E1080" s="372"/>
      <c r="F1080" s="654">
        <v>0</v>
      </c>
      <c r="G1080" s="635"/>
      <c r="H1080" s="654" t="s">
        <v>628</v>
      </c>
      <c r="I1080" s="635"/>
      <c r="J1080" s="654" t="s">
        <v>635</v>
      </c>
      <c r="K1080" s="372"/>
      <c r="L1080" s="654" t="s">
        <v>635</v>
      </c>
      <c r="M1080" s="372"/>
      <c r="N1080" s="654" t="s">
        <v>635</v>
      </c>
      <c r="O1080" s="635"/>
      <c r="P1080" s="634" t="s">
        <v>635</v>
      </c>
      <c r="Q1080" s="372"/>
      <c r="R1080" s="654" t="s">
        <v>635</v>
      </c>
    </row>
    <row r="1081" spans="1:18" ht="15" thickBot="1">
      <c r="A1081" s="634">
        <v>41</v>
      </c>
      <c r="B1081" s="639"/>
      <c r="C1081" s="372"/>
      <c r="D1081" s="372" t="s">
        <v>804</v>
      </c>
      <c r="E1081" s="372"/>
      <c r="F1081" s="372"/>
      <c r="G1081" s="372"/>
      <c r="H1081" s="649" t="s">
        <v>628</v>
      </c>
      <c r="I1081" s="372"/>
      <c r="J1081" s="649" t="s">
        <v>635</v>
      </c>
      <c r="K1081" s="372"/>
      <c r="L1081" s="649" t="s">
        <v>635</v>
      </c>
      <c r="M1081" s="372"/>
      <c r="N1081" s="649" t="s">
        <v>635</v>
      </c>
      <c r="O1081" s="635"/>
      <c r="P1081" s="649" t="s">
        <v>635</v>
      </c>
      <c r="Q1081" s="372"/>
      <c r="R1081" s="649" t="s">
        <v>635</v>
      </c>
    </row>
    <row r="1082" spans="1:18" ht="15" thickTop="1">
      <c r="A1082" s="634">
        <v>42</v>
      </c>
      <c r="B1082" s="639"/>
      <c r="C1082" s="372"/>
      <c r="D1082" s="372"/>
      <c r="E1082" s="372"/>
      <c r="F1082" s="372"/>
      <c r="G1082" s="372"/>
      <c r="H1082" s="372"/>
      <c r="I1082" s="372"/>
      <c r="J1082" s="372"/>
      <c r="K1082" s="372"/>
      <c r="L1082" s="372"/>
      <c r="M1082" s="372"/>
      <c r="N1082" s="372"/>
      <c r="O1082" s="635"/>
      <c r="P1082" s="372"/>
      <c r="Q1082" s="372"/>
      <c r="R1082" s="372"/>
    </row>
    <row r="1083" spans="1:18" ht="15" thickBot="1">
      <c r="A1083" s="634">
        <v>43</v>
      </c>
      <c r="B1083" s="639"/>
      <c r="C1083" s="372"/>
      <c r="D1083" s="372" t="s">
        <v>805</v>
      </c>
      <c r="E1083" s="372"/>
      <c r="F1083" s="372"/>
      <c r="G1083" s="372"/>
      <c r="H1083" s="652">
        <v>13715881</v>
      </c>
      <c r="I1083" s="372"/>
      <c r="J1083" s="652">
        <v>1960089</v>
      </c>
      <c r="K1083" s="635"/>
      <c r="L1083" s="652">
        <v>-150204</v>
      </c>
      <c r="M1083" s="635"/>
      <c r="N1083" s="652">
        <v>-2176</v>
      </c>
      <c r="O1083" s="635"/>
      <c r="P1083" s="652">
        <v>15523591</v>
      </c>
      <c r="Q1083" s="635"/>
      <c r="R1083" s="652">
        <v>14540830</v>
      </c>
    </row>
    <row r="1084" spans="1:18" ht="15.6" thickTop="1" thickBot="1">
      <c r="A1084" s="637">
        <v>44</v>
      </c>
      <c r="B1084" s="660" t="s">
        <v>67</v>
      </c>
      <c r="C1084" s="660"/>
      <c r="D1084" s="625"/>
      <c r="E1084" s="625"/>
      <c r="F1084" s="625"/>
      <c r="G1084" s="625"/>
      <c r="H1084" s="625"/>
      <c r="I1084" s="625"/>
      <c r="J1084" s="625"/>
      <c r="K1084" s="625"/>
      <c r="L1084" s="625"/>
      <c r="M1084" s="625"/>
      <c r="N1084" s="625"/>
      <c r="O1084" s="638"/>
      <c r="P1084" s="625"/>
      <c r="Q1084" s="625"/>
      <c r="R1084" s="625"/>
    </row>
    <row r="1085" spans="1:18">
      <c r="A1085" s="664" t="s">
        <v>643</v>
      </c>
      <c r="B1085" s="664"/>
      <c r="C1085" s="372"/>
      <c r="D1085" s="372"/>
      <c r="E1085" s="664"/>
      <c r="F1085" s="664"/>
      <c r="G1085" s="664"/>
      <c r="H1085" s="664"/>
      <c r="I1085" s="664"/>
      <c r="J1085" s="664"/>
      <c r="K1085" s="664"/>
      <c r="L1085" s="664"/>
      <c r="M1085" s="664"/>
      <c r="N1085" s="664"/>
      <c r="O1085" s="635"/>
      <c r="P1085" s="372" t="s">
        <v>644</v>
      </c>
      <c r="Q1085" s="664"/>
      <c r="R1085" s="664"/>
    </row>
    <row r="1086" spans="1:18" ht="15" thickBot="1">
      <c r="A1086" s="625" t="s">
        <v>604</v>
      </c>
      <c r="B1086" s="625"/>
      <c r="C1086" s="625"/>
      <c r="D1086" s="625"/>
      <c r="E1086" s="625"/>
      <c r="F1086" s="625"/>
      <c r="G1086" s="625" t="s">
        <v>605</v>
      </c>
      <c r="H1086" s="625"/>
      <c r="I1086" s="625"/>
      <c r="J1086" s="625"/>
      <c r="K1086" s="625"/>
      <c r="L1086" s="625"/>
      <c r="M1086" s="625"/>
      <c r="N1086" s="625"/>
      <c r="O1086" s="638"/>
      <c r="P1086" s="625"/>
      <c r="Q1086" s="625"/>
      <c r="R1086" s="625" t="s">
        <v>806</v>
      </c>
    </row>
    <row r="1087" spans="1:18">
      <c r="A1087" s="664" t="s">
        <v>4</v>
      </c>
      <c r="B1087" s="664"/>
      <c r="C1087" s="372"/>
      <c r="D1087" s="372"/>
      <c r="E1087" s="635" t="s">
        <v>553</v>
      </c>
      <c r="F1087" s="372" t="s">
        <v>607</v>
      </c>
      <c r="G1087" s="664"/>
      <c r="H1087" s="664"/>
      <c r="I1087" s="664"/>
      <c r="J1087" s="664"/>
      <c r="K1087" s="661"/>
      <c r="L1087" s="661"/>
      <c r="M1087" s="661"/>
      <c r="N1087" s="661"/>
      <c r="O1087" s="645"/>
      <c r="P1087" s="372" t="s">
        <v>608</v>
      </c>
      <c r="Q1087" s="664"/>
      <c r="R1087" s="664"/>
    </row>
    <row r="1088" spans="1:18">
      <c r="A1088" s="372"/>
      <c r="B1088" s="372"/>
      <c r="C1088" s="372"/>
      <c r="D1088" s="372"/>
      <c r="E1088" s="372"/>
      <c r="F1088" s="372" t="s">
        <v>609</v>
      </c>
      <c r="G1088" s="372"/>
      <c r="H1088" s="372"/>
      <c r="I1088" s="372"/>
      <c r="J1088" s="372"/>
      <c r="K1088" s="636"/>
      <c r="L1088" s="636"/>
      <c r="M1088" s="372"/>
      <c r="N1088" s="372"/>
      <c r="O1088" s="635" t="s">
        <v>12</v>
      </c>
      <c r="P1088" s="636" t="s">
        <v>9</v>
      </c>
      <c r="Q1088" s="372"/>
      <c r="R1088" s="372"/>
    </row>
    <row r="1089" spans="1:20">
      <c r="A1089" s="372" t="s">
        <v>10</v>
      </c>
      <c r="B1089" s="372"/>
      <c r="C1089" s="372"/>
      <c r="D1089" s="372"/>
      <c r="E1089" s="372"/>
      <c r="F1089" s="372"/>
      <c r="G1089" s="372"/>
      <c r="H1089" s="372"/>
      <c r="I1089" s="372"/>
      <c r="J1089" s="372"/>
      <c r="K1089" s="636"/>
      <c r="L1089" s="636"/>
      <c r="M1089" s="372"/>
      <c r="N1089" s="372"/>
      <c r="O1089" s="635"/>
      <c r="P1089" s="636" t="s">
        <v>11</v>
      </c>
      <c r="Q1089" s="372"/>
      <c r="R1089" s="372"/>
    </row>
    <row r="1090" spans="1:20">
      <c r="A1090" s="372"/>
      <c r="B1090" s="372"/>
      <c r="C1090" s="372"/>
      <c r="D1090" s="372"/>
      <c r="E1090" s="372"/>
      <c r="F1090" s="372"/>
      <c r="G1090" s="372"/>
      <c r="H1090" s="372"/>
      <c r="I1090" s="372"/>
      <c r="J1090" s="372"/>
      <c r="K1090" s="636"/>
      <c r="L1090" s="636"/>
      <c r="M1090" s="372"/>
      <c r="N1090" s="372"/>
      <c r="O1090" s="635"/>
      <c r="P1090" s="636" t="s">
        <v>13</v>
      </c>
      <c r="Q1090" s="372"/>
      <c r="R1090" s="372"/>
    </row>
    <row r="1091" spans="1:20">
      <c r="A1091" s="372"/>
      <c r="B1091" s="372"/>
      <c r="C1091" s="372"/>
      <c r="D1091" s="372"/>
      <c r="E1091" s="372"/>
      <c r="F1091" s="372"/>
      <c r="G1091" s="372"/>
      <c r="H1091" s="372"/>
      <c r="I1091" s="372"/>
      <c r="J1091" s="372"/>
      <c r="K1091" s="636"/>
      <c r="L1091" s="636"/>
      <c r="M1091" s="372"/>
      <c r="N1091" s="372"/>
      <c r="O1091" s="635"/>
      <c r="P1091" s="636" t="s">
        <v>610</v>
      </c>
      <c r="Q1091" s="372"/>
      <c r="R1091" s="372"/>
    </row>
    <row r="1092" spans="1:20" ht="15" thickBot="1">
      <c r="A1092" s="625" t="s">
        <v>611</v>
      </c>
      <c r="B1092" s="625"/>
      <c r="C1092" s="625"/>
      <c r="D1092" s="625"/>
      <c r="E1092" s="625"/>
      <c r="F1092" s="625"/>
      <c r="G1092" s="625"/>
      <c r="H1092" s="637" t="s">
        <v>612</v>
      </c>
      <c r="I1092" s="625"/>
      <c r="J1092" s="625"/>
      <c r="K1092" s="625"/>
      <c r="L1092" s="625"/>
      <c r="M1092" s="625"/>
      <c r="N1092" s="625"/>
      <c r="O1092" s="638"/>
      <c r="P1092" s="625" t="s">
        <v>249</v>
      </c>
      <c r="Q1092" s="625"/>
      <c r="R1092" s="625"/>
    </row>
    <row r="1093" spans="1:20">
      <c r="A1093" s="664"/>
      <c r="B1093" s="664"/>
      <c r="C1093" s="634"/>
      <c r="D1093" s="634"/>
      <c r="E1093" s="634"/>
      <c r="F1093" s="634"/>
      <c r="G1093" s="634"/>
      <c r="H1093" s="634"/>
      <c r="I1093" s="634"/>
      <c r="J1093" s="634"/>
      <c r="K1093" s="634"/>
      <c r="L1093" s="634"/>
      <c r="M1093" s="634"/>
      <c r="N1093" s="634"/>
      <c r="O1093" s="635"/>
      <c r="P1093" s="634"/>
      <c r="Q1093" s="634"/>
      <c r="R1093" s="634"/>
    </row>
    <row r="1094" spans="1:20">
      <c r="A1094" s="372"/>
      <c r="B1094" s="372"/>
      <c r="C1094" s="634">
        <v>-1</v>
      </c>
      <c r="D1094" s="634">
        <v>-2</v>
      </c>
      <c r="E1094" s="634"/>
      <c r="F1094" s="634">
        <v>-3</v>
      </c>
      <c r="G1094" s="634"/>
      <c r="H1094" s="634">
        <v>-4</v>
      </c>
      <c r="I1094" s="634"/>
      <c r="J1094" s="634">
        <v>-5</v>
      </c>
      <c r="K1094" s="634"/>
      <c r="L1094" s="634">
        <v>-6</v>
      </c>
      <c r="M1094" s="634"/>
      <c r="N1094" s="634">
        <v>-7</v>
      </c>
      <c r="O1094" s="635"/>
      <c r="P1094" s="634">
        <v>-8</v>
      </c>
      <c r="Q1094" s="634"/>
      <c r="R1094" s="634">
        <v>-9</v>
      </c>
    </row>
    <row r="1095" spans="1:20">
      <c r="A1095" s="372"/>
      <c r="B1095" s="372"/>
      <c r="C1095" s="634" t="s">
        <v>613</v>
      </c>
      <c r="D1095" s="634" t="s">
        <v>613</v>
      </c>
      <c r="E1095" s="372"/>
      <c r="F1095" s="634" t="s">
        <v>37</v>
      </c>
      <c r="G1095" s="634"/>
      <c r="H1095" s="634" t="s">
        <v>30</v>
      </c>
      <c r="I1095" s="634"/>
      <c r="J1095" s="634" t="s">
        <v>45</v>
      </c>
      <c r="K1095" s="634"/>
      <c r="L1095" s="634" t="s">
        <v>45</v>
      </c>
      <c r="M1095" s="634"/>
      <c r="N1095" s="372"/>
      <c r="O1095" s="635"/>
      <c r="P1095" s="634" t="s">
        <v>30</v>
      </c>
      <c r="Q1095" s="372"/>
      <c r="R1095" s="372"/>
    </row>
    <row r="1096" spans="1:20">
      <c r="A1096" s="634" t="s">
        <v>35</v>
      </c>
      <c r="B1096" s="634"/>
      <c r="C1096" s="634" t="s">
        <v>614</v>
      </c>
      <c r="D1096" s="634" t="s">
        <v>614</v>
      </c>
      <c r="E1096" s="634"/>
      <c r="F1096" s="634" t="s">
        <v>615</v>
      </c>
      <c r="G1096" s="634"/>
      <c r="H1096" s="634" t="s">
        <v>616</v>
      </c>
      <c r="I1096" s="634"/>
      <c r="J1096" s="634" t="s">
        <v>30</v>
      </c>
      <c r="K1096" s="634"/>
      <c r="L1096" s="634" t="s">
        <v>30</v>
      </c>
      <c r="M1096" s="636"/>
      <c r="N1096" s="634" t="s">
        <v>178</v>
      </c>
      <c r="O1096" s="635"/>
      <c r="P1096" s="634" t="s">
        <v>616</v>
      </c>
      <c r="Q1096" s="634"/>
      <c r="R1096" s="634" t="s">
        <v>353</v>
      </c>
    </row>
    <row r="1097" spans="1:20" ht="15" thickBot="1">
      <c r="A1097" s="637" t="s">
        <v>46</v>
      </c>
      <c r="B1097" s="637"/>
      <c r="C1097" s="637" t="s">
        <v>371</v>
      </c>
      <c r="D1097" s="637" t="s">
        <v>617</v>
      </c>
      <c r="E1097" s="637"/>
      <c r="F1097" s="637" t="s">
        <v>618</v>
      </c>
      <c r="G1097" s="637"/>
      <c r="H1097" s="637" t="s">
        <v>619</v>
      </c>
      <c r="I1097" s="637"/>
      <c r="J1097" s="637" t="s">
        <v>620</v>
      </c>
      <c r="K1097" s="637"/>
      <c r="L1097" s="637" t="s">
        <v>621</v>
      </c>
      <c r="M1097" s="637"/>
      <c r="N1097" s="637" t="s">
        <v>622</v>
      </c>
      <c r="O1097" s="638"/>
      <c r="P1097" s="637" t="s">
        <v>623</v>
      </c>
      <c r="Q1097" s="637"/>
      <c r="R1097" s="637" t="s">
        <v>369</v>
      </c>
    </row>
    <row r="1098" spans="1:20">
      <c r="A1098" s="634">
        <v>1</v>
      </c>
      <c r="B1098" s="639"/>
      <c r="C1098" s="372"/>
      <c r="D1098" s="372"/>
      <c r="E1098" s="664"/>
      <c r="F1098" s="664"/>
      <c r="G1098" s="664"/>
      <c r="H1098" s="664"/>
      <c r="I1098" s="664"/>
      <c r="J1098" s="664"/>
      <c r="K1098" s="664"/>
      <c r="L1098" s="664"/>
      <c r="M1098" s="664"/>
      <c r="N1098" s="664"/>
      <c r="O1098" s="635"/>
      <c r="P1098" s="372"/>
      <c r="Q1098" s="664"/>
      <c r="R1098" s="664"/>
    </row>
    <row r="1099" spans="1:20">
      <c r="A1099" s="634">
        <v>2</v>
      </c>
      <c r="B1099" s="639"/>
      <c r="C1099" s="372"/>
      <c r="D1099" s="372"/>
      <c r="E1099" s="372"/>
      <c r="F1099" s="372"/>
      <c r="G1099" s="372"/>
      <c r="H1099" s="372"/>
      <c r="I1099" s="372"/>
      <c r="J1099" s="372"/>
      <c r="K1099" s="372"/>
      <c r="L1099" s="372"/>
      <c r="M1099" s="372"/>
      <c r="N1099" s="372"/>
      <c r="O1099" s="635"/>
      <c r="P1099" s="372"/>
      <c r="Q1099" s="372"/>
      <c r="R1099" s="372"/>
    </row>
    <row r="1100" spans="1:20">
      <c r="A1100" s="634">
        <v>3</v>
      </c>
      <c r="B1100" s="639"/>
      <c r="C1100" s="372"/>
      <c r="D1100" s="372" t="s">
        <v>663</v>
      </c>
      <c r="E1100" s="372"/>
      <c r="F1100" s="372"/>
      <c r="G1100" s="372"/>
      <c r="H1100" s="658">
        <v>1470825</v>
      </c>
      <c r="I1100" s="372"/>
      <c r="J1100" s="658">
        <v>18434</v>
      </c>
      <c r="K1100" s="372"/>
      <c r="L1100" s="658">
        <v>-3724</v>
      </c>
      <c r="M1100" s="372"/>
      <c r="N1100" s="372" t="s">
        <v>628</v>
      </c>
      <c r="O1100" s="635"/>
      <c r="P1100" s="658">
        <v>1485535</v>
      </c>
      <c r="Q1100" s="372"/>
      <c r="R1100" s="658">
        <v>1476691</v>
      </c>
      <c r="S1100" s="658"/>
      <c r="T1100" s="725"/>
    </row>
    <row r="1101" spans="1:20">
      <c r="A1101" s="634">
        <v>4</v>
      </c>
      <c r="B1101" s="639"/>
      <c r="C1101" s="372"/>
      <c r="D1101" s="372"/>
      <c r="E1101" s="372"/>
      <c r="F1101" s="372"/>
      <c r="G1101" s="372"/>
      <c r="H1101" s="372"/>
      <c r="I1101" s="372"/>
      <c r="J1101" s="372"/>
      <c r="K1101" s="372"/>
      <c r="L1101" s="372"/>
      <c r="M1101" s="372"/>
      <c r="N1101" s="372"/>
      <c r="O1101" s="635"/>
      <c r="P1101" s="372"/>
      <c r="Q1101" s="372"/>
      <c r="R1101" s="372"/>
    </row>
    <row r="1102" spans="1:20">
      <c r="A1102" s="634">
        <v>5</v>
      </c>
      <c r="B1102" s="639"/>
      <c r="C1102" s="372"/>
      <c r="D1102" s="372" t="s">
        <v>721</v>
      </c>
      <c r="E1102" s="372"/>
      <c r="F1102" s="372"/>
      <c r="G1102" s="372"/>
      <c r="H1102" s="659">
        <v>5434493</v>
      </c>
      <c r="I1102" s="372"/>
      <c r="J1102" s="659">
        <v>668703</v>
      </c>
      <c r="K1102" s="372"/>
      <c r="L1102" s="659">
        <v>-22083</v>
      </c>
      <c r="M1102" s="372"/>
      <c r="N1102" s="363" t="s">
        <v>628</v>
      </c>
      <c r="O1102" s="635"/>
      <c r="P1102" s="659">
        <v>6081114</v>
      </c>
      <c r="Q1102" s="372"/>
      <c r="R1102" s="659">
        <v>5716457</v>
      </c>
    </row>
    <row r="1103" spans="1:20">
      <c r="A1103" s="634">
        <v>6</v>
      </c>
      <c r="B1103" s="639"/>
      <c r="C1103" s="372"/>
      <c r="D1103" s="372"/>
      <c r="E1103" s="372"/>
      <c r="F1103" s="372"/>
      <c r="G1103" s="372"/>
      <c r="H1103" s="372"/>
      <c r="I1103" s="372"/>
      <c r="J1103" s="372"/>
      <c r="K1103" s="372"/>
      <c r="L1103" s="372"/>
      <c r="M1103" s="372"/>
      <c r="N1103" s="372"/>
      <c r="O1103" s="635"/>
      <c r="P1103" s="383"/>
      <c r="Q1103" s="372"/>
      <c r="R1103" s="372"/>
    </row>
    <row r="1104" spans="1:20" ht="15" thickBot="1">
      <c r="A1104" s="634">
        <v>7</v>
      </c>
      <c r="B1104" s="639"/>
      <c r="C1104" s="372"/>
      <c r="D1104" s="372" t="s">
        <v>722</v>
      </c>
      <c r="E1104" s="372"/>
      <c r="F1104" s="372"/>
      <c r="G1104" s="372"/>
      <c r="H1104" s="646">
        <v>6905318</v>
      </c>
      <c r="I1104" s="372"/>
      <c r="J1104" s="646">
        <v>687138</v>
      </c>
      <c r="K1104" s="372"/>
      <c r="L1104" s="646">
        <v>-25807</v>
      </c>
      <c r="M1104" s="372"/>
      <c r="N1104" s="647" t="s">
        <v>628</v>
      </c>
      <c r="O1104" s="635"/>
      <c r="P1104" s="646">
        <v>7566649</v>
      </c>
      <c r="Q1104" s="372"/>
      <c r="R1104" s="646">
        <v>7193148</v>
      </c>
    </row>
    <row r="1105" spans="1:18" ht="15" thickTop="1">
      <c r="A1105" s="634">
        <v>8</v>
      </c>
      <c r="B1105" s="639"/>
      <c r="C1105" s="372"/>
      <c r="D1105" s="372"/>
      <c r="E1105" s="372"/>
      <c r="F1105" s="372"/>
      <c r="G1105" s="372"/>
      <c r="H1105" s="372"/>
      <c r="I1105" s="372"/>
      <c r="J1105" s="372"/>
      <c r="K1105" s="372"/>
      <c r="L1105" s="372"/>
      <c r="M1105" s="372"/>
      <c r="N1105" s="372"/>
      <c r="O1105" s="635"/>
      <c r="P1105" s="372"/>
      <c r="Q1105" s="372"/>
      <c r="R1105" s="372"/>
    </row>
    <row r="1106" spans="1:18">
      <c r="A1106" s="634">
        <v>9</v>
      </c>
      <c r="B1106" s="639"/>
      <c r="C1106" s="372"/>
      <c r="D1106" s="372" t="s">
        <v>735</v>
      </c>
      <c r="E1106" s="372"/>
      <c r="F1106" s="372"/>
      <c r="G1106" s="372"/>
      <c r="H1106" s="658">
        <v>1269709</v>
      </c>
      <c r="I1106" s="372"/>
      <c r="J1106" s="658">
        <v>159412</v>
      </c>
      <c r="K1106" s="372"/>
      <c r="L1106" s="658">
        <v>-17107</v>
      </c>
      <c r="M1106" s="372"/>
      <c r="N1106" s="372" t="s">
        <v>628</v>
      </c>
      <c r="O1106" s="635"/>
      <c r="P1106" s="658">
        <v>1412014</v>
      </c>
      <c r="Q1106" s="372"/>
      <c r="R1106" s="658">
        <v>1316495</v>
      </c>
    </row>
    <row r="1107" spans="1:18">
      <c r="A1107" s="634">
        <v>10</v>
      </c>
      <c r="B1107" s="639"/>
      <c r="C1107" s="372"/>
      <c r="D1107" s="372"/>
      <c r="E1107" s="372"/>
      <c r="F1107" s="372"/>
      <c r="G1107" s="372"/>
      <c r="H1107" s="372"/>
      <c r="I1107" s="372"/>
      <c r="J1107" s="372"/>
      <c r="K1107" s="372"/>
      <c r="L1107" s="372"/>
      <c r="M1107" s="372"/>
      <c r="N1107" s="372"/>
      <c r="O1107" s="635"/>
      <c r="P1107" s="372"/>
      <c r="Q1107" s="372"/>
      <c r="R1107" s="372"/>
    </row>
    <row r="1108" spans="1:18">
      <c r="A1108" s="634">
        <v>11</v>
      </c>
      <c r="B1108" s="639"/>
      <c r="C1108" s="372"/>
      <c r="D1108" s="372" t="s">
        <v>747</v>
      </c>
      <c r="E1108" s="372"/>
      <c r="F1108" s="372"/>
      <c r="G1108" s="372"/>
      <c r="H1108" s="658">
        <v>4087367</v>
      </c>
      <c r="I1108" s="372"/>
      <c r="J1108" s="658">
        <v>426044</v>
      </c>
      <c r="K1108" s="372"/>
      <c r="L1108" s="658">
        <v>-60324</v>
      </c>
      <c r="M1108" s="372"/>
      <c r="N1108" s="372" t="s">
        <v>628</v>
      </c>
      <c r="O1108" s="635"/>
      <c r="P1108" s="658">
        <v>4453087</v>
      </c>
      <c r="Q1108" s="372"/>
      <c r="R1108" s="658">
        <v>4263251</v>
      </c>
    </row>
    <row r="1109" spans="1:18">
      <c r="A1109" s="634">
        <v>12</v>
      </c>
      <c r="B1109" s="639"/>
      <c r="C1109" s="372"/>
      <c r="D1109" s="372"/>
      <c r="E1109" s="372"/>
      <c r="F1109" s="372"/>
      <c r="G1109" s="372"/>
      <c r="H1109" s="372"/>
      <c r="I1109" s="372"/>
      <c r="J1109" s="372"/>
      <c r="K1109" s="372"/>
      <c r="L1109" s="372"/>
      <c r="M1109" s="372"/>
      <c r="N1109" s="372"/>
      <c r="O1109" s="635"/>
      <c r="P1109" s="372"/>
      <c r="Q1109" s="372"/>
      <c r="R1109" s="372"/>
    </row>
    <row r="1110" spans="1:18">
      <c r="A1110" s="634">
        <v>13</v>
      </c>
      <c r="B1110" s="639"/>
      <c r="C1110" s="372"/>
      <c r="D1110" s="372" t="s">
        <v>767</v>
      </c>
      <c r="E1110" s="372"/>
      <c r="F1110" s="372"/>
      <c r="G1110" s="372"/>
      <c r="H1110" s="659">
        <v>509293</v>
      </c>
      <c r="I1110" s="372"/>
      <c r="J1110" s="659">
        <v>558469</v>
      </c>
      <c r="K1110" s="372"/>
      <c r="L1110" s="659">
        <v>-42165</v>
      </c>
      <c r="M1110" s="372"/>
      <c r="N1110" s="363" t="s">
        <v>628</v>
      </c>
      <c r="O1110" s="635"/>
      <c r="P1110" s="659">
        <v>1025597</v>
      </c>
      <c r="Q1110" s="372"/>
      <c r="R1110" s="659">
        <v>786221</v>
      </c>
    </row>
    <row r="1111" spans="1:18">
      <c r="A1111" s="634">
        <v>14</v>
      </c>
      <c r="B1111" s="639"/>
      <c r="C1111" s="372"/>
      <c r="D1111" s="372"/>
      <c r="E1111" s="372"/>
      <c r="F1111" s="372"/>
      <c r="G1111" s="372"/>
      <c r="H1111" s="372"/>
      <c r="I1111" s="372"/>
      <c r="J1111" s="372"/>
      <c r="K1111" s="372"/>
      <c r="L1111" s="372"/>
      <c r="M1111" s="372"/>
      <c r="N1111" s="372"/>
      <c r="O1111" s="635"/>
      <c r="P1111" s="383"/>
      <c r="Q1111" s="372"/>
      <c r="R1111" s="372"/>
    </row>
    <row r="1112" spans="1:18" ht="15" thickBot="1">
      <c r="A1112" s="634">
        <v>15</v>
      </c>
      <c r="B1112" s="639"/>
      <c r="C1112" s="372"/>
      <c r="D1112" s="636" t="s">
        <v>768</v>
      </c>
      <c r="E1112" s="372"/>
      <c r="F1112" s="372"/>
      <c r="G1112" s="372"/>
      <c r="H1112" s="646">
        <v>12771686</v>
      </c>
      <c r="I1112" s="372"/>
      <c r="J1112" s="646">
        <v>1831064</v>
      </c>
      <c r="K1112" s="372"/>
      <c r="L1112" s="646">
        <v>-145403</v>
      </c>
      <c r="M1112" s="372"/>
      <c r="N1112" s="647" t="s">
        <v>628</v>
      </c>
      <c r="O1112" s="635"/>
      <c r="P1112" s="646">
        <v>14457347</v>
      </c>
      <c r="Q1112" s="372"/>
      <c r="R1112" s="646">
        <v>13559116</v>
      </c>
    </row>
    <row r="1113" spans="1:18" ht="15" thickTop="1">
      <c r="A1113" s="634">
        <v>16</v>
      </c>
      <c r="B1113" s="639"/>
      <c r="C1113" s="372"/>
      <c r="D1113" s="372"/>
      <c r="E1113" s="372"/>
      <c r="F1113" s="372"/>
      <c r="G1113" s="372"/>
      <c r="H1113" s="372"/>
      <c r="I1113" s="372"/>
      <c r="J1113" s="372"/>
      <c r="K1113" s="372"/>
      <c r="L1113" s="372"/>
      <c r="M1113" s="372"/>
      <c r="N1113" s="372"/>
      <c r="O1113" s="635"/>
      <c r="P1113" s="372"/>
      <c r="Q1113" s="372"/>
      <c r="R1113" s="372"/>
    </row>
    <row r="1114" spans="1:18">
      <c r="A1114" s="634">
        <v>17</v>
      </c>
      <c r="B1114" s="639"/>
      <c r="C1114" s="372"/>
      <c r="D1114" s="372" t="s">
        <v>778</v>
      </c>
      <c r="E1114" s="372"/>
      <c r="F1114" s="372"/>
      <c r="G1114" s="372"/>
      <c r="H1114" s="658">
        <v>232084</v>
      </c>
      <c r="I1114" s="372"/>
      <c r="J1114" s="658">
        <v>38661</v>
      </c>
      <c r="K1114" s="372"/>
      <c r="L1114" s="372" t="s">
        <v>635</v>
      </c>
      <c r="M1114" s="372"/>
      <c r="N1114" s="372" t="s">
        <v>635</v>
      </c>
      <c r="O1114" s="635"/>
      <c r="P1114" s="658">
        <v>270745</v>
      </c>
      <c r="Q1114" s="372"/>
      <c r="R1114" s="658">
        <v>246580</v>
      </c>
    </row>
    <row r="1115" spans="1:18">
      <c r="A1115" s="634">
        <v>18</v>
      </c>
      <c r="B1115" s="639"/>
      <c r="C1115" s="372"/>
      <c r="D1115" s="372"/>
      <c r="E1115" s="372"/>
      <c r="F1115" s="372"/>
      <c r="G1115" s="372"/>
      <c r="H1115" s="372"/>
      <c r="I1115" s="372"/>
      <c r="J1115" s="372"/>
      <c r="K1115" s="372"/>
      <c r="L1115" s="372"/>
      <c r="M1115" s="372"/>
      <c r="N1115" s="372"/>
      <c r="O1115" s="635"/>
      <c r="P1115" s="372"/>
      <c r="Q1115" s="372"/>
      <c r="R1115" s="372"/>
    </row>
    <row r="1116" spans="1:18">
      <c r="A1116" s="634">
        <v>19</v>
      </c>
      <c r="B1116" s="639"/>
      <c r="C1116" s="372"/>
      <c r="D1116" s="636" t="s">
        <v>783</v>
      </c>
      <c r="E1116" s="372"/>
      <c r="F1116" s="372"/>
      <c r="G1116" s="372"/>
      <c r="H1116" s="658">
        <v>582215</v>
      </c>
      <c r="I1116" s="372"/>
      <c r="J1116" s="658">
        <v>83862</v>
      </c>
      <c r="K1116" s="372"/>
      <c r="L1116" s="658">
        <v>-4800</v>
      </c>
      <c r="M1116" s="372"/>
      <c r="N1116" s="372" t="s">
        <v>628</v>
      </c>
      <c r="O1116" s="635"/>
      <c r="P1116" s="658">
        <v>661277</v>
      </c>
      <c r="Q1116" s="372"/>
      <c r="R1116" s="658">
        <v>601250</v>
      </c>
    </row>
    <row r="1117" spans="1:18">
      <c r="A1117" s="634">
        <v>20</v>
      </c>
      <c r="B1117" s="639"/>
      <c r="C1117" s="372"/>
      <c r="D1117" s="636"/>
      <c r="E1117" s="372"/>
      <c r="F1117" s="372"/>
      <c r="G1117" s="372"/>
      <c r="H1117" s="372"/>
      <c r="I1117" s="372"/>
      <c r="J1117" s="372"/>
      <c r="K1117" s="372"/>
      <c r="L1117" s="372"/>
      <c r="M1117" s="372"/>
      <c r="N1117" s="372"/>
      <c r="O1117" s="635"/>
      <c r="P1117" s="372"/>
      <c r="Q1117" s="372"/>
      <c r="R1117" s="372"/>
    </row>
    <row r="1118" spans="1:18">
      <c r="A1118" s="634">
        <v>21</v>
      </c>
      <c r="B1118" s="639"/>
      <c r="C1118" s="372"/>
      <c r="D1118" s="636" t="s">
        <v>789</v>
      </c>
      <c r="E1118" s="372"/>
      <c r="F1118" s="372"/>
      <c r="G1118" s="372"/>
      <c r="H1118" s="658">
        <v>25409</v>
      </c>
      <c r="I1118" s="372"/>
      <c r="J1118" s="372" t="s">
        <v>635</v>
      </c>
      <c r="K1118" s="372"/>
      <c r="L1118" s="372" t="s">
        <v>635</v>
      </c>
      <c r="M1118" s="372"/>
      <c r="N1118" s="372" t="s">
        <v>635</v>
      </c>
      <c r="O1118" s="635"/>
      <c r="P1118" s="658">
        <v>25409</v>
      </c>
      <c r="Q1118" s="372"/>
      <c r="R1118" s="658">
        <v>25409</v>
      </c>
    </row>
    <row r="1119" spans="1:18">
      <c r="A1119" s="634">
        <v>22</v>
      </c>
      <c r="B1119" s="639"/>
      <c r="C1119" s="372"/>
      <c r="D1119" s="372"/>
      <c r="E1119" s="372"/>
      <c r="F1119" s="372"/>
      <c r="G1119" s="372"/>
      <c r="H1119" s="372"/>
      <c r="I1119" s="372"/>
      <c r="J1119" s="372"/>
      <c r="K1119" s="372"/>
      <c r="L1119" s="372"/>
      <c r="M1119" s="372"/>
      <c r="N1119" s="372"/>
      <c r="O1119" s="635"/>
      <c r="P1119" s="372"/>
      <c r="Q1119" s="372"/>
      <c r="R1119" s="372"/>
    </row>
    <row r="1120" spans="1:18">
      <c r="A1120" s="634">
        <v>23</v>
      </c>
      <c r="B1120" s="639"/>
      <c r="C1120" s="372"/>
      <c r="D1120" s="372" t="s">
        <v>793</v>
      </c>
      <c r="E1120" s="372"/>
      <c r="F1120" s="372"/>
      <c r="G1120" s="372"/>
      <c r="H1120" s="659">
        <v>32740</v>
      </c>
      <c r="I1120" s="372"/>
      <c r="J1120" s="363" t="s">
        <v>635</v>
      </c>
      <c r="K1120" s="372"/>
      <c r="L1120" s="363" t="s">
        <v>635</v>
      </c>
      <c r="M1120" s="372"/>
      <c r="N1120" s="659">
        <v>-2176</v>
      </c>
      <c r="O1120" s="635"/>
      <c r="P1120" s="659">
        <v>30564</v>
      </c>
      <c r="Q1120" s="372"/>
      <c r="R1120" s="659">
        <v>31497</v>
      </c>
    </row>
    <row r="1121" spans="1:18">
      <c r="A1121" s="634">
        <v>24</v>
      </c>
      <c r="B1121" s="639"/>
      <c r="C1121" s="372"/>
      <c r="D1121" s="372"/>
      <c r="E1121" s="372"/>
      <c r="F1121" s="372"/>
      <c r="G1121" s="372"/>
      <c r="H1121" s="372"/>
      <c r="I1121" s="372"/>
      <c r="J1121" s="372"/>
      <c r="K1121" s="372"/>
      <c r="L1121" s="372"/>
      <c r="M1121" s="372"/>
      <c r="N1121" s="372"/>
      <c r="O1121" s="635"/>
      <c r="P1121" s="383"/>
      <c r="Q1121" s="372"/>
      <c r="R1121" s="372"/>
    </row>
    <row r="1122" spans="1:18" ht="15" thickBot="1">
      <c r="A1122" s="634">
        <v>25</v>
      </c>
      <c r="B1122" s="639"/>
      <c r="C1122" s="372"/>
      <c r="D1122" s="636" t="s">
        <v>794</v>
      </c>
      <c r="E1122" s="372"/>
      <c r="F1122" s="372"/>
      <c r="G1122" s="372"/>
      <c r="H1122" s="646">
        <v>13644134</v>
      </c>
      <c r="I1122" s="372"/>
      <c r="J1122" s="646">
        <v>1953586</v>
      </c>
      <c r="K1122" s="372"/>
      <c r="L1122" s="646">
        <v>-150204</v>
      </c>
      <c r="M1122" s="372"/>
      <c r="N1122" s="646">
        <v>-2176</v>
      </c>
      <c r="O1122" s="635"/>
      <c r="P1122" s="646">
        <v>15445341</v>
      </c>
      <c r="Q1122" s="372"/>
      <c r="R1122" s="646">
        <v>14463851</v>
      </c>
    </row>
    <row r="1123" spans="1:18" ht="15" thickTop="1">
      <c r="A1123" s="634">
        <v>26</v>
      </c>
      <c r="B1123" s="639"/>
      <c r="C1123" s="372"/>
      <c r="D1123" s="372"/>
      <c r="E1123" s="372"/>
      <c r="F1123" s="372"/>
      <c r="G1123" s="372"/>
      <c r="H1123" s="372"/>
      <c r="I1123" s="372"/>
      <c r="J1123" s="372"/>
      <c r="K1123" s="372"/>
      <c r="L1123" s="372"/>
      <c r="M1123" s="372"/>
      <c r="N1123" s="372"/>
      <c r="O1123" s="635"/>
      <c r="P1123" s="372"/>
      <c r="Q1123" s="372"/>
      <c r="R1123" s="372"/>
    </row>
    <row r="1124" spans="1:18">
      <c r="A1124" s="634">
        <v>27</v>
      </c>
      <c r="B1124" s="639"/>
      <c r="C1124" s="372"/>
      <c r="D1124" s="636" t="s">
        <v>799</v>
      </c>
      <c r="E1124" s="372"/>
      <c r="F1124" s="372"/>
      <c r="G1124" s="372"/>
      <c r="H1124" s="658">
        <v>7485</v>
      </c>
      <c r="I1124" s="372"/>
      <c r="J1124" s="372" t="s">
        <v>807</v>
      </c>
      <c r="K1124" s="372"/>
      <c r="L1124" s="372" t="s">
        <v>807</v>
      </c>
      <c r="M1124" s="372"/>
      <c r="N1124" s="372" t="s">
        <v>807</v>
      </c>
      <c r="O1124" s="635"/>
      <c r="P1124" s="658">
        <v>7485</v>
      </c>
      <c r="Q1124" s="372"/>
      <c r="R1124" s="658">
        <v>7485</v>
      </c>
    </row>
    <row r="1125" spans="1:18">
      <c r="A1125" s="634">
        <v>28</v>
      </c>
      <c r="B1125" s="639"/>
      <c r="C1125" s="372"/>
      <c r="D1125" s="372"/>
      <c r="E1125" s="372"/>
      <c r="F1125" s="372"/>
      <c r="G1125" s="372"/>
      <c r="H1125" s="372"/>
      <c r="I1125" s="372"/>
      <c r="J1125" s="372"/>
      <c r="K1125" s="372"/>
      <c r="L1125" s="372"/>
      <c r="M1125" s="372"/>
      <c r="N1125" s="372"/>
      <c r="O1125" s="635"/>
      <c r="P1125" s="372"/>
      <c r="Q1125" s="372"/>
      <c r="R1125" s="372"/>
    </row>
    <row r="1126" spans="1:18">
      <c r="A1126" s="634">
        <v>29</v>
      </c>
      <c r="B1126" s="639"/>
      <c r="C1126" s="372"/>
      <c r="D1126" s="636" t="s">
        <v>800</v>
      </c>
      <c r="E1126" s="372"/>
      <c r="F1126" s="372"/>
      <c r="G1126" s="372"/>
      <c r="H1126" s="372" t="s">
        <v>628</v>
      </c>
      <c r="I1126" s="372"/>
      <c r="J1126" s="372" t="s">
        <v>635</v>
      </c>
      <c r="K1126" s="372"/>
      <c r="L1126" s="372" t="s">
        <v>635</v>
      </c>
      <c r="M1126" s="372"/>
      <c r="N1126" s="372" t="s">
        <v>635</v>
      </c>
      <c r="O1126" s="635"/>
      <c r="P1126" s="372" t="s">
        <v>635</v>
      </c>
      <c r="Q1126" s="372"/>
      <c r="R1126" s="372" t="s">
        <v>635</v>
      </c>
    </row>
    <row r="1127" spans="1:18">
      <c r="A1127" s="634">
        <v>30</v>
      </c>
      <c r="B1127" s="639"/>
      <c r="C1127" s="372"/>
      <c r="D1127" s="372"/>
      <c r="E1127" s="372"/>
      <c r="F1127" s="372"/>
      <c r="G1127" s="372"/>
      <c r="H1127" s="372"/>
      <c r="I1127" s="372"/>
      <c r="J1127" s="372"/>
      <c r="K1127" s="372"/>
      <c r="L1127" s="372"/>
      <c r="M1127" s="372"/>
      <c r="N1127" s="372"/>
      <c r="O1127" s="635"/>
      <c r="P1127" s="372"/>
      <c r="Q1127" s="372"/>
      <c r="R1127" s="372"/>
    </row>
    <row r="1128" spans="1:18">
      <c r="A1128" s="634">
        <v>31</v>
      </c>
      <c r="B1128" s="639"/>
      <c r="C1128" s="372"/>
      <c r="D1128" s="372" t="s">
        <v>801</v>
      </c>
      <c r="E1128" s="372"/>
      <c r="F1128" s="372"/>
      <c r="G1128" s="372"/>
      <c r="H1128" s="658">
        <v>64262</v>
      </c>
      <c r="I1128" s="372"/>
      <c r="J1128" s="658">
        <v>6503</v>
      </c>
      <c r="K1128" s="372"/>
      <c r="L1128" s="372" t="s">
        <v>635</v>
      </c>
      <c r="M1128" s="372"/>
      <c r="N1128" s="372" t="s">
        <v>635</v>
      </c>
      <c r="O1128" s="635"/>
      <c r="P1128" s="658">
        <v>70765</v>
      </c>
      <c r="Q1128" s="372"/>
      <c r="R1128" s="658">
        <v>69495</v>
      </c>
    </row>
    <row r="1129" spans="1:18">
      <c r="A1129" s="634">
        <v>32</v>
      </c>
      <c r="B1129" s="639"/>
      <c r="C1129" s="372"/>
      <c r="D1129" s="372"/>
      <c r="E1129" s="372"/>
      <c r="F1129" s="372"/>
      <c r="G1129" s="372"/>
      <c r="H1129" s="372"/>
      <c r="I1129" s="372"/>
      <c r="J1129" s="372"/>
      <c r="K1129" s="372"/>
      <c r="L1129" s="372"/>
      <c r="M1129" s="372"/>
      <c r="N1129" s="372"/>
      <c r="O1129" s="635"/>
      <c r="P1129" s="372"/>
      <c r="Q1129" s="372"/>
      <c r="R1129" s="372"/>
    </row>
    <row r="1130" spans="1:18">
      <c r="A1130" s="634">
        <v>33</v>
      </c>
      <c r="B1130" s="639"/>
      <c r="C1130" s="372"/>
      <c r="D1130" s="372" t="s">
        <v>804</v>
      </c>
      <c r="E1130" s="372"/>
      <c r="F1130" s="372"/>
      <c r="G1130" s="372"/>
      <c r="H1130" s="372" t="s">
        <v>628</v>
      </c>
      <c r="I1130" s="372"/>
      <c r="J1130" s="372" t="s">
        <v>635</v>
      </c>
      <c r="K1130" s="372"/>
      <c r="L1130" s="372" t="s">
        <v>635</v>
      </c>
      <c r="M1130" s="372"/>
      <c r="N1130" s="372" t="s">
        <v>635</v>
      </c>
      <c r="O1130" s="635"/>
      <c r="P1130" s="372" t="s">
        <v>635</v>
      </c>
      <c r="Q1130" s="372"/>
      <c r="R1130" s="372" t="s">
        <v>635</v>
      </c>
    </row>
    <row r="1131" spans="1:18">
      <c r="A1131" s="634">
        <v>34</v>
      </c>
      <c r="B1131" s="639"/>
      <c r="C1131" s="372"/>
      <c r="D1131" s="372"/>
      <c r="E1131" s="372"/>
      <c r="F1131" s="372"/>
      <c r="G1131" s="372"/>
      <c r="H1131" s="372"/>
      <c r="I1131" s="372"/>
      <c r="J1131" s="372"/>
      <c r="K1131" s="372"/>
      <c r="L1131" s="372"/>
      <c r="M1131" s="372"/>
      <c r="N1131" s="372"/>
      <c r="O1131" s="635"/>
      <c r="P1131" s="383"/>
      <c r="Q1131" s="372"/>
      <c r="R1131" s="372"/>
    </row>
    <row r="1132" spans="1:18" ht="15" thickBot="1">
      <c r="A1132" s="634">
        <v>35</v>
      </c>
      <c r="B1132" s="639"/>
      <c r="C1132" s="372"/>
      <c r="D1132" s="372" t="s">
        <v>805</v>
      </c>
      <c r="E1132" s="372"/>
      <c r="F1132" s="372"/>
      <c r="G1132" s="372"/>
      <c r="H1132" s="646">
        <v>13715881</v>
      </c>
      <c r="I1132" s="372"/>
      <c r="J1132" s="646">
        <v>1960089</v>
      </c>
      <c r="K1132" s="372"/>
      <c r="L1132" s="646">
        <v>-150204</v>
      </c>
      <c r="M1132" s="372"/>
      <c r="N1132" s="646">
        <v>-2176</v>
      </c>
      <c r="O1132" s="635"/>
      <c r="P1132" s="646">
        <v>15523591</v>
      </c>
      <c r="Q1132" s="372"/>
      <c r="R1132" s="646">
        <v>14540830</v>
      </c>
    </row>
    <row r="1133" spans="1:18" ht="15" thickTop="1">
      <c r="A1133" s="634">
        <v>36</v>
      </c>
      <c r="B1133" s="639"/>
      <c r="C1133" s="372"/>
      <c r="D1133" s="372"/>
      <c r="E1133" s="372"/>
      <c r="F1133" s="372"/>
      <c r="G1133" s="372"/>
      <c r="H1133" s="372" t="s">
        <v>628</v>
      </c>
      <c r="I1133" s="372"/>
      <c r="J1133" s="372" t="s">
        <v>635</v>
      </c>
      <c r="K1133" s="372"/>
      <c r="L1133" s="372" t="s">
        <v>635</v>
      </c>
      <c r="M1133" s="372"/>
      <c r="N1133" s="372" t="s">
        <v>635</v>
      </c>
      <c r="O1133" s="635"/>
      <c r="P1133" s="372" t="s">
        <v>635</v>
      </c>
      <c r="Q1133" s="372"/>
      <c r="R1133" s="372" t="s">
        <v>635</v>
      </c>
    </row>
    <row r="1134" spans="1:18">
      <c r="A1134" s="634">
        <v>37</v>
      </c>
      <c r="B1134" s="639"/>
      <c r="C1134" s="372"/>
      <c r="D1134" s="372"/>
      <c r="E1134" s="372"/>
      <c r="F1134" s="372"/>
      <c r="G1134" s="372"/>
      <c r="H1134" s="372" t="s">
        <v>628</v>
      </c>
      <c r="I1134" s="372"/>
      <c r="J1134" s="372" t="s">
        <v>635</v>
      </c>
      <c r="K1134" s="372"/>
      <c r="L1134" s="372" t="s">
        <v>635</v>
      </c>
      <c r="M1134" s="372"/>
      <c r="N1134" s="372" t="s">
        <v>635</v>
      </c>
      <c r="O1134" s="635"/>
      <c r="P1134" s="372" t="s">
        <v>635</v>
      </c>
      <c r="Q1134" s="372"/>
      <c r="R1134" s="372" t="s">
        <v>635</v>
      </c>
    </row>
    <row r="1135" spans="1:18">
      <c r="A1135" s="634">
        <v>38</v>
      </c>
      <c r="B1135" s="639"/>
      <c r="C1135" s="372"/>
      <c r="D1135" s="372"/>
      <c r="E1135" s="372"/>
      <c r="F1135" s="372"/>
      <c r="G1135" s="372"/>
      <c r="H1135" s="372"/>
      <c r="I1135" s="372"/>
      <c r="J1135" s="372"/>
      <c r="K1135" s="372"/>
      <c r="L1135" s="372"/>
      <c r="M1135" s="372"/>
      <c r="N1135" s="372"/>
      <c r="O1135" s="635"/>
      <c r="P1135" s="372"/>
      <c r="Q1135" s="372"/>
      <c r="R1135" s="372"/>
    </row>
    <row r="1136" spans="1:18">
      <c r="A1136" s="634">
        <v>39</v>
      </c>
      <c r="B1136" s="644"/>
      <c r="C1136" s="372"/>
      <c r="D1136" s="372"/>
      <c r="E1136" s="372"/>
      <c r="F1136" s="372"/>
      <c r="G1136" s="372"/>
      <c r="H1136" s="372"/>
      <c r="I1136" s="372"/>
      <c r="J1136" s="372"/>
      <c r="K1136" s="372"/>
      <c r="L1136" s="372"/>
      <c r="M1136" s="372"/>
      <c r="N1136" s="372"/>
      <c r="O1136" s="635"/>
      <c r="P1136" s="372"/>
      <c r="Q1136" s="372"/>
      <c r="R1136" s="372"/>
    </row>
    <row r="1137" spans="1:18">
      <c r="A1137" s="634">
        <v>40</v>
      </c>
      <c r="B1137" s="644"/>
      <c r="C1137" s="372"/>
      <c r="D1137" s="372"/>
      <c r="E1137" s="372"/>
      <c r="F1137" s="372"/>
      <c r="G1137" s="372"/>
      <c r="H1137" s="372"/>
      <c r="I1137" s="372"/>
      <c r="J1137" s="372"/>
      <c r="K1137" s="372"/>
      <c r="L1137" s="372"/>
      <c r="M1137" s="372"/>
      <c r="N1137" s="372"/>
      <c r="O1137" s="635"/>
      <c r="P1137" s="372"/>
      <c r="Q1137" s="372"/>
      <c r="R1137" s="372"/>
    </row>
    <row r="1138" spans="1:18">
      <c r="A1138" s="634">
        <v>41</v>
      </c>
      <c r="B1138" s="644"/>
      <c r="C1138" s="372"/>
      <c r="D1138" s="372"/>
      <c r="E1138" s="372"/>
      <c r="F1138" s="372"/>
      <c r="G1138" s="372"/>
      <c r="H1138" s="372"/>
      <c r="I1138" s="372"/>
      <c r="J1138" s="372"/>
      <c r="K1138" s="372"/>
      <c r="L1138" s="372"/>
      <c r="M1138" s="372"/>
      <c r="N1138" s="372"/>
      <c r="O1138" s="635"/>
      <c r="P1138" s="372"/>
      <c r="Q1138" s="372"/>
      <c r="R1138" s="372"/>
    </row>
    <row r="1139" spans="1:18">
      <c r="A1139" s="634">
        <v>42</v>
      </c>
      <c r="B1139" s="644"/>
      <c r="C1139" s="372"/>
      <c r="D1139" s="372"/>
      <c r="E1139" s="372"/>
      <c r="F1139" s="372"/>
      <c r="G1139" s="372"/>
      <c r="H1139" s="372"/>
      <c r="I1139" s="372"/>
      <c r="J1139" s="372"/>
      <c r="K1139" s="372"/>
      <c r="L1139" s="372"/>
      <c r="M1139" s="372"/>
      <c r="N1139" s="372"/>
      <c r="O1139" s="635"/>
      <c r="P1139" s="372"/>
      <c r="Q1139" s="372"/>
      <c r="R1139" s="372"/>
    </row>
    <row r="1140" spans="1:18">
      <c r="A1140" s="634">
        <v>43</v>
      </c>
      <c r="B1140" s="644"/>
      <c r="C1140" s="372"/>
      <c r="D1140" s="372"/>
      <c r="E1140" s="372"/>
      <c r="F1140" s="372"/>
      <c r="G1140" s="372"/>
      <c r="H1140" s="372"/>
      <c r="I1140" s="372"/>
      <c r="J1140" s="372"/>
      <c r="K1140" s="372"/>
      <c r="L1140" s="372"/>
      <c r="M1140" s="372"/>
      <c r="N1140" s="372"/>
      <c r="O1140" s="635"/>
      <c r="P1140" s="372"/>
      <c r="Q1140" s="372"/>
      <c r="R1140" s="372"/>
    </row>
    <row r="1141" spans="1:18" ht="15" thickBot="1">
      <c r="A1141" s="637">
        <v>44</v>
      </c>
      <c r="B1141" s="660" t="s">
        <v>67</v>
      </c>
      <c r="C1141" s="660"/>
      <c r="D1141" s="625"/>
      <c r="E1141" s="625"/>
      <c r="F1141" s="625"/>
      <c r="G1141" s="625"/>
      <c r="H1141" s="625"/>
      <c r="I1141" s="625"/>
      <c r="J1141" s="625"/>
      <c r="K1141" s="625"/>
      <c r="L1141" s="625"/>
      <c r="M1141" s="625"/>
      <c r="N1141" s="625"/>
      <c r="O1141" s="638"/>
      <c r="P1141" s="625"/>
      <c r="Q1141" s="625"/>
      <c r="R1141" s="625"/>
    </row>
    <row r="1142" spans="1:18">
      <c r="A1142" s="664" t="s">
        <v>643</v>
      </c>
      <c r="B1142" s="664"/>
      <c r="C1142" s="372"/>
      <c r="D1142" s="372"/>
      <c r="E1142" s="664"/>
      <c r="F1142" s="664"/>
      <c r="G1142" s="664"/>
      <c r="H1142" s="664"/>
      <c r="I1142" s="664"/>
      <c r="J1142" s="664"/>
      <c r="K1142" s="664"/>
      <c r="L1142" s="664"/>
      <c r="M1142" s="664"/>
      <c r="N1142" s="664"/>
      <c r="O1142" s="635"/>
      <c r="P1142" s="372" t="s">
        <v>644</v>
      </c>
      <c r="Q1142" s="664"/>
      <c r="R1142" s="664"/>
    </row>
  </sheetData>
  <pageMargins left="0.7" right="0.7" top="0.75" bottom="0.75" header="0.3" footer="0.3"/>
  <customProperties>
    <customPr name="EpmWorksheetKeyString_GU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9D4BB-35A6-40CE-A0A0-EEEBBDB53BF5}">
  <sheetPr>
    <tabColor rgb="FFFFE8B9"/>
  </sheetPr>
  <dimension ref="A1:AE1141"/>
  <sheetViews>
    <sheetView topLeftCell="A572" workbookViewId="0">
      <selection activeCell="J588" sqref="J588"/>
    </sheetView>
  </sheetViews>
  <sheetFormatPr defaultRowHeight="14.4"/>
  <cols>
    <col min="1" max="2" width="5.33203125" customWidth="1"/>
    <col min="4" max="4" width="31.44140625" bestFit="1" customWidth="1"/>
    <col min="5" max="5" width="1.5546875" customWidth="1"/>
    <col min="6" max="6" width="14.5546875" customWidth="1"/>
    <col min="7" max="7" width="1.5546875" customWidth="1"/>
    <col min="8" max="8" width="14.5546875" customWidth="1"/>
    <col min="9" max="9" width="1.5546875" customWidth="1"/>
    <col min="10" max="10" width="14.5546875" customWidth="1"/>
    <col min="11" max="11" width="1.5546875" customWidth="1"/>
    <col min="12" max="12" width="14.5546875" customWidth="1"/>
    <col min="13" max="13" width="1.5546875" customWidth="1"/>
    <col min="14" max="14" width="14.5546875" customWidth="1"/>
    <col min="15" max="15" width="1.5546875" customWidth="1"/>
    <col min="16" max="16" width="14.5546875" customWidth="1"/>
    <col min="17" max="17" width="1.5546875" customWidth="1"/>
    <col min="18" max="18" width="14.5546875" customWidth="1"/>
    <col min="19" max="19" width="1.5546875" customWidth="1"/>
    <col min="20" max="20" width="14.5546875" customWidth="1"/>
    <col min="21" max="21" width="8.88671875" bestFit="1" customWidth="1"/>
    <col min="24" max="31" width="6.88671875" customWidth="1"/>
  </cols>
  <sheetData>
    <row r="1" spans="1:31" ht="15" hidden="1" thickBot="1">
      <c r="A1" s="662" t="s">
        <v>808</v>
      </c>
      <c r="B1" s="662"/>
      <c r="C1" s="622"/>
      <c r="D1" s="622"/>
      <c r="E1" s="622"/>
      <c r="F1" s="622" t="s">
        <v>809</v>
      </c>
      <c r="G1" s="622"/>
      <c r="H1" s="622"/>
      <c r="I1" s="622"/>
      <c r="J1" s="622"/>
      <c r="K1" s="622"/>
      <c r="L1" s="622"/>
      <c r="M1" s="622"/>
      <c r="N1" s="622"/>
      <c r="O1" s="622"/>
      <c r="P1" s="622"/>
      <c r="Q1" s="638"/>
      <c r="R1" s="637"/>
      <c r="S1" s="625"/>
      <c r="T1" s="625" t="s">
        <v>606</v>
      </c>
      <c r="U1" s="626"/>
      <c r="V1" s="626"/>
      <c r="W1" s="626"/>
      <c r="X1" s="627">
        <v>-3</v>
      </c>
      <c r="Y1" s="627">
        <v>-4</v>
      </c>
      <c r="Z1" s="627">
        <v>-5</v>
      </c>
      <c r="AA1" s="627">
        <v>-6</v>
      </c>
      <c r="AB1" s="627">
        <v>-7</v>
      </c>
      <c r="AC1" s="627">
        <v>-8</v>
      </c>
      <c r="AD1" s="627">
        <v>-9</v>
      </c>
      <c r="AE1" s="627">
        <v>-10</v>
      </c>
    </row>
    <row r="2" spans="1:31" hidden="1">
      <c r="A2" s="663" t="s">
        <v>4</v>
      </c>
      <c r="B2" s="663"/>
      <c r="C2" s="426"/>
      <c r="D2" s="426"/>
      <c r="E2" s="628" t="s">
        <v>553</v>
      </c>
      <c r="F2" s="621" t="s">
        <v>810</v>
      </c>
      <c r="G2" s="663"/>
      <c r="H2" s="663"/>
      <c r="I2" s="663"/>
      <c r="J2" s="663"/>
      <c r="K2" s="629"/>
      <c r="L2" s="629"/>
      <c r="M2" s="629"/>
      <c r="N2" s="629"/>
      <c r="O2" s="629"/>
      <c r="P2" s="629"/>
      <c r="Q2" s="645"/>
      <c r="R2" s="661" t="s">
        <v>608</v>
      </c>
      <c r="S2" s="664"/>
      <c r="T2" s="664"/>
      <c r="U2" s="626"/>
      <c r="V2" s="626"/>
      <c r="W2" s="626"/>
      <c r="X2" s="631">
        <v>2</v>
      </c>
      <c r="Y2" s="631">
        <v>0</v>
      </c>
      <c r="Z2" s="631">
        <v>0</v>
      </c>
      <c r="AA2" s="631">
        <v>0</v>
      </c>
      <c r="AB2" s="631">
        <v>0</v>
      </c>
      <c r="AC2" s="631">
        <v>0</v>
      </c>
      <c r="AD2" s="631">
        <v>2</v>
      </c>
      <c r="AE2" s="631">
        <v>0</v>
      </c>
    </row>
    <row r="3" spans="1:31" hidden="1">
      <c r="A3" s="426"/>
      <c r="B3" s="426"/>
      <c r="C3" s="426"/>
      <c r="D3" s="426"/>
      <c r="E3" s="426"/>
      <c r="F3" s="426" t="s">
        <v>811</v>
      </c>
      <c r="G3" s="426"/>
      <c r="H3" s="426"/>
      <c r="I3" s="426"/>
      <c r="J3" s="426"/>
      <c r="K3" s="621"/>
      <c r="L3" s="621"/>
      <c r="M3" s="426"/>
      <c r="N3" s="426"/>
      <c r="O3" s="628"/>
      <c r="P3" s="628"/>
      <c r="Q3" s="628"/>
      <c r="R3" s="621" t="s">
        <v>9</v>
      </c>
      <c r="S3" s="372"/>
      <c r="T3" s="372"/>
      <c r="U3" s="626"/>
      <c r="V3" s="626"/>
      <c r="W3" s="626"/>
      <c r="X3" s="631">
        <v>2</v>
      </c>
      <c r="Y3" s="631">
        <v>0</v>
      </c>
      <c r="Z3" s="631">
        <v>0</v>
      </c>
      <c r="AA3" s="631">
        <v>0</v>
      </c>
      <c r="AB3" s="631">
        <v>0</v>
      </c>
      <c r="AC3" s="631">
        <v>0</v>
      </c>
      <c r="AD3" s="631">
        <v>2</v>
      </c>
      <c r="AE3" s="631">
        <v>0</v>
      </c>
    </row>
    <row r="4" spans="1:31" hidden="1">
      <c r="A4" s="426" t="s">
        <v>10</v>
      </c>
      <c r="B4" s="426"/>
      <c r="C4" s="426"/>
      <c r="D4" s="426"/>
      <c r="E4" s="426"/>
      <c r="F4" s="426"/>
      <c r="G4" s="426"/>
      <c r="H4" s="426"/>
      <c r="I4" s="426"/>
      <c r="J4" s="426"/>
      <c r="K4" s="621"/>
      <c r="L4" s="621"/>
      <c r="M4" s="426"/>
      <c r="N4" s="426"/>
      <c r="O4" s="426"/>
      <c r="P4" s="426"/>
      <c r="Q4" s="628"/>
      <c r="R4" s="621" t="s">
        <v>11</v>
      </c>
      <c r="S4" s="372"/>
      <c r="T4" s="372"/>
      <c r="U4" s="626"/>
      <c r="V4" s="626"/>
      <c r="W4" s="626"/>
      <c r="X4" s="631">
        <v>0</v>
      </c>
      <c r="Y4" s="631">
        <v>0</v>
      </c>
      <c r="Z4" s="631">
        <v>0</v>
      </c>
      <c r="AA4" s="631">
        <v>0</v>
      </c>
      <c r="AB4" s="631">
        <v>0</v>
      </c>
      <c r="AC4" s="631">
        <v>0</v>
      </c>
      <c r="AD4" s="631">
        <v>2</v>
      </c>
      <c r="AE4" s="631">
        <v>0</v>
      </c>
    </row>
    <row r="5" spans="1:31" hidden="1">
      <c r="A5" s="426"/>
      <c r="B5" s="426"/>
      <c r="C5" s="426"/>
      <c r="D5" s="426"/>
      <c r="E5" s="426"/>
      <c r="F5" s="426"/>
      <c r="G5" s="426"/>
      <c r="H5" s="426"/>
      <c r="I5" s="426"/>
      <c r="J5" s="426"/>
      <c r="K5" s="621"/>
      <c r="L5" s="621"/>
      <c r="M5" s="426"/>
      <c r="N5" s="426"/>
      <c r="O5" s="426"/>
      <c r="P5" s="426"/>
      <c r="Q5" s="632" t="s">
        <v>12</v>
      </c>
      <c r="R5" s="633" t="s">
        <v>13</v>
      </c>
      <c r="S5" s="665"/>
      <c r="T5" s="665"/>
      <c r="U5" s="626"/>
      <c r="V5" s="626"/>
      <c r="W5" s="626"/>
      <c r="X5" s="631">
        <v>0</v>
      </c>
      <c r="Y5" s="631">
        <v>0</v>
      </c>
      <c r="Z5" s="631">
        <v>0</v>
      </c>
      <c r="AA5" s="631">
        <v>0</v>
      </c>
      <c r="AB5" s="631">
        <v>0</v>
      </c>
      <c r="AC5" s="631">
        <v>0</v>
      </c>
      <c r="AD5" s="631">
        <v>2</v>
      </c>
      <c r="AE5" s="631">
        <v>0</v>
      </c>
    </row>
    <row r="6" spans="1:31" hidden="1">
      <c r="A6" s="426"/>
      <c r="B6" s="426"/>
      <c r="C6" s="426"/>
      <c r="D6" s="426"/>
      <c r="E6" s="426"/>
      <c r="F6" s="426"/>
      <c r="G6" s="426"/>
      <c r="H6" s="426"/>
      <c r="I6" s="426"/>
      <c r="J6" s="426"/>
      <c r="K6" s="621"/>
      <c r="L6" s="621"/>
      <c r="M6" s="426"/>
      <c r="N6" s="426"/>
      <c r="O6" s="426"/>
      <c r="P6" s="426"/>
      <c r="Q6" s="628"/>
      <c r="R6" s="621" t="s">
        <v>610</v>
      </c>
      <c r="S6" s="372"/>
      <c r="T6" s="372"/>
      <c r="U6" s="626"/>
      <c r="V6" s="626"/>
      <c r="W6" s="626"/>
      <c r="X6" s="631">
        <v>0</v>
      </c>
      <c r="Y6" s="631">
        <v>0</v>
      </c>
      <c r="Z6" s="631">
        <v>0</v>
      </c>
      <c r="AA6" s="631">
        <v>0</v>
      </c>
      <c r="AB6" s="631">
        <v>0</v>
      </c>
      <c r="AC6" s="631">
        <v>0</v>
      </c>
      <c r="AD6" s="631">
        <v>2</v>
      </c>
      <c r="AE6" s="631">
        <v>0</v>
      </c>
    </row>
    <row r="7" spans="1:31" ht="15" hidden="1" thickBot="1">
      <c r="A7" s="662" t="s">
        <v>611</v>
      </c>
      <c r="B7" s="662"/>
      <c r="C7" s="622"/>
      <c r="D7" s="622"/>
      <c r="E7" s="622"/>
      <c r="F7" s="622"/>
      <c r="G7" s="622"/>
      <c r="H7" s="624" t="s">
        <v>812</v>
      </c>
      <c r="I7" s="622"/>
      <c r="J7" s="622"/>
      <c r="K7" s="622"/>
      <c r="L7" s="622"/>
      <c r="M7" s="622"/>
      <c r="N7" s="622"/>
      <c r="O7" s="622"/>
      <c r="P7" s="622"/>
      <c r="Q7" s="623"/>
      <c r="R7" s="622" t="s">
        <v>249</v>
      </c>
      <c r="S7" s="625"/>
      <c r="T7" s="625"/>
      <c r="U7" s="626"/>
      <c r="V7" s="626"/>
      <c r="W7" s="626"/>
      <c r="X7" s="631">
        <v>0</v>
      </c>
      <c r="Y7" s="631">
        <v>2</v>
      </c>
      <c r="Z7" s="631">
        <v>0</v>
      </c>
      <c r="AA7" s="631">
        <v>0</v>
      </c>
      <c r="AB7" s="631">
        <v>0</v>
      </c>
      <c r="AC7" s="631">
        <v>0</v>
      </c>
      <c r="AD7" s="631">
        <v>2</v>
      </c>
      <c r="AE7" s="631">
        <v>0</v>
      </c>
    </row>
    <row r="8" spans="1:31" hidden="1">
      <c r="A8" s="664"/>
      <c r="B8" s="664"/>
      <c r="C8" s="634"/>
      <c r="D8" s="634"/>
      <c r="E8" s="634"/>
      <c r="F8" s="634"/>
      <c r="G8" s="634"/>
      <c r="H8" s="634"/>
      <c r="I8" s="634"/>
      <c r="J8" s="634"/>
      <c r="K8" s="634"/>
      <c r="L8" s="634"/>
      <c r="M8" s="634"/>
      <c r="N8" s="634"/>
      <c r="O8" s="634"/>
      <c r="P8" s="634"/>
      <c r="Q8" s="635"/>
      <c r="R8" s="634"/>
      <c r="S8" s="634"/>
      <c r="T8" s="634"/>
      <c r="U8" s="626"/>
      <c r="V8" s="626"/>
      <c r="W8" s="626"/>
      <c r="X8" s="631">
        <v>0</v>
      </c>
      <c r="Y8" s="631">
        <v>0</v>
      </c>
      <c r="Z8" s="631">
        <v>0</v>
      </c>
      <c r="AA8" s="631">
        <v>0</v>
      </c>
      <c r="AB8" s="631">
        <v>0</v>
      </c>
      <c r="AC8" s="631">
        <v>0</v>
      </c>
      <c r="AD8" s="631">
        <v>0</v>
      </c>
      <c r="AE8" s="631">
        <v>0</v>
      </c>
    </row>
    <row r="9" spans="1:31" hidden="1">
      <c r="A9" s="372"/>
      <c r="B9" s="372"/>
      <c r="C9" s="634">
        <v>-1</v>
      </c>
      <c r="D9" s="634">
        <v>-2</v>
      </c>
      <c r="E9" s="634"/>
      <c r="F9" s="634">
        <v>-3</v>
      </c>
      <c r="G9" s="634"/>
      <c r="H9" s="634">
        <v>-4</v>
      </c>
      <c r="I9" s="634"/>
      <c r="J9" s="634">
        <v>-5</v>
      </c>
      <c r="K9" s="634"/>
      <c r="L9" s="634">
        <v>-6</v>
      </c>
      <c r="M9" s="634"/>
      <c r="N9" s="634">
        <v>-7</v>
      </c>
      <c r="O9" s="634"/>
      <c r="P9" s="634">
        <v>-8</v>
      </c>
      <c r="Q9" s="635"/>
      <c r="R9" s="634">
        <v>-9</v>
      </c>
      <c r="S9" s="634"/>
      <c r="T9" s="634">
        <v>-10</v>
      </c>
      <c r="U9" s="626"/>
      <c r="V9" s="626"/>
      <c r="W9" s="626"/>
      <c r="X9" s="631">
        <v>2</v>
      </c>
      <c r="Y9" s="631">
        <v>2</v>
      </c>
      <c r="Z9" s="631">
        <v>2</v>
      </c>
      <c r="AA9" s="631">
        <v>2</v>
      </c>
      <c r="AB9" s="631">
        <v>2</v>
      </c>
      <c r="AC9" s="631">
        <v>2</v>
      </c>
      <c r="AD9" s="631">
        <v>2</v>
      </c>
      <c r="AE9" s="631">
        <v>2</v>
      </c>
    </row>
    <row r="10" spans="1:31" hidden="1">
      <c r="A10" s="372"/>
      <c r="B10" s="372"/>
      <c r="C10" s="634" t="s">
        <v>613</v>
      </c>
      <c r="D10" s="634" t="s">
        <v>613</v>
      </c>
      <c r="E10" s="372"/>
      <c r="F10" s="634" t="s">
        <v>27</v>
      </c>
      <c r="G10" s="634"/>
      <c r="H10" s="634" t="s">
        <v>45</v>
      </c>
      <c r="I10" s="634"/>
      <c r="J10" s="634"/>
      <c r="K10" s="634"/>
      <c r="L10" s="634"/>
      <c r="M10" s="634"/>
      <c r="N10" s="372"/>
      <c r="O10" s="372"/>
      <c r="P10" s="372"/>
      <c r="Q10" s="635"/>
      <c r="R10" s="634" t="s">
        <v>27</v>
      </c>
      <c r="S10" s="372"/>
      <c r="T10" s="372"/>
      <c r="U10" s="626"/>
      <c r="V10" s="626"/>
      <c r="W10" s="626"/>
      <c r="X10" s="631">
        <v>2</v>
      </c>
      <c r="Y10" s="631">
        <v>2</v>
      </c>
      <c r="Z10" s="631">
        <v>0</v>
      </c>
      <c r="AA10" s="631">
        <v>0</v>
      </c>
      <c r="AB10" s="631">
        <v>0</v>
      </c>
      <c r="AC10" s="631">
        <v>0</v>
      </c>
      <c r="AD10" s="631">
        <v>2</v>
      </c>
      <c r="AE10" s="631">
        <v>0</v>
      </c>
    </row>
    <row r="11" spans="1:31" hidden="1">
      <c r="A11" s="634" t="s">
        <v>35</v>
      </c>
      <c r="B11" s="634"/>
      <c r="C11" s="634" t="s">
        <v>614</v>
      </c>
      <c r="D11" s="634" t="s">
        <v>614</v>
      </c>
      <c r="E11" s="634"/>
      <c r="F11" s="634" t="s">
        <v>37</v>
      </c>
      <c r="G11" s="634"/>
      <c r="H11" s="634" t="s">
        <v>37</v>
      </c>
      <c r="I11" s="634"/>
      <c r="J11" s="634"/>
      <c r="K11" s="634"/>
      <c r="L11" s="634" t="s">
        <v>813</v>
      </c>
      <c r="M11" s="636"/>
      <c r="N11" s="634" t="s">
        <v>813</v>
      </c>
      <c r="O11" s="634"/>
      <c r="P11" s="634" t="s">
        <v>178</v>
      </c>
      <c r="Q11" s="635"/>
      <c r="R11" s="634" t="s">
        <v>37</v>
      </c>
      <c r="S11" s="634"/>
      <c r="T11" s="634" t="s">
        <v>353</v>
      </c>
      <c r="U11" s="626"/>
      <c r="V11" s="626"/>
      <c r="W11" s="626"/>
      <c r="X11" s="631">
        <v>2</v>
      </c>
      <c r="Y11" s="631">
        <v>2</v>
      </c>
      <c r="Z11" s="631">
        <v>0</v>
      </c>
      <c r="AA11" s="631">
        <v>2</v>
      </c>
      <c r="AB11" s="631">
        <v>2</v>
      </c>
      <c r="AC11" s="631">
        <v>2</v>
      </c>
      <c r="AD11" s="631">
        <v>2</v>
      </c>
      <c r="AE11" s="631">
        <v>2</v>
      </c>
    </row>
    <row r="12" spans="1:31" ht="15" hidden="1" thickBot="1">
      <c r="A12" s="637" t="s">
        <v>46</v>
      </c>
      <c r="B12" s="637"/>
      <c r="C12" s="637" t="s">
        <v>371</v>
      </c>
      <c r="D12" s="637" t="s">
        <v>617</v>
      </c>
      <c r="E12" s="637"/>
      <c r="F12" s="637" t="s">
        <v>619</v>
      </c>
      <c r="G12" s="637"/>
      <c r="H12" s="637" t="s">
        <v>814</v>
      </c>
      <c r="I12" s="637"/>
      <c r="J12" s="637" t="s">
        <v>815</v>
      </c>
      <c r="K12" s="637"/>
      <c r="L12" s="637" t="s">
        <v>816</v>
      </c>
      <c r="M12" s="637"/>
      <c r="N12" s="637" t="s">
        <v>817</v>
      </c>
      <c r="O12" s="637"/>
      <c r="P12" s="637" t="s">
        <v>622</v>
      </c>
      <c r="Q12" s="638"/>
      <c r="R12" s="637" t="s">
        <v>623</v>
      </c>
      <c r="S12" s="637"/>
      <c r="T12" s="637" t="s">
        <v>369</v>
      </c>
      <c r="U12" s="626"/>
      <c r="V12" s="626"/>
      <c r="W12" s="626"/>
      <c r="X12" s="631">
        <v>2</v>
      </c>
      <c r="Y12" s="631">
        <v>2</v>
      </c>
      <c r="Z12" s="631">
        <v>2</v>
      </c>
      <c r="AA12" s="631">
        <v>2</v>
      </c>
      <c r="AB12" s="631">
        <v>2</v>
      </c>
      <c r="AC12" s="631">
        <v>2</v>
      </c>
      <c r="AD12" s="631">
        <v>2</v>
      </c>
      <c r="AE12" s="631">
        <v>2</v>
      </c>
    </row>
    <row r="13" spans="1:31" hidden="1">
      <c r="A13" s="634">
        <v>1</v>
      </c>
      <c r="B13" s="639"/>
      <c r="C13" s="372"/>
      <c r="D13" s="372"/>
      <c r="E13" s="664"/>
      <c r="F13" s="664"/>
      <c r="G13" s="664"/>
      <c r="H13" s="664"/>
      <c r="I13" s="664"/>
      <c r="J13" s="664"/>
      <c r="K13" s="372"/>
      <c r="L13" s="634"/>
      <c r="M13" s="372"/>
      <c r="N13" s="634"/>
      <c r="O13" s="372"/>
      <c r="P13" s="634"/>
      <c r="Q13" s="635"/>
      <c r="R13" s="372"/>
      <c r="S13" s="664"/>
      <c r="T13" s="664"/>
      <c r="U13" s="626"/>
      <c r="V13" s="626"/>
      <c r="W13" s="626"/>
      <c r="X13" s="631">
        <v>0</v>
      </c>
      <c r="Y13" s="631">
        <v>0</v>
      </c>
      <c r="Z13" s="631">
        <v>0</v>
      </c>
      <c r="AA13" s="631">
        <v>0</v>
      </c>
      <c r="AB13" s="631">
        <v>0</v>
      </c>
      <c r="AC13" s="631">
        <v>0</v>
      </c>
      <c r="AD13" s="631">
        <v>0</v>
      </c>
      <c r="AE13" s="631">
        <v>0</v>
      </c>
    </row>
    <row r="14" spans="1:31" hidden="1">
      <c r="A14" s="634">
        <v>2</v>
      </c>
      <c r="B14" s="639"/>
      <c r="C14" s="372"/>
      <c r="D14" s="372" t="s">
        <v>624</v>
      </c>
      <c r="E14" s="372"/>
      <c r="F14" s="634"/>
      <c r="G14" s="372"/>
      <c r="H14" s="634"/>
      <c r="I14" s="372"/>
      <c r="J14" s="634"/>
      <c r="K14" s="372"/>
      <c r="L14" s="634"/>
      <c r="M14" s="372"/>
      <c r="N14" s="634"/>
      <c r="O14" s="634"/>
      <c r="P14" s="634"/>
      <c r="Q14" s="635"/>
      <c r="R14" s="634"/>
      <c r="S14" s="372"/>
      <c r="T14" s="634"/>
      <c r="U14" s="626"/>
      <c r="V14" s="626"/>
      <c r="W14" s="626"/>
      <c r="X14" s="631">
        <v>0</v>
      </c>
      <c r="Y14" s="631">
        <v>0</v>
      </c>
      <c r="Z14" s="631">
        <v>0</v>
      </c>
      <c r="AA14" s="631">
        <v>0</v>
      </c>
      <c r="AB14" s="631">
        <v>0</v>
      </c>
      <c r="AC14" s="631">
        <v>0</v>
      </c>
      <c r="AD14" s="631">
        <v>0</v>
      </c>
      <c r="AE14" s="631">
        <v>0</v>
      </c>
    </row>
    <row r="15" spans="1:31" hidden="1">
      <c r="A15" s="634">
        <v>3</v>
      </c>
      <c r="B15" s="639"/>
      <c r="C15" s="372"/>
      <c r="D15" s="372" t="s">
        <v>625</v>
      </c>
      <c r="E15" s="372"/>
      <c r="F15" s="372"/>
      <c r="G15" s="372"/>
      <c r="H15" s="372"/>
      <c r="I15" s="372"/>
      <c r="J15" s="372"/>
      <c r="K15" s="372"/>
      <c r="L15" s="372"/>
      <c r="M15" s="372"/>
      <c r="N15" s="372"/>
      <c r="O15" s="372"/>
      <c r="P15" s="634"/>
      <c r="Q15" s="635"/>
      <c r="R15" s="372"/>
      <c r="S15" s="372"/>
      <c r="T15" s="372"/>
      <c r="U15" s="626"/>
      <c r="V15" s="626"/>
      <c r="W15" s="626"/>
      <c r="X15" s="631">
        <v>0</v>
      </c>
      <c r="Y15" s="631">
        <v>0</v>
      </c>
      <c r="Z15" s="631">
        <v>0</v>
      </c>
      <c r="AA15" s="631">
        <v>0</v>
      </c>
      <c r="AB15" s="631">
        <v>0</v>
      </c>
      <c r="AC15" s="631">
        <v>0</v>
      </c>
      <c r="AD15" s="631">
        <v>0</v>
      </c>
      <c r="AE15" s="631">
        <v>0</v>
      </c>
    </row>
    <row r="16" spans="1:31" hidden="1">
      <c r="A16" s="634">
        <v>4</v>
      </c>
      <c r="B16" s="639"/>
      <c r="C16" s="372"/>
      <c r="D16" s="372" t="s">
        <v>626</v>
      </c>
      <c r="E16" s="372"/>
      <c r="F16" s="372"/>
      <c r="G16" s="372"/>
      <c r="H16" s="372"/>
      <c r="I16" s="372"/>
      <c r="J16" s="372"/>
      <c r="K16" s="372"/>
      <c r="L16" s="372"/>
      <c r="M16" s="372"/>
      <c r="N16" s="372"/>
      <c r="O16" s="372"/>
      <c r="P16" s="372"/>
      <c r="Q16" s="635"/>
      <c r="R16" s="372"/>
      <c r="S16" s="372"/>
      <c r="T16" s="372"/>
      <c r="U16" s="626"/>
      <c r="V16" s="626"/>
      <c r="W16" s="626"/>
      <c r="X16" s="631">
        <v>0</v>
      </c>
      <c r="Y16" s="631">
        <v>0</v>
      </c>
      <c r="Z16" s="631">
        <v>0</v>
      </c>
      <c r="AA16" s="631">
        <v>0</v>
      </c>
      <c r="AB16" s="631">
        <v>0</v>
      </c>
      <c r="AC16" s="631">
        <v>0</v>
      </c>
      <c r="AD16" s="631">
        <v>0</v>
      </c>
      <c r="AE16" s="631">
        <v>0</v>
      </c>
    </row>
    <row r="17" spans="1:31" hidden="1">
      <c r="A17" s="634">
        <v>5</v>
      </c>
      <c r="B17" s="639"/>
      <c r="C17" s="634">
        <v>31140</v>
      </c>
      <c r="D17" s="372" t="s">
        <v>627</v>
      </c>
      <c r="E17" s="372"/>
      <c r="F17" s="640">
        <v>56111</v>
      </c>
      <c r="G17" s="635"/>
      <c r="H17" s="640">
        <v>8113</v>
      </c>
      <c r="I17" s="635"/>
      <c r="J17" s="634">
        <v>-496</v>
      </c>
      <c r="K17" s="372"/>
      <c r="L17" s="634">
        <v>-275</v>
      </c>
      <c r="M17" s="372"/>
      <c r="N17" s="634" t="s">
        <v>628</v>
      </c>
      <c r="O17" s="634"/>
      <c r="P17" s="634" t="s">
        <v>635</v>
      </c>
      <c r="Q17" s="635"/>
      <c r="R17" s="640">
        <v>63452</v>
      </c>
      <c r="S17" s="372"/>
      <c r="T17" s="640">
        <v>59788</v>
      </c>
      <c r="U17" s="626"/>
      <c r="V17" s="626"/>
      <c r="W17" s="626"/>
      <c r="X17" s="641">
        <v>5</v>
      </c>
      <c r="Y17" s="641">
        <v>4</v>
      </c>
      <c r="Z17" s="641">
        <v>5</v>
      </c>
      <c r="AA17" s="641">
        <v>5</v>
      </c>
      <c r="AB17" s="631">
        <v>0</v>
      </c>
      <c r="AC17" s="631">
        <v>0</v>
      </c>
      <c r="AD17" s="641">
        <v>4</v>
      </c>
      <c r="AE17" s="641">
        <v>5</v>
      </c>
    </row>
    <row r="18" spans="1:31" hidden="1">
      <c r="A18" s="634">
        <v>6</v>
      </c>
      <c r="B18" s="639"/>
      <c r="C18" s="634">
        <v>31240</v>
      </c>
      <c r="D18" s="372" t="s">
        <v>629</v>
      </c>
      <c r="E18" s="372"/>
      <c r="F18" s="640">
        <v>35756</v>
      </c>
      <c r="G18" s="635"/>
      <c r="H18" s="640">
        <v>9031</v>
      </c>
      <c r="I18" s="635"/>
      <c r="J18" s="640">
        <v>-1359</v>
      </c>
      <c r="K18" s="372"/>
      <c r="L18" s="634">
        <v>523</v>
      </c>
      <c r="M18" s="372"/>
      <c r="N18" s="634">
        <v>42</v>
      </c>
      <c r="O18" s="634"/>
      <c r="P18" s="634" t="s">
        <v>635</v>
      </c>
      <c r="Q18" s="635"/>
      <c r="R18" s="640">
        <v>43994</v>
      </c>
      <c r="S18" s="372"/>
      <c r="T18" s="640">
        <v>39492</v>
      </c>
      <c r="U18" s="626"/>
      <c r="V18" s="626"/>
      <c r="W18" s="626"/>
      <c r="X18" s="641">
        <v>4</v>
      </c>
      <c r="Y18" s="641">
        <v>5</v>
      </c>
      <c r="Z18" s="641">
        <v>5</v>
      </c>
      <c r="AA18" s="641">
        <v>5</v>
      </c>
      <c r="AB18" s="641">
        <v>5</v>
      </c>
      <c r="AC18" s="631">
        <v>0</v>
      </c>
      <c r="AD18" s="641">
        <v>5</v>
      </c>
      <c r="AE18" s="641">
        <v>5</v>
      </c>
    </row>
    <row r="19" spans="1:31" hidden="1">
      <c r="A19" s="634">
        <v>7</v>
      </c>
      <c r="B19" s="639"/>
      <c r="C19" s="634">
        <v>31440</v>
      </c>
      <c r="D19" s="372" t="s">
        <v>630</v>
      </c>
      <c r="E19" s="372"/>
      <c r="F19" s="640">
        <v>3782</v>
      </c>
      <c r="G19" s="635"/>
      <c r="H19" s="634">
        <v>315</v>
      </c>
      <c r="I19" s="635"/>
      <c r="J19" s="634">
        <v>-367</v>
      </c>
      <c r="K19" s="372"/>
      <c r="L19" s="640">
        <v>-1174</v>
      </c>
      <c r="M19" s="372"/>
      <c r="N19" s="634">
        <v>52</v>
      </c>
      <c r="O19" s="634"/>
      <c r="P19" s="634" t="s">
        <v>635</v>
      </c>
      <c r="Q19" s="635"/>
      <c r="R19" s="640">
        <v>2608</v>
      </c>
      <c r="S19" s="372"/>
      <c r="T19" s="640">
        <v>3532</v>
      </c>
      <c r="U19" s="626"/>
      <c r="V19" s="626"/>
      <c r="W19" s="626"/>
      <c r="X19" s="641">
        <v>5</v>
      </c>
      <c r="Y19" s="641">
        <v>5</v>
      </c>
      <c r="Z19" s="641">
        <v>5</v>
      </c>
      <c r="AA19" s="641">
        <v>4</v>
      </c>
      <c r="AB19" s="641">
        <v>5</v>
      </c>
      <c r="AC19" s="631">
        <v>0</v>
      </c>
      <c r="AD19" s="641">
        <v>5</v>
      </c>
      <c r="AE19" s="641">
        <v>5</v>
      </c>
    </row>
    <row r="20" spans="1:31" hidden="1">
      <c r="A20" s="634">
        <v>8</v>
      </c>
      <c r="B20" s="639"/>
      <c r="C20" s="634">
        <v>31540</v>
      </c>
      <c r="D20" s="372" t="s">
        <v>631</v>
      </c>
      <c r="E20" s="372"/>
      <c r="F20" s="640">
        <v>16665</v>
      </c>
      <c r="G20" s="635"/>
      <c r="H20" s="640">
        <v>1535</v>
      </c>
      <c r="I20" s="635"/>
      <c r="J20" s="634">
        <v>-26</v>
      </c>
      <c r="K20" s="372"/>
      <c r="L20" s="634">
        <v>-1</v>
      </c>
      <c r="M20" s="372"/>
      <c r="N20" s="634" t="s">
        <v>628</v>
      </c>
      <c r="O20" s="634"/>
      <c r="P20" s="634" t="s">
        <v>635</v>
      </c>
      <c r="Q20" s="635"/>
      <c r="R20" s="640">
        <v>18173</v>
      </c>
      <c r="S20" s="372"/>
      <c r="T20" s="640">
        <v>17426</v>
      </c>
      <c r="U20" s="626"/>
      <c r="V20" s="626"/>
      <c r="W20" s="626"/>
      <c r="X20" s="641">
        <v>5</v>
      </c>
      <c r="Y20" s="641">
        <v>5</v>
      </c>
      <c r="Z20" s="641">
        <v>5</v>
      </c>
      <c r="AA20" s="641">
        <v>5</v>
      </c>
      <c r="AB20" s="631">
        <v>0</v>
      </c>
      <c r="AC20" s="631">
        <v>0</v>
      </c>
      <c r="AD20" s="641">
        <v>5</v>
      </c>
      <c r="AE20" s="641">
        <v>5</v>
      </c>
    </row>
    <row r="21" spans="1:31" hidden="1">
      <c r="A21" s="634">
        <v>9</v>
      </c>
      <c r="B21" s="639"/>
      <c r="C21" s="634">
        <v>31640</v>
      </c>
      <c r="D21" s="372" t="s">
        <v>632</v>
      </c>
      <c r="E21" s="372"/>
      <c r="F21" s="640">
        <v>10400</v>
      </c>
      <c r="G21" s="635"/>
      <c r="H21" s="634">
        <v>862</v>
      </c>
      <c r="I21" s="635"/>
      <c r="J21" s="634">
        <v>-313</v>
      </c>
      <c r="K21" s="372"/>
      <c r="L21" s="634">
        <v>-27</v>
      </c>
      <c r="M21" s="372"/>
      <c r="N21" s="634" t="s">
        <v>628</v>
      </c>
      <c r="O21" s="634"/>
      <c r="P21" s="634" t="s">
        <v>635</v>
      </c>
      <c r="Q21" s="635"/>
      <c r="R21" s="640">
        <v>10921</v>
      </c>
      <c r="S21" s="372"/>
      <c r="T21" s="640">
        <v>10580</v>
      </c>
      <c r="U21" s="626"/>
      <c r="V21" s="626"/>
      <c r="W21" s="626"/>
      <c r="X21" s="641">
        <v>5</v>
      </c>
      <c r="Y21" s="641">
        <v>5</v>
      </c>
      <c r="Z21" s="641">
        <v>5</v>
      </c>
      <c r="AA21" s="641">
        <v>5</v>
      </c>
      <c r="AB21" s="631">
        <v>0</v>
      </c>
      <c r="AC21" s="631">
        <v>0</v>
      </c>
      <c r="AD21" s="641">
        <v>4</v>
      </c>
      <c r="AE21" s="641">
        <v>5</v>
      </c>
    </row>
    <row r="22" spans="1:31" hidden="1">
      <c r="A22" s="634">
        <v>10</v>
      </c>
      <c r="B22" s="639"/>
      <c r="C22" s="634"/>
      <c r="D22" s="372" t="s">
        <v>633</v>
      </c>
      <c r="E22" s="372"/>
      <c r="F22" s="642">
        <v>122715</v>
      </c>
      <c r="G22" s="372"/>
      <c r="H22" s="642">
        <v>19855</v>
      </c>
      <c r="I22" s="635"/>
      <c r="J22" s="642">
        <v>-2562</v>
      </c>
      <c r="K22" s="635"/>
      <c r="L22" s="643">
        <v>-954</v>
      </c>
      <c r="M22" s="635"/>
      <c r="N22" s="643">
        <v>94</v>
      </c>
      <c r="O22" s="635"/>
      <c r="P22" s="643" t="s">
        <v>635</v>
      </c>
      <c r="Q22" s="635"/>
      <c r="R22" s="642">
        <v>139148</v>
      </c>
      <c r="S22" s="635"/>
      <c r="T22" s="642">
        <v>130818</v>
      </c>
      <c r="U22" s="626"/>
      <c r="V22" s="626"/>
      <c r="W22" s="626"/>
      <c r="X22" s="641">
        <v>5</v>
      </c>
      <c r="Y22" s="641">
        <v>5</v>
      </c>
      <c r="Z22" s="641">
        <v>5</v>
      </c>
      <c r="AA22" s="641">
        <v>4</v>
      </c>
      <c r="AB22" s="641">
        <v>5</v>
      </c>
      <c r="AC22" s="631">
        <v>0</v>
      </c>
      <c r="AD22" s="641">
        <v>5</v>
      </c>
      <c r="AE22" s="641">
        <v>5</v>
      </c>
    </row>
    <row r="23" spans="1:31" hidden="1">
      <c r="A23" s="634">
        <v>11</v>
      </c>
      <c r="B23" s="639"/>
      <c r="C23" s="634"/>
      <c r="D23" s="372"/>
      <c r="E23" s="372"/>
      <c r="F23" s="372"/>
      <c r="G23" s="372"/>
      <c r="H23" s="372"/>
      <c r="I23" s="635"/>
      <c r="J23" s="635"/>
      <c r="K23" s="635"/>
      <c r="L23" s="635"/>
      <c r="M23" s="635"/>
      <c r="N23" s="635"/>
      <c r="O23" s="635"/>
      <c r="P23" s="635"/>
      <c r="Q23" s="635"/>
      <c r="R23" s="635"/>
      <c r="S23" s="635"/>
      <c r="T23" s="635"/>
      <c r="U23" s="626"/>
      <c r="V23" s="626"/>
      <c r="W23" s="626"/>
      <c r="X23" s="631">
        <v>0</v>
      </c>
      <c r="Y23" s="631">
        <v>0</v>
      </c>
      <c r="Z23" s="631">
        <v>0</v>
      </c>
      <c r="AA23" s="631">
        <v>0</v>
      </c>
      <c r="AB23" s="631">
        <v>0</v>
      </c>
      <c r="AC23" s="631">
        <v>0</v>
      </c>
      <c r="AD23" s="631">
        <v>0</v>
      </c>
      <c r="AE23" s="631">
        <v>0</v>
      </c>
    </row>
    <row r="24" spans="1:31" hidden="1">
      <c r="A24" s="634">
        <v>12</v>
      </c>
      <c r="B24" s="639"/>
      <c r="C24" s="634"/>
      <c r="D24" s="372" t="s">
        <v>634</v>
      </c>
      <c r="E24" s="372"/>
      <c r="F24" s="372"/>
      <c r="G24" s="372"/>
      <c r="H24" s="372"/>
      <c r="I24" s="635"/>
      <c r="J24" s="635"/>
      <c r="K24" s="635"/>
      <c r="L24" s="635"/>
      <c r="M24" s="635"/>
      <c r="N24" s="635"/>
      <c r="O24" s="635"/>
      <c r="P24" s="635"/>
      <c r="Q24" s="635"/>
      <c r="R24" s="635"/>
      <c r="S24" s="635"/>
      <c r="T24" s="635"/>
      <c r="U24" s="626"/>
      <c r="V24" s="626"/>
      <c r="W24" s="626"/>
      <c r="X24" s="631">
        <v>0</v>
      </c>
      <c r="Y24" s="631">
        <v>0</v>
      </c>
      <c r="Z24" s="631">
        <v>0</v>
      </c>
      <c r="AA24" s="631">
        <v>0</v>
      </c>
      <c r="AB24" s="631">
        <v>0</v>
      </c>
      <c r="AC24" s="631">
        <v>0</v>
      </c>
      <c r="AD24" s="631">
        <v>0</v>
      </c>
      <c r="AE24" s="631">
        <v>0</v>
      </c>
    </row>
    <row r="25" spans="1:31" hidden="1">
      <c r="A25" s="634">
        <v>13</v>
      </c>
      <c r="B25" s="639"/>
      <c r="C25" s="634">
        <v>31141</v>
      </c>
      <c r="D25" s="372" t="s">
        <v>627</v>
      </c>
      <c r="E25" s="372"/>
      <c r="F25" s="634" t="s">
        <v>628</v>
      </c>
      <c r="G25" s="635"/>
      <c r="H25" s="634" t="s">
        <v>635</v>
      </c>
      <c r="I25" s="635"/>
      <c r="J25" s="634" t="s">
        <v>635</v>
      </c>
      <c r="K25" s="372"/>
      <c r="L25" s="634" t="s">
        <v>635</v>
      </c>
      <c r="M25" s="372"/>
      <c r="N25" s="634" t="s">
        <v>635</v>
      </c>
      <c r="O25" s="634"/>
      <c r="P25" s="634" t="s">
        <v>635</v>
      </c>
      <c r="Q25" s="635"/>
      <c r="R25" s="634" t="s">
        <v>635</v>
      </c>
      <c r="S25" s="372"/>
      <c r="T25" s="634" t="s">
        <v>635</v>
      </c>
      <c r="U25" s="626"/>
      <c r="V25" s="626"/>
      <c r="W25" s="626"/>
      <c r="X25" s="631">
        <v>0</v>
      </c>
      <c r="Y25" s="631">
        <v>0</v>
      </c>
      <c r="Z25" s="631">
        <v>0</v>
      </c>
      <c r="AA25" s="631">
        <v>0</v>
      </c>
      <c r="AB25" s="631">
        <v>0</v>
      </c>
      <c r="AC25" s="631">
        <v>0</v>
      </c>
      <c r="AD25" s="631">
        <v>0</v>
      </c>
      <c r="AE25" s="631">
        <v>0</v>
      </c>
    </row>
    <row r="26" spans="1:31" hidden="1">
      <c r="A26" s="634">
        <v>14</v>
      </c>
      <c r="B26" s="639"/>
      <c r="C26" s="634">
        <v>31241</v>
      </c>
      <c r="D26" s="372" t="s">
        <v>629</v>
      </c>
      <c r="E26" s="372"/>
      <c r="F26" s="634" t="s">
        <v>628</v>
      </c>
      <c r="G26" s="635"/>
      <c r="H26" s="634" t="s">
        <v>635</v>
      </c>
      <c r="I26" s="635"/>
      <c r="J26" s="634" t="s">
        <v>635</v>
      </c>
      <c r="K26" s="372"/>
      <c r="L26" s="634" t="s">
        <v>635</v>
      </c>
      <c r="M26" s="372"/>
      <c r="N26" s="634" t="s">
        <v>635</v>
      </c>
      <c r="O26" s="634"/>
      <c r="P26" s="634" t="s">
        <v>635</v>
      </c>
      <c r="Q26" s="635"/>
      <c r="R26" s="634" t="s">
        <v>635</v>
      </c>
      <c r="S26" s="372"/>
      <c r="T26" s="634" t="s">
        <v>635</v>
      </c>
      <c r="U26" s="626"/>
      <c r="V26" s="626"/>
      <c r="W26" s="626"/>
      <c r="X26" s="631">
        <v>0</v>
      </c>
      <c r="Y26" s="631">
        <v>0</v>
      </c>
      <c r="Z26" s="631">
        <v>0</v>
      </c>
      <c r="AA26" s="631">
        <v>0</v>
      </c>
      <c r="AB26" s="631">
        <v>0</v>
      </c>
      <c r="AC26" s="631">
        <v>0</v>
      </c>
      <c r="AD26" s="631">
        <v>0</v>
      </c>
      <c r="AE26" s="631">
        <v>0</v>
      </c>
    </row>
    <row r="27" spans="1:31" hidden="1">
      <c r="A27" s="634">
        <v>15</v>
      </c>
      <c r="B27" s="639"/>
      <c r="C27" s="634">
        <v>31441</v>
      </c>
      <c r="D27" s="372" t="s">
        <v>630</v>
      </c>
      <c r="E27" s="372"/>
      <c r="F27" s="634" t="s">
        <v>628</v>
      </c>
      <c r="G27" s="635"/>
      <c r="H27" s="634" t="s">
        <v>635</v>
      </c>
      <c r="I27" s="635"/>
      <c r="J27" s="634" t="s">
        <v>635</v>
      </c>
      <c r="K27" s="372"/>
      <c r="L27" s="634" t="s">
        <v>635</v>
      </c>
      <c r="M27" s="372"/>
      <c r="N27" s="634" t="s">
        <v>635</v>
      </c>
      <c r="O27" s="634"/>
      <c r="P27" s="634" t="s">
        <v>635</v>
      </c>
      <c r="Q27" s="635"/>
      <c r="R27" s="634" t="s">
        <v>635</v>
      </c>
      <c r="S27" s="372"/>
      <c r="T27" s="634" t="s">
        <v>635</v>
      </c>
      <c r="U27" s="626"/>
      <c r="V27" s="626"/>
      <c r="W27" s="626"/>
      <c r="X27" s="631">
        <v>0</v>
      </c>
      <c r="Y27" s="631">
        <v>0</v>
      </c>
      <c r="Z27" s="631">
        <v>0</v>
      </c>
      <c r="AA27" s="631">
        <v>0</v>
      </c>
      <c r="AB27" s="631">
        <v>0</v>
      </c>
      <c r="AC27" s="631">
        <v>0</v>
      </c>
      <c r="AD27" s="631">
        <v>0</v>
      </c>
      <c r="AE27" s="631">
        <v>0</v>
      </c>
    </row>
    <row r="28" spans="1:31" hidden="1">
      <c r="A28" s="634">
        <v>16</v>
      </c>
      <c r="B28" s="639"/>
      <c r="C28" s="634">
        <v>31541</v>
      </c>
      <c r="D28" s="372" t="s">
        <v>631</v>
      </c>
      <c r="E28" s="372"/>
      <c r="F28" s="634" t="s">
        <v>628</v>
      </c>
      <c r="G28" s="635"/>
      <c r="H28" s="634" t="s">
        <v>635</v>
      </c>
      <c r="I28" s="635"/>
      <c r="J28" s="634" t="s">
        <v>635</v>
      </c>
      <c r="K28" s="372"/>
      <c r="L28" s="634" t="s">
        <v>635</v>
      </c>
      <c r="M28" s="372"/>
      <c r="N28" s="634" t="s">
        <v>635</v>
      </c>
      <c r="O28" s="634"/>
      <c r="P28" s="634" t="s">
        <v>635</v>
      </c>
      <c r="Q28" s="635"/>
      <c r="R28" s="634" t="s">
        <v>635</v>
      </c>
      <c r="S28" s="372"/>
      <c r="T28" s="634" t="s">
        <v>635</v>
      </c>
      <c r="U28" s="626"/>
      <c r="V28" s="626"/>
      <c r="W28" s="626"/>
      <c r="X28" s="631">
        <v>0</v>
      </c>
      <c r="Y28" s="631">
        <v>0</v>
      </c>
      <c r="Z28" s="631">
        <v>0</v>
      </c>
      <c r="AA28" s="631">
        <v>0</v>
      </c>
      <c r="AB28" s="631">
        <v>0</v>
      </c>
      <c r="AC28" s="631">
        <v>0</v>
      </c>
      <c r="AD28" s="631">
        <v>0</v>
      </c>
      <c r="AE28" s="631">
        <v>0</v>
      </c>
    </row>
    <row r="29" spans="1:31" hidden="1">
      <c r="A29" s="634">
        <v>17</v>
      </c>
      <c r="B29" s="639"/>
      <c r="C29" s="634">
        <v>31641</v>
      </c>
      <c r="D29" s="372" t="s">
        <v>632</v>
      </c>
      <c r="E29" s="372"/>
      <c r="F29" s="634" t="s">
        <v>628</v>
      </c>
      <c r="G29" s="635"/>
      <c r="H29" s="634" t="s">
        <v>635</v>
      </c>
      <c r="I29" s="635"/>
      <c r="J29" s="634" t="s">
        <v>635</v>
      </c>
      <c r="K29" s="372"/>
      <c r="L29" s="634" t="s">
        <v>635</v>
      </c>
      <c r="M29" s="372"/>
      <c r="N29" s="634" t="s">
        <v>635</v>
      </c>
      <c r="O29" s="634"/>
      <c r="P29" s="634" t="s">
        <v>635</v>
      </c>
      <c r="Q29" s="635"/>
      <c r="R29" s="634" t="s">
        <v>635</v>
      </c>
      <c r="S29" s="372"/>
      <c r="T29" s="634" t="s">
        <v>635</v>
      </c>
      <c r="U29" s="626"/>
      <c r="V29" s="626"/>
      <c r="W29" s="626"/>
      <c r="X29" s="631">
        <v>0</v>
      </c>
      <c r="Y29" s="631">
        <v>0</v>
      </c>
      <c r="Z29" s="631">
        <v>0</v>
      </c>
      <c r="AA29" s="631">
        <v>0</v>
      </c>
      <c r="AB29" s="631">
        <v>0</v>
      </c>
      <c r="AC29" s="631">
        <v>0</v>
      </c>
      <c r="AD29" s="631">
        <v>0</v>
      </c>
      <c r="AE29" s="631">
        <v>0</v>
      </c>
    </row>
    <row r="30" spans="1:31" hidden="1">
      <c r="A30" s="634">
        <v>18</v>
      </c>
      <c r="B30" s="639"/>
      <c r="C30" s="634"/>
      <c r="D30" s="372" t="s">
        <v>636</v>
      </c>
      <c r="E30" s="372"/>
      <c r="F30" s="643" t="s">
        <v>628</v>
      </c>
      <c r="G30" s="372"/>
      <c r="H30" s="643" t="s">
        <v>635</v>
      </c>
      <c r="I30" s="635"/>
      <c r="J30" s="643" t="s">
        <v>635</v>
      </c>
      <c r="K30" s="635"/>
      <c r="L30" s="643" t="s">
        <v>635</v>
      </c>
      <c r="M30" s="635"/>
      <c r="N30" s="643" t="s">
        <v>635</v>
      </c>
      <c r="O30" s="635"/>
      <c r="P30" s="643" t="s">
        <v>635</v>
      </c>
      <c r="Q30" s="635"/>
      <c r="R30" s="643" t="s">
        <v>635</v>
      </c>
      <c r="S30" s="635"/>
      <c r="T30" s="643" t="s">
        <v>635</v>
      </c>
      <c r="U30" s="626"/>
      <c r="V30" s="626"/>
      <c r="W30" s="626"/>
      <c r="X30" s="631">
        <v>0</v>
      </c>
      <c r="Y30" s="631">
        <v>0</v>
      </c>
      <c r="Z30" s="631">
        <v>0</v>
      </c>
      <c r="AA30" s="631">
        <v>0</v>
      </c>
      <c r="AB30" s="631">
        <v>0</v>
      </c>
      <c r="AC30" s="631">
        <v>0</v>
      </c>
      <c r="AD30" s="631">
        <v>0</v>
      </c>
      <c r="AE30" s="631">
        <v>0</v>
      </c>
    </row>
    <row r="31" spans="1:31" hidden="1">
      <c r="A31" s="634">
        <v>19</v>
      </c>
      <c r="B31" s="639"/>
      <c r="C31" s="372"/>
      <c r="D31" s="372"/>
      <c r="E31" s="372"/>
      <c r="F31" s="372"/>
      <c r="G31" s="372"/>
      <c r="H31" s="372"/>
      <c r="I31" s="372"/>
      <c r="J31" s="372"/>
      <c r="K31" s="372"/>
      <c r="L31" s="372"/>
      <c r="M31" s="372"/>
      <c r="N31" s="372"/>
      <c r="O31" s="372"/>
      <c r="P31" s="372"/>
      <c r="Q31" s="635"/>
      <c r="R31" s="372"/>
      <c r="S31" s="372"/>
      <c r="T31" s="372"/>
      <c r="U31" s="626"/>
      <c r="V31" s="626"/>
      <c r="W31" s="626"/>
      <c r="X31" s="631">
        <v>0</v>
      </c>
      <c r="Y31" s="631">
        <v>0</v>
      </c>
      <c r="Z31" s="631">
        <v>0</v>
      </c>
      <c r="AA31" s="631">
        <v>0</v>
      </c>
      <c r="AB31" s="631">
        <v>0</v>
      </c>
      <c r="AC31" s="631">
        <v>0</v>
      </c>
      <c r="AD31" s="631">
        <v>0</v>
      </c>
      <c r="AE31" s="631">
        <v>0</v>
      </c>
    </row>
    <row r="32" spans="1:31" hidden="1">
      <c r="A32" s="634">
        <v>20</v>
      </c>
      <c r="B32" s="639"/>
      <c r="C32" s="634"/>
      <c r="D32" s="372" t="s">
        <v>637</v>
      </c>
      <c r="E32" s="372"/>
      <c r="F32" s="372"/>
      <c r="G32" s="372"/>
      <c r="H32" s="372"/>
      <c r="I32" s="635"/>
      <c r="J32" s="635"/>
      <c r="K32" s="635"/>
      <c r="L32" s="635"/>
      <c r="M32" s="635"/>
      <c r="N32" s="635"/>
      <c r="O32" s="635"/>
      <c r="P32" s="635"/>
      <c r="Q32" s="635"/>
      <c r="R32" s="635"/>
      <c r="S32" s="635"/>
      <c r="T32" s="635"/>
      <c r="U32" s="626"/>
      <c r="V32" s="626"/>
      <c r="W32" s="626"/>
      <c r="X32" s="631">
        <v>0</v>
      </c>
      <c r="Y32" s="631">
        <v>0</v>
      </c>
      <c r="Z32" s="631">
        <v>0</v>
      </c>
      <c r="AA32" s="631">
        <v>0</v>
      </c>
      <c r="AB32" s="631">
        <v>0</v>
      </c>
      <c r="AC32" s="631">
        <v>0</v>
      </c>
      <c r="AD32" s="631">
        <v>0</v>
      </c>
      <c r="AE32" s="631">
        <v>0</v>
      </c>
    </row>
    <row r="33" spans="1:31" hidden="1">
      <c r="A33" s="634">
        <v>21</v>
      </c>
      <c r="B33" s="639"/>
      <c r="C33" s="634">
        <v>31142</v>
      </c>
      <c r="D33" s="372" t="s">
        <v>627</v>
      </c>
      <c r="E33" s="372"/>
      <c r="F33" s="634" t="s">
        <v>628</v>
      </c>
      <c r="G33" s="635"/>
      <c r="H33" s="634" t="s">
        <v>635</v>
      </c>
      <c r="I33" s="635"/>
      <c r="J33" s="634" t="s">
        <v>635</v>
      </c>
      <c r="K33" s="372"/>
      <c r="L33" s="634" t="s">
        <v>635</v>
      </c>
      <c r="M33" s="372"/>
      <c r="N33" s="634" t="s">
        <v>635</v>
      </c>
      <c r="O33" s="634"/>
      <c r="P33" s="634" t="s">
        <v>635</v>
      </c>
      <c r="Q33" s="635"/>
      <c r="R33" s="634" t="s">
        <v>635</v>
      </c>
      <c r="S33" s="372"/>
      <c r="T33" s="634" t="s">
        <v>635</v>
      </c>
      <c r="U33" s="626"/>
      <c r="V33" s="626"/>
      <c r="W33" s="626"/>
      <c r="X33" s="631">
        <v>0</v>
      </c>
      <c r="Y33" s="631">
        <v>0</v>
      </c>
      <c r="Z33" s="631">
        <v>0</v>
      </c>
      <c r="AA33" s="631">
        <v>0</v>
      </c>
      <c r="AB33" s="631">
        <v>0</v>
      </c>
      <c r="AC33" s="631">
        <v>0</v>
      </c>
      <c r="AD33" s="631">
        <v>0</v>
      </c>
      <c r="AE33" s="631">
        <v>0</v>
      </c>
    </row>
    <row r="34" spans="1:31" hidden="1">
      <c r="A34" s="634">
        <v>22</v>
      </c>
      <c r="B34" s="639"/>
      <c r="C34" s="634">
        <v>31242</v>
      </c>
      <c r="D34" s="372" t="s">
        <v>629</v>
      </c>
      <c r="E34" s="372"/>
      <c r="F34" s="634" t="s">
        <v>628</v>
      </c>
      <c r="G34" s="635"/>
      <c r="H34" s="634" t="s">
        <v>635</v>
      </c>
      <c r="I34" s="635"/>
      <c r="J34" s="634" t="s">
        <v>635</v>
      </c>
      <c r="K34" s="372"/>
      <c r="L34" s="634" t="s">
        <v>635</v>
      </c>
      <c r="M34" s="372"/>
      <c r="N34" s="634" t="s">
        <v>635</v>
      </c>
      <c r="O34" s="634"/>
      <c r="P34" s="634" t="s">
        <v>635</v>
      </c>
      <c r="Q34" s="635"/>
      <c r="R34" s="634" t="s">
        <v>635</v>
      </c>
      <c r="S34" s="372"/>
      <c r="T34" s="634" t="s">
        <v>635</v>
      </c>
      <c r="U34" s="626"/>
      <c r="V34" s="626"/>
      <c r="W34" s="626"/>
      <c r="X34" s="631">
        <v>0</v>
      </c>
      <c r="Y34" s="631">
        <v>0</v>
      </c>
      <c r="Z34" s="631">
        <v>0</v>
      </c>
      <c r="AA34" s="631">
        <v>0</v>
      </c>
      <c r="AB34" s="631">
        <v>0</v>
      </c>
      <c r="AC34" s="631">
        <v>0</v>
      </c>
      <c r="AD34" s="631">
        <v>0</v>
      </c>
      <c r="AE34" s="631">
        <v>0</v>
      </c>
    </row>
    <row r="35" spans="1:31" hidden="1">
      <c r="A35" s="634">
        <v>23</v>
      </c>
      <c r="B35" s="639"/>
      <c r="C35" s="634">
        <v>31442</v>
      </c>
      <c r="D35" s="372" t="s">
        <v>630</v>
      </c>
      <c r="E35" s="372"/>
      <c r="F35" s="634" t="s">
        <v>628</v>
      </c>
      <c r="G35" s="635"/>
      <c r="H35" s="634" t="s">
        <v>635</v>
      </c>
      <c r="I35" s="635"/>
      <c r="J35" s="634" t="s">
        <v>635</v>
      </c>
      <c r="K35" s="372"/>
      <c r="L35" s="634" t="s">
        <v>635</v>
      </c>
      <c r="M35" s="372"/>
      <c r="N35" s="634" t="s">
        <v>635</v>
      </c>
      <c r="O35" s="634"/>
      <c r="P35" s="634" t="s">
        <v>635</v>
      </c>
      <c r="Q35" s="635"/>
      <c r="R35" s="634" t="s">
        <v>635</v>
      </c>
      <c r="S35" s="372"/>
      <c r="T35" s="634" t="s">
        <v>635</v>
      </c>
      <c r="U35" s="626"/>
      <c r="V35" s="626"/>
      <c r="W35" s="626"/>
      <c r="X35" s="631">
        <v>0</v>
      </c>
      <c r="Y35" s="631">
        <v>0</v>
      </c>
      <c r="Z35" s="631">
        <v>0</v>
      </c>
      <c r="AA35" s="631">
        <v>0</v>
      </c>
      <c r="AB35" s="631">
        <v>0</v>
      </c>
      <c r="AC35" s="631">
        <v>0</v>
      </c>
      <c r="AD35" s="631">
        <v>0</v>
      </c>
      <c r="AE35" s="631">
        <v>0</v>
      </c>
    </row>
    <row r="36" spans="1:31" hidden="1">
      <c r="A36" s="634">
        <v>24</v>
      </c>
      <c r="B36" s="639"/>
      <c r="C36" s="634">
        <v>31542</v>
      </c>
      <c r="D36" s="372" t="s">
        <v>631</v>
      </c>
      <c r="E36" s="372"/>
      <c r="F36" s="634" t="s">
        <v>628</v>
      </c>
      <c r="G36" s="635"/>
      <c r="H36" s="634" t="s">
        <v>635</v>
      </c>
      <c r="I36" s="635"/>
      <c r="J36" s="634" t="s">
        <v>635</v>
      </c>
      <c r="K36" s="372"/>
      <c r="L36" s="634" t="s">
        <v>635</v>
      </c>
      <c r="M36" s="372"/>
      <c r="N36" s="634" t="s">
        <v>635</v>
      </c>
      <c r="O36" s="634"/>
      <c r="P36" s="634" t="s">
        <v>635</v>
      </c>
      <c r="Q36" s="635"/>
      <c r="R36" s="634" t="s">
        <v>635</v>
      </c>
      <c r="S36" s="372"/>
      <c r="T36" s="634" t="s">
        <v>635</v>
      </c>
      <c r="U36" s="626"/>
      <c r="V36" s="626"/>
      <c r="W36" s="626"/>
      <c r="X36" s="631">
        <v>0</v>
      </c>
      <c r="Y36" s="631">
        <v>0</v>
      </c>
      <c r="Z36" s="631">
        <v>0</v>
      </c>
      <c r="AA36" s="631">
        <v>0</v>
      </c>
      <c r="AB36" s="631">
        <v>0</v>
      </c>
      <c r="AC36" s="631">
        <v>0</v>
      </c>
      <c r="AD36" s="631">
        <v>0</v>
      </c>
      <c r="AE36" s="631">
        <v>0</v>
      </c>
    </row>
    <row r="37" spans="1:31" hidden="1">
      <c r="A37" s="634">
        <v>25</v>
      </c>
      <c r="B37" s="639"/>
      <c r="C37" s="634">
        <v>31642</v>
      </c>
      <c r="D37" s="372" t="s">
        <v>632</v>
      </c>
      <c r="E37" s="372"/>
      <c r="F37" s="634" t="s">
        <v>628</v>
      </c>
      <c r="G37" s="635"/>
      <c r="H37" s="634" t="s">
        <v>635</v>
      </c>
      <c r="I37" s="635"/>
      <c r="J37" s="634" t="s">
        <v>635</v>
      </c>
      <c r="K37" s="372"/>
      <c r="L37" s="634" t="s">
        <v>635</v>
      </c>
      <c r="M37" s="372"/>
      <c r="N37" s="634" t="s">
        <v>635</v>
      </c>
      <c r="O37" s="634"/>
      <c r="P37" s="634" t="s">
        <v>635</v>
      </c>
      <c r="Q37" s="635"/>
      <c r="R37" s="634" t="s">
        <v>635</v>
      </c>
      <c r="S37" s="372"/>
      <c r="T37" s="634" t="s">
        <v>635</v>
      </c>
      <c r="U37" s="626"/>
      <c r="V37" s="626"/>
      <c r="W37" s="626"/>
      <c r="X37" s="631">
        <v>0</v>
      </c>
      <c r="Y37" s="631">
        <v>0</v>
      </c>
      <c r="Z37" s="631">
        <v>0</v>
      </c>
      <c r="AA37" s="631">
        <v>0</v>
      </c>
      <c r="AB37" s="631">
        <v>0</v>
      </c>
      <c r="AC37" s="631">
        <v>0</v>
      </c>
      <c r="AD37" s="631">
        <v>0</v>
      </c>
      <c r="AE37" s="631">
        <v>0</v>
      </c>
    </row>
    <row r="38" spans="1:31" hidden="1">
      <c r="A38" s="634">
        <v>26</v>
      </c>
      <c r="B38" s="639"/>
      <c r="C38" s="634"/>
      <c r="D38" s="372" t="s">
        <v>638</v>
      </c>
      <c r="E38" s="372"/>
      <c r="F38" s="643" t="s">
        <v>628</v>
      </c>
      <c r="G38" s="372"/>
      <c r="H38" s="643" t="s">
        <v>635</v>
      </c>
      <c r="I38" s="635"/>
      <c r="J38" s="643" t="s">
        <v>635</v>
      </c>
      <c r="K38" s="635"/>
      <c r="L38" s="643" t="s">
        <v>635</v>
      </c>
      <c r="M38" s="635"/>
      <c r="N38" s="643" t="s">
        <v>635</v>
      </c>
      <c r="O38" s="635"/>
      <c r="P38" s="643" t="s">
        <v>635</v>
      </c>
      <c r="Q38" s="635"/>
      <c r="R38" s="643" t="s">
        <v>635</v>
      </c>
      <c r="S38" s="635"/>
      <c r="T38" s="643" t="s">
        <v>635</v>
      </c>
      <c r="U38" s="626"/>
      <c r="V38" s="626"/>
      <c r="W38" s="626"/>
      <c r="X38" s="631">
        <v>0</v>
      </c>
      <c r="Y38" s="631">
        <v>0</v>
      </c>
      <c r="Z38" s="631">
        <v>0</v>
      </c>
      <c r="AA38" s="631">
        <v>0</v>
      </c>
      <c r="AB38" s="631">
        <v>0</v>
      </c>
      <c r="AC38" s="631">
        <v>0</v>
      </c>
      <c r="AD38" s="631">
        <v>0</v>
      </c>
      <c r="AE38" s="631">
        <v>0</v>
      </c>
    </row>
    <row r="39" spans="1:31" hidden="1">
      <c r="A39" s="634">
        <v>27</v>
      </c>
      <c r="B39" s="639"/>
      <c r="C39" s="634"/>
      <c r="D39" s="372"/>
      <c r="E39" s="372"/>
      <c r="F39" s="372"/>
      <c r="G39" s="372"/>
      <c r="H39" s="372"/>
      <c r="I39" s="635"/>
      <c r="J39" s="635"/>
      <c r="K39" s="635"/>
      <c r="L39" s="635"/>
      <c r="M39" s="635"/>
      <c r="N39" s="635"/>
      <c r="O39" s="635"/>
      <c r="P39" s="635"/>
      <c r="Q39" s="635"/>
      <c r="R39" s="635"/>
      <c r="S39" s="635"/>
      <c r="T39" s="635"/>
      <c r="U39" s="626"/>
      <c r="V39" s="626"/>
      <c r="W39" s="626"/>
      <c r="X39" s="631">
        <v>0</v>
      </c>
      <c r="Y39" s="631">
        <v>0</v>
      </c>
      <c r="Z39" s="631">
        <v>0</v>
      </c>
      <c r="AA39" s="631">
        <v>0</v>
      </c>
      <c r="AB39" s="631">
        <v>0</v>
      </c>
      <c r="AC39" s="631">
        <v>0</v>
      </c>
      <c r="AD39" s="631">
        <v>0</v>
      </c>
      <c r="AE39" s="631">
        <v>0</v>
      </c>
    </row>
    <row r="40" spans="1:31" hidden="1">
      <c r="A40" s="634">
        <v>28</v>
      </c>
      <c r="B40" s="639"/>
      <c r="C40" s="634"/>
      <c r="D40" s="372" t="s">
        <v>639</v>
      </c>
      <c r="E40" s="372"/>
      <c r="F40" s="372"/>
      <c r="G40" s="372"/>
      <c r="H40" s="372"/>
      <c r="I40" s="635"/>
      <c r="J40" s="635"/>
      <c r="K40" s="635"/>
      <c r="L40" s="635"/>
      <c r="M40" s="635"/>
      <c r="N40" s="635"/>
      <c r="O40" s="635"/>
      <c r="P40" s="635"/>
      <c r="Q40" s="635"/>
      <c r="R40" s="635"/>
      <c r="S40" s="635"/>
      <c r="T40" s="635"/>
      <c r="U40" s="626"/>
      <c r="V40" s="626"/>
      <c r="W40" s="626"/>
      <c r="X40" s="631">
        <v>0</v>
      </c>
      <c r="Y40" s="631">
        <v>0</v>
      </c>
      <c r="Z40" s="631">
        <v>0</v>
      </c>
      <c r="AA40" s="631">
        <v>0</v>
      </c>
      <c r="AB40" s="631">
        <v>0</v>
      </c>
      <c r="AC40" s="631">
        <v>0</v>
      </c>
      <c r="AD40" s="631">
        <v>0</v>
      </c>
      <c r="AE40" s="631">
        <v>0</v>
      </c>
    </row>
    <row r="41" spans="1:31" hidden="1">
      <c r="A41" s="634">
        <v>29</v>
      </c>
      <c r="B41" s="639"/>
      <c r="C41" s="634">
        <v>31143</v>
      </c>
      <c r="D41" s="372" t="s">
        <v>627</v>
      </c>
      <c r="E41" s="372"/>
      <c r="F41" s="634" t="s">
        <v>628</v>
      </c>
      <c r="G41" s="635"/>
      <c r="H41" s="634" t="s">
        <v>635</v>
      </c>
      <c r="I41" s="635"/>
      <c r="J41" s="634" t="s">
        <v>635</v>
      </c>
      <c r="K41" s="372"/>
      <c r="L41" s="634" t="s">
        <v>635</v>
      </c>
      <c r="M41" s="372"/>
      <c r="N41" s="634" t="s">
        <v>635</v>
      </c>
      <c r="O41" s="634"/>
      <c r="P41" s="634" t="s">
        <v>635</v>
      </c>
      <c r="Q41" s="635"/>
      <c r="R41" s="634" t="s">
        <v>635</v>
      </c>
      <c r="S41" s="372"/>
      <c r="T41" s="634" t="s">
        <v>635</v>
      </c>
      <c r="U41" s="626"/>
      <c r="V41" s="626"/>
      <c r="W41" s="626"/>
      <c r="X41" s="631">
        <v>0</v>
      </c>
      <c r="Y41" s="631">
        <v>0</v>
      </c>
      <c r="Z41" s="631">
        <v>0</v>
      </c>
      <c r="AA41" s="631">
        <v>0</v>
      </c>
      <c r="AB41" s="631">
        <v>0</v>
      </c>
      <c r="AC41" s="631">
        <v>0</v>
      </c>
      <c r="AD41" s="631">
        <v>0</v>
      </c>
      <c r="AE41" s="631">
        <v>0</v>
      </c>
    </row>
    <row r="42" spans="1:31" hidden="1">
      <c r="A42" s="634">
        <v>30</v>
      </c>
      <c r="B42" s="639"/>
      <c r="C42" s="634">
        <v>31243</v>
      </c>
      <c r="D42" s="372" t="s">
        <v>629</v>
      </c>
      <c r="E42" s="372"/>
      <c r="F42" s="634" t="s">
        <v>628</v>
      </c>
      <c r="G42" s="635"/>
      <c r="H42" s="634" t="s">
        <v>635</v>
      </c>
      <c r="I42" s="635"/>
      <c r="J42" s="634" t="s">
        <v>635</v>
      </c>
      <c r="K42" s="372"/>
      <c r="L42" s="634" t="s">
        <v>635</v>
      </c>
      <c r="M42" s="372"/>
      <c r="N42" s="634" t="s">
        <v>635</v>
      </c>
      <c r="O42" s="634"/>
      <c r="P42" s="634" t="s">
        <v>635</v>
      </c>
      <c r="Q42" s="635"/>
      <c r="R42" s="634" t="s">
        <v>635</v>
      </c>
      <c r="S42" s="372"/>
      <c r="T42" s="634" t="s">
        <v>635</v>
      </c>
      <c r="U42" s="626"/>
      <c r="V42" s="626"/>
      <c r="W42" s="626"/>
      <c r="X42" s="631">
        <v>0</v>
      </c>
      <c r="Y42" s="631">
        <v>0</v>
      </c>
      <c r="Z42" s="631">
        <v>0</v>
      </c>
      <c r="AA42" s="631">
        <v>0</v>
      </c>
      <c r="AB42" s="631">
        <v>0</v>
      </c>
      <c r="AC42" s="631">
        <v>0</v>
      </c>
      <c r="AD42" s="631">
        <v>0</v>
      </c>
      <c r="AE42" s="631">
        <v>0</v>
      </c>
    </row>
    <row r="43" spans="1:31" hidden="1">
      <c r="A43" s="634">
        <v>31</v>
      </c>
      <c r="B43" s="639"/>
      <c r="C43" s="634">
        <v>31443</v>
      </c>
      <c r="D43" s="372" t="s">
        <v>630</v>
      </c>
      <c r="E43" s="372"/>
      <c r="F43" s="634" t="s">
        <v>628</v>
      </c>
      <c r="G43" s="635"/>
      <c r="H43" s="634" t="s">
        <v>635</v>
      </c>
      <c r="I43" s="635"/>
      <c r="J43" s="634" t="s">
        <v>635</v>
      </c>
      <c r="K43" s="372"/>
      <c r="L43" s="634" t="s">
        <v>635</v>
      </c>
      <c r="M43" s="372"/>
      <c r="N43" s="634" t="s">
        <v>635</v>
      </c>
      <c r="O43" s="634"/>
      <c r="P43" s="634" t="s">
        <v>635</v>
      </c>
      <c r="Q43" s="635"/>
      <c r="R43" s="634" t="s">
        <v>635</v>
      </c>
      <c r="S43" s="372"/>
      <c r="T43" s="634" t="s">
        <v>635</v>
      </c>
      <c r="U43" s="626"/>
      <c r="V43" s="626"/>
      <c r="W43" s="626"/>
      <c r="X43" s="631">
        <v>0</v>
      </c>
      <c r="Y43" s="631">
        <v>0</v>
      </c>
      <c r="Z43" s="631">
        <v>0</v>
      </c>
      <c r="AA43" s="631">
        <v>0</v>
      </c>
      <c r="AB43" s="631">
        <v>0</v>
      </c>
      <c r="AC43" s="631">
        <v>0</v>
      </c>
      <c r="AD43" s="631">
        <v>0</v>
      </c>
      <c r="AE43" s="631">
        <v>0</v>
      </c>
    </row>
    <row r="44" spans="1:31" hidden="1">
      <c r="A44" s="634">
        <v>32</v>
      </c>
      <c r="B44" s="639"/>
      <c r="C44" s="634">
        <v>31543</v>
      </c>
      <c r="D44" s="372" t="s">
        <v>631</v>
      </c>
      <c r="E44" s="372"/>
      <c r="F44" s="634" t="s">
        <v>628</v>
      </c>
      <c r="G44" s="635"/>
      <c r="H44" s="634" t="s">
        <v>635</v>
      </c>
      <c r="I44" s="635"/>
      <c r="J44" s="634" t="s">
        <v>635</v>
      </c>
      <c r="K44" s="372"/>
      <c r="L44" s="634" t="s">
        <v>635</v>
      </c>
      <c r="M44" s="372"/>
      <c r="N44" s="634" t="s">
        <v>635</v>
      </c>
      <c r="O44" s="634"/>
      <c r="P44" s="634" t="s">
        <v>635</v>
      </c>
      <c r="Q44" s="635"/>
      <c r="R44" s="634" t="s">
        <v>635</v>
      </c>
      <c r="S44" s="372"/>
      <c r="T44" s="634" t="s">
        <v>635</v>
      </c>
      <c r="U44" s="626"/>
      <c r="V44" s="626"/>
      <c r="W44" s="626"/>
      <c r="X44" s="631">
        <v>0</v>
      </c>
      <c r="Y44" s="631">
        <v>0</v>
      </c>
      <c r="Z44" s="631">
        <v>0</v>
      </c>
      <c r="AA44" s="631">
        <v>0</v>
      </c>
      <c r="AB44" s="631">
        <v>0</v>
      </c>
      <c r="AC44" s="631">
        <v>0</v>
      </c>
      <c r="AD44" s="631">
        <v>0</v>
      </c>
      <c r="AE44" s="631">
        <v>0</v>
      </c>
    </row>
    <row r="45" spans="1:31" hidden="1">
      <c r="A45" s="634">
        <v>33</v>
      </c>
      <c r="B45" s="639"/>
      <c r="C45" s="634">
        <v>31643</v>
      </c>
      <c r="D45" s="372" t="s">
        <v>632</v>
      </c>
      <c r="E45" s="372"/>
      <c r="F45" s="634" t="s">
        <v>628</v>
      </c>
      <c r="G45" s="635"/>
      <c r="H45" s="634" t="s">
        <v>635</v>
      </c>
      <c r="I45" s="635"/>
      <c r="J45" s="634" t="s">
        <v>635</v>
      </c>
      <c r="K45" s="372"/>
      <c r="L45" s="634" t="s">
        <v>635</v>
      </c>
      <c r="M45" s="372"/>
      <c r="N45" s="634" t="s">
        <v>635</v>
      </c>
      <c r="O45" s="634"/>
      <c r="P45" s="634" t="s">
        <v>635</v>
      </c>
      <c r="Q45" s="635"/>
      <c r="R45" s="634" t="s">
        <v>635</v>
      </c>
      <c r="S45" s="372"/>
      <c r="T45" s="634" t="s">
        <v>635</v>
      </c>
      <c r="U45" s="626"/>
      <c r="V45" s="626"/>
      <c r="W45" s="626"/>
      <c r="X45" s="631">
        <v>0</v>
      </c>
      <c r="Y45" s="631">
        <v>0</v>
      </c>
      <c r="Z45" s="631">
        <v>0</v>
      </c>
      <c r="AA45" s="631">
        <v>0</v>
      </c>
      <c r="AB45" s="631">
        <v>0</v>
      </c>
      <c r="AC45" s="631">
        <v>0</v>
      </c>
      <c r="AD45" s="631">
        <v>0</v>
      </c>
      <c r="AE45" s="631">
        <v>0</v>
      </c>
    </row>
    <row r="46" spans="1:31" hidden="1">
      <c r="A46" s="634">
        <v>34</v>
      </c>
      <c r="B46" s="639"/>
      <c r="C46" s="634"/>
      <c r="D46" s="372" t="s">
        <v>640</v>
      </c>
      <c r="E46" s="372"/>
      <c r="F46" s="643" t="s">
        <v>628</v>
      </c>
      <c r="G46" s="372"/>
      <c r="H46" s="643" t="s">
        <v>635</v>
      </c>
      <c r="I46" s="635"/>
      <c r="J46" s="643" t="s">
        <v>635</v>
      </c>
      <c r="K46" s="635"/>
      <c r="L46" s="643" t="s">
        <v>635</v>
      </c>
      <c r="M46" s="635"/>
      <c r="N46" s="643" t="s">
        <v>635</v>
      </c>
      <c r="O46" s="635"/>
      <c r="P46" s="643" t="s">
        <v>635</v>
      </c>
      <c r="Q46" s="635"/>
      <c r="R46" s="643" t="s">
        <v>635</v>
      </c>
      <c r="S46" s="635"/>
      <c r="T46" s="643" t="s">
        <v>635</v>
      </c>
      <c r="U46" s="626"/>
      <c r="V46" s="626"/>
      <c r="W46" s="626"/>
      <c r="X46" s="631">
        <v>0</v>
      </c>
      <c r="Y46" s="631">
        <v>0</v>
      </c>
      <c r="Z46" s="631">
        <v>0</v>
      </c>
      <c r="AA46" s="631">
        <v>0</v>
      </c>
      <c r="AB46" s="631">
        <v>0</v>
      </c>
      <c r="AC46" s="631">
        <v>0</v>
      </c>
      <c r="AD46" s="631">
        <v>0</v>
      </c>
      <c r="AE46" s="631">
        <v>0</v>
      </c>
    </row>
    <row r="47" spans="1:31" hidden="1">
      <c r="A47" s="634">
        <v>35</v>
      </c>
      <c r="B47" s="639"/>
      <c r="C47" s="372"/>
      <c r="D47" s="372"/>
      <c r="E47" s="372"/>
      <c r="F47" s="372"/>
      <c r="G47" s="372"/>
      <c r="H47" s="372"/>
      <c r="I47" s="372"/>
      <c r="J47" s="372"/>
      <c r="K47" s="372"/>
      <c r="L47" s="372"/>
      <c r="M47" s="372"/>
      <c r="N47" s="372"/>
      <c r="O47" s="372"/>
      <c r="P47" s="372"/>
      <c r="Q47" s="635"/>
      <c r="R47" s="372"/>
      <c r="S47" s="372"/>
      <c r="T47" s="372"/>
      <c r="U47" s="626"/>
      <c r="V47" s="626"/>
      <c r="W47" s="626"/>
      <c r="X47" s="631">
        <v>0</v>
      </c>
      <c r="Y47" s="631">
        <v>0</v>
      </c>
      <c r="Z47" s="631">
        <v>0</v>
      </c>
      <c r="AA47" s="631">
        <v>0</v>
      </c>
      <c r="AB47" s="631">
        <v>0</v>
      </c>
      <c r="AC47" s="631">
        <v>0</v>
      </c>
      <c r="AD47" s="631">
        <v>0</v>
      </c>
      <c r="AE47" s="631">
        <v>0</v>
      </c>
    </row>
    <row r="48" spans="1:31" hidden="1">
      <c r="A48" s="634">
        <v>36</v>
      </c>
      <c r="B48" s="639"/>
      <c r="C48" s="634"/>
      <c r="D48" s="372" t="s">
        <v>641</v>
      </c>
      <c r="E48" s="372"/>
      <c r="F48" s="372"/>
      <c r="G48" s="372"/>
      <c r="H48" s="372"/>
      <c r="I48" s="635"/>
      <c r="J48" s="635"/>
      <c r="K48" s="635"/>
      <c r="L48" s="635"/>
      <c r="M48" s="635"/>
      <c r="N48" s="635"/>
      <c r="O48" s="635"/>
      <c r="P48" s="635"/>
      <c r="Q48" s="635"/>
      <c r="R48" s="635"/>
      <c r="S48" s="635"/>
      <c r="T48" s="635"/>
      <c r="U48" s="626"/>
      <c r="V48" s="626"/>
      <c r="W48" s="626"/>
      <c r="X48" s="631">
        <v>0</v>
      </c>
      <c r="Y48" s="631">
        <v>0</v>
      </c>
      <c r="Z48" s="631">
        <v>0</v>
      </c>
      <c r="AA48" s="631">
        <v>0</v>
      </c>
      <c r="AB48" s="631">
        <v>0</v>
      </c>
      <c r="AC48" s="631">
        <v>0</v>
      </c>
      <c r="AD48" s="631">
        <v>0</v>
      </c>
      <c r="AE48" s="631">
        <v>0</v>
      </c>
    </row>
    <row r="49" spans="1:31" hidden="1">
      <c r="A49" s="634">
        <v>37</v>
      </c>
      <c r="B49" s="644"/>
      <c r="C49" s="634">
        <v>31144</v>
      </c>
      <c r="D49" s="372" t="s">
        <v>627</v>
      </c>
      <c r="E49" s="372"/>
      <c r="F49" s="640">
        <v>25366</v>
      </c>
      <c r="G49" s="635"/>
      <c r="H49" s="640">
        <v>1056</v>
      </c>
      <c r="I49" s="635"/>
      <c r="J49" s="634">
        <v>-139</v>
      </c>
      <c r="K49" s="372"/>
      <c r="L49" s="634">
        <v>-25</v>
      </c>
      <c r="M49" s="372"/>
      <c r="N49" s="634" t="s">
        <v>628</v>
      </c>
      <c r="O49" s="634"/>
      <c r="P49" s="634" t="s">
        <v>635</v>
      </c>
      <c r="Q49" s="635"/>
      <c r="R49" s="640">
        <v>26257</v>
      </c>
      <c r="S49" s="372"/>
      <c r="T49" s="640">
        <v>25849</v>
      </c>
      <c r="U49" s="626"/>
      <c r="V49" s="626"/>
      <c r="W49" s="626"/>
      <c r="X49" s="641">
        <v>5</v>
      </c>
      <c r="Y49" s="641">
        <v>4</v>
      </c>
      <c r="Z49" s="641">
        <v>5</v>
      </c>
      <c r="AA49" s="641">
        <v>5</v>
      </c>
      <c r="AB49" s="631">
        <v>0</v>
      </c>
      <c r="AC49" s="631">
        <v>0</v>
      </c>
      <c r="AD49" s="641">
        <v>5</v>
      </c>
      <c r="AE49" s="641">
        <v>5</v>
      </c>
    </row>
    <row r="50" spans="1:31" hidden="1">
      <c r="A50" s="634">
        <v>38</v>
      </c>
      <c r="B50" s="644"/>
      <c r="C50" s="634">
        <v>31244</v>
      </c>
      <c r="D50" s="372" t="s">
        <v>629</v>
      </c>
      <c r="E50" s="372"/>
      <c r="F50" s="640">
        <v>106976</v>
      </c>
      <c r="G50" s="635"/>
      <c r="H50" s="640">
        <v>9971</v>
      </c>
      <c r="I50" s="635"/>
      <c r="J50" s="640">
        <v>-4150</v>
      </c>
      <c r="K50" s="372"/>
      <c r="L50" s="640">
        <v>-4228</v>
      </c>
      <c r="M50" s="372"/>
      <c r="N50" s="634">
        <v>136</v>
      </c>
      <c r="O50" s="634"/>
      <c r="P50" s="634" t="s">
        <v>635</v>
      </c>
      <c r="Q50" s="635"/>
      <c r="R50" s="640">
        <v>108704</v>
      </c>
      <c r="S50" s="372"/>
      <c r="T50" s="640">
        <v>108174</v>
      </c>
      <c r="U50" s="626"/>
      <c r="V50" s="626"/>
      <c r="W50" s="626"/>
      <c r="X50" s="641">
        <v>5</v>
      </c>
      <c r="Y50" s="641">
        <v>5</v>
      </c>
      <c r="Z50" s="641">
        <v>5</v>
      </c>
      <c r="AA50" s="641">
        <v>5</v>
      </c>
      <c r="AB50" s="641">
        <v>5</v>
      </c>
      <c r="AC50" s="631">
        <v>0</v>
      </c>
      <c r="AD50" s="641">
        <v>4</v>
      </c>
      <c r="AE50" s="641">
        <v>5</v>
      </c>
    </row>
    <row r="51" spans="1:31" hidden="1">
      <c r="A51" s="634">
        <v>39</v>
      </c>
      <c r="B51" s="644"/>
      <c r="C51" s="634">
        <v>31444</v>
      </c>
      <c r="D51" s="372" t="s">
        <v>630</v>
      </c>
      <c r="E51" s="372"/>
      <c r="F51" s="640">
        <v>49300</v>
      </c>
      <c r="G51" s="635"/>
      <c r="H51" s="640">
        <v>3566</v>
      </c>
      <c r="I51" s="635"/>
      <c r="J51" s="634">
        <v>-445</v>
      </c>
      <c r="K51" s="372"/>
      <c r="L51" s="640">
        <v>-1244</v>
      </c>
      <c r="M51" s="372"/>
      <c r="N51" s="634">
        <v>48</v>
      </c>
      <c r="O51" s="634"/>
      <c r="P51" s="634" t="s">
        <v>635</v>
      </c>
      <c r="Q51" s="635"/>
      <c r="R51" s="640">
        <v>51225</v>
      </c>
      <c r="S51" s="372"/>
      <c r="T51" s="640">
        <v>50049</v>
      </c>
      <c r="U51" s="626"/>
      <c r="V51" s="626"/>
      <c r="W51" s="626"/>
      <c r="X51" s="641">
        <v>5</v>
      </c>
      <c r="Y51" s="641">
        <v>5</v>
      </c>
      <c r="Z51" s="641">
        <v>5</v>
      </c>
      <c r="AA51" s="641">
        <v>5</v>
      </c>
      <c r="AB51" s="641">
        <v>5</v>
      </c>
      <c r="AC51" s="631">
        <v>0</v>
      </c>
      <c r="AD51" s="641">
        <v>5</v>
      </c>
      <c r="AE51" s="641">
        <v>5</v>
      </c>
    </row>
    <row r="52" spans="1:31" hidden="1">
      <c r="A52" s="634">
        <v>40</v>
      </c>
      <c r="B52" s="644"/>
      <c r="C52" s="634">
        <v>31544</v>
      </c>
      <c r="D52" s="372" t="s">
        <v>631</v>
      </c>
      <c r="E52" s="372"/>
      <c r="F52" s="640">
        <v>31820</v>
      </c>
      <c r="G52" s="635"/>
      <c r="H52" s="640">
        <v>1520</v>
      </c>
      <c r="I52" s="635"/>
      <c r="J52" s="634">
        <v>-597</v>
      </c>
      <c r="K52" s="372"/>
      <c r="L52" s="634">
        <v>-24</v>
      </c>
      <c r="M52" s="372"/>
      <c r="N52" s="634" t="s">
        <v>628</v>
      </c>
      <c r="O52" s="634"/>
      <c r="P52" s="634" t="s">
        <v>635</v>
      </c>
      <c r="Q52" s="635"/>
      <c r="R52" s="640">
        <v>32717</v>
      </c>
      <c r="S52" s="372"/>
      <c r="T52" s="640">
        <v>32499</v>
      </c>
      <c r="U52" s="626"/>
      <c r="V52" s="626"/>
      <c r="W52" s="626"/>
      <c r="X52" s="641">
        <v>5</v>
      </c>
      <c r="Y52" s="641">
        <v>4</v>
      </c>
      <c r="Z52" s="641">
        <v>5</v>
      </c>
      <c r="AA52" s="641">
        <v>5</v>
      </c>
      <c r="AB52" s="631">
        <v>0</v>
      </c>
      <c r="AC52" s="631">
        <v>0</v>
      </c>
      <c r="AD52" s="641">
        <v>5</v>
      </c>
      <c r="AE52" s="641">
        <v>5</v>
      </c>
    </row>
    <row r="53" spans="1:31" hidden="1">
      <c r="A53" s="634">
        <v>41</v>
      </c>
      <c r="B53" s="644"/>
      <c r="C53" s="634">
        <v>31644</v>
      </c>
      <c r="D53" s="372" t="s">
        <v>632</v>
      </c>
      <c r="E53" s="372"/>
      <c r="F53" s="640">
        <v>4189</v>
      </c>
      <c r="G53" s="635"/>
      <c r="H53" s="634">
        <v>106</v>
      </c>
      <c r="I53" s="635"/>
      <c r="J53" s="634" t="s">
        <v>635</v>
      </c>
      <c r="K53" s="372"/>
      <c r="L53" s="634" t="s">
        <v>635</v>
      </c>
      <c r="M53" s="372"/>
      <c r="N53" s="634" t="s">
        <v>635</v>
      </c>
      <c r="O53" s="634"/>
      <c r="P53" s="634" t="s">
        <v>635</v>
      </c>
      <c r="Q53" s="635"/>
      <c r="R53" s="640">
        <v>4294</v>
      </c>
      <c r="S53" s="372"/>
      <c r="T53" s="640">
        <v>4241</v>
      </c>
      <c r="U53" s="626"/>
      <c r="V53" s="626"/>
      <c r="W53" s="626"/>
      <c r="X53" s="641">
        <v>5</v>
      </c>
      <c r="Y53" s="641">
        <v>5</v>
      </c>
      <c r="Z53" s="631">
        <v>0</v>
      </c>
      <c r="AA53" s="631">
        <v>0</v>
      </c>
      <c r="AB53" s="631">
        <v>0</v>
      </c>
      <c r="AC53" s="631">
        <v>0</v>
      </c>
      <c r="AD53" s="641">
        <v>5</v>
      </c>
      <c r="AE53" s="641">
        <v>5</v>
      </c>
    </row>
    <row r="54" spans="1:31" hidden="1">
      <c r="A54" s="634">
        <v>42</v>
      </c>
      <c r="B54" s="644"/>
      <c r="C54" s="372"/>
      <c r="D54" s="372" t="s">
        <v>642</v>
      </c>
      <c r="E54" s="372"/>
      <c r="F54" s="642">
        <v>217650</v>
      </c>
      <c r="G54" s="372"/>
      <c r="H54" s="642">
        <v>16218</v>
      </c>
      <c r="I54" s="635"/>
      <c r="J54" s="642">
        <v>-5333</v>
      </c>
      <c r="K54" s="635"/>
      <c r="L54" s="642">
        <v>-5521</v>
      </c>
      <c r="M54" s="635"/>
      <c r="N54" s="643">
        <v>184</v>
      </c>
      <c r="O54" s="635"/>
      <c r="P54" s="643" t="s">
        <v>635</v>
      </c>
      <c r="Q54" s="635"/>
      <c r="R54" s="642">
        <v>223198</v>
      </c>
      <c r="S54" s="635"/>
      <c r="T54" s="642">
        <v>220811</v>
      </c>
      <c r="U54" s="626"/>
      <c r="V54" s="626"/>
      <c r="W54" s="626"/>
      <c r="X54" s="641">
        <v>5</v>
      </c>
      <c r="Y54" s="641">
        <v>5</v>
      </c>
      <c r="Z54" s="641">
        <v>5</v>
      </c>
      <c r="AA54" s="641">
        <v>5</v>
      </c>
      <c r="AB54" s="641">
        <v>5</v>
      </c>
      <c r="AC54" s="631">
        <v>0</v>
      </c>
      <c r="AD54" s="641">
        <v>4</v>
      </c>
      <c r="AE54" s="641">
        <v>5</v>
      </c>
    </row>
    <row r="55" spans="1:31" hidden="1">
      <c r="A55" s="634">
        <v>43</v>
      </c>
      <c r="B55" s="644"/>
      <c r="C55" s="372"/>
      <c r="D55" s="372"/>
      <c r="E55" s="372"/>
      <c r="F55" s="372"/>
      <c r="G55" s="372"/>
      <c r="H55" s="372"/>
      <c r="I55" s="372"/>
      <c r="J55" s="372"/>
      <c r="K55" s="372"/>
      <c r="L55" s="372"/>
      <c r="M55" s="372"/>
      <c r="N55" s="372"/>
      <c r="O55" s="372"/>
      <c r="P55" s="372"/>
      <c r="Q55" s="635"/>
      <c r="R55" s="372"/>
      <c r="S55" s="372"/>
      <c r="T55" s="372"/>
      <c r="U55" s="626"/>
      <c r="V55" s="626"/>
      <c r="W55" s="626"/>
      <c r="X55" s="631">
        <v>0</v>
      </c>
      <c r="Y55" s="631">
        <v>0</v>
      </c>
      <c r="Z55" s="631">
        <v>0</v>
      </c>
      <c r="AA55" s="631">
        <v>0</v>
      </c>
      <c r="AB55" s="631">
        <v>0</v>
      </c>
      <c r="AC55" s="631">
        <v>0</v>
      </c>
      <c r="AD55" s="631">
        <v>0</v>
      </c>
      <c r="AE55" s="631">
        <v>0</v>
      </c>
    </row>
    <row r="56" spans="1:31" ht="15" hidden="1" thickBot="1">
      <c r="A56" s="637">
        <v>44</v>
      </c>
      <c r="B56" s="660" t="s">
        <v>67</v>
      </c>
      <c r="C56" s="660"/>
      <c r="D56" s="625"/>
      <c r="E56" s="625"/>
      <c r="F56" s="625"/>
      <c r="G56" s="625"/>
      <c r="H56" s="625"/>
      <c r="I56" s="625"/>
      <c r="J56" s="625"/>
      <c r="K56" s="625"/>
      <c r="L56" s="625"/>
      <c r="M56" s="625"/>
      <c r="N56" s="625"/>
      <c r="O56" s="625"/>
      <c r="P56" s="625"/>
      <c r="Q56" s="638"/>
      <c r="R56" s="625"/>
      <c r="S56" s="625"/>
      <c r="T56" s="625"/>
      <c r="U56" s="626"/>
      <c r="V56" s="626"/>
      <c r="W56" s="626"/>
      <c r="X56" s="631">
        <v>0</v>
      </c>
      <c r="Y56" s="631">
        <v>0</v>
      </c>
      <c r="Z56" s="631">
        <v>0</v>
      </c>
      <c r="AA56" s="631">
        <v>0</v>
      </c>
      <c r="AB56" s="631">
        <v>0</v>
      </c>
      <c r="AC56" s="631">
        <v>0</v>
      </c>
      <c r="AD56" s="631">
        <v>0</v>
      </c>
      <c r="AE56" s="631">
        <v>0</v>
      </c>
    </row>
    <row r="57" spans="1:31" hidden="1">
      <c r="A57" s="629" t="s">
        <v>818</v>
      </c>
      <c r="B57" s="629"/>
      <c r="C57" s="372"/>
      <c r="D57" s="372"/>
      <c r="E57" s="664"/>
      <c r="F57" s="664"/>
      <c r="G57" s="664"/>
      <c r="H57" s="664"/>
      <c r="I57" s="664"/>
      <c r="J57" s="664"/>
      <c r="K57" s="664"/>
      <c r="L57" s="664"/>
      <c r="M57" s="664"/>
      <c r="N57" s="664"/>
      <c r="O57" s="664"/>
      <c r="P57" s="664"/>
      <c r="Q57" s="635"/>
      <c r="R57" s="426" t="s">
        <v>644</v>
      </c>
      <c r="S57" s="664"/>
      <c r="T57" s="664"/>
      <c r="U57" s="626"/>
      <c r="V57" s="626"/>
      <c r="W57" s="626"/>
      <c r="X57" s="631">
        <v>0</v>
      </c>
      <c r="Y57" s="631">
        <v>0</v>
      </c>
      <c r="Z57" s="631">
        <v>0</v>
      </c>
      <c r="AA57" s="631">
        <v>0</v>
      </c>
      <c r="AB57" s="631">
        <v>0</v>
      </c>
      <c r="AC57" s="631">
        <v>0</v>
      </c>
      <c r="AD57" s="631">
        <v>2</v>
      </c>
      <c r="AE57" s="631">
        <v>0</v>
      </c>
    </row>
    <row r="58" spans="1:31" ht="15" hidden="1" thickBot="1">
      <c r="A58" s="625" t="s">
        <v>808</v>
      </c>
      <c r="B58" s="625"/>
      <c r="C58" s="625"/>
      <c r="D58" s="625"/>
      <c r="E58" s="625"/>
      <c r="F58" s="625" t="s">
        <v>809</v>
      </c>
      <c r="G58" s="625"/>
      <c r="H58" s="625"/>
      <c r="I58" s="625"/>
      <c r="J58" s="625"/>
      <c r="K58" s="625"/>
      <c r="L58" s="625"/>
      <c r="M58" s="625"/>
      <c r="N58" s="625"/>
      <c r="O58" s="625"/>
      <c r="P58" s="625"/>
      <c r="Q58" s="638"/>
      <c r="R58" s="625"/>
      <c r="S58" s="625"/>
      <c r="T58" s="625" t="s">
        <v>645</v>
      </c>
      <c r="U58" s="626"/>
      <c r="V58" s="626"/>
      <c r="W58" s="626"/>
      <c r="X58" s="631">
        <v>2</v>
      </c>
      <c r="Y58" s="631">
        <v>0</v>
      </c>
      <c r="Z58" s="631">
        <v>0</v>
      </c>
      <c r="AA58" s="631">
        <v>0</v>
      </c>
      <c r="AB58" s="631">
        <v>0</v>
      </c>
      <c r="AC58" s="631">
        <v>0</v>
      </c>
      <c r="AD58" s="631">
        <v>0</v>
      </c>
      <c r="AE58" s="631">
        <v>2</v>
      </c>
    </row>
    <row r="59" spans="1:31" hidden="1">
      <c r="A59" s="664" t="s">
        <v>4</v>
      </c>
      <c r="B59" s="664"/>
      <c r="C59" s="372"/>
      <c r="D59" s="372"/>
      <c r="E59" s="635" t="s">
        <v>553</v>
      </c>
      <c r="F59" s="372" t="s">
        <v>810</v>
      </c>
      <c r="G59" s="664"/>
      <c r="H59" s="664"/>
      <c r="I59" s="664"/>
      <c r="J59" s="664"/>
      <c r="K59" s="661"/>
      <c r="L59" s="661"/>
      <c r="M59" s="661"/>
      <c r="N59" s="661"/>
      <c r="O59" s="661"/>
      <c r="P59" s="661"/>
      <c r="Q59" s="645"/>
      <c r="R59" s="372" t="s">
        <v>608</v>
      </c>
      <c r="S59" s="664"/>
      <c r="T59" s="664"/>
      <c r="U59" s="626"/>
      <c r="V59" s="626"/>
      <c r="W59" s="626"/>
      <c r="X59" s="631">
        <v>2</v>
      </c>
      <c r="Y59" s="631">
        <v>0</v>
      </c>
      <c r="Z59" s="631">
        <v>0</v>
      </c>
      <c r="AA59" s="631">
        <v>0</v>
      </c>
      <c r="AB59" s="631">
        <v>0</v>
      </c>
      <c r="AC59" s="631">
        <v>0</v>
      </c>
      <c r="AD59" s="631">
        <v>2</v>
      </c>
      <c r="AE59" s="631">
        <v>0</v>
      </c>
    </row>
    <row r="60" spans="1:31" hidden="1">
      <c r="A60" s="372"/>
      <c r="B60" s="372"/>
      <c r="C60" s="372"/>
      <c r="D60" s="372"/>
      <c r="E60" s="372"/>
      <c r="F60" s="372" t="s">
        <v>811</v>
      </c>
      <c r="G60" s="372"/>
      <c r="H60" s="372"/>
      <c r="I60" s="372"/>
      <c r="J60" s="372"/>
      <c r="K60" s="636"/>
      <c r="L60" s="636"/>
      <c r="M60" s="372"/>
      <c r="N60" s="372"/>
      <c r="O60" s="635"/>
      <c r="P60" s="635"/>
      <c r="Q60" s="635"/>
      <c r="R60" s="636" t="s">
        <v>9</v>
      </c>
      <c r="S60" s="372"/>
      <c r="T60" s="372"/>
      <c r="U60" s="626"/>
      <c r="V60" s="626"/>
      <c r="W60" s="626"/>
      <c r="X60" s="631">
        <v>2</v>
      </c>
      <c r="Y60" s="631">
        <v>0</v>
      </c>
      <c r="Z60" s="631">
        <v>0</v>
      </c>
      <c r="AA60" s="631">
        <v>0</v>
      </c>
      <c r="AB60" s="631">
        <v>0</v>
      </c>
      <c r="AC60" s="631">
        <v>0</v>
      </c>
      <c r="AD60" s="631">
        <v>2</v>
      </c>
      <c r="AE60" s="631">
        <v>0</v>
      </c>
    </row>
    <row r="61" spans="1:31" hidden="1">
      <c r="A61" s="372" t="s">
        <v>10</v>
      </c>
      <c r="B61" s="372"/>
      <c r="C61" s="372"/>
      <c r="D61" s="372"/>
      <c r="E61" s="372"/>
      <c r="F61" s="372"/>
      <c r="G61" s="372"/>
      <c r="H61" s="372"/>
      <c r="I61" s="372"/>
      <c r="J61" s="372"/>
      <c r="K61" s="636"/>
      <c r="L61" s="636"/>
      <c r="M61" s="372"/>
      <c r="N61" s="372"/>
      <c r="O61" s="372"/>
      <c r="P61" s="372"/>
      <c r="Q61" s="635"/>
      <c r="R61" s="636" t="s">
        <v>11</v>
      </c>
      <c r="S61" s="372"/>
      <c r="T61" s="372"/>
      <c r="U61" s="626"/>
      <c r="V61" s="626"/>
      <c r="W61" s="626"/>
      <c r="X61" s="631">
        <v>2</v>
      </c>
      <c r="Y61" s="631">
        <v>0</v>
      </c>
      <c r="Z61" s="631">
        <v>0</v>
      </c>
      <c r="AA61" s="631">
        <v>0</v>
      </c>
      <c r="AB61" s="631">
        <v>0</v>
      </c>
      <c r="AC61" s="631">
        <v>0</v>
      </c>
      <c r="AD61" s="631">
        <v>2</v>
      </c>
      <c r="AE61" s="631">
        <v>0</v>
      </c>
    </row>
    <row r="62" spans="1:31" hidden="1">
      <c r="A62" s="372"/>
      <c r="B62" s="372"/>
      <c r="C62" s="372"/>
      <c r="D62" s="372"/>
      <c r="E62" s="372"/>
      <c r="F62" s="372"/>
      <c r="G62" s="372"/>
      <c r="H62" s="372"/>
      <c r="I62" s="372"/>
      <c r="J62" s="372"/>
      <c r="K62" s="636"/>
      <c r="L62" s="636"/>
      <c r="M62" s="372"/>
      <c r="N62" s="372"/>
      <c r="O62" s="372"/>
      <c r="P62" s="372"/>
      <c r="Q62" s="635" t="s">
        <v>12</v>
      </c>
      <c r="R62" s="636" t="s">
        <v>13</v>
      </c>
      <c r="S62" s="372"/>
      <c r="T62" s="372"/>
      <c r="U62" s="626"/>
      <c r="V62" s="626"/>
      <c r="W62" s="626"/>
      <c r="X62" s="631">
        <v>2</v>
      </c>
      <c r="Y62" s="631">
        <v>0</v>
      </c>
      <c r="Z62" s="631">
        <v>0</v>
      </c>
      <c r="AA62" s="631">
        <v>0</v>
      </c>
      <c r="AB62" s="631">
        <v>0</v>
      </c>
      <c r="AC62" s="631">
        <v>0</v>
      </c>
      <c r="AD62" s="631">
        <v>2</v>
      </c>
      <c r="AE62" s="631">
        <v>0</v>
      </c>
    </row>
    <row r="63" spans="1:31" hidden="1">
      <c r="A63" s="372"/>
      <c r="B63" s="372"/>
      <c r="C63" s="372"/>
      <c r="D63" s="372"/>
      <c r="E63" s="372"/>
      <c r="F63" s="372"/>
      <c r="G63" s="372"/>
      <c r="H63" s="372"/>
      <c r="I63" s="372"/>
      <c r="J63" s="372"/>
      <c r="K63" s="636"/>
      <c r="L63" s="636"/>
      <c r="M63" s="372"/>
      <c r="N63" s="372"/>
      <c r="O63" s="372"/>
      <c r="P63" s="372"/>
      <c r="Q63" s="635"/>
      <c r="R63" s="636" t="s">
        <v>610</v>
      </c>
      <c r="S63" s="372"/>
      <c r="T63" s="372"/>
      <c r="U63" s="626"/>
      <c r="V63" s="626"/>
      <c r="W63" s="626"/>
      <c r="X63" s="631">
        <v>0</v>
      </c>
      <c r="Y63" s="631">
        <v>0</v>
      </c>
      <c r="Z63" s="631">
        <v>0</v>
      </c>
      <c r="AA63" s="631">
        <v>0</v>
      </c>
      <c r="AB63" s="631">
        <v>0</v>
      </c>
      <c r="AC63" s="631">
        <v>0</v>
      </c>
      <c r="AD63" s="631">
        <v>2</v>
      </c>
      <c r="AE63" s="631">
        <v>0</v>
      </c>
    </row>
    <row r="64" spans="1:31" ht="15" hidden="1" thickBot="1">
      <c r="A64" s="625" t="s">
        <v>611</v>
      </c>
      <c r="B64" s="625"/>
      <c r="C64" s="625"/>
      <c r="D64" s="625"/>
      <c r="E64" s="625"/>
      <c r="F64" s="625"/>
      <c r="G64" s="625"/>
      <c r="H64" s="637" t="s">
        <v>812</v>
      </c>
      <c r="I64" s="625"/>
      <c r="J64" s="625"/>
      <c r="K64" s="625"/>
      <c r="L64" s="625"/>
      <c r="M64" s="625"/>
      <c r="N64" s="625"/>
      <c r="O64" s="625"/>
      <c r="P64" s="625"/>
      <c r="Q64" s="638"/>
      <c r="R64" s="625" t="s">
        <v>249</v>
      </c>
      <c r="S64" s="625"/>
      <c r="T64" s="625"/>
      <c r="U64" s="626"/>
      <c r="V64" s="626"/>
      <c r="W64" s="626"/>
      <c r="X64" s="631">
        <v>2</v>
      </c>
      <c r="Y64" s="631">
        <v>2</v>
      </c>
      <c r="Z64" s="631">
        <v>0</v>
      </c>
      <c r="AA64" s="631">
        <v>0</v>
      </c>
      <c r="AB64" s="631">
        <v>0</v>
      </c>
      <c r="AC64" s="631">
        <v>0</v>
      </c>
      <c r="AD64" s="631">
        <v>2</v>
      </c>
      <c r="AE64" s="631">
        <v>0</v>
      </c>
    </row>
    <row r="65" spans="1:31" hidden="1">
      <c r="A65" s="664"/>
      <c r="B65" s="664"/>
      <c r="C65" s="634"/>
      <c r="D65" s="634"/>
      <c r="E65" s="634"/>
      <c r="F65" s="634"/>
      <c r="G65" s="634"/>
      <c r="H65" s="634"/>
      <c r="I65" s="634"/>
      <c r="J65" s="634"/>
      <c r="K65" s="634"/>
      <c r="L65" s="634"/>
      <c r="M65" s="634"/>
      <c r="N65" s="634"/>
      <c r="O65" s="634"/>
      <c r="P65" s="634"/>
      <c r="Q65" s="635"/>
      <c r="R65" s="634"/>
      <c r="S65" s="634"/>
      <c r="T65" s="634"/>
      <c r="U65" s="626"/>
      <c r="V65" s="626"/>
      <c r="W65" s="626"/>
      <c r="X65" s="631">
        <v>0</v>
      </c>
      <c r="Y65" s="631">
        <v>0</v>
      </c>
      <c r="Z65" s="631">
        <v>0</v>
      </c>
      <c r="AA65" s="631">
        <v>0</v>
      </c>
      <c r="AB65" s="631">
        <v>0</v>
      </c>
      <c r="AC65" s="631">
        <v>0</v>
      </c>
      <c r="AD65" s="631">
        <v>0</v>
      </c>
      <c r="AE65" s="631">
        <v>0</v>
      </c>
    </row>
    <row r="66" spans="1:31" hidden="1">
      <c r="A66" s="372"/>
      <c r="B66" s="372"/>
      <c r="C66" s="634">
        <v>-1</v>
      </c>
      <c r="D66" s="634">
        <v>-2</v>
      </c>
      <c r="E66" s="634"/>
      <c r="F66" s="634">
        <v>-3</v>
      </c>
      <c r="G66" s="634"/>
      <c r="H66" s="634">
        <v>-4</v>
      </c>
      <c r="I66" s="634"/>
      <c r="J66" s="634">
        <v>-5</v>
      </c>
      <c r="K66" s="634"/>
      <c r="L66" s="634">
        <v>-6</v>
      </c>
      <c r="M66" s="634"/>
      <c r="N66" s="634">
        <v>-7</v>
      </c>
      <c r="O66" s="634"/>
      <c r="P66" s="634">
        <v>-8</v>
      </c>
      <c r="Q66" s="635"/>
      <c r="R66" s="634">
        <v>-9</v>
      </c>
      <c r="S66" s="634"/>
      <c r="T66" s="634">
        <v>-10</v>
      </c>
      <c r="U66" s="626"/>
      <c r="V66" s="626"/>
      <c r="W66" s="626"/>
      <c r="X66" s="631">
        <v>2</v>
      </c>
      <c r="Y66" s="631">
        <v>2</v>
      </c>
      <c r="Z66" s="631">
        <v>2</v>
      </c>
      <c r="AA66" s="631">
        <v>2</v>
      </c>
      <c r="AB66" s="631">
        <v>2</v>
      </c>
      <c r="AC66" s="631">
        <v>2</v>
      </c>
      <c r="AD66" s="631">
        <v>2</v>
      </c>
      <c r="AE66" s="631">
        <v>2</v>
      </c>
    </row>
    <row r="67" spans="1:31" hidden="1">
      <c r="A67" s="372"/>
      <c r="B67" s="372"/>
      <c r="C67" s="634" t="s">
        <v>613</v>
      </c>
      <c r="D67" s="634" t="s">
        <v>613</v>
      </c>
      <c r="E67" s="372"/>
      <c r="F67" s="634" t="s">
        <v>27</v>
      </c>
      <c r="G67" s="634"/>
      <c r="H67" s="634" t="s">
        <v>45</v>
      </c>
      <c r="I67" s="634"/>
      <c r="J67" s="634"/>
      <c r="K67" s="634"/>
      <c r="L67" s="634"/>
      <c r="M67" s="634"/>
      <c r="N67" s="372"/>
      <c r="O67" s="372"/>
      <c r="P67" s="372"/>
      <c r="Q67" s="635"/>
      <c r="R67" s="634" t="s">
        <v>27</v>
      </c>
      <c r="S67" s="372"/>
      <c r="T67" s="372"/>
      <c r="U67" s="626"/>
      <c r="V67" s="626"/>
      <c r="W67" s="626"/>
      <c r="X67" s="631">
        <v>2</v>
      </c>
      <c r="Y67" s="631">
        <v>2</v>
      </c>
      <c r="Z67" s="631">
        <v>0</v>
      </c>
      <c r="AA67" s="631">
        <v>0</v>
      </c>
      <c r="AB67" s="631">
        <v>0</v>
      </c>
      <c r="AC67" s="631">
        <v>0</v>
      </c>
      <c r="AD67" s="631">
        <v>2</v>
      </c>
      <c r="AE67" s="631">
        <v>0</v>
      </c>
    </row>
    <row r="68" spans="1:31" hidden="1">
      <c r="A68" s="634" t="s">
        <v>35</v>
      </c>
      <c r="B68" s="634"/>
      <c r="C68" s="634" t="s">
        <v>614</v>
      </c>
      <c r="D68" s="634" t="s">
        <v>614</v>
      </c>
      <c r="E68" s="634"/>
      <c r="F68" s="634" t="s">
        <v>37</v>
      </c>
      <c r="G68" s="634"/>
      <c r="H68" s="634" t="s">
        <v>37</v>
      </c>
      <c r="I68" s="634"/>
      <c r="J68" s="634"/>
      <c r="K68" s="634"/>
      <c r="L68" s="634" t="s">
        <v>813</v>
      </c>
      <c r="M68" s="636"/>
      <c r="N68" s="634" t="s">
        <v>813</v>
      </c>
      <c r="O68" s="634"/>
      <c r="P68" s="634" t="s">
        <v>178</v>
      </c>
      <c r="Q68" s="635"/>
      <c r="R68" s="634" t="s">
        <v>37</v>
      </c>
      <c r="S68" s="634"/>
      <c r="T68" s="634" t="s">
        <v>353</v>
      </c>
      <c r="U68" s="626"/>
      <c r="V68" s="626"/>
      <c r="W68" s="626"/>
      <c r="X68" s="631">
        <v>2</v>
      </c>
      <c r="Y68" s="631">
        <v>2</v>
      </c>
      <c r="Z68" s="631">
        <v>0</v>
      </c>
      <c r="AA68" s="631">
        <v>2</v>
      </c>
      <c r="AB68" s="631">
        <v>2</v>
      </c>
      <c r="AC68" s="631">
        <v>2</v>
      </c>
      <c r="AD68" s="631">
        <v>2</v>
      </c>
      <c r="AE68" s="631">
        <v>2</v>
      </c>
    </row>
    <row r="69" spans="1:31" ht="15" hidden="1" thickBot="1">
      <c r="A69" s="637" t="s">
        <v>46</v>
      </c>
      <c r="B69" s="637"/>
      <c r="C69" s="637" t="s">
        <v>371</v>
      </c>
      <c r="D69" s="637" t="s">
        <v>617</v>
      </c>
      <c r="E69" s="637"/>
      <c r="F69" s="637" t="s">
        <v>619</v>
      </c>
      <c r="G69" s="637"/>
      <c r="H69" s="637" t="s">
        <v>814</v>
      </c>
      <c r="I69" s="637"/>
      <c r="J69" s="637" t="s">
        <v>815</v>
      </c>
      <c r="K69" s="637"/>
      <c r="L69" s="637" t="s">
        <v>816</v>
      </c>
      <c r="M69" s="637"/>
      <c r="N69" s="637" t="s">
        <v>817</v>
      </c>
      <c r="O69" s="637"/>
      <c r="P69" s="637" t="s">
        <v>622</v>
      </c>
      <c r="Q69" s="638"/>
      <c r="R69" s="637" t="s">
        <v>623</v>
      </c>
      <c r="S69" s="637"/>
      <c r="T69" s="637" t="s">
        <v>369</v>
      </c>
      <c r="U69" s="626"/>
      <c r="V69" s="626"/>
      <c r="W69" s="626"/>
      <c r="X69" s="631">
        <v>2</v>
      </c>
      <c r="Y69" s="631">
        <v>2</v>
      </c>
      <c r="Z69" s="631">
        <v>2</v>
      </c>
      <c r="AA69" s="631">
        <v>2</v>
      </c>
      <c r="AB69" s="631">
        <v>2</v>
      </c>
      <c r="AC69" s="631">
        <v>2</v>
      </c>
      <c r="AD69" s="631">
        <v>2</v>
      </c>
      <c r="AE69" s="631">
        <v>2</v>
      </c>
    </row>
    <row r="70" spans="1:31" hidden="1">
      <c r="A70" s="634">
        <v>1</v>
      </c>
      <c r="B70" s="634"/>
      <c r="C70" s="372"/>
      <c r="D70" s="372"/>
      <c r="E70" s="664"/>
      <c r="F70" s="664"/>
      <c r="G70" s="664"/>
      <c r="H70" s="664"/>
      <c r="I70" s="664"/>
      <c r="J70" s="664"/>
      <c r="K70" s="664"/>
      <c r="L70" s="664"/>
      <c r="M70" s="664"/>
      <c r="N70" s="664"/>
      <c r="O70" s="664"/>
      <c r="P70" s="664"/>
      <c r="Q70" s="635"/>
      <c r="R70" s="372"/>
      <c r="S70" s="664"/>
      <c r="T70" s="664"/>
      <c r="U70" s="626"/>
      <c r="V70" s="626"/>
      <c r="W70" s="626"/>
      <c r="X70" s="631">
        <v>0</v>
      </c>
      <c r="Y70" s="631">
        <v>0</v>
      </c>
      <c r="Z70" s="631">
        <v>0</v>
      </c>
      <c r="AA70" s="631">
        <v>0</v>
      </c>
      <c r="AB70" s="631">
        <v>0</v>
      </c>
      <c r="AC70" s="631">
        <v>0</v>
      </c>
      <c r="AD70" s="631">
        <v>0</v>
      </c>
      <c r="AE70" s="631">
        <v>0</v>
      </c>
    </row>
    <row r="71" spans="1:31" hidden="1">
      <c r="A71" s="634">
        <v>2</v>
      </c>
      <c r="B71" s="639"/>
      <c r="C71" s="372"/>
      <c r="D71" s="636" t="s">
        <v>646</v>
      </c>
      <c r="E71" s="372"/>
      <c r="F71" s="372"/>
      <c r="G71" s="372"/>
      <c r="H71" s="372"/>
      <c r="I71" s="372"/>
      <c r="J71" s="372"/>
      <c r="K71" s="372"/>
      <c r="L71" s="372"/>
      <c r="M71" s="372"/>
      <c r="N71" s="372"/>
      <c r="O71" s="372"/>
      <c r="P71" s="372"/>
      <c r="Q71" s="635"/>
      <c r="R71" s="372"/>
      <c r="S71" s="372"/>
      <c r="T71" s="372"/>
      <c r="U71" s="626"/>
      <c r="V71" s="626"/>
      <c r="W71" s="626"/>
      <c r="X71" s="631">
        <v>0</v>
      </c>
      <c r="Y71" s="631">
        <v>0</v>
      </c>
      <c r="Z71" s="631">
        <v>0</v>
      </c>
      <c r="AA71" s="631">
        <v>0</v>
      </c>
      <c r="AB71" s="631">
        <v>0</v>
      </c>
      <c r="AC71" s="631">
        <v>0</v>
      </c>
      <c r="AD71" s="631">
        <v>0</v>
      </c>
      <c r="AE71" s="631">
        <v>0</v>
      </c>
    </row>
    <row r="72" spans="1:31" hidden="1">
      <c r="A72" s="634">
        <v>3</v>
      </c>
      <c r="B72" s="639"/>
      <c r="C72" s="634">
        <v>31145</v>
      </c>
      <c r="D72" s="372" t="s">
        <v>627</v>
      </c>
      <c r="E72" s="372"/>
      <c r="F72" s="640">
        <v>18070</v>
      </c>
      <c r="G72" s="635"/>
      <c r="H72" s="634">
        <v>672</v>
      </c>
      <c r="I72" s="635"/>
      <c r="J72" s="634">
        <v>-39</v>
      </c>
      <c r="K72" s="372"/>
      <c r="L72" s="634">
        <v>-2</v>
      </c>
      <c r="M72" s="372"/>
      <c r="N72" s="634" t="s">
        <v>628</v>
      </c>
      <c r="O72" s="634"/>
      <c r="P72" s="634" t="s">
        <v>635</v>
      </c>
      <c r="Q72" s="635"/>
      <c r="R72" s="640">
        <v>18701</v>
      </c>
      <c r="S72" s="372"/>
      <c r="T72" s="640">
        <v>18393</v>
      </c>
      <c r="U72" s="626"/>
      <c r="V72" s="626"/>
      <c r="W72" s="626"/>
      <c r="X72" s="641">
        <v>5</v>
      </c>
      <c r="Y72" s="641">
        <v>5</v>
      </c>
      <c r="Z72" s="641">
        <v>5</v>
      </c>
      <c r="AA72" s="641">
        <v>5</v>
      </c>
      <c r="AB72" s="631">
        <v>0</v>
      </c>
      <c r="AC72" s="631">
        <v>0</v>
      </c>
      <c r="AD72" s="641">
        <v>5</v>
      </c>
      <c r="AE72" s="641">
        <v>5</v>
      </c>
    </row>
    <row r="73" spans="1:31" hidden="1">
      <c r="A73" s="634">
        <v>4</v>
      </c>
      <c r="B73" s="639"/>
      <c r="C73" s="634">
        <v>31245</v>
      </c>
      <c r="D73" s="372" t="s">
        <v>629</v>
      </c>
      <c r="E73" s="372"/>
      <c r="F73" s="640">
        <v>74270</v>
      </c>
      <c r="G73" s="635"/>
      <c r="H73" s="640">
        <v>6035</v>
      </c>
      <c r="I73" s="635"/>
      <c r="J73" s="640">
        <v>-3867</v>
      </c>
      <c r="K73" s="372"/>
      <c r="L73" s="640">
        <v>-1531</v>
      </c>
      <c r="M73" s="372"/>
      <c r="N73" s="634">
        <v>81</v>
      </c>
      <c r="O73" s="634"/>
      <c r="P73" s="634" t="s">
        <v>635</v>
      </c>
      <c r="Q73" s="635"/>
      <c r="R73" s="640">
        <v>74988</v>
      </c>
      <c r="S73" s="372"/>
      <c r="T73" s="640">
        <v>74989</v>
      </c>
      <c r="U73" s="626"/>
      <c r="V73" s="626"/>
      <c r="W73" s="626"/>
      <c r="X73" s="641">
        <v>4</v>
      </c>
      <c r="Y73" s="641">
        <v>4</v>
      </c>
      <c r="Z73" s="641">
        <v>5</v>
      </c>
      <c r="AA73" s="641">
        <v>5</v>
      </c>
      <c r="AB73" s="641">
        <v>5</v>
      </c>
      <c r="AC73" s="631">
        <v>0</v>
      </c>
      <c r="AD73" s="641">
        <v>5</v>
      </c>
      <c r="AE73" s="641">
        <v>4</v>
      </c>
    </row>
    <row r="74" spans="1:31" hidden="1">
      <c r="A74" s="634">
        <v>5</v>
      </c>
      <c r="B74" s="639"/>
      <c r="C74" s="634">
        <v>31545</v>
      </c>
      <c r="D74" s="372" t="s">
        <v>631</v>
      </c>
      <c r="E74" s="372"/>
      <c r="F74" s="640">
        <v>16752</v>
      </c>
      <c r="G74" s="635"/>
      <c r="H74" s="634">
        <v>624</v>
      </c>
      <c r="I74" s="635"/>
      <c r="J74" s="634">
        <v>-38</v>
      </c>
      <c r="K74" s="372"/>
      <c r="L74" s="634" t="s">
        <v>628</v>
      </c>
      <c r="M74" s="372"/>
      <c r="N74" s="634" t="s">
        <v>635</v>
      </c>
      <c r="O74" s="634"/>
      <c r="P74" s="634" t="s">
        <v>635</v>
      </c>
      <c r="Q74" s="635"/>
      <c r="R74" s="640">
        <v>17338</v>
      </c>
      <c r="S74" s="372"/>
      <c r="T74" s="640">
        <v>17050</v>
      </c>
      <c r="U74" s="626"/>
      <c r="V74" s="626"/>
      <c r="W74" s="626"/>
      <c r="X74" s="641">
        <v>5</v>
      </c>
      <c r="Y74" s="641">
        <v>5</v>
      </c>
      <c r="Z74" s="641">
        <v>5</v>
      </c>
      <c r="AA74" s="631">
        <v>0</v>
      </c>
      <c r="AB74" s="631">
        <v>0</v>
      </c>
      <c r="AC74" s="631">
        <v>0</v>
      </c>
      <c r="AD74" s="641">
        <v>5</v>
      </c>
      <c r="AE74" s="641">
        <v>5</v>
      </c>
    </row>
    <row r="75" spans="1:31" hidden="1">
      <c r="A75" s="634">
        <v>6</v>
      </c>
      <c r="B75" s="639"/>
      <c r="C75" s="634">
        <v>31645</v>
      </c>
      <c r="D75" s="372" t="s">
        <v>632</v>
      </c>
      <c r="E75" s="372"/>
      <c r="F75" s="640">
        <v>1259</v>
      </c>
      <c r="G75" s="635"/>
      <c r="H75" s="634">
        <v>10</v>
      </c>
      <c r="I75" s="635"/>
      <c r="J75" s="634" t="s">
        <v>635</v>
      </c>
      <c r="K75" s="372"/>
      <c r="L75" s="634" t="s">
        <v>635</v>
      </c>
      <c r="M75" s="372"/>
      <c r="N75" s="634" t="s">
        <v>635</v>
      </c>
      <c r="O75" s="634"/>
      <c r="P75" s="634" t="s">
        <v>635</v>
      </c>
      <c r="Q75" s="635"/>
      <c r="R75" s="640">
        <v>1269</v>
      </c>
      <c r="S75" s="372"/>
      <c r="T75" s="640">
        <v>1264</v>
      </c>
      <c r="U75" s="626"/>
      <c r="V75" s="626"/>
      <c r="W75" s="626"/>
      <c r="X75" s="641">
        <v>5</v>
      </c>
      <c r="Y75" s="641">
        <v>5</v>
      </c>
      <c r="Z75" s="631">
        <v>0</v>
      </c>
      <c r="AA75" s="631">
        <v>0</v>
      </c>
      <c r="AB75" s="631">
        <v>0</v>
      </c>
      <c r="AC75" s="631">
        <v>0</v>
      </c>
      <c r="AD75" s="641">
        <v>5</v>
      </c>
      <c r="AE75" s="641">
        <v>5</v>
      </c>
    </row>
    <row r="76" spans="1:31" hidden="1">
      <c r="A76" s="634">
        <v>7</v>
      </c>
      <c r="B76" s="634"/>
      <c r="C76" s="634"/>
      <c r="D76" s="636" t="s">
        <v>647</v>
      </c>
      <c r="E76" s="372"/>
      <c r="F76" s="642">
        <v>110351</v>
      </c>
      <c r="G76" s="372"/>
      <c r="H76" s="642">
        <v>7341</v>
      </c>
      <c r="I76" s="635"/>
      <c r="J76" s="642">
        <v>-3944</v>
      </c>
      <c r="K76" s="635"/>
      <c r="L76" s="642">
        <v>-1534</v>
      </c>
      <c r="M76" s="635"/>
      <c r="N76" s="643">
        <v>81</v>
      </c>
      <c r="O76" s="635"/>
      <c r="P76" s="643" t="s">
        <v>635</v>
      </c>
      <c r="Q76" s="635"/>
      <c r="R76" s="642">
        <v>112296</v>
      </c>
      <c r="S76" s="635"/>
      <c r="T76" s="642">
        <v>111695</v>
      </c>
      <c r="U76" s="626"/>
      <c r="V76" s="626"/>
      <c r="W76" s="626"/>
      <c r="X76" s="641">
        <v>4</v>
      </c>
      <c r="Y76" s="641">
        <v>5</v>
      </c>
      <c r="Z76" s="641">
        <v>5</v>
      </c>
      <c r="AA76" s="641">
        <v>5</v>
      </c>
      <c r="AB76" s="641">
        <v>5</v>
      </c>
      <c r="AC76" s="631">
        <v>0</v>
      </c>
      <c r="AD76" s="641">
        <v>5</v>
      </c>
      <c r="AE76" s="641">
        <v>5</v>
      </c>
    </row>
    <row r="77" spans="1:31" hidden="1">
      <c r="A77" s="634">
        <v>8</v>
      </c>
      <c r="B77" s="634"/>
      <c r="C77" s="372"/>
      <c r="D77" s="372"/>
      <c r="E77" s="372"/>
      <c r="F77" s="372"/>
      <c r="G77" s="372"/>
      <c r="H77" s="372"/>
      <c r="I77" s="372"/>
      <c r="J77" s="372"/>
      <c r="K77" s="372"/>
      <c r="L77" s="372"/>
      <c r="M77" s="372"/>
      <c r="N77" s="372"/>
      <c r="O77" s="372"/>
      <c r="P77" s="372"/>
      <c r="Q77" s="635"/>
      <c r="R77" s="372"/>
      <c r="S77" s="372"/>
      <c r="T77" s="372"/>
      <c r="U77" s="626"/>
      <c r="V77" s="626"/>
      <c r="W77" s="626"/>
      <c r="X77" s="631">
        <v>0</v>
      </c>
      <c r="Y77" s="631">
        <v>0</v>
      </c>
      <c r="Z77" s="631">
        <v>0</v>
      </c>
      <c r="AA77" s="631">
        <v>0</v>
      </c>
      <c r="AB77" s="631">
        <v>0</v>
      </c>
      <c r="AC77" s="631">
        <v>0</v>
      </c>
      <c r="AD77" s="631">
        <v>0</v>
      </c>
      <c r="AE77" s="631">
        <v>0</v>
      </c>
    </row>
    <row r="78" spans="1:31" hidden="1">
      <c r="A78" s="634">
        <v>9</v>
      </c>
      <c r="B78" s="639"/>
      <c r="C78" s="634"/>
      <c r="D78" s="372" t="s">
        <v>648</v>
      </c>
      <c r="E78" s="372"/>
      <c r="F78" s="372"/>
      <c r="G78" s="372"/>
      <c r="H78" s="372"/>
      <c r="I78" s="635"/>
      <c r="J78" s="635"/>
      <c r="K78" s="635"/>
      <c r="L78" s="635"/>
      <c r="M78" s="635"/>
      <c r="N78" s="635"/>
      <c r="O78" s="635"/>
      <c r="P78" s="635"/>
      <c r="Q78" s="635"/>
      <c r="R78" s="635"/>
      <c r="S78" s="635"/>
      <c r="T78" s="635"/>
      <c r="U78" s="626"/>
      <c r="V78" s="626"/>
      <c r="W78" s="626"/>
      <c r="X78" s="631">
        <v>0</v>
      </c>
      <c r="Y78" s="631">
        <v>0</v>
      </c>
      <c r="Z78" s="631">
        <v>0</v>
      </c>
      <c r="AA78" s="631">
        <v>0</v>
      </c>
      <c r="AB78" s="631">
        <v>0</v>
      </c>
      <c r="AC78" s="631">
        <v>0</v>
      </c>
      <c r="AD78" s="631">
        <v>0</v>
      </c>
      <c r="AE78" s="631">
        <v>0</v>
      </c>
    </row>
    <row r="79" spans="1:31" hidden="1">
      <c r="A79" s="634">
        <v>10</v>
      </c>
      <c r="B79" s="639"/>
      <c r="C79" s="634">
        <v>31146</v>
      </c>
      <c r="D79" s="372" t="s">
        <v>627</v>
      </c>
      <c r="E79" s="372"/>
      <c r="F79" s="634" t="s">
        <v>628</v>
      </c>
      <c r="G79" s="635"/>
      <c r="H79" s="634" t="s">
        <v>635</v>
      </c>
      <c r="I79" s="635"/>
      <c r="J79" s="634" t="s">
        <v>635</v>
      </c>
      <c r="K79" s="372"/>
      <c r="L79" s="634" t="s">
        <v>635</v>
      </c>
      <c r="M79" s="372"/>
      <c r="N79" s="634" t="s">
        <v>635</v>
      </c>
      <c r="O79" s="634"/>
      <c r="P79" s="634" t="s">
        <v>635</v>
      </c>
      <c r="Q79" s="635"/>
      <c r="R79" s="634" t="s">
        <v>635</v>
      </c>
      <c r="S79" s="372"/>
      <c r="T79" s="634" t="s">
        <v>635</v>
      </c>
      <c r="U79" s="626"/>
      <c r="V79" s="626"/>
      <c r="W79" s="626"/>
      <c r="X79" s="631">
        <v>0</v>
      </c>
      <c r="Y79" s="631">
        <v>0</v>
      </c>
      <c r="Z79" s="631">
        <v>0</v>
      </c>
      <c r="AA79" s="631">
        <v>0</v>
      </c>
      <c r="AB79" s="631">
        <v>0</v>
      </c>
      <c r="AC79" s="631">
        <v>0</v>
      </c>
      <c r="AD79" s="631">
        <v>0</v>
      </c>
      <c r="AE79" s="631">
        <v>0</v>
      </c>
    </row>
    <row r="80" spans="1:31" hidden="1">
      <c r="A80" s="634">
        <v>11</v>
      </c>
      <c r="B80" s="639"/>
      <c r="C80" s="634">
        <v>31246</v>
      </c>
      <c r="D80" s="372" t="s">
        <v>629</v>
      </c>
      <c r="E80" s="372"/>
      <c r="F80" s="634" t="s">
        <v>628</v>
      </c>
      <c r="G80" s="635"/>
      <c r="H80" s="634" t="s">
        <v>635</v>
      </c>
      <c r="I80" s="635"/>
      <c r="J80" s="634" t="s">
        <v>635</v>
      </c>
      <c r="K80" s="372"/>
      <c r="L80" s="634" t="s">
        <v>635</v>
      </c>
      <c r="M80" s="372"/>
      <c r="N80" s="634" t="s">
        <v>635</v>
      </c>
      <c r="O80" s="634"/>
      <c r="P80" s="634" t="s">
        <v>635</v>
      </c>
      <c r="Q80" s="635"/>
      <c r="R80" s="634" t="s">
        <v>635</v>
      </c>
      <c r="S80" s="372"/>
      <c r="T80" s="634" t="s">
        <v>635</v>
      </c>
      <c r="U80" s="626"/>
      <c r="V80" s="626"/>
      <c r="W80" s="626"/>
      <c r="X80" s="631">
        <v>0</v>
      </c>
      <c r="Y80" s="631">
        <v>0</v>
      </c>
      <c r="Z80" s="631">
        <v>0</v>
      </c>
      <c r="AA80" s="631">
        <v>0</v>
      </c>
      <c r="AB80" s="631">
        <v>0</v>
      </c>
      <c r="AC80" s="631">
        <v>0</v>
      </c>
      <c r="AD80" s="631">
        <v>0</v>
      </c>
      <c r="AE80" s="631">
        <v>0</v>
      </c>
    </row>
    <row r="81" spans="1:31" hidden="1">
      <c r="A81" s="634">
        <v>12</v>
      </c>
      <c r="B81" s="639"/>
      <c r="C81" s="634">
        <v>31546</v>
      </c>
      <c r="D81" s="372" t="s">
        <v>631</v>
      </c>
      <c r="E81" s="372"/>
      <c r="F81" s="634" t="s">
        <v>628</v>
      </c>
      <c r="G81" s="635"/>
      <c r="H81" s="634" t="s">
        <v>635</v>
      </c>
      <c r="I81" s="635"/>
      <c r="J81" s="634" t="s">
        <v>635</v>
      </c>
      <c r="K81" s="372"/>
      <c r="L81" s="634" t="s">
        <v>635</v>
      </c>
      <c r="M81" s="372"/>
      <c r="N81" s="634" t="s">
        <v>635</v>
      </c>
      <c r="O81" s="634"/>
      <c r="P81" s="634" t="s">
        <v>635</v>
      </c>
      <c r="Q81" s="635"/>
      <c r="R81" s="634" t="s">
        <v>635</v>
      </c>
      <c r="S81" s="372"/>
      <c r="T81" s="634" t="s">
        <v>635</v>
      </c>
      <c r="U81" s="626"/>
      <c r="V81" s="626"/>
      <c r="W81" s="626"/>
      <c r="X81" s="631">
        <v>0</v>
      </c>
      <c r="Y81" s="631">
        <v>0</v>
      </c>
      <c r="Z81" s="631">
        <v>0</v>
      </c>
      <c r="AA81" s="631">
        <v>0</v>
      </c>
      <c r="AB81" s="631">
        <v>0</v>
      </c>
      <c r="AC81" s="631">
        <v>0</v>
      </c>
      <c r="AD81" s="631">
        <v>0</v>
      </c>
      <c r="AE81" s="631">
        <v>0</v>
      </c>
    </row>
    <row r="82" spans="1:31" hidden="1">
      <c r="A82" s="634">
        <v>13</v>
      </c>
      <c r="B82" s="639"/>
      <c r="C82" s="634">
        <v>31646</v>
      </c>
      <c r="D82" s="372" t="s">
        <v>632</v>
      </c>
      <c r="E82" s="372"/>
      <c r="F82" s="634" t="s">
        <v>628</v>
      </c>
      <c r="G82" s="635"/>
      <c r="H82" s="634" t="s">
        <v>635</v>
      </c>
      <c r="I82" s="635"/>
      <c r="J82" s="634" t="s">
        <v>635</v>
      </c>
      <c r="K82" s="372"/>
      <c r="L82" s="634" t="s">
        <v>635</v>
      </c>
      <c r="M82" s="372"/>
      <c r="N82" s="634" t="s">
        <v>635</v>
      </c>
      <c r="O82" s="634"/>
      <c r="P82" s="634" t="s">
        <v>635</v>
      </c>
      <c r="Q82" s="635"/>
      <c r="R82" s="634" t="s">
        <v>635</v>
      </c>
      <c r="S82" s="372"/>
      <c r="T82" s="634" t="s">
        <v>635</v>
      </c>
      <c r="U82" s="626"/>
      <c r="V82" s="626"/>
      <c r="W82" s="626"/>
      <c r="X82" s="631">
        <v>0</v>
      </c>
      <c r="Y82" s="631">
        <v>0</v>
      </c>
      <c r="Z82" s="631">
        <v>0</v>
      </c>
      <c r="AA82" s="631">
        <v>0</v>
      </c>
      <c r="AB82" s="631">
        <v>0</v>
      </c>
      <c r="AC82" s="631">
        <v>0</v>
      </c>
      <c r="AD82" s="631">
        <v>0</v>
      </c>
      <c r="AE82" s="631">
        <v>0</v>
      </c>
    </row>
    <row r="83" spans="1:31" hidden="1">
      <c r="A83" s="634">
        <v>14</v>
      </c>
      <c r="B83" s="639"/>
      <c r="C83" s="634"/>
      <c r="D83" s="372" t="s">
        <v>649</v>
      </c>
      <c r="E83" s="372"/>
      <c r="F83" s="643" t="s">
        <v>628</v>
      </c>
      <c r="G83" s="372"/>
      <c r="H83" s="643" t="s">
        <v>635</v>
      </c>
      <c r="I83" s="635"/>
      <c r="J83" s="643" t="s">
        <v>635</v>
      </c>
      <c r="K83" s="635"/>
      <c r="L83" s="643" t="s">
        <v>635</v>
      </c>
      <c r="M83" s="635"/>
      <c r="N83" s="643" t="s">
        <v>635</v>
      </c>
      <c r="O83" s="635"/>
      <c r="P83" s="643" t="s">
        <v>635</v>
      </c>
      <c r="Q83" s="635"/>
      <c r="R83" s="643" t="s">
        <v>635</v>
      </c>
      <c r="S83" s="635"/>
      <c r="T83" s="643" t="s">
        <v>635</v>
      </c>
      <c r="U83" s="626"/>
      <c r="V83" s="626"/>
      <c r="W83" s="626"/>
      <c r="X83" s="631">
        <v>0</v>
      </c>
      <c r="Y83" s="631">
        <v>0</v>
      </c>
      <c r="Z83" s="631">
        <v>0</v>
      </c>
      <c r="AA83" s="631">
        <v>0</v>
      </c>
      <c r="AB83" s="631">
        <v>0</v>
      </c>
      <c r="AC83" s="631">
        <v>0</v>
      </c>
      <c r="AD83" s="631">
        <v>0</v>
      </c>
      <c r="AE83" s="631">
        <v>0</v>
      </c>
    </row>
    <row r="84" spans="1:31" hidden="1">
      <c r="A84" s="634">
        <v>15</v>
      </c>
      <c r="B84" s="639"/>
      <c r="C84" s="372"/>
      <c r="D84" s="372"/>
      <c r="E84" s="372"/>
      <c r="F84" s="372"/>
      <c r="G84" s="372"/>
      <c r="H84" s="372"/>
      <c r="I84" s="372"/>
      <c r="J84" s="372"/>
      <c r="K84" s="372"/>
      <c r="L84" s="372"/>
      <c r="M84" s="372"/>
      <c r="N84" s="372"/>
      <c r="O84" s="372"/>
      <c r="P84" s="372"/>
      <c r="Q84" s="635"/>
      <c r="R84" s="372"/>
      <c r="S84" s="372"/>
      <c r="T84" s="372"/>
      <c r="U84" s="626"/>
      <c r="V84" s="626"/>
      <c r="W84" s="626"/>
      <c r="X84" s="631">
        <v>0</v>
      </c>
      <c r="Y84" s="631">
        <v>0</v>
      </c>
      <c r="Z84" s="631">
        <v>0</v>
      </c>
      <c r="AA84" s="631">
        <v>0</v>
      </c>
      <c r="AB84" s="631">
        <v>0</v>
      </c>
      <c r="AC84" s="631">
        <v>0</v>
      </c>
      <c r="AD84" s="631">
        <v>0</v>
      </c>
      <c r="AE84" s="631">
        <v>0</v>
      </c>
    </row>
    <row r="85" spans="1:31" hidden="1">
      <c r="A85" s="634">
        <v>16</v>
      </c>
      <c r="B85" s="639"/>
      <c r="C85" s="635"/>
      <c r="D85" s="636" t="s">
        <v>650</v>
      </c>
      <c r="E85" s="372"/>
      <c r="F85" s="372"/>
      <c r="G85" s="372"/>
      <c r="H85" s="372"/>
      <c r="I85" s="635"/>
      <c r="J85" s="635"/>
      <c r="K85" s="635"/>
      <c r="L85" s="635"/>
      <c r="M85" s="635"/>
      <c r="N85" s="635"/>
      <c r="O85" s="635"/>
      <c r="P85" s="635"/>
      <c r="Q85" s="635"/>
      <c r="R85" s="635"/>
      <c r="S85" s="635"/>
      <c r="T85" s="635"/>
      <c r="U85" s="626"/>
      <c r="V85" s="626"/>
      <c r="W85" s="626"/>
      <c r="X85" s="631">
        <v>0</v>
      </c>
      <c r="Y85" s="631">
        <v>0</v>
      </c>
      <c r="Z85" s="631">
        <v>0</v>
      </c>
      <c r="AA85" s="631">
        <v>0</v>
      </c>
      <c r="AB85" s="631">
        <v>0</v>
      </c>
      <c r="AC85" s="631">
        <v>0</v>
      </c>
      <c r="AD85" s="631">
        <v>0</v>
      </c>
      <c r="AE85" s="631">
        <v>0</v>
      </c>
    </row>
    <row r="86" spans="1:31" hidden="1">
      <c r="A86" s="634">
        <v>17</v>
      </c>
      <c r="B86" s="639"/>
      <c r="C86" s="634">
        <v>31151</v>
      </c>
      <c r="D86" s="372" t="s">
        <v>627</v>
      </c>
      <c r="E86" s="372"/>
      <c r="F86" s="634" t="s">
        <v>628</v>
      </c>
      <c r="G86" s="635"/>
      <c r="H86" s="634" t="s">
        <v>635</v>
      </c>
      <c r="I86" s="635"/>
      <c r="J86" s="634" t="s">
        <v>635</v>
      </c>
      <c r="K86" s="372"/>
      <c r="L86" s="634" t="s">
        <v>635</v>
      </c>
      <c r="M86" s="372"/>
      <c r="N86" s="634" t="s">
        <v>635</v>
      </c>
      <c r="O86" s="634"/>
      <c r="P86" s="634" t="s">
        <v>635</v>
      </c>
      <c r="Q86" s="635"/>
      <c r="R86" s="634" t="s">
        <v>635</v>
      </c>
      <c r="S86" s="372"/>
      <c r="T86" s="634" t="s">
        <v>635</v>
      </c>
      <c r="U86" s="626"/>
      <c r="V86" s="626"/>
      <c r="W86" s="626"/>
      <c r="X86" s="631">
        <v>0</v>
      </c>
      <c r="Y86" s="631">
        <v>0</v>
      </c>
      <c r="Z86" s="631">
        <v>0</v>
      </c>
      <c r="AA86" s="631">
        <v>0</v>
      </c>
      <c r="AB86" s="631">
        <v>0</v>
      </c>
      <c r="AC86" s="631">
        <v>0</v>
      </c>
      <c r="AD86" s="631">
        <v>0</v>
      </c>
      <c r="AE86" s="631">
        <v>0</v>
      </c>
    </row>
    <row r="87" spans="1:31" hidden="1">
      <c r="A87" s="634">
        <v>18</v>
      </c>
      <c r="B87" s="639"/>
      <c r="C87" s="634">
        <v>31251</v>
      </c>
      <c r="D87" s="372" t="s">
        <v>629</v>
      </c>
      <c r="E87" s="372"/>
      <c r="F87" s="634" t="s">
        <v>628</v>
      </c>
      <c r="G87" s="635"/>
      <c r="H87" s="634" t="s">
        <v>635</v>
      </c>
      <c r="I87" s="635"/>
      <c r="J87" s="634" t="s">
        <v>635</v>
      </c>
      <c r="K87" s="372"/>
      <c r="L87" s="634" t="s">
        <v>635</v>
      </c>
      <c r="M87" s="372"/>
      <c r="N87" s="634" t="s">
        <v>635</v>
      </c>
      <c r="O87" s="634"/>
      <c r="P87" s="634" t="s">
        <v>635</v>
      </c>
      <c r="Q87" s="635"/>
      <c r="R87" s="634" t="s">
        <v>635</v>
      </c>
      <c r="S87" s="372"/>
      <c r="T87" s="634" t="s">
        <v>635</v>
      </c>
      <c r="U87" s="626"/>
      <c r="V87" s="626"/>
      <c r="W87" s="626"/>
      <c r="X87" s="631">
        <v>0</v>
      </c>
      <c r="Y87" s="631">
        <v>0</v>
      </c>
      <c r="Z87" s="631">
        <v>0</v>
      </c>
      <c r="AA87" s="631">
        <v>0</v>
      </c>
      <c r="AB87" s="631">
        <v>0</v>
      </c>
      <c r="AC87" s="631">
        <v>0</v>
      </c>
      <c r="AD87" s="631">
        <v>0</v>
      </c>
      <c r="AE87" s="631">
        <v>0</v>
      </c>
    </row>
    <row r="88" spans="1:31" hidden="1">
      <c r="A88" s="634">
        <v>19</v>
      </c>
      <c r="B88" s="639"/>
      <c r="C88" s="634">
        <v>31551</v>
      </c>
      <c r="D88" s="372" t="s">
        <v>631</v>
      </c>
      <c r="E88" s="372"/>
      <c r="F88" s="634" t="s">
        <v>628</v>
      </c>
      <c r="G88" s="635"/>
      <c r="H88" s="634" t="s">
        <v>635</v>
      </c>
      <c r="I88" s="635"/>
      <c r="J88" s="634" t="s">
        <v>635</v>
      </c>
      <c r="K88" s="372"/>
      <c r="L88" s="634" t="s">
        <v>635</v>
      </c>
      <c r="M88" s="372"/>
      <c r="N88" s="634" t="s">
        <v>635</v>
      </c>
      <c r="O88" s="634"/>
      <c r="P88" s="634" t="s">
        <v>635</v>
      </c>
      <c r="Q88" s="635"/>
      <c r="R88" s="634" t="s">
        <v>635</v>
      </c>
      <c r="S88" s="372"/>
      <c r="T88" s="634" t="s">
        <v>635</v>
      </c>
      <c r="U88" s="626"/>
      <c r="V88" s="626"/>
      <c r="W88" s="626"/>
      <c r="X88" s="631">
        <v>0</v>
      </c>
      <c r="Y88" s="631">
        <v>0</v>
      </c>
      <c r="Z88" s="631">
        <v>0</v>
      </c>
      <c r="AA88" s="631">
        <v>0</v>
      </c>
      <c r="AB88" s="631">
        <v>0</v>
      </c>
      <c r="AC88" s="631">
        <v>0</v>
      </c>
      <c r="AD88" s="631">
        <v>0</v>
      </c>
      <c r="AE88" s="631">
        <v>0</v>
      </c>
    </row>
    <row r="89" spans="1:31" hidden="1">
      <c r="A89" s="634">
        <v>20</v>
      </c>
      <c r="B89" s="639"/>
      <c r="C89" s="634">
        <v>31651</v>
      </c>
      <c r="D89" s="372" t="s">
        <v>651</v>
      </c>
      <c r="E89" s="372"/>
      <c r="F89" s="634" t="s">
        <v>628</v>
      </c>
      <c r="G89" s="635"/>
      <c r="H89" s="634" t="s">
        <v>635</v>
      </c>
      <c r="I89" s="635"/>
      <c r="J89" s="634" t="s">
        <v>635</v>
      </c>
      <c r="K89" s="372"/>
      <c r="L89" s="634" t="s">
        <v>635</v>
      </c>
      <c r="M89" s="372"/>
      <c r="N89" s="634" t="s">
        <v>635</v>
      </c>
      <c r="O89" s="634"/>
      <c r="P89" s="634" t="s">
        <v>635</v>
      </c>
      <c r="Q89" s="635"/>
      <c r="R89" s="634" t="s">
        <v>635</v>
      </c>
      <c r="S89" s="372"/>
      <c r="T89" s="634" t="s">
        <v>635</v>
      </c>
      <c r="U89" s="626"/>
      <c r="V89" s="626"/>
      <c r="W89" s="626"/>
      <c r="X89" s="631">
        <v>0</v>
      </c>
      <c r="Y89" s="631">
        <v>0</v>
      </c>
      <c r="Z89" s="631">
        <v>0</v>
      </c>
      <c r="AA89" s="631">
        <v>0</v>
      </c>
      <c r="AB89" s="631">
        <v>0</v>
      </c>
      <c r="AC89" s="631">
        <v>0</v>
      </c>
      <c r="AD89" s="631">
        <v>0</v>
      </c>
      <c r="AE89" s="631">
        <v>0</v>
      </c>
    </row>
    <row r="90" spans="1:31" hidden="1">
      <c r="A90" s="634">
        <v>21</v>
      </c>
      <c r="B90" s="639"/>
      <c r="C90" s="634"/>
      <c r="D90" s="636" t="s">
        <v>652</v>
      </c>
      <c r="E90" s="372"/>
      <c r="F90" s="643" t="s">
        <v>628</v>
      </c>
      <c r="G90" s="372"/>
      <c r="H90" s="643" t="s">
        <v>635</v>
      </c>
      <c r="I90" s="635"/>
      <c r="J90" s="643" t="s">
        <v>635</v>
      </c>
      <c r="K90" s="635"/>
      <c r="L90" s="643" t="s">
        <v>635</v>
      </c>
      <c r="M90" s="635"/>
      <c r="N90" s="643" t="s">
        <v>635</v>
      </c>
      <c r="O90" s="635"/>
      <c r="P90" s="643" t="s">
        <v>635</v>
      </c>
      <c r="Q90" s="635"/>
      <c r="R90" s="643" t="s">
        <v>635</v>
      </c>
      <c r="S90" s="635"/>
      <c r="T90" s="643" t="s">
        <v>635</v>
      </c>
      <c r="U90" s="626"/>
      <c r="V90" s="626"/>
      <c r="W90" s="626"/>
      <c r="X90" s="631">
        <v>0</v>
      </c>
      <c r="Y90" s="631">
        <v>0</v>
      </c>
      <c r="Z90" s="631">
        <v>0</v>
      </c>
      <c r="AA90" s="631">
        <v>0</v>
      </c>
      <c r="AB90" s="631">
        <v>0</v>
      </c>
      <c r="AC90" s="631">
        <v>0</v>
      </c>
      <c r="AD90" s="631">
        <v>0</v>
      </c>
      <c r="AE90" s="631">
        <v>0</v>
      </c>
    </row>
    <row r="91" spans="1:31" hidden="1">
      <c r="A91" s="634">
        <v>22</v>
      </c>
      <c r="B91" s="639"/>
      <c r="C91" s="372"/>
      <c r="D91" s="372"/>
      <c r="E91" s="372"/>
      <c r="F91" s="372"/>
      <c r="G91" s="372"/>
      <c r="H91" s="372"/>
      <c r="I91" s="372"/>
      <c r="J91" s="372"/>
      <c r="K91" s="372"/>
      <c r="L91" s="372"/>
      <c r="M91" s="372"/>
      <c r="N91" s="372"/>
      <c r="O91" s="372"/>
      <c r="P91" s="372"/>
      <c r="Q91" s="635"/>
      <c r="R91" s="372"/>
      <c r="S91" s="372"/>
      <c r="T91" s="372"/>
      <c r="U91" s="626"/>
      <c r="V91" s="626"/>
      <c r="W91" s="626"/>
      <c r="X91" s="631">
        <v>0</v>
      </c>
      <c r="Y91" s="631">
        <v>0</v>
      </c>
      <c r="Z91" s="631">
        <v>0</v>
      </c>
      <c r="AA91" s="631">
        <v>0</v>
      </c>
      <c r="AB91" s="631">
        <v>0</v>
      </c>
      <c r="AC91" s="631">
        <v>0</v>
      </c>
      <c r="AD91" s="631">
        <v>0</v>
      </c>
      <c r="AE91" s="631">
        <v>0</v>
      </c>
    </row>
    <row r="92" spans="1:31" hidden="1">
      <c r="A92" s="634">
        <v>23</v>
      </c>
      <c r="B92" s="639"/>
      <c r="C92" s="635"/>
      <c r="D92" s="636" t="s">
        <v>653</v>
      </c>
      <c r="E92" s="372"/>
      <c r="F92" s="372"/>
      <c r="G92" s="372"/>
      <c r="H92" s="372"/>
      <c r="I92" s="635"/>
      <c r="J92" s="635"/>
      <c r="K92" s="635"/>
      <c r="L92" s="635"/>
      <c r="M92" s="635"/>
      <c r="N92" s="635"/>
      <c r="O92" s="635"/>
      <c r="P92" s="635"/>
      <c r="Q92" s="635"/>
      <c r="R92" s="635"/>
      <c r="S92" s="635"/>
      <c r="T92" s="635"/>
      <c r="U92" s="626"/>
      <c r="V92" s="626"/>
      <c r="W92" s="626"/>
      <c r="X92" s="631">
        <v>0</v>
      </c>
      <c r="Y92" s="631">
        <v>0</v>
      </c>
      <c r="Z92" s="631">
        <v>0</v>
      </c>
      <c r="AA92" s="631">
        <v>0</v>
      </c>
      <c r="AB92" s="631">
        <v>0</v>
      </c>
      <c r="AC92" s="631">
        <v>0</v>
      </c>
      <c r="AD92" s="631">
        <v>0</v>
      </c>
      <c r="AE92" s="631">
        <v>0</v>
      </c>
    </row>
    <row r="93" spans="1:31" hidden="1">
      <c r="A93" s="634">
        <v>24</v>
      </c>
      <c r="B93" s="639"/>
      <c r="C93" s="634">
        <v>31152</v>
      </c>
      <c r="D93" s="372" t="s">
        <v>627</v>
      </c>
      <c r="E93" s="372"/>
      <c r="F93" s="634" t="s">
        <v>628</v>
      </c>
      <c r="G93" s="635"/>
      <c r="H93" s="634" t="s">
        <v>635</v>
      </c>
      <c r="I93" s="635"/>
      <c r="J93" s="634" t="s">
        <v>635</v>
      </c>
      <c r="K93" s="372"/>
      <c r="L93" s="634" t="s">
        <v>635</v>
      </c>
      <c r="M93" s="372"/>
      <c r="N93" s="634" t="s">
        <v>635</v>
      </c>
      <c r="O93" s="634"/>
      <c r="P93" s="634" t="s">
        <v>635</v>
      </c>
      <c r="Q93" s="635"/>
      <c r="R93" s="634" t="s">
        <v>635</v>
      </c>
      <c r="S93" s="372"/>
      <c r="T93" s="634" t="s">
        <v>635</v>
      </c>
      <c r="U93" s="626"/>
      <c r="V93" s="626"/>
      <c r="W93" s="626"/>
      <c r="X93" s="631">
        <v>0</v>
      </c>
      <c r="Y93" s="631">
        <v>0</v>
      </c>
      <c r="Z93" s="631">
        <v>0</v>
      </c>
      <c r="AA93" s="631">
        <v>0</v>
      </c>
      <c r="AB93" s="631">
        <v>0</v>
      </c>
      <c r="AC93" s="631">
        <v>0</v>
      </c>
      <c r="AD93" s="631">
        <v>0</v>
      </c>
      <c r="AE93" s="631">
        <v>0</v>
      </c>
    </row>
    <row r="94" spans="1:31" hidden="1">
      <c r="A94" s="634">
        <v>25</v>
      </c>
      <c r="B94" s="639"/>
      <c r="C94" s="634">
        <v>31252</v>
      </c>
      <c r="D94" s="372" t="s">
        <v>629</v>
      </c>
      <c r="E94" s="372"/>
      <c r="F94" s="634" t="s">
        <v>628</v>
      </c>
      <c r="G94" s="635"/>
      <c r="H94" s="634" t="s">
        <v>635</v>
      </c>
      <c r="I94" s="635"/>
      <c r="J94" s="634" t="s">
        <v>635</v>
      </c>
      <c r="K94" s="372"/>
      <c r="L94" s="634" t="s">
        <v>635</v>
      </c>
      <c r="M94" s="372"/>
      <c r="N94" s="634" t="s">
        <v>635</v>
      </c>
      <c r="O94" s="634"/>
      <c r="P94" s="634" t="s">
        <v>635</v>
      </c>
      <c r="Q94" s="635"/>
      <c r="R94" s="634" t="s">
        <v>635</v>
      </c>
      <c r="S94" s="372"/>
      <c r="T94" s="634" t="s">
        <v>635</v>
      </c>
      <c r="U94" s="626"/>
      <c r="V94" s="626"/>
      <c r="W94" s="626"/>
      <c r="X94" s="631">
        <v>0</v>
      </c>
      <c r="Y94" s="631">
        <v>0</v>
      </c>
      <c r="Z94" s="631">
        <v>0</v>
      </c>
      <c r="AA94" s="631">
        <v>0</v>
      </c>
      <c r="AB94" s="631">
        <v>0</v>
      </c>
      <c r="AC94" s="631">
        <v>0</v>
      </c>
      <c r="AD94" s="631">
        <v>0</v>
      </c>
      <c r="AE94" s="631">
        <v>0</v>
      </c>
    </row>
    <row r="95" spans="1:31" hidden="1">
      <c r="A95" s="634">
        <v>26</v>
      </c>
      <c r="B95" s="639"/>
      <c r="C95" s="634">
        <v>31552</v>
      </c>
      <c r="D95" s="372" t="s">
        <v>631</v>
      </c>
      <c r="E95" s="372"/>
      <c r="F95" s="634" t="s">
        <v>628</v>
      </c>
      <c r="G95" s="635"/>
      <c r="H95" s="634" t="s">
        <v>635</v>
      </c>
      <c r="I95" s="635"/>
      <c r="J95" s="634" t="s">
        <v>635</v>
      </c>
      <c r="K95" s="372"/>
      <c r="L95" s="634" t="s">
        <v>635</v>
      </c>
      <c r="M95" s="372"/>
      <c r="N95" s="634" t="s">
        <v>635</v>
      </c>
      <c r="O95" s="634"/>
      <c r="P95" s="634" t="s">
        <v>635</v>
      </c>
      <c r="Q95" s="635"/>
      <c r="R95" s="634" t="s">
        <v>635</v>
      </c>
      <c r="S95" s="372"/>
      <c r="T95" s="634" t="s">
        <v>635</v>
      </c>
      <c r="U95" s="626"/>
      <c r="V95" s="626"/>
      <c r="W95" s="626"/>
      <c r="X95" s="631">
        <v>0</v>
      </c>
      <c r="Y95" s="631">
        <v>0</v>
      </c>
      <c r="Z95" s="631">
        <v>0</v>
      </c>
      <c r="AA95" s="631">
        <v>0</v>
      </c>
      <c r="AB95" s="631">
        <v>0</v>
      </c>
      <c r="AC95" s="631">
        <v>0</v>
      </c>
      <c r="AD95" s="631">
        <v>0</v>
      </c>
      <c r="AE95" s="631">
        <v>0</v>
      </c>
    </row>
    <row r="96" spans="1:31" hidden="1">
      <c r="A96" s="634">
        <v>27</v>
      </c>
      <c r="B96" s="639"/>
      <c r="C96" s="634">
        <v>31652</v>
      </c>
      <c r="D96" s="372" t="s">
        <v>632</v>
      </c>
      <c r="E96" s="372"/>
      <c r="F96" s="634" t="s">
        <v>628</v>
      </c>
      <c r="G96" s="635"/>
      <c r="H96" s="634" t="s">
        <v>635</v>
      </c>
      <c r="I96" s="635"/>
      <c r="J96" s="634" t="s">
        <v>635</v>
      </c>
      <c r="K96" s="372"/>
      <c r="L96" s="634" t="s">
        <v>635</v>
      </c>
      <c r="M96" s="372"/>
      <c r="N96" s="634" t="s">
        <v>635</v>
      </c>
      <c r="O96" s="634"/>
      <c r="P96" s="634" t="s">
        <v>635</v>
      </c>
      <c r="Q96" s="635"/>
      <c r="R96" s="634" t="s">
        <v>635</v>
      </c>
      <c r="S96" s="372"/>
      <c r="T96" s="634" t="s">
        <v>635</v>
      </c>
      <c r="U96" s="626"/>
      <c r="V96" s="626"/>
      <c r="W96" s="626"/>
      <c r="X96" s="631">
        <v>0</v>
      </c>
      <c r="Y96" s="631">
        <v>0</v>
      </c>
      <c r="Z96" s="631">
        <v>0</v>
      </c>
      <c r="AA96" s="631">
        <v>0</v>
      </c>
      <c r="AB96" s="631">
        <v>0</v>
      </c>
      <c r="AC96" s="631">
        <v>0</v>
      </c>
      <c r="AD96" s="631">
        <v>0</v>
      </c>
      <c r="AE96" s="631">
        <v>0</v>
      </c>
    </row>
    <row r="97" spans="1:31" hidden="1">
      <c r="A97" s="634">
        <v>28</v>
      </c>
      <c r="B97" s="639"/>
      <c r="C97" s="372"/>
      <c r="D97" s="636" t="s">
        <v>654</v>
      </c>
      <c r="E97" s="372"/>
      <c r="F97" s="643" t="s">
        <v>628</v>
      </c>
      <c r="G97" s="372"/>
      <c r="H97" s="643" t="s">
        <v>635</v>
      </c>
      <c r="I97" s="635"/>
      <c r="J97" s="643" t="s">
        <v>635</v>
      </c>
      <c r="K97" s="635"/>
      <c r="L97" s="643" t="s">
        <v>635</v>
      </c>
      <c r="M97" s="635"/>
      <c r="N97" s="643" t="s">
        <v>635</v>
      </c>
      <c r="O97" s="635"/>
      <c r="P97" s="643" t="s">
        <v>635</v>
      </c>
      <c r="Q97" s="635"/>
      <c r="R97" s="643" t="s">
        <v>635</v>
      </c>
      <c r="S97" s="635"/>
      <c r="T97" s="643" t="s">
        <v>635</v>
      </c>
      <c r="U97" s="626"/>
      <c r="V97" s="626"/>
      <c r="W97" s="626"/>
      <c r="X97" s="631">
        <v>0</v>
      </c>
      <c r="Y97" s="631">
        <v>0</v>
      </c>
      <c r="Z97" s="631">
        <v>0</v>
      </c>
      <c r="AA97" s="631">
        <v>0</v>
      </c>
      <c r="AB97" s="631">
        <v>0</v>
      </c>
      <c r="AC97" s="631">
        <v>0</v>
      </c>
      <c r="AD97" s="631">
        <v>0</v>
      </c>
      <c r="AE97" s="631">
        <v>0</v>
      </c>
    </row>
    <row r="98" spans="1:31" hidden="1">
      <c r="A98" s="634">
        <v>29</v>
      </c>
      <c r="B98" s="639"/>
      <c r="C98" s="372"/>
      <c r="D98" s="372"/>
      <c r="E98" s="372"/>
      <c r="F98" s="372"/>
      <c r="G98" s="372"/>
      <c r="H98" s="372"/>
      <c r="I98" s="372"/>
      <c r="J98" s="372"/>
      <c r="K98" s="372"/>
      <c r="L98" s="372"/>
      <c r="M98" s="372"/>
      <c r="N98" s="372"/>
      <c r="O98" s="372"/>
      <c r="P98" s="372"/>
      <c r="Q98" s="635"/>
      <c r="R98" s="372"/>
      <c r="S98" s="372"/>
      <c r="T98" s="372"/>
      <c r="U98" s="626"/>
      <c r="V98" s="626"/>
      <c r="W98" s="626"/>
      <c r="X98" s="631">
        <v>0</v>
      </c>
      <c r="Y98" s="631">
        <v>0</v>
      </c>
      <c r="Z98" s="631">
        <v>0</v>
      </c>
      <c r="AA98" s="631">
        <v>0</v>
      </c>
      <c r="AB98" s="631">
        <v>0</v>
      </c>
      <c r="AC98" s="631">
        <v>0</v>
      </c>
      <c r="AD98" s="631">
        <v>0</v>
      </c>
      <c r="AE98" s="631">
        <v>0</v>
      </c>
    </row>
    <row r="99" spans="1:31" hidden="1">
      <c r="A99" s="634">
        <v>30</v>
      </c>
      <c r="B99" s="639"/>
      <c r="C99" s="635"/>
      <c r="D99" s="636" t="s">
        <v>655</v>
      </c>
      <c r="E99" s="372"/>
      <c r="F99" s="372"/>
      <c r="G99" s="372"/>
      <c r="H99" s="372"/>
      <c r="I99" s="372"/>
      <c r="J99" s="372"/>
      <c r="K99" s="372"/>
      <c r="L99" s="372"/>
      <c r="M99" s="372"/>
      <c r="N99" s="372"/>
      <c r="O99" s="372"/>
      <c r="P99" s="372"/>
      <c r="Q99" s="635"/>
      <c r="R99" s="372"/>
      <c r="S99" s="372"/>
      <c r="T99" s="372"/>
      <c r="U99" s="626"/>
      <c r="V99" s="626"/>
      <c r="W99" s="626"/>
      <c r="X99" s="631">
        <v>0</v>
      </c>
      <c r="Y99" s="631">
        <v>0</v>
      </c>
      <c r="Z99" s="631">
        <v>0</v>
      </c>
      <c r="AA99" s="631">
        <v>0</v>
      </c>
      <c r="AB99" s="631">
        <v>0</v>
      </c>
      <c r="AC99" s="631">
        <v>0</v>
      </c>
      <c r="AD99" s="631">
        <v>0</v>
      </c>
      <c r="AE99" s="631">
        <v>0</v>
      </c>
    </row>
    <row r="100" spans="1:31" hidden="1">
      <c r="A100" s="634">
        <v>31</v>
      </c>
      <c r="B100" s="639"/>
      <c r="C100" s="634">
        <v>31153</v>
      </c>
      <c r="D100" s="372" t="s">
        <v>627</v>
      </c>
      <c r="E100" s="372"/>
      <c r="F100" s="634" t="s">
        <v>628</v>
      </c>
      <c r="G100" s="635"/>
      <c r="H100" s="634" t="s">
        <v>635</v>
      </c>
      <c r="I100" s="635"/>
      <c r="J100" s="634" t="s">
        <v>635</v>
      </c>
      <c r="K100" s="372"/>
      <c r="L100" s="634" t="s">
        <v>635</v>
      </c>
      <c r="M100" s="372"/>
      <c r="N100" s="634" t="s">
        <v>635</v>
      </c>
      <c r="O100" s="634"/>
      <c r="P100" s="634" t="s">
        <v>635</v>
      </c>
      <c r="Q100" s="635"/>
      <c r="R100" s="634" t="s">
        <v>635</v>
      </c>
      <c r="S100" s="372"/>
      <c r="T100" s="634" t="s">
        <v>635</v>
      </c>
      <c r="U100" s="626"/>
      <c r="V100" s="626"/>
      <c r="W100" s="626"/>
      <c r="X100" s="631">
        <v>0</v>
      </c>
      <c r="Y100" s="631">
        <v>0</v>
      </c>
      <c r="Z100" s="631">
        <v>0</v>
      </c>
      <c r="AA100" s="631">
        <v>0</v>
      </c>
      <c r="AB100" s="631">
        <v>0</v>
      </c>
      <c r="AC100" s="631">
        <v>0</v>
      </c>
      <c r="AD100" s="631">
        <v>0</v>
      </c>
      <c r="AE100" s="631">
        <v>0</v>
      </c>
    </row>
    <row r="101" spans="1:31" hidden="1">
      <c r="A101" s="634">
        <v>32</v>
      </c>
      <c r="B101" s="639"/>
      <c r="C101" s="634">
        <v>31253</v>
      </c>
      <c r="D101" s="372" t="s">
        <v>629</v>
      </c>
      <c r="E101" s="372"/>
      <c r="F101" s="634" t="s">
        <v>628</v>
      </c>
      <c r="G101" s="635"/>
      <c r="H101" s="634" t="s">
        <v>635</v>
      </c>
      <c r="I101" s="635"/>
      <c r="J101" s="634" t="s">
        <v>635</v>
      </c>
      <c r="K101" s="372"/>
      <c r="L101" s="634" t="s">
        <v>635</v>
      </c>
      <c r="M101" s="372"/>
      <c r="N101" s="634" t="s">
        <v>635</v>
      </c>
      <c r="O101" s="634"/>
      <c r="P101" s="634" t="s">
        <v>635</v>
      </c>
      <c r="Q101" s="635"/>
      <c r="R101" s="634" t="s">
        <v>635</v>
      </c>
      <c r="S101" s="372"/>
      <c r="T101" s="634" t="s">
        <v>635</v>
      </c>
      <c r="U101" s="626"/>
      <c r="V101" s="626"/>
      <c r="W101" s="626"/>
      <c r="X101" s="631">
        <v>0</v>
      </c>
      <c r="Y101" s="631">
        <v>0</v>
      </c>
      <c r="Z101" s="631">
        <v>0</v>
      </c>
      <c r="AA101" s="631">
        <v>0</v>
      </c>
      <c r="AB101" s="631">
        <v>0</v>
      </c>
      <c r="AC101" s="631">
        <v>0</v>
      </c>
      <c r="AD101" s="631">
        <v>0</v>
      </c>
      <c r="AE101" s="631">
        <v>0</v>
      </c>
    </row>
    <row r="102" spans="1:31" hidden="1">
      <c r="A102" s="634">
        <v>33</v>
      </c>
      <c r="B102" s="639"/>
      <c r="C102" s="634">
        <v>31553</v>
      </c>
      <c r="D102" s="372" t="s">
        <v>631</v>
      </c>
      <c r="E102" s="372"/>
      <c r="F102" s="634" t="s">
        <v>628</v>
      </c>
      <c r="G102" s="635"/>
      <c r="H102" s="634" t="s">
        <v>635</v>
      </c>
      <c r="I102" s="635"/>
      <c r="J102" s="634" t="s">
        <v>635</v>
      </c>
      <c r="K102" s="372"/>
      <c r="L102" s="634" t="s">
        <v>635</v>
      </c>
      <c r="M102" s="372"/>
      <c r="N102" s="634" t="s">
        <v>635</v>
      </c>
      <c r="O102" s="634"/>
      <c r="P102" s="634" t="s">
        <v>635</v>
      </c>
      <c r="Q102" s="635"/>
      <c r="R102" s="634" t="s">
        <v>635</v>
      </c>
      <c r="S102" s="372"/>
      <c r="T102" s="634" t="s">
        <v>635</v>
      </c>
      <c r="U102" s="626"/>
      <c r="V102" s="626"/>
      <c r="W102" s="626"/>
      <c r="X102" s="631">
        <v>0</v>
      </c>
      <c r="Y102" s="631">
        <v>0</v>
      </c>
      <c r="Z102" s="631">
        <v>0</v>
      </c>
      <c r="AA102" s="631">
        <v>0</v>
      </c>
      <c r="AB102" s="631">
        <v>0</v>
      </c>
      <c r="AC102" s="631">
        <v>0</v>
      </c>
      <c r="AD102" s="631">
        <v>0</v>
      </c>
      <c r="AE102" s="631">
        <v>0</v>
      </c>
    </row>
    <row r="103" spans="1:31" hidden="1">
      <c r="A103" s="634">
        <v>34</v>
      </c>
      <c r="B103" s="639"/>
      <c r="C103" s="634">
        <v>31653</v>
      </c>
      <c r="D103" s="372" t="s">
        <v>632</v>
      </c>
      <c r="E103" s="372"/>
      <c r="F103" s="634" t="s">
        <v>628</v>
      </c>
      <c r="G103" s="635"/>
      <c r="H103" s="634" t="s">
        <v>635</v>
      </c>
      <c r="I103" s="635"/>
      <c r="J103" s="634" t="s">
        <v>635</v>
      </c>
      <c r="K103" s="372"/>
      <c r="L103" s="634" t="s">
        <v>635</v>
      </c>
      <c r="M103" s="372"/>
      <c r="N103" s="634" t="s">
        <v>635</v>
      </c>
      <c r="O103" s="634"/>
      <c r="P103" s="634" t="s">
        <v>635</v>
      </c>
      <c r="Q103" s="635"/>
      <c r="R103" s="634" t="s">
        <v>635</v>
      </c>
      <c r="S103" s="372"/>
      <c r="T103" s="634" t="s">
        <v>635</v>
      </c>
      <c r="U103" s="626"/>
      <c r="V103" s="626"/>
      <c r="W103" s="626"/>
      <c r="X103" s="631">
        <v>0</v>
      </c>
      <c r="Y103" s="631">
        <v>0</v>
      </c>
      <c r="Z103" s="631">
        <v>0</v>
      </c>
      <c r="AA103" s="631">
        <v>0</v>
      </c>
      <c r="AB103" s="631">
        <v>0</v>
      </c>
      <c r="AC103" s="631">
        <v>0</v>
      </c>
      <c r="AD103" s="631">
        <v>0</v>
      </c>
      <c r="AE103" s="631">
        <v>0</v>
      </c>
    </row>
    <row r="104" spans="1:31" hidden="1">
      <c r="A104" s="634">
        <v>35</v>
      </c>
      <c r="B104" s="639"/>
      <c r="C104" s="634"/>
      <c r="D104" s="636" t="s">
        <v>656</v>
      </c>
      <c r="E104" s="372"/>
      <c r="F104" s="643" t="s">
        <v>628</v>
      </c>
      <c r="G104" s="372"/>
      <c r="H104" s="643" t="s">
        <v>635</v>
      </c>
      <c r="I104" s="635"/>
      <c r="J104" s="643" t="s">
        <v>635</v>
      </c>
      <c r="K104" s="635"/>
      <c r="L104" s="643" t="s">
        <v>635</v>
      </c>
      <c r="M104" s="635"/>
      <c r="N104" s="643" t="s">
        <v>635</v>
      </c>
      <c r="O104" s="635"/>
      <c r="P104" s="643" t="s">
        <v>635</v>
      </c>
      <c r="Q104" s="635"/>
      <c r="R104" s="643" t="s">
        <v>635</v>
      </c>
      <c r="S104" s="635"/>
      <c r="T104" s="643" t="s">
        <v>635</v>
      </c>
      <c r="U104" s="626"/>
      <c r="V104" s="626"/>
      <c r="W104" s="626"/>
      <c r="X104" s="631">
        <v>0</v>
      </c>
      <c r="Y104" s="631">
        <v>0</v>
      </c>
      <c r="Z104" s="631">
        <v>0</v>
      </c>
      <c r="AA104" s="631">
        <v>0</v>
      </c>
      <c r="AB104" s="631">
        <v>0</v>
      </c>
      <c r="AC104" s="631">
        <v>0</v>
      </c>
      <c r="AD104" s="631">
        <v>0</v>
      </c>
      <c r="AE104" s="631">
        <v>0</v>
      </c>
    </row>
    <row r="105" spans="1:31" hidden="1">
      <c r="A105" s="634">
        <v>36</v>
      </c>
      <c r="B105" s="639"/>
      <c r="C105" s="372"/>
      <c r="D105" s="372"/>
      <c r="E105" s="372"/>
      <c r="F105" s="372"/>
      <c r="G105" s="372"/>
      <c r="H105" s="372"/>
      <c r="I105" s="372"/>
      <c r="J105" s="372"/>
      <c r="K105" s="372"/>
      <c r="L105" s="372"/>
      <c r="M105" s="372"/>
      <c r="N105" s="372"/>
      <c r="O105" s="372"/>
      <c r="P105" s="372"/>
      <c r="Q105" s="635"/>
      <c r="R105" s="372"/>
      <c r="S105" s="372"/>
      <c r="T105" s="372"/>
      <c r="U105" s="626"/>
      <c r="V105" s="626"/>
      <c r="W105" s="626"/>
      <c r="X105" s="631">
        <v>0</v>
      </c>
      <c r="Y105" s="631">
        <v>0</v>
      </c>
      <c r="Z105" s="631">
        <v>0</v>
      </c>
      <c r="AA105" s="631">
        <v>0</v>
      </c>
      <c r="AB105" s="631">
        <v>0</v>
      </c>
      <c r="AC105" s="631">
        <v>0</v>
      </c>
      <c r="AD105" s="631">
        <v>0</v>
      </c>
      <c r="AE105" s="631">
        <v>0</v>
      </c>
    </row>
    <row r="106" spans="1:31" hidden="1">
      <c r="A106" s="634">
        <v>37</v>
      </c>
      <c r="B106" s="639"/>
      <c r="C106" s="635"/>
      <c r="D106" s="636" t="s">
        <v>657</v>
      </c>
      <c r="E106" s="372"/>
      <c r="F106" s="372"/>
      <c r="G106" s="372"/>
      <c r="H106" s="372"/>
      <c r="I106" s="635"/>
      <c r="J106" s="635"/>
      <c r="K106" s="635"/>
      <c r="L106" s="635"/>
      <c r="M106" s="635"/>
      <c r="N106" s="635"/>
      <c r="O106" s="635"/>
      <c r="P106" s="635"/>
      <c r="Q106" s="635"/>
      <c r="R106" s="635"/>
      <c r="S106" s="635"/>
      <c r="T106" s="635"/>
      <c r="U106" s="626"/>
      <c r="V106" s="626"/>
      <c r="W106" s="626"/>
      <c r="X106" s="631">
        <v>0</v>
      </c>
      <c r="Y106" s="631">
        <v>0</v>
      </c>
      <c r="Z106" s="631">
        <v>0</v>
      </c>
      <c r="AA106" s="631">
        <v>0</v>
      </c>
      <c r="AB106" s="631">
        <v>0</v>
      </c>
      <c r="AC106" s="631">
        <v>0</v>
      </c>
      <c r="AD106" s="631">
        <v>0</v>
      </c>
      <c r="AE106" s="631">
        <v>0</v>
      </c>
    </row>
    <row r="107" spans="1:31" hidden="1">
      <c r="A107" s="634">
        <v>38</v>
      </c>
      <c r="B107" s="639"/>
      <c r="C107" s="634">
        <v>31154</v>
      </c>
      <c r="D107" s="372" t="s">
        <v>627</v>
      </c>
      <c r="E107" s="372"/>
      <c r="F107" s="640">
        <v>6434</v>
      </c>
      <c r="G107" s="635"/>
      <c r="H107" s="634">
        <v>476</v>
      </c>
      <c r="I107" s="635"/>
      <c r="J107" s="634">
        <v>-34</v>
      </c>
      <c r="K107" s="372"/>
      <c r="L107" s="634">
        <v>-11</v>
      </c>
      <c r="M107" s="372"/>
      <c r="N107" s="634" t="s">
        <v>628</v>
      </c>
      <c r="O107" s="634"/>
      <c r="P107" s="634" t="s">
        <v>635</v>
      </c>
      <c r="Q107" s="635"/>
      <c r="R107" s="640">
        <v>6865</v>
      </c>
      <c r="S107" s="372"/>
      <c r="T107" s="640">
        <v>6634</v>
      </c>
      <c r="U107" s="626"/>
      <c r="V107" s="626"/>
      <c r="W107" s="626"/>
      <c r="X107" s="641">
        <v>5</v>
      </c>
      <c r="Y107" s="641">
        <v>4</v>
      </c>
      <c r="Z107" s="641">
        <v>5</v>
      </c>
      <c r="AA107" s="641">
        <v>5</v>
      </c>
      <c r="AB107" s="631">
        <v>0</v>
      </c>
      <c r="AC107" s="631">
        <v>0</v>
      </c>
      <c r="AD107" s="641">
        <v>5</v>
      </c>
      <c r="AE107" s="641">
        <v>5</v>
      </c>
    </row>
    <row r="108" spans="1:31" hidden="1">
      <c r="A108" s="634">
        <v>39</v>
      </c>
      <c r="B108" s="639"/>
      <c r="C108" s="634">
        <v>31254</v>
      </c>
      <c r="D108" s="372" t="s">
        <v>629</v>
      </c>
      <c r="E108" s="372"/>
      <c r="F108" s="640">
        <v>15403</v>
      </c>
      <c r="G108" s="635"/>
      <c r="H108" s="640">
        <v>1392</v>
      </c>
      <c r="I108" s="635"/>
      <c r="J108" s="640">
        <v>-2093</v>
      </c>
      <c r="K108" s="372"/>
      <c r="L108" s="634" t="s">
        <v>628</v>
      </c>
      <c r="M108" s="372"/>
      <c r="N108" s="634" t="s">
        <v>635</v>
      </c>
      <c r="O108" s="634"/>
      <c r="P108" s="634" t="s">
        <v>635</v>
      </c>
      <c r="Q108" s="635"/>
      <c r="R108" s="640">
        <v>14702</v>
      </c>
      <c r="S108" s="372"/>
      <c r="T108" s="640">
        <v>15640</v>
      </c>
      <c r="U108" s="626"/>
      <c r="V108" s="626"/>
      <c r="W108" s="626"/>
      <c r="X108" s="641">
        <v>5</v>
      </c>
      <c r="Y108" s="641">
        <v>5</v>
      </c>
      <c r="Z108" s="641">
        <v>4</v>
      </c>
      <c r="AA108" s="631">
        <v>0</v>
      </c>
      <c r="AB108" s="631">
        <v>0</v>
      </c>
      <c r="AC108" s="631">
        <v>0</v>
      </c>
      <c r="AD108" s="641">
        <v>5</v>
      </c>
      <c r="AE108" s="641">
        <v>5</v>
      </c>
    </row>
    <row r="109" spans="1:31" hidden="1">
      <c r="A109" s="634">
        <v>40</v>
      </c>
      <c r="B109" s="639"/>
      <c r="C109" s="634">
        <v>31554</v>
      </c>
      <c r="D109" s="372" t="s">
        <v>631</v>
      </c>
      <c r="E109" s="372"/>
      <c r="F109" s="640">
        <v>9168</v>
      </c>
      <c r="G109" s="635"/>
      <c r="H109" s="634">
        <v>433</v>
      </c>
      <c r="I109" s="635"/>
      <c r="J109" s="634" t="s">
        <v>635</v>
      </c>
      <c r="K109" s="372"/>
      <c r="L109" s="634" t="s">
        <v>635</v>
      </c>
      <c r="M109" s="372"/>
      <c r="N109" s="634" t="s">
        <v>635</v>
      </c>
      <c r="O109" s="634"/>
      <c r="P109" s="634" t="s">
        <v>635</v>
      </c>
      <c r="Q109" s="635"/>
      <c r="R109" s="640">
        <v>9602</v>
      </c>
      <c r="S109" s="372"/>
      <c r="T109" s="640">
        <v>9385</v>
      </c>
      <c r="U109" s="626"/>
      <c r="V109" s="626"/>
      <c r="W109" s="626"/>
      <c r="X109" s="641">
        <v>3</v>
      </c>
      <c r="Y109" s="641">
        <v>5</v>
      </c>
      <c r="Z109" s="631">
        <v>0</v>
      </c>
      <c r="AA109" s="631">
        <v>0</v>
      </c>
      <c r="AB109" s="631">
        <v>0</v>
      </c>
      <c r="AC109" s="631">
        <v>0</v>
      </c>
      <c r="AD109" s="641">
        <v>5</v>
      </c>
      <c r="AE109" s="641">
        <v>5</v>
      </c>
    </row>
    <row r="110" spans="1:31" hidden="1">
      <c r="A110" s="634">
        <v>41</v>
      </c>
      <c r="B110" s="639"/>
      <c r="C110" s="634">
        <v>31654</v>
      </c>
      <c r="D110" s="372" t="s">
        <v>632</v>
      </c>
      <c r="E110" s="372"/>
      <c r="F110" s="634">
        <v>345</v>
      </c>
      <c r="G110" s="635"/>
      <c r="H110" s="634">
        <v>17</v>
      </c>
      <c r="I110" s="635"/>
      <c r="J110" s="634" t="s">
        <v>635</v>
      </c>
      <c r="K110" s="372"/>
      <c r="L110" s="634" t="s">
        <v>635</v>
      </c>
      <c r="M110" s="372"/>
      <c r="N110" s="634" t="s">
        <v>635</v>
      </c>
      <c r="O110" s="634"/>
      <c r="P110" s="634" t="s">
        <v>635</v>
      </c>
      <c r="Q110" s="635"/>
      <c r="R110" s="634">
        <v>361</v>
      </c>
      <c r="S110" s="372"/>
      <c r="T110" s="634">
        <v>353</v>
      </c>
      <c r="U110" s="626"/>
      <c r="V110" s="626"/>
      <c r="W110" s="626"/>
      <c r="X110" s="641">
        <v>5</v>
      </c>
      <c r="Y110" s="641">
        <v>5</v>
      </c>
      <c r="Z110" s="631">
        <v>0</v>
      </c>
      <c r="AA110" s="631">
        <v>0</v>
      </c>
      <c r="AB110" s="631">
        <v>0</v>
      </c>
      <c r="AC110" s="631">
        <v>0</v>
      </c>
      <c r="AD110" s="641">
        <v>3</v>
      </c>
      <c r="AE110" s="641">
        <v>5</v>
      </c>
    </row>
    <row r="111" spans="1:31" hidden="1">
      <c r="A111" s="634">
        <v>42</v>
      </c>
      <c r="B111" s="639"/>
      <c r="C111" s="634"/>
      <c r="D111" s="636" t="s">
        <v>658</v>
      </c>
      <c r="E111" s="372"/>
      <c r="F111" s="642">
        <v>31350</v>
      </c>
      <c r="G111" s="372"/>
      <c r="H111" s="642">
        <v>2318</v>
      </c>
      <c r="I111" s="635"/>
      <c r="J111" s="642">
        <v>-2127</v>
      </c>
      <c r="K111" s="635"/>
      <c r="L111" s="643">
        <v>-11</v>
      </c>
      <c r="M111" s="635"/>
      <c r="N111" s="643" t="s">
        <v>628</v>
      </c>
      <c r="O111" s="635"/>
      <c r="P111" s="643" t="s">
        <v>635</v>
      </c>
      <c r="Q111" s="635"/>
      <c r="R111" s="642">
        <v>31530</v>
      </c>
      <c r="S111" s="635"/>
      <c r="T111" s="642">
        <v>32011</v>
      </c>
      <c r="U111" s="626"/>
      <c r="V111" s="626"/>
      <c r="W111" s="626"/>
      <c r="X111" s="641">
        <v>5</v>
      </c>
      <c r="Y111" s="641">
        <v>5</v>
      </c>
      <c r="Z111" s="641">
        <v>5</v>
      </c>
      <c r="AA111" s="641">
        <v>5</v>
      </c>
      <c r="AB111" s="631">
        <v>0</v>
      </c>
      <c r="AC111" s="631">
        <v>0</v>
      </c>
      <c r="AD111" s="641">
        <v>5</v>
      </c>
      <c r="AE111" s="641">
        <v>5</v>
      </c>
    </row>
    <row r="112" spans="1:31" hidden="1">
      <c r="A112" s="634">
        <v>43</v>
      </c>
      <c r="B112" s="639"/>
      <c r="C112" s="372"/>
      <c r="D112" s="372"/>
      <c r="E112" s="372"/>
      <c r="F112" s="372"/>
      <c r="G112" s="372"/>
      <c r="H112" s="372"/>
      <c r="I112" s="372"/>
      <c r="J112" s="372"/>
      <c r="K112" s="372"/>
      <c r="L112" s="372"/>
      <c r="M112" s="372"/>
      <c r="N112" s="372"/>
      <c r="O112" s="372"/>
      <c r="P112" s="372"/>
      <c r="Q112" s="635"/>
      <c r="R112" s="372"/>
      <c r="S112" s="372"/>
      <c r="T112" s="372"/>
      <c r="U112" s="626"/>
      <c r="V112" s="626"/>
      <c r="W112" s="626"/>
      <c r="X112" s="631">
        <v>0</v>
      </c>
      <c r="Y112" s="631">
        <v>0</v>
      </c>
      <c r="Z112" s="631">
        <v>0</v>
      </c>
      <c r="AA112" s="631">
        <v>0</v>
      </c>
      <c r="AB112" s="631">
        <v>0</v>
      </c>
      <c r="AC112" s="631">
        <v>0</v>
      </c>
      <c r="AD112" s="631">
        <v>0</v>
      </c>
      <c r="AE112" s="631">
        <v>0</v>
      </c>
    </row>
    <row r="113" spans="1:31" ht="15" hidden="1" thickBot="1">
      <c r="A113" s="637">
        <v>44</v>
      </c>
      <c r="B113" s="660" t="s">
        <v>67</v>
      </c>
      <c r="C113" s="660"/>
      <c r="D113" s="625"/>
      <c r="E113" s="625"/>
      <c r="F113" s="625"/>
      <c r="G113" s="625"/>
      <c r="H113" s="625"/>
      <c r="I113" s="625"/>
      <c r="J113" s="625"/>
      <c r="K113" s="625"/>
      <c r="L113" s="625"/>
      <c r="M113" s="625"/>
      <c r="N113" s="625"/>
      <c r="O113" s="625"/>
      <c r="P113" s="625"/>
      <c r="Q113" s="638"/>
      <c r="R113" s="625"/>
      <c r="S113" s="625"/>
      <c r="T113" s="625"/>
      <c r="U113" s="626"/>
      <c r="V113" s="626"/>
      <c r="W113" s="626"/>
      <c r="X113" s="631">
        <v>0</v>
      </c>
      <c r="Y113" s="631">
        <v>0</v>
      </c>
      <c r="Z113" s="631">
        <v>0</v>
      </c>
      <c r="AA113" s="631">
        <v>0</v>
      </c>
      <c r="AB113" s="631">
        <v>0</v>
      </c>
      <c r="AC113" s="631">
        <v>0</v>
      </c>
      <c r="AD113" s="631">
        <v>0</v>
      </c>
      <c r="AE113" s="631">
        <v>0</v>
      </c>
    </row>
    <row r="114" spans="1:31" hidden="1">
      <c r="A114" s="664" t="s">
        <v>818</v>
      </c>
      <c r="B114" s="664"/>
      <c r="C114" s="372"/>
      <c r="D114" s="372"/>
      <c r="E114" s="664"/>
      <c r="F114" s="664"/>
      <c r="G114" s="664"/>
      <c r="H114" s="664"/>
      <c r="I114" s="664"/>
      <c r="J114" s="664"/>
      <c r="K114" s="664"/>
      <c r="L114" s="664"/>
      <c r="M114" s="664"/>
      <c r="N114" s="664"/>
      <c r="O114" s="664"/>
      <c r="P114" s="664"/>
      <c r="Q114" s="635"/>
      <c r="R114" s="372" t="s">
        <v>644</v>
      </c>
      <c r="S114" s="664"/>
      <c r="T114" s="664"/>
      <c r="U114" s="626"/>
      <c r="V114" s="626"/>
      <c r="W114" s="626"/>
      <c r="X114" s="631">
        <v>0</v>
      </c>
      <c r="Y114" s="631">
        <v>0</v>
      </c>
      <c r="Z114" s="631">
        <v>0</v>
      </c>
      <c r="AA114" s="631">
        <v>0</v>
      </c>
      <c r="AB114" s="631">
        <v>0</v>
      </c>
      <c r="AC114" s="631">
        <v>0</v>
      </c>
      <c r="AD114" s="631">
        <v>2</v>
      </c>
      <c r="AE114" s="631">
        <v>0</v>
      </c>
    </row>
    <row r="115" spans="1:31" ht="15" hidden="1" thickBot="1">
      <c r="A115" s="625" t="s">
        <v>808</v>
      </c>
      <c r="B115" s="625"/>
      <c r="C115" s="625"/>
      <c r="D115" s="625"/>
      <c r="E115" s="625"/>
      <c r="F115" s="625" t="s">
        <v>809</v>
      </c>
      <c r="G115" s="625"/>
      <c r="H115" s="625"/>
      <c r="I115" s="625"/>
      <c r="J115" s="625"/>
      <c r="K115" s="625"/>
      <c r="L115" s="625"/>
      <c r="M115" s="625"/>
      <c r="N115" s="625"/>
      <c r="O115" s="625"/>
      <c r="P115" s="625"/>
      <c r="Q115" s="638"/>
      <c r="R115" s="625"/>
      <c r="S115" s="625"/>
      <c r="T115" s="625" t="s">
        <v>659</v>
      </c>
      <c r="U115" s="626"/>
      <c r="V115" s="626"/>
      <c r="W115" s="626"/>
      <c r="X115" s="631">
        <v>2</v>
      </c>
      <c r="Y115" s="631">
        <v>0</v>
      </c>
      <c r="Z115" s="631">
        <v>0</v>
      </c>
      <c r="AA115" s="631">
        <v>0</v>
      </c>
      <c r="AB115" s="631">
        <v>0</v>
      </c>
      <c r="AC115" s="631">
        <v>0</v>
      </c>
      <c r="AD115" s="631">
        <v>0</v>
      </c>
      <c r="AE115" s="631">
        <v>2</v>
      </c>
    </row>
    <row r="116" spans="1:31" hidden="1">
      <c r="A116" s="664" t="s">
        <v>4</v>
      </c>
      <c r="B116" s="664"/>
      <c r="C116" s="372"/>
      <c r="D116" s="372"/>
      <c r="E116" s="635" t="s">
        <v>553</v>
      </c>
      <c r="F116" s="372" t="s">
        <v>810</v>
      </c>
      <c r="G116" s="664"/>
      <c r="H116" s="664"/>
      <c r="I116" s="664"/>
      <c r="J116" s="664"/>
      <c r="K116" s="661"/>
      <c r="L116" s="661"/>
      <c r="M116" s="661"/>
      <c r="N116" s="661"/>
      <c r="O116" s="661"/>
      <c r="P116" s="661"/>
      <c r="Q116" s="645"/>
      <c r="R116" s="372" t="s">
        <v>608</v>
      </c>
      <c r="S116" s="664"/>
      <c r="T116" s="664"/>
      <c r="U116" s="626"/>
      <c r="V116" s="626"/>
      <c r="W116" s="626"/>
      <c r="X116" s="631">
        <v>2</v>
      </c>
      <c r="Y116" s="631">
        <v>0</v>
      </c>
      <c r="Z116" s="631">
        <v>0</v>
      </c>
      <c r="AA116" s="631">
        <v>0</v>
      </c>
      <c r="AB116" s="631">
        <v>0</v>
      </c>
      <c r="AC116" s="631">
        <v>0</v>
      </c>
      <c r="AD116" s="631">
        <v>2</v>
      </c>
      <c r="AE116" s="631">
        <v>0</v>
      </c>
    </row>
    <row r="117" spans="1:31" hidden="1">
      <c r="A117" s="372"/>
      <c r="B117" s="372"/>
      <c r="C117" s="372"/>
      <c r="D117" s="372"/>
      <c r="E117" s="372"/>
      <c r="F117" s="372" t="s">
        <v>811</v>
      </c>
      <c r="G117" s="372"/>
      <c r="H117" s="372"/>
      <c r="I117" s="372"/>
      <c r="J117" s="372"/>
      <c r="K117" s="636"/>
      <c r="L117" s="636"/>
      <c r="M117" s="372"/>
      <c r="N117" s="372"/>
      <c r="O117" s="635"/>
      <c r="P117" s="635"/>
      <c r="Q117" s="635"/>
      <c r="R117" s="636" t="s">
        <v>9</v>
      </c>
      <c r="S117" s="372"/>
      <c r="T117" s="372"/>
      <c r="U117" s="626"/>
      <c r="V117" s="626"/>
      <c r="W117" s="626"/>
      <c r="X117" s="631">
        <v>2</v>
      </c>
      <c r="Y117" s="631">
        <v>0</v>
      </c>
      <c r="Z117" s="631">
        <v>0</v>
      </c>
      <c r="AA117" s="631">
        <v>0</v>
      </c>
      <c r="AB117" s="631">
        <v>0</v>
      </c>
      <c r="AC117" s="631">
        <v>0</v>
      </c>
      <c r="AD117" s="631">
        <v>2</v>
      </c>
      <c r="AE117" s="631">
        <v>0</v>
      </c>
    </row>
    <row r="118" spans="1:31" hidden="1">
      <c r="A118" s="372" t="s">
        <v>10</v>
      </c>
      <c r="B118" s="372"/>
      <c r="C118" s="372"/>
      <c r="D118" s="372"/>
      <c r="E118" s="372"/>
      <c r="F118" s="372"/>
      <c r="G118" s="372"/>
      <c r="H118" s="372"/>
      <c r="I118" s="372"/>
      <c r="J118" s="372"/>
      <c r="K118" s="636"/>
      <c r="L118" s="636"/>
      <c r="M118" s="372"/>
      <c r="N118" s="372"/>
      <c r="O118" s="372"/>
      <c r="P118" s="372"/>
      <c r="Q118" s="635"/>
      <c r="R118" s="636" t="s">
        <v>11</v>
      </c>
      <c r="S118" s="372"/>
      <c r="T118" s="372"/>
      <c r="U118" s="626"/>
      <c r="V118" s="626"/>
      <c r="W118" s="626"/>
      <c r="X118" s="631">
        <v>2</v>
      </c>
      <c r="Y118" s="631">
        <v>0</v>
      </c>
      <c r="Z118" s="631">
        <v>0</v>
      </c>
      <c r="AA118" s="631">
        <v>0</v>
      </c>
      <c r="AB118" s="631">
        <v>0</v>
      </c>
      <c r="AC118" s="631">
        <v>0</v>
      </c>
      <c r="AD118" s="631">
        <v>2</v>
      </c>
      <c r="AE118" s="631">
        <v>0</v>
      </c>
    </row>
    <row r="119" spans="1:31" hidden="1">
      <c r="A119" s="372"/>
      <c r="B119" s="372"/>
      <c r="C119" s="372"/>
      <c r="D119" s="372"/>
      <c r="E119" s="372"/>
      <c r="F119" s="372"/>
      <c r="G119" s="372"/>
      <c r="H119" s="372"/>
      <c r="I119" s="372"/>
      <c r="J119" s="372"/>
      <c r="K119" s="636"/>
      <c r="L119" s="636"/>
      <c r="M119" s="372"/>
      <c r="N119" s="372"/>
      <c r="O119" s="372"/>
      <c r="P119" s="372"/>
      <c r="Q119" s="635" t="s">
        <v>12</v>
      </c>
      <c r="R119" s="636" t="s">
        <v>13</v>
      </c>
      <c r="S119" s="372"/>
      <c r="T119" s="372"/>
      <c r="U119" s="626"/>
      <c r="V119" s="626"/>
      <c r="W119" s="626"/>
      <c r="X119" s="631">
        <v>2</v>
      </c>
      <c r="Y119" s="631">
        <v>0</v>
      </c>
      <c r="Z119" s="631">
        <v>0</v>
      </c>
      <c r="AA119" s="631">
        <v>0</v>
      </c>
      <c r="AB119" s="631">
        <v>0</v>
      </c>
      <c r="AC119" s="631">
        <v>0</v>
      </c>
      <c r="AD119" s="631">
        <v>2</v>
      </c>
      <c r="AE119" s="631">
        <v>0</v>
      </c>
    </row>
    <row r="120" spans="1:31" hidden="1">
      <c r="A120" s="372"/>
      <c r="B120" s="372"/>
      <c r="C120" s="372"/>
      <c r="D120" s="372"/>
      <c r="E120" s="372"/>
      <c r="F120" s="372"/>
      <c r="G120" s="372"/>
      <c r="H120" s="372"/>
      <c r="I120" s="372"/>
      <c r="J120" s="372"/>
      <c r="K120" s="636"/>
      <c r="L120" s="636"/>
      <c r="M120" s="372"/>
      <c r="N120" s="372"/>
      <c r="O120" s="372"/>
      <c r="P120" s="372"/>
      <c r="Q120" s="635"/>
      <c r="R120" s="636" t="s">
        <v>610</v>
      </c>
      <c r="S120" s="372"/>
      <c r="T120" s="372"/>
      <c r="U120" s="626"/>
      <c r="V120" s="626"/>
      <c r="W120" s="626"/>
      <c r="X120" s="631">
        <v>0</v>
      </c>
      <c r="Y120" s="631">
        <v>0</v>
      </c>
      <c r="Z120" s="631">
        <v>0</v>
      </c>
      <c r="AA120" s="631">
        <v>0</v>
      </c>
      <c r="AB120" s="631">
        <v>0</v>
      </c>
      <c r="AC120" s="631">
        <v>0</v>
      </c>
      <c r="AD120" s="631">
        <v>2</v>
      </c>
      <c r="AE120" s="631">
        <v>0</v>
      </c>
    </row>
    <row r="121" spans="1:31" ht="15" hidden="1" thickBot="1">
      <c r="A121" s="625" t="s">
        <v>611</v>
      </c>
      <c r="B121" s="625"/>
      <c r="C121" s="625"/>
      <c r="D121" s="625"/>
      <c r="E121" s="625"/>
      <c r="F121" s="625"/>
      <c r="G121" s="625"/>
      <c r="H121" s="637" t="s">
        <v>812</v>
      </c>
      <c r="I121" s="625"/>
      <c r="J121" s="625"/>
      <c r="K121" s="625"/>
      <c r="L121" s="625"/>
      <c r="M121" s="625"/>
      <c r="N121" s="625"/>
      <c r="O121" s="625"/>
      <c r="P121" s="625"/>
      <c r="Q121" s="638"/>
      <c r="R121" s="625" t="s">
        <v>249</v>
      </c>
      <c r="S121" s="625"/>
      <c r="T121" s="625"/>
      <c r="U121" s="626"/>
      <c r="V121" s="626"/>
      <c r="W121" s="626"/>
      <c r="X121" s="631">
        <v>2</v>
      </c>
      <c r="Y121" s="631">
        <v>2</v>
      </c>
      <c r="Z121" s="631">
        <v>0</v>
      </c>
      <c r="AA121" s="631">
        <v>0</v>
      </c>
      <c r="AB121" s="631">
        <v>0</v>
      </c>
      <c r="AC121" s="631">
        <v>0</v>
      </c>
      <c r="AD121" s="631">
        <v>2</v>
      </c>
      <c r="AE121" s="631">
        <v>0</v>
      </c>
    </row>
    <row r="122" spans="1:31" hidden="1">
      <c r="A122" s="664"/>
      <c r="B122" s="664"/>
      <c r="C122" s="634"/>
      <c r="D122" s="634"/>
      <c r="E122" s="634"/>
      <c r="F122" s="634"/>
      <c r="G122" s="634"/>
      <c r="H122" s="634"/>
      <c r="I122" s="634"/>
      <c r="J122" s="634"/>
      <c r="K122" s="634"/>
      <c r="L122" s="634"/>
      <c r="M122" s="634"/>
      <c r="N122" s="634"/>
      <c r="O122" s="634"/>
      <c r="P122" s="634"/>
      <c r="Q122" s="635"/>
      <c r="R122" s="634"/>
      <c r="S122" s="634"/>
      <c r="T122" s="634"/>
      <c r="U122" s="626"/>
      <c r="V122" s="626"/>
      <c r="W122" s="626"/>
      <c r="X122" s="631">
        <v>0</v>
      </c>
      <c r="Y122" s="631">
        <v>0</v>
      </c>
      <c r="Z122" s="631">
        <v>0</v>
      </c>
      <c r="AA122" s="631">
        <v>0</v>
      </c>
      <c r="AB122" s="631">
        <v>0</v>
      </c>
      <c r="AC122" s="631">
        <v>0</v>
      </c>
      <c r="AD122" s="631">
        <v>0</v>
      </c>
      <c r="AE122" s="631">
        <v>0</v>
      </c>
    </row>
    <row r="123" spans="1:31" hidden="1">
      <c r="A123" s="372"/>
      <c r="B123" s="372"/>
      <c r="C123" s="634">
        <v>-1</v>
      </c>
      <c r="D123" s="634">
        <v>-2</v>
      </c>
      <c r="E123" s="634"/>
      <c r="F123" s="634">
        <v>-3</v>
      </c>
      <c r="G123" s="634"/>
      <c r="H123" s="634">
        <v>-4</v>
      </c>
      <c r="I123" s="634"/>
      <c r="J123" s="634">
        <v>-5</v>
      </c>
      <c r="K123" s="634"/>
      <c r="L123" s="634">
        <v>-6</v>
      </c>
      <c r="M123" s="634"/>
      <c r="N123" s="634">
        <v>-7</v>
      </c>
      <c r="O123" s="634"/>
      <c r="P123" s="634">
        <v>-8</v>
      </c>
      <c r="Q123" s="635"/>
      <c r="R123" s="634">
        <v>-9</v>
      </c>
      <c r="S123" s="634"/>
      <c r="T123" s="634">
        <v>-10</v>
      </c>
      <c r="U123" s="626"/>
      <c r="V123" s="626"/>
      <c r="W123" s="626"/>
      <c r="X123" s="631">
        <v>2</v>
      </c>
      <c r="Y123" s="631">
        <v>2</v>
      </c>
      <c r="Z123" s="631">
        <v>2</v>
      </c>
      <c r="AA123" s="631">
        <v>2</v>
      </c>
      <c r="AB123" s="631">
        <v>2</v>
      </c>
      <c r="AC123" s="631">
        <v>2</v>
      </c>
      <c r="AD123" s="631">
        <v>2</v>
      </c>
      <c r="AE123" s="631">
        <v>2</v>
      </c>
    </row>
    <row r="124" spans="1:31" hidden="1">
      <c r="A124" s="372"/>
      <c r="B124" s="372"/>
      <c r="C124" s="634" t="s">
        <v>613</v>
      </c>
      <c r="D124" s="634" t="s">
        <v>613</v>
      </c>
      <c r="E124" s="372"/>
      <c r="F124" s="634" t="s">
        <v>27</v>
      </c>
      <c r="G124" s="634"/>
      <c r="H124" s="634" t="s">
        <v>45</v>
      </c>
      <c r="I124" s="634"/>
      <c r="J124" s="634"/>
      <c r="K124" s="634"/>
      <c r="L124" s="634"/>
      <c r="M124" s="634"/>
      <c r="N124" s="372"/>
      <c r="O124" s="372"/>
      <c r="P124" s="372"/>
      <c r="Q124" s="635"/>
      <c r="R124" s="634" t="s">
        <v>27</v>
      </c>
      <c r="S124" s="372"/>
      <c r="T124" s="372"/>
      <c r="U124" s="626"/>
      <c r="V124" s="626"/>
      <c r="W124" s="626"/>
      <c r="X124" s="631">
        <v>2</v>
      </c>
      <c r="Y124" s="631">
        <v>2</v>
      </c>
      <c r="Z124" s="631">
        <v>0</v>
      </c>
      <c r="AA124" s="631">
        <v>0</v>
      </c>
      <c r="AB124" s="631">
        <v>0</v>
      </c>
      <c r="AC124" s="631">
        <v>0</v>
      </c>
      <c r="AD124" s="631">
        <v>2</v>
      </c>
      <c r="AE124" s="631">
        <v>0</v>
      </c>
    </row>
    <row r="125" spans="1:31" hidden="1">
      <c r="A125" s="634" t="s">
        <v>35</v>
      </c>
      <c r="B125" s="634"/>
      <c r="C125" s="634" t="s">
        <v>614</v>
      </c>
      <c r="D125" s="634" t="s">
        <v>614</v>
      </c>
      <c r="E125" s="634"/>
      <c r="F125" s="634" t="s">
        <v>37</v>
      </c>
      <c r="G125" s="634"/>
      <c r="H125" s="634" t="s">
        <v>37</v>
      </c>
      <c r="I125" s="634"/>
      <c r="J125" s="634"/>
      <c r="K125" s="634"/>
      <c r="L125" s="634" t="s">
        <v>813</v>
      </c>
      <c r="M125" s="636"/>
      <c r="N125" s="634" t="s">
        <v>813</v>
      </c>
      <c r="O125" s="634"/>
      <c r="P125" s="634" t="s">
        <v>178</v>
      </c>
      <c r="Q125" s="635"/>
      <c r="R125" s="634" t="s">
        <v>37</v>
      </c>
      <c r="S125" s="634"/>
      <c r="T125" s="634" t="s">
        <v>353</v>
      </c>
      <c r="U125" s="626"/>
      <c r="V125" s="626"/>
      <c r="W125" s="626"/>
      <c r="X125" s="631">
        <v>2</v>
      </c>
      <c r="Y125" s="631">
        <v>2</v>
      </c>
      <c r="Z125" s="631">
        <v>0</v>
      </c>
      <c r="AA125" s="631">
        <v>2</v>
      </c>
      <c r="AB125" s="631">
        <v>2</v>
      </c>
      <c r="AC125" s="631">
        <v>2</v>
      </c>
      <c r="AD125" s="631">
        <v>2</v>
      </c>
      <c r="AE125" s="631">
        <v>2</v>
      </c>
    </row>
    <row r="126" spans="1:31" ht="15" hidden="1" thickBot="1">
      <c r="A126" s="637" t="s">
        <v>46</v>
      </c>
      <c r="B126" s="637"/>
      <c r="C126" s="637" t="s">
        <v>371</v>
      </c>
      <c r="D126" s="637" t="s">
        <v>617</v>
      </c>
      <c r="E126" s="637"/>
      <c r="F126" s="637" t="s">
        <v>619</v>
      </c>
      <c r="G126" s="637"/>
      <c r="H126" s="637" t="s">
        <v>814</v>
      </c>
      <c r="I126" s="637"/>
      <c r="J126" s="637" t="s">
        <v>815</v>
      </c>
      <c r="K126" s="637"/>
      <c r="L126" s="637" t="s">
        <v>816</v>
      </c>
      <c r="M126" s="637"/>
      <c r="N126" s="637" t="s">
        <v>817</v>
      </c>
      <c r="O126" s="637"/>
      <c r="P126" s="637" t="s">
        <v>622</v>
      </c>
      <c r="Q126" s="638"/>
      <c r="R126" s="637" t="s">
        <v>623</v>
      </c>
      <c r="S126" s="637"/>
      <c r="T126" s="637" t="s">
        <v>369</v>
      </c>
      <c r="U126" s="626"/>
      <c r="V126" s="626"/>
      <c r="W126" s="626"/>
      <c r="X126" s="631">
        <v>2</v>
      </c>
      <c r="Y126" s="631">
        <v>2</v>
      </c>
      <c r="Z126" s="631">
        <v>2</v>
      </c>
      <c r="AA126" s="631">
        <v>2</v>
      </c>
      <c r="AB126" s="631">
        <v>2</v>
      </c>
      <c r="AC126" s="631">
        <v>2</v>
      </c>
      <c r="AD126" s="631">
        <v>2</v>
      </c>
      <c r="AE126" s="631">
        <v>2</v>
      </c>
    </row>
    <row r="127" spans="1:31" hidden="1">
      <c r="A127" s="634">
        <v>1</v>
      </c>
      <c r="B127" s="634"/>
      <c r="C127" s="372"/>
      <c r="D127" s="372"/>
      <c r="E127" s="664"/>
      <c r="F127" s="664"/>
      <c r="G127" s="664"/>
      <c r="H127" s="664"/>
      <c r="I127" s="664"/>
      <c r="J127" s="664"/>
      <c r="K127" s="664"/>
      <c r="L127" s="664"/>
      <c r="M127" s="664"/>
      <c r="N127" s="664"/>
      <c r="O127" s="664"/>
      <c r="P127" s="664"/>
      <c r="Q127" s="635"/>
      <c r="R127" s="372"/>
      <c r="S127" s="664"/>
      <c r="T127" s="664"/>
      <c r="U127" s="626"/>
      <c r="V127" s="626"/>
      <c r="W127" s="626"/>
      <c r="X127" s="631">
        <v>0</v>
      </c>
      <c r="Y127" s="631">
        <v>0</v>
      </c>
      <c r="Z127" s="631">
        <v>0</v>
      </c>
      <c r="AA127" s="631">
        <v>0</v>
      </c>
      <c r="AB127" s="631">
        <v>0</v>
      </c>
      <c r="AC127" s="631">
        <v>0</v>
      </c>
      <c r="AD127" s="631">
        <v>0</v>
      </c>
      <c r="AE127" s="631">
        <v>0</v>
      </c>
    </row>
    <row r="128" spans="1:31" hidden="1">
      <c r="A128" s="634">
        <v>2</v>
      </c>
      <c r="B128" s="639"/>
      <c r="C128" s="634">
        <v>31247</v>
      </c>
      <c r="D128" s="372" t="s">
        <v>660</v>
      </c>
      <c r="E128" s="372"/>
      <c r="F128" s="640">
        <v>10187</v>
      </c>
      <c r="G128" s="635"/>
      <c r="H128" s="634" t="s">
        <v>635</v>
      </c>
      <c r="I128" s="635"/>
      <c r="J128" s="634" t="s">
        <v>635</v>
      </c>
      <c r="K128" s="372"/>
      <c r="L128" s="634" t="s">
        <v>635</v>
      </c>
      <c r="M128" s="372"/>
      <c r="N128" s="634" t="s">
        <v>635</v>
      </c>
      <c r="O128" s="634"/>
      <c r="P128" s="634" t="s">
        <v>635</v>
      </c>
      <c r="Q128" s="635"/>
      <c r="R128" s="640">
        <v>10187</v>
      </c>
      <c r="S128" s="372"/>
      <c r="T128" s="640">
        <v>10187</v>
      </c>
      <c r="U128" s="626"/>
      <c r="V128" s="626"/>
      <c r="W128" s="626"/>
      <c r="X128" s="641">
        <v>5</v>
      </c>
      <c r="Y128" s="631">
        <v>0</v>
      </c>
      <c r="Z128" s="631">
        <v>0</v>
      </c>
      <c r="AA128" s="631">
        <v>0</v>
      </c>
      <c r="AB128" s="631">
        <v>0</v>
      </c>
      <c r="AC128" s="631">
        <v>0</v>
      </c>
      <c r="AD128" s="641">
        <v>5</v>
      </c>
      <c r="AE128" s="641">
        <v>5</v>
      </c>
    </row>
    <row r="129" spans="1:31" hidden="1">
      <c r="A129" s="634">
        <v>3</v>
      </c>
      <c r="B129" s="639"/>
      <c r="C129" s="634">
        <v>31647</v>
      </c>
      <c r="D129" s="372" t="s">
        <v>661</v>
      </c>
      <c r="E129" s="372"/>
      <c r="F129" s="634">
        <v>945</v>
      </c>
      <c r="G129" s="635"/>
      <c r="H129" s="634">
        <v>51</v>
      </c>
      <c r="I129" s="635"/>
      <c r="J129" s="634">
        <v>-718</v>
      </c>
      <c r="K129" s="372"/>
      <c r="L129" s="634" t="s">
        <v>628</v>
      </c>
      <c r="M129" s="372"/>
      <c r="N129" s="634" t="s">
        <v>635</v>
      </c>
      <c r="O129" s="634"/>
      <c r="P129" s="634" t="s">
        <v>635</v>
      </c>
      <c r="Q129" s="635"/>
      <c r="R129" s="634">
        <v>277</v>
      </c>
      <c r="S129" s="372"/>
      <c r="T129" s="634">
        <v>342</v>
      </c>
      <c r="U129" s="626"/>
      <c r="V129" s="626"/>
      <c r="W129" s="626"/>
      <c r="X129" s="641">
        <v>5</v>
      </c>
      <c r="Y129" s="641">
        <v>5</v>
      </c>
      <c r="Z129" s="641">
        <v>5</v>
      </c>
      <c r="AA129" s="631">
        <v>0</v>
      </c>
      <c r="AB129" s="631">
        <v>0</v>
      </c>
      <c r="AC129" s="631">
        <v>0</v>
      </c>
      <c r="AD129" s="641">
        <v>5</v>
      </c>
      <c r="AE129" s="641">
        <v>5</v>
      </c>
    </row>
    <row r="130" spans="1:31" hidden="1">
      <c r="A130" s="634">
        <v>4</v>
      </c>
      <c r="B130" s="639"/>
      <c r="C130" s="634"/>
      <c r="D130" s="372"/>
      <c r="E130" s="372"/>
      <c r="F130" s="372"/>
      <c r="G130" s="372"/>
      <c r="H130" s="372"/>
      <c r="I130" s="635"/>
      <c r="J130" s="643"/>
      <c r="K130" s="635"/>
      <c r="L130" s="643"/>
      <c r="M130" s="635"/>
      <c r="N130" s="643"/>
      <c r="O130" s="635"/>
      <c r="P130" s="643"/>
      <c r="Q130" s="635"/>
      <c r="R130" s="643"/>
      <c r="S130" s="635"/>
      <c r="T130" s="643"/>
      <c r="U130" s="626"/>
      <c r="V130" s="626"/>
      <c r="W130" s="626"/>
      <c r="X130" s="631">
        <v>0</v>
      </c>
      <c r="Y130" s="631">
        <v>0</v>
      </c>
      <c r="Z130" s="631">
        <v>0</v>
      </c>
      <c r="AA130" s="631">
        <v>0</v>
      </c>
      <c r="AB130" s="631">
        <v>0</v>
      </c>
      <c r="AC130" s="631">
        <v>0</v>
      </c>
      <c r="AD130" s="631">
        <v>0</v>
      </c>
      <c r="AE130" s="631">
        <v>0</v>
      </c>
    </row>
    <row r="131" spans="1:31" ht="15" hidden="1" thickBot="1">
      <c r="A131" s="634">
        <v>5</v>
      </c>
      <c r="B131" s="639"/>
      <c r="C131" s="634"/>
      <c r="D131" s="636" t="s">
        <v>662</v>
      </c>
      <c r="E131" s="372"/>
      <c r="F131" s="646">
        <v>493197</v>
      </c>
      <c r="G131" s="635"/>
      <c r="H131" s="646">
        <v>45783</v>
      </c>
      <c r="I131" s="635"/>
      <c r="J131" s="646">
        <v>-14684</v>
      </c>
      <c r="K131" s="635"/>
      <c r="L131" s="646">
        <v>-8019</v>
      </c>
      <c r="M131" s="635"/>
      <c r="N131" s="647">
        <v>359</v>
      </c>
      <c r="O131" s="372"/>
      <c r="P131" s="647" t="s">
        <v>635</v>
      </c>
      <c r="Q131" s="635"/>
      <c r="R131" s="646">
        <v>516636</v>
      </c>
      <c r="S131" s="635"/>
      <c r="T131" s="646">
        <v>505866</v>
      </c>
      <c r="U131" s="626"/>
      <c r="V131" s="626"/>
      <c r="W131" s="626"/>
      <c r="X131" s="641">
        <v>5</v>
      </c>
      <c r="Y131" s="641">
        <v>4</v>
      </c>
      <c r="Z131" s="641">
        <v>5</v>
      </c>
      <c r="AA131" s="641">
        <v>5</v>
      </c>
      <c r="AB131" s="641">
        <v>5</v>
      </c>
      <c r="AC131" s="631">
        <v>0</v>
      </c>
      <c r="AD131" s="641">
        <v>5</v>
      </c>
      <c r="AE131" s="641">
        <v>5</v>
      </c>
    </row>
    <row r="132" spans="1:31" ht="15" hidden="1" thickTop="1">
      <c r="A132" s="634">
        <v>6</v>
      </c>
      <c r="B132" s="639"/>
      <c r="C132" s="634"/>
      <c r="D132" s="372"/>
      <c r="E132" s="372"/>
      <c r="F132" s="372"/>
      <c r="G132" s="372"/>
      <c r="H132" s="372"/>
      <c r="I132" s="372"/>
      <c r="J132" s="372"/>
      <c r="K132" s="372"/>
      <c r="L132" s="372"/>
      <c r="M132" s="372"/>
      <c r="N132" s="372"/>
      <c r="O132" s="372"/>
      <c r="P132" s="372"/>
      <c r="Q132" s="635"/>
      <c r="R132" s="372"/>
      <c r="S132" s="372"/>
      <c r="T132" s="372"/>
      <c r="U132" s="626"/>
      <c r="V132" s="626"/>
      <c r="W132" s="626"/>
      <c r="X132" s="631">
        <v>0</v>
      </c>
      <c r="Y132" s="631">
        <v>0</v>
      </c>
      <c r="Z132" s="631">
        <v>0</v>
      </c>
      <c r="AA132" s="631">
        <v>0</v>
      </c>
      <c r="AB132" s="631">
        <v>0</v>
      </c>
      <c r="AC132" s="631">
        <v>0</v>
      </c>
      <c r="AD132" s="631">
        <v>0</v>
      </c>
      <c r="AE132" s="631">
        <v>0</v>
      </c>
    </row>
    <row r="133" spans="1:31" ht="15" hidden="1" thickBot="1">
      <c r="A133" s="634">
        <v>7</v>
      </c>
      <c r="B133" s="634"/>
      <c r="C133" s="634"/>
      <c r="D133" s="372" t="s">
        <v>663</v>
      </c>
      <c r="E133" s="372"/>
      <c r="F133" s="646">
        <v>493197</v>
      </c>
      <c r="G133" s="635"/>
      <c r="H133" s="646">
        <v>45783</v>
      </c>
      <c r="I133" s="635"/>
      <c r="J133" s="646">
        <v>-14684</v>
      </c>
      <c r="K133" s="635"/>
      <c r="L133" s="646">
        <v>-8019</v>
      </c>
      <c r="M133" s="635"/>
      <c r="N133" s="647">
        <v>359</v>
      </c>
      <c r="O133" s="372"/>
      <c r="P133" s="647" t="s">
        <v>635</v>
      </c>
      <c r="Q133" s="635"/>
      <c r="R133" s="646">
        <v>516636</v>
      </c>
      <c r="S133" s="635"/>
      <c r="T133" s="646">
        <v>505866</v>
      </c>
      <c r="U133" s="626"/>
      <c r="V133" s="626"/>
      <c r="W133" s="626"/>
      <c r="X133" s="641">
        <v>5</v>
      </c>
      <c r="Y133" s="641">
        <v>4</v>
      </c>
      <c r="Z133" s="641">
        <v>5</v>
      </c>
      <c r="AA133" s="641">
        <v>5</v>
      </c>
      <c r="AB133" s="641">
        <v>5</v>
      </c>
      <c r="AC133" s="631">
        <v>0</v>
      </c>
      <c r="AD133" s="641">
        <v>5</v>
      </c>
      <c r="AE133" s="641">
        <v>5</v>
      </c>
    </row>
    <row r="134" spans="1:31" ht="15" hidden="1" thickTop="1">
      <c r="A134" s="634">
        <v>8</v>
      </c>
      <c r="B134" s="634"/>
      <c r="C134" s="372"/>
      <c r="D134" s="372"/>
      <c r="E134" s="372"/>
      <c r="F134" s="372"/>
      <c r="G134" s="372"/>
      <c r="H134" s="372"/>
      <c r="I134" s="372"/>
      <c r="J134" s="372"/>
      <c r="K134" s="372"/>
      <c r="L134" s="372"/>
      <c r="M134" s="372"/>
      <c r="N134" s="372"/>
      <c r="O134" s="372"/>
      <c r="P134" s="372"/>
      <c r="Q134" s="635"/>
      <c r="R134" s="372"/>
      <c r="S134" s="372"/>
      <c r="T134" s="372"/>
      <c r="U134" s="626"/>
      <c r="V134" s="626"/>
      <c r="W134" s="626"/>
      <c r="X134" s="631">
        <v>0</v>
      </c>
      <c r="Y134" s="631">
        <v>0</v>
      </c>
      <c r="Z134" s="631">
        <v>0</v>
      </c>
      <c r="AA134" s="631">
        <v>0</v>
      </c>
      <c r="AB134" s="631">
        <v>0</v>
      </c>
      <c r="AC134" s="631">
        <v>0</v>
      </c>
      <c r="AD134" s="631">
        <v>0</v>
      </c>
      <c r="AE134" s="631">
        <v>0</v>
      </c>
    </row>
    <row r="135" spans="1:31" hidden="1">
      <c r="A135" s="634">
        <v>9</v>
      </c>
      <c r="B135" s="639"/>
      <c r="C135" s="372"/>
      <c r="D135" s="372" t="s">
        <v>664</v>
      </c>
      <c r="E135" s="372"/>
      <c r="F135" s="372"/>
      <c r="G135" s="372"/>
      <c r="H135" s="372"/>
      <c r="I135" s="372"/>
      <c r="J135" s="372"/>
      <c r="K135" s="372"/>
      <c r="L135" s="372"/>
      <c r="M135" s="372"/>
      <c r="N135" s="372"/>
      <c r="O135" s="372"/>
      <c r="P135" s="372"/>
      <c r="Q135" s="635"/>
      <c r="R135" s="372"/>
      <c r="S135" s="372"/>
      <c r="T135" s="372"/>
      <c r="U135" s="626"/>
      <c r="V135" s="626"/>
      <c r="W135" s="626"/>
      <c r="X135" s="631">
        <v>0</v>
      </c>
      <c r="Y135" s="631">
        <v>0</v>
      </c>
      <c r="Z135" s="631">
        <v>0</v>
      </c>
      <c r="AA135" s="631">
        <v>0</v>
      </c>
      <c r="AB135" s="631">
        <v>0</v>
      </c>
      <c r="AC135" s="631">
        <v>0</v>
      </c>
      <c r="AD135" s="631">
        <v>0</v>
      </c>
      <c r="AE135" s="631">
        <v>0</v>
      </c>
    </row>
    <row r="136" spans="1:31" hidden="1">
      <c r="A136" s="634">
        <v>10</v>
      </c>
      <c r="B136" s="639"/>
      <c r="C136" s="372"/>
      <c r="D136" s="372" t="s">
        <v>625</v>
      </c>
      <c r="E136" s="372"/>
      <c r="F136" s="372"/>
      <c r="G136" s="372"/>
      <c r="H136" s="372"/>
      <c r="I136" s="372"/>
      <c r="J136" s="372"/>
      <c r="K136" s="372"/>
      <c r="L136" s="372"/>
      <c r="M136" s="372"/>
      <c r="N136" s="372"/>
      <c r="O136" s="372"/>
      <c r="P136" s="372"/>
      <c r="Q136" s="635"/>
      <c r="R136" s="372"/>
      <c r="S136" s="372"/>
      <c r="T136" s="372"/>
      <c r="U136" s="626"/>
      <c r="V136" s="626"/>
      <c r="W136" s="626"/>
      <c r="X136" s="631">
        <v>0</v>
      </c>
      <c r="Y136" s="631">
        <v>0</v>
      </c>
      <c r="Z136" s="631">
        <v>0</v>
      </c>
      <c r="AA136" s="631">
        <v>0</v>
      </c>
      <c r="AB136" s="631">
        <v>0</v>
      </c>
      <c r="AC136" s="631">
        <v>0</v>
      </c>
      <c r="AD136" s="631">
        <v>0</v>
      </c>
      <c r="AE136" s="631">
        <v>0</v>
      </c>
    </row>
    <row r="137" spans="1:31" hidden="1">
      <c r="A137" s="634">
        <v>11</v>
      </c>
      <c r="B137" s="639"/>
      <c r="C137" s="372"/>
      <c r="D137" s="372" t="s">
        <v>665</v>
      </c>
      <c r="E137" s="634"/>
      <c r="F137" s="634"/>
      <c r="G137" s="634"/>
      <c r="H137" s="634"/>
      <c r="I137" s="634"/>
      <c r="J137" s="634"/>
      <c r="K137" s="634"/>
      <c r="L137" s="634"/>
      <c r="M137" s="634"/>
      <c r="N137" s="634"/>
      <c r="O137" s="634"/>
      <c r="P137" s="634"/>
      <c r="Q137" s="635"/>
      <c r="R137" s="634"/>
      <c r="S137" s="634"/>
      <c r="T137" s="634"/>
      <c r="U137" s="626"/>
      <c r="V137" s="626"/>
      <c r="W137" s="626"/>
      <c r="X137" s="631">
        <v>0</v>
      </c>
      <c r="Y137" s="631">
        <v>0</v>
      </c>
      <c r="Z137" s="631">
        <v>0</v>
      </c>
      <c r="AA137" s="631">
        <v>0</v>
      </c>
      <c r="AB137" s="631">
        <v>0</v>
      </c>
      <c r="AC137" s="631">
        <v>0</v>
      </c>
      <c r="AD137" s="631">
        <v>0</v>
      </c>
      <c r="AE137" s="631">
        <v>0</v>
      </c>
    </row>
    <row r="138" spans="1:31" hidden="1">
      <c r="A138" s="634">
        <v>12</v>
      </c>
      <c r="B138" s="639"/>
      <c r="C138" s="634">
        <v>34144</v>
      </c>
      <c r="D138" s="372" t="s">
        <v>627</v>
      </c>
      <c r="E138" s="634"/>
      <c r="F138" s="634">
        <v>810</v>
      </c>
      <c r="G138" s="635"/>
      <c r="H138" s="634">
        <v>119</v>
      </c>
      <c r="I138" s="635"/>
      <c r="J138" s="634" t="s">
        <v>635</v>
      </c>
      <c r="K138" s="372"/>
      <c r="L138" s="634" t="s">
        <v>635</v>
      </c>
      <c r="M138" s="372"/>
      <c r="N138" s="634" t="s">
        <v>635</v>
      </c>
      <c r="O138" s="634"/>
      <c r="P138" s="634" t="s">
        <v>635</v>
      </c>
      <c r="Q138" s="635"/>
      <c r="R138" s="634">
        <v>930</v>
      </c>
      <c r="S138" s="372"/>
      <c r="T138" s="634">
        <v>870</v>
      </c>
      <c r="U138" s="626"/>
      <c r="V138" s="626"/>
      <c r="W138" s="626"/>
      <c r="X138" s="641">
        <v>5</v>
      </c>
      <c r="Y138" s="641">
        <v>3</v>
      </c>
      <c r="Z138" s="631">
        <v>0</v>
      </c>
      <c r="AA138" s="631">
        <v>0</v>
      </c>
      <c r="AB138" s="631">
        <v>0</v>
      </c>
      <c r="AC138" s="631">
        <v>0</v>
      </c>
      <c r="AD138" s="641">
        <v>5</v>
      </c>
      <c r="AE138" s="641">
        <v>5</v>
      </c>
    </row>
    <row r="139" spans="1:31" hidden="1">
      <c r="A139" s="634">
        <v>13</v>
      </c>
      <c r="B139" s="639"/>
      <c r="C139" s="634">
        <v>34244</v>
      </c>
      <c r="D139" s="372" t="s">
        <v>666</v>
      </c>
      <c r="E139" s="634"/>
      <c r="F139" s="634">
        <v>891</v>
      </c>
      <c r="G139" s="635"/>
      <c r="H139" s="634">
        <v>61</v>
      </c>
      <c r="I139" s="635"/>
      <c r="J139" s="634">
        <v>-8</v>
      </c>
      <c r="K139" s="372"/>
      <c r="L139" s="634">
        <v>-5</v>
      </c>
      <c r="M139" s="372"/>
      <c r="N139" s="634">
        <v>1</v>
      </c>
      <c r="O139" s="634"/>
      <c r="P139" s="634" t="s">
        <v>635</v>
      </c>
      <c r="Q139" s="635"/>
      <c r="R139" s="634">
        <v>940</v>
      </c>
      <c r="S139" s="372"/>
      <c r="T139" s="634">
        <v>919</v>
      </c>
      <c r="U139" s="626"/>
      <c r="V139" s="626"/>
      <c r="W139" s="626"/>
      <c r="X139" s="641">
        <v>5</v>
      </c>
      <c r="Y139" s="641">
        <v>5</v>
      </c>
      <c r="Z139" s="641">
        <v>5</v>
      </c>
      <c r="AA139" s="641">
        <v>5</v>
      </c>
      <c r="AB139" s="641">
        <v>5</v>
      </c>
      <c r="AC139" s="631">
        <v>0</v>
      </c>
      <c r="AD139" s="641">
        <v>4</v>
      </c>
      <c r="AE139" s="641">
        <v>5</v>
      </c>
    </row>
    <row r="140" spans="1:31" hidden="1">
      <c r="A140" s="634">
        <v>14</v>
      </c>
      <c r="B140" s="639"/>
      <c r="C140" s="634">
        <v>34344</v>
      </c>
      <c r="D140" s="372" t="s">
        <v>667</v>
      </c>
      <c r="E140" s="634"/>
      <c r="F140" s="640">
        <v>10274</v>
      </c>
      <c r="G140" s="635"/>
      <c r="H140" s="634">
        <v>634</v>
      </c>
      <c r="I140" s="635"/>
      <c r="J140" s="634">
        <v>-31</v>
      </c>
      <c r="K140" s="372"/>
      <c r="L140" s="634">
        <v>-42</v>
      </c>
      <c r="M140" s="372"/>
      <c r="N140" s="634">
        <v>8</v>
      </c>
      <c r="O140" s="634"/>
      <c r="P140" s="634" t="s">
        <v>635</v>
      </c>
      <c r="Q140" s="635"/>
      <c r="R140" s="640">
        <v>10842</v>
      </c>
      <c r="S140" s="372"/>
      <c r="T140" s="640">
        <v>10574</v>
      </c>
      <c r="U140" s="626"/>
      <c r="V140" s="626"/>
      <c r="W140" s="626"/>
      <c r="X140" s="641">
        <v>5</v>
      </c>
      <c r="Y140" s="641">
        <v>5</v>
      </c>
      <c r="Z140" s="641">
        <v>5</v>
      </c>
      <c r="AA140" s="641">
        <v>5</v>
      </c>
      <c r="AB140" s="641">
        <v>5</v>
      </c>
      <c r="AC140" s="631">
        <v>0</v>
      </c>
      <c r="AD140" s="641">
        <v>5</v>
      </c>
      <c r="AE140" s="641">
        <v>5</v>
      </c>
    </row>
    <row r="141" spans="1:31" hidden="1">
      <c r="A141" s="634">
        <v>15</v>
      </c>
      <c r="B141" s="639"/>
      <c r="C141" s="634">
        <v>34544</v>
      </c>
      <c r="D141" s="372" t="s">
        <v>631</v>
      </c>
      <c r="E141" s="634"/>
      <c r="F141" s="640">
        <v>6867</v>
      </c>
      <c r="G141" s="635"/>
      <c r="H141" s="634">
        <v>428</v>
      </c>
      <c r="I141" s="635"/>
      <c r="J141" s="634">
        <v>-182</v>
      </c>
      <c r="K141" s="372"/>
      <c r="L141" s="634">
        <v>-7</v>
      </c>
      <c r="M141" s="372"/>
      <c r="N141" s="634" t="s">
        <v>628</v>
      </c>
      <c r="O141" s="634"/>
      <c r="P141" s="634" t="s">
        <v>635</v>
      </c>
      <c r="Q141" s="635"/>
      <c r="R141" s="640">
        <v>7105</v>
      </c>
      <c r="S141" s="372"/>
      <c r="T141" s="640">
        <v>6964</v>
      </c>
      <c r="U141" s="626"/>
      <c r="V141" s="626"/>
      <c r="W141" s="626"/>
      <c r="X141" s="641">
        <v>5</v>
      </c>
      <c r="Y141" s="641">
        <v>5</v>
      </c>
      <c r="Z141" s="641">
        <v>5</v>
      </c>
      <c r="AA141" s="641">
        <v>5</v>
      </c>
      <c r="AB141" s="631">
        <v>0</v>
      </c>
      <c r="AC141" s="631">
        <v>0</v>
      </c>
      <c r="AD141" s="641">
        <v>11</v>
      </c>
      <c r="AE141" s="641">
        <v>5</v>
      </c>
    </row>
    <row r="142" spans="1:31" hidden="1">
      <c r="A142" s="634">
        <v>16</v>
      </c>
      <c r="B142" s="639"/>
      <c r="C142" s="634">
        <v>34644</v>
      </c>
      <c r="D142" s="372" t="s">
        <v>632</v>
      </c>
      <c r="E142" s="372"/>
      <c r="F142" s="634">
        <v>223</v>
      </c>
      <c r="G142" s="635"/>
      <c r="H142" s="634">
        <v>15</v>
      </c>
      <c r="I142" s="635"/>
      <c r="J142" s="634" t="s">
        <v>635</v>
      </c>
      <c r="K142" s="372"/>
      <c r="L142" s="634" t="s">
        <v>635</v>
      </c>
      <c r="M142" s="372"/>
      <c r="N142" s="634" t="s">
        <v>635</v>
      </c>
      <c r="O142" s="634"/>
      <c r="P142" s="634" t="s">
        <v>635</v>
      </c>
      <c r="Q142" s="635"/>
      <c r="R142" s="634">
        <v>238</v>
      </c>
      <c r="S142" s="372"/>
      <c r="T142" s="634">
        <v>231</v>
      </c>
      <c r="U142" s="626"/>
      <c r="V142" s="626"/>
      <c r="W142" s="626"/>
      <c r="X142" s="641">
        <v>5</v>
      </c>
      <c r="Y142" s="641">
        <v>4</v>
      </c>
      <c r="Z142" s="631">
        <v>0</v>
      </c>
      <c r="AA142" s="631">
        <v>0</v>
      </c>
      <c r="AB142" s="631">
        <v>0</v>
      </c>
      <c r="AC142" s="631">
        <v>0</v>
      </c>
      <c r="AD142" s="641">
        <v>5</v>
      </c>
      <c r="AE142" s="641">
        <v>5</v>
      </c>
    </row>
    <row r="143" spans="1:31" hidden="1">
      <c r="A143" s="634">
        <v>17</v>
      </c>
      <c r="B143" s="639"/>
      <c r="C143" s="634"/>
      <c r="D143" s="636" t="s">
        <v>668</v>
      </c>
      <c r="E143" s="634"/>
      <c r="F143" s="642">
        <v>19064</v>
      </c>
      <c r="G143" s="372"/>
      <c r="H143" s="642">
        <v>1257</v>
      </c>
      <c r="I143" s="635"/>
      <c r="J143" s="643">
        <v>-221</v>
      </c>
      <c r="K143" s="635"/>
      <c r="L143" s="643">
        <v>-54</v>
      </c>
      <c r="M143" s="635"/>
      <c r="N143" s="643">
        <v>9</v>
      </c>
      <c r="O143" s="635"/>
      <c r="P143" s="643" t="s">
        <v>635</v>
      </c>
      <c r="Q143" s="635"/>
      <c r="R143" s="642">
        <v>20055</v>
      </c>
      <c r="S143" s="635"/>
      <c r="T143" s="642">
        <v>19558</v>
      </c>
      <c r="U143" s="626"/>
      <c r="V143" s="626"/>
      <c r="W143" s="626"/>
      <c r="X143" s="641">
        <v>5</v>
      </c>
      <c r="Y143" s="641">
        <v>5</v>
      </c>
      <c r="Z143" s="641">
        <v>5</v>
      </c>
      <c r="AA143" s="641">
        <v>5</v>
      </c>
      <c r="AB143" s="641">
        <v>5</v>
      </c>
      <c r="AC143" s="631">
        <v>0</v>
      </c>
      <c r="AD143" s="641">
        <v>5</v>
      </c>
      <c r="AE143" s="641">
        <v>5</v>
      </c>
    </row>
    <row r="144" spans="1:31" hidden="1">
      <c r="A144" s="634">
        <v>18</v>
      </c>
      <c r="B144" s="639"/>
      <c r="C144" s="372"/>
      <c r="D144" s="372"/>
      <c r="E144" s="372"/>
      <c r="F144" s="372"/>
      <c r="G144" s="372"/>
      <c r="H144" s="372"/>
      <c r="I144" s="372"/>
      <c r="J144" s="372"/>
      <c r="K144" s="372"/>
      <c r="L144" s="372"/>
      <c r="M144" s="372"/>
      <c r="N144" s="372"/>
      <c r="O144" s="372"/>
      <c r="P144" s="372"/>
      <c r="Q144" s="635"/>
      <c r="R144" s="372"/>
      <c r="S144" s="372"/>
      <c r="T144" s="372"/>
      <c r="U144" s="626"/>
      <c r="V144" s="626"/>
      <c r="W144" s="626"/>
      <c r="X144" s="631">
        <v>0</v>
      </c>
      <c r="Y144" s="631">
        <v>0</v>
      </c>
      <c r="Z144" s="631">
        <v>0</v>
      </c>
      <c r="AA144" s="631">
        <v>0</v>
      </c>
      <c r="AB144" s="631">
        <v>0</v>
      </c>
      <c r="AC144" s="631">
        <v>0</v>
      </c>
      <c r="AD144" s="631">
        <v>0</v>
      </c>
      <c r="AE144" s="631">
        <v>0</v>
      </c>
    </row>
    <row r="145" spans="1:31" hidden="1">
      <c r="A145" s="634">
        <v>19</v>
      </c>
      <c r="B145" s="639"/>
      <c r="C145" s="634"/>
      <c r="D145" s="372" t="s">
        <v>669</v>
      </c>
      <c r="E145" s="372"/>
      <c r="F145" s="372"/>
      <c r="G145" s="372"/>
      <c r="H145" s="372"/>
      <c r="I145" s="372"/>
      <c r="J145" s="372"/>
      <c r="K145" s="372"/>
      <c r="L145" s="372"/>
      <c r="M145" s="372"/>
      <c r="N145" s="372"/>
      <c r="O145" s="372"/>
      <c r="P145" s="372"/>
      <c r="Q145" s="635"/>
      <c r="R145" s="372"/>
      <c r="S145" s="372"/>
      <c r="T145" s="372"/>
      <c r="U145" s="626"/>
      <c r="V145" s="626"/>
      <c r="W145" s="626"/>
      <c r="X145" s="631">
        <v>0</v>
      </c>
      <c r="Y145" s="631">
        <v>0</v>
      </c>
      <c r="Z145" s="631">
        <v>0</v>
      </c>
      <c r="AA145" s="631">
        <v>0</v>
      </c>
      <c r="AB145" s="631">
        <v>0</v>
      </c>
      <c r="AC145" s="631">
        <v>0</v>
      </c>
      <c r="AD145" s="631">
        <v>0</v>
      </c>
      <c r="AE145" s="631">
        <v>0</v>
      </c>
    </row>
    <row r="146" spans="1:31" hidden="1">
      <c r="A146" s="634">
        <v>20</v>
      </c>
      <c r="B146" s="639"/>
      <c r="C146" s="634">
        <v>34145</v>
      </c>
      <c r="D146" s="372" t="s">
        <v>627</v>
      </c>
      <c r="E146" s="372"/>
      <c r="F146" s="634" t="s">
        <v>628</v>
      </c>
      <c r="G146" s="635"/>
      <c r="H146" s="634" t="s">
        <v>635</v>
      </c>
      <c r="I146" s="635"/>
      <c r="J146" s="634" t="s">
        <v>635</v>
      </c>
      <c r="K146" s="372"/>
      <c r="L146" s="634" t="s">
        <v>635</v>
      </c>
      <c r="M146" s="372"/>
      <c r="N146" s="634" t="s">
        <v>635</v>
      </c>
      <c r="O146" s="634"/>
      <c r="P146" s="634" t="s">
        <v>635</v>
      </c>
      <c r="Q146" s="635"/>
      <c r="R146" s="634" t="s">
        <v>635</v>
      </c>
      <c r="S146" s="372"/>
      <c r="T146" s="634" t="s">
        <v>635</v>
      </c>
      <c r="U146" s="626"/>
      <c r="V146" s="626"/>
      <c r="W146" s="626"/>
      <c r="X146" s="631">
        <v>0</v>
      </c>
      <c r="Y146" s="631">
        <v>0</v>
      </c>
      <c r="Z146" s="631">
        <v>0</v>
      </c>
      <c r="AA146" s="631">
        <v>0</v>
      </c>
      <c r="AB146" s="631">
        <v>0</v>
      </c>
      <c r="AC146" s="631">
        <v>0</v>
      </c>
      <c r="AD146" s="631">
        <v>0</v>
      </c>
      <c r="AE146" s="631">
        <v>0</v>
      </c>
    </row>
    <row r="147" spans="1:31" hidden="1">
      <c r="A147" s="634">
        <v>21</v>
      </c>
      <c r="B147" s="639"/>
      <c r="C147" s="634">
        <v>34245</v>
      </c>
      <c r="D147" s="372" t="s">
        <v>666</v>
      </c>
      <c r="E147" s="372"/>
      <c r="F147" s="634" t="s">
        <v>628</v>
      </c>
      <c r="G147" s="635"/>
      <c r="H147" s="634" t="s">
        <v>635</v>
      </c>
      <c r="I147" s="635"/>
      <c r="J147" s="634" t="s">
        <v>635</v>
      </c>
      <c r="K147" s="372"/>
      <c r="L147" s="634" t="s">
        <v>635</v>
      </c>
      <c r="M147" s="372"/>
      <c r="N147" s="634" t="s">
        <v>635</v>
      </c>
      <c r="O147" s="634"/>
      <c r="P147" s="634" t="s">
        <v>635</v>
      </c>
      <c r="Q147" s="635"/>
      <c r="R147" s="634" t="s">
        <v>635</v>
      </c>
      <c r="S147" s="372"/>
      <c r="T147" s="634" t="s">
        <v>635</v>
      </c>
      <c r="U147" s="626"/>
      <c r="V147" s="626"/>
      <c r="W147" s="626"/>
      <c r="X147" s="631">
        <v>0</v>
      </c>
      <c r="Y147" s="631">
        <v>0</v>
      </c>
      <c r="Z147" s="631">
        <v>0</v>
      </c>
      <c r="AA147" s="631">
        <v>0</v>
      </c>
      <c r="AB147" s="631">
        <v>0</v>
      </c>
      <c r="AC147" s="631">
        <v>0</v>
      </c>
      <c r="AD147" s="631">
        <v>0</v>
      </c>
      <c r="AE147" s="631">
        <v>0</v>
      </c>
    </row>
    <row r="148" spans="1:31" hidden="1">
      <c r="A148" s="634">
        <v>22</v>
      </c>
      <c r="B148" s="639"/>
      <c r="C148" s="634">
        <v>34345</v>
      </c>
      <c r="D148" s="372" t="s">
        <v>667</v>
      </c>
      <c r="E148" s="372"/>
      <c r="F148" s="640">
        <v>4273</v>
      </c>
      <c r="G148" s="635"/>
      <c r="H148" s="640">
        <v>5110</v>
      </c>
      <c r="I148" s="635"/>
      <c r="J148" s="634" t="s">
        <v>635</v>
      </c>
      <c r="K148" s="372"/>
      <c r="L148" s="634">
        <v>-162</v>
      </c>
      <c r="M148" s="372"/>
      <c r="N148" s="634">
        <v>71</v>
      </c>
      <c r="O148" s="634"/>
      <c r="P148" s="634" t="s">
        <v>635</v>
      </c>
      <c r="Q148" s="635"/>
      <c r="R148" s="640">
        <v>9292</v>
      </c>
      <c r="S148" s="372"/>
      <c r="T148" s="640">
        <v>6762</v>
      </c>
      <c r="U148" s="626"/>
      <c r="V148" s="626"/>
      <c r="W148" s="626"/>
      <c r="X148" s="641">
        <v>5</v>
      </c>
      <c r="Y148" s="641">
        <v>5</v>
      </c>
      <c r="Z148" s="631">
        <v>0</v>
      </c>
      <c r="AA148" s="641">
        <v>5</v>
      </c>
      <c r="AB148" s="641">
        <v>5</v>
      </c>
      <c r="AC148" s="631">
        <v>0</v>
      </c>
      <c r="AD148" s="641">
        <v>5</v>
      </c>
      <c r="AE148" s="641">
        <v>5</v>
      </c>
    </row>
    <row r="149" spans="1:31" hidden="1">
      <c r="A149" s="634">
        <v>23</v>
      </c>
      <c r="B149" s="639"/>
      <c r="C149" s="634">
        <v>34545</v>
      </c>
      <c r="D149" s="372" t="s">
        <v>631</v>
      </c>
      <c r="E149" s="372"/>
      <c r="F149" s="634" t="s">
        <v>628</v>
      </c>
      <c r="G149" s="635"/>
      <c r="H149" s="634">
        <v>0</v>
      </c>
      <c r="I149" s="635"/>
      <c r="J149" s="634" t="s">
        <v>635</v>
      </c>
      <c r="K149" s="372"/>
      <c r="L149" s="634">
        <v>0</v>
      </c>
      <c r="M149" s="372"/>
      <c r="N149" s="634">
        <v>0</v>
      </c>
      <c r="O149" s="634"/>
      <c r="P149" s="634" t="s">
        <v>635</v>
      </c>
      <c r="Q149" s="635"/>
      <c r="R149" s="634">
        <v>0</v>
      </c>
      <c r="S149" s="372"/>
      <c r="T149" s="634" t="s">
        <v>635</v>
      </c>
      <c r="U149" s="626"/>
      <c r="V149" s="626"/>
      <c r="W149" s="626"/>
      <c r="X149" s="631">
        <v>0</v>
      </c>
      <c r="Y149" s="641">
        <v>5</v>
      </c>
      <c r="Z149" s="631">
        <v>0</v>
      </c>
      <c r="AA149" s="641">
        <v>5</v>
      </c>
      <c r="AB149" s="641">
        <v>5</v>
      </c>
      <c r="AC149" s="631">
        <v>0</v>
      </c>
      <c r="AD149" s="641">
        <v>18</v>
      </c>
      <c r="AE149" s="631">
        <v>0</v>
      </c>
    </row>
    <row r="150" spans="1:31" hidden="1">
      <c r="A150" s="634">
        <v>24</v>
      </c>
      <c r="B150" s="639"/>
      <c r="C150" s="634">
        <v>34645</v>
      </c>
      <c r="D150" s="372" t="s">
        <v>632</v>
      </c>
      <c r="E150" s="372"/>
      <c r="F150" s="634" t="s">
        <v>628</v>
      </c>
      <c r="G150" s="635"/>
      <c r="H150" s="634" t="s">
        <v>635</v>
      </c>
      <c r="I150" s="635"/>
      <c r="J150" s="634" t="s">
        <v>635</v>
      </c>
      <c r="K150" s="372"/>
      <c r="L150" s="634" t="s">
        <v>635</v>
      </c>
      <c r="M150" s="372"/>
      <c r="N150" s="634" t="s">
        <v>635</v>
      </c>
      <c r="O150" s="634"/>
      <c r="P150" s="634" t="s">
        <v>635</v>
      </c>
      <c r="Q150" s="635"/>
      <c r="R150" s="634" t="s">
        <v>635</v>
      </c>
      <c r="S150" s="372"/>
      <c r="T150" s="634" t="s">
        <v>635</v>
      </c>
      <c r="U150" s="626"/>
      <c r="V150" s="626"/>
      <c r="W150" s="626"/>
      <c r="X150" s="631">
        <v>0</v>
      </c>
      <c r="Y150" s="631">
        <v>0</v>
      </c>
      <c r="Z150" s="631">
        <v>0</v>
      </c>
      <c r="AA150" s="631">
        <v>0</v>
      </c>
      <c r="AB150" s="631">
        <v>0</v>
      </c>
      <c r="AC150" s="631">
        <v>0</v>
      </c>
      <c r="AD150" s="631">
        <v>0</v>
      </c>
      <c r="AE150" s="631">
        <v>0</v>
      </c>
    </row>
    <row r="151" spans="1:31" hidden="1">
      <c r="A151" s="634">
        <v>25</v>
      </c>
      <c r="B151" s="639"/>
      <c r="C151" s="634"/>
      <c r="D151" s="636" t="s">
        <v>670</v>
      </c>
      <c r="E151" s="372"/>
      <c r="F151" s="642">
        <v>4273</v>
      </c>
      <c r="G151" s="372"/>
      <c r="H151" s="642">
        <v>5110</v>
      </c>
      <c r="I151" s="635"/>
      <c r="J151" s="643" t="s">
        <v>635</v>
      </c>
      <c r="K151" s="635"/>
      <c r="L151" s="643">
        <v>-162</v>
      </c>
      <c r="M151" s="635"/>
      <c r="N151" s="643">
        <v>71</v>
      </c>
      <c r="O151" s="635"/>
      <c r="P151" s="643" t="s">
        <v>635</v>
      </c>
      <c r="Q151" s="635"/>
      <c r="R151" s="642">
        <v>9292</v>
      </c>
      <c r="S151" s="635"/>
      <c r="T151" s="642">
        <v>6762</v>
      </c>
      <c r="U151" s="626"/>
      <c r="V151" s="626"/>
      <c r="W151" s="626"/>
      <c r="X151" s="641">
        <v>5</v>
      </c>
      <c r="Y151" s="641">
        <v>5</v>
      </c>
      <c r="Z151" s="631">
        <v>0</v>
      </c>
      <c r="AA151" s="641">
        <v>4</v>
      </c>
      <c r="AB151" s="641">
        <v>5</v>
      </c>
      <c r="AC151" s="631">
        <v>0</v>
      </c>
      <c r="AD151" s="641">
        <v>5</v>
      </c>
      <c r="AE151" s="641">
        <v>5</v>
      </c>
    </row>
    <row r="152" spans="1:31" hidden="1">
      <c r="A152" s="634">
        <v>26</v>
      </c>
      <c r="B152" s="639"/>
      <c r="C152" s="634"/>
      <c r="D152" s="634"/>
      <c r="E152" s="634"/>
      <c r="F152" s="634"/>
      <c r="G152" s="634"/>
      <c r="H152" s="634"/>
      <c r="I152" s="635"/>
      <c r="J152" s="634"/>
      <c r="K152" s="635"/>
      <c r="L152" s="634"/>
      <c r="M152" s="635"/>
      <c r="N152" s="634"/>
      <c r="O152" s="634"/>
      <c r="P152" s="634"/>
      <c r="Q152" s="635"/>
      <c r="R152" s="634"/>
      <c r="S152" s="635"/>
      <c r="T152" s="634"/>
      <c r="U152" s="626"/>
      <c r="V152" s="626"/>
      <c r="W152" s="626"/>
      <c r="X152" s="631">
        <v>0</v>
      </c>
      <c r="Y152" s="631">
        <v>0</v>
      </c>
      <c r="Z152" s="631">
        <v>0</v>
      </c>
      <c r="AA152" s="631">
        <v>0</v>
      </c>
      <c r="AB152" s="631">
        <v>0</v>
      </c>
      <c r="AC152" s="631">
        <v>0</v>
      </c>
      <c r="AD152" s="631">
        <v>0</v>
      </c>
      <c r="AE152" s="631">
        <v>0</v>
      </c>
    </row>
    <row r="153" spans="1:31" hidden="1">
      <c r="A153" s="634">
        <v>27</v>
      </c>
      <c r="B153" s="639"/>
      <c r="C153" s="634"/>
      <c r="D153" s="372" t="s">
        <v>671</v>
      </c>
      <c r="E153" s="372"/>
      <c r="F153" s="372"/>
      <c r="G153" s="372"/>
      <c r="H153" s="372"/>
      <c r="I153" s="372"/>
      <c r="J153" s="372"/>
      <c r="K153" s="372"/>
      <c r="L153" s="372"/>
      <c r="M153" s="372"/>
      <c r="N153" s="372"/>
      <c r="O153" s="372"/>
      <c r="P153" s="372"/>
      <c r="Q153" s="635"/>
      <c r="R153" s="372"/>
      <c r="S153" s="372"/>
      <c r="T153" s="372"/>
      <c r="U153" s="626"/>
      <c r="V153" s="626"/>
      <c r="W153" s="626"/>
      <c r="X153" s="631">
        <v>0</v>
      </c>
      <c r="Y153" s="631">
        <v>0</v>
      </c>
      <c r="Z153" s="631">
        <v>0</v>
      </c>
      <c r="AA153" s="631">
        <v>0</v>
      </c>
      <c r="AB153" s="631">
        <v>0</v>
      </c>
      <c r="AC153" s="631">
        <v>0</v>
      </c>
      <c r="AD153" s="631">
        <v>0</v>
      </c>
      <c r="AE153" s="631">
        <v>0</v>
      </c>
    </row>
    <row r="154" spans="1:31" hidden="1">
      <c r="A154" s="634">
        <v>28</v>
      </c>
      <c r="B154" s="639"/>
      <c r="C154" s="634">
        <v>34146</v>
      </c>
      <c r="D154" s="372" t="s">
        <v>627</v>
      </c>
      <c r="E154" s="372"/>
      <c r="F154" s="634" t="s">
        <v>628</v>
      </c>
      <c r="G154" s="635"/>
      <c r="H154" s="634" t="s">
        <v>635</v>
      </c>
      <c r="I154" s="635"/>
      <c r="J154" s="634" t="s">
        <v>635</v>
      </c>
      <c r="K154" s="372"/>
      <c r="L154" s="634" t="s">
        <v>635</v>
      </c>
      <c r="M154" s="372"/>
      <c r="N154" s="634" t="s">
        <v>635</v>
      </c>
      <c r="O154" s="634"/>
      <c r="P154" s="634" t="s">
        <v>635</v>
      </c>
      <c r="Q154" s="635"/>
      <c r="R154" s="634" t="s">
        <v>635</v>
      </c>
      <c r="S154" s="372"/>
      <c r="T154" s="634" t="s">
        <v>635</v>
      </c>
      <c r="U154" s="626"/>
      <c r="V154" s="626"/>
      <c r="W154" s="626"/>
      <c r="X154" s="631">
        <v>0</v>
      </c>
      <c r="Y154" s="631">
        <v>0</v>
      </c>
      <c r="Z154" s="631">
        <v>0</v>
      </c>
      <c r="AA154" s="631">
        <v>0</v>
      </c>
      <c r="AB154" s="631">
        <v>0</v>
      </c>
      <c r="AC154" s="631">
        <v>0</v>
      </c>
      <c r="AD154" s="631">
        <v>0</v>
      </c>
      <c r="AE154" s="631">
        <v>0</v>
      </c>
    </row>
    <row r="155" spans="1:31" hidden="1">
      <c r="A155" s="634">
        <v>29</v>
      </c>
      <c r="B155" s="639"/>
      <c r="C155" s="634">
        <v>34246</v>
      </c>
      <c r="D155" s="372" t="s">
        <v>666</v>
      </c>
      <c r="E155" s="372"/>
      <c r="F155" s="634" t="s">
        <v>628</v>
      </c>
      <c r="G155" s="635"/>
      <c r="H155" s="634" t="s">
        <v>635</v>
      </c>
      <c r="I155" s="635"/>
      <c r="J155" s="634" t="s">
        <v>635</v>
      </c>
      <c r="K155" s="372"/>
      <c r="L155" s="634" t="s">
        <v>635</v>
      </c>
      <c r="M155" s="372"/>
      <c r="N155" s="634" t="s">
        <v>635</v>
      </c>
      <c r="O155" s="634"/>
      <c r="P155" s="634" t="s">
        <v>635</v>
      </c>
      <c r="Q155" s="635"/>
      <c r="R155" s="634" t="s">
        <v>635</v>
      </c>
      <c r="S155" s="372"/>
      <c r="T155" s="634" t="s">
        <v>635</v>
      </c>
      <c r="U155" s="626"/>
      <c r="V155" s="626"/>
      <c r="W155" s="626"/>
      <c r="X155" s="631">
        <v>0</v>
      </c>
      <c r="Y155" s="631">
        <v>0</v>
      </c>
      <c r="Z155" s="631">
        <v>0</v>
      </c>
      <c r="AA155" s="631">
        <v>0</v>
      </c>
      <c r="AB155" s="631">
        <v>0</v>
      </c>
      <c r="AC155" s="631">
        <v>0</v>
      </c>
      <c r="AD155" s="631">
        <v>0</v>
      </c>
      <c r="AE155" s="631">
        <v>0</v>
      </c>
    </row>
    <row r="156" spans="1:31" hidden="1">
      <c r="A156" s="634">
        <v>30</v>
      </c>
      <c r="B156" s="639"/>
      <c r="C156" s="634">
        <v>34346</v>
      </c>
      <c r="D156" s="372" t="s">
        <v>667</v>
      </c>
      <c r="E156" s="372"/>
      <c r="F156" s="640">
        <v>4258</v>
      </c>
      <c r="G156" s="635"/>
      <c r="H156" s="640">
        <v>5073</v>
      </c>
      <c r="I156" s="635"/>
      <c r="J156" s="634" t="s">
        <v>635</v>
      </c>
      <c r="K156" s="372"/>
      <c r="L156" s="634">
        <v>-164</v>
      </c>
      <c r="M156" s="372"/>
      <c r="N156" s="634">
        <v>71</v>
      </c>
      <c r="O156" s="634"/>
      <c r="P156" s="634" t="s">
        <v>635</v>
      </c>
      <c r="Q156" s="635"/>
      <c r="R156" s="640">
        <v>9239</v>
      </c>
      <c r="S156" s="372"/>
      <c r="T156" s="640">
        <v>6729</v>
      </c>
      <c r="U156" s="626"/>
      <c r="V156" s="626"/>
      <c r="W156" s="626"/>
      <c r="X156" s="641">
        <v>5</v>
      </c>
      <c r="Y156" s="641">
        <v>5</v>
      </c>
      <c r="Z156" s="631">
        <v>0</v>
      </c>
      <c r="AA156" s="641">
        <v>5</v>
      </c>
      <c r="AB156" s="641">
        <v>5</v>
      </c>
      <c r="AC156" s="631">
        <v>0</v>
      </c>
      <c r="AD156" s="641">
        <v>5</v>
      </c>
      <c r="AE156" s="641">
        <v>5</v>
      </c>
    </row>
    <row r="157" spans="1:31" hidden="1">
      <c r="A157" s="634">
        <v>31</v>
      </c>
      <c r="B157" s="639"/>
      <c r="C157" s="634">
        <v>34546</v>
      </c>
      <c r="D157" s="372" t="s">
        <v>631</v>
      </c>
      <c r="E157" s="372"/>
      <c r="F157" s="634" t="s">
        <v>628</v>
      </c>
      <c r="G157" s="635"/>
      <c r="H157" s="634">
        <v>0</v>
      </c>
      <c r="I157" s="635"/>
      <c r="J157" s="634" t="s">
        <v>635</v>
      </c>
      <c r="K157" s="372"/>
      <c r="L157" s="634">
        <v>0</v>
      </c>
      <c r="M157" s="372"/>
      <c r="N157" s="634">
        <v>0</v>
      </c>
      <c r="O157" s="634"/>
      <c r="P157" s="634" t="s">
        <v>635</v>
      </c>
      <c r="Q157" s="635"/>
      <c r="R157" s="634">
        <v>0</v>
      </c>
      <c r="S157" s="372"/>
      <c r="T157" s="634">
        <v>0</v>
      </c>
      <c r="U157" s="626"/>
      <c r="V157" s="626"/>
      <c r="W157" s="626"/>
      <c r="X157" s="631">
        <v>0</v>
      </c>
      <c r="Y157" s="641">
        <v>5</v>
      </c>
      <c r="Z157" s="631">
        <v>0</v>
      </c>
      <c r="AA157" s="641">
        <v>5</v>
      </c>
      <c r="AB157" s="641">
        <v>5</v>
      </c>
      <c r="AC157" s="631">
        <v>0</v>
      </c>
      <c r="AD157" s="641">
        <v>5</v>
      </c>
      <c r="AE157" s="641">
        <v>5</v>
      </c>
    </row>
    <row r="158" spans="1:31" hidden="1">
      <c r="A158" s="634">
        <v>32</v>
      </c>
      <c r="B158" s="639"/>
      <c r="C158" s="634">
        <v>34646</v>
      </c>
      <c r="D158" s="372" t="s">
        <v>632</v>
      </c>
      <c r="E158" s="372"/>
      <c r="F158" s="634" t="s">
        <v>628</v>
      </c>
      <c r="G158" s="635"/>
      <c r="H158" s="634" t="s">
        <v>635</v>
      </c>
      <c r="I158" s="635"/>
      <c r="J158" s="634" t="s">
        <v>635</v>
      </c>
      <c r="K158" s="372"/>
      <c r="L158" s="634" t="s">
        <v>635</v>
      </c>
      <c r="M158" s="372"/>
      <c r="N158" s="634" t="s">
        <v>635</v>
      </c>
      <c r="O158" s="634"/>
      <c r="P158" s="634" t="s">
        <v>635</v>
      </c>
      <c r="Q158" s="635"/>
      <c r="R158" s="634" t="s">
        <v>635</v>
      </c>
      <c r="S158" s="372"/>
      <c r="T158" s="634" t="s">
        <v>635</v>
      </c>
      <c r="U158" s="626"/>
      <c r="V158" s="626"/>
      <c r="W158" s="626"/>
      <c r="X158" s="631">
        <v>0</v>
      </c>
      <c r="Y158" s="631">
        <v>0</v>
      </c>
      <c r="Z158" s="631">
        <v>0</v>
      </c>
      <c r="AA158" s="631">
        <v>0</v>
      </c>
      <c r="AB158" s="631">
        <v>0</v>
      </c>
      <c r="AC158" s="631">
        <v>0</v>
      </c>
      <c r="AD158" s="631">
        <v>0</v>
      </c>
      <c r="AE158" s="631">
        <v>0</v>
      </c>
    </row>
    <row r="159" spans="1:31" hidden="1">
      <c r="A159" s="634">
        <v>33</v>
      </c>
      <c r="B159" s="639"/>
      <c r="C159" s="372"/>
      <c r="D159" s="636" t="s">
        <v>672</v>
      </c>
      <c r="E159" s="372"/>
      <c r="F159" s="642">
        <v>4258</v>
      </c>
      <c r="G159" s="372"/>
      <c r="H159" s="642">
        <v>5073</v>
      </c>
      <c r="I159" s="635"/>
      <c r="J159" s="643" t="s">
        <v>635</v>
      </c>
      <c r="K159" s="635"/>
      <c r="L159" s="643">
        <v>-164</v>
      </c>
      <c r="M159" s="635"/>
      <c r="N159" s="643">
        <v>71</v>
      </c>
      <c r="O159" s="635"/>
      <c r="P159" s="643" t="s">
        <v>635</v>
      </c>
      <c r="Q159" s="635"/>
      <c r="R159" s="642">
        <v>9239</v>
      </c>
      <c r="S159" s="635"/>
      <c r="T159" s="642">
        <v>6729</v>
      </c>
      <c r="U159" s="626"/>
      <c r="V159" s="626"/>
      <c r="W159" s="626"/>
      <c r="X159" s="641">
        <v>5</v>
      </c>
      <c r="Y159" s="641">
        <v>5</v>
      </c>
      <c r="Z159" s="631">
        <v>0</v>
      </c>
      <c r="AA159" s="641">
        <v>5</v>
      </c>
      <c r="AB159" s="641">
        <v>5</v>
      </c>
      <c r="AC159" s="631">
        <v>0</v>
      </c>
      <c r="AD159" s="641">
        <v>5</v>
      </c>
      <c r="AE159" s="641">
        <v>5</v>
      </c>
    </row>
    <row r="160" spans="1:31" hidden="1">
      <c r="A160" s="634">
        <v>34</v>
      </c>
      <c r="B160" s="639"/>
      <c r="C160" s="372"/>
      <c r="D160" s="372"/>
      <c r="E160" s="372"/>
      <c r="F160" s="372"/>
      <c r="G160" s="372"/>
      <c r="H160" s="372"/>
      <c r="I160" s="372"/>
      <c r="J160" s="372"/>
      <c r="K160" s="372"/>
      <c r="L160" s="372"/>
      <c r="M160" s="372"/>
      <c r="N160" s="372"/>
      <c r="O160" s="372"/>
      <c r="P160" s="372"/>
      <c r="Q160" s="635"/>
      <c r="R160" s="372"/>
      <c r="S160" s="372"/>
      <c r="T160" s="372"/>
      <c r="U160" s="626"/>
      <c r="V160" s="626"/>
      <c r="W160" s="626"/>
      <c r="X160" s="631">
        <v>0</v>
      </c>
      <c r="Y160" s="631">
        <v>0</v>
      </c>
      <c r="Z160" s="631">
        <v>0</v>
      </c>
      <c r="AA160" s="631">
        <v>0</v>
      </c>
      <c r="AB160" s="631">
        <v>0</v>
      </c>
      <c r="AC160" s="631">
        <v>0</v>
      </c>
      <c r="AD160" s="631">
        <v>0</v>
      </c>
      <c r="AE160" s="631">
        <v>0</v>
      </c>
    </row>
    <row r="161" spans="1:31" hidden="1">
      <c r="A161" s="634">
        <v>35</v>
      </c>
      <c r="B161" s="639"/>
      <c r="C161" s="634"/>
      <c r="D161" s="372" t="s">
        <v>673</v>
      </c>
      <c r="E161" s="372"/>
      <c r="F161" s="372"/>
      <c r="G161" s="372"/>
      <c r="H161" s="372"/>
      <c r="I161" s="372"/>
      <c r="J161" s="372"/>
      <c r="K161" s="372"/>
      <c r="L161" s="372"/>
      <c r="M161" s="372"/>
      <c r="N161" s="372"/>
      <c r="O161" s="372"/>
      <c r="P161" s="372"/>
      <c r="Q161" s="635"/>
      <c r="R161" s="372"/>
      <c r="S161" s="635"/>
      <c r="T161" s="372"/>
      <c r="U161" s="626"/>
      <c r="V161" s="626"/>
      <c r="W161" s="626"/>
      <c r="X161" s="631">
        <v>0</v>
      </c>
      <c r="Y161" s="631">
        <v>0</v>
      </c>
      <c r="Z161" s="631">
        <v>0</v>
      </c>
      <c r="AA161" s="631">
        <v>0</v>
      </c>
      <c r="AB161" s="631">
        <v>0</v>
      </c>
      <c r="AC161" s="631">
        <v>0</v>
      </c>
      <c r="AD161" s="631">
        <v>0</v>
      </c>
      <c r="AE161" s="631">
        <v>0</v>
      </c>
    </row>
    <row r="162" spans="1:31" hidden="1">
      <c r="A162" s="634">
        <v>36</v>
      </c>
      <c r="B162" s="639"/>
      <c r="C162" s="634">
        <v>34143</v>
      </c>
      <c r="D162" s="372" t="s">
        <v>627</v>
      </c>
      <c r="E162" s="372"/>
      <c r="F162" s="640">
        <v>1405</v>
      </c>
      <c r="G162" s="635"/>
      <c r="H162" s="634">
        <v>66</v>
      </c>
      <c r="I162" s="635"/>
      <c r="J162" s="634" t="s">
        <v>635</v>
      </c>
      <c r="K162" s="372"/>
      <c r="L162" s="634">
        <v>-1</v>
      </c>
      <c r="M162" s="372"/>
      <c r="N162" s="634">
        <v>1</v>
      </c>
      <c r="O162" s="634"/>
      <c r="P162" s="634" t="s">
        <v>635</v>
      </c>
      <c r="Q162" s="635"/>
      <c r="R162" s="640">
        <v>1471</v>
      </c>
      <c r="S162" s="372"/>
      <c r="T162" s="640">
        <v>1438</v>
      </c>
      <c r="U162" s="626"/>
      <c r="V162" s="626"/>
      <c r="W162" s="626"/>
      <c r="X162" s="641">
        <v>5</v>
      </c>
      <c r="Y162" s="641">
        <v>5</v>
      </c>
      <c r="Z162" s="631">
        <v>0</v>
      </c>
      <c r="AA162" s="641">
        <v>5</v>
      </c>
      <c r="AB162" s="641">
        <v>5</v>
      </c>
      <c r="AC162" s="631">
        <v>0</v>
      </c>
      <c r="AD162" s="641">
        <v>5</v>
      </c>
      <c r="AE162" s="641">
        <v>5</v>
      </c>
    </row>
    <row r="163" spans="1:31" hidden="1">
      <c r="A163" s="634">
        <v>37</v>
      </c>
      <c r="B163" s="639"/>
      <c r="C163" s="634">
        <v>34243</v>
      </c>
      <c r="D163" s="372" t="s">
        <v>666</v>
      </c>
      <c r="E163" s="372"/>
      <c r="F163" s="640">
        <v>1412</v>
      </c>
      <c r="G163" s="635"/>
      <c r="H163" s="634">
        <v>90</v>
      </c>
      <c r="I163" s="635"/>
      <c r="J163" s="634">
        <v>-17</v>
      </c>
      <c r="K163" s="372"/>
      <c r="L163" s="634">
        <v>-1</v>
      </c>
      <c r="M163" s="372"/>
      <c r="N163" s="634">
        <v>1</v>
      </c>
      <c r="O163" s="634"/>
      <c r="P163" s="634" t="s">
        <v>635</v>
      </c>
      <c r="Q163" s="635"/>
      <c r="R163" s="640">
        <v>1484</v>
      </c>
      <c r="S163" s="372"/>
      <c r="T163" s="640">
        <v>1451</v>
      </c>
      <c r="U163" s="626"/>
      <c r="V163" s="626"/>
      <c r="W163" s="626"/>
      <c r="X163" s="641">
        <v>5</v>
      </c>
      <c r="Y163" s="641">
        <v>5</v>
      </c>
      <c r="Z163" s="641">
        <v>5</v>
      </c>
      <c r="AA163" s="641">
        <v>5</v>
      </c>
      <c r="AB163" s="641">
        <v>4</v>
      </c>
      <c r="AC163" s="631">
        <v>0</v>
      </c>
      <c r="AD163" s="641">
        <v>5</v>
      </c>
      <c r="AE163" s="641">
        <v>5</v>
      </c>
    </row>
    <row r="164" spans="1:31" hidden="1">
      <c r="A164" s="634">
        <v>38</v>
      </c>
      <c r="B164" s="639"/>
      <c r="C164" s="634">
        <v>34343</v>
      </c>
      <c r="D164" s="372" t="s">
        <v>667</v>
      </c>
      <c r="E164" s="372"/>
      <c r="F164" s="640">
        <v>-6438</v>
      </c>
      <c r="G164" s="635"/>
      <c r="H164" s="640">
        <v>13244</v>
      </c>
      <c r="I164" s="635"/>
      <c r="J164" s="634" t="s">
        <v>635</v>
      </c>
      <c r="K164" s="372"/>
      <c r="L164" s="634">
        <v>-492</v>
      </c>
      <c r="M164" s="372"/>
      <c r="N164" s="634">
        <v>190</v>
      </c>
      <c r="O164" s="634"/>
      <c r="P164" s="634" t="s">
        <v>635</v>
      </c>
      <c r="Q164" s="635"/>
      <c r="R164" s="640">
        <v>6503</v>
      </c>
      <c r="S164" s="372"/>
      <c r="T164" s="634">
        <v>58</v>
      </c>
      <c r="U164" s="626"/>
      <c r="V164" s="626"/>
      <c r="W164" s="626"/>
      <c r="X164" s="641">
        <v>5</v>
      </c>
      <c r="Y164" s="641">
        <v>5</v>
      </c>
      <c r="Z164" s="631">
        <v>0</v>
      </c>
      <c r="AA164" s="641">
        <v>5</v>
      </c>
      <c r="AB164" s="641">
        <v>4</v>
      </c>
      <c r="AC164" s="631">
        <v>0</v>
      </c>
      <c r="AD164" s="641">
        <v>4</v>
      </c>
      <c r="AE164" s="641">
        <v>5</v>
      </c>
    </row>
    <row r="165" spans="1:31" hidden="1">
      <c r="A165" s="634">
        <v>39</v>
      </c>
      <c r="B165" s="639"/>
      <c r="C165" s="634">
        <v>34543</v>
      </c>
      <c r="D165" s="372" t="s">
        <v>631</v>
      </c>
      <c r="E165" s="372"/>
      <c r="F165" s="634">
        <v>65</v>
      </c>
      <c r="G165" s="635"/>
      <c r="H165" s="634">
        <v>16</v>
      </c>
      <c r="I165" s="635"/>
      <c r="J165" s="634" t="s">
        <v>635</v>
      </c>
      <c r="K165" s="372"/>
      <c r="L165" s="634">
        <v>-6</v>
      </c>
      <c r="M165" s="372"/>
      <c r="N165" s="634">
        <v>0</v>
      </c>
      <c r="O165" s="634"/>
      <c r="P165" s="634" t="s">
        <v>635</v>
      </c>
      <c r="Q165" s="635"/>
      <c r="R165" s="634">
        <v>76</v>
      </c>
      <c r="S165" s="372"/>
      <c r="T165" s="634">
        <v>72</v>
      </c>
      <c r="U165" s="626"/>
      <c r="V165" s="626"/>
      <c r="W165" s="626"/>
      <c r="X165" s="641">
        <v>5</v>
      </c>
      <c r="Y165" s="641">
        <v>5</v>
      </c>
      <c r="Z165" s="631">
        <v>0</v>
      </c>
      <c r="AA165" s="641">
        <v>5</v>
      </c>
      <c r="AB165" s="641">
        <v>5</v>
      </c>
      <c r="AC165" s="631">
        <v>0</v>
      </c>
      <c r="AD165" s="641">
        <v>5</v>
      </c>
      <c r="AE165" s="641">
        <v>5</v>
      </c>
    </row>
    <row r="166" spans="1:31" hidden="1">
      <c r="A166" s="634">
        <v>40</v>
      </c>
      <c r="B166" s="639"/>
      <c r="C166" s="634">
        <v>34643</v>
      </c>
      <c r="D166" s="372" t="s">
        <v>632</v>
      </c>
      <c r="E166" s="372"/>
      <c r="F166" s="634">
        <v>227</v>
      </c>
      <c r="G166" s="635"/>
      <c r="H166" s="634">
        <v>9</v>
      </c>
      <c r="I166" s="635"/>
      <c r="J166" s="634" t="s">
        <v>635</v>
      </c>
      <c r="K166" s="372"/>
      <c r="L166" s="634">
        <v>0</v>
      </c>
      <c r="M166" s="372"/>
      <c r="N166" s="634">
        <v>0</v>
      </c>
      <c r="O166" s="634"/>
      <c r="P166" s="634" t="s">
        <v>635</v>
      </c>
      <c r="Q166" s="635"/>
      <c r="R166" s="634">
        <v>236</v>
      </c>
      <c r="S166" s="372"/>
      <c r="T166" s="634">
        <v>232</v>
      </c>
      <c r="U166" s="626"/>
      <c r="V166" s="626"/>
      <c r="W166" s="626"/>
      <c r="X166" s="641">
        <v>5</v>
      </c>
      <c r="Y166" s="641">
        <v>4</v>
      </c>
      <c r="Z166" s="631">
        <v>0</v>
      </c>
      <c r="AA166" s="641">
        <v>5</v>
      </c>
      <c r="AB166" s="641">
        <v>5</v>
      </c>
      <c r="AC166" s="631">
        <v>0</v>
      </c>
      <c r="AD166" s="641">
        <v>3</v>
      </c>
      <c r="AE166" s="641">
        <v>5</v>
      </c>
    </row>
    <row r="167" spans="1:31" hidden="1">
      <c r="A167" s="634">
        <v>41</v>
      </c>
      <c r="B167" s="639"/>
      <c r="C167" s="372"/>
      <c r="D167" s="636" t="s">
        <v>674</v>
      </c>
      <c r="E167" s="372"/>
      <c r="F167" s="642">
        <v>-3329</v>
      </c>
      <c r="G167" s="372"/>
      <c r="H167" s="642">
        <v>13425</v>
      </c>
      <c r="I167" s="635"/>
      <c r="J167" s="643">
        <v>-17</v>
      </c>
      <c r="K167" s="635"/>
      <c r="L167" s="643">
        <v>-501</v>
      </c>
      <c r="M167" s="635"/>
      <c r="N167" s="643">
        <v>192</v>
      </c>
      <c r="O167" s="635"/>
      <c r="P167" s="643" t="s">
        <v>635</v>
      </c>
      <c r="Q167" s="635"/>
      <c r="R167" s="642">
        <v>9771</v>
      </c>
      <c r="S167" s="635"/>
      <c r="T167" s="642">
        <v>3251</v>
      </c>
      <c r="U167" s="626"/>
      <c r="V167" s="626"/>
      <c r="W167" s="626"/>
      <c r="X167" s="641">
        <v>5</v>
      </c>
      <c r="Y167" s="641">
        <v>5</v>
      </c>
      <c r="Z167" s="641">
        <v>5</v>
      </c>
      <c r="AA167" s="641">
        <v>5</v>
      </c>
      <c r="AB167" s="641">
        <v>5</v>
      </c>
      <c r="AC167" s="631">
        <v>0</v>
      </c>
      <c r="AD167" s="641">
        <v>5</v>
      </c>
      <c r="AE167" s="641">
        <v>5</v>
      </c>
    </row>
    <row r="168" spans="1:31" hidden="1">
      <c r="A168" s="634">
        <v>42</v>
      </c>
      <c r="B168" s="639"/>
      <c r="C168" s="372"/>
      <c r="D168" s="372"/>
      <c r="E168" s="372"/>
      <c r="F168" s="372"/>
      <c r="G168" s="372"/>
      <c r="H168" s="372"/>
      <c r="I168" s="372"/>
      <c r="J168" s="372"/>
      <c r="K168" s="372"/>
      <c r="L168" s="372"/>
      <c r="M168" s="372"/>
      <c r="N168" s="372"/>
      <c r="O168" s="372"/>
      <c r="P168" s="372"/>
      <c r="Q168" s="635"/>
      <c r="R168" s="383"/>
      <c r="S168" s="372"/>
      <c r="T168" s="372"/>
      <c r="U168" s="626"/>
      <c r="V168" s="626"/>
      <c r="W168" s="626"/>
      <c r="X168" s="631">
        <v>0</v>
      </c>
      <c r="Y168" s="631">
        <v>0</v>
      </c>
      <c r="Z168" s="631">
        <v>0</v>
      </c>
      <c r="AA168" s="631">
        <v>0</v>
      </c>
      <c r="AB168" s="631">
        <v>0</v>
      </c>
      <c r="AC168" s="631">
        <v>0</v>
      </c>
      <c r="AD168" s="631">
        <v>0</v>
      </c>
      <c r="AE168" s="631">
        <v>0</v>
      </c>
    </row>
    <row r="169" spans="1:31" ht="15" hidden="1" thickBot="1">
      <c r="A169" s="634">
        <v>43</v>
      </c>
      <c r="B169" s="639"/>
      <c r="C169" s="372"/>
      <c r="D169" s="636" t="s">
        <v>662</v>
      </c>
      <c r="E169" s="372"/>
      <c r="F169" s="646">
        <v>24267</v>
      </c>
      <c r="G169" s="635"/>
      <c r="H169" s="646">
        <v>24865</v>
      </c>
      <c r="I169" s="635"/>
      <c r="J169" s="647">
        <v>-239</v>
      </c>
      <c r="K169" s="635"/>
      <c r="L169" s="647">
        <v>-881</v>
      </c>
      <c r="M169" s="635"/>
      <c r="N169" s="647">
        <v>344</v>
      </c>
      <c r="O169" s="372"/>
      <c r="P169" s="647" t="s">
        <v>635</v>
      </c>
      <c r="Q169" s="635"/>
      <c r="R169" s="646">
        <v>48357</v>
      </c>
      <c r="S169" s="635"/>
      <c r="T169" s="646">
        <v>36301</v>
      </c>
      <c r="U169" s="626"/>
      <c r="V169" s="626"/>
      <c r="W169" s="626"/>
      <c r="X169" s="641">
        <v>5</v>
      </c>
      <c r="Y169" s="641">
        <v>5</v>
      </c>
      <c r="Z169" s="641">
        <v>4</v>
      </c>
      <c r="AA169" s="641">
        <v>5</v>
      </c>
      <c r="AB169" s="641">
        <v>5</v>
      </c>
      <c r="AC169" s="631">
        <v>0</v>
      </c>
      <c r="AD169" s="641">
        <v>5</v>
      </c>
      <c r="AE169" s="641">
        <v>5</v>
      </c>
    </row>
    <row r="170" spans="1:31" ht="15.6" hidden="1" thickTop="1" thickBot="1">
      <c r="A170" s="637">
        <v>44</v>
      </c>
      <c r="B170" s="660" t="s">
        <v>67</v>
      </c>
      <c r="C170" s="660"/>
      <c r="D170" s="625"/>
      <c r="E170" s="625"/>
      <c r="F170" s="625"/>
      <c r="G170" s="625"/>
      <c r="H170" s="625"/>
      <c r="I170" s="625"/>
      <c r="J170" s="625"/>
      <c r="K170" s="625"/>
      <c r="L170" s="625"/>
      <c r="M170" s="625"/>
      <c r="N170" s="625"/>
      <c r="O170" s="625"/>
      <c r="P170" s="625"/>
      <c r="Q170" s="638"/>
      <c r="R170" s="625"/>
      <c r="S170" s="625"/>
      <c r="T170" s="625"/>
      <c r="U170" s="626"/>
      <c r="V170" s="626"/>
      <c r="W170" s="626"/>
      <c r="X170" s="631">
        <v>0</v>
      </c>
      <c r="Y170" s="631">
        <v>0</v>
      </c>
      <c r="Z170" s="631">
        <v>0</v>
      </c>
      <c r="AA170" s="631">
        <v>0</v>
      </c>
      <c r="AB170" s="631">
        <v>0</v>
      </c>
      <c r="AC170" s="631">
        <v>0</v>
      </c>
      <c r="AD170" s="631">
        <v>0</v>
      </c>
      <c r="AE170" s="631">
        <v>0</v>
      </c>
    </row>
    <row r="171" spans="1:31" hidden="1">
      <c r="A171" s="664" t="s">
        <v>818</v>
      </c>
      <c r="B171" s="664"/>
      <c r="C171" s="372"/>
      <c r="D171" s="372"/>
      <c r="E171" s="664"/>
      <c r="F171" s="664"/>
      <c r="G171" s="664"/>
      <c r="H171" s="664"/>
      <c r="I171" s="664"/>
      <c r="J171" s="664"/>
      <c r="K171" s="664"/>
      <c r="L171" s="664"/>
      <c r="M171" s="664"/>
      <c r="N171" s="664"/>
      <c r="O171" s="664"/>
      <c r="P171" s="664"/>
      <c r="Q171" s="635"/>
      <c r="R171" s="372" t="s">
        <v>644</v>
      </c>
      <c r="S171" s="664"/>
      <c r="T171" s="664"/>
      <c r="U171" s="626"/>
      <c r="V171" s="626"/>
      <c r="W171" s="626"/>
      <c r="X171" s="631">
        <v>0</v>
      </c>
      <c r="Y171" s="631">
        <v>0</v>
      </c>
      <c r="Z171" s="631">
        <v>0</v>
      </c>
      <c r="AA171" s="631">
        <v>0</v>
      </c>
      <c r="AB171" s="631">
        <v>0</v>
      </c>
      <c r="AC171" s="631">
        <v>0</v>
      </c>
      <c r="AD171" s="631">
        <v>2</v>
      </c>
      <c r="AE171" s="631">
        <v>0</v>
      </c>
    </row>
    <row r="172" spans="1:31" ht="15" hidden="1" thickBot="1">
      <c r="A172" s="625" t="s">
        <v>808</v>
      </c>
      <c r="B172" s="625"/>
      <c r="C172" s="625"/>
      <c r="D172" s="625"/>
      <c r="E172" s="625"/>
      <c r="F172" s="625" t="s">
        <v>809</v>
      </c>
      <c r="G172" s="625"/>
      <c r="H172" s="625"/>
      <c r="I172" s="625"/>
      <c r="J172" s="625"/>
      <c r="K172" s="625"/>
      <c r="L172" s="625"/>
      <c r="M172" s="625"/>
      <c r="N172" s="625"/>
      <c r="O172" s="625"/>
      <c r="P172" s="625"/>
      <c r="Q172" s="638"/>
      <c r="R172" s="625"/>
      <c r="S172" s="625"/>
      <c r="T172" s="625" t="s">
        <v>675</v>
      </c>
      <c r="U172" s="626"/>
      <c r="V172" s="626"/>
      <c r="W172" s="626"/>
      <c r="X172" s="631">
        <v>2</v>
      </c>
      <c r="Y172" s="631">
        <v>0</v>
      </c>
      <c r="Z172" s="631">
        <v>0</v>
      </c>
      <c r="AA172" s="631">
        <v>0</v>
      </c>
      <c r="AB172" s="631">
        <v>0</v>
      </c>
      <c r="AC172" s="631">
        <v>0</v>
      </c>
      <c r="AD172" s="631">
        <v>0</v>
      </c>
      <c r="AE172" s="631">
        <v>2</v>
      </c>
    </row>
    <row r="173" spans="1:31" hidden="1">
      <c r="A173" s="664" t="s">
        <v>4</v>
      </c>
      <c r="B173" s="664"/>
      <c r="C173" s="372"/>
      <c r="D173" s="372"/>
      <c r="E173" s="635" t="s">
        <v>553</v>
      </c>
      <c r="F173" s="372" t="s">
        <v>810</v>
      </c>
      <c r="G173" s="664"/>
      <c r="H173" s="664"/>
      <c r="I173" s="664"/>
      <c r="J173" s="664"/>
      <c r="K173" s="661"/>
      <c r="L173" s="661"/>
      <c r="M173" s="661"/>
      <c r="N173" s="661"/>
      <c r="O173" s="661"/>
      <c r="P173" s="661"/>
      <c r="Q173" s="645"/>
      <c r="R173" s="372" t="s">
        <v>608</v>
      </c>
      <c r="S173" s="664"/>
      <c r="T173" s="664"/>
      <c r="U173" s="626"/>
      <c r="V173" s="626"/>
      <c r="W173" s="626"/>
      <c r="X173" s="631">
        <v>2</v>
      </c>
      <c r="Y173" s="631">
        <v>0</v>
      </c>
      <c r="Z173" s="631">
        <v>0</v>
      </c>
      <c r="AA173" s="631">
        <v>0</v>
      </c>
      <c r="AB173" s="631">
        <v>0</v>
      </c>
      <c r="AC173" s="631">
        <v>0</v>
      </c>
      <c r="AD173" s="631">
        <v>2</v>
      </c>
      <c r="AE173" s="631">
        <v>0</v>
      </c>
    </row>
    <row r="174" spans="1:31" hidden="1">
      <c r="A174" s="372"/>
      <c r="B174" s="372"/>
      <c r="C174" s="372"/>
      <c r="D174" s="372"/>
      <c r="E174" s="372"/>
      <c r="F174" s="372" t="s">
        <v>811</v>
      </c>
      <c r="G174" s="372"/>
      <c r="H174" s="372"/>
      <c r="I174" s="372"/>
      <c r="J174" s="372"/>
      <c r="K174" s="636"/>
      <c r="L174" s="636"/>
      <c r="M174" s="372"/>
      <c r="N174" s="372"/>
      <c r="O174" s="635"/>
      <c r="P174" s="635"/>
      <c r="Q174" s="635"/>
      <c r="R174" s="636" t="s">
        <v>9</v>
      </c>
      <c r="S174" s="372"/>
      <c r="T174" s="372"/>
      <c r="U174" s="626"/>
      <c r="V174" s="626"/>
      <c r="W174" s="626"/>
      <c r="X174" s="631">
        <v>2</v>
      </c>
      <c r="Y174" s="631">
        <v>0</v>
      </c>
      <c r="Z174" s="631">
        <v>0</v>
      </c>
      <c r="AA174" s="631">
        <v>0</v>
      </c>
      <c r="AB174" s="631">
        <v>0</v>
      </c>
      <c r="AC174" s="631">
        <v>0</v>
      </c>
      <c r="AD174" s="631">
        <v>2</v>
      </c>
      <c r="AE174" s="631">
        <v>0</v>
      </c>
    </row>
    <row r="175" spans="1:31" hidden="1">
      <c r="A175" s="372" t="s">
        <v>10</v>
      </c>
      <c r="B175" s="372"/>
      <c r="C175" s="372"/>
      <c r="D175" s="372"/>
      <c r="E175" s="372"/>
      <c r="F175" s="372"/>
      <c r="G175" s="372"/>
      <c r="H175" s="372"/>
      <c r="I175" s="372"/>
      <c r="J175" s="372"/>
      <c r="K175" s="636"/>
      <c r="L175" s="636"/>
      <c r="M175" s="372"/>
      <c r="N175" s="372"/>
      <c r="O175" s="372"/>
      <c r="P175" s="372"/>
      <c r="Q175" s="635"/>
      <c r="R175" s="636" t="s">
        <v>11</v>
      </c>
      <c r="S175" s="372"/>
      <c r="T175" s="372"/>
      <c r="U175" s="626"/>
      <c r="V175" s="626"/>
      <c r="W175" s="626"/>
      <c r="X175" s="631">
        <v>2</v>
      </c>
      <c r="Y175" s="631">
        <v>0</v>
      </c>
      <c r="Z175" s="631">
        <v>0</v>
      </c>
      <c r="AA175" s="631">
        <v>0</v>
      </c>
      <c r="AB175" s="631">
        <v>0</v>
      </c>
      <c r="AC175" s="631">
        <v>0</v>
      </c>
      <c r="AD175" s="631">
        <v>2</v>
      </c>
      <c r="AE175" s="631">
        <v>0</v>
      </c>
    </row>
    <row r="176" spans="1:31" hidden="1">
      <c r="A176" s="372"/>
      <c r="B176" s="372"/>
      <c r="C176" s="372"/>
      <c r="D176" s="372"/>
      <c r="E176" s="372"/>
      <c r="F176" s="372"/>
      <c r="G176" s="372"/>
      <c r="H176" s="372"/>
      <c r="I176" s="372"/>
      <c r="J176" s="372"/>
      <c r="K176" s="636"/>
      <c r="L176" s="636"/>
      <c r="M176" s="372"/>
      <c r="N176" s="372"/>
      <c r="O176" s="372"/>
      <c r="P176" s="372"/>
      <c r="Q176" s="635" t="s">
        <v>12</v>
      </c>
      <c r="R176" s="636" t="s">
        <v>13</v>
      </c>
      <c r="S176" s="372"/>
      <c r="T176" s="372"/>
      <c r="U176" s="626"/>
      <c r="V176" s="626"/>
      <c r="W176" s="626"/>
      <c r="X176" s="631">
        <v>2</v>
      </c>
      <c r="Y176" s="631">
        <v>0</v>
      </c>
      <c r="Z176" s="631">
        <v>0</v>
      </c>
      <c r="AA176" s="631">
        <v>0</v>
      </c>
      <c r="AB176" s="631">
        <v>0</v>
      </c>
      <c r="AC176" s="631">
        <v>0</v>
      </c>
      <c r="AD176" s="631">
        <v>2</v>
      </c>
      <c r="AE176" s="631">
        <v>0</v>
      </c>
    </row>
    <row r="177" spans="1:31" hidden="1">
      <c r="A177" s="372"/>
      <c r="B177" s="372"/>
      <c r="C177" s="372"/>
      <c r="D177" s="372"/>
      <c r="E177" s="372"/>
      <c r="F177" s="372"/>
      <c r="G177" s="372"/>
      <c r="H177" s="372"/>
      <c r="I177" s="372"/>
      <c r="J177" s="372"/>
      <c r="K177" s="636"/>
      <c r="L177" s="636"/>
      <c r="M177" s="372"/>
      <c r="N177" s="372"/>
      <c r="O177" s="372"/>
      <c r="P177" s="372"/>
      <c r="Q177" s="635"/>
      <c r="R177" s="636" t="s">
        <v>610</v>
      </c>
      <c r="S177" s="372"/>
      <c r="T177" s="372"/>
      <c r="U177" s="626"/>
      <c r="V177" s="626"/>
      <c r="W177" s="626"/>
      <c r="X177" s="631">
        <v>0</v>
      </c>
      <c r="Y177" s="631">
        <v>0</v>
      </c>
      <c r="Z177" s="631">
        <v>0</v>
      </c>
      <c r="AA177" s="631">
        <v>0</v>
      </c>
      <c r="AB177" s="631">
        <v>0</v>
      </c>
      <c r="AC177" s="631">
        <v>0</v>
      </c>
      <c r="AD177" s="631">
        <v>2</v>
      </c>
      <c r="AE177" s="631">
        <v>0</v>
      </c>
    </row>
    <row r="178" spans="1:31" ht="15" hidden="1" thickBot="1">
      <c r="A178" s="625" t="s">
        <v>611</v>
      </c>
      <c r="B178" s="625"/>
      <c r="C178" s="625"/>
      <c r="D178" s="625"/>
      <c r="E178" s="625"/>
      <c r="F178" s="625"/>
      <c r="G178" s="625"/>
      <c r="H178" s="637" t="s">
        <v>812</v>
      </c>
      <c r="I178" s="625"/>
      <c r="J178" s="625"/>
      <c r="K178" s="625"/>
      <c r="L178" s="625"/>
      <c r="M178" s="625"/>
      <c r="N178" s="625"/>
      <c r="O178" s="625"/>
      <c r="P178" s="625"/>
      <c r="Q178" s="638"/>
      <c r="R178" s="625" t="s">
        <v>249</v>
      </c>
      <c r="S178" s="625"/>
      <c r="T178" s="625"/>
      <c r="U178" s="626"/>
      <c r="V178" s="626"/>
      <c r="W178" s="626"/>
      <c r="X178" s="631">
        <v>2</v>
      </c>
      <c r="Y178" s="631">
        <v>2</v>
      </c>
      <c r="Z178" s="631">
        <v>0</v>
      </c>
      <c r="AA178" s="631">
        <v>0</v>
      </c>
      <c r="AB178" s="631">
        <v>0</v>
      </c>
      <c r="AC178" s="631">
        <v>0</v>
      </c>
      <c r="AD178" s="631">
        <v>2</v>
      </c>
      <c r="AE178" s="631">
        <v>0</v>
      </c>
    </row>
    <row r="179" spans="1:31" hidden="1">
      <c r="A179" s="664"/>
      <c r="B179" s="664"/>
      <c r="C179" s="634"/>
      <c r="D179" s="634"/>
      <c r="E179" s="634"/>
      <c r="F179" s="634"/>
      <c r="G179" s="634"/>
      <c r="H179" s="634"/>
      <c r="I179" s="634"/>
      <c r="J179" s="634"/>
      <c r="K179" s="634"/>
      <c r="L179" s="634"/>
      <c r="M179" s="634"/>
      <c r="N179" s="634"/>
      <c r="O179" s="634"/>
      <c r="P179" s="634"/>
      <c r="Q179" s="635"/>
      <c r="R179" s="634"/>
      <c r="S179" s="634"/>
      <c r="T179" s="634"/>
      <c r="U179" s="626"/>
      <c r="V179" s="626"/>
      <c r="W179" s="626"/>
      <c r="X179" s="631">
        <v>0</v>
      </c>
      <c r="Y179" s="631">
        <v>0</v>
      </c>
      <c r="Z179" s="631">
        <v>0</v>
      </c>
      <c r="AA179" s="631">
        <v>0</v>
      </c>
      <c r="AB179" s="631">
        <v>0</v>
      </c>
      <c r="AC179" s="631">
        <v>0</v>
      </c>
      <c r="AD179" s="631">
        <v>0</v>
      </c>
      <c r="AE179" s="631">
        <v>0</v>
      </c>
    </row>
    <row r="180" spans="1:31" hidden="1">
      <c r="A180" s="372"/>
      <c r="B180" s="372"/>
      <c r="C180" s="634">
        <v>-1</v>
      </c>
      <c r="D180" s="634">
        <v>-2</v>
      </c>
      <c r="E180" s="634"/>
      <c r="F180" s="634">
        <v>-3</v>
      </c>
      <c r="G180" s="634"/>
      <c r="H180" s="634">
        <v>-4</v>
      </c>
      <c r="I180" s="634"/>
      <c r="J180" s="634">
        <v>-5</v>
      </c>
      <c r="K180" s="634"/>
      <c r="L180" s="634">
        <v>-6</v>
      </c>
      <c r="M180" s="634"/>
      <c r="N180" s="634">
        <v>-7</v>
      </c>
      <c r="O180" s="634"/>
      <c r="P180" s="634">
        <v>-8</v>
      </c>
      <c r="Q180" s="635"/>
      <c r="R180" s="634">
        <v>-9</v>
      </c>
      <c r="S180" s="634"/>
      <c r="T180" s="634">
        <v>-10</v>
      </c>
      <c r="U180" s="626"/>
      <c r="V180" s="626"/>
      <c r="W180" s="626"/>
      <c r="X180" s="631">
        <v>2</v>
      </c>
      <c r="Y180" s="631">
        <v>2</v>
      </c>
      <c r="Z180" s="631">
        <v>2</v>
      </c>
      <c r="AA180" s="631">
        <v>2</v>
      </c>
      <c r="AB180" s="631">
        <v>2</v>
      </c>
      <c r="AC180" s="631">
        <v>2</v>
      </c>
      <c r="AD180" s="631">
        <v>2</v>
      </c>
      <c r="AE180" s="631">
        <v>2</v>
      </c>
    </row>
    <row r="181" spans="1:31" hidden="1">
      <c r="A181" s="372"/>
      <c r="B181" s="372"/>
      <c r="C181" s="634" t="s">
        <v>613</v>
      </c>
      <c r="D181" s="634" t="s">
        <v>613</v>
      </c>
      <c r="E181" s="372"/>
      <c r="F181" s="634" t="s">
        <v>27</v>
      </c>
      <c r="G181" s="634"/>
      <c r="H181" s="634" t="s">
        <v>45</v>
      </c>
      <c r="I181" s="634"/>
      <c r="J181" s="634"/>
      <c r="K181" s="634"/>
      <c r="L181" s="634"/>
      <c r="M181" s="634"/>
      <c r="N181" s="372"/>
      <c r="O181" s="372"/>
      <c r="P181" s="372"/>
      <c r="Q181" s="635"/>
      <c r="R181" s="634" t="s">
        <v>27</v>
      </c>
      <c r="S181" s="372"/>
      <c r="T181" s="372"/>
      <c r="U181" s="626"/>
      <c r="V181" s="626"/>
      <c r="W181" s="626"/>
      <c r="X181" s="631">
        <v>2</v>
      </c>
      <c r="Y181" s="631">
        <v>2</v>
      </c>
      <c r="Z181" s="631">
        <v>0</v>
      </c>
      <c r="AA181" s="631">
        <v>0</v>
      </c>
      <c r="AB181" s="631">
        <v>0</v>
      </c>
      <c r="AC181" s="631">
        <v>0</v>
      </c>
      <c r="AD181" s="631">
        <v>2</v>
      </c>
      <c r="AE181" s="631">
        <v>0</v>
      </c>
    </row>
    <row r="182" spans="1:31" hidden="1">
      <c r="A182" s="634" t="s">
        <v>35</v>
      </c>
      <c r="B182" s="634"/>
      <c r="C182" s="634" t="s">
        <v>614</v>
      </c>
      <c r="D182" s="634" t="s">
        <v>614</v>
      </c>
      <c r="E182" s="634"/>
      <c r="F182" s="634" t="s">
        <v>37</v>
      </c>
      <c r="G182" s="634"/>
      <c r="H182" s="634" t="s">
        <v>37</v>
      </c>
      <c r="I182" s="634"/>
      <c r="J182" s="634"/>
      <c r="K182" s="634"/>
      <c r="L182" s="634" t="s">
        <v>813</v>
      </c>
      <c r="M182" s="636"/>
      <c r="N182" s="634" t="s">
        <v>813</v>
      </c>
      <c r="O182" s="634"/>
      <c r="P182" s="634" t="s">
        <v>178</v>
      </c>
      <c r="Q182" s="635"/>
      <c r="R182" s="634" t="s">
        <v>37</v>
      </c>
      <c r="S182" s="634"/>
      <c r="T182" s="634" t="s">
        <v>353</v>
      </c>
      <c r="U182" s="626"/>
      <c r="V182" s="626"/>
      <c r="W182" s="626"/>
      <c r="X182" s="631">
        <v>2</v>
      </c>
      <c r="Y182" s="631">
        <v>2</v>
      </c>
      <c r="Z182" s="631">
        <v>0</v>
      </c>
      <c r="AA182" s="631">
        <v>2</v>
      </c>
      <c r="AB182" s="631">
        <v>2</v>
      </c>
      <c r="AC182" s="631">
        <v>2</v>
      </c>
      <c r="AD182" s="631">
        <v>2</v>
      </c>
      <c r="AE182" s="631">
        <v>2</v>
      </c>
    </row>
    <row r="183" spans="1:31" ht="15" hidden="1" thickBot="1">
      <c r="A183" s="637" t="s">
        <v>46</v>
      </c>
      <c r="B183" s="637"/>
      <c r="C183" s="637" t="s">
        <v>371</v>
      </c>
      <c r="D183" s="637" t="s">
        <v>617</v>
      </c>
      <c r="E183" s="637"/>
      <c r="F183" s="637" t="s">
        <v>619</v>
      </c>
      <c r="G183" s="637"/>
      <c r="H183" s="637" t="s">
        <v>814</v>
      </c>
      <c r="I183" s="637"/>
      <c r="J183" s="637" t="s">
        <v>815</v>
      </c>
      <c r="K183" s="637"/>
      <c r="L183" s="637" t="s">
        <v>816</v>
      </c>
      <c r="M183" s="637"/>
      <c r="N183" s="637" t="s">
        <v>817</v>
      </c>
      <c r="O183" s="637"/>
      <c r="P183" s="637" t="s">
        <v>622</v>
      </c>
      <c r="Q183" s="638"/>
      <c r="R183" s="637" t="s">
        <v>623</v>
      </c>
      <c r="S183" s="637"/>
      <c r="T183" s="637" t="s">
        <v>369</v>
      </c>
      <c r="U183" s="626"/>
      <c r="V183" s="626"/>
      <c r="W183" s="626"/>
      <c r="X183" s="631">
        <v>2</v>
      </c>
      <c r="Y183" s="631">
        <v>2</v>
      </c>
      <c r="Z183" s="631">
        <v>2</v>
      </c>
      <c r="AA183" s="631">
        <v>2</v>
      </c>
      <c r="AB183" s="631">
        <v>2</v>
      </c>
      <c r="AC183" s="631">
        <v>2</v>
      </c>
      <c r="AD183" s="631">
        <v>2</v>
      </c>
      <c r="AE183" s="631">
        <v>2</v>
      </c>
    </row>
    <row r="184" spans="1:31" hidden="1">
      <c r="A184" s="634">
        <v>1</v>
      </c>
      <c r="B184" s="634"/>
      <c r="C184" s="372"/>
      <c r="D184" s="372"/>
      <c r="E184" s="664"/>
      <c r="F184" s="664"/>
      <c r="G184" s="664"/>
      <c r="H184" s="664"/>
      <c r="I184" s="664"/>
      <c r="J184" s="664"/>
      <c r="K184" s="664"/>
      <c r="L184" s="664"/>
      <c r="M184" s="664"/>
      <c r="N184" s="664"/>
      <c r="O184" s="664"/>
      <c r="P184" s="664"/>
      <c r="Q184" s="635"/>
      <c r="R184" s="372"/>
      <c r="S184" s="664"/>
      <c r="T184" s="664"/>
      <c r="U184" s="626"/>
      <c r="V184" s="626"/>
      <c r="W184" s="626"/>
      <c r="X184" s="631">
        <v>0</v>
      </c>
      <c r="Y184" s="631">
        <v>0</v>
      </c>
      <c r="Z184" s="631">
        <v>0</v>
      </c>
      <c r="AA184" s="631">
        <v>0</v>
      </c>
      <c r="AB184" s="631">
        <v>0</v>
      </c>
      <c r="AC184" s="631">
        <v>0</v>
      </c>
      <c r="AD184" s="631">
        <v>0</v>
      </c>
      <c r="AE184" s="631">
        <v>0</v>
      </c>
    </row>
    <row r="185" spans="1:31" hidden="1">
      <c r="A185" s="634">
        <v>2</v>
      </c>
      <c r="B185" s="634"/>
      <c r="C185" s="372"/>
      <c r="D185" s="372" t="s">
        <v>676</v>
      </c>
      <c r="E185" s="372"/>
      <c r="F185" s="372"/>
      <c r="G185" s="372"/>
      <c r="H185" s="372"/>
      <c r="I185" s="635"/>
      <c r="J185" s="372"/>
      <c r="K185" s="635"/>
      <c r="L185" s="372"/>
      <c r="M185" s="635"/>
      <c r="N185" s="372"/>
      <c r="O185" s="372"/>
      <c r="P185" s="372"/>
      <c r="Q185" s="635"/>
      <c r="R185" s="372"/>
      <c r="S185" s="635"/>
      <c r="T185" s="372"/>
      <c r="U185" s="626"/>
      <c r="V185" s="626"/>
      <c r="W185" s="626"/>
      <c r="X185" s="631">
        <v>0</v>
      </c>
      <c r="Y185" s="631">
        <v>0</v>
      </c>
      <c r="Z185" s="631">
        <v>0</v>
      </c>
      <c r="AA185" s="631">
        <v>0</v>
      </c>
      <c r="AB185" s="631">
        <v>0</v>
      </c>
      <c r="AC185" s="631">
        <v>0</v>
      </c>
      <c r="AD185" s="631">
        <v>0</v>
      </c>
      <c r="AE185" s="631">
        <v>0</v>
      </c>
    </row>
    <row r="186" spans="1:31" hidden="1">
      <c r="A186" s="634">
        <v>3</v>
      </c>
      <c r="B186" s="634"/>
      <c r="C186" s="634"/>
      <c r="D186" s="636" t="s">
        <v>677</v>
      </c>
      <c r="E186" s="372"/>
      <c r="F186" s="372"/>
      <c r="G186" s="635"/>
      <c r="H186" s="635"/>
      <c r="I186" s="635"/>
      <c r="J186" s="635"/>
      <c r="K186" s="635"/>
      <c r="L186" s="635"/>
      <c r="M186" s="635"/>
      <c r="N186" s="635"/>
      <c r="O186" s="635"/>
      <c r="P186" s="635"/>
      <c r="Q186" s="635"/>
      <c r="R186" s="635"/>
      <c r="S186" s="635"/>
      <c r="T186" s="635"/>
      <c r="U186" s="626"/>
      <c r="V186" s="626"/>
      <c r="W186" s="626"/>
      <c r="X186" s="631">
        <v>0</v>
      </c>
      <c r="Y186" s="631">
        <v>0</v>
      </c>
      <c r="Z186" s="631">
        <v>0</v>
      </c>
      <c r="AA186" s="631">
        <v>0</v>
      </c>
      <c r="AB186" s="631">
        <v>0</v>
      </c>
      <c r="AC186" s="631">
        <v>0</v>
      </c>
      <c r="AD186" s="631">
        <v>0</v>
      </c>
      <c r="AE186" s="631">
        <v>0</v>
      </c>
    </row>
    <row r="187" spans="1:31" hidden="1">
      <c r="A187" s="634">
        <v>4</v>
      </c>
      <c r="B187" s="634"/>
      <c r="C187" s="634">
        <v>34180</v>
      </c>
      <c r="D187" s="372" t="s">
        <v>627</v>
      </c>
      <c r="E187" s="372"/>
      <c r="F187" s="640">
        <v>55521</v>
      </c>
      <c r="G187" s="635"/>
      <c r="H187" s="640">
        <v>5973</v>
      </c>
      <c r="I187" s="635"/>
      <c r="J187" s="634">
        <v>-177</v>
      </c>
      <c r="K187" s="372"/>
      <c r="L187" s="634">
        <v>-58</v>
      </c>
      <c r="M187" s="372"/>
      <c r="N187" s="634" t="s">
        <v>628</v>
      </c>
      <c r="O187" s="634"/>
      <c r="P187" s="634" t="s">
        <v>635</v>
      </c>
      <c r="Q187" s="635"/>
      <c r="R187" s="640">
        <v>61258</v>
      </c>
      <c r="S187" s="372"/>
      <c r="T187" s="640">
        <v>58441</v>
      </c>
      <c r="U187" s="626"/>
      <c r="V187" s="626"/>
      <c r="W187" s="626"/>
      <c r="X187" s="641">
        <v>5</v>
      </c>
      <c r="Y187" s="641">
        <v>5</v>
      </c>
      <c r="Z187" s="641">
        <v>5</v>
      </c>
      <c r="AA187" s="641">
        <v>3</v>
      </c>
      <c r="AB187" s="631">
        <v>0</v>
      </c>
      <c r="AC187" s="631">
        <v>0</v>
      </c>
      <c r="AD187" s="641">
        <v>5</v>
      </c>
      <c r="AE187" s="641">
        <v>5</v>
      </c>
    </row>
    <row r="188" spans="1:31" hidden="1">
      <c r="A188" s="634">
        <v>5</v>
      </c>
      <c r="B188" s="634"/>
      <c r="C188" s="634">
        <v>34280</v>
      </c>
      <c r="D188" s="372" t="s">
        <v>666</v>
      </c>
      <c r="E188" s="372"/>
      <c r="F188" s="640">
        <v>3849</v>
      </c>
      <c r="G188" s="635"/>
      <c r="H188" s="634">
        <v>299</v>
      </c>
      <c r="I188" s="635"/>
      <c r="J188" s="634" t="s">
        <v>635</v>
      </c>
      <c r="K188" s="372"/>
      <c r="L188" s="634">
        <v>56</v>
      </c>
      <c r="M188" s="372"/>
      <c r="N188" s="634">
        <v>5</v>
      </c>
      <c r="O188" s="634"/>
      <c r="P188" s="634" t="s">
        <v>635</v>
      </c>
      <c r="Q188" s="635"/>
      <c r="R188" s="640">
        <v>4209</v>
      </c>
      <c r="S188" s="372"/>
      <c r="T188" s="640">
        <v>4047</v>
      </c>
      <c r="U188" s="626"/>
      <c r="V188" s="626"/>
      <c r="W188" s="626"/>
      <c r="X188" s="641">
        <v>5</v>
      </c>
      <c r="Y188" s="641">
        <v>5</v>
      </c>
      <c r="Z188" s="631">
        <v>0</v>
      </c>
      <c r="AA188" s="641">
        <v>5</v>
      </c>
      <c r="AB188" s="641">
        <v>5</v>
      </c>
      <c r="AC188" s="631">
        <v>0</v>
      </c>
      <c r="AD188" s="641">
        <v>5</v>
      </c>
      <c r="AE188" s="641">
        <v>5</v>
      </c>
    </row>
    <row r="189" spans="1:31" hidden="1">
      <c r="A189" s="634">
        <v>6</v>
      </c>
      <c r="B189" s="634"/>
      <c r="C189" s="634">
        <v>34380</v>
      </c>
      <c r="D189" s="372" t="s">
        <v>667</v>
      </c>
      <c r="E189" s="372"/>
      <c r="F189" s="640">
        <v>2318</v>
      </c>
      <c r="G189" s="635"/>
      <c r="H189" s="634">
        <v>402</v>
      </c>
      <c r="I189" s="635"/>
      <c r="J189" s="634" t="s">
        <v>635</v>
      </c>
      <c r="K189" s="372"/>
      <c r="L189" s="634">
        <v>66</v>
      </c>
      <c r="M189" s="372"/>
      <c r="N189" s="634">
        <v>5</v>
      </c>
      <c r="O189" s="634"/>
      <c r="P189" s="634" t="s">
        <v>635</v>
      </c>
      <c r="Q189" s="635"/>
      <c r="R189" s="640">
        <v>2790</v>
      </c>
      <c r="S189" s="372"/>
      <c r="T189" s="640">
        <v>2573</v>
      </c>
      <c r="U189" s="626"/>
      <c r="V189" s="626"/>
      <c r="W189" s="626"/>
      <c r="X189" s="641">
        <v>5</v>
      </c>
      <c r="Y189" s="641">
        <v>5</v>
      </c>
      <c r="Z189" s="631">
        <v>0</v>
      </c>
      <c r="AA189" s="641">
        <v>5</v>
      </c>
      <c r="AB189" s="641">
        <v>5</v>
      </c>
      <c r="AC189" s="631">
        <v>0</v>
      </c>
      <c r="AD189" s="641">
        <v>5</v>
      </c>
      <c r="AE189" s="641">
        <v>5</v>
      </c>
    </row>
    <row r="190" spans="1:31" hidden="1">
      <c r="A190" s="634">
        <v>7</v>
      </c>
      <c r="B190" s="634"/>
      <c r="C190" s="634">
        <v>34580</v>
      </c>
      <c r="D190" s="372" t="s">
        <v>631</v>
      </c>
      <c r="E190" s="372"/>
      <c r="F190" s="640">
        <v>3477</v>
      </c>
      <c r="G190" s="635"/>
      <c r="H190" s="634">
        <v>522</v>
      </c>
      <c r="I190" s="635"/>
      <c r="J190" s="634">
        <v>-18</v>
      </c>
      <c r="K190" s="372"/>
      <c r="L190" s="634" t="s">
        <v>628</v>
      </c>
      <c r="M190" s="372"/>
      <c r="N190" s="634" t="s">
        <v>635</v>
      </c>
      <c r="O190" s="634"/>
      <c r="P190" s="634" t="s">
        <v>635</v>
      </c>
      <c r="Q190" s="635"/>
      <c r="R190" s="640">
        <v>3980</v>
      </c>
      <c r="S190" s="372"/>
      <c r="T190" s="640">
        <v>3734</v>
      </c>
      <c r="U190" s="626"/>
      <c r="V190" s="626"/>
      <c r="W190" s="626"/>
      <c r="X190" s="641">
        <v>5</v>
      </c>
      <c r="Y190" s="641">
        <v>5</v>
      </c>
      <c r="Z190" s="641">
        <v>5</v>
      </c>
      <c r="AA190" s="631">
        <v>0</v>
      </c>
      <c r="AB190" s="631">
        <v>0</v>
      </c>
      <c r="AC190" s="631">
        <v>0</v>
      </c>
      <c r="AD190" s="641">
        <v>5</v>
      </c>
      <c r="AE190" s="641">
        <v>4</v>
      </c>
    </row>
    <row r="191" spans="1:31" hidden="1">
      <c r="A191" s="634">
        <v>8</v>
      </c>
      <c r="B191" s="634"/>
      <c r="C191" s="634">
        <v>34680</v>
      </c>
      <c r="D191" s="372" t="s">
        <v>632</v>
      </c>
      <c r="E191" s="372"/>
      <c r="F191" s="634">
        <v>-57</v>
      </c>
      <c r="G191" s="635"/>
      <c r="H191" s="634">
        <v>55</v>
      </c>
      <c r="I191" s="635"/>
      <c r="J191" s="634" t="s">
        <v>635</v>
      </c>
      <c r="K191" s="372"/>
      <c r="L191" s="634">
        <v>0</v>
      </c>
      <c r="M191" s="372"/>
      <c r="N191" s="634" t="s">
        <v>628</v>
      </c>
      <c r="O191" s="634"/>
      <c r="P191" s="634" t="s">
        <v>635</v>
      </c>
      <c r="Q191" s="635"/>
      <c r="R191" s="634">
        <v>-2</v>
      </c>
      <c r="S191" s="372"/>
      <c r="T191" s="634">
        <v>-32</v>
      </c>
      <c r="U191" s="626"/>
      <c r="V191" s="626"/>
      <c r="W191" s="626"/>
      <c r="X191" s="641">
        <v>5</v>
      </c>
      <c r="Y191" s="641">
        <v>5</v>
      </c>
      <c r="Z191" s="631">
        <v>0</v>
      </c>
      <c r="AA191" s="641">
        <v>5</v>
      </c>
      <c r="AB191" s="631">
        <v>0</v>
      </c>
      <c r="AC191" s="631">
        <v>0</v>
      </c>
      <c r="AD191" s="641">
        <v>14</v>
      </c>
      <c r="AE191" s="641">
        <v>5</v>
      </c>
    </row>
    <row r="192" spans="1:31" hidden="1">
      <c r="A192" s="634">
        <v>9</v>
      </c>
      <c r="B192" s="639"/>
      <c r="C192" s="634"/>
      <c r="D192" s="372" t="s">
        <v>678</v>
      </c>
      <c r="E192" s="372"/>
      <c r="F192" s="642">
        <v>65108</v>
      </c>
      <c r="G192" s="372"/>
      <c r="H192" s="642">
        <v>7250</v>
      </c>
      <c r="I192" s="635"/>
      <c r="J192" s="643">
        <v>-196</v>
      </c>
      <c r="K192" s="635"/>
      <c r="L192" s="643">
        <v>63</v>
      </c>
      <c r="M192" s="635"/>
      <c r="N192" s="643">
        <v>10</v>
      </c>
      <c r="O192" s="635"/>
      <c r="P192" s="643" t="s">
        <v>635</v>
      </c>
      <c r="Q192" s="635"/>
      <c r="R192" s="642">
        <v>72236</v>
      </c>
      <c r="S192" s="635"/>
      <c r="T192" s="642">
        <v>68763</v>
      </c>
      <c r="U192" s="626"/>
      <c r="V192" s="626"/>
      <c r="W192" s="626"/>
      <c r="X192" s="641">
        <v>4</v>
      </c>
      <c r="Y192" s="641">
        <v>5</v>
      </c>
      <c r="Z192" s="641">
        <v>5</v>
      </c>
      <c r="AA192" s="641">
        <v>5</v>
      </c>
      <c r="AB192" s="641">
        <v>5</v>
      </c>
      <c r="AC192" s="631">
        <v>0</v>
      </c>
      <c r="AD192" s="641">
        <v>5</v>
      </c>
      <c r="AE192" s="641">
        <v>5</v>
      </c>
    </row>
    <row r="193" spans="1:31" hidden="1">
      <c r="A193" s="634">
        <v>10</v>
      </c>
      <c r="B193" s="639"/>
      <c r="C193" s="372"/>
      <c r="D193" s="372"/>
      <c r="E193" s="372"/>
      <c r="F193" s="372"/>
      <c r="G193" s="372"/>
      <c r="H193" s="372"/>
      <c r="I193" s="372"/>
      <c r="J193" s="372"/>
      <c r="K193" s="372"/>
      <c r="L193" s="372"/>
      <c r="M193" s="372"/>
      <c r="N193" s="372"/>
      <c r="O193" s="372"/>
      <c r="P193" s="372"/>
      <c r="Q193" s="635"/>
      <c r="R193" s="372"/>
      <c r="S193" s="372"/>
      <c r="T193" s="372"/>
      <c r="U193" s="626"/>
      <c r="V193" s="626"/>
      <c r="W193" s="626"/>
      <c r="X193" s="631">
        <v>0</v>
      </c>
      <c r="Y193" s="631">
        <v>0</v>
      </c>
      <c r="Z193" s="631">
        <v>0</v>
      </c>
      <c r="AA193" s="631">
        <v>0</v>
      </c>
      <c r="AB193" s="631">
        <v>0</v>
      </c>
      <c r="AC193" s="631">
        <v>0</v>
      </c>
      <c r="AD193" s="631">
        <v>0</v>
      </c>
      <c r="AE193" s="631">
        <v>0</v>
      </c>
    </row>
    <row r="194" spans="1:31" hidden="1">
      <c r="A194" s="634">
        <v>11</v>
      </c>
      <c r="B194" s="639"/>
      <c r="C194" s="372"/>
      <c r="D194" s="372" t="s">
        <v>679</v>
      </c>
      <c r="E194" s="372"/>
      <c r="F194" s="372"/>
      <c r="G194" s="635"/>
      <c r="H194" s="635"/>
      <c r="I194" s="635"/>
      <c r="J194" s="635"/>
      <c r="K194" s="635"/>
      <c r="L194" s="635"/>
      <c r="M194" s="635"/>
      <c r="N194" s="635"/>
      <c r="O194" s="635"/>
      <c r="P194" s="635"/>
      <c r="Q194" s="635"/>
      <c r="R194" s="635"/>
      <c r="S194" s="635"/>
      <c r="T194" s="635"/>
      <c r="U194" s="626"/>
      <c r="V194" s="626"/>
      <c r="W194" s="626"/>
      <c r="X194" s="631">
        <v>0</v>
      </c>
      <c r="Y194" s="631">
        <v>0</v>
      </c>
      <c r="Z194" s="631">
        <v>0</v>
      </c>
      <c r="AA194" s="631">
        <v>0</v>
      </c>
      <c r="AB194" s="631">
        <v>0</v>
      </c>
      <c r="AC194" s="631">
        <v>0</v>
      </c>
      <c r="AD194" s="631">
        <v>0</v>
      </c>
      <c r="AE194" s="631">
        <v>0</v>
      </c>
    </row>
    <row r="195" spans="1:31" hidden="1">
      <c r="A195" s="634">
        <v>12</v>
      </c>
      <c r="B195" s="639"/>
      <c r="C195" s="634">
        <v>34181</v>
      </c>
      <c r="D195" s="372" t="s">
        <v>627</v>
      </c>
      <c r="E195" s="372"/>
      <c r="F195" s="640">
        <v>25085</v>
      </c>
      <c r="G195" s="635"/>
      <c r="H195" s="640">
        <v>1966</v>
      </c>
      <c r="I195" s="635"/>
      <c r="J195" s="634">
        <v>-106</v>
      </c>
      <c r="K195" s="372"/>
      <c r="L195" s="634">
        <v>-338</v>
      </c>
      <c r="M195" s="372"/>
      <c r="N195" s="634" t="s">
        <v>628</v>
      </c>
      <c r="O195" s="634"/>
      <c r="P195" s="634" t="s">
        <v>635</v>
      </c>
      <c r="Q195" s="635"/>
      <c r="R195" s="640">
        <v>26607</v>
      </c>
      <c r="S195" s="372"/>
      <c r="T195" s="640">
        <v>25750</v>
      </c>
      <c r="U195" s="626"/>
      <c r="V195" s="626"/>
      <c r="W195" s="626"/>
      <c r="X195" s="641">
        <v>5</v>
      </c>
      <c r="Y195" s="641">
        <v>5</v>
      </c>
      <c r="Z195" s="641">
        <v>3</v>
      </c>
      <c r="AA195" s="641">
        <v>5</v>
      </c>
      <c r="AB195" s="631">
        <v>0</v>
      </c>
      <c r="AC195" s="631">
        <v>0</v>
      </c>
      <c r="AD195" s="641">
        <v>5</v>
      </c>
      <c r="AE195" s="641">
        <v>5</v>
      </c>
    </row>
    <row r="196" spans="1:31" hidden="1">
      <c r="A196" s="634">
        <v>13</v>
      </c>
      <c r="B196" s="639"/>
      <c r="C196" s="634">
        <v>34281</v>
      </c>
      <c r="D196" s="372" t="s">
        <v>666</v>
      </c>
      <c r="E196" s="372"/>
      <c r="F196" s="640">
        <v>133914</v>
      </c>
      <c r="G196" s="635"/>
      <c r="H196" s="640">
        <v>10084</v>
      </c>
      <c r="I196" s="635"/>
      <c r="J196" s="634">
        <v>-316</v>
      </c>
      <c r="K196" s="372"/>
      <c r="L196" s="634">
        <v>377</v>
      </c>
      <c r="M196" s="372"/>
      <c r="N196" s="634">
        <v>99</v>
      </c>
      <c r="O196" s="634"/>
      <c r="P196" s="634" t="s">
        <v>635</v>
      </c>
      <c r="Q196" s="635"/>
      <c r="R196" s="640">
        <v>144159</v>
      </c>
      <c r="S196" s="372"/>
      <c r="T196" s="640">
        <v>138921</v>
      </c>
      <c r="U196" s="626"/>
      <c r="V196" s="626"/>
      <c r="W196" s="626"/>
      <c r="X196" s="641">
        <v>5</v>
      </c>
      <c r="Y196" s="641">
        <v>5</v>
      </c>
      <c r="Z196" s="641">
        <v>5</v>
      </c>
      <c r="AA196" s="641">
        <v>5</v>
      </c>
      <c r="AB196" s="641">
        <v>5</v>
      </c>
      <c r="AC196" s="631">
        <v>0</v>
      </c>
      <c r="AD196" s="641">
        <v>5</v>
      </c>
      <c r="AE196" s="641">
        <v>5</v>
      </c>
    </row>
    <row r="197" spans="1:31" hidden="1">
      <c r="A197" s="634">
        <v>14</v>
      </c>
      <c r="B197" s="639"/>
      <c r="C197" s="634">
        <v>34381</v>
      </c>
      <c r="D197" s="372" t="s">
        <v>667</v>
      </c>
      <c r="E197" s="372"/>
      <c r="F197" s="640">
        <v>86113</v>
      </c>
      <c r="G197" s="635"/>
      <c r="H197" s="640">
        <v>7362</v>
      </c>
      <c r="I197" s="635"/>
      <c r="J197" s="640">
        <v>-7803</v>
      </c>
      <c r="K197" s="372"/>
      <c r="L197" s="634">
        <v>-527</v>
      </c>
      <c r="M197" s="372"/>
      <c r="N197" s="634">
        <v>65</v>
      </c>
      <c r="O197" s="634"/>
      <c r="P197" s="634" t="s">
        <v>635</v>
      </c>
      <c r="Q197" s="635"/>
      <c r="R197" s="640">
        <v>85209</v>
      </c>
      <c r="S197" s="372"/>
      <c r="T197" s="640">
        <v>83372</v>
      </c>
      <c r="U197" s="626"/>
      <c r="V197" s="626"/>
      <c r="W197" s="626"/>
      <c r="X197" s="641">
        <v>4</v>
      </c>
      <c r="Y197" s="641">
        <v>5</v>
      </c>
      <c r="Z197" s="641">
        <v>5</v>
      </c>
      <c r="AA197" s="641">
        <v>5</v>
      </c>
      <c r="AB197" s="641">
        <v>5</v>
      </c>
      <c r="AC197" s="631">
        <v>0</v>
      </c>
      <c r="AD197" s="641">
        <v>5</v>
      </c>
      <c r="AE197" s="641">
        <v>5</v>
      </c>
    </row>
    <row r="198" spans="1:31" hidden="1">
      <c r="A198" s="634">
        <v>15</v>
      </c>
      <c r="B198" s="639"/>
      <c r="C198" s="634">
        <v>34581</v>
      </c>
      <c r="D198" s="372" t="s">
        <v>631</v>
      </c>
      <c r="E198" s="372"/>
      <c r="F198" s="640">
        <v>41714</v>
      </c>
      <c r="G198" s="635"/>
      <c r="H198" s="640">
        <v>1999</v>
      </c>
      <c r="I198" s="635"/>
      <c r="J198" s="634">
        <v>-109</v>
      </c>
      <c r="K198" s="372"/>
      <c r="L198" s="634" t="s">
        <v>628</v>
      </c>
      <c r="M198" s="372"/>
      <c r="N198" s="634" t="s">
        <v>635</v>
      </c>
      <c r="O198" s="634"/>
      <c r="P198" s="634" t="s">
        <v>635</v>
      </c>
      <c r="Q198" s="635"/>
      <c r="R198" s="640">
        <v>43605</v>
      </c>
      <c r="S198" s="372"/>
      <c r="T198" s="640">
        <v>42688</v>
      </c>
      <c r="U198" s="626"/>
      <c r="V198" s="626"/>
      <c r="W198" s="626"/>
      <c r="X198" s="641">
        <v>5</v>
      </c>
      <c r="Y198" s="641">
        <v>4</v>
      </c>
      <c r="Z198" s="641">
        <v>5</v>
      </c>
      <c r="AA198" s="631">
        <v>0</v>
      </c>
      <c r="AB198" s="631">
        <v>0</v>
      </c>
      <c r="AC198" s="631">
        <v>0</v>
      </c>
      <c r="AD198" s="641">
        <v>5</v>
      </c>
      <c r="AE198" s="641">
        <v>5</v>
      </c>
    </row>
    <row r="199" spans="1:31" hidden="1">
      <c r="A199" s="634">
        <v>16</v>
      </c>
      <c r="B199" s="639"/>
      <c r="C199" s="634">
        <v>34681</v>
      </c>
      <c r="D199" s="372" t="s">
        <v>632</v>
      </c>
      <c r="E199" s="372"/>
      <c r="F199" s="640">
        <v>2619</v>
      </c>
      <c r="G199" s="635"/>
      <c r="H199" s="634">
        <v>269</v>
      </c>
      <c r="I199" s="635"/>
      <c r="J199" s="634">
        <v>-203</v>
      </c>
      <c r="K199" s="372"/>
      <c r="L199" s="634">
        <v>-31</v>
      </c>
      <c r="M199" s="372"/>
      <c r="N199" s="634" t="s">
        <v>628</v>
      </c>
      <c r="O199" s="634"/>
      <c r="P199" s="634" t="s">
        <v>635</v>
      </c>
      <c r="Q199" s="635"/>
      <c r="R199" s="640">
        <v>2654</v>
      </c>
      <c r="S199" s="372"/>
      <c r="T199" s="640">
        <v>2664</v>
      </c>
      <c r="U199" s="626"/>
      <c r="V199" s="626"/>
      <c r="W199" s="626"/>
      <c r="X199" s="641">
        <v>4</v>
      </c>
      <c r="Y199" s="641">
        <v>5</v>
      </c>
      <c r="Z199" s="641">
        <v>5</v>
      </c>
      <c r="AA199" s="641">
        <v>4</v>
      </c>
      <c r="AB199" s="631">
        <v>0</v>
      </c>
      <c r="AC199" s="631">
        <v>0</v>
      </c>
      <c r="AD199" s="641">
        <v>5</v>
      </c>
      <c r="AE199" s="641">
        <v>5</v>
      </c>
    </row>
    <row r="200" spans="1:31" hidden="1">
      <c r="A200" s="634">
        <v>17</v>
      </c>
      <c r="B200" s="639"/>
      <c r="C200" s="634"/>
      <c r="D200" s="636" t="s">
        <v>680</v>
      </c>
      <c r="E200" s="372"/>
      <c r="F200" s="642">
        <v>289445</v>
      </c>
      <c r="G200" s="372"/>
      <c r="H200" s="642">
        <v>21681</v>
      </c>
      <c r="I200" s="635"/>
      <c r="J200" s="642">
        <v>-8537</v>
      </c>
      <c r="K200" s="635"/>
      <c r="L200" s="643">
        <v>-519</v>
      </c>
      <c r="M200" s="635"/>
      <c r="N200" s="643">
        <v>164</v>
      </c>
      <c r="O200" s="635"/>
      <c r="P200" s="643" t="s">
        <v>635</v>
      </c>
      <c r="Q200" s="635"/>
      <c r="R200" s="642">
        <v>302234</v>
      </c>
      <c r="S200" s="635"/>
      <c r="T200" s="642">
        <v>293396</v>
      </c>
      <c r="U200" s="626"/>
      <c r="V200" s="626"/>
      <c r="W200" s="626"/>
      <c r="X200" s="641">
        <v>5</v>
      </c>
      <c r="Y200" s="641">
        <v>5</v>
      </c>
      <c r="Z200" s="641">
        <v>5</v>
      </c>
      <c r="AA200" s="641">
        <v>5</v>
      </c>
      <c r="AB200" s="641">
        <v>4</v>
      </c>
      <c r="AC200" s="631">
        <v>0</v>
      </c>
      <c r="AD200" s="641">
        <v>5</v>
      </c>
      <c r="AE200" s="641">
        <v>5</v>
      </c>
    </row>
    <row r="201" spans="1:31" hidden="1">
      <c r="A201" s="634">
        <v>18</v>
      </c>
      <c r="B201" s="639"/>
      <c r="C201" s="372"/>
      <c r="D201" s="372"/>
      <c r="E201" s="372"/>
      <c r="F201" s="372"/>
      <c r="G201" s="372"/>
      <c r="H201" s="372"/>
      <c r="I201" s="372"/>
      <c r="J201" s="372"/>
      <c r="K201" s="372"/>
      <c r="L201" s="372"/>
      <c r="M201" s="372"/>
      <c r="N201" s="372"/>
      <c r="O201" s="372"/>
      <c r="P201" s="372"/>
      <c r="Q201" s="635"/>
      <c r="R201" s="372"/>
      <c r="S201" s="372"/>
      <c r="T201" s="372"/>
      <c r="U201" s="626"/>
      <c r="V201" s="626"/>
      <c r="W201" s="626"/>
      <c r="X201" s="631">
        <v>0</v>
      </c>
      <c r="Y201" s="631">
        <v>0</v>
      </c>
      <c r="Z201" s="631">
        <v>0</v>
      </c>
      <c r="AA201" s="631">
        <v>0</v>
      </c>
      <c r="AB201" s="631">
        <v>0</v>
      </c>
      <c r="AC201" s="631">
        <v>0</v>
      </c>
      <c r="AD201" s="631">
        <v>0</v>
      </c>
      <c r="AE201" s="631">
        <v>0</v>
      </c>
    </row>
    <row r="202" spans="1:31" hidden="1">
      <c r="A202" s="634">
        <v>19</v>
      </c>
      <c r="B202" s="639"/>
      <c r="C202" s="634"/>
      <c r="D202" s="636" t="s">
        <v>681</v>
      </c>
      <c r="E202" s="372"/>
      <c r="F202" s="372"/>
      <c r="G202" s="372"/>
      <c r="H202" s="372"/>
      <c r="I202" s="635"/>
      <c r="J202" s="372"/>
      <c r="K202" s="635"/>
      <c r="L202" s="372"/>
      <c r="M202" s="635"/>
      <c r="N202" s="372"/>
      <c r="O202" s="372"/>
      <c r="P202" s="372"/>
      <c r="Q202" s="635"/>
      <c r="R202" s="372"/>
      <c r="S202" s="635"/>
      <c r="T202" s="372"/>
      <c r="U202" s="626"/>
      <c r="V202" s="626"/>
      <c r="W202" s="626"/>
      <c r="X202" s="631">
        <v>0</v>
      </c>
      <c r="Y202" s="631">
        <v>0</v>
      </c>
      <c r="Z202" s="631">
        <v>0</v>
      </c>
      <c r="AA202" s="631">
        <v>0</v>
      </c>
      <c r="AB202" s="631">
        <v>0</v>
      </c>
      <c r="AC202" s="631">
        <v>0</v>
      </c>
      <c r="AD202" s="631">
        <v>0</v>
      </c>
      <c r="AE202" s="631">
        <v>0</v>
      </c>
    </row>
    <row r="203" spans="1:31" hidden="1">
      <c r="A203" s="634">
        <v>20</v>
      </c>
      <c r="B203" s="639"/>
      <c r="C203" s="634">
        <v>34182</v>
      </c>
      <c r="D203" s="372" t="s">
        <v>627</v>
      </c>
      <c r="E203" s="372"/>
      <c r="F203" s="640">
        <v>1211</v>
      </c>
      <c r="G203" s="635"/>
      <c r="H203" s="634">
        <v>61</v>
      </c>
      <c r="I203" s="635"/>
      <c r="J203" s="634" t="s">
        <v>635</v>
      </c>
      <c r="K203" s="372"/>
      <c r="L203" s="634">
        <v>-1</v>
      </c>
      <c r="M203" s="372"/>
      <c r="N203" s="634" t="s">
        <v>628</v>
      </c>
      <c r="O203" s="634"/>
      <c r="P203" s="634" t="s">
        <v>635</v>
      </c>
      <c r="Q203" s="635"/>
      <c r="R203" s="640">
        <v>1271</v>
      </c>
      <c r="S203" s="372"/>
      <c r="T203" s="640">
        <v>1241</v>
      </c>
      <c r="U203" s="626"/>
      <c r="V203" s="626"/>
      <c r="W203" s="626"/>
      <c r="X203" s="641">
        <v>5</v>
      </c>
      <c r="Y203" s="641">
        <v>5</v>
      </c>
      <c r="Z203" s="631">
        <v>0</v>
      </c>
      <c r="AA203" s="641">
        <v>5</v>
      </c>
      <c r="AB203" s="631">
        <v>0</v>
      </c>
      <c r="AC203" s="631">
        <v>0</v>
      </c>
      <c r="AD203" s="641">
        <v>5</v>
      </c>
      <c r="AE203" s="641">
        <v>4</v>
      </c>
    </row>
    <row r="204" spans="1:31" hidden="1">
      <c r="A204" s="634">
        <v>21</v>
      </c>
      <c r="B204" s="639"/>
      <c r="C204" s="634">
        <v>34282</v>
      </c>
      <c r="D204" s="372" t="s">
        <v>666</v>
      </c>
      <c r="E204" s="372"/>
      <c r="F204" s="634">
        <v>644</v>
      </c>
      <c r="G204" s="635"/>
      <c r="H204" s="634">
        <v>94</v>
      </c>
      <c r="I204" s="635"/>
      <c r="J204" s="634" t="s">
        <v>635</v>
      </c>
      <c r="K204" s="372"/>
      <c r="L204" s="634">
        <v>-1</v>
      </c>
      <c r="M204" s="372"/>
      <c r="N204" s="634">
        <v>1</v>
      </c>
      <c r="O204" s="634"/>
      <c r="P204" s="634" t="s">
        <v>635</v>
      </c>
      <c r="Q204" s="635"/>
      <c r="R204" s="634">
        <v>739</v>
      </c>
      <c r="S204" s="372"/>
      <c r="T204" s="634">
        <v>691</v>
      </c>
      <c r="U204" s="626"/>
      <c r="V204" s="626"/>
      <c r="W204" s="626"/>
      <c r="X204" s="641">
        <v>5</v>
      </c>
      <c r="Y204" s="641">
        <v>5</v>
      </c>
      <c r="Z204" s="631">
        <v>0</v>
      </c>
      <c r="AA204" s="641">
        <v>5</v>
      </c>
      <c r="AB204" s="641">
        <v>5</v>
      </c>
      <c r="AC204" s="631">
        <v>0</v>
      </c>
      <c r="AD204" s="641">
        <v>5</v>
      </c>
      <c r="AE204" s="641">
        <v>5</v>
      </c>
    </row>
    <row r="205" spans="1:31" hidden="1">
      <c r="A205" s="634">
        <v>22</v>
      </c>
      <c r="B205" s="639"/>
      <c r="C205" s="634">
        <v>34382</v>
      </c>
      <c r="D205" s="372" t="s">
        <v>667</v>
      </c>
      <c r="E205" s="372"/>
      <c r="F205" s="640">
        <v>7406</v>
      </c>
      <c r="G205" s="635"/>
      <c r="H205" s="640">
        <v>1759</v>
      </c>
      <c r="I205" s="635"/>
      <c r="J205" s="634">
        <v>-141</v>
      </c>
      <c r="K205" s="372"/>
      <c r="L205" s="634">
        <v>-13</v>
      </c>
      <c r="M205" s="372"/>
      <c r="N205" s="634">
        <v>15</v>
      </c>
      <c r="O205" s="634"/>
      <c r="P205" s="634" t="s">
        <v>635</v>
      </c>
      <c r="Q205" s="635"/>
      <c r="R205" s="640">
        <v>9026</v>
      </c>
      <c r="S205" s="372"/>
      <c r="T205" s="640">
        <v>8267</v>
      </c>
      <c r="U205" s="626"/>
      <c r="V205" s="626"/>
      <c r="W205" s="626"/>
      <c r="X205" s="641">
        <v>5</v>
      </c>
      <c r="Y205" s="641">
        <v>5</v>
      </c>
      <c r="Z205" s="641">
        <v>5</v>
      </c>
      <c r="AA205" s="641">
        <v>5</v>
      </c>
      <c r="AB205" s="641">
        <v>5</v>
      </c>
      <c r="AC205" s="631">
        <v>0</v>
      </c>
      <c r="AD205" s="641">
        <v>4</v>
      </c>
      <c r="AE205" s="641">
        <v>5</v>
      </c>
    </row>
    <row r="206" spans="1:31" hidden="1">
      <c r="A206" s="634">
        <v>23</v>
      </c>
      <c r="B206" s="639"/>
      <c r="C206" s="634">
        <v>34582</v>
      </c>
      <c r="D206" s="372" t="s">
        <v>631</v>
      </c>
      <c r="E206" s="372"/>
      <c r="F206" s="640">
        <v>9921</v>
      </c>
      <c r="G206" s="635"/>
      <c r="H206" s="634">
        <v>653</v>
      </c>
      <c r="I206" s="635"/>
      <c r="J206" s="634" t="s">
        <v>635</v>
      </c>
      <c r="K206" s="372"/>
      <c r="L206" s="634" t="s">
        <v>635</v>
      </c>
      <c r="M206" s="372"/>
      <c r="N206" s="634" t="s">
        <v>635</v>
      </c>
      <c r="O206" s="634"/>
      <c r="P206" s="634" t="s">
        <v>635</v>
      </c>
      <c r="Q206" s="635"/>
      <c r="R206" s="640">
        <v>10573</v>
      </c>
      <c r="S206" s="372"/>
      <c r="T206" s="640">
        <v>10247</v>
      </c>
      <c r="U206" s="626"/>
      <c r="V206" s="626"/>
      <c r="W206" s="626"/>
      <c r="X206" s="641">
        <v>5</v>
      </c>
      <c r="Y206" s="641">
        <v>5</v>
      </c>
      <c r="Z206" s="631">
        <v>0</v>
      </c>
      <c r="AA206" s="631">
        <v>0</v>
      </c>
      <c r="AB206" s="631">
        <v>0</v>
      </c>
      <c r="AC206" s="631">
        <v>0</v>
      </c>
      <c r="AD206" s="641">
        <v>5</v>
      </c>
      <c r="AE206" s="641">
        <v>5</v>
      </c>
    </row>
    <row r="207" spans="1:31" hidden="1">
      <c r="A207" s="634">
        <v>24</v>
      </c>
      <c r="B207" s="639"/>
      <c r="C207" s="634">
        <v>34682</v>
      </c>
      <c r="D207" s="372" t="s">
        <v>632</v>
      </c>
      <c r="E207" s="372"/>
      <c r="F207" s="634">
        <v>133</v>
      </c>
      <c r="G207" s="635"/>
      <c r="H207" s="634">
        <v>4</v>
      </c>
      <c r="I207" s="635"/>
      <c r="J207" s="634" t="s">
        <v>635</v>
      </c>
      <c r="K207" s="372"/>
      <c r="L207" s="634" t="s">
        <v>635</v>
      </c>
      <c r="M207" s="372"/>
      <c r="N207" s="634" t="s">
        <v>635</v>
      </c>
      <c r="O207" s="634"/>
      <c r="P207" s="634" t="s">
        <v>635</v>
      </c>
      <c r="Q207" s="635"/>
      <c r="R207" s="634">
        <v>137</v>
      </c>
      <c r="S207" s="372"/>
      <c r="T207" s="634">
        <v>135</v>
      </c>
      <c r="U207" s="626"/>
      <c r="V207" s="626"/>
      <c r="W207" s="626"/>
      <c r="X207" s="641">
        <v>5</v>
      </c>
      <c r="Y207" s="641">
        <v>5</v>
      </c>
      <c r="Z207" s="631">
        <v>0</v>
      </c>
      <c r="AA207" s="631">
        <v>0</v>
      </c>
      <c r="AB207" s="631">
        <v>0</v>
      </c>
      <c r="AC207" s="631">
        <v>0</v>
      </c>
      <c r="AD207" s="641">
        <v>5</v>
      </c>
      <c r="AE207" s="641">
        <v>5</v>
      </c>
    </row>
    <row r="208" spans="1:31" hidden="1">
      <c r="A208" s="634">
        <v>25</v>
      </c>
      <c r="B208" s="639"/>
      <c r="C208" s="634"/>
      <c r="D208" s="636" t="s">
        <v>682</v>
      </c>
      <c r="E208" s="372"/>
      <c r="F208" s="642">
        <v>19315</v>
      </c>
      <c r="G208" s="372"/>
      <c r="H208" s="642">
        <v>2571</v>
      </c>
      <c r="I208" s="635"/>
      <c r="J208" s="643">
        <v>-141</v>
      </c>
      <c r="K208" s="635"/>
      <c r="L208" s="643">
        <v>-15</v>
      </c>
      <c r="M208" s="635"/>
      <c r="N208" s="643">
        <v>15</v>
      </c>
      <c r="O208" s="635"/>
      <c r="P208" s="643" t="s">
        <v>635</v>
      </c>
      <c r="Q208" s="635"/>
      <c r="R208" s="642">
        <v>21746</v>
      </c>
      <c r="S208" s="635"/>
      <c r="T208" s="642">
        <v>20580</v>
      </c>
      <c r="U208" s="626"/>
      <c r="V208" s="626"/>
      <c r="W208" s="626"/>
      <c r="X208" s="641">
        <v>5</v>
      </c>
      <c r="Y208" s="641">
        <v>5</v>
      </c>
      <c r="Z208" s="641">
        <v>5</v>
      </c>
      <c r="AA208" s="641">
        <v>5</v>
      </c>
      <c r="AB208" s="641">
        <v>5</v>
      </c>
      <c r="AC208" s="631">
        <v>0</v>
      </c>
      <c r="AD208" s="641">
        <v>5</v>
      </c>
      <c r="AE208" s="641">
        <v>5</v>
      </c>
    </row>
    <row r="209" spans="1:31" hidden="1">
      <c r="A209" s="634">
        <v>26</v>
      </c>
      <c r="B209" s="639"/>
      <c r="C209" s="372"/>
      <c r="D209" s="372"/>
      <c r="E209" s="372"/>
      <c r="F209" s="372"/>
      <c r="G209" s="372"/>
      <c r="H209" s="372"/>
      <c r="I209" s="372"/>
      <c r="J209" s="372"/>
      <c r="K209" s="372"/>
      <c r="L209" s="372"/>
      <c r="M209" s="372"/>
      <c r="N209" s="372"/>
      <c r="O209" s="372"/>
      <c r="P209" s="372"/>
      <c r="Q209" s="635"/>
      <c r="R209" s="372"/>
      <c r="S209" s="372"/>
      <c r="T209" s="372"/>
      <c r="U209" s="626"/>
      <c r="V209" s="626"/>
      <c r="W209" s="626"/>
      <c r="X209" s="631">
        <v>0</v>
      </c>
      <c r="Y209" s="631">
        <v>0</v>
      </c>
      <c r="Z209" s="631">
        <v>0</v>
      </c>
      <c r="AA209" s="631">
        <v>0</v>
      </c>
      <c r="AB209" s="631">
        <v>0</v>
      </c>
      <c r="AC209" s="631">
        <v>0</v>
      </c>
      <c r="AD209" s="631">
        <v>0</v>
      </c>
      <c r="AE209" s="631">
        <v>0</v>
      </c>
    </row>
    <row r="210" spans="1:31" hidden="1">
      <c r="A210" s="634">
        <v>27</v>
      </c>
      <c r="B210" s="639"/>
      <c r="C210" s="634"/>
      <c r="D210" s="636" t="s">
        <v>683</v>
      </c>
      <c r="E210" s="372"/>
      <c r="F210" s="372"/>
      <c r="G210" s="372"/>
      <c r="H210" s="372"/>
      <c r="I210" s="635"/>
      <c r="J210" s="635"/>
      <c r="K210" s="635"/>
      <c r="L210" s="635"/>
      <c r="M210" s="635"/>
      <c r="N210" s="635"/>
      <c r="O210" s="635"/>
      <c r="P210" s="635"/>
      <c r="Q210" s="635"/>
      <c r="R210" s="635"/>
      <c r="S210" s="635"/>
      <c r="T210" s="635"/>
      <c r="U210" s="626"/>
      <c r="V210" s="626"/>
      <c r="W210" s="626"/>
      <c r="X210" s="631">
        <v>0</v>
      </c>
      <c r="Y210" s="631">
        <v>0</v>
      </c>
      <c r="Z210" s="631">
        <v>0</v>
      </c>
      <c r="AA210" s="631">
        <v>0</v>
      </c>
      <c r="AB210" s="631">
        <v>0</v>
      </c>
      <c r="AC210" s="631">
        <v>0</v>
      </c>
      <c r="AD210" s="631">
        <v>0</v>
      </c>
      <c r="AE210" s="631">
        <v>0</v>
      </c>
    </row>
    <row r="211" spans="1:31" hidden="1">
      <c r="A211" s="634">
        <v>28</v>
      </c>
      <c r="B211" s="639"/>
      <c r="C211" s="634">
        <v>34183</v>
      </c>
      <c r="D211" s="372" t="s">
        <v>627</v>
      </c>
      <c r="E211" s="372"/>
      <c r="F211" s="640">
        <v>5444</v>
      </c>
      <c r="G211" s="635"/>
      <c r="H211" s="634">
        <v>278</v>
      </c>
      <c r="I211" s="635"/>
      <c r="J211" s="634" t="s">
        <v>635</v>
      </c>
      <c r="K211" s="372"/>
      <c r="L211" s="634" t="s">
        <v>635</v>
      </c>
      <c r="M211" s="372"/>
      <c r="N211" s="634" t="s">
        <v>635</v>
      </c>
      <c r="O211" s="634"/>
      <c r="P211" s="634" t="s">
        <v>635</v>
      </c>
      <c r="Q211" s="635"/>
      <c r="R211" s="640">
        <v>5723</v>
      </c>
      <c r="S211" s="372"/>
      <c r="T211" s="640">
        <v>5583</v>
      </c>
      <c r="U211" s="626"/>
      <c r="V211" s="626"/>
      <c r="W211" s="626"/>
      <c r="X211" s="641">
        <v>5</v>
      </c>
      <c r="Y211" s="641">
        <v>5</v>
      </c>
      <c r="Z211" s="631">
        <v>0</v>
      </c>
      <c r="AA211" s="631">
        <v>0</v>
      </c>
      <c r="AB211" s="631">
        <v>0</v>
      </c>
      <c r="AC211" s="631">
        <v>0</v>
      </c>
      <c r="AD211" s="641">
        <v>5</v>
      </c>
      <c r="AE211" s="641">
        <v>5</v>
      </c>
    </row>
    <row r="212" spans="1:31" hidden="1">
      <c r="A212" s="634">
        <v>29</v>
      </c>
      <c r="B212" s="639"/>
      <c r="C212" s="634">
        <v>34283</v>
      </c>
      <c r="D212" s="372" t="s">
        <v>666</v>
      </c>
      <c r="E212" s="372"/>
      <c r="F212" s="634">
        <v>567</v>
      </c>
      <c r="G212" s="635"/>
      <c r="H212" s="634">
        <v>47</v>
      </c>
      <c r="I212" s="635"/>
      <c r="J212" s="634" t="s">
        <v>635</v>
      </c>
      <c r="K212" s="372"/>
      <c r="L212" s="634">
        <v>-2</v>
      </c>
      <c r="M212" s="372"/>
      <c r="N212" s="634">
        <v>1</v>
      </c>
      <c r="O212" s="634"/>
      <c r="P212" s="634" t="s">
        <v>635</v>
      </c>
      <c r="Q212" s="635"/>
      <c r="R212" s="634">
        <v>612</v>
      </c>
      <c r="S212" s="372"/>
      <c r="T212" s="634">
        <v>589</v>
      </c>
      <c r="U212" s="626"/>
      <c r="V212" s="626"/>
      <c r="W212" s="626"/>
      <c r="X212" s="641">
        <v>5</v>
      </c>
      <c r="Y212" s="641">
        <v>5</v>
      </c>
      <c r="Z212" s="631">
        <v>0</v>
      </c>
      <c r="AA212" s="641">
        <v>5</v>
      </c>
      <c r="AB212" s="641">
        <v>5</v>
      </c>
      <c r="AC212" s="631">
        <v>0</v>
      </c>
      <c r="AD212" s="641">
        <v>5</v>
      </c>
      <c r="AE212" s="641">
        <v>5</v>
      </c>
    </row>
    <row r="213" spans="1:31" hidden="1">
      <c r="A213" s="634">
        <v>30</v>
      </c>
      <c r="B213" s="639"/>
      <c r="C213" s="634">
        <v>34383</v>
      </c>
      <c r="D213" s="372" t="s">
        <v>667</v>
      </c>
      <c r="E213" s="372"/>
      <c r="F213" s="640">
        <v>20733</v>
      </c>
      <c r="G213" s="635"/>
      <c r="H213" s="640">
        <v>1380</v>
      </c>
      <c r="I213" s="635"/>
      <c r="J213" s="634" t="s">
        <v>635</v>
      </c>
      <c r="K213" s="372"/>
      <c r="L213" s="634">
        <v>-50</v>
      </c>
      <c r="M213" s="372"/>
      <c r="N213" s="634">
        <v>15</v>
      </c>
      <c r="O213" s="634"/>
      <c r="P213" s="634" t="s">
        <v>635</v>
      </c>
      <c r="Q213" s="635"/>
      <c r="R213" s="640">
        <v>22079</v>
      </c>
      <c r="S213" s="372"/>
      <c r="T213" s="640">
        <v>21399</v>
      </c>
      <c r="U213" s="626"/>
      <c r="V213" s="626"/>
      <c r="W213" s="626"/>
      <c r="X213" s="641">
        <v>5</v>
      </c>
      <c r="Y213" s="641">
        <v>5</v>
      </c>
      <c r="Z213" s="631">
        <v>0</v>
      </c>
      <c r="AA213" s="641">
        <v>4</v>
      </c>
      <c r="AB213" s="641">
        <v>5</v>
      </c>
      <c r="AC213" s="631">
        <v>0</v>
      </c>
      <c r="AD213" s="641">
        <v>5</v>
      </c>
      <c r="AE213" s="641">
        <v>5</v>
      </c>
    </row>
    <row r="214" spans="1:31" hidden="1">
      <c r="A214" s="634">
        <v>31</v>
      </c>
      <c r="B214" s="372"/>
      <c r="C214" s="634">
        <v>34583</v>
      </c>
      <c r="D214" s="372" t="s">
        <v>631</v>
      </c>
      <c r="E214" s="372"/>
      <c r="F214" s="640">
        <v>5302</v>
      </c>
      <c r="G214" s="635"/>
      <c r="H214" s="634">
        <v>347</v>
      </c>
      <c r="I214" s="635"/>
      <c r="J214" s="634">
        <v>-51</v>
      </c>
      <c r="K214" s="372"/>
      <c r="L214" s="634" t="s">
        <v>628</v>
      </c>
      <c r="M214" s="372"/>
      <c r="N214" s="634" t="s">
        <v>635</v>
      </c>
      <c r="O214" s="634"/>
      <c r="P214" s="634" t="s">
        <v>635</v>
      </c>
      <c r="Q214" s="635"/>
      <c r="R214" s="640">
        <v>5599</v>
      </c>
      <c r="S214" s="372"/>
      <c r="T214" s="640">
        <v>5444</v>
      </c>
      <c r="U214" s="626"/>
      <c r="V214" s="626"/>
      <c r="W214" s="626"/>
      <c r="X214" s="641">
        <v>5</v>
      </c>
      <c r="Y214" s="641">
        <v>5</v>
      </c>
      <c r="Z214" s="641">
        <v>4</v>
      </c>
      <c r="AA214" s="631">
        <v>0</v>
      </c>
      <c r="AB214" s="631">
        <v>0</v>
      </c>
      <c r="AC214" s="631">
        <v>0</v>
      </c>
      <c r="AD214" s="641">
        <v>5</v>
      </c>
      <c r="AE214" s="641">
        <v>5</v>
      </c>
    </row>
    <row r="215" spans="1:31" hidden="1">
      <c r="A215" s="634">
        <v>32</v>
      </c>
      <c r="B215" s="372"/>
      <c r="C215" s="634">
        <v>34683</v>
      </c>
      <c r="D215" s="372" t="s">
        <v>632</v>
      </c>
      <c r="E215" s="372"/>
      <c r="F215" s="634">
        <v>265</v>
      </c>
      <c r="G215" s="635"/>
      <c r="H215" s="634">
        <v>10</v>
      </c>
      <c r="I215" s="635"/>
      <c r="J215" s="634" t="s">
        <v>635</v>
      </c>
      <c r="K215" s="372"/>
      <c r="L215" s="634" t="s">
        <v>635</v>
      </c>
      <c r="M215" s="372"/>
      <c r="N215" s="634" t="s">
        <v>635</v>
      </c>
      <c r="O215" s="634"/>
      <c r="P215" s="634" t="s">
        <v>635</v>
      </c>
      <c r="Q215" s="635"/>
      <c r="R215" s="634">
        <v>274</v>
      </c>
      <c r="S215" s="372"/>
      <c r="T215" s="634">
        <v>269</v>
      </c>
      <c r="U215" s="626"/>
      <c r="V215" s="626"/>
      <c r="W215" s="626"/>
      <c r="X215" s="641">
        <v>5</v>
      </c>
      <c r="Y215" s="641">
        <v>5</v>
      </c>
      <c r="Z215" s="631">
        <v>0</v>
      </c>
      <c r="AA215" s="631">
        <v>0</v>
      </c>
      <c r="AB215" s="631">
        <v>0</v>
      </c>
      <c r="AC215" s="631">
        <v>0</v>
      </c>
      <c r="AD215" s="641">
        <v>4</v>
      </c>
      <c r="AE215" s="641">
        <v>5</v>
      </c>
    </row>
    <row r="216" spans="1:31" hidden="1">
      <c r="A216" s="634">
        <v>33</v>
      </c>
      <c r="B216" s="372"/>
      <c r="C216" s="372"/>
      <c r="D216" s="636" t="s">
        <v>684</v>
      </c>
      <c r="E216" s="372"/>
      <c r="F216" s="642">
        <v>32311</v>
      </c>
      <c r="G216" s="372"/>
      <c r="H216" s="642">
        <v>2061</v>
      </c>
      <c r="I216" s="635"/>
      <c r="J216" s="643">
        <v>-51</v>
      </c>
      <c r="K216" s="635"/>
      <c r="L216" s="643">
        <v>-51</v>
      </c>
      <c r="M216" s="635"/>
      <c r="N216" s="643">
        <v>16</v>
      </c>
      <c r="O216" s="635"/>
      <c r="P216" s="643" t="s">
        <v>635</v>
      </c>
      <c r="Q216" s="635"/>
      <c r="R216" s="642">
        <v>34286</v>
      </c>
      <c r="S216" s="635"/>
      <c r="T216" s="642">
        <v>33286</v>
      </c>
      <c r="U216" s="626"/>
      <c r="V216" s="626"/>
      <c r="W216" s="626"/>
      <c r="X216" s="641">
        <v>5</v>
      </c>
      <c r="Y216" s="641">
        <v>5</v>
      </c>
      <c r="Z216" s="641">
        <v>4</v>
      </c>
      <c r="AA216" s="641">
        <v>5</v>
      </c>
      <c r="AB216" s="641">
        <v>5</v>
      </c>
      <c r="AC216" s="631">
        <v>0</v>
      </c>
      <c r="AD216" s="641">
        <v>5</v>
      </c>
      <c r="AE216" s="641">
        <v>5</v>
      </c>
    </row>
    <row r="217" spans="1:31" hidden="1">
      <c r="A217" s="634">
        <v>34</v>
      </c>
      <c r="B217" s="372"/>
      <c r="C217" s="372"/>
      <c r="D217" s="372"/>
      <c r="E217" s="372"/>
      <c r="F217" s="372"/>
      <c r="G217" s="372"/>
      <c r="H217" s="372"/>
      <c r="I217" s="635"/>
      <c r="J217" s="372"/>
      <c r="K217" s="635"/>
      <c r="L217" s="372"/>
      <c r="M217" s="635"/>
      <c r="N217" s="372"/>
      <c r="O217" s="372"/>
      <c r="P217" s="372"/>
      <c r="Q217" s="635"/>
      <c r="R217" s="372"/>
      <c r="S217" s="635"/>
      <c r="T217" s="372"/>
      <c r="U217" s="626"/>
      <c r="V217" s="626"/>
      <c r="W217" s="626"/>
      <c r="X217" s="631">
        <v>0</v>
      </c>
      <c r="Y217" s="631">
        <v>0</v>
      </c>
      <c r="Z217" s="631">
        <v>0</v>
      </c>
      <c r="AA217" s="631">
        <v>0</v>
      </c>
      <c r="AB217" s="631">
        <v>0</v>
      </c>
      <c r="AC217" s="631">
        <v>0</v>
      </c>
      <c r="AD217" s="631">
        <v>0</v>
      </c>
      <c r="AE217" s="631">
        <v>0</v>
      </c>
    </row>
    <row r="218" spans="1:31" hidden="1">
      <c r="A218" s="634">
        <v>35</v>
      </c>
      <c r="B218" s="372"/>
      <c r="C218" s="372"/>
      <c r="D218" s="636" t="s">
        <v>685</v>
      </c>
      <c r="E218" s="372"/>
      <c r="F218" s="372"/>
      <c r="G218" s="372"/>
      <c r="H218" s="372"/>
      <c r="I218" s="635"/>
      <c r="J218" s="635"/>
      <c r="K218" s="635"/>
      <c r="L218" s="635"/>
      <c r="M218" s="635"/>
      <c r="N218" s="635"/>
      <c r="O218" s="635"/>
      <c r="P218" s="635"/>
      <c r="Q218" s="635"/>
      <c r="R218" s="635"/>
      <c r="S218" s="635"/>
      <c r="T218" s="635"/>
      <c r="U218" s="626"/>
      <c r="V218" s="626"/>
      <c r="W218" s="626"/>
      <c r="X218" s="631">
        <v>0</v>
      </c>
      <c r="Y218" s="631">
        <v>0</v>
      </c>
      <c r="Z218" s="631">
        <v>0</v>
      </c>
      <c r="AA218" s="631">
        <v>0</v>
      </c>
      <c r="AB218" s="631">
        <v>0</v>
      </c>
      <c r="AC218" s="631">
        <v>0</v>
      </c>
      <c r="AD218" s="631">
        <v>0</v>
      </c>
      <c r="AE218" s="631">
        <v>0</v>
      </c>
    </row>
    <row r="219" spans="1:31" hidden="1">
      <c r="A219" s="634">
        <v>36</v>
      </c>
      <c r="B219" s="372"/>
      <c r="C219" s="634">
        <v>34184</v>
      </c>
      <c r="D219" s="372" t="s">
        <v>627</v>
      </c>
      <c r="E219" s="372"/>
      <c r="F219" s="640">
        <v>2099</v>
      </c>
      <c r="G219" s="635"/>
      <c r="H219" s="634">
        <v>157</v>
      </c>
      <c r="I219" s="635"/>
      <c r="J219" s="634">
        <v>-15</v>
      </c>
      <c r="K219" s="372"/>
      <c r="L219" s="634" t="s">
        <v>628</v>
      </c>
      <c r="M219" s="372"/>
      <c r="N219" s="634" t="s">
        <v>635</v>
      </c>
      <c r="O219" s="634"/>
      <c r="P219" s="634" t="s">
        <v>635</v>
      </c>
      <c r="Q219" s="635"/>
      <c r="R219" s="640">
        <v>2241</v>
      </c>
      <c r="S219" s="372"/>
      <c r="T219" s="640">
        <v>2175</v>
      </c>
      <c r="U219" s="626"/>
      <c r="V219" s="626"/>
      <c r="W219" s="626"/>
      <c r="X219" s="641">
        <v>4</v>
      </c>
      <c r="Y219" s="641">
        <v>5</v>
      </c>
      <c r="Z219" s="641">
        <v>5</v>
      </c>
      <c r="AA219" s="631">
        <v>0</v>
      </c>
      <c r="AB219" s="631">
        <v>0</v>
      </c>
      <c r="AC219" s="631">
        <v>0</v>
      </c>
      <c r="AD219" s="641">
        <v>4</v>
      </c>
      <c r="AE219" s="641">
        <v>5</v>
      </c>
    </row>
    <row r="220" spans="1:31" hidden="1">
      <c r="A220" s="634">
        <v>37</v>
      </c>
      <c r="B220" s="372"/>
      <c r="C220" s="634">
        <v>34284</v>
      </c>
      <c r="D220" s="372" t="s">
        <v>666</v>
      </c>
      <c r="E220" s="372"/>
      <c r="F220" s="634">
        <v>276</v>
      </c>
      <c r="G220" s="635"/>
      <c r="H220" s="634">
        <v>64</v>
      </c>
      <c r="I220" s="635"/>
      <c r="J220" s="634" t="s">
        <v>635</v>
      </c>
      <c r="K220" s="372"/>
      <c r="L220" s="634">
        <v>-12</v>
      </c>
      <c r="M220" s="372"/>
      <c r="N220" s="634">
        <v>1</v>
      </c>
      <c r="O220" s="634"/>
      <c r="P220" s="634" t="s">
        <v>635</v>
      </c>
      <c r="Q220" s="635"/>
      <c r="R220" s="634">
        <v>329</v>
      </c>
      <c r="S220" s="372"/>
      <c r="T220" s="634">
        <v>303</v>
      </c>
      <c r="U220" s="626"/>
      <c r="V220" s="626"/>
      <c r="W220" s="626"/>
      <c r="X220" s="641">
        <v>4</v>
      </c>
      <c r="Y220" s="641">
        <v>5</v>
      </c>
      <c r="Z220" s="631">
        <v>0</v>
      </c>
      <c r="AA220" s="641">
        <v>5</v>
      </c>
      <c r="AB220" s="641">
        <v>5</v>
      </c>
      <c r="AC220" s="631">
        <v>0</v>
      </c>
      <c r="AD220" s="641">
        <v>5</v>
      </c>
      <c r="AE220" s="641">
        <v>5</v>
      </c>
    </row>
    <row r="221" spans="1:31" hidden="1">
      <c r="A221" s="634">
        <v>38</v>
      </c>
      <c r="B221" s="372"/>
      <c r="C221" s="634">
        <v>34384</v>
      </c>
      <c r="D221" s="372" t="s">
        <v>667</v>
      </c>
      <c r="E221" s="372"/>
      <c r="F221" s="640">
        <v>5964</v>
      </c>
      <c r="G221" s="635"/>
      <c r="H221" s="640">
        <v>1332</v>
      </c>
      <c r="I221" s="635"/>
      <c r="J221" s="634">
        <v>-77</v>
      </c>
      <c r="K221" s="372"/>
      <c r="L221" s="634">
        <v>-87</v>
      </c>
      <c r="M221" s="372"/>
      <c r="N221" s="634">
        <v>11</v>
      </c>
      <c r="O221" s="634"/>
      <c r="P221" s="634" t="s">
        <v>635</v>
      </c>
      <c r="Q221" s="635"/>
      <c r="R221" s="640">
        <v>7143</v>
      </c>
      <c r="S221" s="372"/>
      <c r="T221" s="640">
        <v>6571</v>
      </c>
      <c r="U221" s="626"/>
      <c r="V221" s="626"/>
      <c r="W221" s="626"/>
      <c r="X221" s="641">
        <v>5</v>
      </c>
      <c r="Y221" s="641">
        <v>5</v>
      </c>
      <c r="Z221" s="641">
        <v>5</v>
      </c>
      <c r="AA221" s="641">
        <v>5</v>
      </c>
      <c r="AB221" s="641">
        <v>5</v>
      </c>
      <c r="AC221" s="631">
        <v>0</v>
      </c>
      <c r="AD221" s="641">
        <v>5</v>
      </c>
      <c r="AE221" s="641">
        <v>5</v>
      </c>
    </row>
    <row r="222" spans="1:31" hidden="1">
      <c r="A222" s="634">
        <v>39</v>
      </c>
      <c r="B222" s="372"/>
      <c r="C222" s="634">
        <v>34584</v>
      </c>
      <c r="D222" s="372" t="s">
        <v>631</v>
      </c>
      <c r="E222" s="372"/>
      <c r="F222" s="640">
        <v>3159</v>
      </c>
      <c r="G222" s="635"/>
      <c r="H222" s="634">
        <v>140</v>
      </c>
      <c r="I222" s="635"/>
      <c r="J222" s="634" t="s">
        <v>635</v>
      </c>
      <c r="K222" s="372"/>
      <c r="L222" s="634" t="s">
        <v>635</v>
      </c>
      <c r="M222" s="372"/>
      <c r="N222" s="634" t="s">
        <v>635</v>
      </c>
      <c r="O222" s="634"/>
      <c r="P222" s="634" t="s">
        <v>635</v>
      </c>
      <c r="Q222" s="635"/>
      <c r="R222" s="640">
        <v>3298</v>
      </c>
      <c r="S222" s="372"/>
      <c r="T222" s="640">
        <v>3228</v>
      </c>
      <c r="U222" s="626"/>
      <c r="V222" s="626"/>
      <c r="W222" s="626"/>
      <c r="X222" s="641">
        <v>5</v>
      </c>
      <c r="Y222" s="641">
        <v>4</v>
      </c>
      <c r="Z222" s="631">
        <v>0</v>
      </c>
      <c r="AA222" s="631">
        <v>0</v>
      </c>
      <c r="AB222" s="631">
        <v>0</v>
      </c>
      <c r="AC222" s="631">
        <v>0</v>
      </c>
      <c r="AD222" s="641">
        <v>5</v>
      </c>
      <c r="AE222" s="641">
        <v>5</v>
      </c>
    </row>
    <row r="223" spans="1:31" hidden="1">
      <c r="A223" s="634">
        <v>40</v>
      </c>
      <c r="B223" s="372"/>
      <c r="C223" s="634">
        <v>34684</v>
      </c>
      <c r="D223" s="372" t="s">
        <v>632</v>
      </c>
      <c r="E223" s="372"/>
      <c r="F223" s="634" t="s">
        <v>628</v>
      </c>
      <c r="G223" s="635"/>
      <c r="H223" s="634" t="s">
        <v>635</v>
      </c>
      <c r="I223" s="635"/>
      <c r="J223" s="634" t="s">
        <v>635</v>
      </c>
      <c r="K223" s="372"/>
      <c r="L223" s="634" t="s">
        <v>635</v>
      </c>
      <c r="M223" s="372"/>
      <c r="N223" s="634" t="s">
        <v>635</v>
      </c>
      <c r="O223" s="634"/>
      <c r="P223" s="634" t="s">
        <v>635</v>
      </c>
      <c r="Q223" s="635"/>
      <c r="R223" s="634" t="s">
        <v>635</v>
      </c>
      <c r="S223" s="372"/>
      <c r="T223" s="634" t="s">
        <v>635</v>
      </c>
      <c r="U223" s="626"/>
      <c r="V223" s="626"/>
      <c r="W223" s="626"/>
      <c r="X223" s="631">
        <v>0</v>
      </c>
      <c r="Y223" s="631">
        <v>0</v>
      </c>
      <c r="Z223" s="631">
        <v>0</v>
      </c>
      <c r="AA223" s="631">
        <v>0</v>
      </c>
      <c r="AB223" s="631">
        <v>0</v>
      </c>
      <c r="AC223" s="631">
        <v>0</v>
      </c>
      <c r="AD223" s="631">
        <v>0</v>
      </c>
      <c r="AE223" s="631">
        <v>0</v>
      </c>
    </row>
    <row r="224" spans="1:31" hidden="1">
      <c r="A224" s="634">
        <v>41</v>
      </c>
      <c r="B224" s="372"/>
      <c r="C224" s="372"/>
      <c r="D224" s="636" t="s">
        <v>686</v>
      </c>
      <c r="E224" s="372"/>
      <c r="F224" s="642">
        <v>11498</v>
      </c>
      <c r="G224" s="372"/>
      <c r="H224" s="642">
        <v>1692</v>
      </c>
      <c r="I224" s="635"/>
      <c r="J224" s="643">
        <v>-92</v>
      </c>
      <c r="K224" s="635"/>
      <c r="L224" s="643">
        <v>-99</v>
      </c>
      <c r="M224" s="635"/>
      <c r="N224" s="643">
        <v>12</v>
      </c>
      <c r="O224" s="635"/>
      <c r="P224" s="643" t="s">
        <v>635</v>
      </c>
      <c r="Q224" s="635"/>
      <c r="R224" s="642">
        <v>13011</v>
      </c>
      <c r="S224" s="635"/>
      <c r="T224" s="642">
        <v>12277</v>
      </c>
      <c r="U224" s="626"/>
      <c r="V224" s="626"/>
      <c r="W224" s="626"/>
      <c r="X224" s="641">
        <v>5</v>
      </c>
      <c r="Y224" s="641">
        <v>5</v>
      </c>
      <c r="Z224" s="641">
        <v>5</v>
      </c>
      <c r="AA224" s="641">
        <v>5</v>
      </c>
      <c r="AB224" s="641">
        <v>5</v>
      </c>
      <c r="AC224" s="631">
        <v>0</v>
      </c>
      <c r="AD224" s="641">
        <v>5</v>
      </c>
      <c r="AE224" s="641">
        <v>5</v>
      </c>
    </row>
    <row r="225" spans="1:31" hidden="1">
      <c r="A225" s="634">
        <v>42</v>
      </c>
      <c r="B225" s="372"/>
      <c r="C225" s="372"/>
      <c r="D225" s="372"/>
      <c r="E225" s="372"/>
      <c r="F225" s="372"/>
      <c r="G225" s="372"/>
      <c r="H225" s="372"/>
      <c r="I225" s="372"/>
      <c r="J225" s="372"/>
      <c r="K225" s="372"/>
      <c r="L225" s="372"/>
      <c r="M225" s="372"/>
      <c r="N225" s="372"/>
      <c r="O225" s="372"/>
      <c r="P225" s="372"/>
      <c r="Q225" s="635"/>
      <c r="R225" s="372"/>
      <c r="S225" s="372"/>
      <c r="T225" s="372"/>
      <c r="U225" s="626"/>
      <c r="V225" s="626"/>
      <c r="W225" s="626"/>
      <c r="X225" s="631">
        <v>0</v>
      </c>
      <c r="Y225" s="631">
        <v>0</v>
      </c>
      <c r="Z225" s="631">
        <v>0</v>
      </c>
      <c r="AA225" s="631">
        <v>0</v>
      </c>
      <c r="AB225" s="631">
        <v>0</v>
      </c>
      <c r="AC225" s="631">
        <v>0</v>
      </c>
      <c r="AD225" s="631">
        <v>0</v>
      </c>
      <c r="AE225" s="631">
        <v>0</v>
      </c>
    </row>
    <row r="226" spans="1:31" hidden="1">
      <c r="A226" s="634">
        <v>43</v>
      </c>
      <c r="B226" s="372"/>
      <c r="C226" s="372"/>
      <c r="D226" s="372"/>
      <c r="E226" s="372"/>
      <c r="F226" s="372"/>
      <c r="G226" s="372"/>
      <c r="H226" s="372"/>
      <c r="I226" s="372"/>
      <c r="J226" s="372"/>
      <c r="K226" s="372"/>
      <c r="L226" s="372"/>
      <c r="M226" s="372"/>
      <c r="N226" s="372"/>
      <c r="O226" s="372"/>
      <c r="P226" s="372"/>
      <c r="Q226" s="635"/>
      <c r="R226" s="372"/>
      <c r="S226" s="372"/>
      <c r="T226" s="372"/>
      <c r="U226" s="626"/>
      <c r="V226" s="626"/>
      <c r="W226" s="626"/>
      <c r="X226" s="631">
        <v>0</v>
      </c>
      <c r="Y226" s="631">
        <v>0</v>
      </c>
      <c r="Z226" s="631">
        <v>0</v>
      </c>
      <c r="AA226" s="631">
        <v>0</v>
      </c>
      <c r="AB226" s="631">
        <v>0</v>
      </c>
      <c r="AC226" s="631">
        <v>0</v>
      </c>
      <c r="AD226" s="631">
        <v>0</v>
      </c>
      <c r="AE226" s="631">
        <v>0</v>
      </c>
    </row>
    <row r="227" spans="1:31" ht="15" hidden="1" thickBot="1">
      <c r="A227" s="637">
        <v>44</v>
      </c>
      <c r="B227" s="660" t="s">
        <v>67</v>
      </c>
      <c r="C227" s="660"/>
      <c r="D227" s="625"/>
      <c r="E227" s="625"/>
      <c r="F227" s="625"/>
      <c r="G227" s="625"/>
      <c r="H227" s="625"/>
      <c r="I227" s="625"/>
      <c r="J227" s="625"/>
      <c r="K227" s="625"/>
      <c r="L227" s="625"/>
      <c r="M227" s="625"/>
      <c r="N227" s="625"/>
      <c r="O227" s="625"/>
      <c r="P227" s="625"/>
      <c r="Q227" s="638"/>
      <c r="R227" s="625"/>
      <c r="S227" s="625"/>
      <c r="T227" s="625"/>
      <c r="U227" s="626"/>
      <c r="V227" s="626"/>
      <c r="W227" s="626"/>
      <c r="X227" s="631">
        <v>0</v>
      </c>
      <c r="Y227" s="631">
        <v>0</v>
      </c>
      <c r="Z227" s="631">
        <v>0</v>
      </c>
      <c r="AA227" s="631">
        <v>0</v>
      </c>
      <c r="AB227" s="631">
        <v>0</v>
      </c>
      <c r="AC227" s="631">
        <v>0</v>
      </c>
      <c r="AD227" s="631">
        <v>0</v>
      </c>
      <c r="AE227" s="631">
        <v>0</v>
      </c>
    </row>
    <row r="228" spans="1:31" hidden="1">
      <c r="A228" s="664" t="s">
        <v>818</v>
      </c>
      <c r="B228" s="664"/>
      <c r="C228" s="372"/>
      <c r="D228" s="372"/>
      <c r="E228" s="664"/>
      <c r="F228" s="664"/>
      <c r="G228" s="664"/>
      <c r="H228" s="664"/>
      <c r="I228" s="664"/>
      <c r="J228" s="664"/>
      <c r="K228" s="664"/>
      <c r="L228" s="664"/>
      <c r="M228" s="664"/>
      <c r="N228" s="664"/>
      <c r="O228" s="664"/>
      <c r="P228" s="664"/>
      <c r="Q228" s="635"/>
      <c r="R228" s="372" t="s">
        <v>644</v>
      </c>
      <c r="S228" s="664"/>
      <c r="T228" s="664"/>
      <c r="U228" s="626"/>
      <c r="V228" s="626"/>
      <c r="W228" s="626"/>
      <c r="X228" s="631">
        <v>0</v>
      </c>
      <c r="Y228" s="631">
        <v>0</v>
      </c>
      <c r="Z228" s="631">
        <v>0</v>
      </c>
      <c r="AA228" s="631">
        <v>0</v>
      </c>
      <c r="AB228" s="631">
        <v>0</v>
      </c>
      <c r="AC228" s="631">
        <v>0</v>
      </c>
      <c r="AD228" s="631">
        <v>2</v>
      </c>
      <c r="AE228" s="631">
        <v>0</v>
      </c>
    </row>
    <row r="229" spans="1:31" ht="15" hidden="1" thickBot="1">
      <c r="A229" s="625" t="s">
        <v>808</v>
      </c>
      <c r="B229" s="625"/>
      <c r="C229" s="625"/>
      <c r="D229" s="625"/>
      <c r="E229" s="625"/>
      <c r="F229" s="625" t="s">
        <v>809</v>
      </c>
      <c r="G229" s="625"/>
      <c r="H229" s="625"/>
      <c r="I229" s="625"/>
      <c r="J229" s="625"/>
      <c r="K229" s="625"/>
      <c r="L229" s="625"/>
      <c r="M229" s="625"/>
      <c r="N229" s="625"/>
      <c r="O229" s="625"/>
      <c r="P229" s="625"/>
      <c r="Q229" s="638"/>
      <c r="R229" s="625"/>
      <c r="S229" s="625"/>
      <c r="T229" s="625" t="s">
        <v>687</v>
      </c>
      <c r="U229" s="626"/>
      <c r="V229" s="626"/>
      <c r="W229" s="626"/>
      <c r="X229" s="631">
        <v>2</v>
      </c>
      <c r="Y229" s="631">
        <v>0</v>
      </c>
      <c r="Z229" s="631">
        <v>0</v>
      </c>
      <c r="AA229" s="631">
        <v>0</v>
      </c>
      <c r="AB229" s="631">
        <v>0</v>
      </c>
      <c r="AC229" s="631">
        <v>0</v>
      </c>
      <c r="AD229" s="631">
        <v>0</v>
      </c>
      <c r="AE229" s="631">
        <v>2</v>
      </c>
    </row>
    <row r="230" spans="1:31" hidden="1">
      <c r="A230" s="664" t="s">
        <v>4</v>
      </c>
      <c r="B230" s="664"/>
      <c r="C230" s="372"/>
      <c r="D230" s="372"/>
      <c r="E230" s="635" t="s">
        <v>553</v>
      </c>
      <c r="F230" s="372" t="s">
        <v>810</v>
      </c>
      <c r="G230" s="664"/>
      <c r="H230" s="664"/>
      <c r="I230" s="664"/>
      <c r="J230" s="664"/>
      <c r="K230" s="661"/>
      <c r="L230" s="661"/>
      <c r="M230" s="661"/>
      <c r="N230" s="661"/>
      <c r="O230" s="661"/>
      <c r="P230" s="661"/>
      <c r="Q230" s="645"/>
      <c r="R230" s="372" t="s">
        <v>608</v>
      </c>
      <c r="S230" s="664"/>
      <c r="T230" s="664"/>
      <c r="U230" s="626"/>
      <c r="V230" s="626"/>
      <c r="W230" s="626"/>
      <c r="X230" s="631">
        <v>2</v>
      </c>
      <c r="Y230" s="631">
        <v>0</v>
      </c>
      <c r="Z230" s="631">
        <v>0</v>
      </c>
      <c r="AA230" s="631">
        <v>0</v>
      </c>
      <c r="AB230" s="631">
        <v>0</v>
      </c>
      <c r="AC230" s="631">
        <v>0</v>
      </c>
      <c r="AD230" s="631">
        <v>2</v>
      </c>
      <c r="AE230" s="631">
        <v>0</v>
      </c>
    </row>
    <row r="231" spans="1:31" hidden="1">
      <c r="A231" s="372"/>
      <c r="B231" s="372"/>
      <c r="C231" s="372"/>
      <c r="D231" s="372"/>
      <c r="E231" s="372"/>
      <c r="F231" s="372" t="s">
        <v>811</v>
      </c>
      <c r="G231" s="372"/>
      <c r="H231" s="372"/>
      <c r="I231" s="372"/>
      <c r="J231" s="372"/>
      <c r="K231" s="636"/>
      <c r="L231" s="636"/>
      <c r="M231" s="372"/>
      <c r="N231" s="372"/>
      <c r="O231" s="635"/>
      <c r="P231" s="635"/>
      <c r="Q231" s="635"/>
      <c r="R231" s="636" t="s">
        <v>9</v>
      </c>
      <c r="S231" s="372"/>
      <c r="T231" s="372"/>
      <c r="U231" s="626"/>
      <c r="V231" s="626"/>
      <c r="W231" s="626"/>
      <c r="X231" s="631">
        <v>2</v>
      </c>
      <c r="Y231" s="631">
        <v>0</v>
      </c>
      <c r="Z231" s="631">
        <v>0</v>
      </c>
      <c r="AA231" s="631">
        <v>0</v>
      </c>
      <c r="AB231" s="631">
        <v>0</v>
      </c>
      <c r="AC231" s="631">
        <v>0</v>
      </c>
      <c r="AD231" s="631">
        <v>2</v>
      </c>
      <c r="AE231" s="631">
        <v>0</v>
      </c>
    </row>
    <row r="232" spans="1:31" hidden="1">
      <c r="A232" s="372" t="s">
        <v>10</v>
      </c>
      <c r="B232" s="372"/>
      <c r="C232" s="372"/>
      <c r="D232" s="372"/>
      <c r="E232" s="372"/>
      <c r="F232" s="372"/>
      <c r="G232" s="372"/>
      <c r="H232" s="372"/>
      <c r="I232" s="372"/>
      <c r="J232" s="372"/>
      <c r="K232" s="636"/>
      <c r="L232" s="636"/>
      <c r="M232" s="372"/>
      <c r="N232" s="372"/>
      <c r="O232" s="372"/>
      <c r="P232" s="372"/>
      <c r="Q232" s="635"/>
      <c r="R232" s="636" t="s">
        <v>11</v>
      </c>
      <c r="S232" s="372"/>
      <c r="T232" s="372"/>
      <c r="U232" s="626"/>
      <c r="V232" s="626"/>
      <c r="W232" s="626"/>
      <c r="X232" s="631">
        <v>2</v>
      </c>
      <c r="Y232" s="631">
        <v>0</v>
      </c>
      <c r="Z232" s="631">
        <v>0</v>
      </c>
      <c r="AA232" s="631">
        <v>0</v>
      </c>
      <c r="AB232" s="631">
        <v>0</v>
      </c>
      <c r="AC232" s="631">
        <v>0</v>
      </c>
      <c r="AD232" s="631">
        <v>2</v>
      </c>
      <c r="AE232" s="631">
        <v>0</v>
      </c>
    </row>
    <row r="233" spans="1:31" hidden="1">
      <c r="A233" s="372"/>
      <c r="B233" s="372"/>
      <c r="C233" s="372"/>
      <c r="D233" s="372"/>
      <c r="E233" s="372"/>
      <c r="F233" s="372"/>
      <c r="G233" s="372"/>
      <c r="H233" s="372"/>
      <c r="I233" s="372"/>
      <c r="J233" s="372"/>
      <c r="K233" s="636"/>
      <c r="L233" s="636"/>
      <c r="M233" s="372"/>
      <c r="N233" s="372"/>
      <c r="O233" s="372"/>
      <c r="P233" s="372"/>
      <c r="Q233" s="635" t="s">
        <v>12</v>
      </c>
      <c r="R233" s="636" t="s">
        <v>13</v>
      </c>
      <c r="S233" s="372"/>
      <c r="T233" s="372"/>
      <c r="U233" s="626"/>
      <c r="V233" s="626"/>
      <c r="W233" s="626"/>
      <c r="X233" s="631">
        <v>2</v>
      </c>
      <c r="Y233" s="631">
        <v>0</v>
      </c>
      <c r="Z233" s="631">
        <v>0</v>
      </c>
      <c r="AA233" s="631">
        <v>0</v>
      </c>
      <c r="AB233" s="631">
        <v>0</v>
      </c>
      <c r="AC233" s="631">
        <v>0</v>
      </c>
      <c r="AD233" s="631">
        <v>2</v>
      </c>
      <c r="AE233" s="631">
        <v>0</v>
      </c>
    </row>
    <row r="234" spans="1:31" hidden="1">
      <c r="A234" s="372"/>
      <c r="B234" s="372"/>
      <c r="C234" s="372"/>
      <c r="D234" s="372"/>
      <c r="E234" s="372"/>
      <c r="F234" s="372"/>
      <c r="G234" s="372"/>
      <c r="H234" s="372"/>
      <c r="I234" s="372"/>
      <c r="J234" s="372"/>
      <c r="K234" s="636"/>
      <c r="L234" s="636"/>
      <c r="M234" s="372"/>
      <c r="N234" s="372"/>
      <c r="O234" s="372"/>
      <c r="P234" s="372"/>
      <c r="Q234" s="635"/>
      <c r="R234" s="636" t="s">
        <v>610</v>
      </c>
      <c r="S234" s="372"/>
      <c r="T234" s="372"/>
      <c r="U234" s="626"/>
      <c r="V234" s="626"/>
      <c r="W234" s="626"/>
      <c r="X234" s="631">
        <v>0</v>
      </c>
      <c r="Y234" s="631">
        <v>0</v>
      </c>
      <c r="Z234" s="631">
        <v>0</v>
      </c>
      <c r="AA234" s="631">
        <v>0</v>
      </c>
      <c r="AB234" s="631">
        <v>0</v>
      </c>
      <c r="AC234" s="631">
        <v>0</v>
      </c>
      <c r="AD234" s="631">
        <v>2</v>
      </c>
      <c r="AE234" s="631">
        <v>0</v>
      </c>
    </row>
    <row r="235" spans="1:31" ht="15" hidden="1" thickBot="1">
      <c r="A235" s="625" t="s">
        <v>611</v>
      </c>
      <c r="B235" s="625"/>
      <c r="C235" s="625"/>
      <c r="D235" s="625"/>
      <c r="E235" s="625"/>
      <c r="F235" s="625"/>
      <c r="G235" s="625"/>
      <c r="H235" s="637" t="s">
        <v>812</v>
      </c>
      <c r="I235" s="625"/>
      <c r="J235" s="625"/>
      <c r="K235" s="625"/>
      <c r="L235" s="625"/>
      <c r="M235" s="625"/>
      <c r="N235" s="625"/>
      <c r="O235" s="625"/>
      <c r="P235" s="625"/>
      <c r="Q235" s="638"/>
      <c r="R235" s="625" t="s">
        <v>249</v>
      </c>
      <c r="S235" s="625"/>
      <c r="T235" s="625"/>
      <c r="U235" s="626"/>
      <c r="V235" s="626"/>
      <c r="W235" s="626"/>
      <c r="X235" s="631">
        <v>2</v>
      </c>
      <c r="Y235" s="631">
        <v>2</v>
      </c>
      <c r="Z235" s="631">
        <v>0</v>
      </c>
      <c r="AA235" s="631">
        <v>0</v>
      </c>
      <c r="AB235" s="631">
        <v>0</v>
      </c>
      <c r="AC235" s="631">
        <v>0</v>
      </c>
      <c r="AD235" s="631">
        <v>2</v>
      </c>
      <c r="AE235" s="631">
        <v>0</v>
      </c>
    </row>
    <row r="236" spans="1:31" hidden="1">
      <c r="A236" s="664"/>
      <c r="B236" s="664"/>
      <c r="C236" s="634"/>
      <c r="D236" s="634"/>
      <c r="E236" s="634"/>
      <c r="F236" s="634"/>
      <c r="G236" s="634"/>
      <c r="H236" s="634"/>
      <c r="I236" s="634"/>
      <c r="J236" s="634"/>
      <c r="K236" s="634"/>
      <c r="L236" s="634"/>
      <c r="M236" s="634"/>
      <c r="N236" s="634"/>
      <c r="O236" s="634"/>
      <c r="P236" s="634"/>
      <c r="Q236" s="635"/>
      <c r="R236" s="634"/>
      <c r="S236" s="634"/>
      <c r="T236" s="634"/>
      <c r="U236" s="626"/>
      <c r="V236" s="626"/>
      <c r="W236" s="626"/>
      <c r="X236" s="631">
        <v>0</v>
      </c>
      <c r="Y236" s="631">
        <v>0</v>
      </c>
      <c r="Z236" s="631">
        <v>0</v>
      </c>
      <c r="AA236" s="631">
        <v>0</v>
      </c>
      <c r="AB236" s="631">
        <v>0</v>
      </c>
      <c r="AC236" s="631">
        <v>0</v>
      </c>
      <c r="AD236" s="631">
        <v>0</v>
      </c>
      <c r="AE236" s="631">
        <v>0</v>
      </c>
    </row>
    <row r="237" spans="1:31" hidden="1">
      <c r="A237" s="372"/>
      <c r="B237" s="372"/>
      <c r="C237" s="634">
        <v>-1</v>
      </c>
      <c r="D237" s="634">
        <v>-2</v>
      </c>
      <c r="E237" s="634"/>
      <c r="F237" s="634">
        <v>-3</v>
      </c>
      <c r="G237" s="634"/>
      <c r="H237" s="634">
        <v>-4</v>
      </c>
      <c r="I237" s="634"/>
      <c r="J237" s="634">
        <v>-5</v>
      </c>
      <c r="K237" s="634"/>
      <c r="L237" s="634">
        <v>-6</v>
      </c>
      <c r="M237" s="634"/>
      <c r="N237" s="634">
        <v>-7</v>
      </c>
      <c r="O237" s="634"/>
      <c r="P237" s="634">
        <v>-8</v>
      </c>
      <c r="Q237" s="635"/>
      <c r="R237" s="634">
        <v>-9</v>
      </c>
      <c r="S237" s="634"/>
      <c r="T237" s="634">
        <v>-10</v>
      </c>
      <c r="U237" s="626"/>
      <c r="V237" s="626"/>
      <c r="W237" s="626"/>
      <c r="X237" s="631">
        <v>2</v>
      </c>
      <c r="Y237" s="631">
        <v>2</v>
      </c>
      <c r="Z237" s="631">
        <v>2</v>
      </c>
      <c r="AA237" s="631">
        <v>2</v>
      </c>
      <c r="AB237" s="631">
        <v>2</v>
      </c>
      <c r="AC237" s="631">
        <v>2</v>
      </c>
      <c r="AD237" s="631">
        <v>2</v>
      </c>
      <c r="AE237" s="631">
        <v>2</v>
      </c>
    </row>
    <row r="238" spans="1:31" hidden="1">
      <c r="A238" s="372"/>
      <c r="B238" s="372"/>
      <c r="C238" s="634" t="s">
        <v>613</v>
      </c>
      <c r="D238" s="634" t="s">
        <v>613</v>
      </c>
      <c r="E238" s="372"/>
      <c r="F238" s="634" t="s">
        <v>27</v>
      </c>
      <c r="G238" s="634"/>
      <c r="H238" s="634" t="s">
        <v>45</v>
      </c>
      <c r="I238" s="634"/>
      <c r="J238" s="634"/>
      <c r="K238" s="634"/>
      <c r="L238" s="634"/>
      <c r="M238" s="634"/>
      <c r="N238" s="372"/>
      <c r="O238" s="372"/>
      <c r="P238" s="372"/>
      <c r="Q238" s="635"/>
      <c r="R238" s="634" t="s">
        <v>27</v>
      </c>
      <c r="S238" s="372"/>
      <c r="T238" s="372"/>
      <c r="U238" s="626"/>
      <c r="V238" s="626"/>
      <c r="W238" s="626"/>
      <c r="X238" s="631">
        <v>2</v>
      </c>
      <c r="Y238" s="631">
        <v>2</v>
      </c>
      <c r="Z238" s="631">
        <v>0</v>
      </c>
      <c r="AA238" s="631">
        <v>0</v>
      </c>
      <c r="AB238" s="631">
        <v>0</v>
      </c>
      <c r="AC238" s="631">
        <v>0</v>
      </c>
      <c r="AD238" s="631">
        <v>2</v>
      </c>
      <c r="AE238" s="631">
        <v>0</v>
      </c>
    </row>
    <row r="239" spans="1:31" hidden="1">
      <c r="A239" s="634" t="s">
        <v>35</v>
      </c>
      <c r="B239" s="634"/>
      <c r="C239" s="634" t="s">
        <v>614</v>
      </c>
      <c r="D239" s="634" t="s">
        <v>614</v>
      </c>
      <c r="E239" s="634"/>
      <c r="F239" s="634" t="s">
        <v>37</v>
      </c>
      <c r="G239" s="634"/>
      <c r="H239" s="634" t="s">
        <v>37</v>
      </c>
      <c r="I239" s="634"/>
      <c r="J239" s="634"/>
      <c r="K239" s="634"/>
      <c r="L239" s="634" t="s">
        <v>813</v>
      </c>
      <c r="M239" s="636"/>
      <c r="N239" s="634" t="s">
        <v>813</v>
      </c>
      <c r="O239" s="634"/>
      <c r="P239" s="634" t="s">
        <v>178</v>
      </c>
      <c r="Q239" s="635"/>
      <c r="R239" s="634" t="s">
        <v>37</v>
      </c>
      <c r="S239" s="634"/>
      <c r="T239" s="634" t="s">
        <v>353</v>
      </c>
      <c r="U239" s="626"/>
      <c r="V239" s="626"/>
      <c r="W239" s="626"/>
      <c r="X239" s="631">
        <v>2</v>
      </c>
      <c r="Y239" s="631">
        <v>2</v>
      </c>
      <c r="Z239" s="631">
        <v>0</v>
      </c>
      <c r="AA239" s="631">
        <v>2</v>
      </c>
      <c r="AB239" s="631">
        <v>2</v>
      </c>
      <c r="AC239" s="631">
        <v>2</v>
      </c>
      <c r="AD239" s="631">
        <v>2</v>
      </c>
      <c r="AE239" s="631">
        <v>2</v>
      </c>
    </row>
    <row r="240" spans="1:31" ht="15" hidden="1" thickBot="1">
      <c r="A240" s="637" t="s">
        <v>46</v>
      </c>
      <c r="B240" s="637"/>
      <c r="C240" s="637" t="s">
        <v>371</v>
      </c>
      <c r="D240" s="637" t="s">
        <v>617</v>
      </c>
      <c r="E240" s="637"/>
      <c r="F240" s="637" t="s">
        <v>619</v>
      </c>
      <c r="G240" s="637"/>
      <c r="H240" s="637" t="s">
        <v>814</v>
      </c>
      <c r="I240" s="637"/>
      <c r="J240" s="637" t="s">
        <v>815</v>
      </c>
      <c r="K240" s="637"/>
      <c r="L240" s="637" t="s">
        <v>816</v>
      </c>
      <c r="M240" s="637"/>
      <c r="N240" s="637" t="s">
        <v>817</v>
      </c>
      <c r="O240" s="637"/>
      <c r="P240" s="637" t="s">
        <v>622</v>
      </c>
      <c r="Q240" s="638"/>
      <c r="R240" s="637" t="s">
        <v>623</v>
      </c>
      <c r="S240" s="637"/>
      <c r="T240" s="637" t="s">
        <v>369</v>
      </c>
      <c r="U240" s="626"/>
      <c r="V240" s="626"/>
      <c r="W240" s="626"/>
      <c r="X240" s="631">
        <v>2</v>
      </c>
      <c r="Y240" s="631">
        <v>2</v>
      </c>
      <c r="Z240" s="631">
        <v>2</v>
      </c>
      <c r="AA240" s="631">
        <v>2</v>
      </c>
      <c r="AB240" s="631">
        <v>2</v>
      </c>
      <c r="AC240" s="631">
        <v>2</v>
      </c>
      <c r="AD240" s="631">
        <v>2</v>
      </c>
      <c r="AE240" s="631">
        <v>2</v>
      </c>
    </row>
    <row r="241" spans="1:31" hidden="1">
      <c r="A241" s="634">
        <v>1</v>
      </c>
      <c r="B241" s="634"/>
      <c r="C241" s="372"/>
      <c r="D241" s="372"/>
      <c r="E241" s="664"/>
      <c r="F241" s="664"/>
      <c r="G241" s="664"/>
      <c r="H241" s="664"/>
      <c r="I241" s="664"/>
      <c r="J241" s="664"/>
      <c r="K241" s="664"/>
      <c r="L241" s="664"/>
      <c r="M241" s="664"/>
      <c r="N241" s="664"/>
      <c r="O241" s="664"/>
      <c r="P241" s="664"/>
      <c r="Q241" s="635"/>
      <c r="R241" s="372"/>
      <c r="S241" s="664"/>
      <c r="T241" s="664"/>
      <c r="U241" s="626"/>
      <c r="V241" s="626"/>
      <c r="W241" s="626"/>
      <c r="X241" s="631">
        <v>0</v>
      </c>
      <c r="Y241" s="631">
        <v>0</v>
      </c>
      <c r="Z241" s="631">
        <v>0</v>
      </c>
      <c r="AA241" s="631">
        <v>0</v>
      </c>
      <c r="AB241" s="631">
        <v>0</v>
      </c>
      <c r="AC241" s="631">
        <v>0</v>
      </c>
      <c r="AD241" s="631">
        <v>0</v>
      </c>
      <c r="AE241" s="631">
        <v>0</v>
      </c>
    </row>
    <row r="242" spans="1:31" hidden="1">
      <c r="A242" s="634">
        <v>2</v>
      </c>
      <c r="B242" s="639"/>
      <c r="C242" s="634"/>
      <c r="D242" s="636" t="s">
        <v>688</v>
      </c>
      <c r="E242" s="372"/>
      <c r="F242" s="372"/>
      <c r="G242" s="372"/>
      <c r="H242" s="372"/>
      <c r="I242" s="635"/>
      <c r="J242" s="635"/>
      <c r="K242" s="635"/>
      <c r="L242" s="635"/>
      <c r="M242" s="635"/>
      <c r="N242" s="635"/>
      <c r="O242" s="635"/>
      <c r="P242" s="635"/>
      <c r="Q242" s="635"/>
      <c r="R242" s="635"/>
      <c r="S242" s="635"/>
      <c r="T242" s="635"/>
      <c r="U242" s="626"/>
      <c r="V242" s="626"/>
      <c r="W242" s="626"/>
      <c r="X242" s="631">
        <v>0</v>
      </c>
      <c r="Y242" s="631">
        <v>0</v>
      </c>
      <c r="Z242" s="631">
        <v>0</v>
      </c>
      <c r="AA242" s="631">
        <v>0</v>
      </c>
      <c r="AB242" s="631">
        <v>0</v>
      </c>
      <c r="AC242" s="631">
        <v>0</v>
      </c>
      <c r="AD242" s="631">
        <v>0</v>
      </c>
      <c r="AE242" s="631">
        <v>0</v>
      </c>
    </row>
    <row r="243" spans="1:31" hidden="1">
      <c r="A243" s="634">
        <v>3</v>
      </c>
      <c r="B243" s="639"/>
      <c r="C243" s="634">
        <v>34185</v>
      </c>
      <c r="D243" s="372" t="s">
        <v>627</v>
      </c>
      <c r="E243" s="372"/>
      <c r="F243" s="640">
        <v>2114</v>
      </c>
      <c r="G243" s="635"/>
      <c r="H243" s="634">
        <v>155</v>
      </c>
      <c r="I243" s="635"/>
      <c r="J243" s="634" t="s">
        <v>635</v>
      </c>
      <c r="K243" s="372"/>
      <c r="L243" s="634" t="s">
        <v>635</v>
      </c>
      <c r="M243" s="372"/>
      <c r="N243" s="634" t="s">
        <v>635</v>
      </c>
      <c r="O243" s="634"/>
      <c r="P243" s="634" t="s">
        <v>635</v>
      </c>
      <c r="Q243" s="635"/>
      <c r="R243" s="640">
        <v>2269</v>
      </c>
      <c r="S243" s="372"/>
      <c r="T243" s="640">
        <v>2192</v>
      </c>
      <c r="U243" s="626"/>
      <c r="V243" s="626"/>
      <c r="W243" s="626"/>
      <c r="X243" s="641">
        <v>5</v>
      </c>
      <c r="Y243" s="641">
        <v>4</v>
      </c>
      <c r="Z243" s="631">
        <v>0</v>
      </c>
      <c r="AA243" s="631">
        <v>0</v>
      </c>
      <c r="AB243" s="631">
        <v>0</v>
      </c>
      <c r="AC243" s="631">
        <v>0</v>
      </c>
      <c r="AD243" s="641">
        <v>5</v>
      </c>
      <c r="AE243" s="641">
        <v>5</v>
      </c>
    </row>
    <row r="244" spans="1:31" hidden="1">
      <c r="A244" s="634">
        <v>4</v>
      </c>
      <c r="B244" s="639"/>
      <c r="C244" s="634">
        <v>34285</v>
      </c>
      <c r="D244" s="372" t="s">
        <v>666</v>
      </c>
      <c r="E244" s="372"/>
      <c r="F244" s="634">
        <v>742</v>
      </c>
      <c r="G244" s="635"/>
      <c r="H244" s="634">
        <v>96</v>
      </c>
      <c r="I244" s="635"/>
      <c r="J244" s="634" t="s">
        <v>635</v>
      </c>
      <c r="K244" s="372"/>
      <c r="L244" s="634">
        <v>-11</v>
      </c>
      <c r="M244" s="372"/>
      <c r="N244" s="634">
        <v>1</v>
      </c>
      <c r="O244" s="634"/>
      <c r="P244" s="634" t="s">
        <v>635</v>
      </c>
      <c r="Q244" s="635"/>
      <c r="R244" s="634">
        <v>828</v>
      </c>
      <c r="S244" s="372"/>
      <c r="T244" s="634">
        <v>785</v>
      </c>
      <c r="U244" s="626"/>
      <c r="V244" s="626"/>
      <c r="W244" s="626"/>
      <c r="X244" s="641">
        <v>5</v>
      </c>
      <c r="Y244" s="641">
        <v>5</v>
      </c>
      <c r="Z244" s="631">
        <v>0</v>
      </c>
      <c r="AA244" s="641">
        <v>3</v>
      </c>
      <c r="AB244" s="641">
        <v>5</v>
      </c>
      <c r="AC244" s="631">
        <v>0</v>
      </c>
      <c r="AD244" s="641">
        <v>5</v>
      </c>
      <c r="AE244" s="641">
        <v>5</v>
      </c>
    </row>
    <row r="245" spans="1:31" hidden="1">
      <c r="A245" s="634">
        <v>5</v>
      </c>
      <c r="B245" s="639"/>
      <c r="C245" s="634">
        <v>34385</v>
      </c>
      <c r="D245" s="372" t="s">
        <v>667</v>
      </c>
      <c r="E245" s="372"/>
      <c r="F245" s="640">
        <v>4546</v>
      </c>
      <c r="G245" s="635"/>
      <c r="H245" s="640">
        <v>1260</v>
      </c>
      <c r="I245" s="635"/>
      <c r="J245" s="634" t="s">
        <v>635</v>
      </c>
      <c r="K245" s="372"/>
      <c r="L245" s="634">
        <v>-85</v>
      </c>
      <c r="M245" s="372"/>
      <c r="N245" s="634">
        <v>10</v>
      </c>
      <c r="O245" s="634"/>
      <c r="P245" s="634" t="s">
        <v>635</v>
      </c>
      <c r="Q245" s="635"/>
      <c r="R245" s="640">
        <v>5730</v>
      </c>
      <c r="S245" s="372"/>
      <c r="T245" s="640">
        <v>5140</v>
      </c>
      <c r="U245" s="626"/>
      <c r="V245" s="626"/>
      <c r="W245" s="626"/>
      <c r="X245" s="641">
        <v>5</v>
      </c>
      <c r="Y245" s="641">
        <v>5</v>
      </c>
      <c r="Z245" s="631">
        <v>0</v>
      </c>
      <c r="AA245" s="641">
        <v>4</v>
      </c>
      <c r="AB245" s="641">
        <v>5</v>
      </c>
      <c r="AC245" s="631">
        <v>0</v>
      </c>
      <c r="AD245" s="641">
        <v>5</v>
      </c>
      <c r="AE245" s="641">
        <v>5</v>
      </c>
    </row>
    <row r="246" spans="1:31" hidden="1">
      <c r="A246" s="634">
        <v>6</v>
      </c>
      <c r="B246" s="639"/>
      <c r="C246" s="634">
        <v>34585</v>
      </c>
      <c r="D246" s="372" t="s">
        <v>631</v>
      </c>
      <c r="E246" s="372"/>
      <c r="F246" s="640">
        <v>3143</v>
      </c>
      <c r="G246" s="635"/>
      <c r="H246" s="634">
        <v>142</v>
      </c>
      <c r="I246" s="635"/>
      <c r="J246" s="634">
        <v>-14</v>
      </c>
      <c r="K246" s="372"/>
      <c r="L246" s="634" t="s">
        <v>628</v>
      </c>
      <c r="M246" s="372"/>
      <c r="N246" s="634" t="s">
        <v>635</v>
      </c>
      <c r="O246" s="634"/>
      <c r="P246" s="634" t="s">
        <v>635</v>
      </c>
      <c r="Q246" s="635"/>
      <c r="R246" s="640">
        <v>3271</v>
      </c>
      <c r="S246" s="372"/>
      <c r="T246" s="640">
        <v>3211</v>
      </c>
      <c r="U246" s="626"/>
      <c r="V246" s="626"/>
      <c r="W246" s="626"/>
      <c r="X246" s="641">
        <v>5</v>
      </c>
      <c r="Y246" s="641">
        <v>5</v>
      </c>
      <c r="Z246" s="641">
        <v>5</v>
      </c>
      <c r="AA246" s="631">
        <v>0</v>
      </c>
      <c r="AB246" s="631">
        <v>0</v>
      </c>
      <c r="AC246" s="631">
        <v>0</v>
      </c>
      <c r="AD246" s="641">
        <v>5</v>
      </c>
      <c r="AE246" s="641">
        <v>5</v>
      </c>
    </row>
    <row r="247" spans="1:31" hidden="1">
      <c r="A247" s="634">
        <v>7</v>
      </c>
      <c r="B247" s="634"/>
      <c r="C247" s="634">
        <v>34685</v>
      </c>
      <c r="D247" s="372" t="s">
        <v>632</v>
      </c>
      <c r="E247" s="372"/>
      <c r="F247" s="634" t="s">
        <v>628</v>
      </c>
      <c r="G247" s="635"/>
      <c r="H247" s="634" t="s">
        <v>635</v>
      </c>
      <c r="I247" s="635"/>
      <c r="J247" s="634" t="s">
        <v>635</v>
      </c>
      <c r="K247" s="372"/>
      <c r="L247" s="634" t="s">
        <v>635</v>
      </c>
      <c r="M247" s="372"/>
      <c r="N247" s="634" t="s">
        <v>635</v>
      </c>
      <c r="O247" s="634"/>
      <c r="P247" s="634" t="s">
        <v>635</v>
      </c>
      <c r="Q247" s="635"/>
      <c r="R247" s="634" t="s">
        <v>635</v>
      </c>
      <c r="S247" s="372"/>
      <c r="T247" s="634" t="s">
        <v>635</v>
      </c>
      <c r="U247" s="626"/>
      <c r="V247" s="626"/>
      <c r="W247" s="626"/>
      <c r="X247" s="631">
        <v>0</v>
      </c>
      <c r="Y247" s="631">
        <v>0</v>
      </c>
      <c r="Z247" s="631">
        <v>0</v>
      </c>
      <c r="AA247" s="631">
        <v>0</v>
      </c>
      <c r="AB247" s="631">
        <v>0</v>
      </c>
      <c r="AC247" s="631">
        <v>0</v>
      </c>
      <c r="AD247" s="631">
        <v>0</v>
      </c>
      <c r="AE247" s="631">
        <v>0</v>
      </c>
    </row>
    <row r="248" spans="1:31" hidden="1">
      <c r="A248" s="634">
        <v>8</v>
      </c>
      <c r="B248" s="634"/>
      <c r="C248" s="634"/>
      <c r="D248" s="636" t="s">
        <v>689</v>
      </c>
      <c r="E248" s="372"/>
      <c r="F248" s="642">
        <v>10544</v>
      </c>
      <c r="G248" s="372"/>
      <c r="H248" s="642">
        <v>1653</v>
      </c>
      <c r="I248" s="635"/>
      <c r="J248" s="643">
        <v>-14</v>
      </c>
      <c r="K248" s="635"/>
      <c r="L248" s="643">
        <v>-95</v>
      </c>
      <c r="M248" s="635"/>
      <c r="N248" s="643">
        <v>11</v>
      </c>
      <c r="O248" s="635"/>
      <c r="P248" s="643" t="s">
        <v>635</v>
      </c>
      <c r="Q248" s="635"/>
      <c r="R248" s="642">
        <v>12098</v>
      </c>
      <c r="S248" s="635"/>
      <c r="T248" s="642">
        <v>11327</v>
      </c>
      <c r="U248" s="626"/>
      <c r="V248" s="626"/>
      <c r="W248" s="626"/>
      <c r="X248" s="641">
        <v>5</v>
      </c>
      <c r="Y248" s="641">
        <v>5</v>
      </c>
      <c r="Z248" s="641">
        <v>5</v>
      </c>
      <c r="AA248" s="641">
        <v>3</v>
      </c>
      <c r="AB248" s="641">
        <v>5</v>
      </c>
      <c r="AC248" s="631">
        <v>0</v>
      </c>
      <c r="AD248" s="641">
        <v>5</v>
      </c>
      <c r="AE248" s="641">
        <v>5</v>
      </c>
    </row>
    <row r="249" spans="1:31" hidden="1">
      <c r="A249" s="634">
        <v>9</v>
      </c>
      <c r="B249" s="634"/>
      <c r="C249" s="372"/>
      <c r="D249" s="372"/>
      <c r="E249" s="372"/>
      <c r="F249" s="372"/>
      <c r="G249" s="372"/>
      <c r="H249" s="372"/>
      <c r="I249" s="372"/>
      <c r="J249" s="372"/>
      <c r="K249" s="372"/>
      <c r="L249" s="372"/>
      <c r="M249" s="372"/>
      <c r="N249" s="372"/>
      <c r="O249" s="372"/>
      <c r="P249" s="372"/>
      <c r="Q249" s="635"/>
      <c r="R249" s="372"/>
      <c r="S249" s="372"/>
      <c r="T249" s="372"/>
      <c r="U249" s="626"/>
      <c r="V249" s="626"/>
      <c r="W249" s="626"/>
      <c r="X249" s="631">
        <v>0</v>
      </c>
      <c r="Y249" s="631">
        <v>0</v>
      </c>
      <c r="Z249" s="631">
        <v>0</v>
      </c>
      <c r="AA249" s="631">
        <v>0</v>
      </c>
      <c r="AB249" s="631">
        <v>0</v>
      </c>
      <c r="AC249" s="631">
        <v>0</v>
      </c>
      <c r="AD249" s="631">
        <v>0</v>
      </c>
      <c r="AE249" s="631">
        <v>0</v>
      </c>
    </row>
    <row r="250" spans="1:31" hidden="1">
      <c r="A250" s="634">
        <v>10</v>
      </c>
      <c r="B250" s="634"/>
      <c r="C250" s="634"/>
      <c r="D250" s="636" t="s">
        <v>690</v>
      </c>
      <c r="E250" s="372"/>
      <c r="F250" s="372"/>
      <c r="G250" s="372"/>
      <c r="H250" s="372"/>
      <c r="I250" s="635"/>
      <c r="J250" s="635"/>
      <c r="K250" s="635"/>
      <c r="L250" s="635"/>
      <c r="M250" s="635"/>
      <c r="N250" s="635"/>
      <c r="O250" s="635"/>
      <c r="P250" s="635"/>
      <c r="Q250" s="635"/>
      <c r="R250" s="635"/>
      <c r="S250" s="635"/>
      <c r="T250" s="635"/>
      <c r="U250" s="626"/>
      <c r="V250" s="626"/>
      <c r="W250" s="626"/>
      <c r="X250" s="631">
        <v>0</v>
      </c>
      <c r="Y250" s="631">
        <v>0</v>
      </c>
      <c r="Z250" s="631">
        <v>0</v>
      </c>
      <c r="AA250" s="631">
        <v>0</v>
      </c>
      <c r="AB250" s="631">
        <v>0</v>
      </c>
      <c r="AC250" s="631">
        <v>0</v>
      </c>
      <c r="AD250" s="631">
        <v>0</v>
      </c>
      <c r="AE250" s="631">
        <v>0</v>
      </c>
    </row>
    <row r="251" spans="1:31" hidden="1">
      <c r="A251" s="634">
        <v>11</v>
      </c>
      <c r="B251" s="634"/>
      <c r="C251" s="634">
        <v>34186</v>
      </c>
      <c r="D251" s="372" t="s">
        <v>627</v>
      </c>
      <c r="E251" s="372"/>
      <c r="F251" s="640">
        <v>3571</v>
      </c>
      <c r="G251" s="635"/>
      <c r="H251" s="634">
        <v>348</v>
      </c>
      <c r="I251" s="635"/>
      <c r="J251" s="634" t="s">
        <v>635</v>
      </c>
      <c r="K251" s="372"/>
      <c r="L251" s="634" t="s">
        <v>635</v>
      </c>
      <c r="M251" s="372"/>
      <c r="N251" s="634" t="s">
        <v>635</v>
      </c>
      <c r="O251" s="634"/>
      <c r="P251" s="634" t="s">
        <v>635</v>
      </c>
      <c r="Q251" s="635"/>
      <c r="R251" s="640">
        <v>3919</v>
      </c>
      <c r="S251" s="372"/>
      <c r="T251" s="640">
        <v>3745</v>
      </c>
      <c r="U251" s="626"/>
      <c r="V251" s="626"/>
      <c r="W251" s="626"/>
      <c r="X251" s="641">
        <v>5</v>
      </c>
      <c r="Y251" s="641">
        <v>4</v>
      </c>
      <c r="Z251" s="631">
        <v>0</v>
      </c>
      <c r="AA251" s="631">
        <v>0</v>
      </c>
      <c r="AB251" s="631">
        <v>0</v>
      </c>
      <c r="AC251" s="631">
        <v>0</v>
      </c>
      <c r="AD251" s="641">
        <v>5</v>
      </c>
      <c r="AE251" s="641">
        <v>5</v>
      </c>
    </row>
    <row r="252" spans="1:31" hidden="1">
      <c r="A252" s="634">
        <v>12</v>
      </c>
      <c r="B252" s="639"/>
      <c r="C252" s="634">
        <v>34286</v>
      </c>
      <c r="D252" s="372" t="s">
        <v>666</v>
      </c>
      <c r="E252" s="372"/>
      <c r="F252" s="640">
        <v>35065</v>
      </c>
      <c r="G252" s="635"/>
      <c r="H252" s="640">
        <v>6418</v>
      </c>
      <c r="I252" s="635"/>
      <c r="J252" s="634">
        <v>-241</v>
      </c>
      <c r="K252" s="372"/>
      <c r="L252" s="634">
        <v>-242</v>
      </c>
      <c r="M252" s="372"/>
      <c r="N252" s="634">
        <v>86</v>
      </c>
      <c r="O252" s="634"/>
      <c r="P252" s="634" t="s">
        <v>635</v>
      </c>
      <c r="Q252" s="635"/>
      <c r="R252" s="640">
        <v>41086</v>
      </c>
      <c r="S252" s="372"/>
      <c r="T252" s="640">
        <v>38072</v>
      </c>
      <c r="U252" s="626"/>
      <c r="V252" s="626"/>
      <c r="W252" s="626"/>
      <c r="X252" s="641">
        <v>5</v>
      </c>
      <c r="Y252" s="641">
        <v>4</v>
      </c>
      <c r="Z252" s="641">
        <v>3</v>
      </c>
      <c r="AA252" s="641">
        <v>5</v>
      </c>
      <c r="AB252" s="641">
        <v>5</v>
      </c>
      <c r="AC252" s="631">
        <v>0</v>
      </c>
      <c r="AD252" s="641">
        <v>5</v>
      </c>
      <c r="AE252" s="641">
        <v>4</v>
      </c>
    </row>
    <row r="253" spans="1:31" hidden="1">
      <c r="A253" s="634">
        <v>13</v>
      </c>
      <c r="B253" s="639"/>
      <c r="C253" s="634">
        <v>34386</v>
      </c>
      <c r="D253" s="372" t="s">
        <v>667</v>
      </c>
      <c r="E253" s="372"/>
      <c r="F253" s="640">
        <v>36719</v>
      </c>
      <c r="G253" s="635"/>
      <c r="H253" s="640">
        <v>6944</v>
      </c>
      <c r="I253" s="635"/>
      <c r="J253" s="634">
        <v>-123</v>
      </c>
      <c r="K253" s="372"/>
      <c r="L253" s="634">
        <v>-335</v>
      </c>
      <c r="M253" s="372"/>
      <c r="N253" s="634">
        <v>90</v>
      </c>
      <c r="O253" s="634"/>
      <c r="P253" s="634" t="s">
        <v>635</v>
      </c>
      <c r="Q253" s="635"/>
      <c r="R253" s="640">
        <v>43296</v>
      </c>
      <c r="S253" s="372"/>
      <c r="T253" s="640">
        <v>39981</v>
      </c>
      <c r="U253" s="626"/>
      <c r="V253" s="626"/>
      <c r="W253" s="626"/>
      <c r="X253" s="641">
        <v>5</v>
      </c>
      <c r="Y253" s="641">
        <v>5</v>
      </c>
      <c r="Z253" s="641">
        <v>5</v>
      </c>
      <c r="AA253" s="641">
        <v>5</v>
      </c>
      <c r="AB253" s="641">
        <v>5</v>
      </c>
      <c r="AC253" s="631">
        <v>0</v>
      </c>
      <c r="AD253" s="641">
        <v>5</v>
      </c>
      <c r="AE253" s="641">
        <v>4</v>
      </c>
    </row>
    <row r="254" spans="1:31" hidden="1">
      <c r="A254" s="634">
        <v>14</v>
      </c>
      <c r="B254" s="639"/>
      <c r="C254" s="634">
        <v>34586</v>
      </c>
      <c r="D254" s="372" t="s">
        <v>631</v>
      </c>
      <c r="E254" s="372"/>
      <c r="F254" s="640">
        <v>3465</v>
      </c>
      <c r="G254" s="635"/>
      <c r="H254" s="634">
        <v>550</v>
      </c>
      <c r="I254" s="635"/>
      <c r="J254" s="634" t="s">
        <v>635</v>
      </c>
      <c r="K254" s="372"/>
      <c r="L254" s="634" t="s">
        <v>635</v>
      </c>
      <c r="M254" s="372"/>
      <c r="N254" s="634" t="s">
        <v>635</v>
      </c>
      <c r="O254" s="634"/>
      <c r="P254" s="634" t="s">
        <v>635</v>
      </c>
      <c r="Q254" s="635"/>
      <c r="R254" s="640">
        <v>4015</v>
      </c>
      <c r="S254" s="372"/>
      <c r="T254" s="640">
        <v>3740</v>
      </c>
      <c r="U254" s="626"/>
      <c r="V254" s="626"/>
      <c r="W254" s="626"/>
      <c r="X254" s="641">
        <v>5</v>
      </c>
      <c r="Y254" s="641">
        <v>5</v>
      </c>
      <c r="Z254" s="631">
        <v>0</v>
      </c>
      <c r="AA254" s="631">
        <v>0</v>
      </c>
      <c r="AB254" s="631">
        <v>0</v>
      </c>
      <c r="AC254" s="631">
        <v>0</v>
      </c>
      <c r="AD254" s="641">
        <v>5</v>
      </c>
      <c r="AE254" s="641">
        <v>5</v>
      </c>
    </row>
    <row r="255" spans="1:31" hidden="1">
      <c r="A255" s="634">
        <v>15</v>
      </c>
      <c r="B255" s="639"/>
      <c r="C255" s="634">
        <v>34686</v>
      </c>
      <c r="D255" s="372" t="s">
        <v>632</v>
      </c>
      <c r="E255" s="372"/>
      <c r="F255" s="634">
        <v>22</v>
      </c>
      <c r="G255" s="635"/>
      <c r="H255" s="634">
        <v>4</v>
      </c>
      <c r="I255" s="635"/>
      <c r="J255" s="634" t="s">
        <v>635</v>
      </c>
      <c r="K255" s="372"/>
      <c r="L255" s="634" t="s">
        <v>635</v>
      </c>
      <c r="M255" s="372"/>
      <c r="N255" s="634" t="s">
        <v>635</v>
      </c>
      <c r="O255" s="634"/>
      <c r="P255" s="634" t="s">
        <v>635</v>
      </c>
      <c r="Q255" s="635"/>
      <c r="R255" s="634">
        <v>27</v>
      </c>
      <c r="S255" s="372"/>
      <c r="T255" s="634">
        <v>25</v>
      </c>
      <c r="U255" s="626"/>
      <c r="V255" s="626"/>
      <c r="W255" s="626"/>
      <c r="X255" s="641">
        <v>4</v>
      </c>
      <c r="Y255" s="641">
        <v>5</v>
      </c>
      <c r="Z255" s="631">
        <v>0</v>
      </c>
      <c r="AA255" s="631">
        <v>0</v>
      </c>
      <c r="AB255" s="631">
        <v>0</v>
      </c>
      <c r="AC255" s="631">
        <v>0</v>
      </c>
      <c r="AD255" s="641">
        <v>5</v>
      </c>
      <c r="AE255" s="641">
        <v>5</v>
      </c>
    </row>
    <row r="256" spans="1:31" hidden="1">
      <c r="A256" s="634">
        <v>16</v>
      </c>
      <c r="B256" s="639"/>
      <c r="C256" s="634"/>
      <c r="D256" s="636" t="s">
        <v>691</v>
      </c>
      <c r="E256" s="372"/>
      <c r="F256" s="642">
        <v>78843</v>
      </c>
      <c r="G256" s="372"/>
      <c r="H256" s="642">
        <v>14264</v>
      </c>
      <c r="I256" s="635"/>
      <c r="J256" s="643">
        <v>-364</v>
      </c>
      <c r="K256" s="635"/>
      <c r="L256" s="643">
        <v>-577</v>
      </c>
      <c r="M256" s="635"/>
      <c r="N256" s="643">
        <v>176</v>
      </c>
      <c r="O256" s="635"/>
      <c r="P256" s="643" t="s">
        <v>635</v>
      </c>
      <c r="Q256" s="635"/>
      <c r="R256" s="642">
        <v>92343</v>
      </c>
      <c r="S256" s="635"/>
      <c r="T256" s="642">
        <v>85563</v>
      </c>
      <c r="U256" s="626"/>
      <c r="V256" s="626"/>
      <c r="W256" s="626"/>
      <c r="X256" s="641">
        <v>5</v>
      </c>
      <c r="Y256" s="641">
        <v>5</v>
      </c>
      <c r="Z256" s="641">
        <v>4</v>
      </c>
      <c r="AA256" s="641">
        <v>5</v>
      </c>
      <c r="AB256" s="641">
        <v>5</v>
      </c>
      <c r="AC256" s="631">
        <v>0</v>
      </c>
      <c r="AD256" s="641">
        <v>5</v>
      </c>
      <c r="AE256" s="641">
        <v>3</v>
      </c>
    </row>
    <row r="257" spans="1:31" hidden="1">
      <c r="A257" s="634">
        <v>17</v>
      </c>
      <c r="B257" s="639"/>
      <c r="C257" s="372"/>
      <c r="D257" s="372"/>
      <c r="E257" s="372"/>
      <c r="F257" s="372"/>
      <c r="G257" s="372"/>
      <c r="H257" s="372"/>
      <c r="I257" s="372"/>
      <c r="J257" s="372"/>
      <c r="K257" s="372"/>
      <c r="L257" s="372"/>
      <c r="M257" s="372"/>
      <c r="N257" s="372"/>
      <c r="O257" s="372"/>
      <c r="P257" s="372"/>
      <c r="Q257" s="635"/>
      <c r="R257" s="372"/>
      <c r="S257" s="372"/>
      <c r="T257" s="372"/>
      <c r="U257" s="626"/>
      <c r="V257" s="626"/>
      <c r="W257" s="626"/>
      <c r="X257" s="631">
        <v>0</v>
      </c>
      <c r="Y257" s="631">
        <v>0</v>
      </c>
      <c r="Z257" s="631">
        <v>0</v>
      </c>
      <c r="AA257" s="631">
        <v>0</v>
      </c>
      <c r="AB257" s="631">
        <v>0</v>
      </c>
      <c r="AC257" s="631">
        <v>0</v>
      </c>
      <c r="AD257" s="631">
        <v>0</v>
      </c>
      <c r="AE257" s="631">
        <v>0</v>
      </c>
    </row>
    <row r="258" spans="1:31" hidden="1">
      <c r="A258" s="634">
        <v>18</v>
      </c>
      <c r="B258" s="639"/>
      <c r="C258" s="634">
        <v>34287</v>
      </c>
      <c r="D258" s="636" t="s">
        <v>692</v>
      </c>
      <c r="E258" s="372"/>
      <c r="F258" s="634" t="s">
        <v>635</v>
      </c>
      <c r="G258" s="635"/>
      <c r="H258" s="634" t="s">
        <v>635</v>
      </c>
      <c r="I258" s="635"/>
      <c r="J258" s="634" t="s">
        <v>635</v>
      </c>
      <c r="K258" s="372"/>
      <c r="L258" s="634" t="s">
        <v>635</v>
      </c>
      <c r="M258" s="372"/>
      <c r="N258" s="634" t="s">
        <v>635</v>
      </c>
      <c r="O258" s="634"/>
      <c r="P258" s="634" t="s">
        <v>635</v>
      </c>
      <c r="Q258" s="635"/>
      <c r="R258" s="634" t="s">
        <v>635</v>
      </c>
      <c r="S258" s="372"/>
      <c r="T258" s="634" t="s">
        <v>635</v>
      </c>
      <c r="U258" s="626"/>
      <c r="V258" s="626"/>
      <c r="W258" s="626"/>
      <c r="X258" s="631">
        <v>0</v>
      </c>
      <c r="Y258" s="631">
        <v>0</v>
      </c>
      <c r="Z258" s="631">
        <v>0</v>
      </c>
      <c r="AA258" s="631">
        <v>0</v>
      </c>
      <c r="AB258" s="631">
        <v>0</v>
      </c>
      <c r="AC258" s="631">
        <v>0</v>
      </c>
      <c r="AD258" s="631">
        <v>0</v>
      </c>
      <c r="AE258" s="631">
        <v>0</v>
      </c>
    </row>
    <row r="259" spans="1:31" hidden="1">
      <c r="A259" s="634">
        <v>19</v>
      </c>
      <c r="B259" s="639"/>
      <c r="C259" s="634">
        <v>34687</v>
      </c>
      <c r="D259" s="372" t="s">
        <v>693</v>
      </c>
      <c r="E259" s="372"/>
      <c r="F259" s="634">
        <v>500</v>
      </c>
      <c r="G259" s="635"/>
      <c r="H259" s="634">
        <v>369</v>
      </c>
      <c r="I259" s="635"/>
      <c r="J259" s="634">
        <v>-84</v>
      </c>
      <c r="K259" s="372"/>
      <c r="L259" s="634" t="s">
        <v>628</v>
      </c>
      <c r="M259" s="372"/>
      <c r="N259" s="634" t="s">
        <v>635</v>
      </c>
      <c r="O259" s="634"/>
      <c r="P259" s="634" t="s">
        <v>635</v>
      </c>
      <c r="Q259" s="635"/>
      <c r="R259" s="634">
        <v>785</v>
      </c>
      <c r="S259" s="372"/>
      <c r="T259" s="634">
        <v>610</v>
      </c>
      <c r="U259" s="626"/>
      <c r="V259" s="626"/>
      <c r="W259" s="626"/>
      <c r="X259" s="641">
        <v>5</v>
      </c>
      <c r="Y259" s="641">
        <v>5</v>
      </c>
      <c r="Z259" s="641">
        <v>5</v>
      </c>
      <c r="AA259" s="631">
        <v>0</v>
      </c>
      <c r="AB259" s="631">
        <v>0</v>
      </c>
      <c r="AC259" s="631">
        <v>0</v>
      </c>
      <c r="AD259" s="641">
        <v>5</v>
      </c>
      <c r="AE259" s="641">
        <v>5</v>
      </c>
    </row>
    <row r="260" spans="1:31" hidden="1">
      <c r="A260" s="634">
        <v>20</v>
      </c>
      <c r="B260" s="639"/>
      <c r="C260" s="634"/>
      <c r="D260" s="372"/>
      <c r="E260" s="372"/>
      <c r="F260" s="372"/>
      <c r="G260" s="372"/>
      <c r="H260" s="372"/>
      <c r="I260" s="635"/>
      <c r="J260" s="643"/>
      <c r="K260" s="635"/>
      <c r="L260" s="643"/>
      <c r="M260" s="635"/>
      <c r="N260" s="643"/>
      <c r="O260" s="635"/>
      <c r="P260" s="643"/>
      <c r="Q260" s="635"/>
      <c r="R260" s="643"/>
      <c r="S260" s="635"/>
      <c r="T260" s="643"/>
      <c r="U260" s="626"/>
      <c r="V260" s="626"/>
      <c r="W260" s="626"/>
      <c r="X260" s="631">
        <v>0</v>
      </c>
      <c r="Y260" s="631">
        <v>0</v>
      </c>
      <c r="Z260" s="631">
        <v>0</v>
      </c>
      <c r="AA260" s="631">
        <v>0</v>
      </c>
      <c r="AB260" s="631">
        <v>0</v>
      </c>
      <c r="AC260" s="631">
        <v>0</v>
      </c>
      <c r="AD260" s="631">
        <v>0</v>
      </c>
      <c r="AE260" s="631">
        <v>0</v>
      </c>
    </row>
    <row r="261" spans="1:31" ht="15" hidden="1" thickBot="1">
      <c r="A261" s="634">
        <v>21</v>
      </c>
      <c r="B261" s="639"/>
      <c r="C261" s="634"/>
      <c r="D261" s="372" t="s">
        <v>694</v>
      </c>
      <c r="E261" s="372"/>
      <c r="F261" s="646">
        <v>507564</v>
      </c>
      <c r="G261" s="372"/>
      <c r="H261" s="646">
        <v>51541</v>
      </c>
      <c r="I261" s="635"/>
      <c r="J261" s="646">
        <v>-9478</v>
      </c>
      <c r="K261" s="635"/>
      <c r="L261" s="646">
        <v>-1293</v>
      </c>
      <c r="M261" s="635"/>
      <c r="N261" s="647">
        <v>405</v>
      </c>
      <c r="O261" s="372"/>
      <c r="P261" s="647" t="s">
        <v>635</v>
      </c>
      <c r="Q261" s="635"/>
      <c r="R261" s="646">
        <v>548739</v>
      </c>
      <c r="S261" s="635"/>
      <c r="T261" s="646">
        <v>525802</v>
      </c>
      <c r="U261" s="626"/>
      <c r="V261" s="626"/>
      <c r="W261" s="626"/>
      <c r="X261" s="641">
        <v>5</v>
      </c>
      <c r="Y261" s="641">
        <v>5</v>
      </c>
      <c r="Z261" s="641">
        <v>5</v>
      </c>
      <c r="AA261" s="641">
        <v>5</v>
      </c>
      <c r="AB261" s="641">
        <v>5</v>
      </c>
      <c r="AC261" s="631">
        <v>0</v>
      </c>
      <c r="AD261" s="641">
        <v>5</v>
      </c>
      <c r="AE261" s="641">
        <v>5</v>
      </c>
    </row>
    <row r="262" spans="1:31" ht="15" hidden="1" thickTop="1">
      <c r="A262" s="634">
        <v>22</v>
      </c>
      <c r="B262" s="639"/>
      <c r="C262" s="372"/>
      <c r="D262" s="372"/>
      <c r="E262" s="372"/>
      <c r="F262" s="372"/>
      <c r="G262" s="372"/>
      <c r="H262" s="372"/>
      <c r="I262" s="372"/>
      <c r="J262" s="372"/>
      <c r="K262" s="372"/>
      <c r="L262" s="372"/>
      <c r="M262" s="372"/>
      <c r="N262" s="372"/>
      <c r="O262" s="372"/>
      <c r="P262" s="372"/>
      <c r="Q262" s="635"/>
      <c r="R262" s="372"/>
      <c r="S262" s="372"/>
      <c r="T262" s="372"/>
      <c r="U262" s="626"/>
      <c r="V262" s="626"/>
      <c r="W262" s="626"/>
      <c r="X262" s="631">
        <v>0</v>
      </c>
      <c r="Y262" s="631">
        <v>0</v>
      </c>
      <c r="Z262" s="631">
        <v>0</v>
      </c>
      <c r="AA262" s="631">
        <v>0</v>
      </c>
      <c r="AB262" s="631">
        <v>0</v>
      </c>
      <c r="AC262" s="631">
        <v>0</v>
      </c>
      <c r="AD262" s="631">
        <v>0</v>
      </c>
      <c r="AE262" s="631">
        <v>0</v>
      </c>
    </row>
    <row r="263" spans="1:31" hidden="1">
      <c r="A263" s="634">
        <v>23</v>
      </c>
      <c r="B263" s="639"/>
      <c r="C263" s="372"/>
      <c r="D263" s="372"/>
      <c r="E263" s="372"/>
      <c r="F263" s="372"/>
      <c r="G263" s="372"/>
      <c r="H263" s="372"/>
      <c r="I263" s="372"/>
      <c r="J263" s="372"/>
      <c r="K263" s="372"/>
      <c r="L263" s="372"/>
      <c r="M263" s="372"/>
      <c r="N263" s="372"/>
      <c r="O263" s="372"/>
      <c r="P263" s="372"/>
      <c r="Q263" s="635"/>
      <c r="R263" s="372"/>
      <c r="S263" s="372"/>
      <c r="T263" s="372"/>
      <c r="U263" s="626"/>
      <c r="V263" s="626"/>
      <c r="W263" s="626"/>
      <c r="X263" s="631">
        <v>0</v>
      </c>
      <c r="Y263" s="631">
        <v>0</v>
      </c>
      <c r="Z263" s="631">
        <v>0</v>
      </c>
      <c r="AA263" s="631">
        <v>0</v>
      </c>
      <c r="AB263" s="631">
        <v>0</v>
      </c>
      <c r="AC263" s="631">
        <v>0</v>
      </c>
      <c r="AD263" s="631">
        <v>0</v>
      </c>
      <c r="AE263" s="631">
        <v>0</v>
      </c>
    </row>
    <row r="264" spans="1:31" hidden="1">
      <c r="A264" s="634">
        <v>24</v>
      </c>
      <c r="B264" s="639"/>
      <c r="C264" s="372"/>
      <c r="D264" s="372"/>
      <c r="E264" s="372"/>
      <c r="F264" s="372"/>
      <c r="G264" s="372"/>
      <c r="H264" s="372"/>
      <c r="I264" s="372"/>
      <c r="J264" s="372"/>
      <c r="K264" s="372"/>
      <c r="L264" s="372"/>
      <c r="M264" s="372"/>
      <c r="N264" s="372"/>
      <c r="O264" s="372"/>
      <c r="P264" s="372"/>
      <c r="Q264" s="635"/>
      <c r="R264" s="372"/>
      <c r="S264" s="372"/>
      <c r="T264" s="372"/>
      <c r="U264" s="626"/>
      <c r="V264" s="626"/>
      <c r="W264" s="626"/>
      <c r="X264" s="631">
        <v>0</v>
      </c>
      <c r="Y264" s="631">
        <v>0</v>
      </c>
      <c r="Z264" s="631">
        <v>0</v>
      </c>
      <c r="AA264" s="631">
        <v>0</v>
      </c>
      <c r="AB264" s="631">
        <v>0</v>
      </c>
      <c r="AC264" s="631">
        <v>0</v>
      </c>
      <c r="AD264" s="631">
        <v>0</v>
      </c>
      <c r="AE264" s="631">
        <v>0</v>
      </c>
    </row>
    <row r="265" spans="1:31" hidden="1">
      <c r="A265" s="634">
        <v>25</v>
      </c>
      <c r="B265" s="639"/>
      <c r="C265" s="372"/>
      <c r="D265" s="372" t="s">
        <v>695</v>
      </c>
      <c r="E265" s="372"/>
      <c r="F265" s="372"/>
      <c r="G265" s="372"/>
      <c r="H265" s="372"/>
      <c r="I265" s="372"/>
      <c r="J265" s="372"/>
      <c r="K265" s="372"/>
      <c r="L265" s="372"/>
      <c r="M265" s="372"/>
      <c r="N265" s="372"/>
      <c r="O265" s="372"/>
      <c r="P265" s="372"/>
      <c r="Q265" s="635"/>
      <c r="R265" s="372"/>
      <c r="S265" s="372"/>
      <c r="T265" s="372"/>
      <c r="U265" s="626"/>
      <c r="V265" s="626"/>
      <c r="W265" s="626"/>
      <c r="X265" s="631">
        <v>0</v>
      </c>
      <c r="Y265" s="631">
        <v>0</v>
      </c>
      <c r="Z265" s="631">
        <v>0</v>
      </c>
      <c r="AA265" s="631">
        <v>0</v>
      </c>
      <c r="AB265" s="631">
        <v>0</v>
      </c>
      <c r="AC265" s="631">
        <v>0</v>
      </c>
      <c r="AD265" s="631">
        <v>0</v>
      </c>
      <c r="AE265" s="631">
        <v>0</v>
      </c>
    </row>
    <row r="266" spans="1:31" hidden="1">
      <c r="A266" s="634">
        <v>26</v>
      </c>
      <c r="B266" s="644"/>
      <c r="C266" s="372"/>
      <c r="D266" s="636" t="s">
        <v>696</v>
      </c>
      <c r="E266" s="372"/>
      <c r="F266" s="372"/>
      <c r="G266" s="372"/>
      <c r="H266" s="372"/>
      <c r="I266" s="635"/>
      <c r="J266" s="635"/>
      <c r="K266" s="635"/>
      <c r="L266" s="635"/>
      <c r="M266" s="635"/>
      <c r="N266" s="635"/>
      <c r="O266" s="635"/>
      <c r="P266" s="635"/>
      <c r="Q266" s="635"/>
      <c r="R266" s="635"/>
      <c r="S266" s="635"/>
      <c r="T266" s="635"/>
      <c r="U266" s="626"/>
      <c r="V266" s="626"/>
      <c r="W266" s="626"/>
      <c r="X266" s="631">
        <v>0</v>
      </c>
      <c r="Y266" s="631">
        <v>0</v>
      </c>
      <c r="Z266" s="631">
        <v>0</v>
      </c>
      <c r="AA266" s="631">
        <v>0</v>
      </c>
      <c r="AB266" s="631">
        <v>0</v>
      </c>
      <c r="AC266" s="631">
        <v>0</v>
      </c>
      <c r="AD266" s="631">
        <v>0</v>
      </c>
      <c r="AE266" s="631">
        <v>0</v>
      </c>
    </row>
    <row r="267" spans="1:31" hidden="1">
      <c r="A267" s="634">
        <v>27</v>
      </c>
      <c r="B267" s="644"/>
      <c r="C267" s="634">
        <v>34130</v>
      </c>
      <c r="D267" s="372" t="s">
        <v>627</v>
      </c>
      <c r="E267" s="372"/>
      <c r="F267" s="640">
        <v>24401</v>
      </c>
      <c r="G267" s="635"/>
      <c r="H267" s="640">
        <v>3360</v>
      </c>
      <c r="I267" s="635"/>
      <c r="J267" s="634">
        <v>-987</v>
      </c>
      <c r="K267" s="372"/>
      <c r="L267" s="634">
        <v>-192</v>
      </c>
      <c r="M267" s="372"/>
      <c r="N267" s="634" t="s">
        <v>628</v>
      </c>
      <c r="O267" s="634"/>
      <c r="P267" s="634" t="s">
        <v>635</v>
      </c>
      <c r="Q267" s="635"/>
      <c r="R267" s="640">
        <v>26582</v>
      </c>
      <c r="S267" s="372"/>
      <c r="T267" s="640">
        <v>25569</v>
      </c>
      <c r="U267" s="626"/>
      <c r="V267" s="626"/>
      <c r="W267" s="626"/>
      <c r="X267" s="641">
        <v>5</v>
      </c>
      <c r="Y267" s="641">
        <v>5</v>
      </c>
      <c r="Z267" s="641">
        <v>5</v>
      </c>
      <c r="AA267" s="641">
        <v>5</v>
      </c>
      <c r="AB267" s="631">
        <v>0</v>
      </c>
      <c r="AC267" s="631">
        <v>0</v>
      </c>
      <c r="AD267" s="641">
        <v>5</v>
      </c>
      <c r="AE267" s="641">
        <v>5</v>
      </c>
    </row>
    <row r="268" spans="1:31" hidden="1">
      <c r="A268" s="634">
        <v>28</v>
      </c>
      <c r="B268" s="644"/>
      <c r="C268" s="634">
        <v>34230</v>
      </c>
      <c r="D268" s="372" t="s">
        <v>666</v>
      </c>
      <c r="E268" s="372"/>
      <c r="F268" s="640">
        <v>7754</v>
      </c>
      <c r="G268" s="635"/>
      <c r="H268" s="634">
        <v>733</v>
      </c>
      <c r="I268" s="635"/>
      <c r="J268" s="634">
        <v>-78</v>
      </c>
      <c r="K268" s="372"/>
      <c r="L268" s="634">
        <v>-514</v>
      </c>
      <c r="M268" s="372"/>
      <c r="N268" s="634">
        <v>10</v>
      </c>
      <c r="O268" s="634"/>
      <c r="P268" s="634" t="s">
        <v>635</v>
      </c>
      <c r="Q268" s="635"/>
      <c r="R268" s="640">
        <v>7904</v>
      </c>
      <c r="S268" s="372"/>
      <c r="T268" s="640">
        <v>8015</v>
      </c>
      <c r="U268" s="626"/>
      <c r="V268" s="626"/>
      <c r="W268" s="626"/>
      <c r="X268" s="641">
        <v>5</v>
      </c>
      <c r="Y268" s="641">
        <v>4</v>
      </c>
      <c r="Z268" s="641">
        <v>5</v>
      </c>
      <c r="AA268" s="641">
        <v>5</v>
      </c>
      <c r="AB268" s="641">
        <v>5</v>
      </c>
      <c r="AC268" s="631">
        <v>0</v>
      </c>
      <c r="AD268" s="641">
        <v>5</v>
      </c>
      <c r="AE268" s="641">
        <v>5</v>
      </c>
    </row>
    <row r="269" spans="1:31" hidden="1">
      <c r="A269" s="634">
        <v>29</v>
      </c>
      <c r="B269" s="639"/>
      <c r="C269" s="634">
        <v>34330</v>
      </c>
      <c r="D269" s="372" t="s">
        <v>667</v>
      </c>
      <c r="E269" s="372"/>
      <c r="F269" s="640">
        <v>15238</v>
      </c>
      <c r="G269" s="635"/>
      <c r="H269" s="640">
        <v>2136</v>
      </c>
      <c r="I269" s="635"/>
      <c r="J269" s="634">
        <v>-166</v>
      </c>
      <c r="K269" s="372"/>
      <c r="L269" s="634">
        <v>-883</v>
      </c>
      <c r="M269" s="372"/>
      <c r="N269" s="634">
        <v>16</v>
      </c>
      <c r="O269" s="634"/>
      <c r="P269" s="634" t="s">
        <v>635</v>
      </c>
      <c r="Q269" s="635"/>
      <c r="R269" s="640">
        <v>16341</v>
      </c>
      <c r="S269" s="372"/>
      <c r="T269" s="640">
        <v>15984</v>
      </c>
      <c r="U269" s="626"/>
      <c r="V269" s="626"/>
      <c r="W269" s="626"/>
      <c r="X269" s="641">
        <v>5</v>
      </c>
      <c r="Y269" s="641">
        <v>4</v>
      </c>
      <c r="Z269" s="641">
        <v>5</v>
      </c>
      <c r="AA269" s="641">
        <v>5</v>
      </c>
      <c r="AB269" s="641">
        <v>5</v>
      </c>
      <c r="AC269" s="631">
        <v>0</v>
      </c>
      <c r="AD269" s="641">
        <v>5</v>
      </c>
      <c r="AE269" s="641">
        <v>5</v>
      </c>
    </row>
    <row r="270" spans="1:31" hidden="1">
      <c r="A270" s="634">
        <v>30</v>
      </c>
      <c r="B270" s="639"/>
      <c r="C270" s="634">
        <v>34530</v>
      </c>
      <c r="D270" s="372" t="s">
        <v>631</v>
      </c>
      <c r="E270" s="372"/>
      <c r="F270" s="640">
        <v>14619</v>
      </c>
      <c r="G270" s="635"/>
      <c r="H270" s="634">
        <v>979</v>
      </c>
      <c r="I270" s="635"/>
      <c r="J270" s="640">
        <v>-2525</v>
      </c>
      <c r="K270" s="372"/>
      <c r="L270" s="634">
        <v>-20</v>
      </c>
      <c r="M270" s="372"/>
      <c r="N270" s="634" t="s">
        <v>628</v>
      </c>
      <c r="O270" s="634"/>
      <c r="P270" s="634" t="s">
        <v>635</v>
      </c>
      <c r="Q270" s="635"/>
      <c r="R270" s="640">
        <v>13053</v>
      </c>
      <c r="S270" s="372"/>
      <c r="T270" s="640">
        <v>13052</v>
      </c>
      <c r="U270" s="626"/>
      <c r="V270" s="626"/>
      <c r="W270" s="626"/>
      <c r="X270" s="641">
        <v>5</v>
      </c>
      <c r="Y270" s="641">
        <v>5</v>
      </c>
      <c r="Z270" s="641">
        <v>5</v>
      </c>
      <c r="AA270" s="641">
        <v>5</v>
      </c>
      <c r="AB270" s="631">
        <v>0</v>
      </c>
      <c r="AC270" s="631">
        <v>0</v>
      </c>
      <c r="AD270" s="641">
        <v>4</v>
      </c>
      <c r="AE270" s="641">
        <v>5</v>
      </c>
    </row>
    <row r="271" spans="1:31" hidden="1">
      <c r="A271" s="634">
        <v>31</v>
      </c>
      <c r="B271" s="639"/>
      <c r="C271" s="634">
        <v>34630</v>
      </c>
      <c r="D271" s="372" t="s">
        <v>632</v>
      </c>
      <c r="E271" s="372"/>
      <c r="F271" s="640">
        <v>4524</v>
      </c>
      <c r="G271" s="635"/>
      <c r="H271" s="634">
        <v>453</v>
      </c>
      <c r="I271" s="635"/>
      <c r="J271" s="634">
        <v>-24</v>
      </c>
      <c r="K271" s="372"/>
      <c r="L271" s="634">
        <v>-10</v>
      </c>
      <c r="M271" s="372"/>
      <c r="N271" s="634" t="s">
        <v>628</v>
      </c>
      <c r="O271" s="634"/>
      <c r="P271" s="634" t="s">
        <v>635</v>
      </c>
      <c r="Q271" s="635"/>
      <c r="R271" s="640">
        <v>4943</v>
      </c>
      <c r="S271" s="372"/>
      <c r="T271" s="640">
        <v>4732</v>
      </c>
      <c r="U271" s="626"/>
      <c r="V271" s="626"/>
      <c r="W271" s="626"/>
      <c r="X271" s="641">
        <v>5</v>
      </c>
      <c r="Y271" s="641">
        <v>5</v>
      </c>
      <c r="Z271" s="641">
        <v>3</v>
      </c>
      <c r="AA271" s="641">
        <v>4</v>
      </c>
      <c r="AB271" s="631">
        <v>0</v>
      </c>
      <c r="AC271" s="631">
        <v>0</v>
      </c>
      <c r="AD271" s="641">
        <v>5</v>
      </c>
      <c r="AE271" s="641">
        <v>5</v>
      </c>
    </row>
    <row r="272" spans="1:31" hidden="1">
      <c r="A272" s="634">
        <v>32</v>
      </c>
      <c r="B272" s="639"/>
      <c r="C272" s="634"/>
      <c r="D272" s="636" t="s">
        <v>697</v>
      </c>
      <c r="E272" s="372"/>
      <c r="F272" s="642">
        <v>66535</v>
      </c>
      <c r="G272" s="372"/>
      <c r="H272" s="642">
        <v>7661</v>
      </c>
      <c r="I272" s="635"/>
      <c r="J272" s="642">
        <v>-3782</v>
      </c>
      <c r="K272" s="635"/>
      <c r="L272" s="642">
        <v>-1618</v>
      </c>
      <c r="M272" s="635"/>
      <c r="N272" s="643">
        <v>26</v>
      </c>
      <c r="O272" s="635"/>
      <c r="P272" s="643" t="s">
        <v>635</v>
      </c>
      <c r="Q272" s="635"/>
      <c r="R272" s="642">
        <v>68823</v>
      </c>
      <c r="S272" s="635"/>
      <c r="T272" s="642">
        <v>67351</v>
      </c>
      <c r="U272" s="626"/>
      <c r="V272" s="626"/>
      <c r="W272" s="626"/>
      <c r="X272" s="641">
        <v>5</v>
      </c>
      <c r="Y272" s="641">
        <v>5</v>
      </c>
      <c r="Z272" s="641">
        <v>5</v>
      </c>
      <c r="AA272" s="641">
        <v>5</v>
      </c>
      <c r="AB272" s="641">
        <v>5</v>
      </c>
      <c r="AC272" s="631">
        <v>0</v>
      </c>
      <c r="AD272" s="641">
        <v>5</v>
      </c>
      <c r="AE272" s="641">
        <v>5</v>
      </c>
    </row>
    <row r="273" spans="1:31" hidden="1">
      <c r="A273" s="634">
        <v>33</v>
      </c>
      <c r="B273" s="639"/>
      <c r="C273" s="372"/>
      <c r="D273" s="372"/>
      <c r="E273" s="372"/>
      <c r="F273" s="372"/>
      <c r="G273" s="372"/>
      <c r="H273" s="372"/>
      <c r="I273" s="372"/>
      <c r="J273" s="372"/>
      <c r="K273" s="372"/>
      <c r="L273" s="372"/>
      <c r="M273" s="372"/>
      <c r="N273" s="372"/>
      <c r="O273" s="372"/>
      <c r="P273" s="372"/>
      <c r="Q273" s="635"/>
      <c r="R273" s="372"/>
      <c r="S273" s="372"/>
      <c r="T273" s="372"/>
      <c r="U273" s="626"/>
      <c r="V273" s="626"/>
      <c r="W273" s="626"/>
      <c r="X273" s="631">
        <v>0</v>
      </c>
      <c r="Y273" s="631">
        <v>0</v>
      </c>
      <c r="Z273" s="631">
        <v>0</v>
      </c>
      <c r="AA273" s="631">
        <v>0</v>
      </c>
      <c r="AB273" s="631">
        <v>0</v>
      </c>
      <c r="AC273" s="631">
        <v>0</v>
      </c>
      <c r="AD273" s="631">
        <v>0</v>
      </c>
      <c r="AE273" s="631">
        <v>0</v>
      </c>
    </row>
    <row r="274" spans="1:31" hidden="1">
      <c r="A274" s="634">
        <v>34</v>
      </c>
      <c r="B274" s="372"/>
      <c r="C274" s="372"/>
      <c r="D274" s="636" t="s">
        <v>698</v>
      </c>
      <c r="E274" s="372"/>
      <c r="F274" s="372"/>
      <c r="G274" s="372"/>
      <c r="H274" s="372"/>
      <c r="I274" s="372"/>
      <c r="J274" s="372"/>
      <c r="K274" s="372"/>
      <c r="L274" s="372"/>
      <c r="M274" s="372"/>
      <c r="N274" s="372"/>
      <c r="O274" s="372"/>
      <c r="P274" s="372"/>
      <c r="Q274" s="635"/>
      <c r="R274" s="372"/>
      <c r="S274" s="372"/>
      <c r="T274" s="372"/>
      <c r="U274" s="626"/>
      <c r="V274" s="626"/>
      <c r="W274" s="626"/>
      <c r="X274" s="631">
        <v>0</v>
      </c>
      <c r="Y274" s="631">
        <v>0</v>
      </c>
      <c r="Z274" s="631">
        <v>0</v>
      </c>
      <c r="AA274" s="631">
        <v>0</v>
      </c>
      <c r="AB274" s="631">
        <v>0</v>
      </c>
      <c r="AC274" s="631">
        <v>0</v>
      </c>
      <c r="AD274" s="631">
        <v>0</v>
      </c>
      <c r="AE274" s="631">
        <v>0</v>
      </c>
    </row>
    <row r="275" spans="1:31" hidden="1">
      <c r="A275" s="634">
        <v>35</v>
      </c>
      <c r="B275" s="372"/>
      <c r="C275" s="634">
        <v>34131</v>
      </c>
      <c r="D275" s="372" t="s">
        <v>627</v>
      </c>
      <c r="E275" s="372"/>
      <c r="F275" s="640">
        <v>8307</v>
      </c>
      <c r="G275" s="635"/>
      <c r="H275" s="634">
        <v>768</v>
      </c>
      <c r="I275" s="635"/>
      <c r="J275" s="634">
        <v>-219</v>
      </c>
      <c r="K275" s="372"/>
      <c r="L275" s="634">
        <v>-11</v>
      </c>
      <c r="M275" s="372"/>
      <c r="N275" s="634" t="s">
        <v>628</v>
      </c>
      <c r="O275" s="634"/>
      <c r="P275" s="634" t="s">
        <v>635</v>
      </c>
      <c r="Q275" s="635"/>
      <c r="R275" s="640">
        <v>8845</v>
      </c>
      <c r="S275" s="372"/>
      <c r="T275" s="640">
        <v>8543</v>
      </c>
      <c r="U275" s="626"/>
      <c r="V275" s="626"/>
      <c r="W275" s="626"/>
      <c r="X275" s="641">
        <v>5</v>
      </c>
      <c r="Y275" s="641">
        <v>5</v>
      </c>
      <c r="Z275" s="641">
        <v>5</v>
      </c>
      <c r="AA275" s="641">
        <v>4</v>
      </c>
      <c r="AB275" s="631">
        <v>0</v>
      </c>
      <c r="AC275" s="631">
        <v>0</v>
      </c>
      <c r="AD275" s="641">
        <v>4</v>
      </c>
      <c r="AE275" s="641">
        <v>5</v>
      </c>
    </row>
    <row r="276" spans="1:31" hidden="1">
      <c r="A276" s="634">
        <v>36</v>
      </c>
      <c r="B276" s="372"/>
      <c r="C276" s="634">
        <v>34231</v>
      </c>
      <c r="D276" s="372" t="s">
        <v>666</v>
      </c>
      <c r="E276" s="372"/>
      <c r="F276" s="640">
        <v>36093</v>
      </c>
      <c r="G276" s="635"/>
      <c r="H276" s="640">
        <v>3293</v>
      </c>
      <c r="I276" s="635"/>
      <c r="J276" s="640">
        <v>-1214</v>
      </c>
      <c r="K276" s="372"/>
      <c r="L276" s="634">
        <v>-776</v>
      </c>
      <c r="M276" s="372"/>
      <c r="N276" s="634">
        <v>38</v>
      </c>
      <c r="O276" s="634"/>
      <c r="P276" s="634" t="s">
        <v>635</v>
      </c>
      <c r="Q276" s="635"/>
      <c r="R276" s="640">
        <v>37434</v>
      </c>
      <c r="S276" s="372"/>
      <c r="T276" s="640">
        <v>36539</v>
      </c>
      <c r="U276" s="626"/>
      <c r="V276" s="626"/>
      <c r="W276" s="626"/>
      <c r="X276" s="641">
        <v>4</v>
      </c>
      <c r="Y276" s="641">
        <v>5</v>
      </c>
      <c r="Z276" s="641">
        <v>5</v>
      </c>
      <c r="AA276" s="641">
        <v>5</v>
      </c>
      <c r="AB276" s="641">
        <v>5</v>
      </c>
      <c r="AC276" s="631">
        <v>0</v>
      </c>
      <c r="AD276" s="641">
        <v>5</v>
      </c>
      <c r="AE276" s="641">
        <v>5</v>
      </c>
    </row>
    <row r="277" spans="1:31" hidden="1">
      <c r="A277" s="634">
        <v>37</v>
      </c>
      <c r="B277" s="372"/>
      <c r="C277" s="634">
        <v>34331</v>
      </c>
      <c r="D277" s="372" t="s">
        <v>667</v>
      </c>
      <c r="E277" s="372"/>
      <c r="F277" s="640">
        <v>82700</v>
      </c>
      <c r="G277" s="635"/>
      <c r="H277" s="640">
        <v>14686</v>
      </c>
      <c r="I277" s="635"/>
      <c r="J277" s="640">
        <v>-3537</v>
      </c>
      <c r="K277" s="372"/>
      <c r="L277" s="640">
        <v>-1607</v>
      </c>
      <c r="M277" s="372"/>
      <c r="N277" s="634">
        <v>135</v>
      </c>
      <c r="O277" s="634"/>
      <c r="P277" s="634" t="s">
        <v>635</v>
      </c>
      <c r="Q277" s="635"/>
      <c r="R277" s="640">
        <v>92377</v>
      </c>
      <c r="S277" s="372"/>
      <c r="T277" s="640">
        <v>87783</v>
      </c>
      <c r="U277" s="626"/>
      <c r="V277" s="626"/>
      <c r="W277" s="626"/>
      <c r="X277" s="641">
        <v>5</v>
      </c>
      <c r="Y277" s="641">
        <v>5</v>
      </c>
      <c r="Z277" s="641">
        <v>5</v>
      </c>
      <c r="AA277" s="641">
        <v>5</v>
      </c>
      <c r="AB277" s="641">
        <v>4</v>
      </c>
      <c r="AC277" s="631">
        <v>0</v>
      </c>
      <c r="AD277" s="641">
        <v>5</v>
      </c>
      <c r="AE277" s="641">
        <v>5</v>
      </c>
    </row>
    <row r="278" spans="1:31" hidden="1">
      <c r="A278" s="634">
        <v>38</v>
      </c>
      <c r="B278" s="372"/>
      <c r="C278" s="634">
        <v>34531</v>
      </c>
      <c r="D278" s="372" t="s">
        <v>631</v>
      </c>
      <c r="E278" s="372"/>
      <c r="F278" s="640">
        <v>20314</v>
      </c>
      <c r="G278" s="635"/>
      <c r="H278" s="640">
        <v>1616</v>
      </c>
      <c r="I278" s="635"/>
      <c r="J278" s="634">
        <v>-58</v>
      </c>
      <c r="K278" s="372"/>
      <c r="L278" s="634" t="s">
        <v>628</v>
      </c>
      <c r="M278" s="372"/>
      <c r="N278" s="634" t="s">
        <v>635</v>
      </c>
      <c r="O278" s="634"/>
      <c r="P278" s="634" t="s">
        <v>635</v>
      </c>
      <c r="Q278" s="635"/>
      <c r="R278" s="640">
        <v>21872</v>
      </c>
      <c r="S278" s="372"/>
      <c r="T278" s="640">
        <v>21094</v>
      </c>
      <c r="U278" s="626"/>
      <c r="V278" s="626"/>
      <c r="W278" s="626"/>
      <c r="X278" s="641">
        <v>5</v>
      </c>
      <c r="Y278" s="641">
        <v>5</v>
      </c>
      <c r="Z278" s="641">
        <v>3</v>
      </c>
      <c r="AA278" s="631">
        <v>0</v>
      </c>
      <c r="AB278" s="631">
        <v>0</v>
      </c>
      <c r="AC278" s="631">
        <v>0</v>
      </c>
      <c r="AD278" s="641">
        <v>5</v>
      </c>
      <c r="AE278" s="641">
        <v>5</v>
      </c>
    </row>
    <row r="279" spans="1:31" hidden="1">
      <c r="A279" s="634">
        <v>39</v>
      </c>
      <c r="B279" s="372"/>
      <c r="C279" s="634">
        <v>34631</v>
      </c>
      <c r="D279" s="372" t="s">
        <v>632</v>
      </c>
      <c r="E279" s="372"/>
      <c r="F279" s="634">
        <v>598</v>
      </c>
      <c r="G279" s="635"/>
      <c r="H279" s="634">
        <v>38</v>
      </c>
      <c r="I279" s="635"/>
      <c r="J279" s="634" t="s">
        <v>635</v>
      </c>
      <c r="K279" s="372"/>
      <c r="L279" s="634" t="s">
        <v>635</v>
      </c>
      <c r="M279" s="372"/>
      <c r="N279" s="634" t="s">
        <v>635</v>
      </c>
      <c r="O279" s="634"/>
      <c r="P279" s="634" t="s">
        <v>635</v>
      </c>
      <c r="Q279" s="635"/>
      <c r="R279" s="634">
        <v>636</v>
      </c>
      <c r="S279" s="372"/>
      <c r="T279" s="634">
        <v>617</v>
      </c>
      <c r="U279" s="626"/>
      <c r="V279" s="626"/>
      <c r="W279" s="626"/>
      <c r="X279" s="641">
        <v>3</v>
      </c>
      <c r="Y279" s="641">
        <v>5</v>
      </c>
      <c r="Z279" s="631">
        <v>0</v>
      </c>
      <c r="AA279" s="631">
        <v>0</v>
      </c>
      <c r="AB279" s="631">
        <v>0</v>
      </c>
      <c r="AC279" s="631">
        <v>0</v>
      </c>
      <c r="AD279" s="641">
        <v>5</v>
      </c>
      <c r="AE279" s="641">
        <v>5</v>
      </c>
    </row>
    <row r="280" spans="1:31" hidden="1">
      <c r="A280" s="634">
        <v>40</v>
      </c>
      <c r="B280" s="372"/>
      <c r="C280" s="372"/>
      <c r="D280" s="636" t="s">
        <v>699</v>
      </c>
      <c r="E280" s="372"/>
      <c r="F280" s="642">
        <v>148013</v>
      </c>
      <c r="G280" s="372"/>
      <c r="H280" s="642">
        <v>20399</v>
      </c>
      <c r="I280" s="635"/>
      <c r="J280" s="642">
        <v>-5028</v>
      </c>
      <c r="K280" s="635"/>
      <c r="L280" s="642">
        <v>-2393</v>
      </c>
      <c r="M280" s="635"/>
      <c r="N280" s="643">
        <v>174</v>
      </c>
      <c r="O280" s="635"/>
      <c r="P280" s="643" t="s">
        <v>635</v>
      </c>
      <c r="Q280" s="635"/>
      <c r="R280" s="642">
        <v>161164</v>
      </c>
      <c r="S280" s="635"/>
      <c r="T280" s="642">
        <v>154577</v>
      </c>
      <c r="U280" s="626"/>
      <c r="V280" s="626"/>
      <c r="W280" s="626"/>
      <c r="X280" s="641">
        <v>5</v>
      </c>
      <c r="Y280" s="641">
        <v>3</v>
      </c>
      <c r="Z280" s="641">
        <v>5</v>
      </c>
      <c r="AA280" s="641">
        <v>5</v>
      </c>
      <c r="AB280" s="641">
        <v>5</v>
      </c>
      <c r="AC280" s="631">
        <v>0</v>
      </c>
      <c r="AD280" s="641">
        <v>5</v>
      </c>
      <c r="AE280" s="641">
        <v>5</v>
      </c>
    </row>
    <row r="281" spans="1:31" hidden="1">
      <c r="A281" s="634">
        <v>41</v>
      </c>
      <c r="B281" s="372"/>
      <c r="C281" s="372"/>
      <c r="D281" s="372"/>
      <c r="E281" s="372"/>
      <c r="F281" s="372"/>
      <c r="G281" s="372"/>
      <c r="H281" s="372"/>
      <c r="I281" s="372"/>
      <c r="J281" s="372"/>
      <c r="K281" s="372"/>
      <c r="L281" s="372"/>
      <c r="M281" s="372"/>
      <c r="N281" s="372"/>
      <c r="O281" s="372"/>
      <c r="P281" s="372"/>
      <c r="Q281" s="635"/>
      <c r="R281" s="372"/>
      <c r="S281" s="372"/>
      <c r="T281" s="372"/>
      <c r="U281" s="626"/>
      <c r="V281" s="626"/>
      <c r="W281" s="626"/>
      <c r="X281" s="631">
        <v>0</v>
      </c>
      <c r="Y281" s="631">
        <v>0</v>
      </c>
      <c r="Z281" s="631">
        <v>0</v>
      </c>
      <c r="AA281" s="631">
        <v>0</v>
      </c>
      <c r="AB281" s="631">
        <v>0</v>
      </c>
      <c r="AC281" s="631">
        <v>0</v>
      </c>
      <c r="AD281" s="631">
        <v>0</v>
      </c>
      <c r="AE281" s="631">
        <v>0</v>
      </c>
    </row>
    <row r="282" spans="1:31" hidden="1">
      <c r="A282" s="634">
        <v>42</v>
      </c>
      <c r="B282" s="372"/>
      <c r="C282" s="372"/>
      <c r="D282" s="372"/>
      <c r="E282" s="372"/>
      <c r="F282" s="372"/>
      <c r="G282" s="372"/>
      <c r="H282" s="372"/>
      <c r="I282" s="372"/>
      <c r="J282" s="372"/>
      <c r="K282" s="372"/>
      <c r="L282" s="372"/>
      <c r="M282" s="372"/>
      <c r="N282" s="372"/>
      <c r="O282" s="372"/>
      <c r="P282" s="372"/>
      <c r="Q282" s="635"/>
      <c r="R282" s="372"/>
      <c r="S282" s="372"/>
      <c r="T282" s="372"/>
      <c r="U282" s="626"/>
      <c r="V282" s="626"/>
      <c r="W282" s="626"/>
      <c r="X282" s="631">
        <v>0</v>
      </c>
      <c r="Y282" s="631">
        <v>0</v>
      </c>
      <c r="Z282" s="631">
        <v>0</v>
      </c>
      <c r="AA282" s="631">
        <v>0</v>
      </c>
      <c r="AB282" s="631">
        <v>0</v>
      </c>
      <c r="AC282" s="631">
        <v>0</v>
      </c>
      <c r="AD282" s="631">
        <v>0</v>
      </c>
      <c r="AE282" s="631">
        <v>0</v>
      </c>
    </row>
    <row r="283" spans="1:31" hidden="1">
      <c r="A283" s="634">
        <v>43</v>
      </c>
      <c r="B283" s="372"/>
      <c r="C283" s="372"/>
      <c r="D283" s="372"/>
      <c r="E283" s="372"/>
      <c r="F283" s="372"/>
      <c r="G283" s="372"/>
      <c r="H283" s="372"/>
      <c r="I283" s="372"/>
      <c r="J283" s="372"/>
      <c r="K283" s="372"/>
      <c r="L283" s="372"/>
      <c r="M283" s="372"/>
      <c r="N283" s="372"/>
      <c r="O283" s="372"/>
      <c r="P283" s="372"/>
      <c r="Q283" s="635"/>
      <c r="R283" s="372"/>
      <c r="S283" s="372"/>
      <c r="T283" s="372"/>
      <c r="U283" s="626"/>
      <c r="V283" s="626"/>
      <c r="W283" s="626"/>
      <c r="X283" s="631">
        <v>0</v>
      </c>
      <c r="Y283" s="631">
        <v>0</v>
      </c>
      <c r="Z283" s="631">
        <v>0</v>
      </c>
      <c r="AA283" s="631">
        <v>0</v>
      </c>
      <c r="AB283" s="631">
        <v>0</v>
      </c>
      <c r="AC283" s="631">
        <v>0</v>
      </c>
      <c r="AD283" s="631">
        <v>0</v>
      </c>
      <c r="AE283" s="631">
        <v>0</v>
      </c>
    </row>
    <row r="284" spans="1:31" ht="15" hidden="1" thickBot="1">
      <c r="A284" s="637">
        <v>44</v>
      </c>
      <c r="B284" s="660" t="s">
        <v>67</v>
      </c>
      <c r="C284" s="660"/>
      <c r="D284" s="625"/>
      <c r="E284" s="625"/>
      <c r="F284" s="625"/>
      <c r="G284" s="625"/>
      <c r="H284" s="625"/>
      <c r="I284" s="625"/>
      <c r="J284" s="625"/>
      <c r="K284" s="625"/>
      <c r="L284" s="625"/>
      <c r="M284" s="625"/>
      <c r="N284" s="625"/>
      <c r="O284" s="625"/>
      <c r="P284" s="625"/>
      <c r="Q284" s="638"/>
      <c r="R284" s="625"/>
      <c r="S284" s="625"/>
      <c r="T284" s="625"/>
      <c r="U284" s="626"/>
      <c r="V284" s="626"/>
      <c r="W284" s="626"/>
      <c r="X284" s="631">
        <v>0</v>
      </c>
      <c r="Y284" s="631">
        <v>0</v>
      </c>
      <c r="Z284" s="631">
        <v>0</v>
      </c>
      <c r="AA284" s="631">
        <v>0</v>
      </c>
      <c r="AB284" s="631">
        <v>0</v>
      </c>
      <c r="AC284" s="631">
        <v>0</v>
      </c>
      <c r="AD284" s="631">
        <v>0</v>
      </c>
      <c r="AE284" s="631">
        <v>0</v>
      </c>
    </row>
    <row r="285" spans="1:31" hidden="1">
      <c r="A285" s="664" t="s">
        <v>818</v>
      </c>
      <c r="B285" s="664"/>
      <c r="C285" s="372"/>
      <c r="D285" s="372"/>
      <c r="E285" s="664"/>
      <c r="F285" s="664"/>
      <c r="G285" s="664"/>
      <c r="H285" s="664"/>
      <c r="I285" s="664"/>
      <c r="J285" s="664"/>
      <c r="K285" s="664"/>
      <c r="L285" s="664"/>
      <c r="M285" s="664"/>
      <c r="N285" s="664"/>
      <c r="O285" s="664"/>
      <c r="P285" s="664"/>
      <c r="Q285" s="635"/>
      <c r="R285" s="372" t="s">
        <v>644</v>
      </c>
      <c r="S285" s="664"/>
      <c r="T285" s="664"/>
      <c r="U285" s="626"/>
      <c r="V285" s="626"/>
      <c r="W285" s="626"/>
      <c r="X285" s="631">
        <v>0</v>
      </c>
      <c r="Y285" s="631">
        <v>0</v>
      </c>
      <c r="Z285" s="631">
        <v>0</v>
      </c>
      <c r="AA285" s="631">
        <v>0</v>
      </c>
      <c r="AB285" s="631">
        <v>0</v>
      </c>
      <c r="AC285" s="631">
        <v>0</v>
      </c>
      <c r="AD285" s="631">
        <v>2</v>
      </c>
      <c r="AE285" s="631">
        <v>0</v>
      </c>
    </row>
    <row r="286" spans="1:31" ht="15" hidden="1" thickBot="1">
      <c r="A286" s="625" t="s">
        <v>808</v>
      </c>
      <c r="B286" s="625"/>
      <c r="C286" s="625"/>
      <c r="D286" s="625"/>
      <c r="E286" s="625"/>
      <c r="F286" s="625" t="s">
        <v>809</v>
      </c>
      <c r="G286" s="625"/>
      <c r="H286" s="625"/>
      <c r="I286" s="625"/>
      <c r="J286" s="625"/>
      <c r="K286" s="625"/>
      <c r="L286" s="625"/>
      <c r="M286" s="625"/>
      <c r="N286" s="625"/>
      <c r="O286" s="625"/>
      <c r="P286" s="625"/>
      <c r="Q286" s="638"/>
      <c r="R286" s="625"/>
      <c r="S286" s="625"/>
      <c r="T286" s="625" t="s">
        <v>700</v>
      </c>
      <c r="U286" s="626"/>
      <c r="V286" s="626"/>
      <c r="W286" s="626"/>
      <c r="X286" s="631">
        <v>2</v>
      </c>
      <c r="Y286" s="631">
        <v>0</v>
      </c>
      <c r="Z286" s="631">
        <v>0</v>
      </c>
      <c r="AA286" s="631">
        <v>0</v>
      </c>
      <c r="AB286" s="631">
        <v>0</v>
      </c>
      <c r="AC286" s="631">
        <v>0</v>
      </c>
      <c r="AD286" s="631">
        <v>0</v>
      </c>
      <c r="AE286" s="631">
        <v>2</v>
      </c>
    </row>
    <row r="287" spans="1:31" hidden="1">
      <c r="A287" s="664" t="s">
        <v>4</v>
      </c>
      <c r="B287" s="664"/>
      <c r="C287" s="372"/>
      <c r="D287" s="372"/>
      <c r="E287" s="635" t="s">
        <v>553</v>
      </c>
      <c r="F287" s="372" t="s">
        <v>810</v>
      </c>
      <c r="G287" s="664"/>
      <c r="H287" s="664"/>
      <c r="I287" s="664"/>
      <c r="J287" s="664"/>
      <c r="K287" s="661"/>
      <c r="L287" s="661"/>
      <c r="M287" s="661"/>
      <c r="N287" s="661"/>
      <c r="O287" s="661"/>
      <c r="P287" s="661"/>
      <c r="Q287" s="645"/>
      <c r="R287" s="372" t="s">
        <v>608</v>
      </c>
      <c r="S287" s="664"/>
      <c r="T287" s="664"/>
      <c r="U287" s="626"/>
      <c r="V287" s="626"/>
      <c r="W287" s="626"/>
      <c r="X287" s="631">
        <v>2</v>
      </c>
      <c r="Y287" s="631">
        <v>0</v>
      </c>
      <c r="Z287" s="631">
        <v>0</v>
      </c>
      <c r="AA287" s="631">
        <v>0</v>
      </c>
      <c r="AB287" s="631">
        <v>0</v>
      </c>
      <c r="AC287" s="631">
        <v>0</v>
      </c>
      <c r="AD287" s="631">
        <v>2</v>
      </c>
      <c r="AE287" s="631">
        <v>0</v>
      </c>
    </row>
    <row r="288" spans="1:31" hidden="1">
      <c r="A288" s="372"/>
      <c r="B288" s="372"/>
      <c r="C288" s="372"/>
      <c r="D288" s="372"/>
      <c r="E288" s="372"/>
      <c r="F288" s="372" t="s">
        <v>811</v>
      </c>
      <c r="G288" s="372"/>
      <c r="H288" s="372"/>
      <c r="I288" s="372"/>
      <c r="J288" s="372"/>
      <c r="K288" s="636"/>
      <c r="L288" s="636"/>
      <c r="M288" s="372"/>
      <c r="N288" s="372"/>
      <c r="O288" s="635"/>
      <c r="P288" s="635"/>
      <c r="Q288" s="635"/>
      <c r="R288" s="636" t="s">
        <v>9</v>
      </c>
      <c r="S288" s="372"/>
      <c r="T288" s="372"/>
      <c r="U288" s="626"/>
      <c r="V288" s="626"/>
      <c r="W288" s="626"/>
      <c r="X288" s="631">
        <v>2</v>
      </c>
      <c r="Y288" s="631">
        <v>0</v>
      </c>
      <c r="Z288" s="631">
        <v>0</v>
      </c>
      <c r="AA288" s="631">
        <v>0</v>
      </c>
      <c r="AB288" s="631">
        <v>0</v>
      </c>
      <c r="AC288" s="631">
        <v>0</v>
      </c>
      <c r="AD288" s="631">
        <v>2</v>
      </c>
      <c r="AE288" s="631">
        <v>0</v>
      </c>
    </row>
    <row r="289" spans="1:31" hidden="1">
      <c r="A289" s="372" t="s">
        <v>10</v>
      </c>
      <c r="B289" s="372"/>
      <c r="C289" s="372"/>
      <c r="D289" s="372"/>
      <c r="E289" s="372"/>
      <c r="F289" s="372"/>
      <c r="G289" s="372"/>
      <c r="H289" s="372"/>
      <c r="I289" s="372"/>
      <c r="J289" s="372"/>
      <c r="K289" s="636"/>
      <c r="L289" s="636"/>
      <c r="M289" s="372"/>
      <c r="N289" s="372"/>
      <c r="O289" s="372"/>
      <c r="P289" s="372"/>
      <c r="Q289" s="635"/>
      <c r="R289" s="636" t="s">
        <v>11</v>
      </c>
      <c r="S289" s="372"/>
      <c r="T289" s="372"/>
      <c r="U289" s="626"/>
      <c r="V289" s="626"/>
      <c r="W289" s="626"/>
      <c r="X289" s="631">
        <v>2</v>
      </c>
      <c r="Y289" s="631">
        <v>0</v>
      </c>
      <c r="Z289" s="631">
        <v>0</v>
      </c>
      <c r="AA289" s="631">
        <v>0</v>
      </c>
      <c r="AB289" s="631">
        <v>0</v>
      </c>
      <c r="AC289" s="631">
        <v>0</v>
      </c>
      <c r="AD289" s="631">
        <v>2</v>
      </c>
      <c r="AE289" s="631">
        <v>0</v>
      </c>
    </row>
    <row r="290" spans="1:31" hidden="1">
      <c r="A290" s="372"/>
      <c r="B290" s="372"/>
      <c r="C290" s="372"/>
      <c r="D290" s="372"/>
      <c r="E290" s="372"/>
      <c r="F290" s="372"/>
      <c r="G290" s="372"/>
      <c r="H290" s="372"/>
      <c r="I290" s="372"/>
      <c r="J290" s="372"/>
      <c r="K290" s="636"/>
      <c r="L290" s="636"/>
      <c r="M290" s="372"/>
      <c r="N290" s="372"/>
      <c r="O290" s="372"/>
      <c r="P290" s="372"/>
      <c r="Q290" s="635" t="s">
        <v>12</v>
      </c>
      <c r="R290" s="636" t="s">
        <v>13</v>
      </c>
      <c r="S290" s="372"/>
      <c r="T290" s="372"/>
      <c r="U290" s="626"/>
      <c r="V290" s="626"/>
      <c r="W290" s="626"/>
      <c r="X290" s="631">
        <v>2</v>
      </c>
      <c r="Y290" s="631">
        <v>0</v>
      </c>
      <c r="Z290" s="631">
        <v>0</v>
      </c>
      <c r="AA290" s="631">
        <v>0</v>
      </c>
      <c r="AB290" s="631">
        <v>0</v>
      </c>
      <c r="AC290" s="631">
        <v>0</v>
      </c>
      <c r="AD290" s="631">
        <v>2</v>
      </c>
      <c r="AE290" s="631">
        <v>0</v>
      </c>
    </row>
    <row r="291" spans="1:31" hidden="1">
      <c r="A291" s="372"/>
      <c r="B291" s="372"/>
      <c r="C291" s="372"/>
      <c r="D291" s="372"/>
      <c r="E291" s="372"/>
      <c r="F291" s="372"/>
      <c r="G291" s="372"/>
      <c r="H291" s="372"/>
      <c r="I291" s="372"/>
      <c r="J291" s="372"/>
      <c r="K291" s="636"/>
      <c r="L291" s="636"/>
      <c r="M291" s="372"/>
      <c r="N291" s="372"/>
      <c r="O291" s="372"/>
      <c r="P291" s="372"/>
      <c r="Q291" s="635"/>
      <c r="R291" s="636" t="s">
        <v>610</v>
      </c>
      <c r="S291" s="372"/>
      <c r="T291" s="372"/>
      <c r="U291" s="626"/>
      <c r="V291" s="626"/>
      <c r="W291" s="626"/>
      <c r="X291" s="631">
        <v>0</v>
      </c>
      <c r="Y291" s="631">
        <v>0</v>
      </c>
      <c r="Z291" s="631">
        <v>0</v>
      </c>
      <c r="AA291" s="631">
        <v>0</v>
      </c>
      <c r="AB291" s="631">
        <v>0</v>
      </c>
      <c r="AC291" s="631">
        <v>0</v>
      </c>
      <c r="AD291" s="631">
        <v>2</v>
      </c>
      <c r="AE291" s="631">
        <v>0</v>
      </c>
    </row>
    <row r="292" spans="1:31" ht="15" hidden="1" thickBot="1">
      <c r="A292" s="625" t="s">
        <v>611</v>
      </c>
      <c r="B292" s="625"/>
      <c r="C292" s="625"/>
      <c r="D292" s="625"/>
      <c r="E292" s="625"/>
      <c r="F292" s="625"/>
      <c r="G292" s="625"/>
      <c r="H292" s="637" t="s">
        <v>812</v>
      </c>
      <c r="I292" s="625"/>
      <c r="J292" s="625"/>
      <c r="K292" s="625"/>
      <c r="L292" s="625"/>
      <c r="M292" s="625"/>
      <c r="N292" s="625"/>
      <c r="O292" s="625"/>
      <c r="P292" s="625"/>
      <c r="Q292" s="638"/>
      <c r="R292" s="625" t="s">
        <v>249</v>
      </c>
      <c r="S292" s="625"/>
      <c r="T292" s="625"/>
      <c r="U292" s="626"/>
      <c r="V292" s="626"/>
      <c r="W292" s="626"/>
      <c r="X292" s="631">
        <v>2</v>
      </c>
      <c r="Y292" s="631">
        <v>2</v>
      </c>
      <c r="Z292" s="631">
        <v>0</v>
      </c>
      <c r="AA292" s="631">
        <v>0</v>
      </c>
      <c r="AB292" s="631">
        <v>0</v>
      </c>
      <c r="AC292" s="631">
        <v>0</v>
      </c>
      <c r="AD292" s="631">
        <v>2</v>
      </c>
      <c r="AE292" s="631">
        <v>0</v>
      </c>
    </row>
    <row r="293" spans="1:31" hidden="1">
      <c r="A293" s="664"/>
      <c r="B293" s="664"/>
      <c r="C293" s="634"/>
      <c r="D293" s="634"/>
      <c r="E293" s="634"/>
      <c r="F293" s="634"/>
      <c r="G293" s="634"/>
      <c r="H293" s="634"/>
      <c r="I293" s="634"/>
      <c r="J293" s="634"/>
      <c r="K293" s="634"/>
      <c r="L293" s="634"/>
      <c r="M293" s="634"/>
      <c r="N293" s="634"/>
      <c r="O293" s="634"/>
      <c r="P293" s="634"/>
      <c r="Q293" s="635"/>
      <c r="R293" s="634"/>
      <c r="S293" s="634"/>
      <c r="T293" s="634"/>
      <c r="U293" s="626"/>
      <c r="V293" s="626"/>
      <c r="W293" s="626"/>
      <c r="X293" s="631">
        <v>0</v>
      </c>
      <c r="Y293" s="631">
        <v>0</v>
      </c>
      <c r="Z293" s="631">
        <v>0</v>
      </c>
      <c r="AA293" s="631">
        <v>0</v>
      </c>
      <c r="AB293" s="631">
        <v>0</v>
      </c>
      <c r="AC293" s="631">
        <v>0</v>
      </c>
      <c r="AD293" s="631">
        <v>0</v>
      </c>
      <c r="AE293" s="631">
        <v>0</v>
      </c>
    </row>
    <row r="294" spans="1:31" hidden="1">
      <c r="A294" s="372"/>
      <c r="B294" s="372"/>
      <c r="C294" s="634">
        <v>-1</v>
      </c>
      <c r="D294" s="634">
        <v>-2</v>
      </c>
      <c r="E294" s="634"/>
      <c r="F294" s="634">
        <v>-3</v>
      </c>
      <c r="G294" s="634"/>
      <c r="H294" s="634">
        <v>-4</v>
      </c>
      <c r="I294" s="634"/>
      <c r="J294" s="634">
        <v>-5</v>
      </c>
      <c r="K294" s="634"/>
      <c r="L294" s="634">
        <v>-6</v>
      </c>
      <c r="M294" s="634"/>
      <c r="N294" s="634">
        <v>-7</v>
      </c>
      <c r="O294" s="634"/>
      <c r="P294" s="634">
        <v>-8</v>
      </c>
      <c r="Q294" s="635"/>
      <c r="R294" s="634">
        <v>-9</v>
      </c>
      <c r="S294" s="634"/>
      <c r="T294" s="634">
        <v>-10</v>
      </c>
      <c r="U294" s="626"/>
      <c r="V294" s="626"/>
      <c r="W294" s="626"/>
      <c r="X294" s="631">
        <v>2</v>
      </c>
      <c r="Y294" s="631">
        <v>2</v>
      </c>
      <c r="Z294" s="631">
        <v>2</v>
      </c>
      <c r="AA294" s="631">
        <v>2</v>
      </c>
      <c r="AB294" s="631">
        <v>2</v>
      </c>
      <c r="AC294" s="631">
        <v>2</v>
      </c>
      <c r="AD294" s="631">
        <v>2</v>
      </c>
      <c r="AE294" s="631">
        <v>2</v>
      </c>
    </row>
    <row r="295" spans="1:31" hidden="1">
      <c r="A295" s="372"/>
      <c r="B295" s="372"/>
      <c r="C295" s="634" t="s">
        <v>613</v>
      </c>
      <c r="D295" s="634" t="s">
        <v>613</v>
      </c>
      <c r="E295" s="372"/>
      <c r="F295" s="634" t="s">
        <v>27</v>
      </c>
      <c r="G295" s="634"/>
      <c r="H295" s="634" t="s">
        <v>45</v>
      </c>
      <c r="I295" s="634"/>
      <c r="J295" s="634"/>
      <c r="K295" s="634"/>
      <c r="L295" s="634"/>
      <c r="M295" s="634"/>
      <c r="N295" s="372"/>
      <c r="O295" s="372"/>
      <c r="P295" s="372"/>
      <c r="Q295" s="635"/>
      <c r="R295" s="634" t="s">
        <v>27</v>
      </c>
      <c r="S295" s="372"/>
      <c r="T295" s="372"/>
      <c r="U295" s="626"/>
      <c r="V295" s="626"/>
      <c r="W295" s="626"/>
      <c r="X295" s="631">
        <v>2</v>
      </c>
      <c r="Y295" s="631">
        <v>2</v>
      </c>
      <c r="Z295" s="631">
        <v>0</v>
      </c>
      <c r="AA295" s="631">
        <v>0</v>
      </c>
      <c r="AB295" s="631">
        <v>0</v>
      </c>
      <c r="AC295" s="631">
        <v>0</v>
      </c>
      <c r="AD295" s="631">
        <v>2</v>
      </c>
      <c r="AE295" s="631">
        <v>0</v>
      </c>
    </row>
    <row r="296" spans="1:31" hidden="1">
      <c r="A296" s="634" t="s">
        <v>35</v>
      </c>
      <c r="B296" s="634"/>
      <c r="C296" s="634" t="s">
        <v>614</v>
      </c>
      <c r="D296" s="634" t="s">
        <v>614</v>
      </c>
      <c r="E296" s="634"/>
      <c r="F296" s="634" t="s">
        <v>37</v>
      </c>
      <c r="G296" s="634"/>
      <c r="H296" s="634" t="s">
        <v>37</v>
      </c>
      <c r="I296" s="634"/>
      <c r="J296" s="634"/>
      <c r="K296" s="634"/>
      <c r="L296" s="634" t="s">
        <v>813</v>
      </c>
      <c r="M296" s="636"/>
      <c r="N296" s="634" t="s">
        <v>813</v>
      </c>
      <c r="O296" s="634"/>
      <c r="P296" s="634" t="s">
        <v>178</v>
      </c>
      <c r="Q296" s="635"/>
      <c r="R296" s="634" t="s">
        <v>37</v>
      </c>
      <c r="S296" s="634"/>
      <c r="T296" s="634" t="s">
        <v>353</v>
      </c>
      <c r="U296" s="626"/>
      <c r="V296" s="626"/>
      <c r="W296" s="626"/>
      <c r="X296" s="631">
        <v>2</v>
      </c>
      <c r="Y296" s="631">
        <v>2</v>
      </c>
      <c r="Z296" s="631">
        <v>0</v>
      </c>
      <c r="AA296" s="631">
        <v>2</v>
      </c>
      <c r="AB296" s="631">
        <v>2</v>
      </c>
      <c r="AC296" s="631">
        <v>2</v>
      </c>
      <c r="AD296" s="631">
        <v>2</v>
      </c>
      <c r="AE296" s="631">
        <v>2</v>
      </c>
    </row>
    <row r="297" spans="1:31" ht="15" hidden="1" thickBot="1">
      <c r="A297" s="637" t="s">
        <v>46</v>
      </c>
      <c r="B297" s="637"/>
      <c r="C297" s="637" t="s">
        <v>371</v>
      </c>
      <c r="D297" s="637" t="s">
        <v>617</v>
      </c>
      <c r="E297" s="637"/>
      <c r="F297" s="637" t="s">
        <v>619</v>
      </c>
      <c r="G297" s="637"/>
      <c r="H297" s="637" t="s">
        <v>814</v>
      </c>
      <c r="I297" s="637"/>
      <c r="J297" s="637" t="s">
        <v>815</v>
      </c>
      <c r="K297" s="637"/>
      <c r="L297" s="637" t="s">
        <v>816</v>
      </c>
      <c r="M297" s="637"/>
      <c r="N297" s="637" t="s">
        <v>817</v>
      </c>
      <c r="O297" s="637"/>
      <c r="P297" s="637" t="s">
        <v>622</v>
      </c>
      <c r="Q297" s="638"/>
      <c r="R297" s="637" t="s">
        <v>623</v>
      </c>
      <c r="S297" s="637"/>
      <c r="T297" s="637" t="s">
        <v>369</v>
      </c>
      <c r="U297" s="626"/>
      <c r="V297" s="626"/>
      <c r="W297" s="626"/>
      <c r="X297" s="631">
        <v>2</v>
      </c>
      <c r="Y297" s="631">
        <v>2</v>
      </c>
      <c r="Z297" s="631">
        <v>2</v>
      </c>
      <c r="AA297" s="631">
        <v>2</v>
      </c>
      <c r="AB297" s="631">
        <v>2</v>
      </c>
      <c r="AC297" s="631">
        <v>2</v>
      </c>
      <c r="AD297" s="631">
        <v>2</v>
      </c>
      <c r="AE297" s="631">
        <v>2</v>
      </c>
    </row>
    <row r="298" spans="1:31" hidden="1">
      <c r="A298" s="634">
        <v>1</v>
      </c>
      <c r="B298" s="639"/>
      <c r="C298" s="372"/>
      <c r="D298" s="372"/>
      <c r="E298" s="664"/>
      <c r="F298" s="664"/>
      <c r="G298" s="664"/>
      <c r="H298" s="664"/>
      <c r="I298" s="664"/>
      <c r="J298" s="664"/>
      <c r="K298" s="664"/>
      <c r="L298" s="664"/>
      <c r="M298" s="664"/>
      <c r="N298" s="664"/>
      <c r="O298" s="664"/>
      <c r="P298" s="664"/>
      <c r="Q298" s="635"/>
      <c r="R298" s="372"/>
      <c r="S298" s="664"/>
      <c r="T298" s="664"/>
      <c r="U298" s="626"/>
      <c r="V298" s="626"/>
      <c r="W298" s="626"/>
      <c r="X298" s="631">
        <v>0</v>
      </c>
      <c r="Y298" s="631">
        <v>0</v>
      </c>
      <c r="Z298" s="631">
        <v>0</v>
      </c>
      <c r="AA298" s="631">
        <v>0</v>
      </c>
      <c r="AB298" s="631">
        <v>0</v>
      </c>
      <c r="AC298" s="631">
        <v>0</v>
      </c>
      <c r="AD298" s="631">
        <v>0</v>
      </c>
      <c r="AE298" s="631">
        <v>0</v>
      </c>
    </row>
    <row r="299" spans="1:31" hidden="1">
      <c r="A299" s="634">
        <v>2</v>
      </c>
      <c r="B299" s="639"/>
      <c r="C299" s="634"/>
      <c r="D299" s="636" t="s">
        <v>701</v>
      </c>
      <c r="E299" s="372"/>
      <c r="F299" s="372"/>
      <c r="G299" s="372"/>
      <c r="H299" s="372"/>
      <c r="I299" s="635"/>
      <c r="J299" s="635"/>
      <c r="K299" s="635"/>
      <c r="L299" s="635"/>
      <c r="M299" s="635"/>
      <c r="N299" s="635"/>
      <c r="O299" s="635"/>
      <c r="P299" s="635"/>
      <c r="Q299" s="635"/>
      <c r="R299" s="635"/>
      <c r="S299" s="635"/>
      <c r="T299" s="635"/>
      <c r="U299" s="626"/>
      <c r="V299" s="626"/>
      <c r="W299" s="626"/>
      <c r="X299" s="631">
        <v>0</v>
      </c>
      <c r="Y299" s="631">
        <v>0</v>
      </c>
      <c r="Z299" s="631">
        <v>0</v>
      </c>
      <c r="AA299" s="631">
        <v>0</v>
      </c>
      <c r="AB299" s="631">
        <v>0</v>
      </c>
      <c r="AC299" s="631">
        <v>0</v>
      </c>
      <c r="AD299" s="631">
        <v>0</v>
      </c>
      <c r="AE299" s="631">
        <v>0</v>
      </c>
    </row>
    <row r="300" spans="1:31" hidden="1">
      <c r="A300" s="634">
        <v>3</v>
      </c>
      <c r="B300" s="639"/>
      <c r="C300" s="634">
        <v>34132</v>
      </c>
      <c r="D300" s="372" t="s">
        <v>627</v>
      </c>
      <c r="E300" s="372"/>
      <c r="F300" s="640">
        <v>12654</v>
      </c>
      <c r="G300" s="635"/>
      <c r="H300" s="634">
        <v>949</v>
      </c>
      <c r="I300" s="635"/>
      <c r="J300" s="634" t="s">
        <v>635</v>
      </c>
      <c r="K300" s="372"/>
      <c r="L300" s="634" t="s">
        <v>635</v>
      </c>
      <c r="M300" s="372"/>
      <c r="N300" s="634" t="s">
        <v>635</v>
      </c>
      <c r="O300" s="634"/>
      <c r="P300" s="634" t="s">
        <v>635</v>
      </c>
      <c r="Q300" s="635"/>
      <c r="R300" s="640">
        <v>13603</v>
      </c>
      <c r="S300" s="372"/>
      <c r="T300" s="640">
        <v>13128</v>
      </c>
      <c r="U300" s="626"/>
      <c r="V300" s="626"/>
      <c r="W300" s="626"/>
      <c r="X300" s="641">
        <v>5</v>
      </c>
      <c r="Y300" s="641">
        <v>5</v>
      </c>
      <c r="Z300" s="631">
        <v>0</v>
      </c>
      <c r="AA300" s="631">
        <v>0</v>
      </c>
      <c r="AB300" s="631">
        <v>0</v>
      </c>
      <c r="AC300" s="631">
        <v>0</v>
      </c>
      <c r="AD300" s="641">
        <v>4</v>
      </c>
      <c r="AE300" s="641">
        <v>5</v>
      </c>
    </row>
    <row r="301" spans="1:31" hidden="1">
      <c r="A301" s="634">
        <v>4</v>
      </c>
      <c r="B301" s="639"/>
      <c r="C301" s="634">
        <v>34232</v>
      </c>
      <c r="D301" s="372" t="s">
        <v>666</v>
      </c>
      <c r="E301" s="372"/>
      <c r="F301" s="640">
        <v>44544</v>
      </c>
      <c r="G301" s="635"/>
      <c r="H301" s="640">
        <v>4127</v>
      </c>
      <c r="I301" s="635"/>
      <c r="J301" s="634">
        <v>-312</v>
      </c>
      <c r="K301" s="372"/>
      <c r="L301" s="634">
        <v>-672</v>
      </c>
      <c r="M301" s="372"/>
      <c r="N301" s="634">
        <v>44</v>
      </c>
      <c r="O301" s="634"/>
      <c r="P301" s="634" t="s">
        <v>635</v>
      </c>
      <c r="Q301" s="635"/>
      <c r="R301" s="640">
        <v>47731</v>
      </c>
      <c r="S301" s="372"/>
      <c r="T301" s="640">
        <v>46128</v>
      </c>
      <c r="U301" s="626"/>
      <c r="V301" s="626"/>
      <c r="W301" s="626"/>
      <c r="X301" s="641">
        <v>5</v>
      </c>
      <c r="Y301" s="641">
        <v>5</v>
      </c>
      <c r="Z301" s="641">
        <v>5</v>
      </c>
      <c r="AA301" s="641">
        <v>5</v>
      </c>
      <c r="AB301" s="641">
        <v>5</v>
      </c>
      <c r="AC301" s="631">
        <v>0</v>
      </c>
      <c r="AD301" s="641">
        <v>5</v>
      </c>
      <c r="AE301" s="641">
        <v>5</v>
      </c>
    </row>
    <row r="302" spans="1:31" hidden="1">
      <c r="A302" s="634">
        <v>5</v>
      </c>
      <c r="B302" s="639"/>
      <c r="C302" s="634">
        <v>34332</v>
      </c>
      <c r="D302" s="372" t="s">
        <v>667</v>
      </c>
      <c r="E302" s="372"/>
      <c r="F302" s="640">
        <v>103583</v>
      </c>
      <c r="G302" s="635"/>
      <c r="H302" s="640">
        <v>17885</v>
      </c>
      <c r="I302" s="635"/>
      <c r="J302" s="634">
        <v>-312</v>
      </c>
      <c r="K302" s="372"/>
      <c r="L302" s="640">
        <v>-1631</v>
      </c>
      <c r="M302" s="372"/>
      <c r="N302" s="634">
        <v>117</v>
      </c>
      <c r="O302" s="634"/>
      <c r="P302" s="634">
        <v>-1</v>
      </c>
      <c r="Q302" s="635"/>
      <c r="R302" s="640">
        <v>119642</v>
      </c>
      <c r="S302" s="372"/>
      <c r="T302" s="640">
        <v>111967</v>
      </c>
      <c r="U302" s="626"/>
      <c r="V302" s="626"/>
      <c r="W302" s="626"/>
      <c r="X302" s="641">
        <v>4</v>
      </c>
      <c r="Y302" s="641">
        <v>5</v>
      </c>
      <c r="Z302" s="641">
        <v>5</v>
      </c>
      <c r="AA302" s="641">
        <v>5</v>
      </c>
      <c r="AB302" s="641">
        <v>5</v>
      </c>
      <c r="AC302" s="641">
        <v>5</v>
      </c>
      <c r="AD302" s="641">
        <v>5</v>
      </c>
      <c r="AE302" s="641">
        <v>5</v>
      </c>
    </row>
    <row r="303" spans="1:31" hidden="1">
      <c r="A303" s="634">
        <v>6</v>
      </c>
      <c r="B303" s="639"/>
      <c r="C303" s="634">
        <v>34532</v>
      </c>
      <c r="D303" s="372" t="s">
        <v>631</v>
      </c>
      <c r="E303" s="372"/>
      <c r="F303" s="640">
        <v>22192</v>
      </c>
      <c r="G303" s="635"/>
      <c r="H303" s="640">
        <v>1826</v>
      </c>
      <c r="I303" s="635"/>
      <c r="J303" s="634">
        <v>-93</v>
      </c>
      <c r="K303" s="372"/>
      <c r="L303" s="634" t="s">
        <v>628</v>
      </c>
      <c r="M303" s="372"/>
      <c r="N303" s="634" t="s">
        <v>635</v>
      </c>
      <c r="O303" s="634"/>
      <c r="P303" s="634">
        <v>1</v>
      </c>
      <c r="Q303" s="635"/>
      <c r="R303" s="640">
        <v>23926</v>
      </c>
      <c r="S303" s="372"/>
      <c r="T303" s="640">
        <v>23019</v>
      </c>
      <c r="U303" s="626"/>
      <c r="V303" s="626"/>
      <c r="W303" s="626"/>
      <c r="X303" s="641">
        <v>5</v>
      </c>
      <c r="Y303" s="641">
        <v>5</v>
      </c>
      <c r="Z303" s="641">
        <v>5</v>
      </c>
      <c r="AA303" s="631">
        <v>0</v>
      </c>
      <c r="AB303" s="631">
        <v>0</v>
      </c>
      <c r="AC303" s="641">
        <v>5</v>
      </c>
      <c r="AD303" s="641">
        <v>5</v>
      </c>
      <c r="AE303" s="641">
        <v>5</v>
      </c>
    </row>
    <row r="304" spans="1:31" hidden="1">
      <c r="A304" s="634">
        <v>7</v>
      </c>
      <c r="B304" s="639"/>
      <c r="C304" s="634">
        <v>34632</v>
      </c>
      <c r="D304" s="372" t="s">
        <v>632</v>
      </c>
      <c r="E304" s="372"/>
      <c r="F304" s="634">
        <v>758</v>
      </c>
      <c r="G304" s="635"/>
      <c r="H304" s="634">
        <v>48</v>
      </c>
      <c r="I304" s="635"/>
      <c r="J304" s="634" t="s">
        <v>635</v>
      </c>
      <c r="K304" s="372"/>
      <c r="L304" s="634" t="s">
        <v>635</v>
      </c>
      <c r="M304" s="372"/>
      <c r="N304" s="634" t="s">
        <v>635</v>
      </c>
      <c r="O304" s="634"/>
      <c r="P304" s="634" t="s">
        <v>635</v>
      </c>
      <c r="Q304" s="635"/>
      <c r="R304" s="634">
        <v>806</v>
      </c>
      <c r="S304" s="372"/>
      <c r="T304" s="634">
        <v>782</v>
      </c>
      <c r="U304" s="626"/>
      <c r="V304" s="626"/>
      <c r="W304" s="626"/>
      <c r="X304" s="641">
        <v>5</v>
      </c>
      <c r="Y304" s="641">
        <v>5</v>
      </c>
      <c r="Z304" s="631">
        <v>0</v>
      </c>
      <c r="AA304" s="631">
        <v>0</v>
      </c>
      <c r="AB304" s="631">
        <v>0</v>
      </c>
      <c r="AC304" s="631">
        <v>0</v>
      </c>
      <c r="AD304" s="641">
        <v>5</v>
      </c>
      <c r="AE304" s="641">
        <v>4</v>
      </c>
    </row>
    <row r="305" spans="1:31" hidden="1">
      <c r="A305" s="634">
        <v>8</v>
      </c>
      <c r="B305" s="639"/>
      <c r="C305" s="634"/>
      <c r="D305" s="636" t="s">
        <v>702</v>
      </c>
      <c r="E305" s="372"/>
      <c r="F305" s="642">
        <v>183731</v>
      </c>
      <c r="G305" s="372"/>
      <c r="H305" s="642">
        <v>24835</v>
      </c>
      <c r="I305" s="635"/>
      <c r="J305" s="643">
        <v>-716</v>
      </c>
      <c r="K305" s="635"/>
      <c r="L305" s="642">
        <v>-2303</v>
      </c>
      <c r="M305" s="635"/>
      <c r="N305" s="643">
        <v>161</v>
      </c>
      <c r="O305" s="635"/>
      <c r="P305" s="643" t="s">
        <v>635</v>
      </c>
      <c r="Q305" s="635"/>
      <c r="R305" s="642">
        <v>205708</v>
      </c>
      <c r="S305" s="635"/>
      <c r="T305" s="642">
        <v>195024</v>
      </c>
      <c r="U305" s="626"/>
      <c r="V305" s="626"/>
      <c r="W305" s="626"/>
      <c r="X305" s="641">
        <v>5</v>
      </c>
      <c r="Y305" s="641">
        <v>5</v>
      </c>
      <c r="Z305" s="641">
        <v>5</v>
      </c>
      <c r="AA305" s="641">
        <v>5</v>
      </c>
      <c r="AB305" s="641">
        <v>5</v>
      </c>
      <c r="AC305" s="631">
        <v>0</v>
      </c>
      <c r="AD305" s="641">
        <v>5</v>
      </c>
      <c r="AE305" s="641">
        <v>5</v>
      </c>
    </row>
    <row r="306" spans="1:31" hidden="1">
      <c r="A306" s="634">
        <v>9</v>
      </c>
      <c r="B306" s="639"/>
      <c r="C306" s="372"/>
      <c r="D306" s="372"/>
      <c r="E306" s="372"/>
      <c r="F306" s="372"/>
      <c r="G306" s="372"/>
      <c r="H306" s="372"/>
      <c r="I306" s="372"/>
      <c r="J306" s="372"/>
      <c r="K306" s="372"/>
      <c r="L306" s="372"/>
      <c r="M306" s="372"/>
      <c r="N306" s="372"/>
      <c r="O306" s="372"/>
      <c r="P306" s="372"/>
      <c r="Q306" s="635"/>
      <c r="R306" s="372"/>
      <c r="S306" s="372"/>
      <c r="T306" s="372"/>
      <c r="U306" s="626"/>
      <c r="V306" s="626"/>
      <c r="W306" s="626"/>
      <c r="X306" s="631">
        <v>0</v>
      </c>
      <c r="Y306" s="631">
        <v>0</v>
      </c>
      <c r="Z306" s="631">
        <v>0</v>
      </c>
      <c r="AA306" s="631">
        <v>0</v>
      </c>
      <c r="AB306" s="631">
        <v>0</v>
      </c>
      <c r="AC306" s="631">
        <v>0</v>
      </c>
      <c r="AD306" s="631">
        <v>0</v>
      </c>
      <c r="AE306" s="631">
        <v>0</v>
      </c>
    </row>
    <row r="307" spans="1:31" hidden="1">
      <c r="A307" s="634">
        <v>10</v>
      </c>
      <c r="B307" s="639"/>
      <c r="C307" s="634"/>
      <c r="D307" s="636" t="s">
        <v>703</v>
      </c>
      <c r="E307" s="372"/>
      <c r="F307" s="372"/>
      <c r="G307" s="372"/>
      <c r="H307" s="372"/>
      <c r="I307" s="635"/>
      <c r="J307" s="372"/>
      <c r="K307" s="635"/>
      <c r="L307" s="372"/>
      <c r="M307" s="635"/>
      <c r="N307" s="372"/>
      <c r="O307" s="372"/>
      <c r="P307" s="372"/>
      <c r="Q307" s="635"/>
      <c r="R307" s="372"/>
      <c r="S307" s="635"/>
      <c r="T307" s="372"/>
      <c r="U307" s="626"/>
      <c r="V307" s="626"/>
      <c r="W307" s="626"/>
      <c r="X307" s="631">
        <v>0</v>
      </c>
      <c r="Y307" s="631">
        <v>0</v>
      </c>
      <c r="Z307" s="631">
        <v>0</v>
      </c>
      <c r="AA307" s="631">
        <v>0</v>
      </c>
      <c r="AB307" s="631">
        <v>0</v>
      </c>
      <c r="AC307" s="631">
        <v>0</v>
      </c>
      <c r="AD307" s="631">
        <v>0</v>
      </c>
      <c r="AE307" s="631">
        <v>0</v>
      </c>
    </row>
    <row r="308" spans="1:31" hidden="1">
      <c r="A308" s="634">
        <v>11</v>
      </c>
      <c r="B308" s="639"/>
      <c r="C308" s="634">
        <v>34133</v>
      </c>
      <c r="D308" s="372" t="s">
        <v>627</v>
      </c>
      <c r="E308" s="372"/>
      <c r="F308" s="634">
        <v>29</v>
      </c>
      <c r="G308" s="635"/>
      <c r="H308" s="634">
        <v>23</v>
      </c>
      <c r="I308" s="635"/>
      <c r="J308" s="634" t="s">
        <v>635</v>
      </c>
      <c r="K308" s="372"/>
      <c r="L308" s="634" t="s">
        <v>635</v>
      </c>
      <c r="M308" s="372"/>
      <c r="N308" s="634" t="s">
        <v>635</v>
      </c>
      <c r="O308" s="634"/>
      <c r="P308" s="634" t="s">
        <v>635</v>
      </c>
      <c r="Q308" s="635"/>
      <c r="R308" s="634">
        <v>52</v>
      </c>
      <c r="S308" s="372"/>
      <c r="T308" s="634">
        <v>41</v>
      </c>
      <c r="U308" s="626"/>
      <c r="V308" s="626"/>
      <c r="W308" s="626"/>
      <c r="X308" s="641">
        <v>5</v>
      </c>
      <c r="Y308" s="641">
        <v>5</v>
      </c>
      <c r="Z308" s="631">
        <v>0</v>
      </c>
      <c r="AA308" s="631">
        <v>0</v>
      </c>
      <c r="AB308" s="631">
        <v>0</v>
      </c>
      <c r="AC308" s="631">
        <v>0</v>
      </c>
      <c r="AD308" s="641">
        <v>5</v>
      </c>
      <c r="AE308" s="641">
        <v>5</v>
      </c>
    </row>
    <row r="309" spans="1:31" hidden="1">
      <c r="A309" s="634">
        <v>12</v>
      </c>
      <c r="B309" s="639"/>
      <c r="C309" s="634">
        <v>34233</v>
      </c>
      <c r="D309" s="372" t="s">
        <v>666</v>
      </c>
      <c r="E309" s="372"/>
      <c r="F309" s="640">
        <v>1157</v>
      </c>
      <c r="G309" s="635"/>
      <c r="H309" s="634">
        <v>112</v>
      </c>
      <c r="I309" s="635"/>
      <c r="J309" s="634" t="s">
        <v>635</v>
      </c>
      <c r="K309" s="372"/>
      <c r="L309" s="634">
        <v>-12</v>
      </c>
      <c r="M309" s="372"/>
      <c r="N309" s="634">
        <v>1</v>
      </c>
      <c r="O309" s="634"/>
      <c r="P309" s="634" t="s">
        <v>635</v>
      </c>
      <c r="Q309" s="635"/>
      <c r="R309" s="640">
        <v>1258</v>
      </c>
      <c r="S309" s="372"/>
      <c r="T309" s="640">
        <v>1210</v>
      </c>
      <c r="U309" s="626"/>
      <c r="V309" s="626"/>
      <c r="W309" s="626"/>
      <c r="X309" s="641">
        <v>5</v>
      </c>
      <c r="Y309" s="641">
        <v>5</v>
      </c>
      <c r="Z309" s="631">
        <v>0</v>
      </c>
      <c r="AA309" s="641">
        <v>5</v>
      </c>
      <c r="AB309" s="641">
        <v>4</v>
      </c>
      <c r="AC309" s="631">
        <v>0</v>
      </c>
      <c r="AD309" s="641">
        <v>5</v>
      </c>
      <c r="AE309" s="641">
        <v>5</v>
      </c>
    </row>
    <row r="310" spans="1:31" hidden="1">
      <c r="A310" s="634">
        <v>13</v>
      </c>
      <c r="B310" s="639"/>
      <c r="C310" s="634">
        <v>34333</v>
      </c>
      <c r="D310" s="372" t="s">
        <v>667</v>
      </c>
      <c r="E310" s="372"/>
      <c r="F310" s="640">
        <v>8504</v>
      </c>
      <c r="G310" s="635"/>
      <c r="H310" s="634">
        <v>480</v>
      </c>
      <c r="I310" s="635"/>
      <c r="J310" s="634">
        <v>-119</v>
      </c>
      <c r="K310" s="372"/>
      <c r="L310" s="634">
        <v>-53</v>
      </c>
      <c r="M310" s="372"/>
      <c r="N310" s="634">
        <v>6</v>
      </c>
      <c r="O310" s="634"/>
      <c r="P310" s="634" t="s">
        <v>635</v>
      </c>
      <c r="Q310" s="635"/>
      <c r="R310" s="640">
        <v>8818</v>
      </c>
      <c r="S310" s="372"/>
      <c r="T310" s="640">
        <v>8712</v>
      </c>
      <c r="U310" s="626"/>
      <c r="V310" s="626"/>
      <c r="W310" s="626"/>
      <c r="X310" s="641">
        <v>5</v>
      </c>
      <c r="Y310" s="641">
        <v>5</v>
      </c>
      <c r="Z310" s="641">
        <v>4</v>
      </c>
      <c r="AA310" s="641">
        <v>5</v>
      </c>
      <c r="AB310" s="641">
        <v>5</v>
      </c>
      <c r="AC310" s="631">
        <v>0</v>
      </c>
      <c r="AD310" s="641">
        <v>5</v>
      </c>
      <c r="AE310" s="641">
        <v>5</v>
      </c>
    </row>
    <row r="311" spans="1:31" hidden="1">
      <c r="A311" s="634">
        <v>14</v>
      </c>
      <c r="B311" s="639"/>
      <c r="C311" s="634">
        <v>34533</v>
      </c>
      <c r="D311" s="372" t="s">
        <v>631</v>
      </c>
      <c r="E311" s="372"/>
      <c r="F311" s="640">
        <v>5733</v>
      </c>
      <c r="G311" s="635"/>
      <c r="H311" s="634">
        <v>382</v>
      </c>
      <c r="I311" s="635"/>
      <c r="J311" s="634" t="s">
        <v>635</v>
      </c>
      <c r="K311" s="372"/>
      <c r="L311" s="634" t="s">
        <v>635</v>
      </c>
      <c r="M311" s="372"/>
      <c r="N311" s="634" t="s">
        <v>635</v>
      </c>
      <c r="O311" s="634"/>
      <c r="P311" s="634" t="s">
        <v>635</v>
      </c>
      <c r="Q311" s="635"/>
      <c r="R311" s="640">
        <v>6115</v>
      </c>
      <c r="S311" s="372"/>
      <c r="T311" s="640">
        <v>5924</v>
      </c>
      <c r="U311" s="626"/>
      <c r="V311" s="626"/>
      <c r="W311" s="626"/>
      <c r="X311" s="641">
        <v>5</v>
      </c>
      <c r="Y311" s="641">
        <v>5</v>
      </c>
      <c r="Z311" s="631">
        <v>0</v>
      </c>
      <c r="AA311" s="631">
        <v>0</v>
      </c>
      <c r="AB311" s="631">
        <v>0</v>
      </c>
      <c r="AC311" s="631">
        <v>0</v>
      </c>
      <c r="AD311" s="641">
        <v>5</v>
      </c>
      <c r="AE311" s="641">
        <v>5</v>
      </c>
    </row>
    <row r="312" spans="1:31" hidden="1">
      <c r="A312" s="634">
        <v>15</v>
      </c>
      <c r="B312" s="639"/>
      <c r="C312" s="634">
        <v>34633</v>
      </c>
      <c r="D312" s="372" t="s">
        <v>632</v>
      </c>
      <c r="E312" s="372"/>
      <c r="F312" s="634">
        <v>0</v>
      </c>
      <c r="G312" s="635"/>
      <c r="H312" s="634">
        <v>0</v>
      </c>
      <c r="I312" s="635"/>
      <c r="J312" s="634" t="s">
        <v>635</v>
      </c>
      <c r="K312" s="372"/>
      <c r="L312" s="634" t="s">
        <v>635</v>
      </c>
      <c r="M312" s="372"/>
      <c r="N312" s="634" t="s">
        <v>635</v>
      </c>
      <c r="O312" s="634"/>
      <c r="P312" s="634" t="s">
        <v>635</v>
      </c>
      <c r="Q312" s="635"/>
      <c r="R312" s="634">
        <v>0</v>
      </c>
      <c r="S312" s="372"/>
      <c r="T312" s="634">
        <v>0</v>
      </c>
      <c r="U312" s="626"/>
      <c r="V312" s="626"/>
      <c r="W312" s="626"/>
      <c r="X312" s="641">
        <v>5</v>
      </c>
      <c r="Y312" s="641">
        <v>5</v>
      </c>
      <c r="Z312" s="631">
        <v>0</v>
      </c>
      <c r="AA312" s="631">
        <v>0</v>
      </c>
      <c r="AB312" s="631">
        <v>0</v>
      </c>
      <c r="AC312" s="631">
        <v>0</v>
      </c>
      <c r="AD312" s="641">
        <v>5</v>
      </c>
      <c r="AE312" s="641">
        <v>5</v>
      </c>
    </row>
    <row r="313" spans="1:31" hidden="1">
      <c r="A313" s="634">
        <v>16</v>
      </c>
      <c r="B313" s="639"/>
      <c r="C313" s="372"/>
      <c r="D313" s="636" t="s">
        <v>704</v>
      </c>
      <c r="E313" s="372"/>
      <c r="F313" s="642">
        <v>15423</v>
      </c>
      <c r="G313" s="372"/>
      <c r="H313" s="643">
        <v>997</v>
      </c>
      <c r="I313" s="635"/>
      <c r="J313" s="643">
        <v>-119</v>
      </c>
      <c r="K313" s="635"/>
      <c r="L313" s="643">
        <v>-65</v>
      </c>
      <c r="M313" s="635"/>
      <c r="N313" s="643">
        <v>8</v>
      </c>
      <c r="O313" s="635"/>
      <c r="P313" s="643" t="s">
        <v>635</v>
      </c>
      <c r="Q313" s="635"/>
      <c r="R313" s="642">
        <v>16244</v>
      </c>
      <c r="S313" s="635"/>
      <c r="T313" s="642">
        <v>15886</v>
      </c>
      <c r="U313" s="626"/>
      <c r="V313" s="626"/>
      <c r="W313" s="626"/>
      <c r="X313" s="641">
        <v>5</v>
      </c>
      <c r="Y313" s="641">
        <v>5</v>
      </c>
      <c r="Z313" s="641">
        <v>4</v>
      </c>
      <c r="AA313" s="641">
        <v>5</v>
      </c>
      <c r="AB313" s="641">
        <v>5</v>
      </c>
      <c r="AC313" s="631">
        <v>0</v>
      </c>
      <c r="AD313" s="641">
        <v>5</v>
      </c>
      <c r="AE313" s="641">
        <v>5</v>
      </c>
    </row>
    <row r="314" spans="1:31" hidden="1">
      <c r="A314" s="634">
        <v>17</v>
      </c>
      <c r="B314" s="639"/>
      <c r="C314" s="372"/>
      <c r="D314" s="372"/>
      <c r="E314" s="372"/>
      <c r="F314" s="372"/>
      <c r="G314" s="372"/>
      <c r="H314" s="372"/>
      <c r="I314" s="372"/>
      <c r="J314" s="372"/>
      <c r="K314" s="372"/>
      <c r="L314" s="372"/>
      <c r="M314" s="372"/>
      <c r="N314" s="372"/>
      <c r="O314" s="372"/>
      <c r="P314" s="372"/>
      <c r="Q314" s="635"/>
      <c r="R314" s="372"/>
      <c r="S314" s="372"/>
      <c r="T314" s="372"/>
      <c r="U314" s="626"/>
      <c r="V314" s="626"/>
      <c r="W314" s="626"/>
      <c r="X314" s="631">
        <v>0</v>
      </c>
      <c r="Y314" s="631">
        <v>0</v>
      </c>
      <c r="Z314" s="631">
        <v>0</v>
      </c>
      <c r="AA314" s="631">
        <v>0</v>
      </c>
      <c r="AB314" s="631">
        <v>0</v>
      </c>
      <c r="AC314" s="631">
        <v>0</v>
      </c>
      <c r="AD314" s="631">
        <v>0</v>
      </c>
      <c r="AE314" s="631">
        <v>0</v>
      </c>
    </row>
    <row r="315" spans="1:31" hidden="1">
      <c r="A315" s="634">
        <v>18</v>
      </c>
      <c r="B315" s="639"/>
      <c r="C315" s="634"/>
      <c r="D315" s="636" t="s">
        <v>705</v>
      </c>
      <c r="E315" s="372"/>
      <c r="F315" s="372"/>
      <c r="G315" s="372"/>
      <c r="H315" s="372"/>
      <c r="I315" s="635"/>
      <c r="J315" s="372"/>
      <c r="K315" s="635"/>
      <c r="L315" s="372"/>
      <c r="M315" s="635"/>
      <c r="N315" s="372"/>
      <c r="O315" s="372"/>
      <c r="P315" s="372"/>
      <c r="Q315" s="635"/>
      <c r="R315" s="372"/>
      <c r="S315" s="635"/>
      <c r="T315" s="372"/>
      <c r="U315" s="626"/>
      <c r="V315" s="626"/>
      <c r="W315" s="626"/>
      <c r="X315" s="631">
        <v>0</v>
      </c>
      <c r="Y315" s="631">
        <v>0</v>
      </c>
      <c r="Z315" s="631">
        <v>0</v>
      </c>
      <c r="AA315" s="631">
        <v>0</v>
      </c>
      <c r="AB315" s="631">
        <v>0</v>
      </c>
      <c r="AC315" s="631">
        <v>0</v>
      </c>
      <c r="AD315" s="631">
        <v>0</v>
      </c>
      <c r="AE315" s="631">
        <v>0</v>
      </c>
    </row>
    <row r="316" spans="1:31" hidden="1">
      <c r="A316" s="634">
        <v>19</v>
      </c>
      <c r="B316" s="639"/>
      <c r="C316" s="634">
        <v>34134</v>
      </c>
      <c r="D316" s="372" t="s">
        <v>627</v>
      </c>
      <c r="E316" s="372"/>
      <c r="F316" s="634">
        <v>-98</v>
      </c>
      <c r="G316" s="635"/>
      <c r="H316" s="634">
        <v>12</v>
      </c>
      <c r="I316" s="635"/>
      <c r="J316" s="634" t="s">
        <v>635</v>
      </c>
      <c r="K316" s="372"/>
      <c r="L316" s="634" t="s">
        <v>635</v>
      </c>
      <c r="M316" s="372"/>
      <c r="N316" s="634" t="s">
        <v>635</v>
      </c>
      <c r="O316" s="634"/>
      <c r="P316" s="634" t="s">
        <v>635</v>
      </c>
      <c r="Q316" s="635"/>
      <c r="R316" s="634">
        <v>-85</v>
      </c>
      <c r="S316" s="372"/>
      <c r="T316" s="634">
        <v>-92</v>
      </c>
      <c r="U316" s="626"/>
      <c r="V316" s="626"/>
      <c r="W316" s="626"/>
      <c r="X316" s="641">
        <v>5</v>
      </c>
      <c r="Y316" s="641">
        <v>5</v>
      </c>
      <c r="Z316" s="631">
        <v>0</v>
      </c>
      <c r="AA316" s="631">
        <v>0</v>
      </c>
      <c r="AB316" s="631">
        <v>0</v>
      </c>
      <c r="AC316" s="631">
        <v>0</v>
      </c>
      <c r="AD316" s="641">
        <v>5</v>
      </c>
      <c r="AE316" s="641">
        <v>5</v>
      </c>
    </row>
    <row r="317" spans="1:31" hidden="1">
      <c r="A317" s="634">
        <v>20</v>
      </c>
      <c r="B317" s="639"/>
      <c r="C317" s="634">
        <v>34234</v>
      </c>
      <c r="D317" s="372" t="s">
        <v>666</v>
      </c>
      <c r="E317" s="372"/>
      <c r="F317" s="640">
        <v>1209</v>
      </c>
      <c r="G317" s="635"/>
      <c r="H317" s="634">
        <v>108</v>
      </c>
      <c r="I317" s="635"/>
      <c r="J317" s="634" t="s">
        <v>635</v>
      </c>
      <c r="K317" s="372"/>
      <c r="L317" s="634">
        <v>-6</v>
      </c>
      <c r="M317" s="372"/>
      <c r="N317" s="634">
        <v>1</v>
      </c>
      <c r="O317" s="634"/>
      <c r="P317" s="634" t="s">
        <v>635</v>
      </c>
      <c r="Q317" s="635"/>
      <c r="R317" s="640">
        <v>1312</v>
      </c>
      <c r="S317" s="372"/>
      <c r="T317" s="640">
        <v>1261</v>
      </c>
      <c r="U317" s="626"/>
      <c r="V317" s="626"/>
      <c r="W317" s="626"/>
      <c r="X317" s="641">
        <v>5</v>
      </c>
      <c r="Y317" s="641">
        <v>4</v>
      </c>
      <c r="Z317" s="631">
        <v>0</v>
      </c>
      <c r="AA317" s="641">
        <v>5</v>
      </c>
      <c r="AB317" s="641">
        <v>4</v>
      </c>
      <c r="AC317" s="631">
        <v>0</v>
      </c>
      <c r="AD317" s="641">
        <v>5</v>
      </c>
      <c r="AE317" s="641">
        <v>5</v>
      </c>
    </row>
    <row r="318" spans="1:31" hidden="1">
      <c r="A318" s="634">
        <v>21</v>
      </c>
      <c r="B318" s="639"/>
      <c r="C318" s="634">
        <v>34334</v>
      </c>
      <c r="D318" s="372" t="s">
        <v>667</v>
      </c>
      <c r="E318" s="372"/>
      <c r="F318" s="640">
        <v>8612</v>
      </c>
      <c r="G318" s="635"/>
      <c r="H318" s="634">
        <v>509</v>
      </c>
      <c r="I318" s="635"/>
      <c r="J318" s="634">
        <v>-117</v>
      </c>
      <c r="K318" s="372"/>
      <c r="L318" s="634">
        <v>-27</v>
      </c>
      <c r="M318" s="372"/>
      <c r="N318" s="634">
        <v>7</v>
      </c>
      <c r="O318" s="634"/>
      <c r="P318" s="634" t="s">
        <v>635</v>
      </c>
      <c r="Q318" s="635"/>
      <c r="R318" s="640">
        <v>8984</v>
      </c>
      <c r="S318" s="372"/>
      <c r="T318" s="640">
        <v>8841</v>
      </c>
      <c r="U318" s="626"/>
      <c r="V318" s="626"/>
      <c r="W318" s="626"/>
      <c r="X318" s="641">
        <v>5</v>
      </c>
      <c r="Y318" s="641">
        <v>5</v>
      </c>
      <c r="Z318" s="641">
        <v>3</v>
      </c>
      <c r="AA318" s="641">
        <v>5</v>
      </c>
      <c r="AB318" s="641">
        <v>5</v>
      </c>
      <c r="AC318" s="631">
        <v>0</v>
      </c>
      <c r="AD318" s="641">
        <v>5</v>
      </c>
      <c r="AE318" s="641">
        <v>5</v>
      </c>
    </row>
    <row r="319" spans="1:31" hidden="1">
      <c r="A319" s="634">
        <v>22</v>
      </c>
      <c r="B319" s="639"/>
      <c r="C319" s="634">
        <v>34534</v>
      </c>
      <c r="D319" s="372" t="s">
        <v>631</v>
      </c>
      <c r="E319" s="372"/>
      <c r="F319" s="640">
        <v>1826</v>
      </c>
      <c r="G319" s="635"/>
      <c r="H319" s="634">
        <v>117</v>
      </c>
      <c r="I319" s="635"/>
      <c r="J319" s="634" t="s">
        <v>635</v>
      </c>
      <c r="K319" s="372"/>
      <c r="L319" s="634" t="s">
        <v>635</v>
      </c>
      <c r="M319" s="372"/>
      <c r="N319" s="634" t="s">
        <v>635</v>
      </c>
      <c r="O319" s="634"/>
      <c r="P319" s="634" t="s">
        <v>635</v>
      </c>
      <c r="Q319" s="635"/>
      <c r="R319" s="640">
        <v>1943</v>
      </c>
      <c r="S319" s="372"/>
      <c r="T319" s="640">
        <v>1884</v>
      </c>
      <c r="U319" s="626"/>
      <c r="V319" s="626"/>
      <c r="W319" s="626"/>
      <c r="X319" s="641">
        <v>5</v>
      </c>
      <c r="Y319" s="641">
        <v>5</v>
      </c>
      <c r="Z319" s="631">
        <v>0</v>
      </c>
      <c r="AA319" s="631">
        <v>0</v>
      </c>
      <c r="AB319" s="631">
        <v>0</v>
      </c>
      <c r="AC319" s="631">
        <v>0</v>
      </c>
      <c r="AD319" s="641">
        <v>5</v>
      </c>
      <c r="AE319" s="641">
        <v>5</v>
      </c>
    </row>
    <row r="320" spans="1:31" hidden="1">
      <c r="A320" s="634">
        <v>23</v>
      </c>
      <c r="B320" s="639"/>
      <c r="C320" s="634">
        <v>34634</v>
      </c>
      <c r="D320" s="372" t="s">
        <v>632</v>
      </c>
      <c r="E320" s="372"/>
      <c r="F320" s="634">
        <v>0</v>
      </c>
      <c r="G320" s="635"/>
      <c r="H320" s="634">
        <v>0</v>
      </c>
      <c r="I320" s="635"/>
      <c r="J320" s="634" t="s">
        <v>635</v>
      </c>
      <c r="K320" s="372"/>
      <c r="L320" s="634" t="s">
        <v>635</v>
      </c>
      <c r="M320" s="372"/>
      <c r="N320" s="634" t="s">
        <v>635</v>
      </c>
      <c r="O320" s="634"/>
      <c r="P320" s="634" t="s">
        <v>635</v>
      </c>
      <c r="Q320" s="635"/>
      <c r="R320" s="634">
        <v>0</v>
      </c>
      <c r="S320" s="372"/>
      <c r="T320" s="634">
        <v>0</v>
      </c>
      <c r="U320" s="626"/>
      <c r="V320" s="626"/>
      <c r="W320" s="626"/>
      <c r="X320" s="641">
        <v>5</v>
      </c>
      <c r="Y320" s="641">
        <v>5</v>
      </c>
      <c r="Z320" s="631">
        <v>0</v>
      </c>
      <c r="AA320" s="631">
        <v>0</v>
      </c>
      <c r="AB320" s="631">
        <v>0</v>
      </c>
      <c r="AC320" s="631">
        <v>0</v>
      </c>
      <c r="AD320" s="641">
        <v>5</v>
      </c>
      <c r="AE320" s="641">
        <v>5</v>
      </c>
    </row>
    <row r="321" spans="1:31" hidden="1">
      <c r="A321" s="634">
        <v>24</v>
      </c>
      <c r="B321" s="639"/>
      <c r="C321" s="634"/>
      <c r="D321" s="636" t="s">
        <v>706</v>
      </c>
      <c r="E321" s="372"/>
      <c r="F321" s="642">
        <v>11549</v>
      </c>
      <c r="G321" s="372"/>
      <c r="H321" s="643">
        <v>745</v>
      </c>
      <c r="I321" s="635"/>
      <c r="J321" s="643">
        <v>-117</v>
      </c>
      <c r="K321" s="635"/>
      <c r="L321" s="643">
        <v>-33</v>
      </c>
      <c r="M321" s="635"/>
      <c r="N321" s="643">
        <v>8</v>
      </c>
      <c r="O321" s="635"/>
      <c r="P321" s="643" t="s">
        <v>635</v>
      </c>
      <c r="Q321" s="635"/>
      <c r="R321" s="642">
        <v>12153</v>
      </c>
      <c r="S321" s="635"/>
      <c r="T321" s="642">
        <v>11895</v>
      </c>
      <c r="U321" s="626"/>
      <c r="V321" s="626"/>
      <c r="W321" s="626"/>
      <c r="X321" s="641">
        <v>5</v>
      </c>
      <c r="Y321" s="641">
        <v>5</v>
      </c>
      <c r="Z321" s="641">
        <v>3</v>
      </c>
      <c r="AA321" s="641">
        <v>5</v>
      </c>
      <c r="AB321" s="641">
        <v>5</v>
      </c>
      <c r="AC321" s="631">
        <v>0</v>
      </c>
      <c r="AD321" s="641">
        <v>5</v>
      </c>
      <c r="AE321" s="641">
        <v>5</v>
      </c>
    </row>
    <row r="322" spans="1:31" hidden="1">
      <c r="A322" s="634">
        <v>25</v>
      </c>
      <c r="B322" s="639"/>
      <c r="C322" s="372"/>
      <c r="D322" s="372"/>
      <c r="E322" s="372"/>
      <c r="F322" s="372"/>
      <c r="G322" s="372"/>
      <c r="H322" s="372"/>
      <c r="I322" s="372"/>
      <c r="J322" s="372"/>
      <c r="K322" s="372"/>
      <c r="L322" s="372"/>
      <c r="M322" s="372"/>
      <c r="N322" s="372"/>
      <c r="O322" s="372"/>
      <c r="P322" s="372"/>
      <c r="Q322" s="635"/>
      <c r="R322" s="372"/>
      <c r="S322" s="372"/>
      <c r="T322" s="372"/>
      <c r="U322" s="626"/>
      <c r="V322" s="626"/>
      <c r="W322" s="626"/>
      <c r="X322" s="631">
        <v>0</v>
      </c>
      <c r="Y322" s="631">
        <v>0</v>
      </c>
      <c r="Z322" s="631">
        <v>0</v>
      </c>
      <c r="AA322" s="631">
        <v>0</v>
      </c>
      <c r="AB322" s="631">
        <v>0</v>
      </c>
      <c r="AC322" s="631">
        <v>0</v>
      </c>
      <c r="AD322" s="631">
        <v>0</v>
      </c>
      <c r="AE322" s="631">
        <v>0</v>
      </c>
    </row>
    <row r="323" spans="1:31" hidden="1">
      <c r="A323" s="634">
        <v>26</v>
      </c>
      <c r="B323" s="639"/>
      <c r="C323" s="634"/>
      <c r="D323" s="636" t="s">
        <v>707</v>
      </c>
      <c r="E323" s="634"/>
      <c r="F323" s="634"/>
      <c r="G323" s="634"/>
      <c r="H323" s="634"/>
      <c r="I323" s="634"/>
      <c r="J323" s="634"/>
      <c r="K323" s="634"/>
      <c r="L323" s="634"/>
      <c r="M323" s="634"/>
      <c r="N323" s="634"/>
      <c r="O323" s="634"/>
      <c r="P323" s="634"/>
      <c r="Q323" s="635"/>
      <c r="R323" s="634"/>
      <c r="S323" s="634"/>
      <c r="T323" s="634"/>
      <c r="U323" s="626"/>
      <c r="V323" s="626"/>
      <c r="W323" s="626"/>
      <c r="X323" s="631">
        <v>0</v>
      </c>
      <c r="Y323" s="631">
        <v>0</v>
      </c>
      <c r="Z323" s="631">
        <v>0</v>
      </c>
      <c r="AA323" s="631">
        <v>0</v>
      </c>
      <c r="AB323" s="631">
        <v>0</v>
      </c>
      <c r="AC323" s="631">
        <v>0</v>
      </c>
      <c r="AD323" s="631">
        <v>0</v>
      </c>
      <c r="AE323" s="631">
        <v>0</v>
      </c>
    </row>
    <row r="324" spans="1:31" hidden="1">
      <c r="A324" s="634">
        <v>27</v>
      </c>
      <c r="B324" s="639"/>
      <c r="C324" s="634">
        <v>34135</v>
      </c>
      <c r="D324" s="372" t="s">
        <v>627</v>
      </c>
      <c r="E324" s="634"/>
      <c r="F324" s="634">
        <v>-97</v>
      </c>
      <c r="G324" s="635"/>
      <c r="H324" s="634">
        <v>35</v>
      </c>
      <c r="I324" s="635"/>
      <c r="J324" s="634" t="s">
        <v>635</v>
      </c>
      <c r="K324" s="372"/>
      <c r="L324" s="634" t="s">
        <v>635</v>
      </c>
      <c r="M324" s="372"/>
      <c r="N324" s="634" t="s">
        <v>635</v>
      </c>
      <c r="O324" s="634"/>
      <c r="P324" s="634" t="s">
        <v>635</v>
      </c>
      <c r="Q324" s="635"/>
      <c r="R324" s="634">
        <v>-63</v>
      </c>
      <c r="S324" s="372"/>
      <c r="T324" s="634">
        <v>-80</v>
      </c>
      <c r="U324" s="626"/>
      <c r="V324" s="626"/>
      <c r="W324" s="626"/>
      <c r="X324" s="641">
        <v>5</v>
      </c>
      <c r="Y324" s="641">
        <v>5</v>
      </c>
      <c r="Z324" s="631">
        <v>0</v>
      </c>
      <c r="AA324" s="631">
        <v>0</v>
      </c>
      <c r="AB324" s="631">
        <v>0</v>
      </c>
      <c r="AC324" s="631">
        <v>0</v>
      </c>
      <c r="AD324" s="641">
        <v>5</v>
      </c>
      <c r="AE324" s="641">
        <v>5</v>
      </c>
    </row>
    <row r="325" spans="1:31" hidden="1">
      <c r="A325" s="634">
        <v>28</v>
      </c>
      <c r="B325" s="639"/>
      <c r="C325" s="634">
        <v>34235</v>
      </c>
      <c r="D325" s="372" t="s">
        <v>666</v>
      </c>
      <c r="E325" s="634"/>
      <c r="F325" s="634">
        <v>752</v>
      </c>
      <c r="G325" s="635"/>
      <c r="H325" s="634">
        <v>68</v>
      </c>
      <c r="I325" s="635"/>
      <c r="J325" s="634" t="s">
        <v>635</v>
      </c>
      <c r="K325" s="372"/>
      <c r="L325" s="634">
        <v>-4</v>
      </c>
      <c r="M325" s="372"/>
      <c r="N325" s="634">
        <v>1</v>
      </c>
      <c r="O325" s="634"/>
      <c r="P325" s="634" t="s">
        <v>635</v>
      </c>
      <c r="Q325" s="635"/>
      <c r="R325" s="634">
        <v>817</v>
      </c>
      <c r="S325" s="372"/>
      <c r="T325" s="634">
        <v>785</v>
      </c>
      <c r="U325" s="626"/>
      <c r="V325" s="626"/>
      <c r="W325" s="626"/>
      <c r="X325" s="641">
        <v>5</v>
      </c>
      <c r="Y325" s="641">
        <v>5</v>
      </c>
      <c r="Z325" s="631">
        <v>0</v>
      </c>
      <c r="AA325" s="641">
        <v>5</v>
      </c>
      <c r="AB325" s="641">
        <v>5</v>
      </c>
      <c r="AC325" s="631">
        <v>0</v>
      </c>
      <c r="AD325" s="641">
        <v>5</v>
      </c>
      <c r="AE325" s="641">
        <v>5</v>
      </c>
    </row>
    <row r="326" spans="1:31" hidden="1">
      <c r="A326" s="634">
        <v>29</v>
      </c>
      <c r="B326" s="639"/>
      <c r="C326" s="634">
        <v>34335</v>
      </c>
      <c r="D326" s="372" t="s">
        <v>667</v>
      </c>
      <c r="E326" s="634"/>
      <c r="F326" s="640">
        <v>10730</v>
      </c>
      <c r="G326" s="635"/>
      <c r="H326" s="634">
        <v>633</v>
      </c>
      <c r="I326" s="635"/>
      <c r="J326" s="634" t="s">
        <v>635</v>
      </c>
      <c r="K326" s="372"/>
      <c r="L326" s="634">
        <v>-36</v>
      </c>
      <c r="M326" s="372"/>
      <c r="N326" s="634">
        <v>8</v>
      </c>
      <c r="O326" s="634"/>
      <c r="P326" s="634" t="s">
        <v>635</v>
      </c>
      <c r="Q326" s="635"/>
      <c r="R326" s="640">
        <v>11335</v>
      </c>
      <c r="S326" s="372"/>
      <c r="T326" s="640">
        <v>11039</v>
      </c>
      <c r="U326" s="626"/>
      <c r="V326" s="626"/>
      <c r="W326" s="626"/>
      <c r="X326" s="641">
        <v>5</v>
      </c>
      <c r="Y326" s="641">
        <v>5</v>
      </c>
      <c r="Z326" s="631">
        <v>0</v>
      </c>
      <c r="AA326" s="641">
        <v>5</v>
      </c>
      <c r="AB326" s="641">
        <v>5</v>
      </c>
      <c r="AC326" s="631">
        <v>0</v>
      </c>
      <c r="AD326" s="641">
        <v>5</v>
      </c>
      <c r="AE326" s="641">
        <v>5</v>
      </c>
    </row>
    <row r="327" spans="1:31" hidden="1">
      <c r="A327" s="634">
        <v>30</v>
      </c>
      <c r="B327" s="639"/>
      <c r="C327" s="634">
        <v>34535</v>
      </c>
      <c r="D327" s="372" t="s">
        <v>631</v>
      </c>
      <c r="E327" s="634"/>
      <c r="F327" s="640">
        <v>4625</v>
      </c>
      <c r="G327" s="635"/>
      <c r="H327" s="634">
        <v>280</v>
      </c>
      <c r="I327" s="635"/>
      <c r="J327" s="634" t="s">
        <v>635</v>
      </c>
      <c r="K327" s="372"/>
      <c r="L327" s="634" t="s">
        <v>635</v>
      </c>
      <c r="M327" s="372"/>
      <c r="N327" s="634" t="s">
        <v>635</v>
      </c>
      <c r="O327" s="634"/>
      <c r="P327" s="634" t="s">
        <v>635</v>
      </c>
      <c r="Q327" s="635"/>
      <c r="R327" s="640">
        <v>4905</v>
      </c>
      <c r="S327" s="372"/>
      <c r="T327" s="640">
        <v>4765</v>
      </c>
      <c r="U327" s="626"/>
      <c r="V327" s="626"/>
      <c r="W327" s="626"/>
      <c r="X327" s="641">
        <v>5</v>
      </c>
      <c r="Y327" s="641">
        <v>5</v>
      </c>
      <c r="Z327" s="631">
        <v>0</v>
      </c>
      <c r="AA327" s="631">
        <v>0</v>
      </c>
      <c r="AB327" s="631">
        <v>0</v>
      </c>
      <c r="AC327" s="631">
        <v>0</v>
      </c>
      <c r="AD327" s="641">
        <v>5</v>
      </c>
      <c r="AE327" s="641">
        <v>5</v>
      </c>
    </row>
    <row r="328" spans="1:31" hidden="1">
      <c r="A328" s="634">
        <v>31</v>
      </c>
      <c r="B328" s="639"/>
      <c r="C328" s="634">
        <v>34635</v>
      </c>
      <c r="D328" s="372" t="s">
        <v>632</v>
      </c>
      <c r="E328" s="372"/>
      <c r="F328" s="634" t="s">
        <v>628</v>
      </c>
      <c r="G328" s="635"/>
      <c r="H328" s="634" t="s">
        <v>635</v>
      </c>
      <c r="I328" s="635"/>
      <c r="J328" s="634" t="s">
        <v>635</v>
      </c>
      <c r="K328" s="372"/>
      <c r="L328" s="634" t="s">
        <v>635</v>
      </c>
      <c r="M328" s="372"/>
      <c r="N328" s="634" t="s">
        <v>635</v>
      </c>
      <c r="O328" s="634"/>
      <c r="P328" s="634" t="s">
        <v>635</v>
      </c>
      <c r="Q328" s="635"/>
      <c r="R328" s="634" t="s">
        <v>635</v>
      </c>
      <c r="S328" s="372"/>
      <c r="T328" s="634" t="s">
        <v>635</v>
      </c>
      <c r="U328" s="626"/>
      <c r="V328" s="626"/>
      <c r="W328" s="626"/>
      <c r="X328" s="631">
        <v>0</v>
      </c>
      <c r="Y328" s="631">
        <v>0</v>
      </c>
      <c r="Z328" s="631">
        <v>0</v>
      </c>
      <c r="AA328" s="631">
        <v>0</v>
      </c>
      <c r="AB328" s="631">
        <v>0</v>
      </c>
      <c r="AC328" s="631">
        <v>0</v>
      </c>
      <c r="AD328" s="631">
        <v>0</v>
      </c>
      <c r="AE328" s="631">
        <v>0</v>
      </c>
    </row>
    <row r="329" spans="1:31" hidden="1">
      <c r="A329" s="634">
        <v>32</v>
      </c>
      <c r="B329" s="639"/>
      <c r="C329" s="634"/>
      <c r="D329" s="636" t="s">
        <v>708</v>
      </c>
      <c r="E329" s="634"/>
      <c r="F329" s="642">
        <v>16010</v>
      </c>
      <c r="G329" s="372"/>
      <c r="H329" s="642">
        <v>1016</v>
      </c>
      <c r="I329" s="635"/>
      <c r="J329" s="643" t="s">
        <v>635</v>
      </c>
      <c r="K329" s="635"/>
      <c r="L329" s="643">
        <v>-40</v>
      </c>
      <c r="M329" s="635"/>
      <c r="N329" s="643">
        <v>8</v>
      </c>
      <c r="O329" s="635"/>
      <c r="P329" s="643" t="s">
        <v>635</v>
      </c>
      <c r="Q329" s="635"/>
      <c r="R329" s="642">
        <v>16994</v>
      </c>
      <c r="S329" s="635"/>
      <c r="T329" s="642">
        <v>16509</v>
      </c>
      <c r="U329" s="626"/>
      <c r="V329" s="626"/>
      <c r="W329" s="626"/>
      <c r="X329" s="641">
        <v>5</v>
      </c>
      <c r="Y329" s="641">
        <v>5</v>
      </c>
      <c r="Z329" s="631">
        <v>0</v>
      </c>
      <c r="AA329" s="641">
        <v>5</v>
      </c>
      <c r="AB329" s="641">
        <v>5</v>
      </c>
      <c r="AC329" s="631">
        <v>0</v>
      </c>
      <c r="AD329" s="641">
        <v>5</v>
      </c>
      <c r="AE329" s="641">
        <v>5</v>
      </c>
    </row>
    <row r="330" spans="1:31" hidden="1">
      <c r="A330" s="634">
        <v>33</v>
      </c>
      <c r="B330" s="639"/>
      <c r="C330" s="372"/>
      <c r="D330" s="372"/>
      <c r="E330" s="372"/>
      <c r="F330" s="372"/>
      <c r="G330" s="372"/>
      <c r="H330" s="372"/>
      <c r="I330" s="372"/>
      <c r="J330" s="372"/>
      <c r="K330" s="372"/>
      <c r="L330" s="372"/>
      <c r="M330" s="372"/>
      <c r="N330" s="372"/>
      <c r="O330" s="372"/>
      <c r="P330" s="372"/>
      <c r="Q330" s="635"/>
      <c r="R330" s="372"/>
      <c r="S330" s="372"/>
      <c r="T330" s="372"/>
      <c r="U330" s="626"/>
      <c r="V330" s="626"/>
      <c r="W330" s="626"/>
      <c r="X330" s="631">
        <v>0</v>
      </c>
      <c r="Y330" s="631">
        <v>0</v>
      </c>
      <c r="Z330" s="631">
        <v>0</v>
      </c>
      <c r="AA330" s="631">
        <v>0</v>
      </c>
      <c r="AB330" s="631">
        <v>0</v>
      </c>
      <c r="AC330" s="631">
        <v>0</v>
      </c>
      <c r="AD330" s="631">
        <v>0</v>
      </c>
      <c r="AE330" s="631">
        <v>0</v>
      </c>
    </row>
    <row r="331" spans="1:31" hidden="1">
      <c r="A331" s="634">
        <v>34</v>
      </c>
      <c r="B331" s="639"/>
      <c r="C331" s="634"/>
      <c r="D331" s="636" t="s">
        <v>709</v>
      </c>
      <c r="E331" s="372"/>
      <c r="F331" s="372"/>
      <c r="G331" s="372"/>
      <c r="H331" s="372"/>
      <c r="I331" s="635"/>
      <c r="J331" s="372"/>
      <c r="K331" s="635"/>
      <c r="L331" s="372"/>
      <c r="M331" s="635"/>
      <c r="N331" s="372"/>
      <c r="O331" s="372"/>
      <c r="P331" s="372"/>
      <c r="Q331" s="635"/>
      <c r="R331" s="372"/>
      <c r="S331" s="372"/>
      <c r="T331" s="372"/>
      <c r="U331" s="626"/>
      <c r="V331" s="626"/>
      <c r="W331" s="626"/>
      <c r="X331" s="631">
        <v>0</v>
      </c>
      <c r="Y331" s="631">
        <v>0</v>
      </c>
      <c r="Z331" s="631">
        <v>0</v>
      </c>
      <c r="AA331" s="631">
        <v>0</v>
      </c>
      <c r="AB331" s="631">
        <v>0</v>
      </c>
      <c r="AC331" s="631">
        <v>0</v>
      </c>
      <c r="AD331" s="631">
        <v>0</v>
      </c>
      <c r="AE331" s="631">
        <v>0</v>
      </c>
    </row>
    <row r="332" spans="1:31" hidden="1">
      <c r="A332" s="634">
        <v>35</v>
      </c>
      <c r="B332" s="639"/>
      <c r="C332" s="634">
        <v>34136</v>
      </c>
      <c r="D332" s="372" t="s">
        <v>627</v>
      </c>
      <c r="E332" s="372"/>
      <c r="F332" s="634">
        <v>530</v>
      </c>
      <c r="G332" s="635"/>
      <c r="H332" s="634">
        <v>82</v>
      </c>
      <c r="I332" s="635"/>
      <c r="J332" s="634" t="s">
        <v>635</v>
      </c>
      <c r="K332" s="372"/>
      <c r="L332" s="634" t="s">
        <v>635</v>
      </c>
      <c r="M332" s="372"/>
      <c r="N332" s="634" t="s">
        <v>635</v>
      </c>
      <c r="O332" s="634"/>
      <c r="P332" s="634" t="s">
        <v>635</v>
      </c>
      <c r="Q332" s="635"/>
      <c r="R332" s="634">
        <v>613</v>
      </c>
      <c r="S332" s="372"/>
      <c r="T332" s="634">
        <v>572</v>
      </c>
      <c r="U332" s="626"/>
      <c r="V332" s="626"/>
      <c r="W332" s="626"/>
      <c r="X332" s="641">
        <v>4</v>
      </c>
      <c r="Y332" s="641">
        <v>5</v>
      </c>
      <c r="Z332" s="631">
        <v>0</v>
      </c>
      <c r="AA332" s="631">
        <v>0</v>
      </c>
      <c r="AB332" s="631">
        <v>0</v>
      </c>
      <c r="AC332" s="631">
        <v>0</v>
      </c>
      <c r="AD332" s="641">
        <v>5</v>
      </c>
      <c r="AE332" s="641">
        <v>5</v>
      </c>
    </row>
    <row r="333" spans="1:31" hidden="1">
      <c r="A333" s="634">
        <v>36</v>
      </c>
      <c r="B333" s="639"/>
      <c r="C333" s="634">
        <v>34236</v>
      </c>
      <c r="D333" s="372" t="s">
        <v>666</v>
      </c>
      <c r="E333" s="372"/>
      <c r="F333" s="634">
        <v>530</v>
      </c>
      <c r="G333" s="635"/>
      <c r="H333" s="634">
        <v>57</v>
      </c>
      <c r="I333" s="635"/>
      <c r="J333" s="634" t="s">
        <v>635</v>
      </c>
      <c r="K333" s="372"/>
      <c r="L333" s="634">
        <v>-3</v>
      </c>
      <c r="M333" s="372"/>
      <c r="N333" s="634">
        <v>1</v>
      </c>
      <c r="O333" s="634"/>
      <c r="P333" s="634" t="s">
        <v>635</v>
      </c>
      <c r="Q333" s="635"/>
      <c r="R333" s="634">
        <v>584</v>
      </c>
      <c r="S333" s="372"/>
      <c r="T333" s="634">
        <v>557</v>
      </c>
      <c r="U333" s="626"/>
      <c r="V333" s="626"/>
      <c r="W333" s="626"/>
      <c r="X333" s="641">
        <v>5</v>
      </c>
      <c r="Y333" s="641">
        <v>5</v>
      </c>
      <c r="Z333" s="631">
        <v>0</v>
      </c>
      <c r="AA333" s="641">
        <v>5</v>
      </c>
      <c r="AB333" s="641">
        <v>5</v>
      </c>
      <c r="AC333" s="631">
        <v>0</v>
      </c>
      <c r="AD333" s="641">
        <v>5</v>
      </c>
      <c r="AE333" s="641">
        <v>5</v>
      </c>
    </row>
    <row r="334" spans="1:31" hidden="1">
      <c r="A334" s="634">
        <v>37</v>
      </c>
      <c r="B334" s="639"/>
      <c r="C334" s="634">
        <v>34336</v>
      </c>
      <c r="D334" s="372" t="s">
        <v>667</v>
      </c>
      <c r="E334" s="372"/>
      <c r="F334" s="640">
        <v>10580</v>
      </c>
      <c r="G334" s="635"/>
      <c r="H334" s="634">
        <v>473</v>
      </c>
      <c r="I334" s="635"/>
      <c r="J334" s="634" t="s">
        <v>635</v>
      </c>
      <c r="K334" s="372"/>
      <c r="L334" s="634">
        <v>-34</v>
      </c>
      <c r="M334" s="372"/>
      <c r="N334" s="634">
        <v>7</v>
      </c>
      <c r="O334" s="634"/>
      <c r="P334" s="634" t="s">
        <v>635</v>
      </c>
      <c r="Q334" s="635"/>
      <c r="R334" s="640">
        <v>11027</v>
      </c>
      <c r="S334" s="372"/>
      <c r="T334" s="640">
        <v>10809</v>
      </c>
      <c r="U334" s="626"/>
      <c r="V334" s="626"/>
      <c r="W334" s="626"/>
      <c r="X334" s="641">
        <v>5</v>
      </c>
      <c r="Y334" s="641">
        <v>5</v>
      </c>
      <c r="Z334" s="631">
        <v>0</v>
      </c>
      <c r="AA334" s="641">
        <v>5</v>
      </c>
      <c r="AB334" s="641">
        <v>5</v>
      </c>
      <c r="AC334" s="631">
        <v>0</v>
      </c>
      <c r="AD334" s="641">
        <v>5</v>
      </c>
      <c r="AE334" s="641">
        <v>5</v>
      </c>
    </row>
    <row r="335" spans="1:31" hidden="1">
      <c r="A335" s="634">
        <v>38</v>
      </c>
      <c r="B335" s="639"/>
      <c r="C335" s="634">
        <v>34536</v>
      </c>
      <c r="D335" s="372" t="s">
        <v>631</v>
      </c>
      <c r="E335" s="372"/>
      <c r="F335" s="640">
        <v>6376</v>
      </c>
      <c r="G335" s="635"/>
      <c r="H335" s="634">
        <v>401</v>
      </c>
      <c r="I335" s="635"/>
      <c r="J335" s="634" t="s">
        <v>635</v>
      </c>
      <c r="K335" s="372"/>
      <c r="L335" s="634" t="s">
        <v>635</v>
      </c>
      <c r="M335" s="372"/>
      <c r="N335" s="634" t="s">
        <v>635</v>
      </c>
      <c r="O335" s="634"/>
      <c r="P335" s="634" t="s">
        <v>635</v>
      </c>
      <c r="Q335" s="635"/>
      <c r="R335" s="640">
        <v>6777</v>
      </c>
      <c r="S335" s="372"/>
      <c r="T335" s="640">
        <v>6577</v>
      </c>
      <c r="U335" s="626"/>
      <c r="V335" s="626"/>
      <c r="W335" s="626"/>
      <c r="X335" s="641">
        <v>5</v>
      </c>
      <c r="Y335" s="641">
        <v>4</v>
      </c>
      <c r="Z335" s="631">
        <v>0</v>
      </c>
      <c r="AA335" s="631">
        <v>0</v>
      </c>
      <c r="AB335" s="631">
        <v>0</v>
      </c>
      <c r="AC335" s="631">
        <v>0</v>
      </c>
      <c r="AD335" s="641">
        <v>5</v>
      </c>
      <c r="AE335" s="641">
        <v>5</v>
      </c>
    </row>
    <row r="336" spans="1:31" hidden="1">
      <c r="A336" s="634">
        <v>39</v>
      </c>
      <c r="B336" s="639"/>
      <c r="C336" s="634">
        <v>34636</v>
      </c>
      <c r="D336" s="372" t="s">
        <v>632</v>
      </c>
      <c r="E336" s="372"/>
      <c r="F336" s="634">
        <v>5</v>
      </c>
      <c r="G336" s="635"/>
      <c r="H336" s="634">
        <v>0</v>
      </c>
      <c r="I336" s="635"/>
      <c r="J336" s="634" t="s">
        <v>635</v>
      </c>
      <c r="K336" s="372"/>
      <c r="L336" s="634" t="s">
        <v>635</v>
      </c>
      <c r="M336" s="372"/>
      <c r="N336" s="634" t="s">
        <v>635</v>
      </c>
      <c r="O336" s="634"/>
      <c r="P336" s="634" t="s">
        <v>635</v>
      </c>
      <c r="Q336" s="635"/>
      <c r="R336" s="634">
        <v>6</v>
      </c>
      <c r="S336" s="372"/>
      <c r="T336" s="634">
        <v>6</v>
      </c>
      <c r="U336" s="626"/>
      <c r="V336" s="626"/>
      <c r="W336" s="626"/>
      <c r="X336" s="641">
        <v>5</v>
      </c>
      <c r="Y336" s="641">
        <v>5</v>
      </c>
      <c r="Z336" s="631">
        <v>0</v>
      </c>
      <c r="AA336" s="631">
        <v>0</v>
      </c>
      <c r="AB336" s="631">
        <v>0</v>
      </c>
      <c r="AC336" s="631">
        <v>0</v>
      </c>
      <c r="AD336" s="641">
        <v>5</v>
      </c>
      <c r="AE336" s="641">
        <v>5</v>
      </c>
    </row>
    <row r="337" spans="1:31" hidden="1">
      <c r="A337" s="634">
        <v>40</v>
      </c>
      <c r="B337" s="639"/>
      <c r="C337" s="634"/>
      <c r="D337" s="636" t="s">
        <v>710</v>
      </c>
      <c r="E337" s="372"/>
      <c r="F337" s="642">
        <v>18022</v>
      </c>
      <c r="G337" s="372"/>
      <c r="H337" s="642">
        <v>1014</v>
      </c>
      <c r="I337" s="635"/>
      <c r="J337" s="643" t="s">
        <v>635</v>
      </c>
      <c r="K337" s="635"/>
      <c r="L337" s="643">
        <v>-37</v>
      </c>
      <c r="M337" s="635"/>
      <c r="N337" s="643">
        <v>8</v>
      </c>
      <c r="O337" s="635"/>
      <c r="P337" s="643" t="s">
        <v>635</v>
      </c>
      <c r="Q337" s="635"/>
      <c r="R337" s="642">
        <v>19007</v>
      </c>
      <c r="S337" s="372"/>
      <c r="T337" s="642">
        <v>18520</v>
      </c>
      <c r="U337" s="626"/>
      <c r="V337" s="626"/>
      <c r="W337" s="626"/>
      <c r="X337" s="641">
        <v>5</v>
      </c>
      <c r="Y337" s="641">
        <v>5</v>
      </c>
      <c r="Z337" s="631">
        <v>0</v>
      </c>
      <c r="AA337" s="641">
        <v>5</v>
      </c>
      <c r="AB337" s="641">
        <v>5</v>
      </c>
      <c r="AC337" s="631">
        <v>0</v>
      </c>
      <c r="AD337" s="641">
        <v>5</v>
      </c>
      <c r="AE337" s="641">
        <v>5</v>
      </c>
    </row>
    <row r="338" spans="1:31" hidden="1">
      <c r="A338" s="634">
        <v>41</v>
      </c>
      <c r="B338" s="639"/>
      <c r="C338" s="372"/>
      <c r="D338" s="372"/>
      <c r="E338" s="372"/>
      <c r="F338" s="372"/>
      <c r="G338" s="372"/>
      <c r="H338" s="372"/>
      <c r="I338" s="372"/>
      <c r="J338" s="372"/>
      <c r="K338" s="372"/>
      <c r="L338" s="372"/>
      <c r="M338" s="372"/>
      <c r="N338" s="372"/>
      <c r="O338" s="372"/>
      <c r="P338" s="372"/>
      <c r="Q338" s="635"/>
      <c r="R338" s="372"/>
      <c r="S338" s="372"/>
      <c r="T338" s="372"/>
      <c r="U338" s="626"/>
      <c r="V338" s="626"/>
      <c r="W338" s="626"/>
      <c r="X338" s="631">
        <v>0</v>
      </c>
      <c r="Y338" s="631">
        <v>0</v>
      </c>
      <c r="Z338" s="631">
        <v>0</v>
      </c>
      <c r="AA338" s="631">
        <v>0</v>
      </c>
      <c r="AB338" s="631">
        <v>0</v>
      </c>
      <c r="AC338" s="631">
        <v>0</v>
      </c>
      <c r="AD338" s="631">
        <v>0</v>
      </c>
      <c r="AE338" s="631">
        <v>0</v>
      </c>
    </row>
    <row r="339" spans="1:31" hidden="1">
      <c r="A339" s="634">
        <v>42</v>
      </c>
      <c r="B339" s="639"/>
      <c r="C339" s="634">
        <v>34637</v>
      </c>
      <c r="D339" s="636" t="s">
        <v>711</v>
      </c>
      <c r="E339" s="372"/>
      <c r="F339" s="634">
        <v>371</v>
      </c>
      <c r="G339" s="635"/>
      <c r="H339" s="634">
        <v>72</v>
      </c>
      <c r="I339" s="635"/>
      <c r="J339" s="634">
        <v>-301</v>
      </c>
      <c r="K339" s="372"/>
      <c r="L339" s="634" t="s">
        <v>628</v>
      </c>
      <c r="M339" s="372"/>
      <c r="N339" s="634" t="s">
        <v>635</v>
      </c>
      <c r="O339" s="634"/>
      <c r="P339" s="634" t="s">
        <v>635</v>
      </c>
      <c r="Q339" s="635"/>
      <c r="R339" s="634">
        <v>141</v>
      </c>
      <c r="S339" s="372"/>
      <c r="T339" s="634">
        <v>330</v>
      </c>
      <c r="U339" s="626"/>
      <c r="V339" s="626"/>
      <c r="W339" s="626"/>
      <c r="X339" s="641">
        <v>5</v>
      </c>
      <c r="Y339" s="641">
        <v>5</v>
      </c>
      <c r="Z339" s="641">
        <v>5</v>
      </c>
      <c r="AA339" s="631">
        <v>0</v>
      </c>
      <c r="AB339" s="631">
        <v>0</v>
      </c>
      <c r="AC339" s="631">
        <v>0</v>
      </c>
      <c r="AD339" s="641">
        <v>5</v>
      </c>
      <c r="AE339" s="641">
        <v>5</v>
      </c>
    </row>
    <row r="340" spans="1:31" ht="15" hidden="1" thickBot="1">
      <c r="A340" s="634">
        <v>43</v>
      </c>
      <c r="B340" s="639"/>
      <c r="C340" s="372"/>
      <c r="D340" s="372" t="s">
        <v>712</v>
      </c>
      <c r="E340" s="372"/>
      <c r="F340" s="648">
        <v>459654</v>
      </c>
      <c r="G340" s="372"/>
      <c r="H340" s="648">
        <v>56739</v>
      </c>
      <c r="I340" s="635"/>
      <c r="J340" s="648">
        <v>-10063</v>
      </c>
      <c r="K340" s="635"/>
      <c r="L340" s="648">
        <v>-6489</v>
      </c>
      <c r="M340" s="635"/>
      <c r="N340" s="649">
        <v>392</v>
      </c>
      <c r="O340" s="372"/>
      <c r="P340" s="649" t="s">
        <v>635</v>
      </c>
      <c r="Q340" s="635"/>
      <c r="R340" s="648">
        <v>500234</v>
      </c>
      <c r="S340" s="372"/>
      <c r="T340" s="648">
        <v>480091</v>
      </c>
      <c r="U340" s="626"/>
      <c r="V340" s="626"/>
      <c r="W340" s="626"/>
      <c r="X340" s="641">
        <v>5</v>
      </c>
      <c r="Y340" s="641">
        <v>5</v>
      </c>
      <c r="Z340" s="641">
        <v>4</v>
      </c>
      <c r="AA340" s="641">
        <v>5</v>
      </c>
      <c r="AB340" s="641">
        <v>5</v>
      </c>
      <c r="AC340" s="631">
        <v>0</v>
      </c>
      <c r="AD340" s="641">
        <v>5</v>
      </c>
      <c r="AE340" s="641">
        <v>5</v>
      </c>
    </row>
    <row r="341" spans="1:31" ht="15.6" hidden="1" thickTop="1" thickBot="1">
      <c r="A341" s="637">
        <v>44</v>
      </c>
      <c r="B341" s="660" t="s">
        <v>67</v>
      </c>
      <c r="C341" s="660"/>
      <c r="D341" s="625"/>
      <c r="E341" s="625"/>
      <c r="F341" s="625"/>
      <c r="G341" s="625"/>
      <c r="H341" s="625"/>
      <c r="I341" s="625"/>
      <c r="J341" s="625"/>
      <c r="K341" s="625"/>
      <c r="L341" s="625"/>
      <c r="M341" s="625"/>
      <c r="N341" s="625"/>
      <c r="O341" s="625"/>
      <c r="P341" s="625"/>
      <c r="Q341" s="638"/>
      <c r="R341" s="625"/>
      <c r="S341" s="625"/>
      <c r="T341" s="625"/>
      <c r="U341" s="626"/>
      <c r="V341" s="626"/>
      <c r="W341" s="626"/>
      <c r="X341" s="631">
        <v>0</v>
      </c>
      <c r="Y341" s="631">
        <v>0</v>
      </c>
      <c r="Z341" s="631">
        <v>0</v>
      </c>
      <c r="AA341" s="631">
        <v>0</v>
      </c>
      <c r="AB341" s="631">
        <v>0</v>
      </c>
      <c r="AC341" s="631">
        <v>0</v>
      </c>
      <c r="AD341" s="631">
        <v>0</v>
      </c>
      <c r="AE341" s="631">
        <v>0</v>
      </c>
    </row>
    <row r="342" spans="1:31" hidden="1">
      <c r="A342" s="664" t="s">
        <v>818</v>
      </c>
      <c r="B342" s="664"/>
      <c r="C342" s="372"/>
      <c r="D342" s="372"/>
      <c r="E342" s="664"/>
      <c r="F342" s="664"/>
      <c r="G342" s="664"/>
      <c r="H342" s="664"/>
      <c r="I342" s="664"/>
      <c r="J342" s="664"/>
      <c r="K342" s="664"/>
      <c r="L342" s="664"/>
      <c r="M342" s="664"/>
      <c r="N342" s="664"/>
      <c r="O342" s="664"/>
      <c r="P342" s="664"/>
      <c r="Q342" s="635"/>
      <c r="R342" s="372" t="s">
        <v>644</v>
      </c>
      <c r="S342" s="664"/>
      <c r="T342" s="664"/>
      <c r="U342" s="626"/>
      <c r="V342" s="626"/>
      <c r="W342" s="626"/>
      <c r="X342" s="631">
        <v>0</v>
      </c>
      <c r="Y342" s="631">
        <v>0</v>
      </c>
      <c r="Z342" s="631">
        <v>0</v>
      </c>
      <c r="AA342" s="631">
        <v>0</v>
      </c>
      <c r="AB342" s="631">
        <v>0</v>
      </c>
      <c r="AC342" s="631">
        <v>0</v>
      </c>
      <c r="AD342" s="631">
        <v>2</v>
      </c>
      <c r="AE342" s="631">
        <v>0</v>
      </c>
    </row>
    <row r="343" spans="1:31" ht="15" hidden="1" thickBot="1">
      <c r="A343" s="625" t="s">
        <v>808</v>
      </c>
      <c r="B343" s="625"/>
      <c r="C343" s="625"/>
      <c r="D343" s="625"/>
      <c r="E343" s="625"/>
      <c r="F343" s="625" t="s">
        <v>809</v>
      </c>
      <c r="G343" s="625"/>
      <c r="H343" s="625"/>
      <c r="I343" s="625"/>
      <c r="J343" s="625"/>
      <c r="K343" s="625"/>
      <c r="L343" s="625"/>
      <c r="M343" s="625"/>
      <c r="N343" s="625"/>
      <c r="O343" s="625"/>
      <c r="P343" s="625"/>
      <c r="Q343" s="638"/>
      <c r="R343" s="625"/>
      <c r="S343" s="625"/>
      <c r="T343" s="625" t="s">
        <v>713</v>
      </c>
      <c r="U343" s="626"/>
      <c r="V343" s="626"/>
      <c r="W343" s="626"/>
      <c r="X343" s="631">
        <v>2</v>
      </c>
      <c r="Y343" s="631">
        <v>0</v>
      </c>
      <c r="Z343" s="631">
        <v>0</v>
      </c>
      <c r="AA343" s="631">
        <v>0</v>
      </c>
      <c r="AB343" s="631">
        <v>0</v>
      </c>
      <c r="AC343" s="631">
        <v>0</v>
      </c>
      <c r="AD343" s="631">
        <v>0</v>
      </c>
      <c r="AE343" s="631">
        <v>2</v>
      </c>
    </row>
    <row r="344" spans="1:31" hidden="1">
      <c r="A344" s="664" t="s">
        <v>4</v>
      </c>
      <c r="B344" s="664"/>
      <c r="C344" s="372"/>
      <c r="D344" s="372"/>
      <c r="E344" s="635" t="s">
        <v>553</v>
      </c>
      <c r="F344" s="372" t="s">
        <v>810</v>
      </c>
      <c r="G344" s="664"/>
      <c r="H344" s="664"/>
      <c r="I344" s="664"/>
      <c r="J344" s="664"/>
      <c r="K344" s="661"/>
      <c r="L344" s="661"/>
      <c r="M344" s="661"/>
      <c r="N344" s="661"/>
      <c r="O344" s="661"/>
      <c r="P344" s="661"/>
      <c r="Q344" s="645"/>
      <c r="R344" s="372" t="s">
        <v>608</v>
      </c>
      <c r="S344" s="664"/>
      <c r="T344" s="664"/>
      <c r="U344" s="626"/>
      <c r="V344" s="626"/>
      <c r="W344" s="626"/>
      <c r="X344" s="631">
        <v>2</v>
      </c>
      <c r="Y344" s="631">
        <v>0</v>
      </c>
      <c r="Z344" s="631">
        <v>0</v>
      </c>
      <c r="AA344" s="631">
        <v>0</v>
      </c>
      <c r="AB344" s="631">
        <v>0</v>
      </c>
      <c r="AC344" s="631">
        <v>0</v>
      </c>
      <c r="AD344" s="631">
        <v>2</v>
      </c>
      <c r="AE344" s="631">
        <v>0</v>
      </c>
    </row>
    <row r="345" spans="1:31" hidden="1">
      <c r="A345" s="372"/>
      <c r="B345" s="372"/>
      <c r="C345" s="372"/>
      <c r="D345" s="372"/>
      <c r="E345" s="372"/>
      <c r="F345" s="372" t="s">
        <v>811</v>
      </c>
      <c r="G345" s="372"/>
      <c r="H345" s="372"/>
      <c r="I345" s="372"/>
      <c r="J345" s="372"/>
      <c r="K345" s="636"/>
      <c r="L345" s="636"/>
      <c r="M345" s="372"/>
      <c r="N345" s="372"/>
      <c r="O345" s="635"/>
      <c r="P345" s="635"/>
      <c r="Q345" s="635"/>
      <c r="R345" s="636" t="s">
        <v>9</v>
      </c>
      <c r="S345" s="372"/>
      <c r="T345" s="372"/>
      <c r="U345" s="626"/>
      <c r="V345" s="626"/>
      <c r="W345" s="626"/>
      <c r="X345" s="631">
        <v>2</v>
      </c>
      <c r="Y345" s="631">
        <v>0</v>
      </c>
      <c r="Z345" s="631">
        <v>0</v>
      </c>
      <c r="AA345" s="631">
        <v>0</v>
      </c>
      <c r="AB345" s="631">
        <v>0</v>
      </c>
      <c r="AC345" s="631">
        <v>0</v>
      </c>
      <c r="AD345" s="631">
        <v>2</v>
      </c>
      <c r="AE345" s="631">
        <v>0</v>
      </c>
    </row>
    <row r="346" spans="1:31" hidden="1">
      <c r="A346" s="372" t="s">
        <v>10</v>
      </c>
      <c r="B346" s="372"/>
      <c r="C346" s="372"/>
      <c r="D346" s="372"/>
      <c r="E346" s="372"/>
      <c r="F346" s="372"/>
      <c r="G346" s="372"/>
      <c r="H346" s="372"/>
      <c r="I346" s="372"/>
      <c r="J346" s="372"/>
      <c r="K346" s="636"/>
      <c r="L346" s="636"/>
      <c r="M346" s="372"/>
      <c r="N346" s="372"/>
      <c r="O346" s="372"/>
      <c r="P346" s="372"/>
      <c r="Q346" s="635"/>
      <c r="R346" s="636" t="s">
        <v>11</v>
      </c>
      <c r="S346" s="372"/>
      <c r="T346" s="372"/>
      <c r="U346" s="626"/>
      <c r="V346" s="626"/>
      <c r="W346" s="626"/>
      <c r="X346" s="631">
        <v>2</v>
      </c>
      <c r="Y346" s="631">
        <v>0</v>
      </c>
      <c r="Z346" s="631">
        <v>0</v>
      </c>
      <c r="AA346" s="631">
        <v>0</v>
      </c>
      <c r="AB346" s="631">
        <v>0</v>
      </c>
      <c r="AC346" s="631">
        <v>0</v>
      </c>
      <c r="AD346" s="631">
        <v>2</v>
      </c>
      <c r="AE346" s="631">
        <v>0</v>
      </c>
    </row>
    <row r="347" spans="1:31" hidden="1">
      <c r="A347" s="372"/>
      <c r="B347" s="372"/>
      <c r="C347" s="372"/>
      <c r="D347" s="372"/>
      <c r="E347" s="372"/>
      <c r="F347" s="372"/>
      <c r="G347" s="372"/>
      <c r="H347" s="372"/>
      <c r="I347" s="372"/>
      <c r="J347" s="372"/>
      <c r="K347" s="636"/>
      <c r="L347" s="636"/>
      <c r="M347" s="372"/>
      <c r="N347" s="372"/>
      <c r="O347" s="372"/>
      <c r="P347" s="372"/>
      <c r="Q347" s="635" t="s">
        <v>12</v>
      </c>
      <c r="R347" s="636" t="s">
        <v>13</v>
      </c>
      <c r="S347" s="372"/>
      <c r="T347" s="372"/>
      <c r="U347" s="626"/>
      <c r="V347" s="626"/>
      <c r="W347" s="626"/>
      <c r="X347" s="631">
        <v>2</v>
      </c>
      <c r="Y347" s="631">
        <v>0</v>
      </c>
      <c r="Z347" s="631">
        <v>0</v>
      </c>
      <c r="AA347" s="631">
        <v>0</v>
      </c>
      <c r="AB347" s="631">
        <v>0</v>
      </c>
      <c r="AC347" s="631">
        <v>0</v>
      </c>
      <c r="AD347" s="631">
        <v>2</v>
      </c>
      <c r="AE347" s="631">
        <v>0</v>
      </c>
    </row>
    <row r="348" spans="1:31" hidden="1">
      <c r="A348" s="372"/>
      <c r="B348" s="372"/>
      <c r="C348" s="372"/>
      <c r="D348" s="372"/>
      <c r="E348" s="372"/>
      <c r="F348" s="372"/>
      <c r="G348" s="372"/>
      <c r="H348" s="372"/>
      <c r="I348" s="372"/>
      <c r="J348" s="372"/>
      <c r="K348" s="636"/>
      <c r="L348" s="636"/>
      <c r="M348" s="372"/>
      <c r="N348" s="372"/>
      <c r="O348" s="372"/>
      <c r="P348" s="372"/>
      <c r="Q348" s="635"/>
      <c r="R348" s="636" t="s">
        <v>610</v>
      </c>
      <c r="S348" s="372"/>
      <c r="T348" s="372"/>
      <c r="U348" s="626"/>
      <c r="V348" s="626"/>
      <c r="W348" s="626"/>
      <c r="X348" s="631">
        <v>0</v>
      </c>
      <c r="Y348" s="631">
        <v>0</v>
      </c>
      <c r="Z348" s="631">
        <v>0</v>
      </c>
      <c r="AA348" s="631">
        <v>0</v>
      </c>
      <c r="AB348" s="631">
        <v>0</v>
      </c>
      <c r="AC348" s="631">
        <v>0</v>
      </c>
      <c r="AD348" s="631">
        <v>2</v>
      </c>
      <c r="AE348" s="631">
        <v>0</v>
      </c>
    </row>
    <row r="349" spans="1:31" ht="15" hidden="1" thickBot="1">
      <c r="A349" s="625" t="s">
        <v>611</v>
      </c>
      <c r="B349" s="625"/>
      <c r="C349" s="625"/>
      <c r="D349" s="625"/>
      <c r="E349" s="625"/>
      <c r="F349" s="625"/>
      <c r="G349" s="625"/>
      <c r="H349" s="637" t="s">
        <v>812</v>
      </c>
      <c r="I349" s="625"/>
      <c r="J349" s="625"/>
      <c r="K349" s="625"/>
      <c r="L349" s="625"/>
      <c r="M349" s="625"/>
      <c r="N349" s="625"/>
      <c r="O349" s="625"/>
      <c r="P349" s="625"/>
      <c r="Q349" s="638"/>
      <c r="R349" s="625" t="s">
        <v>249</v>
      </c>
      <c r="S349" s="625"/>
      <c r="T349" s="625"/>
      <c r="U349" s="626"/>
      <c r="V349" s="626"/>
      <c r="W349" s="626"/>
      <c r="X349" s="631">
        <v>2</v>
      </c>
      <c r="Y349" s="631">
        <v>2</v>
      </c>
      <c r="Z349" s="631">
        <v>0</v>
      </c>
      <c r="AA349" s="631">
        <v>0</v>
      </c>
      <c r="AB349" s="631">
        <v>0</v>
      </c>
      <c r="AC349" s="631">
        <v>0</v>
      </c>
      <c r="AD349" s="631">
        <v>2</v>
      </c>
      <c r="AE349" s="631">
        <v>0</v>
      </c>
    </row>
    <row r="350" spans="1:31" hidden="1">
      <c r="A350" s="664"/>
      <c r="B350" s="664"/>
      <c r="C350" s="634"/>
      <c r="D350" s="634"/>
      <c r="E350" s="634"/>
      <c r="F350" s="634"/>
      <c r="G350" s="634"/>
      <c r="H350" s="634"/>
      <c r="I350" s="634"/>
      <c r="J350" s="634"/>
      <c r="K350" s="634"/>
      <c r="L350" s="634"/>
      <c r="M350" s="634"/>
      <c r="N350" s="634"/>
      <c r="O350" s="634"/>
      <c r="P350" s="634"/>
      <c r="Q350" s="635"/>
      <c r="R350" s="634"/>
      <c r="S350" s="634"/>
      <c r="T350" s="634"/>
      <c r="U350" s="626"/>
      <c r="V350" s="626"/>
      <c r="W350" s="626"/>
      <c r="X350" s="631">
        <v>0</v>
      </c>
      <c r="Y350" s="631">
        <v>0</v>
      </c>
      <c r="Z350" s="631">
        <v>0</v>
      </c>
      <c r="AA350" s="631">
        <v>0</v>
      </c>
      <c r="AB350" s="631">
        <v>0</v>
      </c>
      <c r="AC350" s="631">
        <v>0</v>
      </c>
      <c r="AD350" s="631">
        <v>0</v>
      </c>
      <c r="AE350" s="631">
        <v>0</v>
      </c>
    </row>
    <row r="351" spans="1:31" hidden="1">
      <c r="A351" s="372"/>
      <c r="B351" s="372"/>
      <c r="C351" s="634">
        <v>-1</v>
      </c>
      <c r="D351" s="634">
        <v>-2</v>
      </c>
      <c r="E351" s="634"/>
      <c r="F351" s="634">
        <v>-3</v>
      </c>
      <c r="G351" s="634"/>
      <c r="H351" s="634">
        <v>-4</v>
      </c>
      <c r="I351" s="634"/>
      <c r="J351" s="634">
        <v>-5</v>
      </c>
      <c r="K351" s="634"/>
      <c r="L351" s="634">
        <v>-6</v>
      </c>
      <c r="M351" s="634"/>
      <c r="N351" s="634">
        <v>-7</v>
      </c>
      <c r="O351" s="634"/>
      <c r="P351" s="634">
        <v>-8</v>
      </c>
      <c r="Q351" s="635"/>
      <c r="R351" s="634">
        <v>-9</v>
      </c>
      <c r="S351" s="634"/>
      <c r="T351" s="634">
        <v>-10</v>
      </c>
      <c r="U351" s="626"/>
      <c r="V351" s="626"/>
      <c r="W351" s="626"/>
      <c r="X351" s="631">
        <v>2</v>
      </c>
      <c r="Y351" s="631">
        <v>2</v>
      </c>
      <c r="Z351" s="631">
        <v>2</v>
      </c>
      <c r="AA351" s="631">
        <v>2</v>
      </c>
      <c r="AB351" s="631">
        <v>2</v>
      </c>
      <c r="AC351" s="631">
        <v>2</v>
      </c>
      <c r="AD351" s="631">
        <v>2</v>
      </c>
      <c r="AE351" s="631">
        <v>2</v>
      </c>
    </row>
    <row r="352" spans="1:31" hidden="1">
      <c r="A352" s="372"/>
      <c r="B352" s="372"/>
      <c r="C352" s="634" t="s">
        <v>613</v>
      </c>
      <c r="D352" s="634" t="s">
        <v>613</v>
      </c>
      <c r="E352" s="372"/>
      <c r="F352" s="634" t="s">
        <v>27</v>
      </c>
      <c r="G352" s="634"/>
      <c r="H352" s="634" t="s">
        <v>45</v>
      </c>
      <c r="I352" s="634"/>
      <c r="J352" s="634"/>
      <c r="K352" s="634"/>
      <c r="L352" s="634"/>
      <c r="M352" s="634"/>
      <c r="N352" s="372"/>
      <c r="O352" s="372"/>
      <c r="P352" s="372"/>
      <c r="Q352" s="635"/>
      <c r="R352" s="634" t="s">
        <v>27</v>
      </c>
      <c r="S352" s="372"/>
      <c r="T352" s="372"/>
      <c r="U352" s="626"/>
      <c r="V352" s="626"/>
      <c r="W352" s="626"/>
      <c r="X352" s="631">
        <v>2</v>
      </c>
      <c r="Y352" s="631">
        <v>2</v>
      </c>
      <c r="Z352" s="631">
        <v>0</v>
      </c>
      <c r="AA352" s="631">
        <v>0</v>
      </c>
      <c r="AB352" s="631">
        <v>0</v>
      </c>
      <c r="AC352" s="631">
        <v>0</v>
      </c>
      <c r="AD352" s="631">
        <v>2</v>
      </c>
      <c r="AE352" s="631">
        <v>0</v>
      </c>
    </row>
    <row r="353" spans="1:31" hidden="1">
      <c r="A353" s="634" t="s">
        <v>35</v>
      </c>
      <c r="B353" s="634"/>
      <c r="C353" s="634" t="s">
        <v>614</v>
      </c>
      <c r="D353" s="634" t="s">
        <v>614</v>
      </c>
      <c r="E353" s="634"/>
      <c r="F353" s="634" t="s">
        <v>37</v>
      </c>
      <c r="G353" s="634"/>
      <c r="H353" s="634" t="s">
        <v>37</v>
      </c>
      <c r="I353" s="634"/>
      <c r="J353" s="634"/>
      <c r="K353" s="634"/>
      <c r="L353" s="634" t="s">
        <v>813</v>
      </c>
      <c r="M353" s="636"/>
      <c r="N353" s="634" t="s">
        <v>813</v>
      </c>
      <c r="O353" s="634"/>
      <c r="P353" s="634" t="s">
        <v>178</v>
      </c>
      <c r="Q353" s="635"/>
      <c r="R353" s="634" t="s">
        <v>37</v>
      </c>
      <c r="S353" s="634"/>
      <c r="T353" s="634" t="s">
        <v>353</v>
      </c>
      <c r="U353" s="626"/>
      <c r="V353" s="626"/>
      <c r="W353" s="626"/>
      <c r="X353" s="631">
        <v>2</v>
      </c>
      <c r="Y353" s="631">
        <v>2</v>
      </c>
      <c r="Z353" s="631">
        <v>0</v>
      </c>
      <c r="AA353" s="631">
        <v>2</v>
      </c>
      <c r="AB353" s="631">
        <v>2</v>
      </c>
      <c r="AC353" s="631">
        <v>2</v>
      </c>
      <c r="AD353" s="631">
        <v>2</v>
      </c>
      <c r="AE353" s="631">
        <v>2</v>
      </c>
    </row>
    <row r="354" spans="1:31" ht="15" hidden="1" thickBot="1">
      <c r="A354" s="637" t="s">
        <v>46</v>
      </c>
      <c r="B354" s="637"/>
      <c r="C354" s="637" t="s">
        <v>371</v>
      </c>
      <c r="D354" s="637" t="s">
        <v>617</v>
      </c>
      <c r="E354" s="637"/>
      <c r="F354" s="637" t="s">
        <v>619</v>
      </c>
      <c r="G354" s="637"/>
      <c r="H354" s="637" t="s">
        <v>814</v>
      </c>
      <c r="I354" s="637"/>
      <c r="J354" s="637" t="s">
        <v>815</v>
      </c>
      <c r="K354" s="637"/>
      <c r="L354" s="637" t="s">
        <v>816</v>
      </c>
      <c r="M354" s="637"/>
      <c r="N354" s="637" t="s">
        <v>817</v>
      </c>
      <c r="O354" s="637"/>
      <c r="P354" s="637" t="s">
        <v>622</v>
      </c>
      <c r="Q354" s="638"/>
      <c r="R354" s="637" t="s">
        <v>623</v>
      </c>
      <c r="S354" s="637"/>
      <c r="T354" s="637" t="s">
        <v>369</v>
      </c>
      <c r="U354" s="626"/>
      <c r="V354" s="626"/>
      <c r="W354" s="626"/>
      <c r="X354" s="631">
        <v>2</v>
      </c>
      <c r="Y354" s="631">
        <v>2</v>
      </c>
      <c r="Z354" s="631">
        <v>2</v>
      </c>
      <c r="AA354" s="631">
        <v>2</v>
      </c>
      <c r="AB354" s="631">
        <v>2</v>
      </c>
      <c r="AC354" s="631">
        <v>2</v>
      </c>
      <c r="AD354" s="631">
        <v>2</v>
      </c>
      <c r="AE354" s="631">
        <v>2</v>
      </c>
    </row>
    <row r="355" spans="1:31" hidden="1">
      <c r="A355" s="634">
        <v>1</v>
      </c>
      <c r="B355" s="639"/>
      <c r="C355" s="372"/>
      <c r="D355" s="372"/>
      <c r="E355" s="664"/>
      <c r="F355" s="664"/>
      <c r="G355" s="664"/>
      <c r="H355" s="664"/>
      <c r="I355" s="664"/>
      <c r="J355" s="664"/>
      <c r="K355" s="664"/>
      <c r="L355" s="664"/>
      <c r="M355" s="664"/>
      <c r="N355" s="664"/>
      <c r="O355" s="664"/>
      <c r="P355" s="664"/>
      <c r="Q355" s="635"/>
      <c r="R355" s="372"/>
      <c r="S355" s="664"/>
      <c r="T355" s="664"/>
      <c r="U355" s="626"/>
      <c r="V355" s="626"/>
      <c r="W355" s="626"/>
      <c r="X355" s="631">
        <v>0</v>
      </c>
      <c r="Y355" s="631">
        <v>0</v>
      </c>
      <c r="Z355" s="631">
        <v>0</v>
      </c>
      <c r="AA355" s="631">
        <v>0</v>
      </c>
      <c r="AB355" s="631">
        <v>0</v>
      </c>
      <c r="AC355" s="631">
        <v>0</v>
      </c>
      <c r="AD355" s="631">
        <v>0</v>
      </c>
      <c r="AE355" s="631">
        <v>0</v>
      </c>
    </row>
    <row r="356" spans="1:31" hidden="1">
      <c r="A356" s="634">
        <v>2</v>
      </c>
      <c r="B356" s="639"/>
      <c r="C356" s="372"/>
      <c r="D356" s="372" t="s">
        <v>714</v>
      </c>
      <c r="E356" s="372"/>
      <c r="F356" s="372"/>
      <c r="G356" s="372"/>
      <c r="H356" s="372"/>
      <c r="I356" s="635"/>
      <c r="J356" s="372"/>
      <c r="K356" s="635"/>
      <c r="L356" s="372"/>
      <c r="M356" s="635"/>
      <c r="N356" s="372"/>
      <c r="O356" s="372"/>
      <c r="P356" s="372"/>
      <c r="Q356" s="635"/>
      <c r="R356" s="372"/>
      <c r="S356" s="635"/>
      <c r="T356" s="372"/>
      <c r="U356" s="626"/>
      <c r="V356" s="626"/>
      <c r="W356" s="626"/>
      <c r="X356" s="631">
        <v>0</v>
      </c>
      <c r="Y356" s="631">
        <v>0</v>
      </c>
      <c r="Z356" s="631">
        <v>0</v>
      </c>
      <c r="AA356" s="631">
        <v>0</v>
      </c>
      <c r="AB356" s="631">
        <v>0</v>
      </c>
      <c r="AC356" s="631">
        <v>0</v>
      </c>
      <c r="AD356" s="631">
        <v>0</v>
      </c>
      <c r="AE356" s="631">
        <v>0</v>
      </c>
    </row>
    <row r="357" spans="1:31" hidden="1">
      <c r="A357" s="634">
        <v>3</v>
      </c>
      <c r="B357" s="639"/>
      <c r="C357" s="634">
        <v>34199</v>
      </c>
      <c r="D357" s="372" t="s">
        <v>627</v>
      </c>
      <c r="E357" s="372"/>
      <c r="F357" s="640">
        <v>30195</v>
      </c>
      <c r="G357" s="635"/>
      <c r="H357" s="640">
        <v>10722</v>
      </c>
      <c r="I357" s="635"/>
      <c r="J357" s="634" t="s">
        <v>635</v>
      </c>
      <c r="K357" s="372"/>
      <c r="L357" s="634" t="s">
        <v>635</v>
      </c>
      <c r="M357" s="372"/>
      <c r="N357" s="634" t="s">
        <v>635</v>
      </c>
      <c r="O357" s="634"/>
      <c r="P357" s="634" t="s">
        <v>635</v>
      </c>
      <c r="Q357" s="635"/>
      <c r="R357" s="640">
        <v>40917</v>
      </c>
      <c r="S357" s="372"/>
      <c r="T357" s="640">
        <v>35553</v>
      </c>
      <c r="U357" s="626"/>
      <c r="V357" s="626"/>
      <c r="W357" s="626"/>
      <c r="X357" s="631">
        <v>2</v>
      </c>
      <c r="Y357" s="641">
        <v>5</v>
      </c>
      <c r="Z357" s="631">
        <v>0</v>
      </c>
      <c r="AA357" s="631">
        <v>0</v>
      </c>
      <c r="AB357" s="631">
        <v>0</v>
      </c>
      <c r="AC357" s="631">
        <v>0</v>
      </c>
      <c r="AD357" s="641">
        <v>5</v>
      </c>
      <c r="AE357" s="641">
        <v>4</v>
      </c>
    </row>
    <row r="358" spans="1:31" hidden="1">
      <c r="A358" s="634">
        <v>4</v>
      </c>
      <c r="B358" s="639"/>
      <c r="C358" s="634">
        <v>34399</v>
      </c>
      <c r="D358" s="372" t="s">
        <v>667</v>
      </c>
      <c r="E358" s="372"/>
      <c r="F358" s="640">
        <v>50281</v>
      </c>
      <c r="G358" s="635"/>
      <c r="H358" s="640">
        <v>18948</v>
      </c>
      <c r="I358" s="635"/>
      <c r="J358" s="634" t="s">
        <v>635</v>
      </c>
      <c r="K358" s="372"/>
      <c r="L358" s="634" t="s">
        <v>635</v>
      </c>
      <c r="M358" s="372"/>
      <c r="N358" s="634" t="s">
        <v>635</v>
      </c>
      <c r="O358" s="634"/>
      <c r="P358" s="634" t="s">
        <v>635</v>
      </c>
      <c r="Q358" s="635"/>
      <c r="R358" s="640">
        <v>69228</v>
      </c>
      <c r="S358" s="372"/>
      <c r="T358" s="640">
        <v>59748</v>
      </c>
      <c r="U358" s="626"/>
      <c r="V358" s="626"/>
      <c r="W358" s="626"/>
      <c r="X358" s="641">
        <v>5</v>
      </c>
      <c r="Y358" s="641">
        <v>5</v>
      </c>
      <c r="Z358" s="631">
        <v>0</v>
      </c>
      <c r="AA358" s="631">
        <v>0</v>
      </c>
      <c r="AB358" s="631">
        <v>0</v>
      </c>
      <c r="AC358" s="631">
        <v>0</v>
      </c>
      <c r="AD358" s="641">
        <v>5</v>
      </c>
      <c r="AE358" s="641">
        <v>5</v>
      </c>
    </row>
    <row r="359" spans="1:31" hidden="1">
      <c r="A359" s="634">
        <v>5</v>
      </c>
      <c r="B359" s="639"/>
      <c r="C359" s="634">
        <v>34599</v>
      </c>
      <c r="D359" s="372" t="s">
        <v>631</v>
      </c>
      <c r="E359" s="372"/>
      <c r="F359" s="640">
        <v>20298</v>
      </c>
      <c r="G359" s="635"/>
      <c r="H359" s="640">
        <v>7733</v>
      </c>
      <c r="I359" s="635"/>
      <c r="J359" s="634" t="s">
        <v>635</v>
      </c>
      <c r="K359" s="372"/>
      <c r="L359" s="634" t="s">
        <v>635</v>
      </c>
      <c r="M359" s="372"/>
      <c r="N359" s="634" t="s">
        <v>635</v>
      </c>
      <c r="O359" s="634"/>
      <c r="P359" s="634" t="s">
        <v>635</v>
      </c>
      <c r="Q359" s="635"/>
      <c r="R359" s="640">
        <v>28032</v>
      </c>
      <c r="S359" s="372"/>
      <c r="T359" s="640">
        <v>24161</v>
      </c>
      <c r="U359" s="626"/>
      <c r="V359" s="626"/>
      <c r="W359" s="626"/>
      <c r="X359" s="641">
        <v>5</v>
      </c>
      <c r="Y359" s="641">
        <v>5</v>
      </c>
      <c r="Z359" s="631">
        <v>0</v>
      </c>
      <c r="AA359" s="631">
        <v>0</v>
      </c>
      <c r="AB359" s="631">
        <v>0</v>
      </c>
      <c r="AC359" s="631">
        <v>0</v>
      </c>
      <c r="AD359" s="641">
        <v>5</v>
      </c>
      <c r="AE359" s="641">
        <v>5</v>
      </c>
    </row>
    <row r="360" spans="1:31" hidden="1">
      <c r="A360" s="634">
        <v>6</v>
      </c>
      <c r="B360" s="639"/>
      <c r="C360" s="634">
        <v>34899</v>
      </c>
      <c r="D360" s="372" t="s">
        <v>715</v>
      </c>
      <c r="E360" s="372"/>
      <c r="F360" s="640">
        <v>2082</v>
      </c>
      <c r="G360" s="635"/>
      <c r="H360" s="634">
        <v>895</v>
      </c>
      <c r="I360" s="635"/>
      <c r="J360" s="634" t="s">
        <v>635</v>
      </c>
      <c r="K360" s="372"/>
      <c r="L360" s="634">
        <v>-8</v>
      </c>
      <c r="M360" s="372"/>
      <c r="N360" s="634">
        <v>4</v>
      </c>
      <c r="O360" s="634"/>
      <c r="P360" s="634" t="s">
        <v>635</v>
      </c>
      <c r="Q360" s="635"/>
      <c r="R360" s="640">
        <v>2972</v>
      </c>
      <c r="S360" s="372"/>
      <c r="T360" s="640">
        <v>2526</v>
      </c>
      <c r="U360" s="626"/>
      <c r="V360" s="626"/>
      <c r="W360" s="626"/>
      <c r="X360" s="641">
        <v>5</v>
      </c>
      <c r="Y360" s="641">
        <v>5</v>
      </c>
      <c r="Z360" s="631">
        <v>0</v>
      </c>
      <c r="AA360" s="641">
        <v>5</v>
      </c>
      <c r="AB360" s="641">
        <v>5</v>
      </c>
      <c r="AC360" s="631">
        <v>0</v>
      </c>
      <c r="AD360" s="641">
        <v>5</v>
      </c>
      <c r="AE360" s="641">
        <v>5</v>
      </c>
    </row>
    <row r="361" spans="1:31" ht="15" hidden="1" thickBot="1">
      <c r="A361" s="634">
        <v>7</v>
      </c>
      <c r="B361" s="639"/>
      <c r="C361" s="634"/>
      <c r="D361" s="372" t="s">
        <v>716</v>
      </c>
      <c r="E361" s="372"/>
      <c r="F361" s="650">
        <v>102856</v>
      </c>
      <c r="G361" s="372"/>
      <c r="H361" s="650">
        <v>38297</v>
      </c>
      <c r="I361" s="635"/>
      <c r="J361" s="651" t="s">
        <v>635</v>
      </c>
      <c r="K361" s="635"/>
      <c r="L361" s="651">
        <v>-8</v>
      </c>
      <c r="M361" s="635"/>
      <c r="N361" s="651">
        <v>4</v>
      </c>
      <c r="O361" s="635"/>
      <c r="P361" s="651" t="s">
        <v>635</v>
      </c>
      <c r="Q361" s="635"/>
      <c r="R361" s="650">
        <v>141149</v>
      </c>
      <c r="S361" s="635"/>
      <c r="T361" s="650">
        <v>121989</v>
      </c>
      <c r="U361" s="626"/>
      <c r="V361" s="626"/>
      <c r="W361" s="626"/>
      <c r="X361" s="641">
        <v>4</v>
      </c>
      <c r="Y361" s="641">
        <v>5</v>
      </c>
      <c r="Z361" s="631">
        <v>0</v>
      </c>
      <c r="AA361" s="641">
        <v>5</v>
      </c>
      <c r="AB361" s="641">
        <v>5</v>
      </c>
      <c r="AC361" s="631">
        <v>0</v>
      </c>
      <c r="AD361" s="641">
        <v>5</v>
      </c>
      <c r="AE361" s="641">
        <v>5</v>
      </c>
    </row>
    <row r="362" spans="1:31" ht="15" hidden="1" thickTop="1">
      <c r="A362" s="634">
        <v>8</v>
      </c>
      <c r="B362" s="639"/>
      <c r="C362" s="372"/>
      <c r="D362" s="372"/>
      <c r="E362" s="372"/>
      <c r="F362" s="372"/>
      <c r="G362" s="372"/>
      <c r="H362" s="372"/>
      <c r="I362" s="372"/>
      <c r="J362" s="372"/>
      <c r="K362" s="372"/>
      <c r="L362" s="372"/>
      <c r="M362" s="372"/>
      <c r="N362" s="372"/>
      <c r="O362" s="372"/>
      <c r="P362" s="372"/>
      <c r="Q362" s="635"/>
      <c r="R362" s="372"/>
      <c r="S362" s="635"/>
      <c r="T362" s="372"/>
      <c r="U362" s="626"/>
      <c r="V362" s="626"/>
      <c r="W362" s="626"/>
      <c r="X362" s="631">
        <v>0</v>
      </c>
      <c r="Y362" s="631">
        <v>0</v>
      </c>
      <c r="Z362" s="631">
        <v>0</v>
      </c>
      <c r="AA362" s="631">
        <v>0</v>
      </c>
      <c r="AB362" s="631">
        <v>0</v>
      </c>
      <c r="AC362" s="631">
        <v>0</v>
      </c>
      <c r="AD362" s="631">
        <v>0</v>
      </c>
      <c r="AE362" s="631">
        <v>0</v>
      </c>
    </row>
    <row r="363" spans="1:31" hidden="1">
      <c r="A363" s="634">
        <v>9</v>
      </c>
      <c r="B363" s="639"/>
      <c r="C363" s="372"/>
      <c r="D363" s="372" t="s">
        <v>717</v>
      </c>
      <c r="E363" s="372"/>
      <c r="F363" s="372"/>
      <c r="G363" s="635"/>
      <c r="H363" s="634"/>
      <c r="I363" s="635"/>
      <c r="J363" s="634"/>
      <c r="K363" s="372"/>
      <c r="L363" s="372"/>
      <c r="M363" s="372"/>
      <c r="N363" s="372"/>
      <c r="O363" s="634"/>
      <c r="P363" s="634"/>
      <c r="Q363" s="635"/>
      <c r="R363" s="634"/>
      <c r="S363" s="372"/>
      <c r="T363" s="372"/>
      <c r="U363" s="626"/>
      <c r="V363" s="626"/>
      <c r="W363" s="626"/>
      <c r="X363" s="631">
        <v>0</v>
      </c>
      <c r="Y363" s="631">
        <v>0</v>
      </c>
      <c r="Z363" s="631">
        <v>0</v>
      </c>
      <c r="AA363" s="631">
        <v>0</v>
      </c>
      <c r="AB363" s="631">
        <v>0</v>
      </c>
      <c r="AC363" s="631">
        <v>0</v>
      </c>
      <c r="AD363" s="631">
        <v>0</v>
      </c>
      <c r="AE363" s="631">
        <v>0</v>
      </c>
    </row>
    <row r="364" spans="1:31" hidden="1">
      <c r="A364" s="634">
        <v>10</v>
      </c>
      <c r="B364" s="639"/>
      <c r="C364" s="634">
        <v>34198</v>
      </c>
      <c r="D364" s="372" t="s">
        <v>627</v>
      </c>
      <c r="E364" s="372"/>
      <c r="F364" s="634" t="s">
        <v>628</v>
      </c>
      <c r="G364" s="635"/>
      <c r="H364" s="634" t="s">
        <v>635</v>
      </c>
      <c r="I364" s="635"/>
      <c r="J364" s="634" t="s">
        <v>635</v>
      </c>
      <c r="K364" s="372"/>
      <c r="L364" s="634" t="s">
        <v>635</v>
      </c>
      <c r="M364" s="372"/>
      <c r="N364" s="634" t="s">
        <v>635</v>
      </c>
      <c r="O364" s="634"/>
      <c r="P364" s="634" t="s">
        <v>635</v>
      </c>
      <c r="Q364" s="635"/>
      <c r="R364" s="634" t="s">
        <v>635</v>
      </c>
      <c r="S364" s="372"/>
      <c r="T364" s="634" t="s">
        <v>635</v>
      </c>
      <c r="U364" s="626"/>
      <c r="V364" s="626"/>
      <c r="W364" s="626"/>
      <c r="X364" s="631">
        <v>0</v>
      </c>
      <c r="Y364" s="631">
        <v>0</v>
      </c>
      <c r="Z364" s="631">
        <v>0</v>
      </c>
      <c r="AA364" s="631">
        <v>0</v>
      </c>
      <c r="AB364" s="631">
        <v>0</v>
      </c>
      <c r="AC364" s="631">
        <v>0</v>
      </c>
      <c r="AD364" s="631">
        <v>0</v>
      </c>
      <c r="AE364" s="631">
        <v>0</v>
      </c>
    </row>
    <row r="365" spans="1:31" hidden="1">
      <c r="A365" s="634">
        <v>11</v>
      </c>
      <c r="B365" s="639"/>
      <c r="C365" s="634">
        <v>34398</v>
      </c>
      <c r="D365" s="372" t="s">
        <v>667</v>
      </c>
      <c r="E365" s="372"/>
      <c r="F365" s="634">
        <v>0</v>
      </c>
      <c r="G365" s="635"/>
      <c r="H365" s="634">
        <v>30</v>
      </c>
      <c r="I365" s="635"/>
      <c r="J365" s="634" t="s">
        <v>635</v>
      </c>
      <c r="K365" s="372"/>
      <c r="L365" s="634">
        <v>-6</v>
      </c>
      <c r="M365" s="372"/>
      <c r="N365" s="634">
        <v>1</v>
      </c>
      <c r="O365" s="634"/>
      <c r="P365" s="634" t="s">
        <v>635</v>
      </c>
      <c r="Q365" s="635"/>
      <c r="R365" s="634">
        <v>26</v>
      </c>
      <c r="S365" s="372"/>
      <c r="T365" s="634">
        <v>11</v>
      </c>
      <c r="U365" s="626"/>
      <c r="V365" s="626"/>
      <c r="W365" s="626"/>
      <c r="X365" s="641">
        <v>4</v>
      </c>
      <c r="Y365" s="641">
        <v>5</v>
      </c>
      <c r="Z365" s="631">
        <v>0</v>
      </c>
      <c r="AA365" s="641">
        <v>5</v>
      </c>
      <c r="AB365" s="641">
        <v>5</v>
      </c>
      <c r="AC365" s="631">
        <v>0</v>
      </c>
      <c r="AD365" s="641">
        <v>5</v>
      </c>
      <c r="AE365" s="641">
        <v>5</v>
      </c>
    </row>
    <row r="366" spans="1:31" hidden="1">
      <c r="A366" s="634">
        <v>12</v>
      </c>
      <c r="B366" s="639"/>
      <c r="C366" s="634">
        <v>34598</v>
      </c>
      <c r="D366" s="372" t="s">
        <v>631</v>
      </c>
      <c r="E366" s="372"/>
      <c r="F366" s="634" t="s">
        <v>628</v>
      </c>
      <c r="G366" s="635"/>
      <c r="H366" s="634" t="s">
        <v>635</v>
      </c>
      <c r="I366" s="635"/>
      <c r="J366" s="634" t="s">
        <v>635</v>
      </c>
      <c r="K366" s="372"/>
      <c r="L366" s="634" t="s">
        <v>635</v>
      </c>
      <c r="M366" s="372"/>
      <c r="N366" s="634" t="s">
        <v>635</v>
      </c>
      <c r="O366" s="634"/>
      <c r="P366" s="634" t="s">
        <v>635</v>
      </c>
      <c r="Q366" s="635"/>
      <c r="R366" s="634" t="s">
        <v>635</v>
      </c>
      <c r="S366" s="372"/>
      <c r="T366" s="634" t="s">
        <v>635</v>
      </c>
      <c r="U366" s="626"/>
      <c r="V366" s="626"/>
      <c r="W366" s="626"/>
      <c r="X366" s="631">
        <v>0</v>
      </c>
      <c r="Y366" s="631">
        <v>0</v>
      </c>
      <c r="Z366" s="631">
        <v>0</v>
      </c>
      <c r="AA366" s="631">
        <v>0</v>
      </c>
      <c r="AB366" s="631">
        <v>0</v>
      </c>
      <c r="AC366" s="631">
        <v>0</v>
      </c>
      <c r="AD366" s="631">
        <v>0</v>
      </c>
      <c r="AE366" s="631">
        <v>0</v>
      </c>
    </row>
    <row r="367" spans="1:31" hidden="1">
      <c r="A367" s="634">
        <v>13</v>
      </c>
      <c r="B367" s="639"/>
      <c r="C367" s="634">
        <v>34898</v>
      </c>
      <c r="D367" s="372" t="s">
        <v>715</v>
      </c>
      <c r="E367" s="372"/>
      <c r="F367" s="634">
        <v>0</v>
      </c>
      <c r="G367" s="635"/>
      <c r="H367" s="634">
        <v>1</v>
      </c>
      <c r="I367" s="635"/>
      <c r="J367" s="634" t="s">
        <v>635</v>
      </c>
      <c r="K367" s="372"/>
      <c r="L367" s="634">
        <v>0</v>
      </c>
      <c r="M367" s="372"/>
      <c r="N367" s="634">
        <v>0</v>
      </c>
      <c r="O367" s="634"/>
      <c r="P367" s="634" t="s">
        <v>635</v>
      </c>
      <c r="Q367" s="635"/>
      <c r="R367" s="634">
        <v>1</v>
      </c>
      <c r="S367" s="372"/>
      <c r="T367" s="634">
        <v>0</v>
      </c>
      <c r="U367" s="626"/>
      <c r="V367" s="626"/>
      <c r="W367" s="626"/>
      <c r="X367" s="641">
        <v>5</v>
      </c>
      <c r="Y367" s="641">
        <v>5</v>
      </c>
      <c r="Z367" s="631">
        <v>0</v>
      </c>
      <c r="AA367" s="641">
        <v>4</v>
      </c>
      <c r="AB367" s="641">
        <v>5</v>
      </c>
      <c r="AC367" s="631">
        <v>0</v>
      </c>
      <c r="AD367" s="641">
        <v>5</v>
      </c>
      <c r="AE367" s="641">
        <v>5</v>
      </c>
    </row>
    <row r="368" spans="1:31" ht="15" hidden="1" thickBot="1">
      <c r="A368" s="634">
        <v>14</v>
      </c>
      <c r="B368" s="639"/>
      <c r="C368" s="634"/>
      <c r="D368" s="372" t="s">
        <v>718</v>
      </c>
      <c r="E368" s="372"/>
      <c r="F368" s="651">
        <v>0</v>
      </c>
      <c r="G368" s="372"/>
      <c r="H368" s="651">
        <v>31</v>
      </c>
      <c r="I368" s="635"/>
      <c r="J368" s="651" t="s">
        <v>635</v>
      </c>
      <c r="K368" s="635"/>
      <c r="L368" s="651">
        <v>-6</v>
      </c>
      <c r="M368" s="635"/>
      <c r="N368" s="651">
        <v>1</v>
      </c>
      <c r="O368" s="635"/>
      <c r="P368" s="651" t="s">
        <v>635</v>
      </c>
      <c r="Q368" s="635"/>
      <c r="R368" s="651">
        <v>27</v>
      </c>
      <c r="S368" s="635"/>
      <c r="T368" s="651">
        <v>12</v>
      </c>
      <c r="U368" s="626"/>
      <c r="V368" s="626"/>
      <c r="W368" s="626"/>
      <c r="X368" s="641">
        <v>5</v>
      </c>
      <c r="Y368" s="641">
        <v>5</v>
      </c>
      <c r="Z368" s="631">
        <v>0</v>
      </c>
      <c r="AA368" s="641">
        <v>5</v>
      </c>
      <c r="AB368" s="641">
        <v>5</v>
      </c>
      <c r="AC368" s="631">
        <v>0</v>
      </c>
      <c r="AD368" s="641">
        <v>4</v>
      </c>
      <c r="AE368" s="641">
        <v>4</v>
      </c>
    </row>
    <row r="369" spans="1:31" ht="15" hidden="1" thickTop="1">
      <c r="A369" s="634">
        <v>15</v>
      </c>
      <c r="B369" s="639"/>
      <c r="C369" s="372"/>
      <c r="D369" s="372"/>
      <c r="E369" s="372"/>
      <c r="F369" s="372"/>
      <c r="G369" s="372"/>
      <c r="H369" s="372"/>
      <c r="I369" s="372"/>
      <c r="J369" s="372"/>
      <c r="K369" s="372"/>
      <c r="L369" s="372"/>
      <c r="M369" s="372"/>
      <c r="N369" s="372"/>
      <c r="O369" s="372"/>
      <c r="P369" s="372"/>
      <c r="Q369" s="635"/>
      <c r="R369" s="372"/>
      <c r="S369" s="372"/>
      <c r="T369" s="372"/>
      <c r="U369" s="626"/>
      <c r="V369" s="626"/>
      <c r="W369" s="626"/>
      <c r="X369" s="631">
        <v>0</v>
      </c>
      <c r="Y369" s="631">
        <v>0</v>
      </c>
      <c r="Z369" s="631">
        <v>0</v>
      </c>
      <c r="AA369" s="631">
        <v>0</v>
      </c>
      <c r="AB369" s="631">
        <v>0</v>
      </c>
      <c r="AC369" s="631">
        <v>0</v>
      </c>
      <c r="AD369" s="631">
        <v>0</v>
      </c>
      <c r="AE369" s="631">
        <v>0</v>
      </c>
    </row>
    <row r="370" spans="1:31" hidden="1">
      <c r="A370" s="634">
        <v>16</v>
      </c>
      <c r="B370" s="639"/>
      <c r="C370" s="634"/>
      <c r="D370" s="636" t="s">
        <v>719</v>
      </c>
      <c r="E370" s="372"/>
      <c r="F370" s="372"/>
      <c r="G370" s="372"/>
      <c r="H370" s="372"/>
      <c r="I370" s="372"/>
      <c r="J370" s="372"/>
      <c r="K370" s="372"/>
      <c r="L370" s="372"/>
      <c r="M370" s="372"/>
      <c r="N370" s="372"/>
      <c r="O370" s="372"/>
      <c r="P370" s="372"/>
      <c r="Q370" s="635"/>
      <c r="R370" s="372"/>
      <c r="S370" s="372"/>
      <c r="T370" s="372"/>
      <c r="U370" s="626"/>
      <c r="V370" s="626"/>
      <c r="W370" s="626"/>
      <c r="X370" s="631">
        <v>0</v>
      </c>
      <c r="Y370" s="631">
        <v>0</v>
      </c>
      <c r="Z370" s="631">
        <v>0</v>
      </c>
      <c r="AA370" s="631">
        <v>0</v>
      </c>
      <c r="AB370" s="631">
        <v>0</v>
      </c>
      <c r="AC370" s="631">
        <v>0</v>
      </c>
      <c r="AD370" s="631">
        <v>0</v>
      </c>
      <c r="AE370" s="631">
        <v>0</v>
      </c>
    </row>
    <row r="371" spans="1:31" hidden="1">
      <c r="A371" s="634">
        <v>17</v>
      </c>
      <c r="B371" s="639"/>
      <c r="C371" s="634">
        <v>34120</v>
      </c>
      <c r="D371" s="372" t="s">
        <v>627</v>
      </c>
      <c r="E371" s="372"/>
      <c r="F371" s="634" t="s">
        <v>628</v>
      </c>
      <c r="G371" s="635"/>
      <c r="H371" s="634" t="s">
        <v>635</v>
      </c>
      <c r="I371" s="635"/>
      <c r="J371" s="634" t="s">
        <v>635</v>
      </c>
      <c r="K371" s="372"/>
      <c r="L371" s="634" t="s">
        <v>635</v>
      </c>
      <c r="M371" s="372"/>
      <c r="N371" s="634" t="s">
        <v>635</v>
      </c>
      <c r="O371" s="634"/>
      <c r="P371" s="634" t="s">
        <v>635</v>
      </c>
      <c r="Q371" s="635"/>
      <c r="R371" s="634" t="s">
        <v>635</v>
      </c>
      <c r="S371" s="372"/>
      <c r="T371" s="634" t="s">
        <v>635</v>
      </c>
      <c r="U371" s="626"/>
      <c r="V371" s="626"/>
      <c r="W371" s="626"/>
      <c r="X371" s="631">
        <v>0</v>
      </c>
      <c r="Y371" s="631">
        <v>0</v>
      </c>
      <c r="Z371" s="631">
        <v>0</v>
      </c>
      <c r="AA371" s="631">
        <v>0</v>
      </c>
      <c r="AB371" s="631">
        <v>0</v>
      </c>
      <c r="AC371" s="631">
        <v>0</v>
      </c>
      <c r="AD371" s="631">
        <v>0</v>
      </c>
      <c r="AE371" s="631">
        <v>0</v>
      </c>
    </row>
    <row r="372" spans="1:31" hidden="1">
      <c r="A372" s="634">
        <v>18</v>
      </c>
      <c r="B372" s="644"/>
      <c r="C372" s="634">
        <v>34220</v>
      </c>
      <c r="D372" s="372" t="s">
        <v>666</v>
      </c>
      <c r="E372" s="372"/>
      <c r="F372" s="634" t="s">
        <v>628</v>
      </c>
      <c r="G372" s="635"/>
      <c r="H372" s="634" t="s">
        <v>635</v>
      </c>
      <c r="I372" s="635"/>
      <c r="J372" s="634" t="s">
        <v>635</v>
      </c>
      <c r="K372" s="372"/>
      <c r="L372" s="634" t="s">
        <v>635</v>
      </c>
      <c r="M372" s="372"/>
      <c r="N372" s="634" t="s">
        <v>635</v>
      </c>
      <c r="O372" s="634"/>
      <c r="P372" s="634" t="s">
        <v>635</v>
      </c>
      <c r="Q372" s="635"/>
      <c r="R372" s="634" t="s">
        <v>635</v>
      </c>
      <c r="S372" s="372"/>
      <c r="T372" s="634" t="s">
        <v>635</v>
      </c>
      <c r="U372" s="626"/>
      <c r="V372" s="626"/>
      <c r="W372" s="626"/>
      <c r="X372" s="631">
        <v>0</v>
      </c>
      <c r="Y372" s="631">
        <v>0</v>
      </c>
      <c r="Z372" s="631">
        <v>0</v>
      </c>
      <c r="AA372" s="631">
        <v>0</v>
      </c>
      <c r="AB372" s="631">
        <v>0</v>
      </c>
      <c r="AC372" s="631">
        <v>0</v>
      </c>
      <c r="AD372" s="631">
        <v>0</v>
      </c>
      <c r="AE372" s="631">
        <v>0</v>
      </c>
    </row>
    <row r="373" spans="1:31" hidden="1">
      <c r="A373" s="634">
        <v>19</v>
      </c>
      <c r="B373" s="644"/>
      <c r="C373" s="634">
        <v>34320</v>
      </c>
      <c r="D373" s="372" t="s">
        <v>667</v>
      </c>
      <c r="E373" s="372"/>
      <c r="F373" s="634" t="s">
        <v>628</v>
      </c>
      <c r="G373" s="635"/>
      <c r="H373" s="634" t="s">
        <v>635</v>
      </c>
      <c r="I373" s="635"/>
      <c r="J373" s="634" t="s">
        <v>635</v>
      </c>
      <c r="K373" s="372"/>
      <c r="L373" s="634" t="s">
        <v>635</v>
      </c>
      <c r="M373" s="372"/>
      <c r="N373" s="634" t="s">
        <v>635</v>
      </c>
      <c r="O373" s="634"/>
      <c r="P373" s="634" t="s">
        <v>635</v>
      </c>
      <c r="Q373" s="635"/>
      <c r="R373" s="634" t="s">
        <v>635</v>
      </c>
      <c r="S373" s="372"/>
      <c r="T373" s="634" t="s">
        <v>635</v>
      </c>
      <c r="U373" s="626"/>
      <c r="V373" s="626"/>
      <c r="W373" s="626"/>
      <c r="X373" s="631">
        <v>0</v>
      </c>
      <c r="Y373" s="631">
        <v>0</v>
      </c>
      <c r="Z373" s="631">
        <v>0</v>
      </c>
      <c r="AA373" s="631">
        <v>0</v>
      </c>
      <c r="AB373" s="631">
        <v>0</v>
      </c>
      <c r="AC373" s="631">
        <v>0</v>
      </c>
      <c r="AD373" s="631">
        <v>0</v>
      </c>
      <c r="AE373" s="631">
        <v>0</v>
      </c>
    </row>
    <row r="374" spans="1:31" hidden="1">
      <c r="A374" s="634">
        <v>20</v>
      </c>
      <c r="B374" s="639"/>
      <c r="C374" s="634">
        <v>34520</v>
      </c>
      <c r="D374" s="372" t="s">
        <v>631</v>
      </c>
      <c r="E374" s="372"/>
      <c r="F374" s="634" t="s">
        <v>628</v>
      </c>
      <c r="G374" s="635"/>
      <c r="H374" s="634" t="s">
        <v>635</v>
      </c>
      <c r="I374" s="635"/>
      <c r="J374" s="634" t="s">
        <v>635</v>
      </c>
      <c r="K374" s="372"/>
      <c r="L374" s="634" t="s">
        <v>635</v>
      </c>
      <c r="M374" s="372"/>
      <c r="N374" s="634" t="s">
        <v>635</v>
      </c>
      <c r="O374" s="634"/>
      <c r="P374" s="634" t="s">
        <v>635</v>
      </c>
      <c r="Q374" s="635"/>
      <c r="R374" s="634" t="s">
        <v>635</v>
      </c>
      <c r="S374" s="372"/>
      <c r="T374" s="634" t="s">
        <v>635</v>
      </c>
      <c r="U374" s="626"/>
      <c r="V374" s="626"/>
      <c r="W374" s="626"/>
      <c r="X374" s="631">
        <v>0</v>
      </c>
      <c r="Y374" s="631">
        <v>0</v>
      </c>
      <c r="Z374" s="631">
        <v>0</v>
      </c>
      <c r="AA374" s="631">
        <v>0</v>
      </c>
      <c r="AB374" s="631">
        <v>0</v>
      </c>
      <c r="AC374" s="631">
        <v>0</v>
      </c>
      <c r="AD374" s="631">
        <v>0</v>
      </c>
      <c r="AE374" s="631">
        <v>0</v>
      </c>
    </row>
    <row r="375" spans="1:31" hidden="1">
      <c r="A375" s="634">
        <v>21</v>
      </c>
      <c r="B375" s="639"/>
      <c r="C375" s="634">
        <v>34620</v>
      </c>
      <c r="D375" s="372" t="s">
        <v>632</v>
      </c>
      <c r="E375" s="372"/>
      <c r="F375" s="634" t="s">
        <v>628</v>
      </c>
      <c r="G375" s="635"/>
      <c r="H375" s="634" t="s">
        <v>635</v>
      </c>
      <c r="I375" s="635"/>
      <c r="J375" s="634" t="s">
        <v>635</v>
      </c>
      <c r="K375" s="372"/>
      <c r="L375" s="634" t="s">
        <v>635</v>
      </c>
      <c r="M375" s="372"/>
      <c r="N375" s="634" t="s">
        <v>635</v>
      </c>
      <c r="O375" s="634"/>
      <c r="P375" s="634" t="s">
        <v>635</v>
      </c>
      <c r="Q375" s="635"/>
      <c r="R375" s="634" t="s">
        <v>635</v>
      </c>
      <c r="S375" s="372"/>
      <c r="T375" s="634" t="s">
        <v>635</v>
      </c>
      <c r="U375" s="626"/>
      <c r="V375" s="626"/>
      <c r="W375" s="626"/>
      <c r="X375" s="631">
        <v>0</v>
      </c>
      <c r="Y375" s="631">
        <v>0</v>
      </c>
      <c r="Z375" s="631">
        <v>0</v>
      </c>
      <c r="AA375" s="631">
        <v>0</v>
      </c>
      <c r="AB375" s="631">
        <v>0</v>
      </c>
      <c r="AC375" s="631">
        <v>0</v>
      </c>
      <c r="AD375" s="631">
        <v>0</v>
      </c>
      <c r="AE375" s="631">
        <v>0</v>
      </c>
    </row>
    <row r="376" spans="1:31" hidden="1">
      <c r="A376" s="634">
        <v>22</v>
      </c>
      <c r="B376" s="639"/>
      <c r="C376" s="634">
        <v>34820</v>
      </c>
      <c r="D376" s="372" t="s">
        <v>715</v>
      </c>
      <c r="E376" s="372"/>
      <c r="F376" s="634" t="s">
        <v>628</v>
      </c>
      <c r="G376" s="635"/>
      <c r="H376" s="634" t="s">
        <v>635</v>
      </c>
      <c r="I376" s="635"/>
      <c r="J376" s="634" t="s">
        <v>635</v>
      </c>
      <c r="K376" s="372"/>
      <c r="L376" s="634" t="s">
        <v>635</v>
      </c>
      <c r="M376" s="372"/>
      <c r="N376" s="634" t="s">
        <v>635</v>
      </c>
      <c r="O376" s="634"/>
      <c r="P376" s="634" t="s">
        <v>635</v>
      </c>
      <c r="Q376" s="635"/>
      <c r="R376" s="634" t="s">
        <v>635</v>
      </c>
      <c r="S376" s="372"/>
      <c r="T376" s="634" t="s">
        <v>635</v>
      </c>
      <c r="U376" s="626"/>
      <c r="V376" s="626"/>
      <c r="W376" s="626"/>
      <c r="X376" s="631">
        <v>0</v>
      </c>
      <c r="Y376" s="631">
        <v>0</v>
      </c>
      <c r="Z376" s="631">
        <v>0</v>
      </c>
      <c r="AA376" s="631">
        <v>0</v>
      </c>
      <c r="AB376" s="631">
        <v>0</v>
      </c>
      <c r="AC376" s="631">
        <v>0</v>
      </c>
      <c r="AD376" s="631">
        <v>0</v>
      </c>
      <c r="AE376" s="631">
        <v>0</v>
      </c>
    </row>
    <row r="377" spans="1:31" ht="15" hidden="1" thickBot="1">
      <c r="A377" s="634">
        <v>23</v>
      </c>
      <c r="B377" s="639"/>
      <c r="C377" s="372"/>
      <c r="D377" s="636" t="s">
        <v>720</v>
      </c>
      <c r="E377" s="372"/>
      <c r="F377" s="651" t="s">
        <v>628</v>
      </c>
      <c r="G377" s="372"/>
      <c r="H377" s="651" t="s">
        <v>635</v>
      </c>
      <c r="I377" s="635"/>
      <c r="J377" s="651" t="s">
        <v>635</v>
      </c>
      <c r="K377" s="635"/>
      <c r="L377" s="651" t="s">
        <v>635</v>
      </c>
      <c r="M377" s="635"/>
      <c r="N377" s="651" t="s">
        <v>635</v>
      </c>
      <c r="O377" s="635"/>
      <c r="P377" s="651" t="s">
        <v>635</v>
      </c>
      <c r="Q377" s="635"/>
      <c r="R377" s="651" t="s">
        <v>635</v>
      </c>
      <c r="S377" s="372"/>
      <c r="T377" s="651" t="s">
        <v>635</v>
      </c>
      <c r="U377" s="626"/>
      <c r="V377" s="626"/>
      <c r="W377" s="626"/>
      <c r="X377" s="631">
        <v>0</v>
      </c>
      <c r="Y377" s="631">
        <v>0</v>
      </c>
      <c r="Z377" s="631">
        <v>0</v>
      </c>
      <c r="AA377" s="631">
        <v>0</v>
      </c>
      <c r="AB377" s="631">
        <v>0</v>
      </c>
      <c r="AC377" s="631">
        <v>0</v>
      </c>
      <c r="AD377" s="631">
        <v>0</v>
      </c>
      <c r="AE377" s="631">
        <v>0</v>
      </c>
    </row>
    <row r="378" spans="1:31" ht="15" hidden="1" thickTop="1">
      <c r="A378" s="634">
        <v>24</v>
      </c>
      <c r="B378" s="639"/>
      <c r="C378" s="372"/>
      <c r="D378" s="372"/>
      <c r="E378" s="372"/>
      <c r="F378" s="372"/>
      <c r="G378" s="372"/>
      <c r="H378" s="372"/>
      <c r="I378" s="372"/>
      <c r="J378" s="372"/>
      <c r="K378" s="372"/>
      <c r="L378" s="372"/>
      <c r="M378" s="372"/>
      <c r="N378" s="372"/>
      <c r="O378" s="372"/>
      <c r="P378" s="372"/>
      <c r="Q378" s="372"/>
      <c r="R378" s="372"/>
      <c r="S378" s="635"/>
      <c r="T378" s="372"/>
      <c r="U378" s="626"/>
      <c r="V378" s="626"/>
      <c r="W378" s="626"/>
      <c r="X378" s="631">
        <v>0</v>
      </c>
      <c r="Y378" s="631">
        <v>0</v>
      </c>
      <c r="Z378" s="631">
        <v>0</v>
      </c>
      <c r="AA378" s="631">
        <v>0</v>
      </c>
      <c r="AB378" s="631">
        <v>0</v>
      </c>
      <c r="AC378" s="631">
        <v>0</v>
      </c>
      <c r="AD378" s="631">
        <v>0</v>
      </c>
      <c r="AE378" s="631">
        <v>0</v>
      </c>
    </row>
    <row r="379" spans="1:31" ht="15" hidden="1" thickBot="1">
      <c r="A379" s="634">
        <v>25</v>
      </c>
      <c r="B379" s="639"/>
      <c r="C379" s="634"/>
      <c r="D379" s="372" t="s">
        <v>721</v>
      </c>
      <c r="E379" s="372"/>
      <c r="F379" s="646">
        <v>1094341</v>
      </c>
      <c r="G379" s="372"/>
      <c r="H379" s="646">
        <v>171474</v>
      </c>
      <c r="I379" s="635"/>
      <c r="J379" s="646">
        <v>-19779</v>
      </c>
      <c r="K379" s="635"/>
      <c r="L379" s="646">
        <v>-8677</v>
      </c>
      <c r="M379" s="635"/>
      <c r="N379" s="646">
        <v>1146</v>
      </c>
      <c r="O379" s="372"/>
      <c r="P379" s="647" t="s">
        <v>635</v>
      </c>
      <c r="Q379" s="635"/>
      <c r="R379" s="646">
        <v>1238505</v>
      </c>
      <c r="S379" s="635"/>
      <c r="T379" s="646">
        <v>1164194</v>
      </c>
      <c r="U379" s="626"/>
      <c r="V379" s="626"/>
      <c r="W379" s="626"/>
      <c r="X379" s="641">
        <v>5</v>
      </c>
      <c r="Y379" s="641">
        <v>5</v>
      </c>
      <c r="Z379" s="641">
        <v>5</v>
      </c>
      <c r="AA379" s="641">
        <v>5</v>
      </c>
      <c r="AB379" s="641">
        <v>5</v>
      </c>
      <c r="AC379" s="631">
        <v>0</v>
      </c>
      <c r="AD379" s="641">
        <v>5</v>
      </c>
      <c r="AE379" s="641">
        <v>5</v>
      </c>
    </row>
    <row r="380" spans="1:31" ht="15" hidden="1" thickTop="1">
      <c r="A380" s="634">
        <v>26</v>
      </c>
      <c r="B380" s="372"/>
      <c r="C380" s="372"/>
      <c r="D380" s="372"/>
      <c r="E380" s="372"/>
      <c r="F380" s="372"/>
      <c r="G380" s="372"/>
      <c r="H380" s="372"/>
      <c r="I380" s="635"/>
      <c r="J380" s="635"/>
      <c r="K380" s="635"/>
      <c r="L380" s="635"/>
      <c r="M380" s="635"/>
      <c r="N380" s="635"/>
      <c r="O380" s="635"/>
      <c r="P380" s="635"/>
      <c r="Q380" s="635"/>
      <c r="R380" s="635"/>
      <c r="S380" s="635"/>
      <c r="T380" s="635"/>
      <c r="U380" s="626"/>
      <c r="V380" s="626"/>
      <c r="W380" s="626"/>
      <c r="X380" s="631">
        <v>0</v>
      </c>
      <c r="Y380" s="631">
        <v>0</v>
      </c>
      <c r="Z380" s="631">
        <v>0</v>
      </c>
      <c r="AA380" s="631">
        <v>0</v>
      </c>
      <c r="AB380" s="631">
        <v>0</v>
      </c>
      <c r="AC380" s="631">
        <v>0</v>
      </c>
      <c r="AD380" s="631">
        <v>0</v>
      </c>
      <c r="AE380" s="631">
        <v>0</v>
      </c>
    </row>
    <row r="381" spans="1:31" ht="15" hidden="1" thickBot="1">
      <c r="A381" s="634">
        <v>27</v>
      </c>
      <c r="B381" s="372"/>
      <c r="C381" s="372"/>
      <c r="D381" s="372" t="s">
        <v>722</v>
      </c>
      <c r="E381" s="372"/>
      <c r="F381" s="646">
        <v>1587538</v>
      </c>
      <c r="G381" s="372"/>
      <c r="H381" s="646">
        <v>217257</v>
      </c>
      <c r="I381" s="635"/>
      <c r="J381" s="646">
        <v>-34463</v>
      </c>
      <c r="K381" s="635"/>
      <c r="L381" s="646">
        <v>-16696</v>
      </c>
      <c r="M381" s="635"/>
      <c r="N381" s="646">
        <v>1505</v>
      </c>
      <c r="O381" s="372"/>
      <c r="P381" s="647" t="s">
        <v>635</v>
      </c>
      <c r="Q381" s="635"/>
      <c r="R381" s="646">
        <v>1755141</v>
      </c>
      <c r="S381" s="372"/>
      <c r="T381" s="646">
        <v>1670060</v>
      </c>
      <c r="U381" s="626"/>
      <c r="V381" s="626"/>
      <c r="W381" s="626"/>
      <c r="X381" s="641">
        <v>5</v>
      </c>
      <c r="Y381" s="641">
        <v>5</v>
      </c>
      <c r="Z381" s="641">
        <v>5</v>
      </c>
      <c r="AA381" s="641">
        <v>5</v>
      </c>
      <c r="AB381" s="641">
        <v>5</v>
      </c>
      <c r="AC381" s="631">
        <v>0</v>
      </c>
      <c r="AD381" s="641">
        <v>5</v>
      </c>
      <c r="AE381" s="641">
        <v>5</v>
      </c>
    </row>
    <row r="382" spans="1:31" ht="15" hidden="1" thickTop="1">
      <c r="A382" s="634">
        <v>28</v>
      </c>
      <c r="B382" s="639"/>
      <c r="C382" s="372"/>
      <c r="D382" s="372"/>
      <c r="E382" s="372"/>
      <c r="F382" s="372"/>
      <c r="G382" s="372"/>
      <c r="H382" s="372"/>
      <c r="I382" s="372"/>
      <c r="J382" s="372"/>
      <c r="K382" s="372"/>
      <c r="L382" s="372"/>
      <c r="M382" s="372"/>
      <c r="N382" s="372"/>
      <c r="O382" s="372"/>
      <c r="P382" s="372"/>
      <c r="Q382" s="635"/>
      <c r="R382" s="372"/>
      <c r="S382" s="372"/>
      <c r="T382" s="372"/>
      <c r="U382" s="626"/>
      <c r="V382" s="626"/>
      <c r="W382" s="626"/>
      <c r="X382" s="631">
        <v>0</v>
      </c>
      <c r="Y382" s="631">
        <v>0</v>
      </c>
      <c r="Z382" s="631">
        <v>0</v>
      </c>
      <c r="AA382" s="631">
        <v>0</v>
      </c>
      <c r="AB382" s="631">
        <v>0</v>
      </c>
      <c r="AC382" s="631">
        <v>0</v>
      </c>
      <c r="AD382" s="631">
        <v>0</v>
      </c>
      <c r="AE382" s="631">
        <v>0</v>
      </c>
    </row>
    <row r="383" spans="1:31" hidden="1">
      <c r="A383" s="634">
        <v>29</v>
      </c>
      <c r="B383" s="639"/>
      <c r="C383" s="634"/>
      <c r="D383" s="372" t="s">
        <v>723</v>
      </c>
      <c r="E383" s="372"/>
      <c r="F383" s="372"/>
      <c r="G383" s="372"/>
      <c r="H383" s="372"/>
      <c r="I383" s="635"/>
      <c r="J383" s="635"/>
      <c r="K383" s="634"/>
      <c r="L383" s="635"/>
      <c r="M383" s="634"/>
      <c r="N383" s="635"/>
      <c r="O383" s="634"/>
      <c r="P383" s="635"/>
      <c r="Q383" s="635"/>
      <c r="R383" s="635"/>
      <c r="S383" s="634"/>
      <c r="T383" s="634"/>
      <c r="U383" s="626"/>
      <c r="V383" s="626"/>
      <c r="W383" s="626"/>
      <c r="X383" s="631">
        <v>0</v>
      </c>
      <c r="Y383" s="631">
        <v>0</v>
      </c>
      <c r="Z383" s="631">
        <v>0</v>
      </c>
      <c r="AA383" s="631">
        <v>0</v>
      </c>
      <c r="AB383" s="631">
        <v>0</v>
      </c>
      <c r="AC383" s="631">
        <v>0</v>
      </c>
      <c r="AD383" s="631">
        <v>0</v>
      </c>
      <c r="AE383" s="631">
        <v>0</v>
      </c>
    </row>
    <row r="384" spans="1:31" hidden="1">
      <c r="A384" s="634">
        <v>30</v>
      </c>
      <c r="B384" s="639"/>
      <c r="C384" s="634">
        <v>35001</v>
      </c>
      <c r="D384" s="372" t="s">
        <v>724</v>
      </c>
      <c r="E384" s="372"/>
      <c r="F384" s="640">
        <v>4773</v>
      </c>
      <c r="G384" s="635"/>
      <c r="H384" s="634">
        <v>158</v>
      </c>
      <c r="I384" s="635"/>
      <c r="J384" s="634" t="s">
        <v>635</v>
      </c>
      <c r="K384" s="372"/>
      <c r="L384" s="634" t="s">
        <v>635</v>
      </c>
      <c r="M384" s="372"/>
      <c r="N384" s="634" t="s">
        <v>635</v>
      </c>
      <c r="O384" s="634"/>
      <c r="P384" s="634" t="s">
        <v>635</v>
      </c>
      <c r="Q384" s="635"/>
      <c r="R384" s="640">
        <v>4931</v>
      </c>
      <c r="S384" s="372"/>
      <c r="T384" s="640">
        <v>4852</v>
      </c>
      <c r="U384" s="626"/>
      <c r="V384" s="626"/>
      <c r="W384" s="626"/>
      <c r="X384" s="641">
        <v>5</v>
      </c>
      <c r="Y384" s="641">
        <v>5</v>
      </c>
      <c r="Z384" s="631">
        <v>0</v>
      </c>
      <c r="AA384" s="631">
        <v>0</v>
      </c>
      <c r="AB384" s="631">
        <v>0</v>
      </c>
      <c r="AC384" s="631">
        <v>0</v>
      </c>
      <c r="AD384" s="641">
        <v>5</v>
      </c>
      <c r="AE384" s="641">
        <v>5</v>
      </c>
    </row>
    <row r="385" spans="1:31" hidden="1">
      <c r="A385" s="634">
        <v>31</v>
      </c>
      <c r="B385" s="639"/>
      <c r="C385" s="634">
        <v>35100</v>
      </c>
      <c r="D385" s="372" t="s">
        <v>725</v>
      </c>
      <c r="E385" s="372"/>
      <c r="F385" s="634" t="s">
        <v>628</v>
      </c>
      <c r="G385" s="635"/>
      <c r="H385" s="634" t="s">
        <v>635</v>
      </c>
      <c r="I385" s="635"/>
      <c r="J385" s="634" t="s">
        <v>635</v>
      </c>
      <c r="K385" s="372"/>
      <c r="L385" s="634" t="s">
        <v>635</v>
      </c>
      <c r="M385" s="372"/>
      <c r="N385" s="634" t="s">
        <v>635</v>
      </c>
      <c r="O385" s="634"/>
      <c r="P385" s="634" t="s">
        <v>635</v>
      </c>
      <c r="Q385" s="635"/>
      <c r="R385" s="634" t="s">
        <v>635</v>
      </c>
      <c r="S385" s="372"/>
      <c r="T385" s="634" t="s">
        <v>635</v>
      </c>
      <c r="U385" s="626"/>
      <c r="V385" s="626"/>
      <c r="W385" s="626"/>
      <c r="X385" s="631">
        <v>0</v>
      </c>
      <c r="Y385" s="631">
        <v>0</v>
      </c>
      <c r="Z385" s="631">
        <v>0</v>
      </c>
      <c r="AA385" s="631">
        <v>0</v>
      </c>
      <c r="AB385" s="631">
        <v>0</v>
      </c>
      <c r="AC385" s="631">
        <v>0</v>
      </c>
      <c r="AD385" s="631">
        <v>0</v>
      </c>
      <c r="AE385" s="631">
        <v>0</v>
      </c>
    </row>
    <row r="386" spans="1:31" hidden="1">
      <c r="A386" s="634">
        <v>32</v>
      </c>
      <c r="B386" s="639"/>
      <c r="C386" s="634">
        <v>35200</v>
      </c>
      <c r="D386" s="372" t="s">
        <v>726</v>
      </c>
      <c r="E386" s="372"/>
      <c r="F386" s="640">
        <v>13478</v>
      </c>
      <c r="G386" s="635"/>
      <c r="H386" s="640">
        <v>1341</v>
      </c>
      <c r="I386" s="635"/>
      <c r="J386" s="634">
        <v>-14</v>
      </c>
      <c r="K386" s="372"/>
      <c r="L386" s="634">
        <v>-17</v>
      </c>
      <c r="M386" s="372"/>
      <c r="N386" s="634" t="s">
        <v>628</v>
      </c>
      <c r="O386" s="634"/>
      <c r="P386" s="634" t="s">
        <v>635</v>
      </c>
      <c r="Q386" s="635"/>
      <c r="R386" s="640">
        <v>14789</v>
      </c>
      <c r="S386" s="372"/>
      <c r="T386" s="640">
        <v>14125</v>
      </c>
      <c r="U386" s="626"/>
      <c r="V386" s="626"/>
      <c r="W386" s="626"/>
      <c r="X386" s="641">
        <v>5</v>
      </c>
      <c r="Y386" s="641">
        <v>4</v>
      </c>
      <c r="Z386" s="641">
        <v>4</v>
      </c>
      <c r="AA386" s="641">
        <v>5</v>
      </c>
      <c r="AB386" s="631">
        <v>0</v>
      </c>
      <c r="AC386" s="631">
        <v>0</v>
      </c>
      <c r="AD386" s="641">
        <v>5</v>
      </c>
      <c r="AE386" s="641">
        <v>5</v>
      </c>
    </row>
    <row r="387" spans="1:31" hidden="1">
      <c r="A387" s="634">
        <v>33</v>
      </c>
      <c r="B387" s="639"/>
      <c r="C387" s="634">
        <v>35300</v>
      </c>
      <c r="D387" s="372" t="s">
        <v>727</v>
      </c>
      <c r="E387" s="372"/>
      <c r="F387" s="640">
        <v>83517</v>
      </c>
      <c r="G387" s="635"/>
      <c r="H387" s="640">
        <v>9952</v>
      </c>
      <c r="I387" s="635"/>
      <c r="J387" s="640">
        <v>-4719</v>
      </c>
      <c r="K387" s="372"/>
      <c r="L387" s="640">
        <v>-1213</v>
      </c>
      <c r="M387" s="372"/>
      <c r="N387" s="634">
        <v>202</v>
      </c>
      <c r="O387" s="634"/>
      <c r="P387" s="634">
        <v>146</v>
      </c>
      <c r="Q387" s="635"/>
      <c r="R387" s="640">
        <v>87884</v>
      </c>
      <c r="S387" s="372"/>
      <c r="T387" s="640">
        <v>86525</v>
      </c>
      <c r="U387" s="626"/>
      <c r="V387" s="626"/>
      <c r="W387" s="626"/>
      <c r="X387" s="641">
        <v>5</v>
      </c>
      <c r="Y387" s="641">
        <v>5</v>
      </c>
      <c r="Z387" s="641">
        <v>5</v>
      </c>
      <c r="AA387" s="641">
        <v>5</v>
      </c>
      <c r="AB387" s="641">
        <v>5</v>
      </c>
      <c r="AC387" s="641">
        <v>5</v>
      </c>
      <c r="AD387" s="641">
        <v>5</v>
      </c>
      <c r="AE387" s="641">
        <v>5</v>
      </c>
    </row>
    <row r="388" spans="1:31" hidden="1">
      <c r="A388" s="634">
        <v>34</v>
      </c>
      <c r="B388" s="639"/>
      <c r="C388" s="634">
        <v>35400</v>
      </c>
      <c r="D388" s="372" t="s">
        <v>728</v>
      </c>
      <c r="E388" s="372"/>
      <c r="F388" s="640">
        <v>4996</v>
      </c>
      <c r="G388" s="635"/>
      <c r="H388" s="634">
        <v>143</v>
      </c>
      <c r="I388" s="635"/>
      <c r="J388" s="634" t="s">
        <v>635</v>
      </c>
      <c r="K388" s="372"/>
      <c r="L388" s="634" t="s">
        <v>635</v>
      </c>
      <c r="M388" s="372"/>
      <c r="N388" s="634" t="s">
        <v>635</v>
      </c>
      <c r="O388" s="634"/>
      <c r="P388" s="634" t="s">
        <v>635</v>
      </c>
      <c r="Q388" s="635"/>
      <c r="R388" s="640">
        <v>5139</v>
      </c>
      <c r="S388" s="372"/>
      <c r="T388" s="640">
        <v>5067</v>
      </c>
      <c r="U388" s="626"/>
      <c r="V388" s="626"/>
      <c r="W388" s="626"/>
      <c r="X388" s="641">
        <v>5</v>
      </c>
      <c r="Y388" s="641">
        <v>5</v>
      </c>
      <c r="Z388" s="631">
        <v>0</v>
      </c>
      <c r="AA388" s="631">
        <v>0</v>
      </c>
      <c r="AB388" s="631">
        <v>0</v>
      </c>
      <c r="AC388" s="631">
        <v>0</v>
      </c>
      <c r="AD388" s="641">
        <v>5</v>
      </c>
      <c r="AE388" s="641">
        <v>5</v>
      </c>
    </row>
    <row r="389" spans="1:31" hidden="1">
      <c r="A389" s="634">
        <v>35</v>
      </c>
      <c r="B389" s="639"/>
      <c r="C389" s="634">
        <v>35500</v>
      </c>
      <c r="D389" s="372" t="s">
        <v>729</v>
      </c>
      <c r="E389" s="372"/>
      <c r="F389" s="640">
        <v>126696</v>
      </c>
      <c r="G389" s="635"/>
      <c r="H389" s="640">
        <v>11174</v>
      </c>
      <c r="I389" s="635"/>
      <c r="J389" s="634">
        <v>-985</v>
      </c>
      <c r="K389" s="372"/>
      <c r="L389" s="640">
        <v>-2024</v>
      </c>
      <c r="M389" s="372"/>
      <c r="N389" s="634">
        <v>187</v>
      </c>
      <c r="O389" s="634"/>
      <c r="P389" s="634">
        <v>-4</v>
      </c>
      <c r="Q389" s="635"/>
      <c r="R389" s="640">
        <v>135044</v>
      </c>
      <c r="S389" s="372"/>
      <c r="T389" s="640">
        <v>130616</v>
      </c>
      <c r="U389" s="626"/>
      <c r="V389" s="626"/>
      <c r="W389" s="626"/>
      <c r="X389" s="641">
        <v>5</v>
      </c>
      <c r="Y389" s="641">
        <v>5</v>
      </c>
      <c r="Z389" s="641">
        <v>5</v>
      </c>
      <c r="AA389" s="641">
        <v>5</v>
      </c>
      <c r="AB389" s="641">
        <v>5</v>
      </c>
      <c r="AC389" s="641">
        <v>5</v>
      </c>
      <c r="AD389" s="641">
        <v>5</v>
      </c>
      <c r="AE389" s="641">
        <v>5</v>
      </c>
    </row>
    <row r="390" spans="1:31" hidden="1">
      <c r="A390" s="634">
        <v>36</v>
      </c>
      <c r="B390" s="639"/>
      <c r="C390" s="634">
        <v>35600</v>
      </c>
      <c r="D390" s="372" t="s">
        <v>730</v>
      </c>
      <c r="E390" s="372"/>
      <c r="F390" s="640">
        <v>27506</v>
      </c>
      <c r="G390" s="635"/>
      <c r="H390" s="640">
        <v>5041</v>
      </c>
      <c r="I390" s="635"/>
      <c r="J390" s="640">
        <v>-1179</v>
      </c>
      <c r="K390" s="372"/>
      <c r="L390" s="640">
        <v>-2494</v>
      </c>
      <c r="M390" s="372"/>
      <c r="N390" s="634">
        <v>77</v>
      </c>
      <c r="O390" s="634"/>
      <c r="P390" s="634">
        <v>4</v>
      </c>
      <c r="Q390" s="635"/>
      <c r="R390" s="640">
        <v>28955</v>
      </c>
      <c r="S390" s="372"/>
      <c r="T390" s="640">
        <v>27734</v>
      </c>
      <c r="U390" s="626"/>
      <c r="V390" s="626"/>
      <c r="W390" s="626"/>
      <c r="X390" s="641">
        <v>5</v>
      </c>
      <c r="Y390" s="641">
        <v>5</v>
      </c>
      <c r="Z390" s="641">
        <v>5</v>
      </c>
      <c r="AA390" s="641">
        <v>5</v>
      </c>
      <c r="AB390" s="641">
        <v>5</v>
      </c>
      <c r="AC390" s="641">
        <v>5</v>
      </c>
      <c r="AD390" s="641">
        <v>4</v>
      </c>
      <c r="AE390" s="641">
        <v>5</v>
      </c>
    </row>
    <row r="391" spans="1:31" hidden="1">
      <c r="A391" s="634">
        <v>37</v>
      </c>
      <c r="B391" s="639"/>
      <c r="C391" s="634">
        <v>35601</v>
      </c>
      <c r="D391" s="372" t="s">
        <v>731</v>
      </c>
      <c r="E391" s="372"/>
      <c r="F391" s="640">
        <v>1730</v>
      </c>
      <c r="G391" s="635"/>
      <c r="H391" s="634">
        <v>34</v>
      </c>
      <c r="I391" s="635"/>
      <c r="J391" s="634" t="s">
        <v>635</v>
      </c>
      <c r="K391" s="372"/>
      <c r="L391" s="634" t="s">
        <v>635</v>
      </c>
      <c r="M391" s="372"/>
      <c r="N391" s="634" t="s">
        <v>635</v>
      </c>
      <c r="O391" s="634"/>
      <c r="P391" s="634" t="s">
        <v>635</v>
      </c>
      <c r="Q391" s="635"/>
      <c r="R391" s="640">
        <v>1763</v>
      </c>
      <c r="S391" s="372"/>
      <c r="T391" s="640">
        <v>1746</v>
      </c>
      <c r="U391" s="626"/>
      <c r="V391" s="626"/>
      <c r="W391" s="626"/>
      <c r="X391" s="641">
        <v>5</v>
      </c>
      <c r="Y391" s="641">
        <v>4</v>
      </c>
      <c r="Z391" s="631">
        <v>0</v>
      </c>
      <c r="AA391" s="631">
        <v>0</v>
      </c>
      <c r="AB391" s="631">
        <v>0</v>
      </c>
      <c r="AC391" s="631">
        <v>0</v>
      </c>
      <c r="AD391" s="641">
        <v>5</v>
      </c>
      <c r="AE391" s="641">
        <v>5</v>
      </c>
    </row>
    <row r="392" spans="1:31" hidden="1">
      <c r="A392" s="634">
        <v>38</v>
      </c>
      <c r="B392" s="639"/>
      <c r="C392" s="634">
        <v>35700</v>
      </c>
      <c r="D392" s="372" t="s">
        <v>732</v>
      </c>
      <c r="E392" s="372"/>
      <c r="F392" s="640">
        <v>1702</v>
      </c>
      <c r="G392" s="635"/>
      <c r="H392" s="634">
        <v>74</v>
      </c>
      <c r="I392" s="635"/>
      <c r="J392" s="634" t="s">
        <v>635</v>
      </c>
      <c r="K392" s="372"/>
      <c r="L392" s="634">
        <v>-4</v>
      </c>
      <c r="M392" s="372"/>
      <c r="N392" s="634">
        <v>2</v>
      </c>
      <c r="O392" s="634"/>
      <c r="P392" s="634">
        <v>0</v>
      </c>
      <c r="Q392" s="635"/>
      <c r="R392" s="640">
        <v>1773</v>
      </c>
      <c r="S392" s="372"/>
      <c r="T392" s="640">
        <v>1737</v>
      </c>
      <c r="U392" s="626"/>
      <c r="V392" s="626"/>
      <c r="W392" s="626"/>
      <c r="X392" s="641">
        <v>5</v>
      </c>
      <c r="Y392" s="641">
        <v>5</v>
      </c>
      <c r="Z392" s="631">
        <v>0</v>
      </c>
      <c r="AA392" s="641">
        <v>5</v>
      </c>
      <c r="AB392" s="641">
        <v>5</v>
      </c>
      <c r="AC392" s="641">
        <v>4</v>
      </c>
      <c r="AD392" s="641">
        <v>5</v>
      </c>
      <c r="AE392" s="641">
        <v>5</v>
      </c>
    </row>
    <row r="393" spans="1:31" hidden="1">
      <c r="A393" s="634">
        <v>39</v>
      </c>
      <c r="B393" s="639"/>
      <c r="C393" s="634">
        <v>35800</v>
      </c>
      <c r="D393" s="372" t="s">
        <v>733</v>
      </c>
      <c r="E393" s="372"/>
      <c r="F393" s="640">
        <v>3314</v>
      </c>
      <c r="G393" s="635"/>
      <c r="H393" s="634">
        <v>325</v>
      </c>
      <c r="I393" s="635"/>
      <c r="J393" s="634" t="s">
        <v>635</v>
      </c>
      <c r="K393" s="372"/>
      <c r="L393" s="634">
        <v>-14</v>
      </c>
      <c r="M393" s="372"/>
      <c r="N393" s="634">
        <v>5</v>
      </c>
      <c r="O393" s="634"/>
      <c r="P393" s="634" t="s">
        <v>635</v>
      </c>
      <c r="Q393" s="635"/>
      <c r="R393" s="640">
        <v>3630</v>
      </c>
      <c r="S393" s="372"/>
      <c r="T393" s="640">
        <v>3470</v>
      </c>
      <c r="U393" s="626"/>
      <c r="V393" s="626"/>
      <c r="W393" s="626"/>
      <c r="X393" s="641">
        <v>5</v>
      </c>
      <c r="Y393" s="641">
        <v>5</v>
      </c>
      <c r="Z393" s="631">
        <v>0</v>
      </c>
      <c r="AA393" s="641">
        <v>5</v>
      </c>
      <c r="AB393" s="641">
        <v>5</v>
      </c>
      <c r="AC393" s="631">
        <v>0</v>
      </c>
      <c r="AD393" s="641">
        <v>5</v>
      </c>
      <c r="AE393" s="641">
        <v>5</v>
      </c>
    </row>
    <row r="394" spans="1:31" hidden="1">
      <c r="A394" s="634">
        <v>40</v>
      </c>
      <c r="B394" s="639"/>
      <c r="C394" s="634">
        <v>35900</v>
      </c>
      <c r="D394" s="372" t="s">
        <v>734</v>
      </c>
      <c r="E394" s="372"/>
      <c r="F394" s="640">
        <v>2996</v>
      </c>
      <c r="G394" s="635"/>
      <c r="H394" s="634">
        <v>274</v>
      </c>
      <c r="I394" s="635"/>
      <c r="J394" s="634">
        <v>-14</v>
      </c>
      <c r="K394" s="372"/>
      <c r="L394" s="634">
        <v>-5</v>
      </c>
      <c r="M394" s="372"/>
      <c r="N394" s="634" t="s">
        <v>628</v>
      </c>
      <c r="O394" s="634"/>
      <c r="P394" s="634" t="s">
        <v>635</v>
      </c>
      <c r="Q394" s="635"/>
      <c r="R394" s="640">
        <v>3251</v>
      </c>
      <c r="S394" s="372"/>
      <c r="T394" s="640">
        <v>3126</v>
      </c>
      <c r="U394" s="626"/>
      <c r="V394" s="626"/>
      <c r="W394" s="626"/>
      <c r="X394" s="641">
        <v>5</v>
      </c>
      <c r="Y394" s="641">
        <v>5</v>
      </c>
      <c r="Z394" s="641">
        <v>5</v>
      </c>
      <c r="AA394" s="641">
        <v>5</v>
      </c>
      <c r="AB394" s="631">
        <v>0</v>
      </c>
      <c r="AC394" s="631">
        <v>0</v>
      </c>
      <c r="AD394" s="641">
        <v>5</v>
      </c>
      <c r="AE394" s="641">
        <v>5</v>
      </c>
    </row>
    <row r="395" spans="1:31" ht="15" hidden="1" thickBot="1">
      <c r="A395" s="634">
        <v>41</v>
      </c>
      <c r="B395" s="639"/>
      <c r="C395" s="634"/>
      <c r="D395" s="372" t="s">
        <v>735</v>
      </c>
      <c r="E395" s="372"/>
      <c r="F395" s="648">
        <v>270708</v>
      </c>
      <c r="G395" s="635"/>
      <c r="H395" s="648">
        <v>28514</v>
      </c>
      <c r="I395" s="635"/>
      <c r="J395" s="648">
        <v>-6911</v>
      </c>
      <c r="K395" s="635"/>
      <c r="L395" s="648">
        <v>-5772</v>
      </c>
      <c r="M395" s="635"/>
      <c r="N395" s="649">
        <v>473</v>
      </c>
      <c r="O395" s="372"/>
      <c r="P395" s="649">
        <v>146</v>
      </c>
      <c r="Q395" s="635"/>
      <c r="R395" s="648">
        <v>287158</v>
      </c>
      <c r="S395" s="635"/>
      <c r="T395" s="648">
        <v>278998</v>
      </c>
      <c r="U395" s="626"/>
      <c r="V395" s="626"/>
      <c r="W395" s="626"/>
      <c r="X395" s="641">
        <v>5</v>
      </c>
      <c r="Y395" s="641">
        <v>5</v>
      </c>
      <c r="Z395" s="641">
        <v>5</v>
      </c>
      <c r="AA395" s="641">
        <v>5</v>
      </c>
      <c r="AB395" s="641">
        <v>5</v>
      </c>
      <c r="AC395" s="641">
        <v>5</v>
      </c>
      <c r="AD395" s="641">
        <v>5</v>
      </c>
      <c r="AE395" s="641">
        <v>5</v>
      </c>
    </row>
    <row r="396" spans="1:31" ht="15" hidden="1" thickTop="1">
      <c r="A396" s="634">
        <v>42</v>
      </c>
      <c r="B396" s="639"/>
      <c r="C396" s="372"/>
      <c r="D396" s="372"/>
      <c r="E396" s="372"/>
      <c r="F396" s="372"/>
      <c r="G396" s="372"/>
      <c r="H396" s="372"/>
      <c r="I396" s="372"/>
      <c r="J396" s="372"/>
      <c r="K396" s="372"/>
      <c r="L396" s="372"/>
      <c r="M396" s="372"/>
      <c r="N396" s="372"/>
      <c r="O396" s="372"/>
      <c r="P396" s="372"/>
      <c r="Q396" s="635"/>
      <c r="R396" s="372"/>
      <c r="S396" s="372"/>
      <c r="T396" s="372"/>
      <c r="U396" s="626"/>
      <c r="V396" s="626"/>
      <c r="W396" s="626"/>
      <c r="X396" s="631">
        <v>0</v>
      </c>
      <c r="Y396" s="631">
        <v>0</v>
      </c>
      <c r="Z396" s="631">
        <v>0</v>
      </c>
      <c r="AA396" s="631">
        <v>0</v>
      </c>
      <c r="AB396" s="631">
        <v>0</v>
      </c>
      <c r="AC396" s="631">
        <v>0</v>
      </c>
      <c r="AD396" s="631">
        <v>0</v>
      </c>
      <c r="AE396" s="631">
        <v>0</v>
      </c>
    </row>
    <row r="397" spans="1:31" hidden="1">
      <c r="A397" s="634">
        <v>43</v>
      </c>
      <c r="B397" s="639"/>
      <c r="C397" s="372"/>
      <c r="D397" s="372"/>
      <c r="E397" s="372"/>
      <c r="F397" s="372"/>
      <c r="G397" s="372"/>
      <c r="H397" s="372"/>
      <c r="I397" s="372"/>
      <c r="J397" s="372"/>
      <c r="K397" s="372"/>
      <c r="L397" s="372"/>
      <c r="M397" s="372"/>
      <c r="N397" s="372"/>
      <c r="O397" s="372"/>
      <c r="P397" s="372"/>
      <c r="Q397" s="635"/>
      <c r="R397" s="372"/>
      <c r="S397" s="372"/>
      <c r="T397" s="372"/>
      <c r="U397" s="626"/>
      <c r="V397" s="626"/>
      <c r="W397" s="626"/>
      <c r="X397" s="631">
        <v>0</v>
      </c>
      <c r="Y397" s="631">
        <v>0</v>
      </c>
      <c r="Z397" s="631">
        <v>0</v>
      </c>
      <c r="AA397" s="631">
        <v>0</v>
      </c>
      <c r="AB397" s="631">
        <v>0</v>
      </c>
      <c r="AC397" s="631">
        <v>0</v>
      </c>
      <c r="AD397" s="631">
        <v>0</v>
      </c>
      <c r="AE397" s="631">
        <v>0</v>
      </c>
    </row>
    <row r="398" spans="1:31" ht="15" hidden="1" thickBot="1">
      <c r="A398" s="637">
        <v>44</v>
      </c>
      <c r="B398" s="660" t="s">
        <v>67</v>
      </c>
      <c r="C398" s="660"/>
      <c r="D398" s="625"/>
      <c r="E398" s="625"/>
      <c r="F398" s="625"/>
      <c r="G398" s="625"/>
      <c r="H398" s="625"/>
      <c r="I398" s="625"/>
      <c r="J398" s="625"/>
      <c r="K398" s="625"/>
      <c r="L398" s="625"/>
      <c r="M398" s="625"/>
      <c r="N398" s="625"/>
      <c r="O398" s="625"/>
      <c r="P398" s="625"/>
      <c r="Q398" s="638"/>
      <c r="R398" s="625"/>
      <c r="S398" s="625"/>
      <c r="T398" s="625"/>
      <c r="U398" s="626"/>
      <c r="V398" s="626"/>
      <c r="W398" s="626"/>
      <c r="X398" s="631">
        <v>0</v>
      </c>
      <c r="Y398" s="631">
        <v>0</v>
      </c>
      <c r="Z398" s="631">
        <v>0</v>
      </c>
      <c r="AA398" s="631">
        <v>0</v>
      </c>
      <c r="AB398" s="631">
        <v>0</v>
      </c>
      <c r="AC398" s="631">
        <v>0</v>
      </c>
      <c r="AD398" s="631">
        <v>0</v>
      </c>
      <c r="AE398" s="631">
        <v>0</v>
      </c>
    </row>
    <row r="399" spans="1:31" hidden="1">
      <c r="A399" s="664" t="s">
        <v>818</v>
      </c>
      <c r="B399" s="664"/>
      <c r="C399" s="372"/>
      <c r="D399" s="372"/>
      <c r="E399" s="664"/>
      <c r="F399" s="664"/>
      <c r="G399" s="664"/>
      <c r="H399" s="664"/>
      <c r="I399" s="664"/>
      <c r="J399" s="664"/>
      <c r="K399" s="664"/>
      <c r="L399" s="664"/>
      <c r="M399" s="664"/>
      <c r="N399" s="664"/>
      <c r="O399" s="664"/>
      <c r="P399" s="664"/>
      <c r="Q399" s="635"/>
      <c r="R399" s="372" t="s">
        <v>644</v>
      </c>
      <c r="S399" s="664"/>
      <c r="T399" s="664"/>
      <c r="U399" s="626"/>
      <c r="V399" s="626"/>
      <c r="W399" s="626"/>
      <c r="X399" s="631">
        <v>0</v>
      </c>
      <c r="Y399" s="631">
        <v>0</v>
      </c>
      <c r="Z399" s="631">
        <v>0</v>
      </c>
      <c r="AA399" s="631">
        <v>0</v>
      </c>
      <c r="AB399" s="631">
        <v>0</v>
      </c>
      <c r="AC399" s="631">
        <v>0</v>
      </c>
      <c r="AD399" s="631">
        <v>2</v>
      </c>
      <c r="AE399" s="631">
        <v>0</v>
      </c>
    </row>
    <row r="400" spans="1:31" ht="15" hidden="1" thickBot="1">
      <c r="A400" s="625" t="s">
        <v>808</v>
      </c>
      <c r="B400" s="625"/>
      <c r="C400" s="625"/>
      <c r="D400" s="625"/>
      <c r="E400" s="625"/>
      <c r="F400" s="625" t="s">
        <v>809</v>
      </c>
      <c r="G400" s="625"/>
      <c r="H400" s="625"/>
      <c r="I400" s="625"/>
      <c r="J400" s="625"/>
      <c r="K400" s="625"/>
      <c r="L400" s="625"/>
      <c r="M400" s="625"/>
      <c r="N400" s="625"/>
      <c r="O400" s="625"/>
      <c r="P400" s="625"/>
      <c r="Q400" s="638"/>
      <c r="R400" s="625"/>
      <c r="S400" s="625"/>
      <c r="T400" s="625" t="s">
        <v>736</v>
      </c>
      <c r="U400" s="626"/>
      <c r="V400" s="626"/>
      <c r="W400" s="626"/>
      <c r="X400" s="631">
        <v>2</v>
      </c>
      <c r="Y400" s="631">
        <v>0</v>
      </c>
      <c r="Z400" s="631">
        <v>0</v>
      </c>
      <c r="AA400" s="631">
        <v>0</v>
      </c>
      <c r="AB400" s="631">
        <v>0</v>
      </c>
      <c r="AC400" s="631">
        <v>0</v>
      </c>
      <c r="AD400" s="631">
        <v>0</v>
      </c>
      <c r="AE400" s="631">
        <v>2</v>
      </c>
    </row>
    <row r="401" spans="1:31" hidden="1">
      <c r="A401" s="664" t="s">
        <v>4</v>
      </c>
      <c r="B401" s="664"/>
      <c r="C401" s="372"/>
      <c r="D401" s="372"/>
      <c r="E401" s="635" t="s">
        <v>553</v>
      </c>
      <c r="F401" s="372" t="s">
        <v>810</v>
      </c>
      <c r="G401" s="664"/>
      <c r="H401" s="664"/>
      <c r="I401" s="664"/>
      <c r="J401" s="664"/>
      <c r="K401" s="661"/>
      <c r="L401" s="661"/>
      <c r="M401" s="661"/>
      <c r="N401" s="661"/>
      <c r="O401" s="661"/>
      <c r="P401" s="661"/>
      <c r="Q401" s="645"/>
      <c r="R401" s="372" t="s">
        <v>608</v>
      </c>
      <c r="S401" s="664"/>
      <c r="T401" s="664"/>
      <c r="U401" s="626"/>
      <c r="V401" s="626"/>
      <c r="W401" s="626"/>
      <c r="X401" s="631">
        <v>2</v>
      </c>
      <c r="Y401" s="631">
        <v>0</v>
      </c>
      <c r="Z401" s="631">
        <v>0</v>
      </c>
      <c r="AA401" s="631">
        <v>0</v>
      </c>
      <c r="AB401" s="631">
        <v>0</v>
      </c>
      <c r="AC401" s="631">
        <v>0</v>
      </c>
      <c r="AD401" s="631">
        <v>2</v>
      </c>
      <c r="AE401" s="631">
        <v>0</v>
      </c>
    </row>
    <row r="402" spans="1:31" hidden="1">
      <c r="A402" s="372"/>
      <c r="B402" s="372"/>
      <c r="C402" s="372"/>
      <c r="D402" s="372"/>
      <c r="E402" s="372"/>
      <c r="F402" s="372" t="s">
        <v>811</v>
      </c>
      <c r="G402" s="372"/>
      <c r="H402" s="372"/>
      <c r="I402" s="372"/>
      <c r="J402" s="372"/>
      <c r="K402" s="636"/>
      <c r="L402" s="636"/>
      <c r="M402" s="372"/>
      <c r="N402" s="372"/>
      <c r="O402" s="635"/>
      <c r="P402" s="635"/>
      <c r="Q402" s="635"/>
      <c r="R402" s="636" t="s">
        <v>9</v>
      </c>
      <c r="S402" s="372"/>
      <c r="T402" s="372"/>
      <c r="U402" s="626"/>
      <c r="V402" s="626"/>
      <c r="W402" s="626"/>
      <c r="X402" s="631">
        <v>2</v>
      </c>
      <c r="Y402" s="631">
        <v>0</v>
      </c>
      <c r="Z402" s="631">
        <v>0</v>
      </c>
      <c r="AA402" s="631">
        <v>0</v>
      </c>
      <c r="AB402" s="631">
        <v>0</v>
      </c>
      <c r="AC402" s="631">
        <v>0</v>
      </c>
      <c r="AD402" s="631">
        <v>2</v>
      </c>
      <c r="AE402" s="631">
        <v>0</v>
      </c>
    </row>
    <row r="403" spans="1:31" hidden="1">
      <c r="A403" s="372" t="s">
        <v>10</v>
      </c>
      <c r="B403" s="372"/>
      <c r="C403" s="372"/>
      <c r="D403" s="372"/>
      <c r="E403" s="372"/>
      <c r="F403" s="372"/>
      <c r="G403" s="372"/>
      <c r="H403" s="372"/>
      <c r="I403" s="372"/>
      <c r="J403" s="372"/>
      <c r="K403" s="636"/>
      <c r="L403" s="636"/>
      <c r="M403" s="372"/>
      <c r="N403" s="372"/>
      <c r="O403" s="372"/>
      <c r="P403" s="372"/>
      <c r="Q403" s="635"/>
      <c r="R403" s="636" t="s">
        <v>11</v>
      </c>
      <c r="S403" s="372"/>
      <c r="T403" s="372"/>
      <c r="U403" s="626"/>
      <c r="V403" s="626"/>
      <c r="W403" s="626"/>
      <c r="X403" s="631">
        <v>2</v>
      </c>
      <c r="Y403" s="631">
        <v>0</v>
      </c>
      <c r="Z403" s="631">
        <v>0</v>
      </c>
      <c r="AA403" s="631">
        <v>0</v>
      </c>
      <c r="AB403" s="631">
        <v>0</v>
      </c>
      <c r="AC403" s="631">
        <v>0</v>
      </c>
      <c r="AD403" s="631">
        <v>2</v>
      </c>
      <c r="AE403" s="631">
        <v>0</v>
      </c>
    </row>
    <row r="404" spans="1:31" hidden="1">
      <c r="A404" s="372"/>
      <c r="B404" s="372"/>
      <c r="C404" s="372"/>
      <c r="D404" s="372"/>
      <c r="E404" s="372"/>
      <c r="F404" s="372"/>
      <c r="G404" s="372"/>
      <c r="H404" s="372"/>
      <c r="I404" s="372"/>
      <c r="J404" s="372"/>
      <c r="K404" s="636"/>
      <c r="L404" s="636"/>
      <c r="M404" s="372"/>
      <c r="N404" s="372"/>
      <c r="O404" s="372"/>
      <c r="P404" s="372"/>
      <c r="Q404" s="635" t="s">
        <v>12</v>
      </c>
      <c r="R404" s="636" t="s">
        <v>13</v>
      </c>
      <c r="S404" s="372"/>
      <c r="T404" s="372"/>
      <c r="U404" s="626"/>
      <c r="V404" s="626"/>
      <c r="W404" s="626"/>
      <c r="X404" s="631">
        <v>2</v>
      </c>
      <c r="Y404" s="631">
        <v>0</v>
      </c>
      <c r="Z404" s="631">
        <v>0</v>
      </c>
      <c r="AA404" s="631">
        <v>0</v>
      </c>
      <c r="AB404" s="631">
        <v>0</v>
      </c>
      <c r="AC404" s="631">
        <v>0</v>
      </c>
      <c r="AD404" s="631">
        <v>2</v>
      </c>
      <c r="AE404" s="631">
        <v>0</v>
      </c>
    </row>
    <row r="405" spans="1:31" hidden="1">
      <c r="A405" s="372"/>
      <c r="B405" s="372"/>
      <c r="C405" s="372"/>
      <c r="D405" s="372"/>
      <c r="E405" s="372"/>
      <c r="F405" s="372"/>
      <c r="G405" s="372"/>
      <c r="H405" s="372"/>
      <c r="I405" s="372"/>
      <c r="J405" s="372"/>
      <c r="K405" s="636"/>
      <c r="L405" s="636"/>
      <c r="M405" s="372"/>
      <c r="N405" s="372"/>
      <c r="O405" s="372"/>
      <c r="P405" s="372"/>
      <c r="Q405" s="635"/>
      <c r="R405" s="636" t="s">
        <v>610</v>
      </c>
      <c r="S405" s="372"/>
      <c r="T405" s="372"/>
      <c r="U405" s="626"/>
      <c r="V405" s="626"/>
      <c r="W405" s="626"/>
      <c r="X405" s="631">
        <v>0</v>
      </c>
      <c r="Y405" s="631">
        <v>0</v>
      </c>
      <c r="Z405" s="631">
        <v>0</v>
      </c>
      <c r="AA405" s="631">
        <v>0</v>
      </c>
      <c r="AB405" s="631">
        <v>0</v>
      </c>
      <c r="AC405" s="631">
        <v>0</v>
      </c>
      <c r="AD405" s="631">
        <v>2</v>
      </c>
      <c r="AE405" s="631">
        <v>0</v>
      </c>
    </row>
    <row r="406" spans="1:31" ht="15" hidden="1" thickBot="1">
      <c r="A406" s="625" t="s">
        <v>611</v>
      </c>
      <c r="B406" s="625"/>
      <c r="C406" s="625"/>
      <c r="D406" s="625"/>
      <c r="E406" s="625"/>
      <c r="F406" s="625"/>
      <c r="G406" s="625"/>
      <c r="H406" s="637" t="s">
        <v>812</v>
      </c>
      <c r="I406" s="625"/>
      <c r="J406" s="625"/>
      <c r="K406" s="625"/>
      <c r="L406" s="625"/>
      <c r="M406" s="625"/>
      <c r="N406" s="625"/>
      <c r="O406" s="625"/>
      <c r="P406" s="625"/>
      <c r="Q406" s="638"/>
      <c r="R406" s="625" t="s">
        <v>249</v>
      </c>
      <c r="S406" s="625"/>
      <c r="T406" s="625"/>
      <c r="U406" s="626"/>
      <c r="V406" s="626"/>
      <c r="W406" s="626"/>
      <c r="X406" s="631">
        <v>2</v>
      </c>
      <c r="Y406" s="631">
        <v>2</v>
      </c>
      <c r="Z406" s="631">
        <v>0</v>
      </c>
      <c r="AA406" s="631">
        <v>0</v>
      </c>
      <c r="AB406" s="631">
        <v>0</v>
      </c>
      <c r="AC406" s="631">
        <v>0</v>
      </c>
      <c r="AD406" s="631">
        <v>2</v>
      </c>
      <c r="AE406" s="631">
        <v>0</v>
      </c>
    </row>
    <row r="407" spans="1:31" hidden="1">
      <c r="A407" s="664"/>
      <c r="B407" s="664"/>
      <c r="C407" s="634"/>
      <c r="D407" s="634"/>
      <c r="E407" s="634"/>
      <c r="F407" s="634"/>
      <c r="G407" s="634"/>
      <c r="H407" s="634"/>
      <c r="I407" s="634"/>
      <c r="J407" s="634"/>
      <c r="K407" s="634"/>
      <c r="L407" s="634"/>
      <c r="M407" s="634"/>
      <c r="N407" s="634"/>
      <c r="O407" s="634"/>
      <c r="P407" s="634"/>
      <c r="Q407" s="635"/>
      <c r="R407" s="634"/>
      <c r="S407" s="634"/>
      <c r="T407" s="634"/>
      <c r="U407" s="626"/>
      <c r="V407" s="626"/>
      <c r="W407" s="626"/>
      <c r="X407" s="631">
        <v>0</v>
      </c>
      <c r="Y407" s="631">
        <v>0</v>
      </c>
      <c r="Z407" s="631">
        <v>0</v>
      </c>
      <c r="AA407" s="631">
        <v>0</v>
      </c>
      <c r="AB407" s="631">
        <v>0</v>
      </c>
      <c r="AC407" s="631">
        <v>0</v>
      </c>
      <c r="AD407" s="631">
        <v>0</v>
      </c>
      <c r="AE407" s="631">
        <v>0</v>
      </c>
    </row>
    <row r="408" spans="1:31" hidden="1">
      <c r="A408" s="372"/>
      <c r="B408" s="372"/>
      <c r="C408" s="634">
        <v>-1</v>
      </c>
      <c r="D408" s="634">
        <v>-2</v>
      </c>
      <c r="E408" s="634"/>
      <c r="F408" s="634">
        <v>-3</v>
      </c>
      <c r="G408" s="634"/>
      <c r="H408" s="634">
        <v>-4</v>
      </c>
      <c r="I408" s="634"/>
      <c r="J408" s="634">
        <v>-5</v>
      </c>
      <c r="K408" s="634"/>
      <c r="L408" s="634">
        <v>-6</v>
      </c>
      <c r="M408" s="634"/>
      <c r="N408" s="634">
        <v>-7</v>
      </c>
      <c r="O408" s="634"/>
      <c r="P408" s="634">
        <v>-8</v>
      </c>
      <c r="Q408" s="635"/>
      <c r="R408" s="634">
        <v>-9</v>
      </c>
      <c r="S408" s="634"/>
      <c r="T408" s="634">
        <v>-10</v>
      </c>
      <c r="U408" s="626"/>
      <c r="V408" s="626"/>
      <c r="W408" s="626"/>
      <c r="X408" s="631">
        <v>2</v>
      </c>
      <c r="Y408" s="631">
        <v>2</v>
      </c>
      <c r="Z408" s="631">
        <v>2</v>
      </c>
      <c r="AA408" s="631">
        <v>2</v>
      </c>
      <c r="AB408" s="631">
        <v>2</v>
      </c>
      <c r="AC408" s="631">
        <v>2</v>
      </c>
      <c r="AD408" s="631">
        <v>2</v>
      </c>
      <c r="AE408" s="631">
        <v>2</v>
      </c>
    </row>
    <row r="409" spans="1:31" hidden="1">
      <c r="A409" s="372"/>
      <c r="B409" s="372"/>
      <c r="C409" s="634" t="s">
        <v>613</v>
      </c>
      <c r="D409" s="634" t="s">
        <v>613</v>
      </c>
      <c r="E409" s="372"/>
      <c r="F409" s="634" t="s">
        <v>27</v>
      </c>
      <c r="G409" s="634"/>
      <c r="H409" s="634" t="s">
        <v>45</v>
      </c>
      <c r="I409" s="634"/>
      <c r="J409" s="634"/>
      <c r="K409" s="634"/>
      <c r="L409" s="634"/>
      <c r="M409" s="634"/>
      <c r="N409" s="372"/>
      <c r="O409" s="372"/>
      <c r="P409" s="372"/>
      <c r="Q409" s="635"/>
      <c r="R409" s="634" t="s">
        <v>27</v>
      </c>
      <c r="S409" s="372"/>
      <c r="T409" s="372"/>
      <c r="U409" s="626"/>
      <c r="V409" s="626"/>
      <c r="W409" s="626"/>
      <c r="X409" s="631">
        <v>2</v>
      </c>
      <c r="Y409" s="631">
        <v>2</v>
      </c>
      <c r="Z409" s="631">
        <v>0</v>
      </c>
      <c r="AA409" s="631">
        <v>0</v>
      </c>
      <c r="AB409" s="631">
        <v>0</v>
      </c>
      <c r="AC409" s="631">
        <v>0</v>
      </c>
      <c r="AD409" s="631">
        <v>2</v>
      </c>
      <c r="AE409" s="631">
        <v>0</v>
      </c>
    </row>
    <row r="410" spans="1:31" hidden="1">
      <c r="A410" s="634" t="s">
        <v>35</v>
      </c>
      <c r="B410" s="634"/>
      <c r="C410" s="634" t="s">
        <v>614</v>
      </c>
      <c r="D410" s="634" t="s">
        <v>614</v>
      </c>
      <c r="E410" s="634"/>
      <c r="F410" s="634" t="s">
        <v>37</v>
      </c>
      <c r="G410" s="634"/>
      <c r="H410" s="634" t="s">
        <v>37</v>
      </c>
      <c r="I410" s="634"/>
      <c r="J410" s="634"/>
      <c r="K410" s="634"/>
      <c r="L410" s="634" t="s">
        <v>813</v>
      </c>
      <c r="M410" s="636"/>
      <c r="N410" s="634" t="s">
        <v>813</v>
      </c>
      <c r="O410" s="634"/>
      <c r="P410" s="634" t="s">
        <v>178</v>
      </c>
      <c r="Q410" s="635"/>
      <c r="R410" s="634" t="s">
        <v>37</v>
      </c>
      <c r="S410" s="634"/>
      <c r="T410" s="634" t="s">
        <v>353</v>
      </c>
      <c r="U410" s="626"/>
      <c r="V410" s="626"/>
      <c r="W410" s="626"/>
      <c r="X410" s="631">
        <v>2</v>
      </c>
      <c r="Y410" s="631">
        <v>2</v>
      </c>
      <c r="Z410" s="631">
        <v>0</v>
      </c>
      <c r="AA410" s="631">
        <v>2</v>
      </c>
      <c r="AB410" s="631">
        <v>2</v>
      </c>
      <c r="AC410" s="631">
        <v>2</v>
      </c>
      <c r="AD410" s="631">
        <v>2</v>
      </c>
      <c r="AE410" s="631">
        <v>2</v>
      </c>
    </row>
    <row r="411" spans="1:31" ht="15" hidden="1" thickBot="1">
      <c r="A411" s="637" t="s">
        <v>46</v>
      </c>
      <c r="B411" s="637"/>
      <c r="C411" s="637" t="s">
        <v>371</v>
      </c>
      <c r="D411" s="637" t="s">
        <v>617</v>
      </c>
      <c r="E411" s="637"/>
      <c r="F411" s="637" t="s">
        <v>619</v>
      </c>
      <c r="G411" s="637"/>
      <c r="H411" s="637" t="s">
        <v>814</v>
      </c>
      <c r="I411" s="637"/>
      <c r="J411" s="637" t="s">
        <v>815</v>
      </c>
      <c r="K411" s="637"/>
      <c r="L411" s="637" t="s">
        <v>816</v>
      </c>
      <c r="M411" s="637"/>
      <c r="N411" s="637" t="s">
        <v>817</v>
      </c>
      <c r="O411" s="637"/>
      <c r="P411" s="637" t="s">
        <v>622</v>
      </c>
      <c r="Q411" s="638"/>
      <c r="R411" s="637" t="s">
        <v>623</v>
      </c>
      <c r="S411" s="637"/>
      <c r="T411" s="637" t="s">
        <v>369</v>
      </c>
      <c r="U411" s="626"/>
      <c r="V411" s="626"/>
      <c r="W411" s="626"/>
      <c r="X411" s="631">
        <v>2</v>
      </c>
      <c r="Y411" s="631">
        <v>2</v>
      </c>
      <c r="Z411" s="631">
        <v>2</v>
      </c>
      <c r="AA411" s="631">
        <v>2</v>
      </c>
      <c r="AB411" s="631">
        <v>2</v>
      </c>
      <c r="AC411" s="631">
        <v>2</v>
      </c>
      <c r="AD411" s="631">
        <v>2</v>
      </c>
      <c r="AE411" s="631">
        <v>2</v>
      </c>
    </row>
    <row r="412" spans="1:31" hidden="1">
      <c r="A412" s="634">
        <v>1</v>
      </c>
      <c r="B412" s="634"/>
      <c r="C412" s="372"/>
      <c r="D412" s="372"/>
      <c r="E412" s="664"/>
      <c r="F412" s="664"/>
      <c r="G412" s="664"/>
      <c r="H412" s="664"/>
      <c r="I412" s="664"/>
      <c r="J412" s="664"/>
      <c r="K412" s="664"/>
      <c r="L412" s="664"/>
      <c r="M412" s="664"/>
      <c r="N412" s="664"/>
      <c r="O412" s="664"/>
      <c r="P412" s="664"/>
      <c r="Q412" s="635"/>
      <c r="R412" s="372"/>
      <c r="S412" s="664"/>
      <c r="T412" s="664"/>
      <c r="U412" s="626"/>
      <c r="V412" s="626"/>
      <c r="W412" s="626"/>
      <c r="X412" s="631">
        <v>0</v>
      </c>
      <c r="Y412" s="631">
        <v>0</v>
      </c>
      <c r="Z412" s="631">
        <v>0</v>
      </c>
      <c r="AA412" s="631">
        <v>0</v>
      </c>
      <c r="AB412" s="631">
        <v>0</v>
      </c>
      <c r="AC412" s="631">
        <v>0</v>
      </c>
      <c r="AD412" s="631">
        <v>0</v>
      </c>
      <c r="AE412" s="631">
        <v>0</v>
      </c>
    </row>
    <row r="413" spans="1:31" hidden="1">
      <c r="A413" s="634">
        <v>2</v>
      </c>
      <c r="B413" s="639"/>
      <c r="C413" s="634"/>
      <c r="D413" s="372" t="s">
        <v>737</v>
      </c>
      <c r="E413" s="372"/>
      <c r="F413" s="372"/>
      <c r="G413" s="372"/>
      <c r="H413" s="372"/>
      <c r="I413" s="634"/>
      <c r="J413" s="634"/>
      <c r="K413" s="634"/>
      <c r="L413" s="634"/>
      <c r="M413" s="634"/>
      <c r="N413" s="634"/>
      <c r="O413" s="634"/>
      <c r="P413" s="634"/>
      <c r="Q413" s="635"/>
      <c r="R413" s="634"/>
      <c r="S413" s="634"/>
      <c r="T413" s="634"/>
      <c r="U413" s="626"/>
      <c r="V413" s="626"/>
      <c r="W413" s="626"/>
      <c r="X413" s="631">
        <v>0</v>
      </c>
      <c r="Y413" s="631">
        <v>0</v>
      </c>
      <c r="Z413" s="631">
        <v>0</v>
      </c>
      <c r="AA413" s="631">
        <v>0</v>
      </c>
      <c r="AB413" s="631">
        <v>0</v>
      </c>
      <c r="AC413" s="631">
        <v>0</v>
      </c>
      <c r="AD413" s="631">
        <v>0</v>
      </c>
      <c r="AE413" s="631">
        <v>0</v>
      </c>
    </row>
    <row r="414" spans="1:31" hidden="1">
      <c r="A414" s="634">
        <v>3</v>
      </c>
      <c r="B414" s="639"/>
      <c r="C414" s="634">
        <v>36001</v>
      </c>
      <c r="D414" s="372" t="s">
        <v>724</v>
      </c>
      <c r="E414" s="372"/>
      <c r="F414" s="372"/>
      <c r="G414" s="635"/>
      <c r="H414" s="634"/>
      <c r="I414" s="635"/>
      <c r="J414" s="634"/>
      <c r="K414" s="635"/>
      <c r="L414" s="634"/>
      <c r="M414" s="635"/>
      <c r="N414" s="634"/>
      <c r="O414" s="634"/>
      <c r="P414" s="634"/>
      <c r="Q414" s="635"/>
      <c r="R414" s="634"/>
      <c r="S414" s="635"/>
      <c r="T414" s="634"/>
      <c r="U414" s="626"/>
      <c r="V414" s="626"/>
      <c r="W414" s="626"/>
      <c r="X414" s="631">
        <v>0</v>
      </c>
      <c r="Y414" s="631">
        <v>0</v>
      </c>
      <c r="Z414" s="631">
        <v>0</v>
      </c>
      <c r="AA414" s="631">
        <v>0</v>
      </c>
      <c r="AB414" s="631">
        <v>0</v>
      </c>
      <c r="AC414" s="631">
        <v>0</v>
      </c>
      <c r="AD414" s="631">
        <v>0</v>
      </c>
      <c r="AE414" s="631">
        <v>0</v>
      </c>
    </row>
    <row r="415" spans="1:31" hidden="1">
      <c r="A415" s="634">
        <v>4</v>
      </c>
      <c r="B415" s="639"/>
      <c r="C415" s="634">
        <v>36100</v>
      </c>
      <c r="D415" s="372" t="s">
        <v>726</v>
      </c>
      <c r="E415" s="372"/>
      <c r="F415" s="640">
        <v>8661</v>
      </c>
      <c r="G415" s="635"/>
      <c r="H415" s="634">
        <v>590</v>
      </c>
      <c r="I415" s="635"/>
      <c r="J415" s="634">
        <v>-9</v>
      </c>
      <c r="K415" s="372"/>
      <c r="L415" s="634">
        <v>-26</v>
      </c>
      <c r="M415" s="372"/>
      <c r="N415" s="634">
        <v>26</v>
      </c>
      <c r="O415" s="634"/>
      <c r="P415" s="634" t="s">
        <v>635</v>
      </c>
      <c r="Q415" s="635"/>
      <c r="R415" s="640">
        <v>9242</v>
      </c>
      <c r="S415" s="372"/>
      <c r="T415" s="640">
        <v>8949</v>
      </c>
      <c r="U415" s="626"/>
      <c r="V415" s="626"/>
      <c r="W415" s="626"/>
      <c r="X415" s="641">
        <v>5</v>
      </c>
      <c r="Y415" s="641">
        <v>5</v>
      </c>
      <c r="Z415" s="641">
        <v>5</v>
      </c>
      <c r="AA415" s="641">
        <v>5</v>
      </c>
      <c r="AB415" s="641">
        <v>5</v>
      </c>
      <c r="AC415" s="631">
        <v>0</v>
      </c>
      <c r="AD415" s="641">
        <v>5</v>
      </c>
      <c r="AE415" s="641">
        <v>5</v>
      </c>
    </row>
    <row r="416" spans="1:31" hidden="1">
      <c r="A416" s="634">
        <v>5</v>
      </c>
      <c r="B416" s="639"/>
      <c r="C416" s="634">
        <v>36200</v>
      </c>
      <c r="D416" s="372" t="s">
        <v>727</v>
      </c>
      <c r="E416" s="372"/>
      <c r="F416" s="640">
        <v>70638</v>
      </c>
      <c r="G416" s="635"/>
      <c r="H416" s="640">
        <v>7514</v>
      </c>
      <c r="I416" s="635"/>
      <c r="J416" s="640">
        <v>-3003</v>
      </c>
      <c r="K416" s="372"/>
      <c r="L416" s="640">
        <v>-1189</v>
      </c>
      <c r="M416" s="372"/>
      <c r="N416" s="634">
        <v>217</v>
      </c>
      <c r="O416" s="634"/>
      <c r="P416" s="634">
        <v>-144</v>
      </c>
      <c r="Q416" s="635"/>
      <c r="R416" s="640">
        <v>74034</v>
      </c>
      <c r="S416" s="372"/>
      <c r="T416" s="640">
        <v>72465</v>
      </c>
      <c r="U416" s="626"/>
      <c r="V416" s="626"/>
      <c r="W416" s="626"/>
      <c r="X416" s="641">
        <v>5</v>
      </c>
      <c r="Y416" s="641">
        <v>5</v>
      </c>
      <c r="Z416" s="641">
        <v>5</v>
      </c>
      <c r="AA416" s="641">
        <v>4</v>
      </c>
      <c r="AB416" s="641">
        <v>4</v>
      </c>
      <c r="AC416" s="641">
        <v>5</v>
      </c>
      <c r="AD416" s="641">
        <v>5</v>
      </c>
      <c r="AE416" s="641">
        <v>5</v>
      </c>
    </row>
    <row r="417" spans="1:31" hidden="1">
      <c r="A417" s="634">
        <v>6</v>
      </c>
      <c r="B417" s="639"/>
      <c r="C417" s="634">
        <v>36300</v>
      </c>
      <c r="D417" s="372" t="s">
        <v>725</v>
      </c>
      <c r="E417" s="372"/>
      <c r="F417" s="634" t="s">
        <v>628</v>
      </c>
      <c r="G417" s="635"/>
      <c r="H417" s="634" t="s">
        <v>635</v>
      </c>
      <c r="I417" s="635"/>
      <c r="J417" s="634" t="s">
        <v>635</v>
      </c>
      <c r="K417" s="372"/>
      <c r="L417" s="634" t="s">
        <v>635</v>
      </c>
      <c r="M417" s="372"/>
      <c r="N417" s="634" t="s">
        <v>635</v>
      </c>
      <c r="O417" s="634"/>
      <c r="P417" s="634" t="s">
        <v>635</v>
      </c>
      <c r="Q417" s="635"/>
      <c r="R417" s="634" t="s">
        <v>635</v>
      </c>
      <c r="S417" s="372"/>
      <c r="T417" s="634" t="s">
        <v>635</v>
      </c>
      <c r="U417" s="626"/>
      <c r="V417" s="626"/>
      <c r="W417" s="626"/>
      <c r="X417" s="631">
        <v>0</v>
      </c>
      <c r="Y417" s="631">
        <v>0</v>
      </c>
      <c r="Z417" s="631">
        <v>0</v>
      </c>
      <c r="AA417" s="631">
        <v>0</v>
      </c>
      <c r="AB417" s="631">
        <v>0</v>
      </c>
      <c r="AC417" s="631">
        <v>0</v>
      </c>
      <c r="AD417" s="631">
        <v>0</v>
      </c>
      <c r="AE417" s="631">
        <v>0</v>
      </c>
    </row>
    <row r="418" spans="1:31" hidden="1">
      <c r="A418" s="634">
        <v>7</v>
      </c>
      <c r="B418" s="634"/>
      <c r="C418" s="634">
        <v>36400</v>
      </c>
      <c r="D418" s="372" t="s">
        <v>738</v>
      </c>
      <c r="E418" s="372"/>
      <c r="F418" s="640">
        <v>187821</v>
      </c>
      <c r="G418" s="635"/>
      <c r="H418" s="640">
        <v>14038</v>
      </c>
      <c r="I418" s="635"/>
      <c r="J418" s="640">
        <v>-5758</v>
      </c>
      <c r="K418" s="372"/>
      <c r="L418" s="640">
        <v>-5831</v>
      </c>
      <c r="M418" s="372"/>
      <c r="N418" s="634">
        <v>201</v>
      </c>
      <c r="O418" s="634"/>
      <c r="P418" s="634">
        <v>-10</v>
      </c>
      <c r="Q418" s="635"/>
      <c r="R418" s="640">
        <v>190460</v>
      </c>
      <c r="S418" s="372"/>
      <c r="T418" s="640">
        <v>189749</v>
      </c>
      <c r="U418" s="626"/>
      <c r="V418" s="626"/>
      <c r="W418" s="626"/>
      <c r="X418" s="641">
        <v>5</v>
      </c>
      <c r="Y418" s="641">
        <v>5</v>
      </c>
      <c r="Z418" s="641">
        <v>5</v>
      </c>
      <c r="AA418" s="641">
        <v>5</v>
      </c>
      <c r="AB418" s="641">
        <v>5</v>
      </c>
      <c r="AC418" s="641">
        <v>4</v>
      </c>
      <c r="AD418" s="641">
        <v>5</v>
      </c>
      <c r="AE418" s="641">
        <v>5</v>
      </c>
    </row>
    <row r="419" spans="1:31" hidden="1">
      <c r="A419" s="634">
        <v>8</v>
      </c>
      <c r="B419" s="634"/>
      <c r="C419" s="634">
        <v>36500</v>
      </c>
      <c r="D419" s="372" t="s">
        <v>730</v>
      </c>
      <c r="E419" s="372"/>
      <c r="F419" s="640">
        <v>152565</v>
      </c>
      <c r="G419" s="635"/>
      <c r="H419" s="640">
        <v>6156</v>
      </c>
      <c r="I419" s="635"/>
      <c r="J419" s="640">
        <v>-5574</v>
      </c>
      <c r="K419" s="372"/>
      <c r="L419" s="640">
        <v>-3454</v>
      </c>
      <c r="M419" s="372"/>
      <c r="N419" s="634">
        <v>125</v>
      </c>
      <c r="O419" s="634"/>
      <c r="P419" s="634">
        <v>4</v>
      </c>
      <c r="Q419" s="635"/>
      <c r="R419" s="640">
        <v>149823</v>
      </c>
      <c r="S419" s="372"/>
      <c r="T419" s="640">
        <v>151725</v>
      </c>
      <c r="U419" s="626"/>
      <c r="V419" s="626"/>
      <c r="W419" s="626"/>
      <c r="X419" s="641">
        <v>5</v>
      </c>
      <c r="Y419" s="641">
        <v>5</v>
      </c>
      <c r="Z419" s="641">
        <v>5</v>
      </c>
      <c r="AA419" s="641">
        <v>4</v>
      </c>
      <c r="AB419" s="641">
        <v>5</v>
      </c>
      <c r="AC419" s="641">
        <v>5</v>
      </c>
      <c r="AD419" s="641">
        <v>5</v>
      </c>
      <c r="AE419" s="641">
        <v>5</v>
      </c>
    </row>
    <row r="420" spans="1:31" hidden="1">
      <c r="A420" s="634">
        <v>9</v>
      </c>
      <c r="B420" s="634"/>
      <c r="C420" s="634">
        <v>36600</v>
      </c>
      <c r="D420" s="372" t="s">
        <v>732</v>
      </c>
      <c r="E420" s="372"/>
      <c r="F420" s="640">
        <v>87243</v>
      </c>
      <c r="G420" s="635"/>
      <c r="H420" s="640">
        <v>6647</v>
      </c>
      <c r="I420" s="635"/>
      <c r="J420" s="634">
        <v>-352</v>
      </c>
      <c r="K420" s="372"/>
      <c r="L420" s="634">
        <v>-832</v>
      </c>
      <c r="M420" s="372"/>
      <c r="N420" s="634">
        <v>217</v>
      </c>
      <c r="O420" s="634"/>
      <c r="P420" s="634">
        <v>22</v>
      </c>
      <c r="Q420" s="635"/>
      <c r="R420" s="640">
        <v>92945</v>
      </c>
      <c r="S420" s="372"/>
      <c r="T420" s="640">
        <v>89998</v>
      </c>
      <c r="U420" s="626"/>
      <c r="V420" s="626"/>
      <c r="W420" s="626"/>
      <c r="X420" s="641">
        <v>4</v>
      </c>
      <c r="Y420" s="641">
        <v>4</v>
      </c>
      <c r="Z420" s="641">
        <v>5</v>
      </c>
      <c r="AA420" s="641">
        <v>5</v>
      </c>
      <c r="AB420" s="641">
        <v>5</v>
      </c>
      <c r="AC420" s="641">
        <v>5</v>
      </c>
      <c r="AD420" s="641">
        <v>5</v>
      </c>
      <c r="AE420" s="641">
        <v>5</v>
      </c>
    </row>
    <row r="421" spans="1:31" hidden="1">
      <c r="A421" s="634">
        <v>10</v>
      </c>
      <c r="B421" s="639"/>
      <c r="C421" s="634">
        <v>36700</v>
      </c>
      <c r="D421" s="372" t="s">
        <v>733</v>
      </c>
      <c r="E421" s="372"/>
      <c r="F421" s="640">
        <v>87228</v>
      </c>
      <c r="G421" s="635"/>
      <c r="H421" s="640">
        <v>9262</v>
      </c>
      <c r="I421" s="635"/>
      <c r="J421" s="640">
        <v>-5160</v>
      </c>
      <c r="K421" s="372"/>
      <c r="L421" s="640">
        <v>-2539</v>
      </c>
      <c r="M421" s="372"/>
      <c r="N421" s="634">
        <v>213</v>
      </c>
      <c r="O421" s="634"/>
      <c r="P421" s="634">
        <v>40</v>
      </c>
      <c r="Q421" s="635"/>
      <c r="R421" s="640">
        <v>89043</v>
      </c>
      <c r="S421" s="372"/>
      <c r="T421" s="640">
        <v>88363</v>
      </c>
      <c r="U421" s="626"/>
      <c r="V421" s="626"/>
      <c r="W421" s="626"/>
      <c r="X421" s="641">
        <v>3</v>
      </c>
      <c r="Y421" s="641">
        <v>4</v>
      </c>
      <c r="Z421" s="641">
        <v>5</v>
      </c>
      <c r="AA421" s="641">
        <v>5</v>
      </c>
      <c r="AB421" s="641">
        <v>5</v>
      </c>
      <c r="AC421" s="641">
        <v>5</v>
      </c>
      <c r="AD421" s="641">
        <v>5</v>
      </c>
      <c r="AE421" s="641">
        <v>5</v>
      </c>
    </row>
    <row r="422" spans="1:31" hidden="1">
      <c r="A422" s="634">
        <v>11</v>
      </c>
      <c r="B422" s="639"/>
      <c r="C422" s="634">
        <v>36800</v>
      </c>
      <c r="D422" s="372" t="s">
        <v>739</v>
      </c>
      <c r="E422" s="372"/>
      <c r="F422" s="640">
        <v>320473</v>
      </c>
      <c r="G422" s="635"/>
      <c r="H422" s="640">
        <v>39965</v>
      </c>
      <c r="I422" s="635"/>
      <c r="J422" s="640">
        <v>-11304</v>
      </c>
      <c r="K422" s="372"/>
      <c r="L422" s="640">
        <v>-13532</v>
      </c>
      <c r="M422" s="372"/>
      <c r="N422" s="634">
        <v>465</v>
      </c>
      <c r="O422" s="634"/>
      <c r="P422" s="634">
        <v>-41</v>
      </c>
      <c r="Q422" s="635"/>
      <c r="R422" s="640">
        <v>336026</v>
      </c>
      <c r="S422" s="372"/>
      <c r="T422" s="640">
        <v>329223</v>
      </c>
      <c r="U422" s="626"/>
      <c r="V422" s="626"/>
      <c r="W422" s="626"/>
      <c r="X422" s="641">
        <v>5</v>
      </c>
      <c r="Y422" s="641">
        <v>5</v>
      </c>
      <c r="Z422" s="641">
        <v>5</v>
      </c>
      <c r="AA422" s="641">
        <v>5</v>
      </c>
      <c r="AB422" s="641">
        <v>5</v>
      </c>
      <c r="AC422" s="641">
        <v>5</v>
      </c>
      <c r="AD422" s="641">
        <v>5</v>
      </c>
      <c r="AE422" s="641">
        <v>4</v>
      </c>
    </row>
    <row r="423" spans="1:31" hidden="1">
      <c r="A423" s="634">
        <v>12</v>
      </c>
      <c r="B423" s="639"/>
      <c r="C423" s="634">
        <v>36900</v>
      </c>
      <c r="D423" s="372" t="s">
        <v>740</v>
      </c>
      <c r="E423" s="372"/>
      <c r="F423" s="640">
        <v>64522</v>
      </c>
      <c r="G423" s="635"/>
      <c r="H423" s="640">
        <v>1547</v>
      </c>
      <c r="I423" s="635"/>
      <c r="J423" s="634">
        <v>-307</v>
      </c>
      <c r="K423" s="372"/>
      <c r="L423" s="634">
        <v>-416</v>
      </c>
      <c r="M423" s="372"/>
      <c r="N423" s="634">
        <v>35</v>
      </c>
      <c r="O423" s="634"/>
      <c r="P423" s="634">
        <v>-17</v>
      </c>
      <c r="Q423" s="635"/>
      <c r="R423" s="640">
        <v>65365</v>
      </c>
      <c r="S423" s="372"/>
      <c r="T423" s="640">
        <v>64924</v>
      </c>
      <c r="U423" s="626"/>
      <c r="V423" s="626"/>
      <c r="W423" s="626"/>
      <c r="X423" s="641">
        <v>5</v>
      </c>
      <c r="Y423" s="641">
        <v>5</v>
      </c>
      <c r="Z423" s="641">
        <v>5</v>
      </c>
      <c r="AA423" s="641">
        <v>5</v>
      </c>
      <c r="AB423" s="641">
        <v>5</v>
      </c>
      <c r="AC423" s="641">
        <v>5</v>
      </c>
      <c r="AD423" s="641">
        <v>5</v>
      </c>
      <c r="AE423" s="641">
        <v>5</v>
      </c>
    </row>
    <row r="424" spans="1:31" hidden="1">
      <c r="A424" s="634">
        <v>13</v>
      </c>
      <c r="B424" s="639"/>
      <c r="C424" s="634">
        <v>36902</v>
      </c>
      <c r="D424" s="372" t="s">
        <v>741</v>
      </c>
      <c r="E424" s="372"/>
      <c r="F424" s="640">
        <v>69222</v>
      </c>
      <c r="G424" s="635"/>
      <c r="H424" s="640">
        <v>3313</v>
      </c>
      <c r="I424" s="635"/>
      <c r="J424" s="634">
        <v>-323</v>
      </c>
      <c r="K424" s="372"/>
      <c r="L424" s="634">
        <v>-540</v>
      </c>
      <c r="M424" s="372"/>
      <c r="N424" s="634">
        <v>67</v>
      </c>
      <c r="O424" s="634"/>
      <c r="P424" s="634">
        <v>-5</v>
      </c>
      <c r="Q424" s="635"/>
      <c r="R424" s="640">
        <v>71735</v>
      </c>
      <c r="S424" s="372"/>
      <c r="T424" s="640">
        <v>70497</v>
      </c>
      <c r="U424" s="626"/>
      <c r="V424" s="626"/>
      <c r="W424" s="626"/>
      <c r="X424" s="641">
        <v>5</v>
      </c>
      <c r="Y424" s="641">
        <v>5</v>
      </c>
      <c r="Z424" s="641">
        <v>5</v>
      </c>
      <c r="AA424" s="641">
        <v>5</v>
      </c>
      <c r="AB424" s="641">
        <v>5</v>
      </c>
      <c r="AC424" s="641">
        <v>5</v>
      </c>
      <c r="AD424" s="641">
        <v>5</v>
      </c>
      <c r="AE424" s="641">
        <v>5</v>
      </c>
    </row>
    <row r="425" spans="1:31" hidden="1">
      <c r="A425" s="634">
        <v>14</v>
      </c>
      <c r="B425" s="639"/>
      <c r="C425" s="634">
        <v>37000</v>
      </c>
      <c r="D425" s="372" t="s">
        <v>742</v>
      </c>
      <c r="E425" s="372"/>
      <c r="F425" s="640">
        <v>2404</v>
      </c>
      <c r="G425" s="635"/>
      <c r="H425" s="640">
        <v>1477</v>
      </c>
      <c r="I425" s="635"/>
      <c r="J425" s="634">
        <v>-31</v>
      </c>
      <c r="K425" s="372"/>
      <c r="L425" s="634">
        <v>-133</v>
      </c>
      <c r="M425" s="372"/>
      <c r="N425" s="634">
        <v>8</v>
      </c>
      <c r="O425" s="634"/>
      <c r="P425" s="634" t="s">
        <v>635</v>
      </c>
      <c r="Q425" s="635"/>
      <c r="R425" s="640">
        <v>3725</v>
      </c>
      <c r="S425" s="372"/>
      <c r="T425" s="640">
        <v>3119</v>
      </c>
      <c r="U425" s="626"/>
      <c r="V425" s="626"/>
      <c r="W425" s="626"/>
      <c r="X425" s="641">
        <v>5</v>
      </c>
      <c r="Y425" s="641">
        <v>5</v>
      </c>
      <c r="Z425" s="641">
        <v>5</v>
      </c>
      <c r="AA425" s="641">
        <v>5</v>
      </c>
      <c r="AB425" s="641">
        <v>5</v>
      </c>
      <c r="AC425" s="631">
        <v>0</v>
      </c>
      <c r="AD425" s="641">
        <v>5</v>
      </c>
      <c r="AE425" s="641">
        <v>4</v>
      </c>
    </row>
    <row r="426" spans="1:31" hidden="1">
      <c r="A426" s="634">
        <v>15</v>
      </c>
      <c r="B426" s="634"/>
      <c r="C426" s="634">
        <v>37001</v>
      </c>
      <c r="D426" s="372" t="s">
        <v>743</v>
      </c>
      <c r="E426" s="372"/>
      <c r="F426" s="640">
        <v>5576</v>
      </c>
      <c r="G426" s="635"/>
      <c r="H426" s="640">
        <v>9531</v>
      </c>
      <c r="I426" s="635"/>
      <c r="J426" s="634">
        <v>-98</v>
      </c>
      <c r="K426" s="372"/>
      <c r="L426" s="634">
        <v>-490</v>
      </c>
      <c r="M426" s="372"/>
      <c r="N426" s="634">
        <v>48</v>
      </c>
      <c r="O426" s="634"/>
      <c r="P426" s="634" t="s">
        <v>635</v>
      </c>
      <c r="Q426" s="635"/>
      <c r="R426" s="640">
        <v>14567</v>
      </c>
      <c r="S426" s="372"/>
      <c r="T426" s="640">
        <v>10245</v>
      </c>
      <c r="U426" s="626"/>
      <c r="V426" s="626"/>
      <c r="W426" s="626"/>
      <c r="X426" s="641">
        <v>5</v>
      </c>
      <c r="Y426" s="641">
        <v>5</v>
      </c>
      <c r="Z426" s="641">
        <v>4</v>
      </c>
      <c r="AA426" s="641">
        <v>5</v>
      </c>
      <c r="AB426" s="641">
        <v>5</v>
      </c>
      <c r="AC426" s="631">
        <v>0</v>
      </c>
      <c r="AD426" s="641">
        <v>5</v>
      </c>
      <c r="AE426" s="641">
        <v>5</v>
      </c>
    </row>
    <row r="427" spans="1:31" hidden="1">
      <c r="A427" s="634">
        <v>16</v>
      </c>
      <c r="B427" s="634"/>
      <c r="C427" s="634">
        <v>37010</v>
      </c>
      <c r="D427" s="372" t="s">
        <v>744</v>
      </c>
      <c r="E427" s="372"/>
      <c r="F427" s="634" t="s">
        <v>628</v>
      </c>
      <c r="G427" s="635"/>
      <c r="H427" s="634" t="s">
        <v>635</v>
      </c>
      <c r="I427" s="635"/>
      <c r="J427" s="634" t="s">
        <v>635</v>
      </c>
      <c r="K427" s="372"/>
      <c r="L427" s="634">
        <v>-11</v>
      </c>
      <c r="M427" s="372"/>
      <c r="N427" s="634">
        <v>2</v>
      </c>
      <c r="O427" s="634"/>
      <c r="P427" s="634">
        <v>113</v>
      </c>
      <c r="Q427" s="635"/>
      <c r="R427" s="634">
        <v>104</v>
      </c>
      <c r="S427" s="372"/>
      <c r="T427" s="634">
        <v>8</v>
      </c>
      <c r="U427" s="626"/>
      <c r="V427" s="626"/>
      <c r="W427" s="626"/>
      <c r="X427" s="631">
        <v>0</v>
      </c>
      <c r="Y427" s="631">
        <v>0</v>
      </c>
      <c r="Z427" s="631">
        <v>0</v>
      </c>
      <c r="AA427" s="641">
        <v>4</v>
      </c>
      <c r="AB427" s="641">
        <v>4</v>
      </c>
      <c r="AC427" s="641">
        <v>5</v>
      </c>
      <c r="AD427" s="641">
        <v>5</v>
      </c>
      <c r="AE427" s="641">
        <v>4</v>
      </c>
    </row>
    <row r="428" spans="1:31" hidden="1">
      <c r="A428" s="634">
        <v>17</v>
      </c>
      <c r="B428" s="634"/>
      <c r="C428" s="634">
        <v>37300</v>
      </c>
      <c r="D428" s="372" t="s">
        <v>745</v>
      </c>
      <c r="E428" s="372"/>
      <c r="F428" s="640">
        <v>121743</v>
      </c>
      <c r="G428" s="635"/>
      <c r="H428" s="640">
        <v>10306</v>
      </c>
      <c r="I428" s="635"/>
      <c r="J428" s="640">
        <v>-7198</v>
      </c>
      <c r="K428" s="372"/>
      <c r="L428" s="640">
        <v>-1871</v>
      </c>
      <c r="M428" s="372"/>
      <c r="N428" s="634">
        <v>191</v>
      </c>
      <c r="O428" s="634"/>
      <c r="P428" s="634">
        <v>15</v>
      </c>
      <c r="Q428" s="635"/>
      <c r="R428" s="640">
        <v>123184</v>
      </c>
      <c r="S428" s="372"/>
      <c r="T428" s="640">
        <v>122584</v>
      </c>
      <c r="U428" s="626"/>
      <c r="V428" s="626"/>
      <c r="W428" s="626"/>
      <c r="X428" s="641">
        <v>5</v>
      </c>
      <c r="Y428" s="641">
        <v>5</v>
      </c>
      <c r="Z428" s="641">
        <v>5</v>
      </c>
      <c r="AA428" s="641">
        <v>5</v>
      </c>
      <c r="AB428" s="641">
        <v>5</v>
      </c>
      <c r="AC428" s="641">
        <v>5</v>
      </c>
      <c r="AD428" s="641">
        <v>5</v>
      </c>
      <c r="AE428" s="641">
        <v>5</v>
      </c>
    </row>
    <row r="429" spans="1:31" hidden="1">
      <c r="A429" s="634">
        <v>18</v>
      </c>
      <c r="B429" s="634"/>
      <c r="C429" s="634">
        <v>37302</v>
      </c>
      <c r="D429" s="372" t="s">
        <v>746</v>
      </c>
      <c r="E429" s="372"/>
      <c r="F429" s="634">
        <v>186</v>
      </c>
      <c r="G429" s="635"/>
      <c r="H429" s="634">
        <v>164</v>
      </c>
      <c r="I429" s="635"/>
      <c r="J429" s="634">
        <v>-11</v>
      </c>
      <c r="K429" s="372"/>
      <c r="L429" s="634">
        <v>-58</v>
      </c>
      <c r="M429" s="372"/>
      <c r="N429" s="634">
        <v>10</v>
      </c>
      <c r="O429" s="634"/>
      <c r="P429" s="634">
        <v>405</v>
      </c>
      <c r="Q429" s="635"/>
      <c r="R429" s="634">
        <v>696</v>
      </c>
      <c r="S429" s="372"/>
      <c r="T429" s="634">
        <v>389</v>
      </c>
      <c r="U429" s="626"/>
      <c r="V429" s="626"/>
      <c r="W429" s="626"/>
      <c r="X429" s="641">
        <v>5</v>
      </c>
      <c r="Y429" s="641">
        <v>5</v>
      </c>
      <c r="Z429" s="641">
        <v>5</v>
      </c>
      <c r="AA429" s="641">
        <v>5</v>
      </c>
      <c r="AB429" s="641">
        <v>5</v>
      </c>
      <c r="AC429" s="641">
        <v>5</v>
      </c>
      <c r="AD429" s="641">
        <v>5</v>
      </c>
      <c r="AE429" s="641">
        <v>5</v>
      </c>
    </row>
    <row r="430" spans="1:31" ht="15" hidden="1" thickBot="1">
      <c r="A430" s="634">
        <v>19</v>
      </c>
      <c r="B430" s="639"/>
      <c r="C430" s="372"/>
      <c r="D430" s="372" t="s">
        <v>747</v>
      </c>
      <c r="E430" s="372"/>
      <c r="F430" s="648">
        <v>1178281</v>
      </c>
      <c r="G430" s="635"/>
      <c r="H430" s="648">
        <v>110512</v>
      </c>
      <c r="I430" s="635"/>
      <c r="J430" s="648">
        <v>-39128</v>
      </c>
      <c r="K430" s="635"/>
      <c r="L430" s="648">
        <v>-30924</v>
      </c>
      <c r="M430" s="635"/>
      <c r="N430" s="648">
        <v>1826</v>
      </c>
      <c r="O430" s="372"/>
      <c r="P430" s="649">
        <v>382</v>
      </c>
      <c r="Q430" s="635"/>
      <c r="R430" s="648">
        <v>1220948</v>
      </c>
      <c r="S430" s="635"/>
      <c r="T430" s="648">
        <v>1202236</v>
      </c>
      <c r="U430" s="626"/>
      <c r="V430" s="626"/>
      <c r="W430" s="626"/>
      <c r="X430" s="641">
        <v>5</v>
      </c>
      <c r="Y430" s="641">
        <v>5</v>
      </c>
      <c r="Z430" s="641">
        <v>5</v>
      </c>
      <c r="AA430" s="641">
        <v>5</v>
      </c>
      <c r="AB430" s="641">
        <v>5</v>
      </c>
      <c r="AC430" s="641">
        <v>5</v>
      </c>
      <c r="AD430" s="641">
        <v>5</v>
      </c>
      <c r="AE430" s="641">
        <v>3</v>
      </c>
    </row>
    <row r="431" spans="1:31" ht="15" hidden="1" thickTop="1">
      <c r="A431" s="634">
        <v>20</v>
      </c>
      <c r="B431" s="634"/>
      <c r="C431" s="372"/>
      <c r="D431" s="372"/>
      <c r="E431" s="372"/>
      <c r="F431" s="372"/>
      <c r="G431" s="372"/>
      <c r="H431" s="372"/>
      <c r="I431" s="372"/>
      <c r="J431" s="372"/>
      <c r="K431" s="372"/>
      <c r="L431" s="372"/>
      <c r="M431" s="372"/>
      <c r="N431" s="372"/>
      <c r="O431" s="372"/>
      <c r="P431" s="372"/>
      <c r="Q431" s="635"/>
      <c r="R431" s="372"/>
      <c r="S431" s="372"/>
      <c r="T431" s="372"/>
      <c r="U431" s="626"/>
      <c r="V431" s="626"/>
      <c r="W431" s="626"/>
      <c r="X431" s="631">
        <v>0</v>
      </c>
      <c r="Y431" s="631">
        <v>0</v>
      </c>
      <c r="Z431" s="631">
        <v>0</v>
      </c>
      <c r="AA431" s="631">
        <v>0</v>
      </c>
      <c r="AB431" s="631">
        <v>0</v>
      </c>
      <c r="AC431" s="631">
        <v>0</v>
      </c>
      <c r="AD431" s="631">
        <v>0</v>
      </c>
      <c r="AE431" s="631">
        <v>0</v>
      </c>
    </row>
    <row r="432" spans="1:31" hidden="1">
      <c r="A432" s="634">
        <v>21</v>
      </c>
      <c r="B432" s="634"/>
      <c r="C432" s="372"/>
      <c r="D432" s="372" t="s">
        <v>748</v>
      </c>
      <c r="E432" s="372"/>
      <c r="F432" s="372"/>
      <c r="G432" s="372"/>
      <c r="H432" s="372"/>
      <c r="I432" s="635"/>
      <c r="J432" s="635"/>
      <c r="K432" s="635"/>
      <c r="L432" s="635"/>
      <c r="M432" s="635"/>
      <c r="N432" s="635"/>
      <c r="O432" s="635"/>
      <c r="P432" s="635"/>
      <c r="Q432" s="635"/>
      <c r="R432" s="635"/>
      <c r="S432" s="635"/>
      <c r="T432" s="635"/>
      <c r="U432" s="626"/>
      <c r="V432" s="626"/>
      <c r="W432" s="626"/>
      <c r="X432" s="631">
        <v>0</v>
      </c>
      <c r="Y432" s="631">
        <v>0</v>
      </c>
      <c r="Z432" s="631">
        <v>0</v>
      </c>
      <c r="AA432" s="631">
        <v>0</v>
      </c>
      <c r="AB432" s="631">
        <v>0</v>
      </c>
      <c r="AC432" s="631">
        <v>0</v>
      </c>
      <c r="AD432" s="631">
        <v>0</v>
      </c>
      <c r="AE432" s="631">
        <v>0</v>
      </c>
    </row>
    <row r="433" spans="1:31" hidden="1">
      <c r="A433" s="634">
        <v>22</v>
      </c>
      <c r="B433" s="634"/>
      <c r="C433" s="634">
        <v>39000</v>
      </c>
      <c r="D433" s="372" t="s">
        <v>726</v>
      </c>
      <c r="E433" s="372"/>
      <c r="F433" s="640">
        <v>51868</v>
      </c>
      <c r="G433" s="635"/>
      <c r="H433" s="640">
        <v>1926</v>
      </c>
      <c r="I433" s="635"/>
      <c r="J433" s="634">
        <v>-615</v>
      </c>
      <c r="K433" s="372"/>
      <c r="L433" s="634">
        <v>-617</v>
      </c>
      <c r="M433" s="372"/>
      <c r="N433" s="634" t="s">
        <v>628</v>
      </c>
      <c r="O433" s="634"/>
      <c r="P433" s="634" t="s">
        <v>635</v>
      </c>
      <c r="Q433" s="635"/>
      <c r="R433" s="640">
        <v>52561</v>
      </c>
      <c r="S433" s="372"/>
      <c r="T433" s="640">
        <v>52161</v>
      </c>
      <c r="U433" s="626"/>
      <c r="V433" s="626"/>
      <c r="W433" s="626"/>
      <c r="X433" s="641">
        <v>5</v>
      </c>
      <c r="Y433" s="641">
        <v>5</v>
      </c>
      <c r="Z433" s="641">
        <v>5</v>
      </c>
      <c r="AA433" s="641">
        <v>5</v>
      </c>
      <c r="AB433" s="631">
        <v>0</v>
      </c>
      <c r="AC433" s="631">
        <v>0</v>
      </c>
      <c r="AD433" s="641">
        <v>5</v>
      </c>
      <c r="AE433" s="641">
        <v>5</v>
      </c>
    </row>
    <row r="434" spans="1:31" hidden="1">
      <c r="A434" s="634">
        <v>23</v>
      </c>
      <c r="B434" s="634"/>
      <c r="C434" s="634">
        <v>39101</v>
      </c>
      <c r="D434" s="372" t="s">
        <v>749</v>
      </c>
      <c r="E434" s="372"/>
      <c r="F434" s="640">
        <v>3415</v>
      </c>
      <c r="G434" s="635"/>
      <c r="H434" s="640">
        <v>1027</v>
      </c>
      <c r="I434" s="635"/>
      <c r="J434" s="634">
        <v>-720</v>
      </c>
      <c r="K434" s="372"/>
      <c r="L434" s="634" t="s">
        <v>628</v>
      </c>
      <c r="M434" s="372"/>
      <c r="N434" s="634" t="s">
        <v>635</v>
      </c>
      <c r="O434" s="634"/>
      <c r="P434" s="634" t="s">
        <v>635</v>
      </c>
      <c r="Q434" s="635"/>
      <c r="R434" s="640">
        <v>3722</v>
      </c>
      <c r="S434" s="372"/>
      <c r="T434" s="640">
        <v>3471</v>
      </c>
      <c r="U434" s="626"/>
      <c r="V434" s="626"/>
      <c r="W434" s="626"/>
      <c r="X434" s="641">
        <v>5</v>
      </c>
      <c r="Y434" s="641">
        <v>5</v>
      </c>
      <c r="Z434" s="641">
        <v>5</v>
      </c>
      <c r="AA434" s="631">
        <v>0</v>
      </c>
      <c r="AB434" s="631">
        <v>0</v>
      </c>
      <c r="AC434" s="631">
        <v>0</v>
      </c>
      <c r="AD434" s="641">
        <v>5</v>
      </c>
      <c r="AE434" s="641">
        <v>3</v>
      </c>
    </row>
    <row r="435" spans="1:31" hidden="1">
      <c r="A435" s="634">
        <v>24</v>
      </c>
      <c r="B435" s="634"/>
      <c r="C435" s="634">
        <v>39102</v>
      </c>
      <c r="D435" s="372" t="s">
        <v>750</v>
      </c>
      <c r="E435" s="372"/>
      <c r="F435" s="640">
        <v>3124</v>
      </c>
      <c r="G435" s="635"/>
      <c r="H435" s="640">
        <v>3156</v>
      </c>
      <c r="I435" s="635"/>
      <c r="J435" s="634">
        <v>-355</v>
      </c>
      <c r="K435" s="372"/>
      <c r="L435" s="634" t="s">
        <v>628</v>
      </c>
      <c r="M435" s="372"/>
      <c r="N435" s="634" t="s">
        <v>635</v>
      </c>
      <c r="O435" s="634"/>
      <c r="P435" s="634" t="s">
        <v>635</v>
      </c>
      <c r="Q435" s="635"/>
      <c r="R435" s="640">
        <v>5925</v>
      </c>
      <c r="S435" s="372"/>
      <c r="T435" s="640">
        <v>4493</v>
      </c>
      <c r="U435" s="626"/>
      <c r="V435" s="626"/>
      <c r="W435" s="626"/>
      <c r="X435" s="641">
        <v>5</v>
      </c>
      <c r="Y435" s="641">
        <v>5</v>
      </c>
      <c r="Z435" s="641">
        <v>5</v>
      </c>
      <c r="AA435" s="631">
        <v>0</v>
      </c>
      <c r="AB435" s="631">
        <v>0</v>
      </c>
      <c r="AC435" s="631">
        <v>0</v>
      </c>
      <c r="AD435" s="641">
        <v>5</v>
      </c>
      <c r="AE435" s="641">
        <v>5</v>
      </c>
    </row>
    <row r="436" spans="1:31" hidden="1">
      <c r="A436" s="634">
        <v>25</v>
      </c>
      <c r="B436" s="634"/>
      <c r="C436" s="634">
        <v>39103</v>
      </c>
      <c r="D436" s="372" t="s">
        <v>751</v>
      </c>
      <c r="E436" s="372"/>
      <c r="F436" s="634" t="s">
        <v>628</v>
      </c>
      <c r="G436" s="635"/>
      <c r="H436" s="634" t="s">
        <v>635</v>
      </c>
      <c r="I436" s="635"/>
      <c r="J436" s="634" t="s">
        <v>635</v>
      </c>
      <c r="K436" s="372"/>
      <c r="L436" s="634" t="s">
        <v>635</v>
      </c>
      <c r="M436" s="372"/>
      <c r="N436" s="634" t="s">
        <v>635</v>
      </c>
      <c r="O436" s="634"/>
      <c r="P436" s="634" t="s">
        <v>635</v>
      </c>
      <c r="Q436" s="635"/>
      <c r="R436" s="634" t="s">
        <v>635</v>
      </c>
      <c r="S436" s="372"/>
      <c r="T436" s="634" t="s">
        <v>635</v>
      </c>
      <c r="U436" s="626"/>
      <c r="V436" s="626"/>
      <c r="W436" s="626"/>
      <c r="X436" s="631">
        <v>0</v>
      </c>
      <c r="Y436" s="631">
        <v>0</v>
      </c>
      <c r="Z436" s="631">
        <v>0</v>
      </c>
      <c r="AA436" s="631">
        <v>0</v>
      </c>
      <c r="AB436" s="631">
        <v>0</v>
      </c>
      <c r="AC436" s="631">
        <v>0</v>
      </c>
      <c r="AD436" s="631">
        <v>0</v>
      </c>
      <c r="AE436" s="631">
        <v>0</v>
      </c>
    </row>
    <row r="437" spans="1:31" hidden="1">
      <c r="A437" s="634">
        <v>26</v>
      </c>
      <c r="B437" s="634"/>
      <c r="C437" s="634">
        <v>39104</v>
      </c>
      <c r="D437" s="372" t="s">
        <v>752</v>
      </c>
      <c r="E437" s="372"/>
      <c r="F437" s="640">
        <v>13826</v>
      </c>
      <c r="G437" s="635"/>
      <c r="H437" s="640">
        <v>8199</v>
      </c>
      <c r="I437" s="635"/>
      <c r="J437" s="640">
        <v>-4121</v>
      </c>
      <c r="K437" s="372"/>
      <c r="L437" s="634" t="s">
        <v>628</v>
      </c>
      <c r="M437" s="372"/>
      <c r="N437" s="634" t="s">
        <v>635</v>
      </c>
      <c r="O437" s="634"/>
      <c r="P437" s="634" t="s">
        <v>635</v>
      </c>
      <c r="Q437" s="635"/>
      <c r="R437" s="640">
        <v>17904</v>
      </c>
      <c r="S437" s="372"/>
      <c r="T437" s="640">
        <v>16270</v>
      </c>
      <c r="U437" s="626"/>
      <c r="V437" s="626"/>
      <c r="W437" s="626"/>
      <c r="X437" s="641">
        <v>5</v>
      </c>
      <c r="Y437" s="641">
        <v>5</v>
      </c>
      <c r="Z437" s="641">
        <v>5</v>
      </c>
      <c r="AA437" s="631">
        <v>0</v>
      </c>
      <c r="AB437" s="631">
        <v>0</v>
      </c>
      <c r="AC437" s="631">
        <v>0</v>
      </c>
      <c r="AD437" s="641">
        <v>5</v>
      </c>
      <c r="AE437" s="641">
        <v>5</v>
      </c>
    </row>
    <row r="438" spans="1:31" hidden="1">
      <c r="A438" s="634">
        <v>27</v>
      </c>
      <c r="B438" s="634"/>
      <c r="C438" s="634">
        <v>39202</v>
      </c>
      <c r="D438" s="636" t="s">
        <v>753</v>
      </c>
      <c r="E438" s="372"/>
      <c r="F438" s="640">
        <v>4323</v>
      </c>
      <c r="G438" s="635"/>
      <c r="H438" s="640">
        <v>1878</v>
      </c>
      <c r="I438" s="635"/>
      <c r="J438" s="640">
        <v>-1028</v>
      </c>
      <c r="K438" s="372"/>
      <c r="L438" s="634">
        <v>54</v>
      </c>
      <c r="M438" s="372"/>
      <c r="N438" s="634">
        <v>295</v>
      </c>
      <c r="O438" s="634"/>
      <c r="P438" s="634" t="s">
        <v>635</v>
      </c>
      <c r="Q438" s="635"/>
      <c r="R438" s="640">
        <v>5521</v>
      </c>
      <c r="S438" s="372"/>
      <c r="T438" s="640">
        <v>4840</v>
      </c>
      <c r="U438" s="626"/>
      <c r="V438" s="626"/>
      <c r="W438" s="626"/>
      <c r="X438" s="641">
        <v>5</v>
      </c>
      <c r="Y438" s="641">
        <v>5</v>
      </c>
      <c r="Z438" s="641">
        <v>5</v>
      </c>
      <c r="AA438" s="641">
        <v>5</v>
      </c>
      <c r="AB438" s="641">
        <v>5</v>
      </c>
      <c r="AC438" s="631">
        <v>0</v>
      </c>
      <c r="AD438" s="641">
        <v>5</v>
      </c>
      <c r="AE438" s="641">
        <v>5</v>
      </c>
    </row>
    <row r="439" spans="1:31" hidden="1">
      <c r="A439" s="634">
        <v>28</v>
      </c>
      <c r="B439" s="634"/>
      <c r="C439" s="634">
        <v>39203</v>
      </c>
      <c r="D439" s="636" t="s">
        <v>754</v>
      </c>
      <c r="E439" s="372"/>
      <c r="F439" s="640">
        <v>20286</v>
      </c>
      <c r="G439" s="635"/>
      <c r="H439" s="640">
        <v>3981</v>
      </c>
      <c r="I439" s="635"/>
      <c r="J439" s="640">
        <v>-1748</v>
      </c>
      <c r="K439" s="372"/>
      <c r="L439" s="634">
        <v>-84</v>
      </c>
      <c r="M439" s="372"/>
      <c r="N439" s="634">
        <v>749</v>
      </c>
      <c r="O439" s="634"/>
      <c r="P439" s="634" t="s">
        <v>635</v>
      </c>
      <c r="Q439" s="635"/>
      <c r="R439" s="640">
        <v>23184</v>
      </c>
      <c r="S439" s="372"/>
      <c r="T439" s="640">
        <v>21485</v>
      </c>
      <c r="U439" s="626"/>
      <c r="V439" s="626"/>
      <c r="W439" s="626"/>
      <c r="X439" s="641">
        <v>5</v>
      </c>
      <c r="Y439" s="641">
        <v>5</v>
      </c>
      <c r="Z439" s="641">
        <v>5</v>
      </c>
      <c r="AA439" s="641">
        <v>5</v>
      </c>
      <c r="AB439" s="641">
        <v>5</v>
      </c>
      <c r="AC439" s="631">
        <v>0</v>
      </c>
      <c r="AD439" s="641">
        <v>5</v>
      </c>
      <c r="AE439" s="641">
        <v>5</v>
      </c>
    </row>
    <row r="440" spans="1:31" hidden="1">
      <c r="A440" s="634">
        <v>29</v>
      </c>
      <c r="B440" s="639"/>
      <c r="C440" s="634">
        <v>39204</v>
      </c>
      <c r="D440" s="636" t="s">
        <v>755</v>
      </c>
      <c r="E440" s="372"/>
      <c r="F440" s="634" t="s">
        <v>628</v>
      </c>
      <c r="G440" s="635"/>
      <c r="H440" s="634" t="s">
        <v>635</v>
      </c>
      <c r="I440" s="635"/>
      <c r="J440" s="634" t="s">
        <v>635</v>
      </c>
      <c r="K440" s="372"/>
      <c r="L440" s="634" t="s">
        <v>635</v>
      </c>
      <c r="M440" s="372"/>
      <c r="N440" s="634" t="s">
        <v>635</v>
      </c>
      <c r="O440" s="634"/>
      <c r="P440" s="634" t="s">
        <v>635</v>
      </c>
      <c r="Q440" s="635"/>
      <c r="R440" s="634" t="s">
        <v>635</v>
      </c>
      <c r="S440" s="372"/>
      <c r="T440" s="634" t="s">
        <v>635</v>
      </c>
      <c r="U440" s="626"/>
      <c r="V440" s="626"/>
      <c r="W440" s="626"/>
      <c r="X440" s="631">
        <v>0</v>
      </c>
      <c r="Y440" s="631">
        <v>0</v>
      </c>
      <c r="Z440" s="631">
        <v>0</v>
      </c>
      <c r="AA440" s="631">
        <v>0</v>
      </c>
      <c r="AB440" s="631">
        <v>0</v>
      </c>
      <c r="AC440" s="631">
        <v>0</v>
      </c>
      <c r="AD440" s="631">
        <v>0</v>
      </c>
      <c r="AE440" s="631">
        <v>0</v>
      </c>
    </row>
    <row r="441" spans="1:31" hidden="1">
      <c r="A441" s="634">
        <v>30</v>
      </c>
      <c r="B441" s="639"/>
      <c r="C441" s="634">
        <v>39212</v>
      </c>
      <c r="D441" s="372" t="s">
        <v>756</v>
      </c>
      <c r="E441" s="372"/>
      <c r="F441" s="640">
        <v>1661</v>
      </c>
      <c r="G441" s="635"/>
      <c r="H441" s="634">
        <v>301</v>
      </c>
      <c r="I441" s="635"/>
      <c r="J441" s="634">
        <v>-102</v>
      </c>
      <c r="K441" s="372"/>
      <c r="L441" s="634">
        <v>-12</v>
      </c>
      <c r="M441" s="372"/>
      <c r="N441" s="634">
        <v>10</v>
      </c>
      <c r="O441" s="634"/>
      <c r="P441" s="634" t="s">
        <v>635</v>
      </c>
      <c r="Q441" s="635"/>
      <c r="R441" s="640">
        <v>1858</v>
      </c>
      <c r="S441" s="372"/>
      <c r="T441" s="640">
        <v>1728</v>
      </c>
      <c r="U441" s="626"/>
      <c r="V441" s="626"/>
      <c r="W441" s="626"/>
      <c r="X441" s="641">
        <v>5</v>
      </c>
      <c r="Y441" s="641">
        <v>5</v>
      </c>
      <c r="Z441" s="641">
        <v>5</v>
      </c>
      <c r="AA441" s="641">
        <v>5</v>
      </c>
      <c r="AB441" s="641">
        <v>5</v>
      </c>
      <c r="AC441" s="631">
        <v>0</v>
      </c>
      <c r="AD441" s="641">
        <v>5</v>
      </c>
      <c r="AE441" s="641">
        <v>5</v>
      </c>
    </row>
    <row r="442" spans="1:31" hidden="1">
      <c r="A442" s="634">
        <v>31</v>
      </c>
      <c r="B442" s="639"/>
      <c r="C442" s="634">
        <v>39213</v>
      </c>
      <c r="D442" s="372" t="s">
        <v>757</v>
      </c>
      <c r="E442" s="372"/>
      <c r="F442" s="634">
        <v>169</v>
      </c>
      <c r="G442" s="635"/>
      <c r="H442" s="634">
        <v>50</v>
      </c>
      <c r="I442" s="635"/>
      <c r="J442" s="634" t="s">
        <v>635</v>
      </c>
      <c r="K442" s="372"/>
      <c r="L442" s="634">
        <v>0</v>
      </c>
      <c r="M442" s="372"/>
      <c r="N442" s="634">
        <v>3</v>
      </c>
      <c r="O442" s="634"/>
      <c r="P442" s="634" t="s">
        <v>635</v>
      </c>
      <c r="Q442" s="635"/>
      <c r="R442" s="634">
        <v>222</v>
      </c>
      <c r="S442" s="372"/>
      <c r="T442" s="634">
        <v>195</v>
      </c>
      <c r="U442" s="626"/>
      <c r="V442" s="626"/>
      <c r="W442" s="626"/>
      <c r="X442" s="641">
        <v>5</v>
      </c>
      <c r="Y442" s="641">
        <v>5</v>
      </c>
      <c r="Z442" s="631">
        <v>0</v>
      </c>
      <c r="AA442" s="641">
        <v>5</v>
      </c>
      <c r="AB442" s="641">
        <v>5</v>
      </c>
      <c r="AC442" s="631">
        <v>0</v>
      </c>
      <c r="AD442" s="641">
        <v>5</v>
      </c>
      <c r="AE442" s="641">
        <v>5</v>
      </c>
    </row>
    <row r="443" spans="1:31" hidden="1">
      <c r="A443" s="634">
        <v>32</v>
      </c>
      <c r="B443" s="639"/>
      <c r="C443" s="634">
        <v>39214</v>
      </c>
      <c r="D443" s="372" t="s">
        <v>758</v>
      </c>
      <c r="E443" s="372"/>
      <c r="F443" s="634" t="s">
        <v>628</v>
      </c>
      <c r="G443" s="635"/>
      <c r="H443" s="634" t="s">
        <v>635</v>
      </c>
      <c r="I443" s="635"/>
      <c r="J443" s="634" t="s">
        <v>635</v>
      </c>
      <c r="K443" s="372"/>
      <c r="L443" s="634" t="s">
        <v>635</v>
      </c>
      <c r="M443" s="372"/>
      <c r="N443" s="634" t="s">
        <v>635</v>
      </c>
      <c r="O443" s="634"/>
      <c r="P443" s="634" t="s">
        <v>635</v>
      </c>
      <c r="Q443" s="635"/>
      <c r="R443" s="634" t="s">
        <v>635</v>
      </c>
      <c r="S443" s="372"/>
      <c r="T443" s="634" t="s">
        <v>635</v>
      </c>
      <c r="U443" s="626"/>
      <c r="V443" s="626"/>
      <c r="W443" s="626"/>
      <c r="X443" s="631">
        <v>0</v>
      </c>
      <c r="Y443" s="631">
        <v>0</v>
      </c>
      <c r="Z443" s="631">
        <v>0</v>
      </c>
      <c r="AA443" s="631">
        <v>0</v>
      </c>
      <c r="AB443" s="631">
        <v>0</v>
      </c>
      <c r="AC443" s="631">
        <v>0</v>
      </c>
      <c r="AD443" s="631">
        <v>0</v>
      </c>
      <c r="AE443" s="631">
        <v>0</v>
      </c>
    </row>
    <row r="444" spans="1:31" hidden="1">
      <c r="A444" s="634">
        <v>33</v>
      </c>
      <c r="B444" s="639"/>
      <c r="C444" s="634">
        <v>39300</v>
      </c>
      <c r="D444" s="372" t="s">
        <v>759</v>
      </c>
      <c r="E444" s="372"/>
      <c r="F444" s="634" t="s">
        <v>628</v>
      </c>
      <c r="G444" s="635"/>
      <c r="H444" s="634" t="s">
        <v>635</v>
      </c>
      <c r="I444" s="635"/>
      <c r="J444" s="634" t="s">
        <v>635</v>
      </c>
      <c r="K444" s="372"/>
      <c r="L444" s="634" t="s">
        <v>635</v>
      </c>
      <c r="M444" s="372"/>
      <c r="N444" s="634" t="s">
        <v>635</v>
      </c>
      <c r="O444" s="634"/>
      <c r="P444" s="634" t="s">
        <v>635</v>
      </c>
      <c r="Q444" s="635"/>
      <c r="R444" s="634" t="s">
        <v>635</v>
      </c>
      <c r="S444" s="372"/>
      <c r="T444" s="634" t="s">
        <v>635</v>
      </c>
      <c r="U444" s="626"/>
      <c r="V444" s="626"/>
      <c r="W444" s="626"/>
      <c r="X444" s="631">
        <v>0</v>
      </c>
      <c r="Y444" s="631">
        <v>0</v>
      </c>
      <c r="Z444" s="631">
        <v>0</v>
      </c>
      <c r="AA444" s="631">
        <v>0</v>
      </c>
      <c r="AB444" s="631">
        <v>0</v>
      </c>
      <c r="AC444" s="631">
        <v>0</v>
      </c>
      <c r="AD444" s="631">
        <v>0</v>
      </c>
      <c r="AE444" s="631">
        <v>0</v>
      </c>
    </row>
    <row r="445" spans="1:31" hidden="1">
      <c r="A445" s="634">
        <v>34</v>
      </c>
      <c r="B445" s="639"/>
      <c r="C445" s="634">
        <v>39400</v>
      </c>
      <c r="D445" s="372" t="s">
        <v>760</v>
      </c>
      <c r="E445" s="372"/>
      <c r="F445" s="640">
        <v>6193</v>
      </c>
      <c r="G445" s="635"/>
      <c r="H445" s="640">
        <v>1958</v>
      </c>
      <c r="I445" s="635"/>
      <c r="J445" s="640">
        <v>-1556</v>
      </c>
      <c r="K445" s="372"/>
      <c r="L445" s="634" t="s">
        <v>628</v>
      </c>
      <c r="M445" s="372"/>
      <c r="N445" s="634" t="s">
        <v>635</v>
      </c>
      <c r="O445" s="634"/>
      <c r="P445" s="634">
        <v>-113</v>
      </c>
      <c r="Q445" s="635"/>
      <c r="R445" s="640">
        <v>6482</v>
      </c>
      <c r="S445" s="372"/>
      <c r="T445" s="640">
        <v>5964</v>
      </c>
      <c r="U445" s="626"/>
      <c r="V445" s="626"/>
      <c r="W445" s="626"/>
      <c r="X445" s="641">
        <v>5</v>
      </c>
      <c r="Y445" s="641">
        <v>5</v>
      </c>
      <c r="Z445" s="641">
        <v>5</v>
      </c>
      <c r="AA445" s="631">
        <v>0</v>
      </c>
      <c r="AB445" s="631">
        <v>0</v>
      </c>
      <c r="AC445" s="641">
        <v>5</v>
      </c>
      <c r="AD445" s="641">
        <v>5</v>
      </c>
      <c r="AE445" s="641">
        <v>5</v>
      </c>
    </row>
    <row r="446" spans="1:31" hidden="1">
      <c r="A446" s="634">
        <v>35</v>
      </c>
      <c r="B446" s="639"/>
      <c r="C446" s="634">
        <v>39401</v>
      </c>
      <c r="D446" s="372" t="s">
        <v>761</v>
      </c>
      <c r="E446" s="372"/>
      <c r="F446" s="640">
        <v>1318</v>
      </c>
      <c r="G446" s="635"/>
      <c r="H446" s="634">
        <v>838</v>
      </c>
      <c r="I446" s="635"/>
      <c r="J446" s="634" t="s">
        <v>635</v>
      </c>
      <c r="K446" s="372"/>
      <c r="L446" s="634" t="s">
        <v>635</v>
      </c>
      <c r="M446" s="372"/>
      <c r="N446" s="634" t="s">
        <v>635</v>
      </c>
      <c r="O446" s="634"/>
      <c r="P446" s="634" t="s">
        <v>635</v>
      </c>
      <c r="Q446" s="635"/>
      <c r="R446" s="640">
        <v>2156</v>
      </c>
      <c r="S446" s="372"/>
      <c r="T446" s="640">
        <v>1737</v>
      </c>
      <c r="U446" s="626"/>
      <c r="V446" s="626"/>
      <c r="W446" s="626"/>
      <c r="X446" s="641">
        <v>5</v>
      </c>
      <c r="Y446" s="641">
        <v>5</v>
      </c>
      <c r="Z446" s="631">
        <v>0</v>
      </c>
      <c r="AA446" s="631">
        <v>0</v>
      </c>
      <c r="AB446" s="631">
        <v>0</v>
      </c>
      <c r="AC446" s="631">
        <v>0</v>
      </c>
      <c r="AD446" s="641">
        <v>5</v>
      </c>
      <c r="AE446" s="641">
        <v>5</v>
      </c>
    </row>
    <row r="447" spans="1:31" hidden="1">
      <c r="A447" s="634">
        <v>36</v>
      </c>
      <c r="B447" s="639"/>
      <c r="C447" s="634">
        <v>39500</v>
      </c>
      <c r="D447" s="372" t="s">
        <v>762</v>
      </c>
      <c r="E447" s="372"/>
      <c r="F447" s="640">
        <v>1392</v>
      </c>
      <c r="G447" s="635"/>
      <c r="H447" s="634">
        <v>389</v>
      </c>
      <c r="I447" s="635"/>
      <c r="J447" s="634">
        <v>-155</v>
      </c>
      <c r="K447" s="372"/>
      <c r="L447" s="634" t="s">
        <v>628</v>
      </c>
      <c r="M447" s="372"/>
      <c r="N447" s="634" t="s">
        <v>635</v>
      </c>
      <c r="O447" s="634"/>
      <c r="P447" s="634" t="s">
        <v>635</v>
      </c>
      <c r="Q447" s="635"/>
      <c r="R447" s="640">
        <v>1626</v>
      </c>
      <c r="S447" s="372"/>
      <c r="T447" s="640">
        <v>1539</v>
      </c>
      <c r="U447" s="626"/>
      <c r="V447" s="626"/>
      <c r="W447" s="626"/>
      <c r="X447" s="641">
        <v>4</v>
      </c>
      <c r="Y447" s="641">
        <v>5</v>
      </c>
      <c r="Z447" s="641">
        <v>5</v>
      </c>
      <c r="AA447" s="631">
        <v>0</v>
      </c>
      <c r="AB447" s="631">
        <v>0</v>
      </c>
      <c r="AC447" s="631">
        <v>0</v>
      </c>
      <c r="AD447" s="641">
        <v>5</v>
      </c>
      <c r="AE447" s="641">
        <v>4</v>
      </c>
    </row>
    <row r="448" spans="1:31" hidden="1">
      <c r="A448" s="634">
        <v>37</v>
      </c>
      <c r="B448" s="639"/>
      <c r="C448" s="634">
        <v>39600</v>
      </c>
      <c r="D448" s="372" t="s">
        <v>763</v>
      </c>
      <c r="E448" s="372"/>
      <c r="F448" s="634" t="s">
        <v>628</v>
      </c>
      <c r="G448" s="635"/>
      <c r="H448" s="634" t="s">
        <v>635</v>
      </c>
      <c r="I448" s="635"/>
      <c r="J448" s="634" t="s">
        <v>635</v>
      </c>
      <c r="K448" s="372"/>
      <c r="L448" s="634" t="s">
        <v>635</v>
      </c>
      <c r="M448" s="372"/>
      <c r="N448" s="634" t="s">
        <v>635</v>
      </c>
      <c r="O448" s="634"/>
      <c r="P448" s="634" t="s">
        <v>635</v>
      </c>
      <c r="Q448" s="635"/>
      <c r="R448" s="634" t="s">
        <v>635</v>
      </c>
      <c r="S448" s="372"/>
      <c r="T448" s="634" t="s">
        <v>635</v>
      </c>
      <c r="U448" s="626"/>
      <c r="V448" s="626"/>
      <c r="W448" s="626"/>
      <c r="X448" s="631">
        <v>0</v>
      </c>
      <c r="Y448" s="631">
        <v>0</v>
      </c>
      <c r="Z448" s="631">
        <v>0</v>
      </c>
      <c r="AA448" s="631">
        <v>0</v>
      </c>
      <c r="AB448" s="631">
        <v>0</v>
      </c>
      <c r="AC448" s="631">
        <v>0</v>
      </c>
      <c r="AD448" s="631">
        <v>0</v>
      </c>
      <c r="AE448" s="631">
        <v>0</v>
      </c>
    </row>
    <row r="449" spans="1:31" hidden="1">
      <c r="A449" s="634">
        <v>38</v>
      </c>
      <c r="B449" s="639"/>
      <c r="C449" s="634">
        <v>39700</v>
      </c>
      <c r="D449" s="372" t="s">
        <v>764</v>
      </c>
      <c r="E449" s="372"/>
      <c r="F449" s="640">
        <v>20221</v>
      </c>
      <c r="G449" s="635"/>
      <c r="H449" s="640">
        <v>5945</v>
      </c>
      <c r="I449" s="635"/>
      <c r="J449" s="640">
        <v>-3430</v>
      </c>
      <c r="K449" s="372"/>
      <c r="L449" s="634" t="s">
        <v>628</v>
      </c>
      <c r="M449" s="372"/>
      <c r="N449" s="634" t="s">
        <v>635</v>
      </c>
      <c r="O449" s="634"/>
      <c r="P449" s="634" t="s">
        <v>635</v>
      </c>
      <c r="Q449" s="635"/>
      <c r="R449" s="640">
        <v>22736</v>
      </c>
      <c r="S449" s="372"/>
      <c r="T449" s="640">
        <v>21303</v>
      </c>
      <c r="U449" s="626"/>
      <c r="V449" s="626"/>
      <c r="W449" s="626"/>
      <c r="X449" s="641">
        <v>5</v>
      </c>
      <c r="Y449" s="641">
        <v>5</v>
      </c>
      <c r="Z449" s="641">
        <v>5</v>
      </c>
      <c r="AA449" s="631">
        <v>0</v>
      </c>
      <c r="AB449" s="631">
        <v>0</v>
      </c>
      <c r="AC449" s="631">
        <v>0</v>
      </c>
      <c r="AD449" s="641">
        <v>5</v>
      </c>
      <c r="AE449" s="641">
        <v>5</v>
      </c>
    </row>
    <row r="450" spans="1:31" hidden="1">
      <c r="A450" s="634">
        <v>39</v>
      </c>
      <c r="B450" s="639"/>
      <c r="C450" s="634">
        <v>39725</v>
      </c>
      <c r="D450" s="372" t="s">
        <v>765</v>
      </c>
      <c r="E450" s="372"/>
      <c r="F450" s="640">
        <v>26277</v>
      </c>
      <c r="G450" s="635"/>
      <c r="H450" s="640">
        <v>1174</v>
      </c>
      <c r="I450" s="635"/>
      <c r="J450" s="634">
        <v>-428</v>
      </c>
      <c r="K450" s="372"/>
      <c r="L450" s="634">
        <v>-157</v>
      </c>
      <c r="M450" s="372"/>
      <c r="N450" s="634">
        <v>0</v>
      </c>
      <c r="O450" s="634"/>
      <c r="P450" s="634">
        <v>5</v>
      </c>
      <c r="Q450" s="635"/>
      <c r="R450" s="640">
        <v>26871</v>
      </c>
      <c r="S450" s="372"/>
      <c r="T450" s="640">
        <v>26529</v>
      </c>
      <c r="U450" s="626"/>
      <c r="V450" s="626"/>
      <c r="W450" s="626"/>
      <c r="X450" s="641">
        <v>5</v>
      </c>
      <c r="Y450" s="641">
        <v>5</v>
      </c>
      <c r="Z450" s="641">
        <v>5</v>
      </c>
      <c r="AA450" s="641">
        <v>5</v>
      </c>
      <c r="AB450" s="641">
        <v>5</v>
      </c>
      <c r="AC450" s="641">
        <v>5</v>
      </c>
      <c r="AD450" s="641">
        <v>5</v>
      </c>
      <c r="AE450" s="641">
        <v>5</v>
      </c>
    </row>
    <row r="451" spans="1:31" hidden="1">
      <c r="A451" s="634">
        <v>40</v>
      </c>
      <c r="B451" s="639"/>
      <c r="C451" s="634">
        <v>39800</v>
      </c>
      <c r="D451" s="372" t="s">
        <v>766</v>
      </c>
      <c r="E451" s="372"/>
      <c r="F451" s="640">
        <v>1647</v>
      </c>
      <c r="G451" s="635"/>
      <c r="H451" s="634">
        <v>652</v>
      </c>
      <c r="I451" s="635"/>
      <c r="J451" s="634">
        <v>-93</v>
      </c>
      <c r="K451" s="372"/>
      <c r="L451" s="634" t="s">
        <v>628</v>
      </c>
      <c r="M451" s="372"/>
      <c r="N451" s="634" t="s">
        <v>635</v>
      </c>
      <c r="O451" s="634"/>
      <c r="P451" s="634" t="s">
        <v>635</v>
      </c>
      <c r="Q451" s="635"/>
      <c r="R451" s="640">
        <v>2206</v>
      </c>
      <c r="S451" s="372"/>
      <c r="T451" s="640">
        <v>1887</v>
      </c>
      <c r="U451" s="626"/>
      <c r="V451" s="626"/>
      <c r="W451" s="626"/>
      <c r="X451" s="641">
        <v>5</v>
      </c>
      <c r="Y451" s="641">
        <v>5</v>
      </c>
      <c r="Z451" s="641">
        <v>5</v>
      </c>
      <c r="AA451" s="631">
        <v>0</v>
      </c>
      <c r="AB451" s="631">
        <v>0</v>
      </c>
      <c r="AC451" s="631">
        <v>0</v>
      </c>
      <c r="AD451" s="641">
        <v>4</v>
      </c>
      <c r="AE451" s="641">
        <v>4</v>
      </c>
    </row>
    <row r="452" spans="1:31" ht="15" hidden="1" thickBot="1">
      <c r="A452" s="634">
        <v>41</v>
      </c>
      <c r="B452" s="639"/>
      <c r="C452" s="634"/>
      <c r="D452" s="372" t="s">
        <v>767</v>
      </c>
      <c r="E452" s="372"/>
      <c r="F452" s="648">
        <v>155718</v>
      </c>
      <c r="G452" s="372"/>
      <c r="H452" s="648">
        <v>31473</v>
      </c>
      <c r="I452" s="635"/>
      <c r="J452" s="648">
        <v>-14352</v>
      </c>
      <c r="K452" s="635"/>
      <c r="L452" s="649">
        <v>-815</v>
      </c>
      <c r="M452" s="635"/>
      <c r="N452" s="648">
        <v>1058</v>
      </c>
      <c r="O452" s="372"/>
      <c r="P452" s="649">
        <v>-109</v>
      </c>
      <c r="Q452" s="635"/>
      <c r="R452" s="648">
        <v>172973</v>
      </c>
      <c r="S452" s="635"/>
      <c r="T452" s="648">
        <v>163602</v>
      </c>
      <c r="U452" s="626"/>
      <c r="V452" s="626"/>
      <c r="W452" s="626"/>
      <c r="X452" s="641">
        <v>5</v>
      </c>
      <c r="Y452" s="641">
        <v>5</v>
      </c>
      <c r="Z452" s="641">
        <v>5</v>
      </c>
      <c r="AA452" s="641">
        <v>5</v>
      </c>
      <c r="AB452" s="641">
        <v>5</v>
      </c>
      <c r="AC452" s="641">
        <v>5</v>
      </c>
      <c r="AD452" s="641">
        <v>5</v>
      </c>
      <c r="AE452" s="641">
        <v>5</v>
      </c>
    </row>
    <row r="453" spans="1:31" ht="15" hidden="1" thickTop="1">
      <c r="A453" s="634">
        <v>42</v>
      </c>
      <c r="B453" s="639"/>
      <c r="C453" s="634"/>
      <c r="D453" s="372"/>
      <c r="E453" s="372"/>
      <c r="F453" s="372"/>
      <c r="G453" s="372"/>
      <c r="H453" s="372"/>
      <c r="I453" s="372"/>
      <c r="J453" s="372"/>
      <c r="K453" s="372"/>
      <c r="L453" s="372"/>
      <c r="M453" s="372"/>
      <c r="N453" s="372"/>
      <c r="O453" s="372"/>
      <c r="P453" s="372"/>
      <c r="Q453" s="635"/>
      <c r="R453" s="372"/>
      <c r="S453" s="372"/>
      <c r="T453" s="372"/>
      <c r="U453" s="626"/>
      <c r="V453" s="626"/>
      <c r="W453" s="626"/>
      <c r="X453" s="631">
        <v>0</v>
      </c>
      <c r="Y453" s="631">
        <v>0</v>
      </c>
      <c r="Z453" s="631">
        <v>0</v>
      </c>
      <c r="AA453" s="631">
        <v>0</v>
      </c>
      <c r="AB453" s="631">
        <v>0</v>
      </c>
      <c r="AC453" s="631">
        <v>0</v>
      </c>
      <c r="AD453" s="631">
        <v>0</v>
      </c>
      <c r="AE453" s="631">
        <v>0</v>
      </c>
    </row>
    <row r="454" spans="1:31" ht="15" hidden="1" thickBot="1">
      <c r="A454" s="634">
        <v>43</v>
      </c>
      <c r="B454" s="639"/>
      <c r="C454" s="634"/>
      <c r="D454" s="636" t="s">
        <v>819</v>
      </c>
      <c r="E454" s="372"/>
      <c r="F454" s="652">
        <v>3192245</v>
      </c>
      <c r="G454" s="635"/>
      <c r="H454" s="652">
        <v>387755</v>
      </c>
      <c r="I454" s="635"/>
      <c r="J454" s="652">
        <v>-94854</v>
      </c>
      <c r="K454" s="635"/>
      <c r="L454" s="652">
        <v>-54207</v>
      </c>
      <c r="M454" s="635"/>
      <c r="N454" s="652">
        <v>4862</v>
      </c>
      <c r="O454" s="635"/>
      <c r="P454" s="653">
        <v>419</v>
      </c>
      <c r="Q454" s="635"/>
      <c r="R454" s="652">
        <v>3436221</v>
      </c>
      <c r="S454" s="635"/>
      <c r="T454" s="652">
        <v>3314896</v>
      </c>
      <c r="U454" s="626"/>
      <c r="V454" s="626"/>
      <c r="W454" s="626"/>
      <c r="X454" s="641">
        <v>5</v>
      </c>
      <c r="Y454" s="641">
        <v>3</v>
      </c>
      <c r="Z454" s="641">
        <v>5</v>
      </c>
      <c r="AA454" s="641">
        <v>5</v>
      </c>
      <c r="AB454" s="641">
        <v>5</v>
      </c>
      <c r="AC454" s="641">
        <v>5</v>
      </c>
      <c r="AD454" s="641">
        <v>5</v>
      </c>
      <c r="AE454" s="641">
        <v>4</v>
      </c>
    </row>
    <row r="455" spans="1:31" ht="15.6" hidden="1" thickTop="1" thickBot="1">
      <c r="A455" s="637">
        <v>44</v>
      </c>
      <c r="B455" s="660" t="s">
        <v>67</v>
      </c>
      <c r="C455" s="660"/>
      <c r="D455" s="625"/>
      <c r="E455" s="625"/>
      <c r="F455" s="625"/>
      <c r="G455" s="625"/>
      <c r="H455" s="625"/>
      <c r="I455" s="625"/>
      <c r="J455" s="625"/>
      <c r="K455" s="625"/>
      <c r="L455" s="625"/>
      <c r="M455" s="625"/>
      <c r="N455" s="625"/>
      <c r="O455" s="625"/>
      <c r="P455" s="625"/>
      <c r="Q455" s="638"/>
      <c r="R455" s="625"/>
      <c r="S455" s="625"/>
      <c r="T455" s="625"/>
      <c r="U455" s="626"/>
      <c r="V455" s="626"/>
      <c r="W455" s="626"/>
      <c r="X455" s="631">
        <v>0</v>
      </c>
      <c r="Y455" s="631">
        <v>0</v>
      </c>
      <c r="Z455" s="631">
        <v>0</v>
      </c>
      <c r="AA455" s="631">
        <v>0</v>
      </c>
      <c r="AB455" s="631">
        <v>0</v>
      </c>
      <c r="AC455" s="631">
        <v>0</v>
      </c>
      <c r="AD455" s="631">
        <v>0</v>
      </c>
      <c r="AE455" s="631">
        <v>0</v>
      </c>
    </row>
    <row r="456" spans="1:31" hidden="1">
      <c r="A456" s="664" t="s">
        <v>818</v>
      </c>
      <c r="B456" s="664"/>
      <c r="C456" s="372"/>
      <c r="D456" s="372"/>
      <c r="E456" s="664"/>
      <c r="F456" s="664"/>
      <c r="G456" s="664"/>
      <c r="H456" s="664"/>
      <c r="I456" s="664"/>
      <c r="J456" s="664"/>
      <c r="K456" s="664"/>
      <c r="L456" s="664"/>
      <c r="M456" s="664"/>
      <c r="N456" s="664"/>
      <c r="O456" s="664"/>
      <c r="P456" s="664"/>
      <c r="Q456" s="635"/>
      <c r="R456" s="372" t="s">
        <v>644</v>
      </c>
      <c r="S456" s="664"/>
      <c r="T456" s="664"/>
      <c r="U456" s="626"/>
      <c r="V456" s="626"/>
      <c r="W456" s="626"/>
      <c r="X456" s="631">
        <v>0</v>
      </c>
      <c r="Y456" s="631">
        <v>0</v>
      </c>
      <c r="Z456" s="631">
        <v>0</v>
      </c>
      <c r="AA456" s="631">
        <v>0</v>
      </c>
      <c r="AB456" s="631">
        <v>0</v>
      </c>
      <c r="AC456" s="631">
        <v>0</v>
      </c>
      <c r="AD456" s="631">
        <v>2</v>
      </c>
      <c r="AE456" s="631">
        <v>0</v>
      </c>
    </row>
    <row r="457" spans="1:31" ht="15" hidden="1" thickBot="1">
      <c r="A457" s="625" t="s">
        <v>808</v>
      </c>
      <c r="B457" s="625"/>
      <c r="C457" s="625"/>
      <c r="D457" s="625"/>
      <c r="E457" s="625"/>
      <c r="F457" s="625" t="s">
        <v>809</v>
      </c>
      <c r="G457" s="625"/>
      <c r="H457" s="625"/>
      <c r="I457" s="625"/>
      <c r="J457" s="625"/>
      <c r="K457" s="625"/>
      <c r="L457" s="625"/>
      <c r="M457" s="625"/>
      <c r="N457" s="625"/>
      <c r="O457" s="625"/>
      <c r="P457" s="625"/>
      <c r="Q457" s="638"/>
      <c r="R457" s="625"/>
      <c r="S457" s="625"/>
      <c r="T457" s="625" t="s">
        <v>769</v>
      </c>
      <c r="U457" s="626"/>
      <c r="V457" s="626"/>
      <c r="W457" s="626"/>
      <c r="X457" s="631">
        <v>2</v>
      </c>
      <c r="Y457" s="631">
        <v>0</v>
      </c>
      <c r="Z457" s="631">
        <v>0</v>
      </c>
      <c r="AA457" s="631">
        <v>0</v>
      </c>
      <c r="AB457" s="631">
        <v>0</v>
      </c>
      <c r="AC457" s="631">
        <v>0</v>
      </c>
      <c r="AD457" s="631">
        <v>0</v>
      </c>
      <c r="AE457" s="631">
        <v>2</v>
      </c>
    </row>
    <row r="458" spans="1:31" hidden="1">
      <c r="A458" s="664" t="s">
        <v>4</v>
      </c>
      <c r="B458" s="664"/>
      <c r="C458" s="372"/>
      <c r="D458" s="372"/>
      <c r="E458" s="635" t="s">
        <v>553</v>
      </c>
      <c r="F458" s="372" t="s">
        <v>810</v>
      </c>
      <c r="G458" s="664"/>
      <c r="H458" s="664"/>
      <c r="I458" s="664"/>
      <c r="J458" s="664"/>
      <c r="K458" s="661"/>
      <c r="L458" s="661"/>
      <c r="M458" s="661"/>
      <c r="N458" s="661"/>
      <c r="O458" s="661"/>
      <c r="P458" s="661"/>
      <c r="Q458" s="645"/>
      <c r="R458" s="372" t="s">
        <v>608</v>
      </c>
      <c r="S458" s="664"/>
      <c r="T458" s="664"/>
      <c r="U458" s="626"/>
      <c r="V458" s="626"/>
      <c r="W458" s="626"/>
      <c r="X458" s="631">
        <v>2</v>
      </c>
      <c r="Y458" s="631">
        <v>0</v>
      </c>
      <c r="Z458" s="631">
        <v>0</v>
      </c>
      <c r="AA458" s="631">
        <v>0</v>
      </c>
      <c r="AB458" s="631">
        <v>0</v>
      </c>
      <c r="AC458" s="631">
        <v>0</v>
      </c>
      <c r="AD458" s="631">
        <v>2</v>
      </c>
      <c r="AE458" s="631">
        <v>0</v>
      </c>
    </row>
    <row r="459" spans="1:31" hidden="1">
      <c r="A459" s="372"/>
      <c r="B459" s="372"/>
      <c r="C459" s="372"/>
      <c r="D459" s="372"/>
      <c r="E459" s="372"/>
      <c r="F459" s="372" t="s">
        <v>811</v>
      </c>
      <c r="G459" s="372"/>
      <c r="H459" s="372"/>
      <c r="I459" s="372"/>
      <c r="J459" s="372"/>
      <c r="K459" s="636"/>
      <c r="L459" s="636"/>
      <c r="M459" s="372"/>
      <c r="N459" s="372"/>
      <c r="O459" s="635"/>
      <c r="P459" s="635"/>
      <c r="Q459" s="635"/>
      <c r="R459" s="636" t="s">
        <v>9</v>
      </c>
      <c r="S459" s="372"/>
      <c r="T459" s="372"/>
      <c r="U459" s="626"/>
      <c r="V459" s="626"/>
      <c r="W459" s="626"/>
      <c r="X459" s="631">
        <v>2</v>
      </c>
      <c r="Y459" s="631">
        <v>0</v>
      </c>
      <c r="Z459" s="631">
        <v>0</v>
      </c>
      <c r="AA459" s="631">
        <v>0</v>
      </c>
      <c r="AB459" s="631">
        <v>0</v>
      </c>
      <c r="AC459" s="631">
        <v>0</v>
      </c>
      <c r="AD459" s="631">
        <v>2</v>
      </c>
      <c r="AE459" s="631">
        <v>0</v>
      </c>
    </row>
    <row r="460" spans="1:31" hidden="1">
      <c r="A460" s="372" t="s">
        <v>10</v>
      </c>
      <c r="B460" s="372"/>
      <c r="C460" s="372"/>
      <c r="D460" s="372"/>
      <c r="E460" s="372"/>
      <c r="F460" s="372"/>
      <c r="G460" s="372"/>
      <c r="H460" s="372"/>
      <c r="I460" s="372"/>
      <c r="J460" s="372"/>
      <c r="K460" s="636"/>
      <c r="L460" s="636"/>
      <c r="M460" s="372"/>
      <c r="N460" s="372"/>
      <c r="O460" s="372"/>
      <c r="P460" s="372"/>
      <c r="Q460" s="635"/>
      <c r="R460" s="636" t="s">
        <v>11</v>
      </c>
      <c r="S460" s="372"/>
      <c r="T460" s="372"/>
      <c r="U460" s="626"/>
      <c r="V460" s="626"/>
      <c r="W460" s="626"/>
      <c r="X460" s="631">
        <v>2</v>
      </c>
      <c r="Y460" s="631">
        <v>0</v>
      </c>
      <c r="Z460" s="631">
        <v>0</v>
      </c>
      <c r="AA460" s="631">
        <v>0</v>
      </c>
      <c r="AB460" s="631">
        <v>0</v>
      </c>
      <c r="AC460" s="631">
        <v>0</v>
      </c>
      <c r="AD460" s="631">
        <v>2</v>
      </c>
      <c r="AE460" s="631">
        <v>0</v>
      </c>
    </row>
    <row r="461" spans="1:31" hidden="1">
      <c r="A461" s="372"/>
      <c r="B461" s="372"/>
      <c r="C461" s="372"/>
      <c r="D461" s="372"/>
      <c r="E461" s="372"/>
      <c r="F461" s="372"/>
      <c r="G461" s="372"/>
      <c r="H461" s="372"/>
      <c r="I461" s="372"/>
      <c r="J461" s="372"/>
      <c r="K461" s="636"/>
      <c r="L461" s="636"/>
      <c r="M461" s="372"/>
      <c r="N461" s="372"/>
      <c r="O461" s="372"/>
      <c r="P461" s="372"/>
      <c r="Q461" s="635" t="s">
        <v>12</v>
      </c>
      <c r="R461" s="636" t="s">
        <v>13</v>
      </c>
      <c r="S461" s="372"/>
      <c r="T461" s="372"/>
      <c r="U461" s="626"/>
      <c r="V461" s="626"/>
      <c r="W461" s="626"/>
      <c r="X461" s="631">
        <v>2</v>
      </c>
      <c r="Y461" s="631">
        <v>0</v>
      </c>
      <c r="Z461" s="631">
        <v>0</v>
      </c>
      <c r="AA461" s="631">
        <v>0</v>
      </c>
      <c r="AB461" s="631">
        <v>0</v>
      </c>
      <c r="AC461" s="631">
        <v>0</v>
      </c>
      <c r="AD461" s="631">
        <v>2</v>
      </c>
      <c r="AE461" s="631">
        <v>0</v>
      </c>
    </row>
    <row r="462" spans="1:31" hidden="1">
      <c r="A462" s="372"/>
      <c r="B462" s="372"/>
      <c r="C462" s="372"/>
      <c r="D462" s="372"/>
      <c r="E462" s="372"/>
      <c r="F462" s="372"/>
      <c r="G462" s="372"/>
      <c r="H462" s="372"/>
      <c r="I462" s="372"/>
      <c r="J462" s="372"/>
      <c r="K462" s="636"/>
      <c r="L462" s="636"/>
      <c r="M462" s="372"/>
      <c r="N462" s="372"/>
      <c r="O462" s="372"/>
      <c r="P462" s="372"/>
      <c r="Q462" s="635"/>
      <c r="R462" s="636" t="s">
        <v>610</v>
      </c>
      <c r="S462" s="372"/>
      <c r="T462" s="372"/>
      <c r="U462" s="626"/>
      <c r="V462" s="626"/>
      <c r="W462" s="626"/>
      <c r="X462" s="631">
        <v>0</v>
      </c>
      <c r="Y462" s="631">
        <v>0</v>
      </c>
      <c r="Z462" s="631">
        <v>0</v>
      </c>
      <c r="AA462" s="631">
        <v>0</v>
      </c>
      <c r="AB462" s="631">
        <v>0</v>
      </c>
      <c r="AC462" s="631">
        <v>0</v>
      </c>
      <c r="AD462" s="631">
        <v>2</v>
      </c>
      <c r="AE462" s="631">
        <v>0</v>
      </c>
    </row>
    <row r="463" spans="1:31" ht="15" hidden="1" thickBot="1">
      <c r="A463" s="625" t="s">
        <v>611</v>
      </c>
      <c r="B463" s="625"/>
      <c r="C463" s="625"/>
      <c r="D463" s="625"/>
      <c r="E463" s="625"/>
      <c r="F463" s="625"/>
      <c r="G463" s="625"/>
      <c r="H463" s="637" t="s">
        <v>812</v>
      </c>
      <c r="I463" s="625"/>
      <c r="J463" s="625"/>
      <c r="K463" s="625"/>
      <c r="L463" s="625"/>
      <c r="M463" s="625"/>
      <c r="N463" s="625"/>
      <c r="O463" s="625"/>
      <c r="P463" s="625"/>
      <c r="Q463" s="638"/>
      <c r="R463" s="625" t="s">
        <v>249</v>
      </c>
      <c r="S463" s="625"/>
      <c r="T463" s="625"/>
      <c r="U463" s="626"/>
      <c r="V463" s="626"/>
      <c r="W463" s="626"/>
      <c r="X463" s="631">
        <v>2</v>
      </c>
      <c r="Y463" s="631">
        <v>2</v>
      </c>
      <c r="Z463" s="631">
        <v>0</v>
      </c>
      <c r="AA463" s="631">
        <v>0</v>
      </c>
      <c r="AB463" s="631">
        <v>0</v>
      </c>
      <c r="AC463" s="631">
        <v>0</v>
      </c>
      <c r="AD463" s="631">
        <v>2</v>
      </c>
      <c r="AE463" s="631">
        <v>0</v>
      </c>
    </row>
    <row r="464" spans="1:31" hidden="1">
      <c r="A464" s="664"/>
      <c r="B464" s="664"/>
      <c r="C464" s="634"/>
      <c r="D464" s="634"/>
      <c r="E464" s="634"/>
      <c r="F464" s="634"/>
      <c r="G464" s="634"/>
      <c r="H464" s="634"/>
      <c r="I464" s="634"/>
      <c r="J464" s="634"/>
      <c r="K464" s="634"/>
      <c r="L464" s="634"/>
      <c r="M464" s="634"/>
      <c r="N464" s="634"/>
      <c r="O464" s="634"/>
      <c r="P464" s="634"/>
      <c r="Q464" s="635"/>
      <c r="R464" s="634"/>
      <c r="S464" s="634"/>
      <c r="T464" s="634"/>
      <c r="U464" s="626"/>
      <c r="V464" s="626"/>
      <c r="W464" s="626"/>
      <c r="X464" s="631">
        <v>0</v>
      </c>
      <c r="Y464" s="631">
        <v>0</v>
      </c>
      <c r="Z464" s="631">
        <v>0</v>
      </c>
      <c r="AA464" s="631">
        <v>0</v>
      </c>
      <c r="AB464" s="631">
        <v>0</v>
      </c>
      <c r="AC464" s="631">
        <v>0</v>
      </c>
      <c r="AD464" s="631">
        <v>0</v>
      </c>
      <c r="AE464" s="631">
        <v>0</v>
      </c>
    </row>
    <row r="465" spans="1:31" hidden="1">
      <c r="A465" s="372"/>
      <c r="B465" s="372"/>
      <c r="C465" s="634">
        <v>-1</v>
      </c>
      <c r="D465" s="634">
        <v>-2</v>
      </c>
      <c r="E465" s="634"/>
      <c r="F465" s="634">
        <v>-3</v>
      </c>
      <c r="G465" s="634"/>
      <c r="H465" s="634">
        <v>-4</v>
      </c>
      <c r="I465" s="634"/>
      <c r="J465" s="634">
        <v>-5</v>
      </c>
      <c r="K465" s="634"/>
      <c r="L465" s="634">
        <v>-6</v>
      </c>
      <c r="M465" s="634"/>
      <c r="N465" s="634">
        <v>-7</v>
      </c>
      <c r="O465" s="634"/>
      <c r="P465" s="634">
        <v>-8</v>
      </c>
      <c r="Q465" s="635"/>
      <c r="R465" s="634">
        <v>-9</v>
      </c>
      <c r="S465" s="634"/>
      <c r="T465" s="634">
        <v>-10</v>
      </c>
      <c r="U465" s="626"/>
      <c r="V465" s="626"/>
      <c r="W465" s="626"/>
      <c r="X465" s="631">
        <v>2</v>
      </c>
      <c r="Y465" s="631">
        <v>2</v>
      </c>
      <c r="Z465" s="631">
        <v>2</v>
      </c>
      <c r="AA465" s="631">
        <v>2</v>
      </c>
      <c r="AB465" s="631">
        <v>2</v>
      </c>
      <c r="AC465" s="631">
        <v>2</v>
      </c>
      <c r="AD465" s="631">
        <v>2</v>
      </c>
      <c r="AE465" s="631">
        <v>2</v>
      </c>
    </row>
    <row r="466" spans="1:31" hidden="1">
      <c r="A466" s="372"/>
      <c r="B466" s="372"/>
      <c r="C466" s="634" t="s">
        <v>613</v>
      </c>
      <c r="D466" s="634" t="s">
        <v>613</v>
      </c>
      <c r="E466" s="372"/>
      <c r="F466" s="634" t="s">
        <v>27</v>
      </c>
      <c r="G466" s="634"/>
      <c r="H466" s="634" t="s">
        <v>45</v>
      </c>
      <c r="I466" s="634"/>
      <c r="J466" s="634"/>
      <c r="K466" s="634"/>
      <c r="L466" s="634"/>
      <c r="M466" s="634"/>
      <c r="N466" s="372"/>
      <c r="O466" s="372"/>
      <c r="P466" s="372"/>
      <c r="Q466" s="635"/>
      <c r="R466" s="634" t="s">
        <v>27</v>
      </c>
      <c r="S466" s="372"/>
      <c r="T466" s="372"/>
      <c r="U466" s="626"/>
      <c r="V466" s="626"/>
      <c r="W466" s="626"/>
      <c r="X466" s="631">
        <v>2</v>
      </c>
      <c r="Y466" s="631">
        <v>2</v>
      </c>
      <c r="Z466" s="631">
        <v>0</v>
      </c>
      <c r="AA466" s="631">
        <v>0</v>
      </c>
      <c r="AB466" s="631">
        <v>0</v>
      </c>
      <c r="AC466" s="631">
        <v>0</v>
      </c>
      <c r="AD466" s="631">
        <v>2</v>
      </c>
      <c r="AE466" s="631">
        <v>0</v>
      </c>
    </row>
    <row r="467" spans="1:31" hidden="1">
      <c r="A467" s="634" t="s">
        <v>35</v>
      </c>
      <c r="B467" s="634"/>
      <c r="C467" s="634" t="s">
        <v>614</v>
      </c>
      <c r="D467" s="634" t="s">
        <v>614</v>
      </c>
      <c r="E467" s="634"/>
      <c r="F467" s="634" t="s">
        <v>37</v>
      </c>
      <c r="G467" s="634"/>
      <c r="H467" s="634" t="s">
        <v>37</v>
      </c>
      <c r="I467" s="634"/>
      <c r="J467" s="634"/>
      <c r="K467" s="634"/>
      <c r="L467" s="634" t="s">
        <v>813</v>
      </c>
      <c r="M467" s="636"/>
      <c r="N467" s="634" t="s">
        <v>813</v>
      </c>
      <c r="O467" s="634"/>
      <c r="P467" s="634" t="s">
        <v>178</v>
      </c>
      <c r="Q467" s="635"/>
      <c r="R467" s="634" t="s">
        <v>37</v>
      </c>
      <c r="S467" s="634"/>
      <c r="T467" s="634" t="s">
        <v>353</v>
      </c>
      <c r="U467" s="626"/>
      <c r="V467" s="626"/>
      <c r="W467" s="626"/>
      <c r="X467" s="631">
        <v>2</v>
      </c>
      <c r="Y467" s="631">
        <v>2</v>
      </c>
      <c r="Z467" s="631">
        <v>0</v>
      </c>
      <c r="AA467" s="631">
        <v>2</v>
      </c>
      <c r="AB467" s="631">
        <v>2</v>
      </c>
      <c r="AC467" s="631">
        <v>2</v>
      </c>
      <c r="AD467" s="631">
        <v>2</v>
      </c>
      <c r="AE467" s="631">
        <v>2</v>
      </c>
    </row>
    <row r="468" spans="1:31" ht="15" hidden="1" thickBot="1">
      <c r="A468" s="637" t="s">
        <v>46</v>
      </c>
      <c r="B468" s="637"/>
      <c r="C468" s="637" t="s">
        <v>371</v>
      </c>
      <c r="D468" s="637" t="s">
        <v>617</v>
      </c>
      <c r="E468" s="637"/>
      <c r="F468" s="637" t="s">
        <v>619</v>
      </c>
      <c r="G468" s="637"/>
      <c r="H468" s="637" t="s">
        <v>814</v>
      </c>
      <c r="I468" s="637"/>
      <c r="J468" s="637" t="s">
        <v>815</v>
      </c>
      <c r="K468" s="637"/>
      <c r="L468" s="637" t="s">
        <v>816</v>
      </c>
      <c r="M468" s="637"/>
      <c r="N468" s="637" t="s">
        <v>817</v>
      </c>
      <c r="O468" s="637"/>
      <c r="P468" s="637" t="s">
        <v>622</v>
      </c>
      <c r="Q468" s="638"/>
      <c r="R468" s="637" t="s">
        <v>623</v>
      </c>
      <c r="S468" s="637"/>
      <c r="T468" s="637" t="s">
        <v>369</v>
      </c>
      <c r="U468" s="626"/>
      <c r="V468" s="626"/>
      <c r="W468" s="626"/>
      <c r="X468" s="631">
        <v>2</v>
      </c>
      <c r="Y468" s="631">
        <v>2</v>
      </c>
      <c r="Z468" s="631">
        <v>2</v>
      </c>
      <c r="AA468" s="631">
        <v>2</v>
      </c>
      <c r="AB468" s="631">
        <v>2</v>
      </c>
      <c r="AC468" s="631">
        <v>2</v>
      </c>
      <c r="AD468" s="631">
        <v>2</v>
      </c>
      <c r="AE468" s="631">
        <v>2</v>
      </c>
    </row>
    <row r="469" spans="1:31" hidden="1">
      <c r="A469" s="634">
        <v>1</v>
      </c>
      <c r="B469" s="639"/>
      <c r="C469" s="372"/>
      <c r="D469" s="372"/>
      <c r="E469" s="664"/>
      <c r="F469" s="664"/>
      <c r="G469" s="664"/>
      <c r="H469" s="664"/>
      <c r="I469" s="664"/>
      <c r="J469" s="664"/>
      <c r="K469" s="664"/>
      <c r="L469" s="664"/>
      <c r="M469" s="664"/>
      <c r="N469" s="664"/>
      <c r="O469" s="664"/>
      <c r="P469" s="664"/>
      <c r="Q469" s="635"/>
      <c r="R469" s="372"/>
      <c r="S469" s="664"/>
      <c r="T469" s="664"/>
      <c r="U469" s="626"/>
      <c r="V469" s="626"/>
      <c r="W469" s="626"/>
      <c r="X469" s="631">
        <v>0</v>
      </c>
      <c r="Y469" s="631">
        <v>0</v>
      </c>
      <c r="Z469" s="631">
        <v>0</v>
      </c>
      <c r="AA469" s="631">
        <v>0</v>
      </c>
      <c r="AB469" s="631">
        <v>0</v>
      </c>
      <c r="AC469" s="631">
        <v>0</v>
      </c>
      <c r="AD469" s="631">
        <v>0</v>
      </c>
      <c r="AE469" s="631">
        <v>0</v>
      </c>
    </row>
    <row r="470" spans="1:31" hidden="1">
      <c r="A470" s="634">
        <v>2</v>
      </c>
      <c r="B470" s="639"/>
      <c r="C470" s="634"/>
      <c r="D470" s="372" t="s">
        <v>770</v>
      </c>
      <c r="E470" s="372"/>
      <c r="F470" s="372"/>
      <c r="G470" s="372"/>
      <c r="H470" s="372"/>
      <c r="I470" s="634"/>
      <c r="J470" s="634"/>
      <c r="K470" s="634"/>
      <c r="L470" s="634"/>
      <c r="M470" s="634"/>
      <c r="N470" s="634"/>
      <c r="O470" s="634"/>
      <c r="P470" s="634"/>
      <c r="Q470" s="635"/>
      <c r="R470" s="634"/>
      <c r="S470" s="634"/>
      <c r="T470" s="634"/>
      <c r="U470" s="626"/>
      <c r="V470" s="626"/>
      <c r="W470" s="626"/>
      <c r="X470" s="631">
        <v>0</v>
      </c>
      <c r="Y470" s="631">
        <v>0</v>
      </c>
      <c r="Z470" s="631">
        <v>0</v>
      </c>
      <c r="AA470" s="631">
        <v>0</v>
      </c>
      <c r="AB470" s="631">
        <v>0</v>
      </c>
      <c r="AC470" s="631">
        <v>0</v>
      </c>
      <c r="AD470" s="631">
        <v>0</v>
      </c>
      <c r="AE470" s="631">
        <v>0</v>
      </c>
    </row>
    <row r="471" spans="1:31" hidden="1">
      <c r="A471" s="634">
        <v>3</v>
      </c>
      <c r="B471" s="639"/>
      <c r="C471" s="634" t="s">
        <v>771</v>
      </c>
      <c r="D471" s="636" t="s">
        <v>772</v>
      </c>
      <c r="E471" s="372"/>
      <c r="F471" s="654" t="s">
        <v>628</v>
      </c>
      <c r="G471" s="635"/>
      <c r="H471" s="654" t="s">
        <v>635</v>
      </c>
      <c r="I471" s="635"/>
      <c r="J471" s="654" t="s">
        <v>635</v>
      </c>
      <c r="K471" s="372"/>
      <c r="L471" s="654" t="s">
        <v>635</v>
      </c>
      <c r="M471" s="372"/>
      <c r="N471" s="654" t="s">
        <v>635</v>
      </c>
      <c r="O471" s="634"/>
      <c r="P471" s="654" t="s">
        <v>635</v>
      </c>
      <c r="Q471" s="635"/>
      <c r="R471" s="634" t="s">
        <v>635</v>
      </c>
      <c r="S471" s="372"/>
      <c r="T471" s="654" t="s">
        <v>635</v>
      </c>
      <c r="U471" s="626"/>
      <c r="V471" s="626"/>
      <c r="W471" s="626"/>
      <c r="X471" s="631">
        <v>0</v>
      </c>
      <c r="Y471" s="631">
        <v>0</v>
      </c>
      <c r="Z471" s="631">
        <v>0</v>
      </c>
      <c r="AA471" s="631">
        <v>0</v>
      </c>
      <c r="AB471" s="631">
        <v>0</v>
      </c>
      <c r="AC471" s="631">
        <v>0</v>
      </c>
      <c r="AD471" s="631">
        <v>0</v>
      </c>
      <c r="AE471" s="631">
        <v>0</v>
      </c>
    </row>
    <row r="472" spans="1:31" hidden="1">
      <c r="A472" s="634">
        <v>4</v>
      </c>
      <c r="B472" s="639"/>
      <c r="C472" s="634" t="s">
        <v>773</v>
      </c>
      <c r="D472" s="372" t="s">
        <v>774</v>
      </c>
      <c r="E472" s="372"/>
      <c r="F472" s="654" t="s">
        <v>635</v>
      </c>
      <c r="G472" s="635"/>
      <c r="H472" s="654" t="s">
        <v>635</v>
      </c>
      <c r="I472" s="635"/>
      <c r="J472" s="654" t="s">
        <v>635</v>
      </c>
      <c r="K472" s="372"/>
      <c r="L472" s="654" t="s">
        <v>635</v>
      </c>
      <c r="M472" s="372"/>
      <c r="N472" s="654" t="s">
        <v>635</v>
      </c>
      <c r="O472" s="634"/>
      <c r="P472" s="654" t="s">
        <v>635</v>
      </c>
      <c r="Q472" s="635"/>
      <c r="R472" s="634" t="s">
        <v>635</v>
      </c>
      <c r="S472" s="372"/>
      <c r="T472" s="654" t="s">
        <v>635</v>
      </c>
      <c r="U472" s="626"/>
      <c r="V472" s="626"/>
      <c r="W472" s="626"/>
      <c r="X472" s="631">
        <v>0</v>
      </c>
      <c r="Y472" s="631">
        <v>0</v>
      </c>
      <c r="Z472" s="631">
        <v>0</v>
      </c>
      <c r="AA472" s="631">
        <v>0</v>
      </c>
      <c r="AB472" s="631">
        <v>0</v>
      </c>
      <c r="AC472" s="631">
        <v>0</v>
      </c>
      <c r="AD472" s="631">
        <v>0</v>
      </c>
      <c r="AE472" s="631">
        <v>0</v>
      </c>
    </row>
    <row r="473" spans="1:31" hidden="1">
      <c r="A473" s="634">
        <v>5</v>
      </c>
      <c r="B473" s="639"/>
      <c r="C473" s="634">
        <v>35000</v>
      </c>
      <c r="D473" s="372" t="s">
        <v>775</v>
      </c>
      <c r="E473" s="372"/>
      <c r="F473" s="634" t="s">
        <v>628</v>
      </c>
      <c r="G473" s="635"/>
      <c r="H473" s="634" t="s">
        <v>635</v>
      </c>
      <c r="I473" s="635"/>
      <c r="J473" s="634" t="s">
        <v>635</v>
      </c>
      <c r="K473" s="372"/>
      <c r="L473" s="634" t="s">
        <v>635</v>
      </c>
      <c r="M473" s="372"/>
      <c r="N473" s="634" t="s">
        <v>635</v>
      </c>
      <c r="O473" s="634"/>
      <c r="P473" s="634" t="s">
        <v>635</v>
      </c>
      <c r="Q473" s="635"/>
      <c r="R473" s="634" t="s">
        <v>635</v>
      </c>
      <c r="S473" s="372"/>
      <c r="T473" s="634" t="s">
        <v>635</v>
      </c>
      <c r="U473" s="626"/>
      <c r="V473" s="626"/>
      <c r="W473" s="626"/>
      <c r="X473" s="631">
        <v>0</v>
      </c>
      <c r="Y473" s="631">
        <v>0</v>
      </c>
      <c r="Z473" s="631">
        <v>0</v>
      </c>
      <c r="AA473" s="631">
        <v>0</v>
      </c>
      <c r="AB473" s="631">
        <v>0</v>
      </c>
      <c r="AC473" s="631">
        <v>0</v>
      </c>
      <c r="AD473" s="631">
        <v>0</v>
      </c>
      <c r="AE473" s="631">
        <v>0</v>
      </c>
    </row>
    <row r="474" spans="1:31" hidden="1">
      <c r="A474" s="634">
        <v>6</v>
      </c>
      <c r="B474" s="639"/>
      <c r="C474" s="634">
        <v>36000</v>
      </c>
      <c r="D474" s="372" t="s">
        <v>776</v>
      </c>
      <c r="E474" s="372"/>
      <c r="F474" s="634" t="s">
        <v>628</v>
      </c>
      <c r="G474" s="635"/>
      <c r="H474" s="634" t="s">
        <v>635</v>
      </c>
      <c r="I474" s="635"/>
      <c r="J474" s="634" t="s">
        <v>635</v>
      </c>
      <c r="K474" s="372"/>
      <c r="L474" s="634" t="s">
        <v>635</v>
      </c>
      <c r="M474" s="372"/>
      <c r="N474" s="634" t="s">
        <v>635</v>
      </c>
      <c r="O474" s="634"/>
      <c r="P474" s="634" t="s">
        <v>635</v>
      </c>
      <c r="Q474" s="635"/>
      <c r="R474" s="634" t="s">
        <v>635</v>
      </c>
      <c r="S474" s="372"/>
      <c r="T474" s="634" t="s">
        <v>635</v>
      </c>
      <c r="U474" s="626"/>
      <c r="V474" s="626"/>
      <c r="W474" s="626"/>
      <c r="X474" s="631">
        <v>0</v>
      </c>
      <c r="Y474" s="631">
        <v>0</v>
      </c>
      <c r="Z474" s="631">
        <v>0</v>
      </c>
      <c r="AA474" s="631">
        <v>0</v>
      </c>
      <c r="AB474" s="631">
        <v>0</v>
      </c>
      <c r="AC474" s="631">
        <v>0</v>
      </c>
      <c r="AD474" s="631">
        <v>0</v>
      </c>
      <c r="AE474" s="631">
        <v>0</v>
      </c>
    </row>
    <row r="475" spans="1:31" hidden="1">
      <c r="A475" s="634">
        <v>7</v>
      </c>
      <c r="B475" s="639"/>
      <c r="C475" s="634">
        <v>38900</v>
      </c>
      <c r="D475" s="372" t="s">
        <v>777</v>
      </c>
      <c r="E475" s="372"/>
      <c r="F475" s="634" t="s">
        <v>628</v>
      </c>
      <c r="G475" s="635"/>
      <c r="H475" s="634" t="s">
        <v>635</v>
      </c>
      <c r="I475" s="635"/>
      <c r="J475" s="634" t="s">
        <v>635</v>
      </c>
      <c r="K475" s="372"/>
      <c r="L475" s="634" t="s">
        <v>635</v>
      </c>
      <c r="M475" s="372"/>
      <c r="N475" s="634" t="s">
        <v>635</v>
      </c>
      <c r="O475" s="634"/>
      <c r="P475" s="634" t="s">
        <v>635</v>
      </c>
      <c r="Q475" s="635"/>
      <c r="R475" s="634" t="s">
        <v>635</v>
      </c>
      <c r="S475" s="372"/>
      <c r="T475" s="634" t="s">
        <v>635</v>
      </c>
      <c r="U475" s="626"/>
      <c r="V475" s="626"/>
      <c r="W475" s="626"/>
      <c r="X475" s="631">
        <v>0</v>
      </c>
      <c r="Y475" s="631">
        <v>0</v>
      </c>
      <c r="Z475" s="631">
        <v>0</v>
      </c>
      <c r="AA475" s="631">
        <v>0</v>
      </c>
      <c r="AB475" s="631">
        <v>0</v>
      </c>
      <c r="AC475" s="631">
        <v>0</v>
      </c>
      <c r="AD475" s="631">
        <v>0</v>
      </c>
      <c r="AE475" s="631">
        <v>0</v>
      </c>
    </row>
    <row r="476" spans="1:31" ht="15" hidden="1" thickBot="1">
      <c r="A476" s="634">
        <v>8</v>
      </c>
      <c r="B476" s="639"/>
      <c r="C476" s="634"/>
      <c r="D476" s="372" t="s">
        <v>820</v>
      </c>
      <c r="E476" s="372"/>
      <c r="F476" s="657" t="s">
        <v>628</v>
      </c>
      <c r="G476" s="372"/>
      <c r="H476" s="657" t="s">
        <v>635</v>
      </c>
      <c r="I476" s="635"/>
      <c r="J476" s="657" t="s">
        <v>635</v>
      </c>
      <c r="K476" s="635"/>
      <c r="L476" s="657" t="s">
        <v>635</v>
      </c>
      <c r="M476" s="635"/>
      <c r="N476" s="657" t="s">
        <v>635</v>
      </c>
      <c r="O476" s="635"/>
      <c r="P476" s="657" t="s">
        <v>635</v>
      </c>
      <c r="Q476" s="635"/>
      <c r="R476" s="657" t="s">
        <v>635</v>
      </c>
      <c r="S476" s="635"/>
      <c r="T476" s="657" t="s">
        <v>635</v>
      </c>
      <c r="U476" s="626"/>
      <c r="V476" s="626"/>
      <c r="W476" s="626"/>
      <c r="X476" s="631">
        <v>0</v>
      </c>
      <c r="Y476" s="631">
        <v>0</v>
      </c>
      <c r="Z476" s="631">
        <v>0</v>
      </c>
      <c r="AA476" s="631">
        <v>0</v>
      </c>
      <c r="AB476" s="631">
        <v>0</v>
      </c>
      <c r="AC476" s="631">
        <v>0</v>
      </c>
      <c r="AD476" s="631">
        <v>0</v>
      </c>
      <c r="AE476" s="631">
        <v>0</v>
      </c>
    </row>
    <row r="477" spans="1:31" ht="15" hidden="1" thickTop="1">
      <c r="A477" s="634">
        <v>9</v>
      </c>
      <c r="B477" s="639"/>
      <c r="C477" s="372"/>
      <c r="D477" s="372"/>
      <c r="E477" s="372"/>
      <c r="F477" s="372"/>
      <c r="G477" s="372"/>
      <c r="H477" s="372"/>
      <c r="I477" s="372"/>
      <c r="J477" s="372"/>
      <c r="K477" s="372"/>
      <c r="L477" s="372"/>
      <c r="M477" s="372"/>
      <c r="N477" s="372"/>
      <c r="O477" s="372"/>
      <c r="P477" s="372"/>
      <c r="Q477" s="635"/>
      <c r="R477" s="372"/>
      <c r="S477" s="372"/>
      <c r="T477" s="372"/>
      <c r="U477" s="626"/>
      <c r="V477" s="626"/>
      <c r="W477" s="626"/>
      <c r="X477" s="631">
        <v>0</v>
      </c>
      <c r="Y477" s="631">
        <v>0</v>
      </c>
      <c r="Z477" s="631">
        <v>0</v>
      </c>
      <c r="AA477" s="631">
        <v>0</v>
      </c>
      <c r="AB477" s="631">
        <v>0</v>
      </c>
      <c r="AC477" s="631">
        <v>0</v>
      </c>
      <c r="AD477" s="631">
        <v>0</v>
      </c>
      <c r="AE477" s="631">
        <v>0</v>
      </c>
    </row>
    <row r="478" spans="1:31" hidden="1">
      <c r="A478" s="634">
        <v>10</v>
      </c>
      <c r="B478" s="639"/>
      <c r="C478" s="634"/>
      <c r="D478" s="372" t="s">
        <v>779</v>
      </c>
      <c r="E478" s="372"/>
      <c r="F478" s="372"/>
      <c r="G478" s="372"/>
      <c r="H478" s="372"/>
      <c r="I478" s="635"/>
      <c r="J478" s="635"/>
      <c r="K478" s="635"/>
      <c r="L478" s="635"/>
      <c r="M478" s="635"/>
      <c r="N478" s="635"/>
      <c r="O478" s="635"/>
      <c r="P478" s="635"/>
      <c r="Q478" s="635"/>
      <c r="R478" s="635"/>
      <c r="S478" s="635"/>
      <c r="T478" s="635"/>
      <c r="U478" s="626"/>
      <c r="V478" s="626"/>
      <c r="W478" s="626"/>
      <c r="X478" s="631">
        <v>0</v>
      </c>
      <c r="Y478" s="631">
        <v>0</v>
      </c>
      <c r="Z478" s="631">
        <v>0</v>
      </c>
      <c r="AA478" s="631">
        <v>0</v>
      </c>
      <c r="AB478" s="631">
        <v>0</v>
      </c>
      <c r="AC478" s="631">
        <v>0</v>
      </c>
      <c r="AD478" s="631">
        <v>0</v>
      </c>
      <c r="AE478" s="631">
        <v>0</v>
      </c>
    </row>
    <row r="479" spans="1:31" hidden="1">
      <c r="A479" s="634">
        <v>11</v>
      </c>
      <c r="B479" s="639"/>
      <c r="C479" s="634">
        <v>30315</v>
      </c>
      <c r="D479" s="636" t="s">
        <v>780</v>
      </c>
      <c r="E479" s="372"/>
      <c r="F479" s="640">
        <v>128684</v>
      </c>
      <c r="G479" s="635"/>
      <c r="H479" s="640">
        <v>31873</v>
      </c>
      <c r="I479" s="635"/>
      <c r="J479" s="634" t="s">
        <v>635</v>
      </c>
      <c r="K479" s="372"/>
      <c r="L479" s="634" t="s">
        <v>635</v>
      </c>
      <c r="M479" s="372"/>
      <c r="N479" s="634" t="s">
        <v>635</v>
      </c>
      <c r="O479" s="634"/>
      <c r="P479" s="634" t="s">
        <v>635</v>
      </c>
      <c r="Q479" s="635"/>
      <c r="R479" s="640">
        <v>160557</v>
      </c>
      <c r="S479" s="372"/>
      <c r="T479" s="640">
        <v>144437</v>
      </c>
      <c r="U479" s="626"/>
      <c r="V479" s="626"/>
      <c r="W479" s="626"/>
      <c r="X479" s="641">
        <v>5</v>
      </c>
      <c r="Y479" s="641">
        <v>4</v>
      </c>
      <c r="Z479" s="631">
        <v>0</v>
      </c>
      <c r="AA479" s="631">
        <v>0</v>
      </c>
      <c r="AB479" s="631">
        <v>0</v>
      </c>
      <c r="AC479" s="631">
        <v>0</v>
      </c>
      <c r="AD479" s="641">
        <v>5</v>
      </c>
      <c r="AE479" s="641">
        <v>5</v>
      </c>
    </row>
    <row r="480" spans="1:31" hidden="1">
      <c r="A480" s="634">
        <v>12</v>
      </c>
      <c r="B480" s="639"/>
      <c r="C480" s="634">
        <v>30302</v>
      </c>
      <c r="D480" s="372" t="s">
        <v>781</v>
      </c>
      <c r="E480" s="372"/>
      <c r="F480" s="634" t="s">
        <v>628</v>
      </c>
      <c r="G480" s="635"/>
      <c r="H480" s="634" t="s">
        <v>635</v>
      </c>
      <c r="I480" s="635"/>
      <c r="J480" s="634" t="s">
        <v>635</v>
      </c>
      <c r="K480" s="372"/>
      <c r="L480" s="634" t="s">
        <v>635</v>
      </c>
      <c r="M480" s="372"/>
      <c r="N480" s="634" t="s">
        <v>635</v>
      </c>
      <c r="O480" s="634"/>
      <c r="P480" s="634" t="s">
        <v>635</v>
      </c>
      <c r="Q480" s="635"/>
      <c r="R480" s="634" t="s">
        <v>635</v>
      </c>
      <c r="S480" s="372"/>
      <c r="T480" s="634" t="s">
        <v>635</v>
      </c>
      <c r="U480" s="626"/>
      <c r="V480" s="626"/>
      <c r="W480" s="626"/>
      <c r="X480" s="631">
        <v>0</v>
      </c>
      <c r="Y480" s="631">
        <v>0</v>
      </c>
      <c r="Z480" s="631">
        <v>0</v>
      </c>
      <c r="AA480" s="631">
        <v>0</v>
      </c>
      <c r="AB480" s="631">
        <v>0</v>
      </c>
      <c r="AC480" s="631">
        <v>0</v>
      </c>
      <c r="AD480" s="631">
        <v>0</v>
      </c>
      <c r="AE480" s="631">
        <v>0</v>
      </c>
    </row>
    <row r="481" spans="1:31" hidden="1">
      <c r="A481" s="634">
        <v>13</v>
      </c>
      <c r="B481" s="639"/>
      <c r="C481" s="634">
        <v>30399</v>
      </c>
      <c r="D481" s="372" t="s">
        <v>782</v>
      </c>
      <c r="E481" s="372"/>
      <c r="F481" s="634">
        <v>101</v>
      </c>
      <c r="G481" s="635"/>
      <c r="H481" s="634">
        <v>111</v>
      </c>
      <c r="I481" s="635"/>
      <c r="J481" s="634" t="s">
        <v>635</v>
      </c>
      <c r="K481" s="372"/>
      <c r="L481" s="634" t="s">
        <v>635</v>
      </c>
      <c r="M481" s="372"/>
      <c r="N481" s="634" t="s">
        <v>635</v>
      </c>
      <c r="O481" s="634"/>
      <c r="P481" s="634" t="s">
        <v>635</v>
      </c>
      <c r="Q481" s="635"/>
      <c r="R481" s="634">
        <v>211</v>
      </c>
      <c r="S481" s="372"/>
      <c r="T481" s="634">
        <v>150</v>
      </c>
      <c r="U481" s="626"/>
      <c r="V481" s="626"/>
      <c r="W481" s="626"/>
      <c r="X481" s="641">
        <v>5</v>
      </c>
      <c r="Y481" s="641">
        <v>5</v>
      </c>
      <c r="Z481" s="631">
        <v>0</v>
      </c>
      <c r="AA481" s="631">
        <v>0</v>
      </c>
      <c r="AB481" s="631">
        <v>0</v>
      </c>
      <c r="AC481" s="631">
        <v>0</v>
      </c>
      <c r="AD481" s="641">
        <v>5</v>
      </c>
      <c r="AE481" s="641">
        <v>5</v>
      </c>
    </row>
    <row r="482" spans="1:31" ht="15" hidden="1" thickBot="1">
      <c r="A482" s="634">
        <v>14</v>
      </c>
      <c r="B482" s="372"/>
      <c r="C482" s="372"/>
      <c r="D482" s="372" t="s">
        <v>783</v>
      </c>
      <c r="E482" s="372"/>
      <c r="F482" s="656">
        <v>128784</v>
      </c>
      <c r="G482" s="372"/>
      <c r="H482" s="656">
        <v>31984</v>
      </c>
      <c r="I482" s="635"/>
      <c r="J482" s="657" t="s">
        <v>635</v>
      </c>
      <c r="K482" s="635"/>
      <c r="L482" s="657" t="s">
        <v>635</v>
      </c>
      <c r="M482" s="635"/>
      <c r="N482" s="657" t="s">
        <v>635</v>
      </c>
      <c r="O482" s="635"/>
      <c r="P482" s="657" t="s">
        <v>635</v>
      </c>
      <c r="Q482" s="635"/>
      <c r="R482" s="656">
        <v>160768</v>
      </c>
      <c r="S482" s="635"/>
      <c r="T482" s="656">
        <v>144587</v>
      </c>
      <c r="U482" s="626"/>
      <c r="V482" s="626"/>
      <c r="W482" s="626"/>
      <c r="X482" s="641">
        <v>4</v>
      </c>
      <c r="Y482" s="641">
        <v>5</v>
      </c>
      <c r="Z482" s="631">
        <v>0</v>
      </c>
      <c r="AA482" s="631">
        <v>0</v>
      </c>
      <c r="AB482" s="631">
        <v>0</v>
      </c>
      <c r="AC482" s="631">
        <v>0</v>
      </c>
      <c r="AD482" s="641">
        <v>5</v>
      </c>
      <c r="AE482" s="641">
        <v>5</v>
      </c>
    </row>
    <row r="483" spans="1:31" ht="15" hidden="1" thickTop="1">
      <c r="A483" s="634">
        <v>15</v>
      </c>
      <c r="B483" s="372"/>
      <c r="C483" s="372"/>
      <c r="D483" s="372"/>
      <c r="E483" s="372"/>
      <c r="F483" s="372"/>
      <c r="G483" s="372"/>
      <c r="H483" s="372"/>
      <c r="I483" s="372"/>
      <c r="J483" s="372"/>
      <c r="K483" s="372"/>
      <c r="L483" s="372"/>
      <c r="M483" s="372"/>
      <c r="N483" s="372"/>
      <c r="O483" s="372"/>
      <c r="P483" s="372"/>
      <c r="Q483" s="635"/>
      <c r="R483" s="372"/>
      <c r="S483" s="372"/>
      <c r="T483" s="372"/>
      <c r="U483" s="626"/>
      <c r="V483" s="626"/>
      <c r="W483" s="626"/>
      <c r="X483" s="631">
        <v>0</v>
      </c>
      <c r="Y483" s="631">
        <v>0</v>
      </c>
      <c r="Z483" s="631">
        <v>0</v>
      </c>
      <c r="AA483" s="631">
        <v>0</v>
      </c>
      <c r="AB483" s="631">
        <v>0</v>
      </c>
      <c r="AC483" s="631">
        <v>0</v>
      </c>
      <c r="AD483" s="631">
        <v>0</v>
      </c>
      <c r="AE483" s="631">
        <v>0</v>
      </c>
    </row>
    <row r="484" spans="1:31" hidden="1">
      <c r="A484" s="634">
        <v>16</v>
      </c>
      <c r="B484" s="372"/>
      <c r="C484" s="372"/>
      <c r="D484" s="636" t="s">
        <v>784</v>
      </c>
      <c r="E484" s="372"/>
      <c r="F484" s="372"/>
      <c r="G484" s="372"/>
      <c r="H484" s="372"/>
      <c r="I484" s="372"/>
      <c r="J484" s="372"/>
      <c r="K484" s="372"/>
      <c r="L484" s="372"/>
      <c r="M484" s="372"/>
      <c r="N484" s="372"/>
      <c r="O484" s="372"/>
      <c r="P484" s="372"/>
      <c r="Q484" s="635"/>
      <c r="R484" s="372"/>
      <c r="S484" s="372"/>
      <c r="T484" s="372"/>
      <c r="U484" s="626"/>
      <c r="V484" s="626"/>
      <c r="W484" s="626"/>
      <c r="X484" s="631">
        <v>0</v>
      </c>
      <c r="Y484" s="631">
        <v>0</v>
      </c>
      <c r="Z484" s="631">
        <v>0</v>
      </c>
      <c r="AA484" s="631">
        <v>0</v>
      </c>
      <c r="AB484" s="631">
        <v>0</v>
      </c>
      <c r="AC484" s="631">
        <v>0</v>
      </c>
      <c r="AD484" s="631">
        <v>0</v>
      </c>
      <c r="AE484" s="631">
        <v>0</v>
      </c>
    </row>
    <row r="485" spans="1:31" hidden="1">
      <c r="A485" s="634">
        <v>17</v>
      </c>
      <c r="B485" s="372"/>
      <c r="C485" s="634">
        <v>31700</v>
      </c>
      <c r="D485" s="372" t="s">
        <v>785</v>
      </c>
      <c r="E485" s="372"/>
      <c r="F485" s="640">
        <v>25624</v>
      </c>
      <c r="G485" s="635"/>
      <c r="H485" s="634">
        <v>158</v>
      </c>
      <c r="I485" s="635"/>
      <c r="J485" s="640">
        <v>-24434</v>
      </c>
      <c r="K485" s="372"/>
      <c r="L485" s="634" t="s">
        <v>628</v>
      </c>
      <c r="M485" s="372"/>
      <c r="N485" s="634" t="s">
        <v>635</v>
      </c>
      <c r="O485" s="634"/>
      <c r="P485" s="634" t="s">
        <v>635</v>
      </c>
      <c r="Q485" s="635"/>
      <c r="R485" s="640">
        <v>1347</v>
      </c>
      <c r="S485" s="372"/>
      <c r="T485" s="640">
        <v>6907</v>
      </c>
      <c r="U485" s="626"/>
      <c r="V485" s="626"/>
      <c r="W485" s="626"/>
      <c r="X485" s="641">
        <v>5</v>
      </c>
      <c r="Y485" s="641">
        <v>4</v>
      </c>
      <c r="Z485" s="641">
        <v>5</v>
      </c>
      <c r="AA485" s="631">
        <v>0</v>
      </c>
      <c r="AB485" s="631">
        <v>0</v>
      </c>
      <c r="AC485" s="631">
        <v>0</v>
      </c>
      <c r="AD485" s="641">
        <v>11</v>
      </c>
      <c r="AE485" s="641">
        <v>5</v>
      </c>
    </row>
    <row r="486" spans="1:31" hidden="1">
      <c r="A486" s="634">
        <v>18</v>
      </c>
      <c r="B486" s="372"/>
      <c r="C486" s="634">
        <v>34700</v>
      </c>
      <c r="D486" s="372" t="s">
        <v>786</v>
      </c>
      <c r="E486" s="372"/>
      <c r="F486" s="640">
        <v>1130</v>
      </c>
      <c r="G486" s="635"/>
      <c r="H486" s="634">
        <v>430</v>
      </c>
      <c r="I486" s="635"/>
      <c r="J486" s="634" t="s">
        <v>635</v>
      </c>
      <c r="K486" s="372"/>
      <c r="L486" s="634" t="s">
        <v>635</v>
      </c>
      <c r="M486" s="372"/>
      <c r="N486" s="634" t="s">
        <v>635</v>
      </c>
      <c r="O486" s="634"/>
      <c r="P486" s="634" t="s">
        <v>635</v>
      </c>
      <c r="Q486" s="635"/>
      <c r="R486" s="640">
        <v>1560</v>
      </c>
      <c r="S486" s="372"/>
      <c r="T486" s="640">
        <v>1345</v>
      </c>
      <c r="U486" s="626"/>
      <c r="V486" s="626"/>
      <c r="W486" s="626"/>
      <c r="X486" s="641">
        <v>5</v>
      </c>
      <c r="Y486" s="641">
        <v>5</v>
      </c>
      <c r="Z486" s="631">
        <v>0</v>
      </c>
      <c r="AA486" s="631">
        <v>0</v>
      </c>
      <c r="AB486" s="631">
        <v>0</v>
      </c>
      <c r="AC486" s="631">
        <v>0</v>
      </c>
      <c r="AD486" s="641">
        <v>4</v>
      </c>
      <c r="AE486" s="641">
        <v>5</v>
      </c>
    </row>
    <row r="487" spans="1:31" hidden="1">
      <c r="A487" s="634">
        <v>19</v>
      </c>
      <c r="B487" s="639"/>
      <c r="C487" s="634">
        <v>37400</v>
      </c>
      <c r="D487" s="372" t="s">
        <v>787</v>
      </c>
      <c r="E487" s="372"/>
      <c r="F487" s="640">
        <v>1644</v>
      </c>
      <c r="G487" s="635"/>
      <c r="H487" s="634">
        <v>123</v>
      </c>
      <c r="I487" s="635"/>
      <c r="J487" s="634" t="s">
        <v>635</v>
      </c>
      <c r="K487" s="372"/>
      <c r="L487" s="634" t="s">
        <v>635</v>
      </c>
      <c r="M487" s="372"/>
      <c r="N487" s="634" t="s">
        <v>635</v>
      </c>
      <c r="O487" s="634"/>
      <c r="P487" s="634" t="s">
        <v>635</v>
      </c>
      <c r="Q487" s="635"/>
      <c r="R487" s="640">
        <v>1767</v>
      </c>
      <c r="S487" s="372"/>
      <c r="T487" s="640">
        <v>1706</v>
      </c>
      <c r="U487" s="626"/>
      <c r="V487" s="626"/>
      <c r="W487" s="626"/>
      <c r="X487" s="641">
        <v>5</v>
      </c>
      <c r="Y487" s="641">
        <v>5</v>
      </c>
      <c r="Z487" s="631">
        <v>0</v>
      </c>
      <c r="AA487" s="631">
        <v>0</v>
      </c>
      <c r="AB487" s="631">
        <v>0</v>
      </c>
      <c r="AC487" s="631">
        <v>0</v>
      </c>
      <c r="AD487" s="641">
        <v>5</v>
      </c>
      <c r="AE487" s="641">
        <v>4</v>
      </c>
    </row>
    <row r="488" spans="1:31" hidden="1">
      <c r="A488" s="634">
        <v>20</v>
      </c>
      <c r="B488" s="639"/>
      <c r="C488" s="634">
        <v>39910</v>
      </c>
      <c r="D488" s="372" t="s">
        <v>788</v>
      </c>
      <c r="E488" s="372"/>
      <c r="F488" s="634">
        <v>116</v>
      </c>
      <c r="G488" s="635"/>
      <c r="H488" s="634">
        <v>13</v>
      </c>
      <c r="I488" s="635"/>
      <c r="J488" s="634" t="s">
        <v>635</v>
      </c>
      <c r="K488" s="372"/>
      <c r="L488" s="634" t="s">
        <v>635</v>
      </c>
      <c r="M488" s="372"/>
      <c r="N488" s="634" t="s">
        <v>635</v>
      </c>
      <c r="O488" s="634"/>
      <c r="P488" s="634" t="s">
        <v>635</v>
      </c>
      <c r="Q488" s="635"/>
      <c r="R488" s="634">
        <v>129</v>
      </c>
      <c r="S488" s="372"/>
      <c r="T488" s="634">
        <v>123</v>
      </c>
      <c r="U488" s="626"/>
      <c r="V488" s="626"/>
      <c r="W488" s="626"/>
      <c r="X488" s="641">
        <v>5</v>
      </c>
      <c r="Y488" s="641">
        <v>5</v>
      </c>
      <c r="Z488" s="631">
        <v>0</v>
      </c>
      <c r="AA488" s="631">
        <v>0</v>
      </c>
      <c r="AB488" s="631">
        <v>0</v>
      </c>
      <c r="AC488" s="631">
        <v>0</v>
      </c>
      <c r="AD488" s="641">
        <v>5</v>
      </c>
      <c r="AE488" s="641">
        <v>5</v>
      </c>
    </row>
    <row r="489" spans="1:31" ht="15" hidden="1" thickBot="1">
      <c r="A489" s="634">
        <v>21</v>
      </c>
      <c r="B489" s="639"/>
      <c r="C489" s="372"/>
      <c r="D489" s="636" t="s">
        <v>789</v>
      </c>
      <c r="E489" s="372"/>
      <c r="F489" s="656">
        <v>28514</v>
      </c>
      <c r="G489" s="372"/>
      <c r="H489" s="657">
        <v>724</v>
      </c>
      <c r="I489" s="635"/>
      <c r="J489" s="656">
        <v>-24434</v>
      </c>
      <c r="K489" s="635"/>
      <c r="L489" s="657" t="s">
        <v>628</v>
      </c>
      <c r="M489" s="635"/>
      <c r="N489" s="657" t="s">
        <v>635</v>
      </c>
      <c r="O489" s="635"/>
      <c r="P489" s="657" t="s">
        <v>635</v>
      </c>
      <c r="Q489" s="635"/>
      <c r="R489" s="656">
        <v>4804</v>
      </c>
      <c r="S489" s="635"/>
      <c r="T489" s="656">
        <v>10080</v>
      </c>
      <c r="U489" s="626"/>
      <c r="V489" s="626"/>
      <c r="W489" s="626"/>
      <c r="X489" s="641">
        <v>4</v>
      </c>
      <c r="Y489" s="641">
        <v>5</v>
      </c>
      <c r="Z489" s="641">
        <v>5</v>
      </c>
      <c r="AA489" s="631">
        <v>0</v>
      </c>
      <c r="AB489" s="631">
        <v>0</v>
      </c>
      <c r="AC489" s="631">
        <v>0</v>
      </c>
      <c r="AD489" s="641">
        <v>11</v>
      </c>
      <c r="AE489" s="641">
        <v>5</v>
      </c>
    </row>
    <row r="490" spans="1:31" ht="15" hidden="1" thickTop="1">
      <c r="A490" s="634">
        <v>22</v>
      </c>
      <c r="B490" s="639"/>
      <c r="C490" s="372"/>
      <c r="D490" s="636"/>
      <c r="E490" s="372"/>
      <c r="F490" s="372"/>
      <c r="G490" s="372"/>
      <c r="H490" s="372"/>
      <c r="I490" s="372"/>
      <c r="J490" s="372"/>
      <c r="K490" s="372"/>
      <c r="L490" s="372"/>
      <c r="M490" s="372"/>
      <c r="N490" s="372"/>
      <c r="O490" s="372"/>
      <c r="P490" s="372"/>
      <c r="Q490" s="635"/>
      <c r="R490" s="372"/>
      <c r="S490" s="372"/>
      <c r="T490" s="372"/>
      <c r="U490" s="626"/>
      <c r="V490" s="626"/>
      <c r="W490" s="626"/>
      <c r="X490" s="631">
        <v>0</v>
      </c>
      <c r="Y490" s="631">
        <v>0</v>
      </c>
      <c r="Z490" s="631">
        <v>0</v>
      </c>
      <c r="AA490" s="631">
        <v>0</v>
      </c>
      <c r="AB490" s="631">
        <v>0</v>
      </c>
      <c r="AC490" s="631">
        <v>0</v>
      </c>
      <c r="AD490" s="631">
        <v>0</v>
      </c>
      <c r="AE490" s="631">
        <v>0</v>
      </c>
    </row>
    <row r="491" spans="1:31" hidden="1">
      <c r="A491" s="634">
        <v>23</v>
      </c>
      <c r="B491" s="639"/>
      <c r="C491" s="372"/>
      <c r="D491" s="372" t="s">
        <v>790</v>
      </c>
      <c r="E491" s="372"/>
      <c r="F491" s="372"/>
      <c r="G491" s="372"/>
      <c r="H491" s="372"/>
      <c r="I491" s="372"/>
      <c r="J491" s="372"/>
      <c r="K491" s="372"/>
      <c r="L491" s="372"/>
      <c r="M491" s="372"/>
      <c r="N491" s="372"/>
      <c r="O491" s="372"/>
      <c r="P491" s="372"/>
      <c r="Q491" s="635"/>
      <c r="R491" s="372"/>
      <c r="S491" s="372"/>
      <c r="T491" s="372"/>
      <c r="U491" s="626"/>
      <c r="V491" s="626"/>
      <c r="W491" s="626"/>
      <c r="X491" s="631">
        <v>0</v>
      </c>
      <c r="Y491" s="631">
        <v>0</v>
      </c>
      <c r="Z491" s="631">
        <v>0</v>
      </c>
      <c r="AA491" s="631">
        <v>0</v>
      </c>
      <c r="AB491" s="631">
        <v>0</v>
      </c>
      <c r="AC491" s="631">
        <v>0</v>
      </c>
      <c r="AD491" s="631">
        <v>0</v>
      </c>
      <c r="AE491" s="631">
        <v>0</v>
      </c>
    </row>
    <row r="492" spans="1:31" hidden="1">
      <c r="A492" s="634">
        <v>24</v>
      </c>
      <c r="B492" s="639"/>
      <c r="C492" s="634">
        <v>10110</v>
      </c>
      <c r="D492" s="372" t="s">
        <v>791</v>
      </c>
      <c r="E492" s="372"/>
      <c r="F492" s="634" t="s">
        <v>628</v>
      </c>
      <c r="G492" s="635"/>
      <c r="H492" s="634" t="s">
        <v>635</v>
      </c>
      <c r="I492" s="635"/>
      <c r="J492" s="634" t="s">
        <v>635</v>
      </c>
      <c r="K492" s="372"/>
      <c r="L492" s="634" t="s">
        <v>635</v>
      </c>
      <c r="M492" s="372"/>
      <c r="N492" s="634" t="s">
        <v>635</v>
      </c>
      <c r="O492" s="634"/>
      <c r="P492" s="634" t="s">
        <v>635</v>
      </c>
      <c r="Q492" s="635"/>
      <c r="R492" s="634" t="s">
        <v>635</v>
      </c>
      <c r="S492" s="372"/>
      <c r="T492" s="634" t="s">
        <v>635</v>
      </c>
      <c r="U492" s="626"/>
      <c r="V492" s="626"/>
      <c r="W492" s="626"/>
      <c r="X492" s="631">
        <v>0</v>
      </c>
      <c r="Y492" s="631">
        <v>0</v>
      </c>
      <c r="Z492" s="631">
        <v>0</v>
      </c>
      <c r="AA492" s="631">
        <v>0</v>
      </c>
      <c r="AB492" s="631">
        <v>0</v>
      </c>
      <c r="AC492" s="631">
        <v>0</v>
      </c>
      <c r="AD492" s="631">
        <v>0</v>
      </c>
      <c r="AE492" s="631">
        <v>0</v>
      </c>
    </row>
    <row r="493" spans="1:31" hidden="1">
      <c r="A493" s="634">
        <v>25</v>
      </c>
      <c r="B493" s="639"/>
      <c r="C493" s="634">
        <v>10112</v>
      </c>
      <c r="D493" s="372" t="s">
        <v>792</v>
      </c>
      <c r="E493" s="372"/>
      <c r="F493" s="634" t="s">
        <v>628</v>
      </c>
      <c r="G493" s="635"/>
      <c r="H493" s="634" t="s">
        <v>635</v>
      </c>
      <c r="I493" s="635"/>
      <c r="J493" s="634" t="s">
        <v>635</v>
      </c>
      <c r="K493" s="372"/>
      <c r="L493" s="634" t="s">
        <v>635</v>
      </c>
      <c r="M493" s="372"/>
      <c r="N493" s="634" t="s">
        <v>635</v>
      </c>
      <c r="O493" s="634"/>
      <c r="P493" s="634" t="s">
        <v>635</v>
      </c>
      <c r="Q493" s="635"/>
      <c r="R493" s="634" t="s">
        <v>635</v>
      </c>
      <c r="S493" s="372"/>
      <c r="T493" s="634" t="s">
        <v>635</v>
      </c>
      <c r="U493" s="626"/>
      <c r="V493" s="626"/>
      <c r="W493" s="626"/>
      <c r="X493" s="631">
        <v>0</v>
      </c>
      <c r="Y493" s="631">
        <v>0</v>
      </c>
      <c r="Z493" s="631">
        <v>0</v>
      </c>
      <c r="AA493" s="631">
        <v>0</v>
      </c>
      <c r="AB493" s="631">
        <v>0</v>
      </c>
      <c r="AC493" s="631">
        <v>0</v>
      </c>
      <c r="AD493" s="631">
        <v>0</v>
      </c>
      <c r="AE493" s="631">
        <v>0</v>
      </c>
    </row>
    <row r="494" spans="1:31" ht="15" hidden="1" thickBot="1">
      <c r="A494" s="634">
        <v>26</v>
      </c>
      <c r="B494" s="639"/>
      <c r="C494" s="634"/>
      <c r="D494" s="372" t="s">
        <v>793</v>
      </c>
      <c r="E494" s="372"/>
      <c r="F494" s="657" t="s">
        <v>628</v>
      </c>
      <c r="G494" s="372"/>
      <c r="H494" s="657" t="s">
        <v>635</v>
      </c>
      <c r="I494" s="635"/>
      <c r="J494" s="657" t="s">
        <v>635</v>
      </c>
      <c r="K494" s="635"/>
      <c r="L494" s="657" t="s">
        <v>635</v>
      </c>
      <c r="M494" s="635"/>
      <c r="N494" s="657" t="s">
        <v>635</v>
      </c>
      <c r="O494" s="635"/>
      <c r="P494" s="657" t="s">
        <v>635</v>
      </c>
      <c r="Q494" s="635"/>
      <c r="R494" s="657" t="s">
        <v>635</v>
      </c>
      <c r="S494" s="372"/>
      <c r="T494" s="657" t="s">
        <v>635</v>
      </c>
      <c r="U494" s="626"/>
      <c r="V494" s="626"/>
      <c r="W494" s="626"/>
      <c r="X494" s="631">
        <v>0</v>
      </c>
      <c r="Y494" s="631">
        <v>0</v>
      </c>
      <c r="Z494" s="631">
        <v>0</v>
      </c>
      <c r="AA494" s="631">
        <v>0</v>
      </c>
      <c r="AB494" s="631">
        <v>0</v>
      </c>
      <c r="AC494" s="631">
        <v>0</v>
      </c>
      <c r="AD494" s="631">
        <v>0</v>
      </c>
      <c r="AE494" s="631">
        <v>0</v>
      </c>
    </row>
    <row r="495" spans="1:31" ht="15" hidden="1" thickTop="1">
      <c r="A495" s="634">
        <v>27</v>
      </c>
      <c r="B495" s="639"/>
      <c r="C495" s="372"/>
      <c r="D495" s="372"/>
      <c r="E495" s="372"/>
      <c r="F495" s="372"/>
      <c r="G495" s="372"/>
      <c r="H495" s="372"/>
      <c r="I495" s="372"/>
      <c r="J495" s="372"/>
      <c r="K495" s="372"/>
      <c r="L495" s="372"/>
      <c r="M495" s="372"/>
      <c r="N495" s="372"/>
      <c r="O495" s="372"/>
      <c r="P495" s="372"/>
      <c r="Q495" s="635"/>
      <c r="R495" s="372"/>
      <c r="S495" s="372"/>
      <c r="T495" s="372"/>
      <c r="U495" s="626"/>
      <c r="V495" s="626"/>
      <c r="W495" s="626"/>
      <c r="X495" s="631">
        <v>0</v>
      </c>
      <c r="Y495" s="631">
        <v>0</v>
      </c>
      <c r="Z495" s="631">
        <v>0</v>
      </c>
      <c r="AA495" s="631">
        <v>0</v>
      </c>
      <c r="AB495" s="631">
        <v>0</v>
      </c>
      <c r="AC495" s="631">
        <v>0</v>
      </c>
      <c r="AD495" s="631">
        <v>0</v>
      </c>
      <c r="AE495" s="631">
        <v>0</v>
      </c>
    </row>
    <row r="496" spans="1:31" ht="15" hidden="1" thickBot="1">
      <c r="A496" s="634">
        <v>28</v>
      </c>
      <c r="B496" s="639"/>
      <c r="C496" s="372"/>
      <c r="D496" s="636" t="s">
        <v>821</v>
      </c>
      <c r="E496" s="372"/>
      <c r="F496" s="652">
        <v>3349543</v>
      </c>
      <c r="G496" s="372"/>
      <c r="H496" s="652">
        <v>420463</v>
      </c>
      <c r="I496" s="372"/>
      <c r="J496" s="652">
        <v>-119288</v>
      </c>
      <c r="K496" s="372"/>
      <c r="L496" s="652">
        <v>-54207</v>
      </c>
      <c r="M496" s="372"/>
      <c r="N496" s="652">
        <v>4862</v>
      </c>
      <c r="O496" s="635"/>
      <c r="P496" s="653">
        <v>419</v>
      </c>
      <c r="Q496" s="635"/>
      <c r="R496" s="652">
        <v>3601793</v>
      </c>
      <c r="S496" s="372"/>
      <c r="T496" s="652">
        <v>3469564</v>
      </c>
      <c r="U496" s="626"/>
      <c r="V496" s="626"/>
      <c r="W496" s="626"/>
      <c r="X496" s="641">
        <v>5</v>
      </c>
      <c r="Y496" s="641">
        <v>5</v>
      </c>
      <c r="Z496" s="641">
        <v>5</v>
      </c>
      <c r="AA496" s="641">
        <v>5</v>
      </c>
      <c r="AB496" s="641">
        <v>5</v>
      </c>
      <c r="AC496" s="641">
        <v>5</v>
      </c>
      <c r="AD496" s="641">
        <v>5</v>
      </c>
      <c r="AE496" s="641">
        <v>5</v>
      </c>
    </row>
    <row r="497" spans="1:31" ht="15" hidden="1" thickTop="1">
      <c r="A497" s="634">
        <v>29</v>
      </c>
      <c r="B497" s="639"/>
      <c r="C497" s="372"/>
      <c r="D497" s="372"/>
      <c r="E497" s="372"/>
      <c r="F497" s="372"/>
      <c r="G497" s="372"/>
      <c r="H497" s="372"/>
      <c r="I497" s="372"/>
      <c r="J497" s="372"/>
      <c r="K497" s="372"/>
      <c r="L497" s="372"/>
      <c r="M497" s="372"/>
      <c r="N497" s="372"/>
      <c r="O497" s="372"/>
      <c r="P497" s="372"/>
      <c r="Q497" s="635"/>
      <c r="R497" s="372"/>
      <c r="S497" s="372"/>
      <c r="T497" s="372"/>
      <c r="U497" s="626"/>
      <c r="V497" s="626"/>
      <c r="W497" s="626"/>
      <c r="X497" s="631">
        <v>0</v>
      </c>
      <c r="Y497" s="631">
        <v>0</v>
      </c>
      <c r="Z497" s="631">
        <v>0</v>
      </c>
      <c r="AA497" s="631">
        <v>0</v>
      </c>
      <c r="AB497" s="631">
        <v>0</v>
      </c>
      <c r="AC497" s="631">
        <v>0</v>
      </c>
      <c r="AD497" s="631">
        <v>0</v>
      </c>
      <c r="AE497" s="631">
        <v>0</v>
      </c>
    </row>
    <row r="498" spans="1:31" hidden="1">
      <c r="A498" s="634">
        <v>30</v>
      </c>
      <c r="B498" s="639"/>
      <c r="C498" s="372"/>
      <c r="D498" s="636" t="s">
        <v>795</v>
      </c>
      <c r="E498" s="372"/>
      <c r="F498" s="372"/>
      <c r="G498" s="372"/>
      <c r="H498" s="372"/>
      <c r="I498" s="372"/>
      <c r="J498" s="372"/>
      <c r="K498" s="372"/>
      <c r="L498" s="372"/>
      <c r="M498" s="372"/>
      <c r="N498" s="372"/>
      <c r="O498" s="372"/>
      <c r="P498" s="372"/>
      <c r="Q498" s="635"/>
      <c r="R498" s="372"/>
      <c r="S498" s="372"/>
      <c r="T498" s="372"/>
      <c r="U498" s="626"/>
      <c r="V498" s="626"/>
      <c r="W498" s="626"/>
      <c r="X498" s="631">
        <v>0</v>
      </c>
      <c r="Y498" s="631">
        <v>0</v>
      </c>
      <c r="Z498" s="631">
        <v>0</v>
      </c>
      <c r="AA498" s="631">
        <v>0</v>
      </c>
      <c r="AB498" s="631">
        <v>0</v>
      </c>
      <c r="AC498" s="631">
        <v>0</v>
      </c>
      <c r="AD498" s="631">
        <v>0</v>
      </c>
      <c r="AE498" s="631">
        <v>0</v>
      </c>
    </row>
    <row r="499" spans="1:31" hidden="1">
      <c r="A499" s="634">
        <v>31</v>
      </c>
      <c r="B499" s="639"/>
      <c r="C499" s="634">
        <v>11401</v>
      </c>
      <c r="D499" s="636" t="s">
        <v>796</v>
      </c>
      <c r="E499" s="372"/>
      <c r="F499" s="640">
        <v>5486</v>
      </c>
      <c r="G499" s="635"/>
      <c r="H499" s="634">
        <v>186</v>
      </c>
      <c r="I499" s="635"/>
      <c r="J499" s="634" t="s">
        <v>635</v>
      </c>
      <c r="K499" s="372"/>
      <c r="L499" s="634" t="s">
        <v>635</v>
      </c>
      <c r="M499" s="372"/>
      <c r="N499" s="634" t="s">
        <v>635</v>
      </c>
      <c r="O499" s="634"/>
      <c r="P499" s="634" t="s">
        <v>635</v>
      </c>
      <c r="Q499" s="635"/>
      <c r="R499" s="640">
        <v>5672</v>
      </c>
      <c r="S499" s="372"/>
      <c r="T499" s="640">
        <v>5579</v>
      </c>
      <c r="U499" s="626"/>
      <c r="V499" s="626"/>
      <c r="W499" s="626"/>
      <c r="X499" s="641">
        <v>5</v>
      </c>
      <c r="Y499" s="641">
        <v>5</v>
      </c>
      <c r="Z499" s="631">
        <v>0</v>
      </c>
      <c r="AA499" s="631">
        <v>0</v>
      </c>
      <c r="AB499" s="631">
        <v>0</v>
      </c>
      <c r="AC499" s="631">
        <v>0</v>
      </c>
      <c r="AD499" s="641">
        <v>5</v>
      </c>
      <c r="AE499" s="641">
        <v>5</v>
      </c>
    </row>
    <row r="500" spans="1:31" hidden="1">
      <c r="A500" s="634">
        <v>32</v>
      </c>
      <c r="B500" s="639"/>
      <c r="C500" s="634">
        <v>11402</v>
      </c>
      <c r="D500" s="636" t="s">
        <v>797</v>
      </c>
      <c r="E500" s="372"/>
      <c r="F500" s="634">
        <v>803</v>
      </c>
      <c r="G500" s="635"/>
      <c r="H500" s="634">
        <v>42</v>
      </c>
      <c r="I500" s="635"/>
      <c r="J500" s="634" t="s">
        <v>635</v>
      </c>
      <c r="K500" s="372"/>
      <c r="L500" s="634" t="s">
        <v>635</v>
      </c>
      <c r="M500" s="372"/>
      <c r="N500" s="634" t="s">
        <v>635</v>
      </c>
      <c r="O500" s="634"/>
      <c r="P500" s="634" t="s">
        <v>635</v>
      </c>
      <c r="Q500" s="635"/>
      <c r="R500" s="634">
        <v>845</v>
      </c>
      <c r="S500" s="372"/>
      <c r="T500" s="634">
        <v>824</v>
      </c>
      <c r="U500" s="626"/>
      <c r="V500" s="626"/>
      <c r="W500" s="626"/>
      <c r="X500" s="641">
        <v>5</v>
      </c>
      <c r="Y500" s="641">
        <v>5</v>
      </c>
      <c r="Z500" s="631">
        <v>0</v>
      </c>
      <c r="AA500" s="631">
        <v>0</v>
      </c>
      <c r="AB500" s="631">
        <v>0</v>
      </c>
      <c r="AC500" s="631">
        <v>0</v>
      </c>
      <c r="AD500" s="641">
        <v>5</v>
      </c>
      <c r="AE500" s="641">
        <v>3</v>
      </c>
    </row>
    <row r="501" spans="1:31" hidden="1">
      <c r="A501" s="634">
        <v>33</v>
      </c>
      <c r="B501" s="639"/>
      <c r="C501" s="634">
        <v>11403</v>
      </c>
      <c r="D501" s="372" t="s">
        <v>798</v>
      </c>
      <c r="E501" s="372"/>
      <c r="F501" s="634">
        <v>121</v>
      </c>
      <c r="G501" s="635"/>
      <c r="H501" s="634">
        <v>9</v>
      </c>
      <c r="I501" s="635"/>
      <c r="J501" s="634" t="s">
        <v>635</v>
      </c>
      <c r="K501" s="372"/>
      <c r="L501" s="634" t="s">
        <v>635</v>
      </c>
      <c r="M501" s="372"/>
      <c r="N501" s="634" t="s">
        <v>635</v>
      </c>
      <c r="O501" s="634"/>
      <c r="P501" s="634" t="s">
        <v>635</v>
      </c>
      <c r="Q501" s="635"/>
      <c r="R501" s="634">
        <v>130</v>
      </c>
      <c r="S501" s="372"/>
      <c r="T501" s="634">
        <v>125</v>
      </c>
      <c r="U501" s="626"/>
      <c r="V501" s="626"/>
      <c r="W501" s="626"/>
      <c r="X501" s="641">
        <v>5</v>
      </c>
      <c r="Y501" s="641">
        <v>5</v>
      </c>
      <c r="Z501" s="631">
        <v>0</v>
      </c>
      <c r="AA501" s="631">
        <v>0</v>
      </c>
      <c r="AB501" s="631">
        <v>0</v>
      </c>
      <c r="AC501" s="631">
        <v>0</v>
      </c>
      <c r="AD501" s="641">
        <v>5</v>
      </c>
      <c r="AE501" s="641">
        <v>5</v>
      </c>
    </row>
    <row r="502" spans="1:31" ht="15" hidden="1" thickBot="1">
      <c r="A502" s="634">
        <v>34</v>
      </c>
      <c r="B502" s="639"/>
      <c r="C502" s="372"/>
      <c r="D502" s="730" t="s">
        <v>799</v>
      </c>
      <c r="E502" s="720"/>
      <c r="F502" s="732">
        <v>6410</v>
      </c>
      <c r="G502" s="720"/>
      <c r="H502" s="733">
        <v>237</v>
      </c>
      <c r="I502" s="731"/>
      <c r="J502" s="733" t="s">
        <v>635</v>
      </c>
      <c r="K502" s="731"/>
      <c r="L502" s="733" t="s">
        <v>635</v>
      </c>
      <c r="M502" s="731"/>
      <c r="N502" s="733" t="s">
        <v>635</v>
      </c>
      <c r="O502" s="731"/>
      <c r="P502" s="733" t="s">
        <v>635</v>
      </c>
      <c r="Q502" s="731"/>
      <c r="R502" s="732">
        <v>6647</v>
      </c>
      <c r="S502" s="731"/>
      <c r="T502" s="732">
        <v>6528</v>
      </c>
      <c r="U502" s="626"/>
      <c r="V502" s="626"/>
      <c r="W502" s="626"/>
      <c r="X502" s="641">
        <v>5</v>
      </c>
      <c r="Y502" s="641">
        <v>4</v>
      </c>
      <c r="Z502" s="631">
        <v>0</v>
      </c>
      <c r="AA502" s="631">
        <v>0</v>
      </c>
      <c r="AB502" s="631">
        <v>0</v>
      </c>
      <c r="AC502" s="631">
        <v>0</v>
      </c>
      <c r="AD502" s="641">
        <v>5</v>
      </c>
      <c r="AE502" s="641">
        <v>5</v>
      </c>
    </row>
    <row r="503" spans="1:31" ht="15" hidden="1" thickTop="1">
      <c r="A503" s="634">
        <v>35</v>
      </c>
      <c r="B503" s="639"/>
      <c r="C503" s="372"/>
      <c r="D503" s="372"/>
      <c r="E503" s="372"/>
      <c r="F503" s="372"/>
      <c r="G503" s="372"/>
      <c r="H503" s="372"/>
      <c r="I503" s="372"/>
      <c r="J503" s="372"/>
      <c r="K503" s="372"/>
      <c r="L503" s="372"/>
      <c r="M503" s="372"/>
      <c r="N503" s="372"/>
      <c r="O503" s="372"/>
      <c r="P503" s="372"/>
      <c r="Q503" s="635"/>
      <c r="R503" s="372"/>
      <c r="S503" s="372"/>
      <c r="T503" s="372"/>
      <c r="U503" s="626"/>
      <c r="V503" s="626"/>
      <c r="W503" s="626"/>
      <c r="X503" s="631">
        <v>0</v>
      </c>
      <c r="Y503" s="631">
        <v>0</v>
      </c>
      <c r="Z503" s="631">
        <v>0</v>
      </c>
      <c r="AA503" s="631">
        <v>0</v>
      </c>
      <c r="AB503" s="631">
        <v>0</v>
      </c>
      <c r="AC503" s="631">
        <v>0</v>
      </c>
      <c r="AD503" s="631">
        <v>0</v>
      </c>
      <c r="AE503" s="631">
        <v>0</v>
      </c>
    </row>
    <row r="504" spans="1:31" hidden="1">
      <c r="A504" s="634">
        <v>36</v>
      </c>
      <c r="B504" s="639"/>
      <c r="C504" s="634">
        <v>10200</v>
      </c>
      <c r="D504" s="636" t="s">
        <v>800</v>
      </c>
      <c r="E504" s="372"/>
      <c r="F504" s="634" t="s">
        <v>628</v>
      </c>
      <c r="G504" s="635"/>
      <c r="H504" s="634" t="s">
        <v>635</v>
      </c>
      <c r="I504" s="635"/>
      <c r="J504" s="634" t="s">
        <v>635</v>
      </c>
      <c r="K504" s="372"/>
      <c r="L504" s="634" t="s">
        <v>635</v>
      </c>
      <c r="M504" s="372"/>
      <c r="N504" s="634" t="s">
        <v>635</v>
      </c>
      <c r="O504" s="634"/>
      <c r="P504" s="634" t="s">
        <v>635</v>
      </c>
      <c r="Q504" s="635"/>
      <c r="R504" s="634" t="s">
        <v>635</v>
      </c>
      <c r="S504" s="372"/>
      <c r="T504" s="634" t="s">
        <v>635</v>
      </c>
      <c r="U504" s="626"/>
      <c r="V504" s="626"/>
      <c r="W504" s="626"/>
      <c r="X504" s="631">
        <v>0</v>
      </c>
      <c r="Y504" s="631">
        <v>0</v>
      </c>
      <c r="Z504" s="631">
        <v>0</v>
      </c>
      <c r="AA504" s="631">
        <v>0</v>
      </c>
      <c r="AB504" s="631">
        <v>0</v>
      </c>
      <c r="AC504" s="631">
        <v>0</v>
      </c>
      <c r="AD504" s="631">
        <v>0</v>
      </c>
      <c r="AE504" s="631">
        <v>0</v>
      </c>
    </row>
    <row r="505" spans="1:31" hidden="1">
      <c r="A505" s="634">
        <v>37</v>
      </c>
      <c r="B505" s="639"/>
      <c r="C505" s="634">
        <v>10501</v>
      </c>
      <c r="D505" s="636" t="s">
        <v>801</v>
      </c>
      <c r="E505" s="372"/>
      <c r="F505" s="634" t="s">
        <v>628</v>
      </c>
      <c r="G505" s="635"/>
      <c r="H505" s="634" t="s">
        <v>635</v>
      </c>
      <c r="I505" s="635"/>
      <c r="J505" s="634" t="s">
        <v>635</v>
      </c>
      <c r="K505" s="372"/>
      <c r="L505" s="634" t="s">
        <v>635</v>
      </c>
      <c r="M505" s="372"/>
      <c r="N505" s="634" t="s">
        <v>635</v>
      </c>
      <c r="O505" s="634"/>
      <c r="P505" s="634" t="s">
        <v>635</v>
      </c>
      <c r="Q505" s="635"/>
      <c r="R505" s="634" t="s">
        <v>635</v>
      </c>
      <c r="S505" s="372"/>
      <c r="T505" s="634" t="s">
        <v>635</v>
      </c>
      <c r="U505" s="626"/>
      <c r="V505" s="626"/>
      <c r="W505" s="626"/>
      <c r="X505" s="631">
        <v>0</v>
      </c>
      <c r="Y505" s="631">
        <v>0</v>
      </c>
      <c r="Z505" s="631">
        <v>0</v>
      </c>
      <c r="AA505" s="631">
        <v>0</v>
      </c>
      <c r="AB505" s="631">
        <v>0</v>
      </c>
      <c r="AC505" s="631">
        <v>0</v>
      </c>
      <c r="AD505" s="631">
        <v>0</v>
      </c>
      <c r="AE505" s="631">
        <v>0</v>
      </c>
    </row>
    <row r="506" spans="1:31" hidden="1">
      <c r="A506" s="634">
        <v>38</v>
      </c>
      <c r="B506" s="639"/>
      <c r="C506" s="372"/>
      <c r="D506" s="372"/>
      <c r="E506" s="372"/>
      <c r="F506" s="372"/>
      <c r="G506" s="372"/>
      <c r="H506" s="372"/>
      <c r="I506" s="372"/>
      <c r="J506" s="372"/>
      <c r="K506" s="372"/>
      <c r="L506" s="372"/>
      <c r="M506" s="372"/>
      <c r="N506" s="372"/>
      <c r="O506" s="372"/>
      <c r="P506" s="372"/>
      <c r="Q506" s="635"/>
      <c r="R506" s="372"/>
      <c r="S506" s="372"/>
      <c r="T506" s="372"/>
      <c r="U506" s="626"/>
      <c r="V506" s="626"/>
      <c r="W506" s="626"/>
      <c r="X506" s="631">
        <v>0</v>
      </c>
      <c r="Y506" s="631">
        <v>0</v>
      </c>
      <c r="Z506" s="631">
        <v>0</v>
      </c>
      <c r="AA506" s="631">
        <v>0</v>
      </c>
      <c r="AB506" s="631">
        <v>0</v>
      </c>
      <c r="AC506" s="631">
        <v>0</v>
      </c>
      <c r="AD506" s="631">
        <v>0</v>
      </c>
      <c r="AE506" s="631">
        <v>0</v>
      </c>
    </row>
    <row r="507" spans="1:31" hidden="1">
      <c r="A507" s="634">
        <v>39</v>
      </c>
      <c r="B507" s="639"/>
      <c r="C507" s="634">
        <v>10803</v>
      </c>
      <c r="D507" s="372" t="s">
        <v>802</v>
      </c>
      <c r="E507" s="372"/>
      <c r="F507" s="640">
        <v>70966</v>
      </c>
      <c r="G507" s="635"/>
      <c r="H507" s="640">
        <v>2134</v>
      </c>
      <c r="I507" s="635"/>
      <c r="J507" s="634" t="s">
        <v>635</v>
      </c>
      <c r="K507" s="372"/>
      <c r="L507" s="640">
        <v>-43508</v>
      </c>
      <c r="M507" s="372"/>
      <c r="N507" s="634">
        <v>584</v>
      </c>
      <c r="O507" s="634"/>
      <c r="P507" s="640">
        <v>35965</v>
      </c>
      <c r="Q507" s="635"/>
      <c r="R507" s="640">
        <v>66140</v>
      </c>
      <c r="S507" s="372"/>
      <c r="T507" s="640">
        <v>69377</v>
      </c>
      <c r="U507" s="626"/>
      <c r="V507" s="626"/>
      <c r="W507" s="626"/>
      <c r="X507" s="641">
        <v>5</v>
      </c>
      <c r="Y507" s="641">
        <v>5</v>
      </c>
      <c r="Z507" s="631">
        <v>0</v>
      </c>
      <c r="AA507" s="641">
        <v>5</v>
      </c>
      <c r="AB507" s="641">
        <v>5</v>
      </c>
      <c r="AC507" s="641">
        <v>4</v>
      </c>
      <c r="AD507" s="641">
        <v>5</v>
      </c>
      <c r="AE507" s="641">
        <v>5</v>
      </c>
    </row>
    <row r="508" spans="1:31" hidden="1">
      <c r="A508" s="634">
        <v>40</v>
      </c>
      <c r="B508" s="639"/>
      <c r="C508" s="372"/>
      <c r="D508" s="372" t="s">
        <v>803</v>
      </c>
      <c r="E508" s="372"/>
      <c r="F508" s="671">
        <v>26021</v>
      </c>
      <c r="G508" s="372"/>
      <c r="H508" s="671">
        <v>5880</v>
      </c>
      <c r="I508" s="372"/>
      <c r="J508" s="672" t="s">
        <v>635</v>
      </c>
      <c r="K508" s="372"/>
      <c r="L508" s="672" t="s">
        <v>635</v>
      </c>
      <c r="M508" s="372"/>
      <c r="N508" s="672" t="s">
        <v>635</v>
      </c>
      <c r="O508" s="372"/>
      <c r="P508" s="672" t="s">
        <v>635</v>
      </c>
      <c r="Q508" s="635"/>
      <c r="R508" s="673">
        <v>31902</v>
      </c>
      <c r="S508" s="372"/>
      <c r="T508" s="671">
        <v>28961</v>
      </c>
      <c r="U508" s="626"/>
      <c r="V508" s="626"/>
      <c r="W508" s="626"/>
      <c r="X508" s="641">
        <v>5</v>
      </c>
      <c r="Y508" s="641">
        <v>5</v>
      </c>
      <c r="Z508" s="631">
        <v>0</v>
      </c>
      <c r="AA508" s="631">
        <v>0</v>
      </c>
      <c r="AB508" s="631">
        <v>0</v>
      </c>
      <c r="AC508" s="631">
        <v>0</v>
      </c>
      <c r="AD508" s="641">
        <v>5</v>
      </c>
      <c r="AE508" s="641">
        <v>4</v>
      </c>
    </row>
    <row r="509" spans="1:31" ht="15" hidden="1" thickBot="1">
      <c r="A509" s="634">
        <v>41</v>
      </c>
      <c r="B509" s="639"/>
      <c r="C509" s="372"/>
      <c r="D509" s="720" t="s">
        <v>804</v>
      </c>
      <c r="E509" s="720"/>
      <c r="F509" s="734">
        <v>96987</v>
      </c>
      <c r="G509" s="720"/>
      <c r="H509" s="734">
        <v>8015</v>
      </c>
      <c r="I509" s="720"/>
      <c r="J509" s="735" t="s">
        <v>635</v>
      </c>
      <c r="K509" s="720"/>
      <c r="L509" s="734">
        <v>-43508</v>
      </c>
      <c r="M509" s="720"/>
      <c r="N509" s="735">
        <v>584</v>
      </c>
      <c r="O509" s="720"/>
      <c r="P509" s="734">
        <v>35965</v>
      </c>
      <c r="Q509" s="731"/>
      <c r="R509" s="734">
        <v>98042</v>
      </c>
      <c r="S509" s="720"/>
      <c r="T509" s="734">
        <v>98338</v>
      </c>
      <c r="U509" s="626"/>
      <c r="V509" s="626"/>
      <c r="W509" s="626"/>
      <c r="X509" s="641">
        <v>5</v>
      </c>
      <c r="Y509" s="641">
        <v>3</v>
      </c>
      <c r="Z509" s="631">
        <v>0</v>
      </c>
      <c r="AA509" s="641">
        <v>5</v>
      </c>
      <c r="AB509" s="641">
        <v>5</v>
      </c>
      <c r="AC509" s="641">
        <v>4</v>
      </c>
      <c r="AD509" s="641">
        <v>5</v>
      </c>
      <c r="AE509" s="641">
        <v>5</v>
      </c>
    </row>
    <row r="510" spans="1:31" ht="15" hidden="1" thickTop="1">
      <c r="A510" s="634">
        <v>42</v>
      </c>
      <c r="B510" s="639"/>
      <c r="C510" s="372"/>
      <c r="D510" s="372"/>
      <c r="E510" s="372"/>
      <c r="F510" s="372"/>
      <c r="G510" s="372"/>
      <c r="H510" s="372"/>
      <c r="I510" s="372"/>
      <c r="J510" s="372"/>
      <c r="K510" s="372"/>
      <c r="L510" s="372"/>
      <c r="M510" s="372"/>
      <c r="N510" s="372"/>
      <c r="O510" s="372"/>
      <c r="P510" s="372"/>
      <c r="Q510" s="635"/>
      <c r="R510" s="372"/>
      <c r="S510" s="372"/>
      <c r="T510" s="372"/>
      <c r="U510" s="626"/>
      <c r="V510" s="626"/>
      <c r="W510" s="626"/>
      <c r="X510" s="631">
        <v>0</v>
      </c>
      <c r="Y510" s="631">
        <v>0</v>
      </c>
      <c r="Z510" s="631">
        <v>0</v>
      </c>
      <c r="AA510" s="631">
        <v>0</v>
      </c>
      <c r="AB510" s="631">
        <v>0</v>
      </c>
      <c r="AC510" s="631">
        <v>0</v>
      </c>
      <c r="AD510" s="631">
        <v>0</v>
      </c>
      <c r="AE510" s="631">
        <v>0</v>
      </c>
    </row>
    <row r="511" spans="1:31" ht="15" hidden="1" thickBot="1">
      <c r="A511" s="634">
        <v>43</v>
      </c>
      <c r="B511" s="639"/>
      <c r="C511" s="372"/>
      <c r="D511" s="372" t="s">
        <v>822</v>
      </c>
      <c r="E511" s="372"/>
      <c r="F511" s="652">
        <v>3452940</v>
      </c>
      <c r="G511" s="372"/>
      <c r="H511" s="652">
        <v>428714</v>
      </c>
      <c r="I511" s="653"/>
      <c r="J511" s="652">
        <v>-119288</v>
      </c>
      <c r="K511" s="635"/>
      <c r="L511" s="652">
        <v>-97715</v>
      </c>
      <c r="M511" s="635"/>
      <c r="N511" s="652">
        <v>5446</v>
      </c>
      <c r="O511" s="635"/>
      <c r="P511" s="652">
        <v>36384</v>
      </c>
      <c r="Q511" s="635"/>
      <c r="R511" s="652">
        <v>3706481</v>
      </c>
      <c r="S511" s="635"/>
      <c r="T511" s="652">
        <v>3574431</v>
      </c>
      <c r="U511" s="626"/>
      <c r="V511" s="626"/>
      <c r="W511" s="626"/>
      <c r="X511" s="641">
        <v>5</v>
      </c>
      <c r="Y511" s="641">
        <v>5</v>
      </c>
      <c r="Z511" s="641">
        <v>5</v>
      </c>
      <c r="AA511" s="641">
        <v>5</v>
      </c>
      <c r="AB511" s="641">
        <v>5</v>
      </c>
      <c r="AC511" s="641">
        <v>5</v>
      </c>
      <c r="AD511" s="641">
        <v>5</v>
      </c>
      <c r="AE511" s="641">
        <v>5</v>
      </c>
    </row>
    <row r="512" spans="1:31" ht="15.6" hidden="1" thickTop="1" thickBot="1">
      <c r="A512" s="637">
        <v>44</v>
      </c>
      <c r="B512" s="660" t="s">
        <v>67</v>
      </c>
      <c r="C512" s="660"/>
      <c r="D512" s="625"/>
      <c r="E512" s="625"/>
      <c r="F512" s="625"/>
      <c r="G512" s="625"/>
      <c r="H512" s="625"/>
      <c r="I512" s="674"/>
      <c r="J512" s="674"/>
      <c r="K512" s="625"/>
      <c r="L512" s="625"/>
      <c r="M512" s="625"/>
      <c r="N512" s="625"/>
      <c r="O512" s="625"/>
      <c r="P512" s="625"/>
      <c r="Q512" s="638"/>
      <c r="R512" s="625"/>
      <c r="S512" s="625"/>
      <c r="T512" s="625"/>
      <c r="U512" s="626"/>
      <c r="V512" s="626"/>
      <c r="W512" s="626"/>
      <c r="X512" s="631">
        <v>0</v>
      </c>
      <c r="Y512" s="631">
        <v>0</v>
      </c>
      <c r="Z512" s="631">
        <v>0</v>
      </c>
      <c r="AA512" s="631">
        <v>0</v>
      </c>
      <c r="AB512" s="631">
        <v>0</v>
      </c>
      <c r="AC512" s="631">
        <v>0</v>
      </c>
      <c r="AD512" s="631">
        <v>0</v>
      </c>
      <c r="AE512" s="631">
        <v>0</v>
      </c>
    </row>
    <row r="513" spans="1:31" hidden="1">
      <c r="A513" s="664" t="s">
        <v>818</v>
      </c>
      <c r="B513" s="664"/>
      <c r="C513" s="372"/>
      <c r="D513" s="372"/>
      <c r="E513" s="664"/>
      <c r="F513" s="664"/>
      <c r="G513" s="664"/>
      <c r="H513" s="664"/>
      <c r="I513" s="664"/>
      <c r="J513" s="664"/>
      <c r="K513" s="664"/>
      <c r="L513" s="664"/>
      <c r="M513" s="664"/>
      <c r="N513" s="664"/>
      <c r="O513" s="664"/>
      <c r="P513" s="664"/>
      <c r="Q513" s="635"/>
      <c r="R513" s="372" t="s">
        <v>644</v>
      </c>
      <c r="S513" s="664"/>
      <c r="T513" s="664"/>
      <c r="U513" s="626"/>
      <c r="V513" s="626"/>
      <c r="W513" s="626"/>
      <c r="X513" s="631">
        <v>0</v>
      </c>
      <c r="Y513" s="631">
        <v>0</v>
      </c>
      <c r="Z513" s="631">
        <v>0</v>
      </c>
      <c r="AA513" s="631">
        <v>0</v>
      </c>
      <c r="AB513" s="631">
        <v>0</v>
      </c>
      <c r="AC513" s="631">
        <v>0</v>
      </c>
      <c r="AD513" s="631">
        <v>2</v>
      </c>
      <c r="AE513" s="631">
        <v>0</v>
      </c>
    </row>
    <row r="514" spans="1:31" ht="15" hidden="1" thickBot="1">
      <c r="A514" s="625" t="s">
        <v>808</v>
      </c>
      <c r="B514" s="625"/>
      <c r="C514" s="625"/>
      <c r="D514" s="625"/>
      <c r="E514" s="625"/>
      <c r="F514" s="625" t="s">
        <v>809</v>
      </c>
      <c r="G514" s="625"/>
      <c r="H514" s="625"/>
      <c r="I514" s="625"/>
      <c r="J514" s="625"/>
      <c r="K514" s="625"/>
      <c r="L514" s="625"/>
      <c r="M514" s="625"/>
      <c r="N514" s="625"/>
      <c r="O514" s="625"/>
      <c r="P514" s="625"/>
      <c r="Q514" s="638"/>
      <c r="R514" s="625"/>
      <c r="S514" s="625"/>
      <c r="T514" s="625" t="s">
        <v>806</v>
      </c>
      <c r="U514" s="626"/>
      <c r="V514" s="626"/>
      <c r="W514" s="626"/>
      <c r="X514" s="631">
        <v>2</v>
      </c>
      <c r="Y514" s="631">
        <v>0</v>
      </c>
      <c r="Z514" s="631">
        <v>0</v>
      </c>
      <c r="AA514" s="631">
        <v>0</v>
      </c>
      <c r="AB514" s="631">
        <v>0</v>
      </c>
      <c r="AC514" s="631">
        <v>0</v>
      </c>
      <c r="AD514" s="631">
        <v>0</v>
      </c>
      <c r="AE514" s="631">
        <v>2</v>
      </c>
    </row>
    <row r="515" spans="1:31" hidden="1">
      <c r="A515" s="664" t="s">
        <v>4</v>
      </c>
      <c r="B515" s="664"/>
      <c r="C515" s="372"/>
      <c r="D515" s="372"/>
      <c r="E515" s="635" t="s">
        <v>553</v>
      </c>
      <c r="F515" s="372" t="s">
        <v>810</v>
      </c>
      <c r="G515" s="664"/>
      <c r="H515" s="664"/>
      <c r="I515" s="664"/>
      <c r="J515" s="664"/>
      <c r="K515" s="661"/>
      <c r="L515" s="661"/>
      <c r="M515" s="661"/>
      <c r="N515" s="661"/>
      <c r="O515" s="661"/>
      <c r="P515" s="661"/>
      <c r="Q515" s="645"/>
      <c r="R515" s="372" t="s">
        <v>608</v>
      </c>
      <c r="S515" s="664"/>
      <c r="T515" s="664"/>
      <c r="U515" s="626"/>
      <c r="V515" s="626"/>
      <c r="W515" s="626"/>
      <c r="X515" s="631">
        <v>2</v>
      </c>
      <c r="Y515" s="631">
        <v>0</v>
      </c>
      <c r="Z515" s="631">
        <v>0</v>
      </c>
      <c r="AA515" s="631">
        <v>0</v>
      </c>
      <c r="AB515" s="631">
        <v>0</v>
      </c>
      <c r="AC515" s="631">
        <v>0</v>
      </c>
      <c r="AD515" s="631">
        <v>2</v>
      </c>
      <c r="AE515" s="631">
        <v>0</v>
      </c>
    </row>
    <row r="516" spans="1:31" hidden="1">
      <c r="A516" s="372"/>
      <c r="B516" s="372"/>
      <c r="C516" s="372"/>
      <c r="D516" s="372"/>
      <c r="E516" s="372"/>
      <c r="F516" s="372" t="s">
        <v>811</v>
      </c>
      <c r="G516" s="372"/>
      <c r="H516" s="372"/>
      <c r="I516" s="372"/>
      <c r="J516" s="372"/>
      <c r="K516" s="636"/>
      <c r="L516" s="636"/>
      <c r="M516" s="372"/>
      <c r="N516" s="372"/>
      <c r="O516" s="635"/>
      <c r="P516" s="635"/>
      <c r="Q516" s="635"/>
      <c r="R516" s="636" t="s">
        <v>9</v>
      </c>
      <c r="S516" s="372"/>
      <c r="T516" s="372"/>
      <c r="U516" s="626"/>
      <c r="V516" s="626"/>
      <c r="W516" s="626"/>
      <c r="X516" s="631">
        <v>2</v>
      </c>
      <c r="Y516" s="631">
        <v>0</v>
      </c>
      <c r="Z516" s="631">
        <v>0</v>
      </c>
      <c r="AA516" s="631">
        <v>0</v>
      </c>
      <c r="AB516" s="631">
        <v>0</v>
      </c>
      <c r="AC516" s="631">
        <v>0</v>
      </c>
      <c r="AD516" s="631">
        <v>2</v>
      </c>
      <c r="AE516" s="631">
        <v>0</v>
      </c>
    </row>
    <row r="517" spans="1:31" hidden="1">
      <c r="A517" s="372" t="s">
        <v>10</v>
      </c>
      <c r="B517" s="372"/>
      <c r="C517" s="372"/>
      <c r="D517" s="372"/>
      <c r="E517" s="372"/>
      <c r="F517" s="372"/>
      <c r="G517" s="372"/>
      <c r="H517" s="372"/>
      <c r="I517" s="372"/>
      <c r="J517" s="372"/>
      <c r="K517" s="636"/>
      <c r="L517" s="636"/>
      <c r="M517" s="372"/>
      <c r="N517" s="372"/>
      <c r="O517" s="372"/>
      <c r="P517" s="372"/>
      <c r="Q517" s="635"/>
      <c r="R517" s="636" t="s">
        <v>11</v>
      </c>
      <c r="S517" s="372"/>
      <c r="T517" s="372"/>
      <c r="U517" s="626"/>
      <c r="V517" s="626"/>
      <c r="W517" s="626"/>
      <c r="X517" s="631">
        <v>2</v>
      </c>
      <c r="Y517" s="631">
        <v>0</v>
      </c>
      <c r="Z517" s="631">
        <v>0</v>
      </c>
      <c r="AA517" s="631">
        <v>0</v>
      </c>
      <c r="AB517" s="631">
        <v>0</v>
      </c>
      <c r="AC517" s="631">
        <v>0</v>
      </c>
      <c r="AD517" s="631">
        <v>2</v>
      </c>
      <c r="AE517" s="631">
        <v>0</v>
      </c>
    </row>
    <row r="518" spans="1:31" hidden="1">
      <c r="A518" s="372"/>
      <c r="B518" s="372"/>
      <c r="C518" s="372"/>
      <c r="D518" s="372"/>
      <c r="E518" s="372"/>
      <c r="F518" s="372"/>
      <c r="G518" s="372"/>
      <c r="H518" s="372"/>
      <c r="I518" s="372"/>
      <c r="J518" s="372"/>
      <c r="K518" s="636"/>
      <c r="L518" s="636"/>
      <c r="M518" s="372"/>
      <c r="N518" s="372"/>
      <c r="O518" s="372"/>
      <c r="P518" s="372"/>
      <c r="Q518" s="635" t="s">
        <v>12</v>
      </c>
      <c r="R518" s="636" t="s">
        <v>13</v>
      </c>
      <c r="S518" s="372"/>
      <c r="T518" s="372"/>
      <c r="U518" s="626"/>
      <c r="V518" s="626"/>
      <c r="W518" s="626"/>
      <c r="X518" s="631">
        <v>2</v>
      </c>
      <c r="Y518" s="631">
        <v>0</v>
      </c>
      <c r="Z518" s="631">
        <v>0</v>
      </c>
      <c r="AA518" s="631">
        <v>0</v>
      </c>
      <c r="AB518" s="631">
        <v>0</v>
      </c>
      <c r="AC518" s="631">
        <v>0</v>
      </c>
      <c r="AD518" s="631">
        <v>2</v>
      </c>
      <c r="AE518" s="631">
        <v>0</v>
      </c>
    </row>
    <row r="519" spans="1:31" hidden="1">
      <c r="A519" s="372"/>
      <c r="B519" s="372"/>
      <c r="C519" s="372"/>
      <c r="D519" s="372"/>
      <c r="E519" s="372"/>
      <c r="F519" s="372"/>
      <c r="G519" s="372"/>
      <c r="H519" s="372"/>
      <c r="I519" s="372"/>
      <c r="J519" s="372"/>
      <c r="K519" s="636"/>
      <c r="L519" s="636"/>
      <c r="M519" s="372"/>
      <c r="N519" s="372"/>
      <c r="O519" s="372"/>
      <c r="P519" s="372"/>
      <c r="Q519" s="635"/>
      <c r="R519" s="636" t="s">
        <v>610</v>
      </c>
      <c r="S519" s="372"/>
      <c r="T519" s="372"/>
      <c r="U519" s="626"/>
      <c r="V519" s="626"/>
      <c r="W519" s="626"/>
      <c r="X519" s="631">
        <v>0</v>
      </c>
      <c r="Y519" s="631">
        <v>0</v>
      </c>
      <c r="Z519" s="631">
        <v>0</v>
      </c>
      <c r="AA519" s="631">
        <v>0</v>
      </c>
      <c r="AB519" s="631">
        <v>0</v>
      </c>
      <c r="AC519" s="631">
        <v>0</v>
      </c>
      <c r="AD519" s="631">
        <v>2</v>
      </c>
      <c r="AE519" s="631">
        <v>0</v>
      </c>
    </row>
    <row r="520" spans="1:31" ht="15" hidden="1" thickBot="1">
      <c r="A520" s="625" t="s">
        <v>611</v>
      </c>
      <c r="B520" s="625"/>
      <c r="C520" s="625"/>
      <c r="D520" s="625"/>
      <c r="E520" s="625"/>
      <c r="F520" s="625"/>
      <c r="G520" s="625"/>
      <c r="H520" s="637" t="s">
        <v>812</v>
      </c>
      <c r="I520" s="625"/>
      <c r="J520" s="625"/>
      <c r="K520" s="625"/>
      <c r="L520" s="625"/>
      <c r="M520" s="625"/>
      <c r="N520" s="625"/>
      <c r="O520" s="625"/>
      <c r="P520" s="625"/>
      <c r="Q520" s="638"/>
      <c r="R520" s="625" t="s">
        <v>249</v>
      </c>
      <c r="S520" s="625"/>
      <c r="T520" s="625"/>
      <c r="U520" s="626"/>
      <c r="V520" s="626"/>
      <c r="W520" s="626"/>
      <c r="X520" s="631">
        <v>2</v>
      </c>
      <c r="Y520" s="631">
        <v>2</v>
      </c>
      <c r="Z520" s="631">
        <v>0</v>
      </c>
      <c r="AA520" s="631">
        <v>0</v>
      </c>
      <c r="AB520" s="631">
        <v>0</v>
      </c>
      <c r="AC520" s="631">
        <v>0</v>
      </c>
      <c r="AD520" s="631">
        <v>2</v>
      </c>
      <c r="AE520" s="631">
        <v>0</v>
      </c>
    </row>
    <row r="521" spans="1:31" hidden="1">
      <c r="A521" s="634"/>
      <c r="B521" s="664"/>
      <c r="C521" s="664"/>
      <c r="D521" s="634"/>
      <c r="E521" s="634"/>
      <c r="F521" s="634"/>
      <c r="G521" s="634"/>
      <c r="H521" s="634"/>
      <c r="I521" s="634"/>
      <c r="J521" s="634"/>
      <c r="K521" s="634"/>
      <c r="L521" s="634"/>
      <c r="M521" s="634"/>
      <c r="N521" s="634"/>
      <c r="O521" s="634"/>
      <c r="P521" s="634"/>
      <c r="Q521" s="635"/>
      <c r="R521" s="634"/>
      <c r="S521" s="634"/>
      <c r="T521" s="634"/>
      <c r="U521" s="626"/>
      <c r="V521" s="626"/>
      <c r="W521" s="626"/>
      <c r="X521" s="631">
        <v>0</v>
      </c>
      <c r="Y521" s="631">
        <v>0</v>
      </c>
      <c r="Z521" s="631">
        <v>0</v>
      </c>
      <c r="AA521" s="631">
        <v>0</v>
      </c>
      <c r="AB521" s="631">
        <v>0</v>
      </c>
      <c r="AC521" s="631">
        <v>0</v>
      </c>
      <c r="AD521" s="631">
        <v>0</v>
      </c>
      <c r="AE521" s="631">
        <v>0</v>
      </c>
    </row>
    <row r="522" spans="1:31" hidden="1">
      <c r="A522" s="634"/>
      <c r="B522" s="372"/>
      <c r="C522" s="634">
        <v>-1</v>
      </c>
      <c r="D522" s="634">
        <v>-2</v>
      </c>
      <c r="E522" s="634"/>
      <c r="F522" s="634">
        <v>-3</v>
      </c>
      <c r="G522" s="634"/>
      <c r="H522" s="634">
        <v>-4</v>
      </c>
      <c r="I522" s="634"/>
      <c r="J522" s="634">
        <v>-5</v>
      </c>
      <c r="K522" s="634"/>
      <c r="L522" s="634">
        <v>-6</v>
      </c>
      <c r="M522" s="634"/>
      <c r="N522" s="634">
        <v>-7</v>
      </c>
      <c r="O522" s="634"/>
      <c r="P522" s="634">
        <v>-8</v>
      </c>
      <c r="Q522" s="635"/>
      <c r="R522" s="634">
        <v>-9</v>
      </c>
      <c r="S522" s="634"/>
      <c r="T522" s="634">
        <v>-10</v>
      </c>
      <c r="U522" s="626"/>
      <c r="V522" s="626"/>
      <c r="W522" s="626"/>
      <c r="X522" s="631">
        <v>2</v>
      </c>
      <c r="Y522" s="631">
        <v>2</v>
      </c>
      <c r="Z522" s="631">
        <v>2</v>
      </c>
      <c r="AA522" s="631">
        <v>2</v>
      </c>
      <c r="AB522" s="631">
        <v>2</v>
      </c>
      <c r="AC522" s="631">
        <v>2</v>
      </c>
      <c r="AD522" s="631">
        <v>2</v>
      </c>
      <c r="AE522" s="631">
        <v>2</v>
      </c>
    </row>
    <row r="523" spans="1:31" hidden="1">
      <c r="A523" s="634"/>
      <c r="B523" s="372"/>
      <c r="C523" s="634" t="s">
        <v>613</v>
      </c>
      <c r="D523" s="634" t="s">
        <v>613</v>
      </c>
      <c r="E523" s="372"/>
      <c r="F523" s="634" t="s">
        <v>27</v>
      </c>
      <c r="G523" s="634"/>
      <c r="H523" s="634" t="s">
        <v>45</v>
      </c>
      <c r="I523" s="634"/>
      <c r="J523" s="634"/>
      <c r="K523" s="634"/>
      <c r="L523" s="634"/>
      <c r="M523" s="634"/>
      <c r="N523" s="372"/>
      <c r="O523" s="372"/>
      <c r="P523" s="372"/>
      <c r="Q523" s="635"/>
      <c r="R523" s="634" t="s">
        <v>27</v>
      </c>
      <c r="S523" s="372"/>
      <c r="T523" s="372"/>
      <c r="U523" s="626"/>
      <c r="V523" s="626"/>
      <c r="W523" s="626"/>
      <c r="X523" s="631">
        <v>2</v>
      </c>
      <c r="Y523" s="631">
        <v>2</v>
      </c>
      <c r="Z523" s="631">
        <v>0</v>
      </c>
      <c r="AA523" s="631">
        <v>0</v>
      </c>
      <c r="AB523" s="631">
        <v>0</v>
      </c>
      <c r="AC523" s="631">
        <v>0</v>
      </c>
      <c r="AD523" s="631">
        <v>2</v>
      </c>
      <c r="AE523" s="631">
        <v>0</v>
      </c>
    </row>
    <row r="524" spans="1:31" hidden="1">
      <c r="A524" s="634" t="s">
        <v>35</v>
      </c>
      <c r="B524" s="634"/>
      <c r="C524" s="634" t="s">
        <v>614</v>
      </c>
      <c r="D524" s="634" t="s">
        <v>614</v>
      </c>
      <c r="E524" s="634"/>
      <c r="F524" s="634" t="s">
        <v>37</v>
      </c>
      <c r="G524" s="634"/>
      <c r="H524" s="634" t="s">
        <v>37</v>
      </c>
      <c r="I524" s="634"/>
      <c r="J524" s="634"/>
      <c r="K524" s="634"/>
      <c r="L524" s="634" t="s">
        <v>813</v>
      </c>
      <c r="M524" s="636"/>
      <c r="N524" s="634" t="s">
        <v>813</v>
      </c>
      <c r="O524" s="634"/>
      <c r="P524" s="634" t="s">
        <v>178</v>
      </c>
      <c r="Q524" s="635"/>
      <c r="R524" s="634" t="s">
        <v>37</v>
      </c>
      <c r="S524" s="634"/>
      <c r="T524" s="634" t="s">
        <v>353</v>
      </c>
      <c r="U524" s="626"/>
      <c r="V524" s="626"/>
      <c r="W524" s="626"/>
      <c r="X524" s="631">
        <v>2</v>
      </c>
      <c r="Y524" s="631">
        <v>2</v>
      </c>
      <c r="Z524" s="631">
        <v>0</v>
      </c>
      <c r="AA524" s="631">
        <v>2</v>
      </c>
      <c r="AB524" s="631">
        <v>2</v>
      </c>
      <c r="AC524" s="631">
        <v>2</v>
      </c>
      <c r="AD524" s="631">
        <v>2</v>
      </c>
      <c r="AE524" s="631">
        <v>2</v>
      </c>
    </row>
    <row r="525" spans="1:31" ht="15" hidden="1" thickBot="1">
      <c r="A525" s="637" t="s">
        <v>46</v>
      </c>
      <c r="B525" s="637"/>
      <c r="C525" s="637" t="s">
        <v>371</v>
      </c>
      <c r="D525" s="637" t="s">
        <v>617</v>
      </c>
      <c r="E525" s="637"/>
      <c r="F525" s="637" t="s">
        <v>619</v>
      </c>
      <c r="G525" s="637"/>
      <c r="H525" s="637" t="s">
        <v>814</v>
      </c>
      <c r="I525" s="637"/>
      <c r="J525" s="637" t="s">
        <v>815</v>
      </c>
      <c r="K525" s="637"/>
      <c r="L525" s="637" t="s">
        <v>816</v>
      </c>
      <c r="M525" s="637"/>
      <c r="N525" s="637" t="s">
        <v>817</v>
      </c>
      <c r="O525" s="637"/>
      <c r="P525" s="637" t="s">
        <v>622</v>
      </c>
      <c r="Q525" s="638"/>
      <c r="R525" s="637" t="s">
        <v>623</v>
      </c>
      <c r="S525" s="637"/>
      <c r="T525" s="637" t="s">
        <v>369</v>
      </c>
      <c r="U525" s="626"/>
      <c r="V525" s="626"/>
      <c r="W525" s="626"/>
      <c r="X525" s="631">
        <v>2</v>
      </c>
      <c r="Y525" s="631">
        <v>2</v>
      </c>
      <c r="Z525" s="631">
        <v>2</v>
      </c>
      <c r="AA525" s="631">
        <v>2</v>
      </c>
      <c r="AB525" s="631">
        <v>2</v>
      </c>
      <c r="AC525" s="631">
        <v>2</v>
      </c>
      <c r="AD525" s="631">
        <v>2</v>
      </c>
      <c r="AE525" s="631">
        <v>2</v>
      </c>
    </row>
    <row r="526" spans="1:31" hidden="1">
      <c r="A526" s="634">
        <v>1</v>
      </c>
      <c r="B526" s="639"/>
      <c r="C526" s="372"/>
      <c r="D526" s="372"/>
      <c r="E526" s="664"/>
      <c r="F526" s="664"/>
      <c r="G526" s="664"/>
      <c r="H526" s="664"/>
      <c r="I526" s="664"/>
      <c r="J526" s="664"/>
      <c r="K526" s="664"/>
      <c r="L526" s="664"/>
      <c r="M526" s="664"/>
      <c r="N526" s="664"/>
      <c r="O526" s="664"/>
      <c r="P526" s="664"/>
      <c r="Q526" s="635"/>
      <c r="R526" s="372"/>
      <c r="S526" s="664"/>
      <c r="T526" s="664"/>
      <c r="U526" s="626"/>
      <c r="V526" s="626"/>
      <c r="W526" s="626"/>
      <c r="X526" s="631">
        <v>0</v>
      </c>
      <c r="Y526" s="631">
        <v>0</v>
      </c>
      <c r="Z526" s="631">
        <v>0</v>
      </c>
      <c r="AA526" s="631">
        <v>0</v>
      </c>
      <c r="AB526" s="631">
        <v>0</v>
      </c>
      <c r="AC526" s="631">
        <v>0</v>
      </c>
      <c r="AD526" s="631">
        <v>0</v>
      </c>
      <c r="AE526" s="631">
        <v>0</v>
      </c>
    </row>
    <row r="527" spans="1:31" hidden="1">
      <c r="A527" s="634">
        <v>2</v>
      </c>
      <c r="B527" s="639"/>
      <c r="C527" s="372"/>
      <c r="D527" s="372"/>
      <c r="E527" s="372"/>
      <c r="F527" s="372"/>
      <c r="G527" s="372"/>
      <c r="H527" s="372"/>
      <c r="I527" s="372"/>
      <c r="J527" s="372"/>
      <c r="K527" s="372"/>
      <c r="L527" s="372"/>
      <c r="M527" s="372"/>
      <c r="N527" s="372"/>
      <c r="O527" s="372"/>
      <c r="P527" s="372"/>
      <c r="Q527" s="635"/>
      <c r="R527" s="372"/>
      <c r="S527" s="372"/>
      <c r="T527" s="372"/>
      <c r="U527" s="626"/>
      <c r="V527" s="626"/>
      <c r="W527" s="626"/>
      <c r="X527" s="631">
        <v>0</v>
      </c>
      <c r="Y527" s="631">
        <v>0</v>
      </c>
      <c r="Z527" s="631">
        <v>0</v>
      </c>
      <c r="AA527" s="631">
        <v>0</v>
      </c>
      <c r="AB527" s="631">
        <v>0</v>
      </c>
      <c r="AC527" s="631">
        <v>0</v>
      </c>
      <c r="AD527" s="631">
        <v>0</v>
      </c>
      <c r="AE527" s="631">
        <v>0</v>
      </c>
    </row>
    <row r="528" spans="1:31" hidden="1">
      <c r="A528" s="634">
        <v>3</v>
      </c>
      <c r="B528" s="639"/>
      <c r="C528" s="372"/>
      <c r="D528" s="372" t="s">
        <v>663</v>
      </c>
      <c r="E528" s="372"/>
      <c r="F528" s="658">
        <v>493197</v>
      </c>
      <c r="G528" s="372"/>
      <c r="H528" s="658">
        <v>45783</v>
      </c>
      <c r="I528" s="372"/>
      <c r="J528" s="658">
        <v>-14684</v>
      </c>
      <c r="K528" s="372"/>
      <c r="L528" s="658">
        <v>-8019</v>
      </c>
      <c r="M528" s="372"/>
      <c r="N528" s="372">
        <v>359</v>
      </c>
      <c r="O528" s="372"/>
      <c r="P528" s="372" t="s">
        <v>635</v>
      </c>
      <c r="Q528" s="635"/>
      <c r="R528" s="658">
        <v>516636</v>
      </c>
      <c r="S528" s="372"/>
      <c r="T528" s="658">
        <v>505866</v>
      </c>
      <c r="U528" s="626"/>
      <c r="V528" s="626"/>
      <c r="W528" s="626"/>
      <c r="X528" s="641">
        <v>5</v>
      </c>
      <c r="Y528" s="641">
        <v>4</v>
      </c>
      <c r="Z528" s="641">
        <v>5</v>
      </c>
      <c r="AA528" s="641">
        <v>5</v>
      </c>
      <c r="AB528" s="641">
        <v>5</v>
      </c>
      <c r="AC528" s="631">
        <v>0</v>
      </c>
      <c r="AD528" s="641">
        <v>5</v>
      </c>
      <c r="AE528" s="641">
        <v>5</v>
      </c>
    </row>
    <row r="529" spans="1:31" hidden="1">
      <c r="A529" s="634">
        <v>4</v>
      </c>
      <c r="B529" s="639"/>
      <c r="C529" s="372"/>
      <c r="D529" s="372"/>
      <c r="E529" s="372"/>
      <c r="F529" s="372"/>
      <c r="G529" s="372"/>
      <c r="H529" s="372"/>
      <c r="I529" s="372"/>
      <c r="J529" s="372"/>
      <c r="K529" s="372"/>
      <c r="L529" s="372"/>
      <c r="M529" s="372"/>
      <c r="N529" s="372"/>
      <c r="O529" s="372"/>
      <c r="P529" s="372"/>
      <c r="Q529" s="635"/>
      <c r="R529" s="372"/>
      <c r="S529" s="372"/>
      <c r="T529" s="372"/>
      <c r="U529" s="626"/>
      <c r="V529" s="626"/>
      <c r="W529" s="626"/>
      <c r="X529" s="631">
        <v>0</v>
      </c>
      <c r="Y529" s="631">
        <v>0</v>
      </c>
      <c r="Z529" s="631">
        <v>0</v>
      </c>
      <c r="AA529" s="631">
        <v>0</v>
      </c>
      <c r="AB529" s="631">
        <v>0</v>
      </c>
      <c r="AC529" s="631">
        <v>0</v>
      </c>
      <c r="AD529" s="631">
        <v>0</v>
      </c>
      <c r="AE529" s="631">
        <v>0</v>
      </c>
    </row>
    <row r="530" spans="1:31" hidden="1">
      <c r="A530" s="634">
        <v>5</v>
      </c>
      <c r="B530" s="639"/>
      <c r="C530" s="372"/>
      <c r="D530" s="372" t="s">
        <v>721</v>
      </c>
      <c r="E530" s="372"/>
      <c r="F530" s="659">
        <v>1094341</v>
      </c>
      <c r="G530" s="372"/>
      <c r="H530" s="659">
        <v>171474</v>
      </c>
      <c r="I530" s="372"/>
      <c r="J530" s="659">
        <v>-19779</v>
      </c>
      <c r="K530" s="372"/>
      <c r="L530" s="659">
        <v>-8677</v>
      </c>
      <c r="M530" s="372"/>
      <c r="N530" s="659">
        <v>1146</v>
      </c>
      <c r="O530" s="372"/>
      <c r="P530" s="363" t="s">
        <v>635</v>
      </c>
      <c r="Q530" s="635"/>
      <c r="R530" s="659">
        <v>1238505</v>
      </c>
      <c r="S530" s="372"/>
      <c r="T530" s="659">
        <v>1164194</v>
      </c>
      <c r="U530" s="626"/>
      <c r="V530" s="626"/>
      <c r="W530" s="626"/>
      <c r="X530" s="641">
        <v>5</v>
      </c>
      <c r="Y530" s="641">
        <v>5</v>
      </c>
      <c r="Z530" s="641">
        <v>5</v>
      </c>
      <c r="AA530" s="641">
        <v>5</v>
      </c>
      <c r="AB530" s="641">
        <v>5</v>
      </c>
      <c r="AC530" s="631">
        <v>0</v>
      </c>
      <c r="AD530" s="641">
        <v>5</v>
      </c>
      <c r="AE530" s="641">
        <v>5</v>
      </c>
    </row>
    <row r="531" spans="1:31" hidden="1">
      <c r="A531" s="634">
        <v>6</v>
      </c>
      <c r="B531" s="639"/>
      <c r="C531" s="372"/>
      <c r="D531" s="372"/>
      <c r="E531" s="372"/>
      <c r="F531" s="372"/>
      <c r="G531" s="372"/>
      <c r="H531" s="372"/>
      <c r="I531" s="372"/>
      <c r="J531" s="372"/>
      <c r="K531" s="372"/>
      <c r="L531" s="372"/>
      <c r="M531" s="372"/>
      <c r="N531" s="372"/>
      <c r="O531" s="372"/>
      <c r="P531" s="372"/>
      <c r="Q531" s="635"/>
      <c r="R531" s="383"/>
      <c r="S531" s="372"/>
      <c r="T531" s="372"/>
      <c r="U531" s="626"/>
      <c r="V531" s="626"/>
      <c r="W531" s="626"/>
      <c r="X531" s="631">
        <v>0</v>
      </c>
      <c r="Y531" s="631">
        <v>0</v>
      </c>
      <c r="Z531" s="631">
        <v>0</v>
      </c>
      <c r="AA531" s="631">
        <v>0</v>
      </c>
      <c r="AB531" s="631">
        <v>0</v>
      </c>
      <c r="AC531" s="631">
        <v>0</v>
      </c>
      <c r="AD531" s="631">
        <v>0</v>
      </c>
      <c r="AE531" s="631">
        <v>0</v>
      </c>
    </row>
    <row r="532" spans="1:31" ht="15" hidden="1" thickBot="1">
      <c r="A532" s="634">
        <v>7</v>
      </c>
      <c r="B532" s="639"/>
      <c r="C532" s="372"/>
      <c r="D532" s="372" t="s">
        <v>722</v>
      </c>
      <c r="E532" s="372"/>
      <c r="F532" s="646">
        <v>1587538</v>
      </c>
      <c r="G532" s="372"/>
      <c r="H532" s="646">
        <v>217257</v>
      </c>
      <c r="I532" s="372"/>
      <c r="J532" s="646">
        <v>-34463</v>
      </c>
      <c r="K532" s="372"/>
      <c r="L532" s="646">
        <v>-16696</v>
      </c>
      <c r="M532" s="372"/>
      <c r="N532" s="646">
        <v>1505</v>
      </c>
      <c r="O532" s="372"/>
      <c r="P532" s="647" t="s">
        <v>635</v>
      </c>
      <c r="Q532" s="635"/>
      <c r="R532" s="646">
        <v>1755141</v>
      </c>
      <c r="S532" s="372"/>
      <c r="T532" s="646">
        <v>1670060</v>
      </c>
      <c r="U532" s="626"/>
      <c r="V532" s="626"/>
      <c r="W532" s="626"/>
      <c r="X532" s="641">
        <v>5</v>
      </c>
      <c r="Y532" s="641">
        <v>5</v>
      </c>
      <c r="Z532" s="641">
        <v>5</v>
      </c>
      <c r="AA532" s="641">
        <v>5</v>
      </c>
      <c r="AB532" s="641">
        <v>5</v>
      </c>
      <c r="AC532" s="631">
        <v>0</v>
      </c>
      <c r="AD532" s="641">
        <v>5</v>
      </c>
      <c r="AE532" s="641">
        <v>5</v>
      </c>
    </row>
    <row r="533" spans="1:31" ht="15" hidden="1" thickTop="1">
      <c r="A533" s="634">
        <v>8</v>
      </c>
      <c r="B533" s="639"/>
      <c r="C533" s="372"/>
      <c r="D533" s="372"/>
      <c r="E533" s="372"/>
      <c r="F533" s="372"/>
      <c r="G533" s="372"/>
      <c r="H533" s="372"/>
      <c r="I533" s="372"/>
      <c r="J533" s="372"/>
      <c r="K533" s="372"/>
      <c r="L533" s="372"/>
      <c r="M533" s="372"/>
      <c r="N533" s="372"/>
      <c r="O533" s="372"/>
      <c r="P533" s="372"/>
      <c r="Q533" s="635"/>
      <c r="R533" s="372"/>
      <c r="S533" s="372"/>
      <c r="T533" s="372"/>
      <c r="U533" s="626"/>
      <c r="V533" s="626"/>
      <c r="W533" s="626"/>
      <c r="X533" s="631">
        <v>0</v>
      </c>
      <c r="Y533" s="631">
        <v>0</v>
      </c>
      <c r="Z533" s="631">
        <v>0</v>
      </c>
      <c r="AA533" s="631">
        <v>0</v>
      </c>
      <c r="AB533" s="631">
        <v>0</v>
      </c>
      <c r="AC533" s="631">
        <v>0</v>
      </c>
      <c r="AD533" s="631">
        <v>0</v>
      </c>
      <c r="AE533" s="631">
        <v>0</v>
      </c>
    </row>
    <row r="534" spans="1:31" hidden="1">
      <c r="A534" s="634">
        <v>9</v>
      </c>
      <c r="B534" s="639"/>
      <c r="C534" s="372"/>
      <c r="D534" s="372" t="s">
        <v>735</v>
      </c>
      <c r="E534" s="372"/>
      <c r="F534" s="658">
        <v>270708</v>
      </c>
      <c r="G534" s="372"/>
      <c r="H534" s="658">
        <v>28514</v>
      </c>
      <c r="I534" s="372"/>
      <c r="J534" s="658">
        <v>-6911</v>
      </c>
      <c r="K534" s="372"/>
      <c r="L534" s="658">
        <v>-5772</v>
      </c>
      <c r="M534" s="372"/>
      <c r="N534" s="372">
        <v>473</v>
      </c>
      <c r="O534" s="372"/>
      <c r="P534" s="372">
        <v>146</v>
      </c>
      <c r="Q534" s="635"/>
      <c r="R534" s="658">
        <v>287158</v>
      </c>
      <c r="S534" s="372"/>
      <c r="T534" s="658">
        <v>278998</v>
      </c>
      <c r="U534" s="626"/>
      <c r="V534" s="626"/>
      <c r="W534" s="626"/>
      <c r="X534" s="641">
        <v>5</v>
      </c>
      <c r="Y534" s="641">
        <v>5</v>
      </c>
      <c r="Z534" s="641">
        <v>5</v>
      </c>
      <c r="AA534" s="641">
        <v>5</v>
      </c>
      <c r="AB534" s="641">
        <v>5</v>
      </c>
      <c r="AC534" s="641">
        <v>5</v>
      </c>
      <c r="AD534" s="641">
        <v>5</v>
      </c>
      <c r="AE534" s="641">
        <v>5</v>
      </c>
    </row>
    <row r="535" spans="1:31" hidden="1">
      <c r="A535" s="634">
        <v>10</v>
      </c>
      <c r="B535" s="639"/>
      <c r="C535" s="372"/>
      <c r="D535" s="372"/>
      <c r="E535" s="372"/>
      <c r="F535" s="372"/>
      <c r="G535" s="372"/>
      <c r="H535" s="372"/>
      <c r="I535" s="372"/>
      <c r="J535" s="372"/>
      <c r="K535" s="372"/>
      <c r="L535" s="372"/>
      <c r="M535" s="372"/>
      <c r="N535" s="372"/>
      <c r="O535" s="372"/>
      <c r="P535" s="372"/>
      <c r="Q535" s="635"/>
      <c r="R535" s="372"/>
      <c r="S535" s="372"/>
      <c r="T535" s="372"/>
      <c r="U535" s="626"/>
      <c r="V535" s="626"/>
      <c r="W535" s="626"/>
      <c r="X535" s="631">
        <v>0</v>
      </c>
      <c r="Y535" s="631">
        <v>0</v>
      </c>
      <c r="Z535" s="631">
        <v>0</v>
      </c>
      <c r="AA535" s="631">
        <v>0</v>
      </c>
      <c r="AB535" s="631">
        <v>0</v>
      </c>
      <c r="AC535" s="631">
        <v>0</v>
      </c>
      <c r="AD535" s="631">
        <v>0</v>
      </c>
      <c r="AE535" s="631">
        <v>0</v>
      </c>
    </row>
    <row r="536" spans="1:31" hidden="1">
      <c r="A536" s="634">
        <v>11</v>
      </c>
      <c r="B536" s="639"/>
      <c r="C536" s="372"/>
      <c r="D536" s="372" t="s">
        <v>747</v>
      </c>
      <c r="E536" s="372"/>
      <c r="F536" s="658">
        <v>1178281</v>
      </c>
      <c r="G536" s="372"/>
      <c r="H536" s="658">
        <v>110512</v>
      </c>
      <c r="I536" s="372"/>
      <c r="J536" s="658">
        <v>-39128</v>
      </c>
      <c r="K536" s="372"/>
      <c r="L536" s="658">
        <v>-30924</v>
      </c>
      <c r="M536" s="372"/>
      <c r="N536" s="658">
        <v>1826</v>
      </c>
      <c r="O536" s="372"/>
      <c r="P536" s="372">
        <v>382</v>
      </c>
      <c r="Q536" s="635"/>
      <c r="R536" s="658">
        <v>1220948</v>
      </c>
      <c r="S536" s="372"/>
      <c r="T536" s="658">
        <v>1202236</v>
      </c>
      <c r="U536" s="626"/>
      <c r="V536" s="626"/>
      <c r="W536" s="626"/>
      <c r="X536" s="641">
        <v>5</v>
      </c>
      <c r="Y536" s="641">
        <v>5</v>
      </c>
      <c r="Z536" s="641">
        <v>5</v>
      </c>
      <c r="AA536" s="641">
        <v>5</v>
      </c>
      <c r="AB536" s="641">
        <v>5</v>
      </c>
      <c r="AC536" s="641">
        <v>5</v>
      </c>
      <c r="AD536" s="641">
        <v>5</v>
      </c>
      <c r="AE536" s="641">
        <v>3</v>
      </c>
    </row>
    <row r="537" spans="1:31" hidden="1">
      <c r="A537" s="634">
        <v>12</v>
      </c>
      <c r="B537" s="639"/>
      <c r="C537" s="372"/>
      <c r="D537" s="372"/>
      <c r="E537" s="372"/>
      <c r="F537" s="372"/>
      <c r="G537" s="372"/>
      <c r="H537" s="372"/>
      <c r="I537" s="372"/>
      <c r="J537" s="372"/>
      <c r="K537" s="372"/>
      <c r="L537" s="372"/>
      <c r="M537" s="372"/>
      <c r="N537" s="372"/>
      <c r="O537" s="372"/>
      <c r="P537" s="372"/>
      <c r="Q537" s="635"/>
      <c r="R537" s="372"/>
      <c r="S537" s="372"/>
      <c r="T537" s="372"/>
      <c r="U537" s="626"/>
      <c r="V537" s="626"/>
      <c r="W537" s="626"/>
      <c r="X537" s="631">
        <v>0</v>
      </c>
      <c r="Y537" s="631">
        <v>0</v>
      </c>
      <c r="Z537" s="631">
        <v>0</v>
      </c>
      <c r="AA537" s="631">
        <v>0</v>
      </c>
      <c r="AB537" s="631">
        <v>0</v>
      </c>
      <c r="AC537" s="631">
        <v>0</v>
      </c>
      <c r="AD537" s="631">
        <v>0</v>
      </c>
      <c r="AE537" s="631">
        <v>0</v>
      </c>
    </row>
    <row r="538" spans="1:31" hidden="1">
      <c r="A538" s="634">
        <v>13</v>
      </c>
      <c r="B538" s="639"/>
      <c r="C538" s="372"/>
      <c r="D538" s="372" t="s">
        <v>767</v>
      </c>
      <c r="E538" s="372"/>
      <c r="F538" s="659">
        <v>155718</v>
      </c>
      <c r="G538" s="372"/>
      <c r="H538" s="659">
        <v>31473</v>
      </c>
      <c r="I538" s="372"/>
      <c r="J538" s="659">
        <v>-14352</v>
      </c>
      <c r="K538" s="372"/>
      <c r="L538" s="363">
        <v>-815</v>
      </c>
      <c r="M538" s="372"/>
      <c r="N538" s="659">
        <v>1058</v>
      </c>
      <c r="O538" s="372"/>
      <c r="P538" s="363">
        <v>-109</v>
      </c>
      <c r="Q538" s="635"/>
      <c r="R538" s="659">
        <v>172973</v>
      </c>
      <c r="S538" s="372"/>
      <c r="T538" s="659">
        <v>163602</v>
      </c>
      <c r="U538" s="626"/>
      <c r="V538" s="626"/>
      <c r="W538" s="626"/>
      <c r="X538" s="641">
        <v>5</v>
      </c>
      <c r="Y538" s="641">
        <v>5</v>
      </c>
      <c r="Z538" s="641">
        <v>5</v>
      </c>
      <c r="AA538" s="641">
        <v>5</v>
      </c>
      <c r="AB538" s="641">
        <v>5</v>
      </c>
      <c r="AC538" s="641">
        <v>5</v>
      </c>
      <c r="AD538" s="641">
        <v>5</v>
      </c>
      <c r="AE538" s="641">
        <v>5</v>
      </c>
    </row>
    <row r="539" spans="1:31" hidden="1">
      <c r="A539" s="634">
        <v>14</v>
      </c>
      <c r="B539" s="639"/>
      <c r="C539" s="372"/>
      <c r="D539" s="372"/>
      <c r="E539" s="372"/>
      <c r="F539" s="372"/>
      <c r="G539" s="372"/>
      <c r="H539" s="372"/>
      <c r="I539" s="372"/>
      <c r="J539" s="372"/>
      <c r="K539" s="372"/>
      <c r="L539" s="372"/>
      <c r="M539" s="372"/>
      <c r="N539" s="372"/>
      <c r="O539" s="372"/>
      <c r="P539" s="372"/>
      <c r="Q539" s="635"/>
      <c r="R539" s="383"/>
      <c r="S539" s="372"/>
      <c r="T539" s="372"/>
      <c r="U539" s="626"/>
      <c r="V539" s="626"/>
      <c r="W539" s="626"/>
      <c r="X539" s="631">
        <v>0</v>
      </c>
      <c r="Y539" s="631">
        <v>0</v>
      </c>
      <c r="Z539" s="631">
        <v>0</v>
      </c>
      <c r="AA539" s="631">
        <v>0</v>
      </c>
      <c r="AB539" s="631">
        <v>0</v>
      </c>
      <c r="AC539" s="631">
        <v>0</v>
      </c>
      <c r="AD539" s="631">
        <v>0</v>
      </c>
      <c r="AE539" s="631">
        <v>0</v>
      </c>
    </row>
    <row r="540" spans="1:31" ht="15" hidden="1" thickBot="1">
      <c r="A540" s="634">
        <v>15</v>
      </c>
      <c r="B540" s="639"/>
      <c r="C540" s="372"/>
      <c r="D540" s="636" t="s">
        <v>819</v>
      </c>
      <c r="E540" s="372"/>
      <c r="F540" s="646">
        <v>3192245</v>
      </c>
      <c r="G540" s="372"/>
      <c r="H540" s="646">
        <v>387755</v>
      </c>
      <c r="I540" s="372"/>
      <c r="J540" s="646">
        <v>-94854</v>
      </c>
      <c r="K540" s="372"/>
      <c r="L540" s="646">
        <v>-54207</v>
      </c>
      <c r="M540" s="372"/>
      <c r="N540" s="646">
        <v>4862</v>
      </c>
      <c r="O540" s="372"/>
      <c r="P540" s="647">
        <v>419</v>
      </c>
      <c r="Q540" s="635"/>
      <c r="R540" s="646">
        <v>3436221</v>
      </c>
      <c r="S540" s="372"/>
      <c r="T540" s="646">
        <v>3314896</v>
      </c>
      <c r="U540" s="722"/>
      <c r="V540" s="626"/>
      <c r="W540" s="626"/>
      <c r="X540" s="641">
        <v>5</v>
      </c>
      <c r="Y540" s="641">
        <v>3</v>
      </c>
      <c r="Z540" s="641">
        <v>5</v>
      </c>
      <c r="AA540" s="641">
        <v>5</v>
      </c>
      <c r="AB540" s="641">
        <v>5</v>
      </c>
      <c r="AC540" s="641">
        <v>5</v>
      </c>
      <c r="AD540" s="641">
        <v>5</v>
      </c>
      <c r="AE540" s="641">
        <v>4</v>
      </c>
    </row>
    <row r="541" spans="1:31" ht="15" hidden="1" thickTop="1">
      <c r="A541" s="634">
        <v>16</v>
      </c>
      <c r="B541" s="639"/>
      <c r="C541" s="372"/>
      <c r="D541" s="372"/>
      <c r="E541" s="372"/>
      <c r="F541" s="372"/>
      <c r="G541" s="372"/>
      <c r="H541" s="372"/>
      <c r="I541" s="372"/>
      <c r="J541" s="372"/>
      <c r="K541" s="372"/>
      <c r="L541" s="372"/>
      <c r="M541" s="372"/>
      <c r="N541" s="372"/>
      <c r="O541" s="372"/>
      <c r="P541" s="372"/>
      <c r="Q541" s="635"/>
      <c r="R541" s="372"/>
      <c r="S541" s="372"/>
      <c r="T541" s="372"/>
      <c r="U541" s="626"/>
      <c r="V541" s="626"/>
      <c r="W541" s="626"/>
      <c r="X541" s="631">
        <v>0</v>
      </c>
      <c r="Y541" s="631">
        <v>0</v>
      </c>
      <c r="Z541" s="631">
        <v>0</v>
      </c>
      <c r="AA541" s="631">
        <v>0</v>
      </c>
      <c r="AB541" s="631">
        <v>0</v>
      </c>
      <c r="AC541" s="631">
        <v>0</v>
      </c>
      <c r="AD541" s="631">
        <v>0</v>
      </c>
      <c r="AE541" s="631">
        <v>0</v>
      </c>
    </row>
    <row r="542" spans="1:31" hidden="1">
      <c r="A542" s="634">
        <v>17</v>
      </c>
      <c r="B542" s="639"/>
      <c r="C542" s="372"/>
      <c r="D542" s="372" t="s">
        <v>778</v>
      </c>
      <c r="E542" s="372"/>
      <c r="F542" s="372" t="s">
        <v>628</v>
      </c>
      <c r="G542" s="372"/>
      <c r="H542" s="372" t="s">
        <v>635</v>
      </c>
      <c r="I542" s="372"/>
      <c r="J542" s="372" t="s">
        <v>635</v>
      </c>
      <c r="K542" s="372"/>
      <c r="L542" s="372" t="s">
        <v>635</v>
      </c>
      <c r="M542" s="372"/>
      <c r="N542" s="372" t="s">
        <v>635</v>
      </c>
      <c r="O542" s="372"/>
      <c r="P542" s="372" t="s">
        <v>635</v>
      </c>
      <c r="Q542" s="635"/>
      <c r="R542" s="372" t="s">
        <v>635</v>
      </c>
      <c r="S542" s="372"/>
      <c r="T542" s="372" t="s">
        <v>635</v>
      </c>
      <c r="U542" s="626"/>
      <c r="V542" s="626"/>
      <c r="W542" s="626"/>
      <c r="X542" s="631">
        <v>0</v>
      </c>
      <c r="Y542" s="631">
        <v>0</v>
      </c>
      <c r="Z542" s="631">
        <v>0</v>
      </c>
      <c r="AA542" s="631">
        <v>0</v>
      </c>
      <c r="AB542" s="631">
        <v>0</v>
      </c>
      <c r="AC542" s="631">
        <v>0</v>
      </c>
      <c r="AD542" s="631">
        <v>0</v>
      </c>
      <c r="AE542" s="631">
        <v>0</v>
      </c>
    </row>
    <row r="543" spans="1:31" hidden="1">
      <c r="A543" s="634">
        <v>18</v>
      </c>
      <c r="B543" s="639"/>
      <c r="C543" s="372"/>
      <c r="D543" s="372"/>
      <c r="E543" s="372"/>
      <c r="F543" s="372"/>
      <c r="G543" s="372"/>
      <c r="H543" s="372"/>
      <c r="I543" s="372"/>
      <c r="J543" s="372"/>
      <c r="K543" s="372"/>
      <c r="L543" s="372"/>
      <c r="M543" s="372"/>
      <c r="N543" s="372"/>
      <c r="O543" s="372"/>
      <c r="P543" s="372"/>
      <c r="Q543" s="635"/>
      <c r="R543" s="372"/>
      <c r="S543" s="372"/>
      <c r="T543" s="372"/>
      <c r="U543" s="626"/>
      <c r="V543" s="626"/>
      <c r="W543" s="626"/>
      <c r="X543" s="631">
        <v>0</v>
      </c>
      <c r="Y543" s="631">
        <v>0</v>
      </c>
      <c r="Z543" s="631">
        <v>0</v>
      </c>
      <c r="AA543" s="631">
        <v>0</v>
      </c>
      <c r="AB543" s="631">
        <v>0</v>
      </c>
      <c r="AC543" s="631">
        <v>0</v>
      </c>
      <c r="AD543" s="631">
        <v>0</v>
      </c>
      <c r="AE543" s="631">
        <v>0</v>
      </c>
    </row>
    <row r="544" spans="1:31" hidden="1">
      <c r="A544" s="634">
        <v>19</v>
      </c>
      <c r="B544" s="639"/>
      <c r="C544" s="372"/>
      <c r="D544" s="636" t="s">
        <v>783</v>
      </c>
      <c r="E544" s="372"/>
      <c r="F544" s="658">
        <v>128784</v>
      </c>
      <c r="G544" s="372"/>
      <c r="H544" s="658">
        <v>31984</v>
      </c>
      <c r="I544" s="372"/>
      <c r="J544" s="372" t="s">
        <v>635</v>
      </c>
      <c r="K544" s="372"/>
      <c r="L544" s="372" t="s">
        <v>635</v>
      </c>
      <c r="M544" s="372"/>
      <c r="N544" s="372" t="s">
        <v>635</v>
      </c>
      <c r="O544" s="372"/>
      <c r="P544" s="372" t="s">
        <v>635</v>
      </c>
      <c r="Q544" s="635"/>
      <c r="R544" s="658">
        <v>160768</v>
      </c>
      <c r="S544" s="372"/>
      <c r="T544" s="658">
        <v>144587</v>
      </c>
      <c r="U544" s="626"/>
      <c r="V544" s="626"/>
      <c r="W544" s="626"/>
      <c r="X544" s="641">
        <v>4</v>
      </c>
      <c r="Y544" s="641">
        <v>5</v>
      </c>
      <c r="Z544" s="631">
        <v>0</v>
      </c>
      <c r="AA544" s="631">
        <v>0</v>
      </c>
      <c r="AB544" s="631">
        <v>0</v>
      </c>
      <c r="AC544" s="631">
        <v>0</v>
      </c>
      <c r="AD544" s="641">
        <v>5</v>
      </c>
      <c r="AE544" s="641">
        <v>5</v>
      </c>
    </row>
    <row r="545" spans="1:31" hidden="1">
      <c r="A545" s="634">
        <v>20</v>
      </c>
      <c r="B545" s="639"/>
      <c r="C545" s="372"/>
      <c r="D545" s="636"/>
      <c r="E545" s="372"/>
      <c r="F545" s="372"/>
      <c r="G545" s="372"/>
      <c r="H545" s="372"/>
      <c r="I545" s="372"/>
      <c r="J545" s="372"/>
      <c r="K545" s="372"/>
      <c r="L545" s="372"/>
      <c r="M545" s="372"/>
      <c r="N545" s="372"/>
      <c r="O545" s="372"/>
      <c r="P545" s="372"/>
      <c r="Q545" s="635"/>
      <c r="R545" s="372"/>
      <c r="S545" s="372"/>
      <c r="T545" s="372"/>
      <c r="U545" s="626"/>
      <c r="V545" s="626"/>
      <c r="W545" s="626"/>
      <c r="X545" s="631">
        <v>0</v>
      </c>
      <c r="Y545" s="631">
        <v>0</v>
      </c>
      <c r="Z545" s="631">
        <v>0</v>
      </c>
      <c r="AA545" s="631">
        <v>0</v>
      </c>
      <c r="AB545" s="631">
        <v>0</v>
      </c>
      <c r="AC545" s="631">
        <v>0</v>
      </c>
      <c r="AD545" s="631">
        <v>0</v>
      </c>
      <c r="AE545" s="631">
        <v>0</v>
      </c>
    </row>
    <row r="546" spans="1:31" hidden="1">
      <c r="A546" s="634">
        <v>21</v>
      </c>
      <c r="B546" s="639"/>
      <c r="C546" s="372"/>
      <c r="D546" s="636" t="s">
        <v>789</v>
      </c>
      <c r="E546" s="372"/>
      <c r="F546" s="658">
        <v>28514</v>
      </c>
      <c r="G546" s="372"/>
      <c r="H546" s="372">
        <v>724</v>
      </c>
      <c r="I546" s="372"/>
      <c r="J546" s="658">
        <v>-24434</v>
      </c>
      <c r="K546" s="372"/>
      <c r="L546" s="372" t="s">
        <v>628</v>
      </c>
      <c r="M546" s="372"/>
      <c r="N546" s="372" t="s">
        <v>635</v>
      </c>
      <c r="O546" s="372"/>
      <c r="P546" s="372" t="s">
        <v>635</v>
      </c>
      <c r="Q546" s="635"/>
      <c r="R546" s="658">
        <v>4804</v>
      </c>
      <c r="S546" s="372"/>
      <c r="T546" s="658">
        <v>10080</v>
      </c>
      <c r="U546" s="626"/>
      <c r="V546" s="626"/>
      <c r="W546" s="626"/>
      <c r="X546" s="641">
        <v>4</v>
      </c>
      <c r="Y546" s="641">
        <v>5</v>
      </c>
      <c r="Z546" s="641">
        <v>5</v>
      </c>
      <c r="AA546" s="631">
        <v>0</v>
      </c>
      <c r="AB546" s="631">
        <v>0</v>
      </c>
      <c r="AC546" s="631">
        <v>0</v>
      </c>
      <c r="AD546" s="641">
        <v>11</v>
      </c>
      <c r="AE546" s="641">
        <v>5</v>
      </c>
    </row>
    <row r="547" spans="1:31" hidden="1">
      <c r="A547" s="634">
        <v>22</v>
      </c>
      <c r="B547" s="639"/>
      <c r="C547" s="372"/>
      <c r="D547" s="372"/>
      <c r="E547" s="372"/>
      <c r="F547" s="372"/>
      <c r="G547" s="372"/>
      <c r="H547" s="372"/>
      <c r="I547" s="372"/>
      <c r="J547" s="372"/>
      <c r="K547" s="372"/>
      <c r="L547" s="372"/>
      <c r="M547" s="372"/>
      <c r="N547" s="372"/>
      <c r="O547" s="372"/>
      <c r="P547" s="372"/>
      <c r="Q547" s="635"/>
      <c r="R547" s="372"/>
      <c r="S547" s="372"/>
      <c r="T547" s="372"/>
      <c r="U547" s="626"/>
      <c r="V547" s="626"/>
      <c r="W547" s="626"/>
      <c r="X547" s="631">
        <v>0</v>
      </c>
      <c r="Y547" s="631">
        <v>0</v>
      </c>
      <c r="Z547" s="631">
        <v>0</v>
      </c>
      <c r="AA547" s="631">
        <v>0</v>
      </c>
      <c r="AB547" s="631">
        <v>0</v>
      </c>
      <c r="AC547" s="631">
        <v>0</v>
      </c>
      <c r="AD547" s="631">
        <v>0</v>
      </c>
      <c r="AE547" s="631">
        <v>0</v>
      </c>
    </row>
    <row r="548" spans="1:31" hidden="1">
      <c r="A548" s="634">
        <v>23</v>
      </c>
      <c r="B548" s="639"/>
      <c r="C548" s="372"/>
      <c r="D548" s="372" t="s">
        <v>793</v>
      </c>
      <c r="E548" s="372"/>
      <c r="F548" s="363" t="s">
        <v>628</v>
      </c>
      <c r="G548" s="372"/>
      <c r="H548" s="363" t="s">
        <v>635</v>
      </c>
      <c r="I548" s="372"/>
      <c r="J548" s="363" t="s">
        <v>635</v>
      </c>
      <c r="K548" s="372"/>
      <c r="L548" s="363" t="s">
        <v>635</v>
      </c>
      <c r="M548" s="372"/>
      <c r="N548" s="363" t="s">
        <v>635</v>
      </c>
      <c r="O548" s="372"/>
      <c r="P548" s="363" t="s">
        <v>635</v>
      </c>
      <c r="Q548" s="635"/>
      <c r="R548" s="363" t="s">
        <v>635</v>
      </c>
      <c r="S548" s="372"/>
      <c r="T548" s="363" t="s">
        <v>635</v>
      </c>
      <c r="U548" s="626"/>
      <c r="V548" s="626"/>
      <c r="W548" s="626"/>
      <c r="X548" s="631">
        <v>0</v>
      </c>
      <c r="Y548" s="631">
        <v>0</v>
      </c>
      <c r="Z548" s="631">
        <v>0</v>
      </c>
      <c r="AA548" s="631">
        <v>0</v>
      </c>
      <c r="AB548" s="631">
        <v>0</v>
      </c>
      <c r="AC548" s="631">
        <v>0</v>
      </c>
      <c r="AD548" s="631">
        <v>0</v>
      </c>
      <c r="AE548" s="631">
        <v>0</v>
      </c>
    </row>
    <row r="549" spans="1:31" hidden="1">
      <c r="A549" s="634">
        <v>24</v>
      </c>
      <c r="B549" s="639"/>
      <c r="C549" s="372"/>
      <c r="D549" s="372"/>
      <c r="E549" s="372"/>
      <c r="F549" s="372"/>
      <c r="G549" s="372"/>
      <c r="H549" s="372"/>
      <c r="I549" s="372"/>
      <c r="J549" s="372"/>
      <c r="K549" s="372"/>
      <c r="L549" s="372"/>
      <c r="M549" s="372"/>
      <c r="N549" s="372"/>
      <c r="O549" s="372"/>
      <c r="P549" s="372"/>
      <c r="Q549" s="635"/>
      <c r="R549" s="383"/>
      <c r="S549" s="372"/>
      <c r="T549" s="372"/>
      <c r="U549" s="626"/>
      <c r="V549" s="626"/>
      <c r="W549" s="626"/>
      <c r="X549" s="631">
        <v>0</v>
      </c>
      <c r="Y549" s="631">
        <v>0</v>
      </c>
      <c r="Z549" s="631">
        <v>0</v>
      </c>
      <c r="AA549" s="631">
        <v>0</v>
      </c>
      <c r="AB549" s="631">
        <v>0</v>
      </c>
      <c r="AC549" s="631">
        <v>0</v>
      </c>
      <c r="AD549" s="631">
        <v>0</v>
      </c>
      <c r="AE549" s="631">
        <v>0</v>
      </c>
    </row>
    <row r="550" spans="1:31" ht="15" hidden="1" thickBot="1">
      <c r="A550" s="634">
        <v>25</v>
      </c>
      <c r="B550" s="639"/>
      <c r="C550" s="372"/>
      <c r="D550" s="636" t="s">
        <v>821</v>
      </c>
      <c r="E550" s="372"/>
      <c r="F550" s="646">
        <v>3349543</v>
      </c>
      <c r="G550" s="372"/>
      <c r="H550" s="646">
        <v>420463</v>
      </c>
      <c r="I550" s="372"/>
      <c r="J550" s="646">
        <v>-119288</v>
      </c>
      <c r="K550" s="372"/>
      <c r="L550" s="646">
        <v>-54207</v>
      </c>
      <c r="M550" s="372"/>
      <c r="N550" s="646">
        <v>4862</v>
      </c>
      <c r="O550" s="372"/>
      <c r="P550" s="647">
        <v>419</v>
      </c>
      <c r="Q550" s="635"/>
      <c r="R550" s="646">
        <v>3601793</v>
      </c>
      <c r="S550" s="372"/>
      <c r="T550" s="646">
        <v>3469564</v>
      </c>
      <c r="U550" s="626"/>
      <c r="V550" s="626"/>
      <c r="W550" s="626"/>
      <c r="X550" s="641">
        <v>5</v>
      </c>
      <c r="Y550" s="641">
        <v>5</v>
      </c>
      <c r="Z550" s="641">
        <v>5</v>
      </c>
      <c r="AA550" s="641">
        <v>5</v>
      </c>
      <c r="AB550" s="641">
        <v>5</v>
      </c>
      <c r="AC550" s="641">
        <v>5</v>
      </c>
      <c r="AD550" s="641">
        <v>5</v>
      </c>
      <c r="AE550" s="641">
        <v>5</v>
      </c>
    </row>
    <row r="551" spans="1:31" ht="15" hidden="1" thickTop="1">
      <c r="A551" s="634">
        <v>26</v>
      </c>
      <c r="B551" s="639"/>
      <c r="C551" s="372"/>
      <c r="D551" s="372"/>
      <c r="E551" s="372"/>
      <c r="F551" s="372"/>
      <c r="G551" s="372"/>
      <c r="H551" s="372"/>
      <c r="I551" s="372"/>
      <c r="J551" s="372"/>
      <c r="K551" s="372"/>
      <c r="L551" s="372"/>
      <c r="M551" s="372"/>
      <c r="N551" s="372"/>
      <c r="O551" s="372"/>
      <c r="P551" s="372"/>
      <c r="Q551" s="635"/>
      <c r="R551" s="372"/>
      <c r="S551" s="372"/>
      <c r="T551" s="372"/>
      <c r="U551" s="626"/>
      <c r="V551" s="626"/>
      <c r="W551" s="626"/>
      <c r="X551" s="631">
        <v>0</v>
      </c>
      <c r="Y551" s="631">
        <v>0</v>
      </c>
      <c r="Z551" s="631">
        <v>0</v>
      </c>
      <c r="AA551" s="631">
        <v>0</v>
      </c>
      <c r="AB551" s="631">
        <v>0</v>
      </c>
      <c r="AC551" s="631">
        <v>0</v>
      </c>
      <c r="AD551" s="631">
        <v>0</v>
      </c>
      <c r="AE551" s="631">
        <v>0</v>
      </c>
    </row>
    <row r="552" spans="1:31" hidden="1">
      <c r="A552" s="634">
        <v>27</v>
      </c>
      <c r="B552" s="639"/>
      <c r="C552" s="372"/>
      <c r="D552" s="636" t="s">
        <v>799</v>
      </c>
      <c r="E552" s="372"/>
      <c r="F552" s="658">
        <v>6410</v>
      </c>
      <c r="G552" s="372"/>
      <c r="H552" s="372">
        <v>237</v>
      </c>
      <c r="I552" s="372"/>
      <c r="J552" s="372" t="s">
        <v>807</v>
      </c>
      <c r="K552" s="372"/>
      <c r="L552" s="372" t="s">
        <v>807</v>
      </c>
      <c r="M552" s="372"/>
      <c r="N552" s="372" t="s">
        <v>807</v>
      </c>
      <c r="O552" s="372"/>
      <c r="P552" s="372" t="s">
        <v>807</v>
      </c>
      <c r="Q552" s="635"/>
      <c r="R552" s="658">
        <v>6647</v>
      </c>
      <c r="S552" s="372"/>
      <c r="T552" s="658">
        <v>6528</v>
      </c>
      <c r="U552" s="626"/>
      <c r="V552" s="626"/>
      <c r="W552" s="626"/>
      <c r="X552" s="641">
        <v>5</v>
      </c>
      <c r="Y552" s="641">
        <v>4</v>
      </c>
      <c r="Z552" s="631">
        <v>0</v>
      </c>
      <c r="AA552" s="631">
        <v>0</v>
      </c>
      <c r="AB552" s="631">
        <v>0</v>
      </c>
      <c r="AC552" s="631">
        <v>0</v>
      </c>
      <c r="AD552" s="641">
        <v>5</v>
      </c>
      <c r="AE552" s="641">
        <v>5</v>
      </c>
    </row>
    <row r="553" spans="1:31" hidden="1">
      <c r="A553" s="634">
        <v>28</v>
      </c>
      <c r="B553" s="639"/>
      <c r="C553" s="372"/>
      <c r="D553" s="372"/>
      <c r="E553" s="372"/>
      <c r="F553" s="372"/>
      <c r="G553" s="372"/>
      <c r="H553" s="372"/>
      <c r="I553" s="372"/>
      <c r="J553" s="372"/>
      <c r="K553" s="372"/>
      <c r="L553" s="372"/>
      <c r="M553" s="372"/>
      <c r="N553" s="372"/>
      <c r="O553" s="372"/>
      <c r="P553" s="372"/>
      <c r="Q553" s="635"/>
      <c r="R553" s="372"/>
      <c r="S553" s="372"/>
      <c r="T553" s="372"/>
      <c r="U553" s="626"/>
      <c r="V553" s="626"/>
      <c r="W553" s="626"/>
      <c r="X553" s="631">
        <v>0</v>
      </c>
      <c r="Y553" s="631">
        <v>0</v>
      </c>
      <c r="Z553" s="631">
        <v>0</v>
      </c>
      <c r="AA553" s="631">
        <v>0</v>
      </c>
      <c r="AB553" s="631">
        <v>0</v>
      </c>
      <c r="AC553" s="631">
        <v>0</v>
      </c>
      <c r="AD553" s="631">
        <v>0</v>
      </c>
      <c r="AE553" s="631">
        <v>0</v>
      </c>
    </row>
    <row r="554" spans="1:31" hidden="1">
      <c r="A554" s="634">
        <v>29</v>
      </c>
      <c r="B554" s="639"/>
      <c r="C554" s="372"/>
      <c r="D554" s="636" t="s">
        <v>800</v>
      </c>
      <c r="E554" s="372"/>
      <c r="F554" s="372" t="s">
        <v>628</v>
      </c>
      <c r="G554" s="372"/>
      <c r="H554" s="372" t="s">
        <v>635</v>
      </c>
      <c r="I554" s="372"/>
      <c r="J554" s="372" t="s">
        <v>635</v>
      </c>
      <c r="K554" s="372"/>
      <c r="L554" s="372" t="s">
        <v>635</v>
      </c>
      <c r="M554" s="372"/>
      <c r="N554" s="372" t="s">
        <v>635</v>
      </c>
      <c r="O554" s="372"/>
      <c r="P554" s="372" t="s">
        <v>635</v>
      </c>
      <c r="Q554" s="635"/>
      <c r="R554" s="372" t="s">
        <v>635</v>
      </c>
      <c r="S554" s="372"/>
      <c r="T554" s="372" t="s">
        <v>635</v>
      </c>
      <c r="U554" s="626"/>
      <c r="V554" s="626"/>
      <c r="W554" s="626"/>
      <c r="X554" s="631">
        <v>0</v>
      </c>
      <c r="Y554" s="631">
        <v>0</v>
      </c>
      <c r="Z554" s="631">
        <v>0</v>
      </c>
      <c r="AA554" s="631">
        <v>0</v>
      </c>
      <c r="AB554" s="631">
        <v>0</v>
      </c>
      <c r="AC554" s="631">
        <v>0</v>
      </c>
      <c r="AD554" s="631">
        <v>0</v>
      </c>
      <c r="AE554" s="631">
        <v>0</v>
      </c>
    </row>
    <row r="555" spans="1:31" hidden="1">
      <c r="A555" s="634">
        <v>30</v>
      </c>
      <c r="B555" s="639"/>
      <c r="C555" s="372"/>
      <c r="D555" s="372"/>
      <c r="E555" s="372"/>
      <c r="F555" s="372"/>
      <c r="G555" s="372"/>
      <c r="H555" s="372"/>
      <c r="I555" s="372"/>
      <c r="J555" s="372"/>
      <c r="K555" s="372"/>
      <c r="L555" s="372"/>
      <c r="M555" s="372"/>
      <c r="N555" s="372"/>
      <c r="O555" s="372"/>
      <c r="P555" s="372"/>
      <c r="Q555" s="635"/>
      <c r="R555" s="372"/>
      <c r="S555" s="372"/>
      <c r="T555" s="372"/>
      <c r="U555" s="626"/>
      <c r="V555" s="626"/>
      <c r="W555" s="626"/>
      <c r="X555" s="631">
        <v>0</v>
      </c>
      <c r="Y555" s="631">
        <v>0</v>
      </c>
      <c r="Z555" s="631">
        <v>0</v>
      </c>
      <c r="AA555" s="631">
        <v>0</v>
      </c>
      <c r="AB555" s="631">
        <v>0</v>
      </c>
      <c r="AC555" s="631">
        <v>0</v>
      </c>
      <c r="AD555" s="631">
        <v>0</v>
      </c>
      <c r="AE555" s="631">
        <v>0</v>
      </c>
    </row>
    <row r="556" spans="1:31" hidden="1">
      <c r="A556" s="634">
        <v>31</v>
      </c>
      <c r="B556" s="639"/>
      <c r="C556" s="372"/>
      <c r="D556" s="372" t="s">
        <v>801</v>
      </c>
      <c r="E556" s="372"/>
      <c r="F556" s="372" t="s">
        <v>628</v>
      </c>
      <c r="G556" s="372"/>
      <c r="H556" s="372" t="s">
        <v>635</v>
      </c>
      <c r="I556" s="372"/>
      <c r="J556" s="372" t="s">
        <v>635</v>
      </c>
      <c r="K556" s="372"/>
      <c r="L556" s="372" t="s">
        <v>635</v>
      </c>
      <c r="M556" s="372"/>
      <c r="N556" s="372" t="s">
        <v>635</v>
      </c>
      <c r="O556" s="372"/>
      <c r="P556" s="372" t="s">
        <v>635</v>
      </c>
      <c r="Q556" s="635"/>
      <c r="R556" s="372" t="s">
        <v>635</v>
      </c>
      <c r="S556" s="372"/>
      <c r="T556" s="372" t="s">
        <v>635</v>
      </c>
      <c r="U556" s="626"/>
      <c r="V556" s="626"/>
      <c r="W556" s="626"/>
      <c r="X556" s="631">
        <v>0</v>
      </c>
      <c r="Y556" s="631">
        <v>0</v>
      </c>
      <c r="Z556" s="631">
        <v>0</v>
      </c>
      <c r="AA556" s="631">
        <v>0</v>
      </c>
      <c r="AB556" s="631">
        <v>0</v>
      </c>
      <c r="AC556" s="631">
        <v>0</v>
      </c>
      <c r="AD556" s="631">
        <v>0</v>
      </c>
      <c r="AE556" s="631">
        <v>0</v>
      </c>
    </row>
    <row r="557" spans="1:31" hidden="1">
      <c r="A557" s="634">
        <v>32</v>
      </c>
      <c r="B557" s="639"/>
      <c r="C557" s="372"/>
      <c r="D557" s="372"/>
      <c r="E557" s="372"/>
      <c r="F557" s="372"/>
      <c r="G557" s="372"/>
      <c r="H557" s="372"/>
      <c r="I557" s="372"/>
      <c r="J557" s="372"/>
      <c r="K557" s="372"/>
      <c r="L557" s="372"/>
      <c r="M557" s="372"/>
      <c r="N557" s="372"/>
      <c r="O557" s="372"/>
      <c r="P557" s="372"/>
      <c r="Q557" s="635"/>
      <c r="R557" s="372"/>
      <c r="S557" s="372"/>
      <c r="T557" s="372"/>
      <c r="U557" s="626"/>
      <c r="V557" s="626"/>
      <c r="W557" s="626"/>
      <c r="X557" s="631">
        <v>0</v>
      </c>
      <c r="Y557" s="631">
        <v>0</v>
      </c>
      <c r="Z557" s="631">
        <v>0</v>
      </c>
      <c r="AA557" s="631">
        <v>0</v>
      </c>
      <c r="AB557" s="631">
        <v>0</v>
      </c>
      <c r="AC557" s="631">
        <v>0</v>
      </c>
      <c r="AD557" s="631">
        <v>0</v>
      </c>
      <c r="AE557" s="631">
        <v>0</v>
      </c>
    </row>
    <row r="558" spans="1:31" hidden="1">
      <c r="A558" s="634">
        <v>33</v>
      </c>
      <c r="B558" s="639"/>
      <c r="C558" s="372"/>
      <c r="D558" s="372" t="s">
        <v>804</v>
      </c>
      <c r="E558" s="372"/>
      <c r="F558" s="658">
        <v>96987</v>
      </c>
      <c r="G558" s="372"/>
      <c r="H558" s="658">
        <v>8015</v>
      </c>
      <c r="I558" s="372"/>
      <c r="J558" s="372" t="s">
        <v>635</v>
      </c>
      <c r="K558" s="372"/>
      <c r="L558" s="658">
        <v>-43508</v>
      </c>
      <c r="M558" s="372"/>
      <c r="N558" s="372">
        <v>584</v>
      </c>
      <c r="O558" s="372"/>
      <c r="P558" s="658">
        <v>35965</v>
      </c>
      <c r="Q558" s="635"/>
      <c r="R558" s="658">
        <v>98042</v>
      </c>
      <c r="S558" s="372"/>
      <c r="T558" s="658">
        <v>98338</v>
      </c>
      <c r="U558" s="626"/>
      <c r="V558" s="626"/>
      <c r="W558" s="626"/>
      <c r="X558" s="641">
        <v>5</v>
      </c>
      <c r="Y558" s="641">
        <v>3</v>
      </c>
      <c r="Z558" s="631">
        <v>0</v>
      </c>
      <c r="AA558" s="641">
        <v>5</v>
      </c>
      <c r="AB558" s="641">
        <v>5</v>
      </c>
      <c r="AC558" s="641">
        <v>4</v>
      </c>
      <c r="AD558" s="641">
        <v>5</v>
      </c>
      <c r="AE558" s="641">
        <v>5</v>
      </c>
    </row>
    <row r="559" spans="1:31" hidden="1">
      <c r="A559" s="634">
        <v>34</v>
      </c>
      <c r="B559" s="639"/>
      <c r="C559" s="372"/>
      <c r="D559" s="372"/>
      <c r="E559" s="372"/>
      <c r="F559" s="372"/>
      <c r="G559" s="372"/>
      <c r="H559" s="372"/>
      <c r="I559" s="372"/>
      <c r="J559" s="372"/>
      <c r="K559" s="372"/>
      <c r="L559" s="372"/>
      <c r="M559" s="372"/>
      <c r="N559" s="372"/>
      <c r="O559" s="372"/>
      <c r="P559" s="372"/>
      <c r="Q559" s="635"/>
      <c r="R559" s="383"/>
      <c r="S559" s="372"/>
      <c r="T559" s="372"/>
      <c r="U559" s="626"/>
      <c r="V559" s="626"/>
      <c r="W559" s="626"/>
      <c r="X559" s="631">
        <v>0</v>
      </c>
      <c r="Y559" s="631">
        <v>0</v>
      </c>
      <c r="Z559" s="631">
        <v>0</v>
      </c>
      <c r="AA559" s="631">
        <v>0</v>
      </c>
      <c r="AB559" s="631">
        <v>0</v>
      </c>
      <c r="AC559" s="631">
        <v>0</v>
      </c>
      <c r="AD559" s="631">
        <v>0</v>
      </c>
      <c r="AE559" s="631">
        <v>0</v>
      </c>
    </row>
    <row r="560" spans="1:31" ht="15" hidden="1" thickBot="1">
      <c r="A560" s="634">
        <v>35</v>
      </c>
      <c r="B560" s="639"/>
      <c r="C560" s="372"/>
      <c r="D560" s="372" t="s">
        <v>822</v>
      </c>
      <c r="E560" s="372"/>
      <c r="F560" s="646">
        <v>3452940</v>
      </c>
      <c r="G560" s="372"/>
      <c r="H560" s="646">
        <v>428714</v>
      </c>
      <c r="I560" s="372"/>
      <c r="J560" s="646">
        <v>-119288</v>
      </c>
      <c r="K560" s="372"/>
      <c r="L560" s="646">
        <v>-97715</v>
      </c>
      <c r="M560" s="372"/>
      <c r="N560" s="646">
        <v>5446</v>
      </c>
      <c r="O560" s="372"/>
      <c r="P560" s="646">
        <v>36384</v>
      </c>
      <c r="Q560" s="635"/>
      <c r="R560" s="646">
        <v>3706481</v>
      </c>
      <c r="S560" s="372"/>
      <c r="T560" s="646">
        <v>3574431</v>
      </c>
      <c r="U560" s="626"/>
      <c r="V560" s="626"/>
      <c r="W560" s="626"/>
      <c r="X560" s="641">
        <v>5</v>
      </c>
      <c r="Y560" s="641">
        <v>5</v>
      </c>
      <c r="Z560" s="641">
        <v>5</v>
      </c>
      <c r="AA560" s="641">
        <v>5</v>
      </c>
      <c r="AB560" s="641">
        <v>5</v>
      </c>
      <c r="AC560" s="641">
        <v>5</v>
      </c>
      <c r="AD560" s="641">
        <v>5</v>
      </c>
      <c r="AE560" s="641">
        <v>5</v>
      </c>
    </row>
    <row r="561" spans="1:31" ht="15" hidden="1" thickTop="1">
      <c r="A561" s="634">
        <v>36</v>
      </c>
      <c r="B561" s="639"/>
      <c r="C561" s="372"/>
      <c r="D561" s="372"/>
      <c r="E561" s="372"/>
      <c r="F561" s="372" t="s">
        <v>628</v>
      </c>
      <c r="G561" s="372"/>
      <c r="H561" s="372" t="s">
        <v>635</v>
      </c>
      <c r="I561" s="372"/>
      <c r="J561" s="372" t="s">
        <v>635</v>
      </c>
      <c r="K561" s="372"/>
      <c r="L561" s="372" t="s">
        <v>635</v>
      </c>
      <c r="M561" s="372"/>
      <c r="N561" s="372" t="s">
        <v>635</v>
      </c>
      <c r="O561" s="372"/>
      <c r="P561" s="372" t="s">
        <v>635</v>
      </c>
      <c r="Q561" s="635"/>
      <c r="R561" s="372" t="s">
        <v>635</v>
      </c>
      <c r="S561" s="372"/>
      <c r="T561" s="372" t="s">
        <v>635</v>
      </c>
      <c r="U561" s="626"/>
      <c r="V561" s="626"/>
      <c r="W561" s="626"/>
      <c r="X561" s="631">
        <v>0</v>
      </c>
      <c r="Y561" s="631">
        <v>0</v>
      </c>
      <c r="Z561" s="631">
        <v>0</v>
      </c>
      <c r="AA561" s="631">
        <v>0</v>
      </c>
      <c r="AB561" s="631">
        <v>0</v>
      </c>
      <c r="AC561" s="631">
        <v>0</v>
      </c>
      <c r="AD561" s="631">
        <v>0</v>
      </c>
      <c r="AE561" s="631">
        <v>0</v>
      </c>
    </row>
    <row r="562" spans="1:31" hidden="1">
      <c r="A562" s="634">
        <v>37</v>
      </c>
      <c r="B562" s="639"/>
      <c r="C562" s="372"/>
      <c r="D562" s="372"/>
      <c r="E562" s="372"/>
      <c r="F562" s="372" t="s">
        <v>628</v>
      </c>
      <c r="G562" s="372"/>
      <c r="H562" s="372" t="s">
        <v>635</v>
      </c>
      <c r="I562" s="372"/>
      <c r="J562" s="372" t="s">
        <v>635</v>
      </c>
      <c r="K562" s="372"/>
      <c r="L562" s="372">
        <v>0</v>
      </c>
      <c r="M562" s="372"/>
      <c r="N562" s="372" t="s">
        <v>635</v>
      </c>
      <c r="O562" s="372"/>
      <c r="P562" s="372" t="s">
        <v>635</v>
      </c>
      <c r="Q562" s="635"/>
      <c r="R562" s="372" t="s">
        <v>635</v>
      </c>
      <c r="S562" s="372"/>
      <c r="T562" s="372" t="s">
        <v>635</v>
      </c>
      <c r="U562" s="626"/>
      <c r="V562" s="626"/>
      <c r="W562" s="626"/>
      <c r="X562" s="631">
        <v>0</v>
      </c>
      <c r="Y562" s="631">
        <v>0</v>
      </c>
      <c r="Z562" s="631">
        <v>0</v>
      </c>
      <c r="AA562" s="641">
        <v>18</v>
      </c>
      <c r="AB562" s="631">
        <v>0</v>
      </c>
      <c r="AC562" s="631">
        <v>0</v>
      </c>
      <c r="AD562" s="631">
        <v>0</v>
      </c>
      <c r="AE562" s="631">
        <v>0</v>
      </c>
    </row>
    <row r="563" spans="1:31" hidden="1">
      <c r="A563" s="634">
        <v>38</v>
      </c>
      <c r="B563" s="639"/>
      <c r="C563" s="372"/>
      <c r="D563" s="372"/>
      <c r="E563" s="372"/>
      <c r="F563" s="372"/>
      <c r="G563" s="372"/>
      <c r="H563" s="372"/>
      <c r="I563" s="372"/>
      <c r="J563" s="372"/>
      <c r="K563" s="372"/>
      <c r="L563" s="372"/>
      <c r="M563" s="372"/>
      <c r="N563" s="372"/>
      <c r="O563" s="372"/>
      <c r="P563" s="372"/>
      <c r="Q563" s="635"/>
      <c r="R563" s="372"/>
      <c r="S563" s="372"/>
      <c r="T563" s="372"/>
      <c r="U563" s="626"/>
      <c r="V563" s="626"/>
      <c r="W563" s="626"/>
      <c r="X563" s="631">
        <v>0</v>
      </c>
      <c r="Y563" s="631">
        <v>0</v>
      </c>
      <c r="Z563" s="631">
        <v>0</v>
      </c>
      <c r="AA563" s="631">
        <v>0</v>
      </c>
      <c r="AB563" s="631">
        <v>0</v>
      </c>
      <c r="AC563" s="631">
        <v>0</v>
      </c>
      <c r="AD563" s="631">
        <v>0</v>
      </c>
      <c r="AE563" s="631">
        <v>0</v>
      </c>
    </row>
    <row r="564" spans="1:31" hidden="1">
      <c r="A564" s="634">
        <v>39</v>
      </c>
      <c r="B564" s="644"/>
      <c r="C564" s="372"/>
      <c r="D564" s="372"/>
      <c r="E564" s="372"/>
      <c r="F564" s="372"/>
      <c r="G564" s="372"/>
      <c r="H564" s="372"/>
      <c r="I564" s="372"/>
      <c r="J564" s="372"/>
      <c r="K564" s="372"/>
      <c r="L564" s="372"/>
      <c r="M564" s="372"/>
      <c r="N564" s="372"/>
      <c r="O564" s="372"/>
      <c r="P564" s="372"/>
      <c r="Q564" s="635"/>
      <c r="R564" s="372"/>
      <c r="S564" s="372"/>
      <c r="T564" s="372"/>
      <c r="U564" s="626"/>
      <c r="V564" s="626"/>
      <c r="W564" s="626"/>
      <c r="X564" s="631">
        <v>0</v>
      </c>
      <c r="Y564" s="631">
        <v>0</v>
      </c>
      <c r="Z564" s="631">
        <v>0</v>
      </c>
      <c r="AA564" s="631">
        <v>0</v>
      </c>
      <c r="AB564" s="631">
        <v>0</v>
      </c>
      <c r="AC564" s="631">
        <v>0</v>
      </c>
      <c r="AD564" s="631">
        <v>0</v>
      </c>
      <c r="AE564" s="631">
        <v>0</v>
      </c>
    </row>
    <row r="565" spans="1:31" hidden="1">
      <c r="A565" s="634">
        <v>40</v>
      </c>
      <c r="B565" s="644"/>
      <c r="C565" s="372"/>
      <c r="D565" s="372"/>
      <c r="E565" s="372"/>
      <c r="F565" s="372"/>
      <c r="G565" s="372"/>
      <c r="H565" s="372"/>
      <c r="I565" s="372"/>
      <c r="J565" s="372"/>
      <c r="K565" s="372"/>
      <c r="L565" s="372"/>
      <c r="M565" s="372"/>
      <c r="N565" s="372"/>
      <c r="O565" s="372"/>
      <c r="P565" s="372"/>
      <c r="Q565" s="635"/>
      <c r="R565" s="372"/>
      <c r="S565" s="372"/>
      <c r="T565" s="372"/>
      <c r="U565" s="626"/>
      <c r="V565" s="626"/>
      <c r="W565" s="626"/>
      <c r="X565" s="631">
        <v>0</v>
      </c>
      <c r="Y565" s="631">
        <v>0</v>
      </c>
      <c r="Z565" s="631">
        <v>0</v>
      </c>
      <c r="AA565" s="631">
        <v>0</v>
      </c>
      <c r="AB565" s="631">
        <v>0</v>
      </c>
      <c r="AC565" s="631">
        <v>0</v>
      </c>
      <c r="AD565" s="631">
        <v>0</v>
      </c>
      <c r="AE565" s="631">
        <v>0</v>
      </c>
    </row>
    <row r="566" spans="1:31" hidden="1">
      <c r="A566" s="634">
        <v>41</v>
      </c>
      <c r="B566" s="644"/>
      <c r="C566" s="372"/>
      <c r="D566" s="372"/>
      <c r="E566" s="372"/>
      <c r="F566" s="372"/>
      <c r="G566" s="372"/>
      <c r="H566" s="372"/>
      <c r="I566" s="372"/>
      <c r="J566" s="372"/>
      <c r="K566" s="372"/>
      <c r="L566" s="372"/>
      <c r="M566" s="372"/>
      <c r="N566" s="372"/>
      <c r="O566" s="372"/>
      <c r="P566" s="372"/>
      <c r="Q566" s="635"/>
      <c r="R566" s="372"/>
      <c r="S566" s="372"/>
      <c r="T566" s="372"/>
      <c r="U566" s="626"/>
      <c r="V566" s="626"/>
      <c r="W566" s="626"/>
      <c r="X566" s="631">
        <v>0</v>
      </c>
      <c r="Y566" s="631">
        <v>0</v>
      </c>
      <c r="Z566" s="631">
        <v>0</v>
      </c>
      <c r="AA566" s="631">
        <v>0</v>
      </c>
      <c r="AB566" s="631">
        <v>0</v>
      </c>
      <c r="AC566" s="631">
        <v>0</v>
      </c>
      <c r="AD566" s="631">
        <v>0</v>
      </c>
      <c r="AE566" s="631">
        <v>0</v>
      </c>
    </row>
    <row r="567" spans="1:31" hidden="1">
      <c r="A567" s="634">
        <v>42</v>
      </c>
      <c r="B567" s="644"/>
      <c r="C567" s="372"/>
      <c r="D567" s="372"/>
      <c r="E567" s="372"/>
      <c r="F567" s="372"/>
      <c r="G567" s="372"/>
      <c r="H567" s="372"/>
      <c r="I567" s="372"/>
      <c r="J567" s="372"/>
      <c r="K567" s="372"/>
      <c r="L567" s="372"/>
      <c r="M567" s="372"/>
      <c r="N567" s="372"/>
      <c r="O567" s="372"/>
      <c r="P567" s="372"/>
      <c r="Q567" s="635"/>
      <c r="R567" s="372"/>
      <c r="S567" s="372"/>
      <c r="T567" s="372"/>
      <c r="U567" s="626"/>
      <c r="V567" s="626"/>
      <c r="W567" s="626"/>
      <c r="X567" s="631">
        <v>0</v>
      </c>
      <c r="Y567" s="631">
        <v>0</v>
      </c>
      <c r="Z567" s="631">
        <v>0</v>
      </c>
      <c r="AA567" s="631">
        <v>0</v>
      </c>
      <c r="AB567" s="631">
        <v>0</v>
      </c>
      <c r="AC567" s="631">
        <v>0</v>
      </c>
      <c r="AD567" s="631">
        <v>0</v>
      </c>
      <c r="AE567" s="631">
        <v>0</v>
      </c>
    </row>
    <row r="568" spans="1:31" hidden="1">
      <c r="A568" s="634">
        <v>43</v>
      </c>
      <c r="B568" s="644"/>
      <c r="C568" s="372"/>
      <c r="D568" s="372"/>
      <c r="E568" s="372"/>
      <c r="F568" s="372"/>
      <c r="G568" s="372"/>
      <c r="H568" s="372"/>
      <c r="I568" s="372"/>
      <c r="J568" s="372"/>
      <c r="K568" s="372"/>
      <c r="L568" s="372"/>
      <c r="M568" s="372"/>
      <c r="N568" s="372"/>
      <c r="O568" s="372"/>
      <c r="P568" s="372"/>
      <c r="Q568" s="635"/>
      <c r="R568" s="372"/>
      <c r="S568" s="372"/>
      <c r="T568" s="372"/>
      <c r="U568" s="626"/>
      <c r="V568" s="626"/>
      <c r="W568" s="626"/>
      <c r="X568" s="631">
        <v>0</v>
      </c>
      <c r="Y568" s="631">
        <v>0</v>
      </c>
      <c r="Z568" s="631">
        <v>0</v>
      </c>
      <c r="AA568" s="631">
        <v>0</v>
      </c>
      <c r="AB568" s="631">
        <v>0</v>
      </c>
      <c r="AC568" s="631">
        <v>0</v>
      </c>
      <c r="AD568" s="631">
        <v>0</v>
      </c>
      <c r="AE568" s="631">
        <v>0</v>
      </c>
    </row>
    <row r="569" spans="1:31" ht="15" hidden="1" thickBot="1">
      <c r="A569" s="637">
        <v>44</v>
      </c>
      <c r="B569" s="660" t="s">
        <v>67</v>
      </c>
      <c r="C569" s="660"/>
      <c r="D569" s="625"/>
      <c r="E569" s="625"/>
      <c r="F569" s="625"/>
      <c r="G569" s="625"/>
      <c r="H569" s="625"/>
      <c r="I569" s="625"/>
      <c r="J569" s="625"/>
      <c r="K569" s="625"/>
      <c r="L569" s="625"/>
      <c r="M569" s="625"/>
      <c r="N569" s="625"/>
      <c r="O569" s="625"/>
      <c r="P569" s="625"/>
      <c r="Q569" s="638"/>
      <c r="R569" s="625"/>
      <c r="S569" s="625"/>
      <c r="T569" s="625"/>
      <c r="U569" s="626"/>
      <c r="V569" s="626"/>
      <c r="W569" s="626"/>
      <c r="X569" s="631">
        <v>0</v>
      </c>
      <c r="Y569" s="631">
        <v>0</v>
      </c>
      <c r="Z569" s="631">
        <v>0</v>
      </c>
      <c r="AA569" s="631">
        <v>0</v>
      </c>
      <c r="AB569" s="631">
        <v>0</v>
      </c>
      <c r="AC569" s="631">
        <v>0</v>
      </c>
      <c r="AD569" s="631">
        <v>0</v>
      </c>
      <c r="AE569" s="631">
        <v>0</v>
      </c>
    </row>
    <row r="570" spans="1:31" hidden="1">
      <c r="A570" s="664" t="s">
        <v>818</v>
      </c>
      <c r="B570" s="664"/>
      <c r="C570" s="372"/>
      <c r="D570" s="372"/>
      <c r="E570" s="664"/>
      <c r="F570" s="664"/>
      <c r="G570" s="664"/>
      <c r="H570" s="664"/>
      <c r="I570" s="664"/>
      <c r="J570" s="664"/>
      <c r="K570" s="664"/>
      <c r="L570" s="664"/>
      <c r="M570" s="664"/>
      <c r="N570" s="664"/>
      <c r="O570" s="664"/>
      <c r="P570" s="664"/>
      <c r="Q570" s="635"/>
      <c r="R570" s="372" t="s">
        <v>644</v>
      </c>
      <c r="S570" s="664"/>
      <c r="T570" s="664"/>
      <c r="U570" s="626"/>
      <c r="V570" s="626"/>
      <c r="W570" s="626"/>
      <c r="X570" s="631">
        <v>0</v>
      </c>
      <c r="Y570" s="631">
        <v>0</v>
      </c>
      <c r="Z570" s="631">
        <v>0</v>
      </c>
      <c r="AA570" s="631">
        <v>0</v>
      </c>
      <c r="AB570" s="631">
        <v>0</v>
      </c>
      <c r="AC570" s="631">
        <v>0</v>
      </c>
      <c r="AD570" s="631">
        <v>2</v>
      </c>
      <c r="AE570" s="631">
        <v>0</v>
      </c>
    </row>
    <row r="571" spans="1:31" s="670" customFormat="1" hidden="1">
      <c r="U571" s="670" t="s">
        <v>249</v>
      </c>
      <c r="V571" s="670" t="s">
        <v>249</v>
      </c>
    </row>
    <row r="572" spans="1:31" ht="15" thickBot="1">
      <c r="A572" s="662" t="s">
        <v>808</v>
      </c>
      <c r="B572" s="662"/>
      <c r="C572" s="622"/>
      <c r="D572" s="622"/>
      <c r="E572" s="622"/>
      <c r="F572" s="622" t="s">
        <v>809</v>
      </c>
      <c r="G572" s="622"/>
      <c r="H572" s="622"/>
      <c r="I572" s="622"/>
      <c r="J572" s="622"/>
      <c r="K572" s="622"/>
      <c r="L572" s="622"/>
      <c r="M572" s="622"/>
      <c r="N572" s="622"/>
      <c r="O572" s="622"/>
      <c r="P572" s="622"/>
      <c r="Q572" s="638"/>
      <c r="R572" s="637"/>
      <c r="S572" s="625"/>
      <c r="T572" s="625" t="s">
        <v>606</v>
      </c>
    </row>
    <row r="573" spans="1:31">
      <c r="A573" s="663" t="s">
        <v>4</v>
      </c>
      <c r="B573" s="663"/>
      <c r="C573" s="426"/>
      <c r="D573" s="426"/>
      <c r="E573" s="628" t="s">
        <v>553</v>
      </c>
      <c r="F573" s="621" t="s">
        <v>810</v>
      </c>
      <c r="G573" s="663"/>
      <c r="H573" s="663"/>
      <c r="I573" s="663"/>
      <c r="J573" s="663"/>
      <c r="K573" s="629"/>
      <c r="L573" s="629"/>
      <c r="M573" s="629"/>
      <c r="N573" s="629"/>
      <c r="O573" s="629"/>
      <c r="P573" s="629"/>
      <c r="Q573" s="645"/>
      <c r="R573" s="661" t="s">
        <v>608</v>
      </c>
      <c r="S573" s="664"/>
      <c r="T573" s="664"/>
    </row>
    <row r="574" spans="1:31">
      <c r="A574" s="426"/>
      <c r="B574" s="426"/>
      <c r="C574" s="426"/>
      <c r="D574" s="426"/>
      <c r="E574" s="426"/>
      <c r="F574" s="426" t="s">
        <v>811</v>
      </c>
      <c r="G574" s="426"/>
      <c r="H574" s="426"/>
      <c r="I574" s="426"/>
      <c r="J574" s="426"/>
      <c r="K574" s="621"/>
      <c r="L574" s="621"/>
      <c r="M574" s="426"/>
      <c r="N574" s="426"/>
      <c r="O574" s="628"/>
      <c r="P574" s="628"/>
      <c r="Q574" s="632" t="s">
        <v>12</v>
      </c>
      <c r="R574" s="633" t="s">
        <v>9</v>
      </c>
      <c r="S574" s="665"/>
      <c r="T574" s="665"/>
    </row>
    <row r="575" spans="1:31">
      <c r="A575" s="426" t="s">
        <v>10</v>
      </c>
      <c r="B575" s="426"/>
      <c r="C575" s="426"/>
      <c r="D575" s="426"/>
      <c r="E575" s="426"/>
      <c r="F575" s="426"/>
      <c r="G575" s="426"/>
      <c r="H575" s="426"/>
      <c r="I575" s="426"/>
      <c r="J575" s="426"/>
      <c r="K575" s="621"/>
      <c r="L575" s="621"/>
      <c r="M575" s="426"/>
      <c r="N575" s="426"/>
      <c r="O575" s="426"/>
      <c r="P575" s="426"/>
      <c r="Q575" s="628"/>
      <c r="R575" s="621" t="s">
        <v>11</v>
      </c>
      <c r="S575" s="372"/>
      <c r="T575" s="372"/>
    </row>
    <row r="576" spans="1:31">
      <c r="A576" s="426"/>
      <c r="B576" s="426"/>
      <c r="C576" s="426"/>
      <c r="D576" s="426"/>
      <c r="E576" s="426"/>
      <c r="F576" s="426"/>
      <c r="G576" s="426"/>
      <c r="H576" s="426"/>
      <c r="I576" s="426"/>
      <c r="J576" s="426"/>
      <c r="K576" s="621"/>
      <c r="L576" s="621"/>
      <c r="M576" s="426"/>
      <c r="N576" s="426"/>
      <c r="O576" s="426"/>
      <c r="P576" s="426"/>
      <c r="Q576" s="628"/>
      <c r="R576" s="621" t="s">
        <v>13</v>
      </c>
      <c r="S576" s="372"/>
      <c r="T576" s="372"/>
    </row>
    <row r="577" spans="1:20">
      <c r="A577" s="426"/>
      <c r="B577" s="426"/>
      <c r="C577" s="426"/>
      <c r="D577" s="426"/>
      <c r="E577" s="426"/>
      <c r="F577" s="426"/>
      <c r="G577" s="426"/>
      <c r="H577" s="426"/>
      <c r="I577" s="426"/>
      <c r="J577" s="426"/>
      <c r="K577" s="621"/>
      <c r="L577" s="621"/>
      <c r="M577" s="426"/>
      <c r="N577" s="426"/>
      <c r="O577" s="426"/>
      <c r="P577" s="426"/>
      <c r="Q577" s="628"/>
      <c r="R577" s="621" t="s">
        <v>610</v>
      </c>
      <c r="S577" s="372"/>
      <c r="T577" s="372"/>
    </row>
    <row r="578" spans="1:20" ht="15" thickBot="1">
      <c r="A578" s="662" t="s">
        <v>611</v>
      </c>
      <c r="B578" s="662"/>
      <c r="C578" s="622"/>
      <c r="D578" s="622"/>
      <c r="E578" s="622"/>
      <c r="F578" s="622"/>
      <c r="G578" s="622"/>
      <c r="H578" s="624" t="s">
        <v>812</v>
      </c>
      <c r="I578" s="622"/>
      <c r="J578" s="622"/>
      <c r="K578" s="622"/>
      <c r="L578" s="622"/>
      <c r="M578" s="622"/>
      <c r="N578" s="622"/>
      <c r="O578" s="622"/>
      <c r="P578" s="622"/>
      <c r="Q578" s="623"/>
      <c r="R578" s="622" t="s">
        <v>249</v>
      </c>
      <c r="S578" s="625"/>
      <c r="T578" s="625"/>
    </row>
    <row r="579" spans="1:20">
      <c r="A579" s="664"/>
      <c r="B579" s="664"/>
      <c r="C579" s="634"/>
      <c r="D579" s="634"/>
      <c r="E579" s="634"/>
      <c r="F579" s="634"/>
      <c r="G579" s="634"/>
      <c r="H579" s="634"/>
      <c r="I579" s="634"/>
      <c r="J579" s="634"/>
      <c r="K579" s="634"/>
      <c r="L579" s="634"/>
      <c r="M579" s="634"/>
      <c r="N579" s="634"/>
      <c r="O579" s="634"/>
      <c r="P579" s="634"/>
      <c r="Q579" s="635"/>
      <c r="R579" s="634"/>
      <c r="S579" s="634"/>
      <c r="T579" s="634"/>
    </row>
    <row r="580" spans="1:20">
      <c r="A580" s="372"/>
      <c r="B580" s="372"/>
      <c r="C580" s="634">
        <v>-1</v>
      </c>
      <c r="D580" s="634">
        <v>-2</v>
      </c>
      <c r="E580" s="634"/>
      <c r="F580" s="634">
        <v>-3</v>
      </c>
      <c r="G580" s="634"/>
      <c r="H580" s="634">
        <v>-4</v>
      </c>
      <c r="I580" s="634"/>
      <c r="J580" s="634">
        <v>-5</v>
      </c>
      <c r="K580" s="634"/>
      <c r="L580" s="634">
        <v>-6</v>
      </c>
      <c r="M580" s="634"/>
      <c r="N580" s="634">
        <v>-7</v>
      </c>
      <c r="O580" s="634"/>
      <c r="P580" s="634">
        <v>-8</v>
      </c>
      <c r="Q580" s="635"/>
      <c r="R580" s="634">
        <v>-9</v>
      </c>
      <c r="S580" s="634"/>
      <c r="T580" s="634">
        <v>-10</v>
      </c>
    </row>
    <row r="581" spans="1:20">
      <c r="A581" s="372"/>
      <c r="B581" s="372"/>
      <c r="C581" s="634" t="s">
        <v>613</v>
      </c>
      <c r="D581" s="634" t="s">
        <v>613</v>
      </c>
      <c r="E581" s="372"/>
      <c r="F581" s="634" t="s">
        <v>27</v>
      </c>
      <c r="G581" s="634"/>
      <c r="H581" s="634" t="s">
        <v>45</v>
      </c>
      <c r="I581" s="634"/>
      <c r="J581" s="634"/>
      <c r="K581" s="634"/>
      <c r="L581" s="634"/>
      <c r="M581" s="634"/>
      <c r="N581" s="372"/>
      <c r="O581" s="372"/>
      <c r="P581" s="372"/>
      <c r="Q581" s="635"/>
      <c r="R581" s="634" t="s">
        <v>27</v>
      </c>
      <c r="S581" s="372"/>
      <c r="T581" s="372"/>
    </row>
    <row r="582" spans="1:20">
      <c r="A582" s="634" t="s">
        <v>35</v>
      </c>
      <c r="B582" s="634"/>
      <c r="C582" s="634" t="s">
        <v>614</v>
      </c>
      <c r="D582" s="634" t="s">
        <v>614</v>
      </c>
      <c r="E582" s="634"/>
      <c r="F582" s="634" t="s">
        <v>37</v>
      </c>
      <c r="G582" s="634"/>
      <c r="H582" s="634" t="s">
        <v>37</v>
      </c>
      <c r="I582" s="634"/>
      <c r="J582" s="634"/>
      <c r="K582" s="634"/>
      <c r="L582" s="634" t="s">
        <v>813</v>
      </c>
      <c r="M582" s="636"/>
      <c r="N582" s="634" t="s">
        <v>813</v>
      </c>
      <c r="O582" s="634"/>
      <c r="P582" s="634" t="s">
        <v>178</v>
      </c>
      <c r="Q582" s="635"/>
      <c r="R582" s="634" t="s">
        <v>37</v>
      </c>
      <c r="S582" s="634"/>
      <c r="T582" s="634" t="s">
        <v>353</v>
      </c>
    </row>
    <row r="583" spans="1:20" ht="15" thickBot="1">
      <c r="A583" s="637" t="s">
        <v>46</v>
      </c>
      <c r="B583" s="637"/>
      <c r="C583" s="637" t="s">
        <v>371</v>
      </c>
      <c r="D583" s="637" t="s">
        <v>617</v>
      </c>
      <c r="E583" s="637"/>
      <c r="F583" s="637" t="s">
        <v>619</v>
      </c>
      <c r="G583" s="637"/>
      <c r="H583" s="637" t="s">
        <v>814</v>
      </c>
      <c r="I583" s="637"/>
      <c r="J583" s="637" t="s">
        <v>815</v>
      </c>
      <c r="K583" s="637"/>
      <c r="L583" s="637" t="s">
        <v>816</v>
      </c>
      <c r="M583" s="637"/>
      <c r="N583" s="637" t="s">
        <v>817</v>
      </c>
      <c r="O583" s="637"/>
      <c r="P583" s="637" t="s">
        <v>622</v>
      </c>
      <c r="Q583" s="638"/>
      <c r="R583" s="637" t="s">
        <v>623</v>
      </c>
      <c r="S583" s="637"/>
      <c r="T583" s="637" t="s">
        <v>369</v>
      </c>
    </row>
    <row r="584" spans="1:20">
      <c r="A584" s="634">
        <v>1</v>
      </c>
      <c r="B584" s="639"/>
      <c r="C584" s="372"/>
      <c r="D584" s="372"/>
      <c r="E584" s="664"/>
      <c r="F584" s="664"/>
      <c r="G584" s="664"/>
      <c r="H584" s="664"/>
      <c r="I584" s="664"/>
      <c r="J584" s="664"/>
      <c r="K584" s="372"/>
      <c r="L584" s="634"/>
      <c r="M584" s="372"/>
      <c r="N584" s="634"/>
      <c r="O584" s="372"/>
      <c r="P584" s="634"/>
      <c r="Q584" s="635"/>
      <c r="R584" s="372"/>
      <c r="S584" s="664"/>
      <c r="T584" s="664"/>
    </row>
    <row r="585" spans="1:20">
      <c r="A585" s="634">
        <v>2</v>
      </c>
      <c r="B585" s="639"/>
      <c r="C585" s="372"/>
      <c r="D585" s="372" t="s">
        <v>624</v>
      </c>
      <c r="E585" s="372"/>
      <c r="F585" s="634"/>
      <c r="G585" s="372"/>
      <c r="H585" s="634"/>
      <c r="I585" s="372"/>
      <c r="J585" s="634"/>
      <c r="K585" s="372"/>
      <c r="L585" s="634"/>
      <c r="M585" s="372"/>
      <c r="N585" s="634"/>
      <c r="O585" s="634"/>
      <c r="P585" s="634"/>
      <c r="Q585" s="635"/>
      <c r="R585" s="634"/>
      <c r="S585" s="372"/>
      <c r="T585" s="634"/>
    </row>
    <row r="586" spans="1:20">
      <c r="A586" s="634">
        <v>3</v>
      </c>
      <c r="B586" s="639"/>
      <c r="C586" s="372"/>
      <c r="D586" s="372" t="s">
        <v>625</v>
      </c>
      <c r="E586" s="372"/>
      <c r="F586" s="372"/>
      <c r="G586" s="372"/>
      <c r="H586" s="372"/>
      <c r="I586" s="372"/>
      <c r="J586" s="372"/>
      <c r="K586" s="372"/>
      <c r="L586" s="372"/>
      <c r="M586" s="372"/>
      <c r="N586" s="372"/>
      <c r="O586" s="372"/>
      <c r="P586" s="634"/>
      <c r="Q586" s="635"/>
      <c r="R586" s="372"/>
      <c r="S586" s="372"/>
      <c r="T586" s="372"/>
    </row>
    <row r="587" spans="1:20">
      <c r="A587" s="634">
        <v>4</v>
      </c>
      <c r="B587" s="639"/>
      <c r="C587" s="372"/>
      <c r="D587" s="372" t="s">
        <v>626</v>
      </c>
      <c r="E587" s="372"/>
      <c r="F587" s="372"/>
      <c r="G587" s="372"/>
      <c r="H587" s="372"/>
      <c r="I587" s="372"/>
      <c r="J587" s="372"/>
      <c r="K587" s="372"/>
      <c r="L587" s="372"/>
      <c r="M587" s="372"/>
      <c r="N587" s="372"/>
      <c r="O587" s="372"/>
      <c r="P587" s="372"/>
      <c r="Q587" s="635"/>
      <c r="R587" s="372"/>
      <c r="S587" s="372"/>
      <c r="T587" s="372"/>
    </row>
    <row r="588" spans="1:20">
      <c r="A588" s="634">
        <v>5</v>
      </c>
      <c r="B588" s="639"/>
      <c r="C588" s="634">
        <v>31140</v>
      </c>
      <c r="D588" s="372" t="s">
        <v>627</v>
      </c>
      <c r="E588" s="372"/>
      <c r="F588" s="640">
        <v>72424</v>
      </c>
      <c r="G588" s="635"/>
      <c r="H588" s="640">
        <v>7080</v>
      </c>
      <c r="I588" s="635"/>
      <c r="J588" s="634" t="s">
        <v>635</v>
      </c>
      <c r="K588" s="372"/>
      <c r="L588" s="634" t="s">
        <v>635</v>
      </c>
      <c r="M588" s="372"/>
      <c r="N588" s="634" t="s">
        <v>635</v>
      </c>
      <c r="O588" s="634"/>
      <c r="P588" s="634" t="s">
        <v>635</v>
      </c>
      <c r="Q588" s="635"/>
      <c r="R588" s="640">
        <v>79505</v>
      </c>
      <c r="S588" s="372"/>
      <c r="T588" s="640">
        <v>75965</v>
      </c>
    </row>
    <row r="589" spans="1:20">
      <c r="A589" s="634">
        <v>6</v>
      </c>
      <c r="B589" s="639"/>
      <c r="C589" s="634">
        <v>31240</v>
      </c>
      <c r="D589" s="372" t="s">
        <v>629</v>
      </c>
      <c r="E589" s="372"/>
      <c r="F589" s="640">
        <v>50487</v>
      </c>
      <c r="G589" s="635"/>
      <c r="H589" s="640">
        <v>7595</v>
      </c>
      <c r="I589" s="635"/>
      <c r="J589" s="640">
        <v>-1071</v>
      </c>
      <c r="K589" s="372"/>
      <c r="L589" s="634">
        <v>-548</v>
      </c>
      <c r="M589" s="372"/>
      <c r="N589" s="634" t="s">
        <v>628</v>
      </c>
      <c r="O589" s="634"/>
      <c r="P589" s="634" t="s">
        <v>635</v>
      </c>
      <c r="Q589" s="635"/>
      <c r="R589" s="640">
        <v>56463</v>
      </c>
      <c r="S589" s="372"/>
      <c r="T589" s="640">
        <v>53548</v>
      </c>
    </row>
    <row r="590" spans="1:20">
      <c r="A590" s="634">
        <v>7</v>
      </c>
      <c r="B590" s="639"/>
      <c r="C590" s="634">
        <v>31440</v>
      </c>
      <c r="D590" s="372" t="s">
        <v>630</v>
      </c>
      <c r="E590" s="372"/>
      <c r="F590" s="634">
        <v>954</v>
      </c>
      <c r="G590" s="635"/>
      <c r="H590" s="640">
        <v>1186</v>
      </c>
      <c r="I590" s="635"/>
      <c r="J590" s="640">
        <v>-1071</v>
      </c>
      <c r="K590" s="372"/>
      <c r="L590" s="634">
        <v>-548</v>
      </c>
      <c r="M590" s="372"/>
      <c r="N590" s="634" t="s">
        <v>628</v>
      </c>
      <c r="O590" s="634"/>
      <c r="P590" s="634" t="s">
        <v>635</v>
      </c>
      <c r="Q590" s="635"/>
      <c r="R590" s="634">
        <v>520</v>
      </c>
      <c r="S590" s="372"/>
      <c r="T590" s="634">
        <v>810</v>
      </c>
    </row>
    <row r="591" spans="1:20">
      <c r="A591" s="634">
        <v>8</v>
      </c>
      <c r="B591" s="639"/>
      <c r="C591" s="634">
        <v>31540</v>
      </c>
      <c r="D591" s="372" t="s">
        <v>631</v>
      </c>
      <c r="E591" s="372"/>
      <c r="F591" s="640">
        <v>19712</v>
      </c>
      <c r="G591" s="635"/>
      <c r="H591" s="634">
        <v>950</v>
      </c>
      <c r="I591" s="635"/>
      <c r="J591" s="634" t="s">
        <v>635</v>
      </c>
      <c r="K591" s="372"/>
      <c r="L591" s="634" t="s">
        <v>635</v>
      </c>
      <c r="M591" s="372"/>
      <c r="N591" s="634" t="s">
        <v>635</v>
      </c>
      <c r="O591" s="634"/>
      <c r="P591" s="634" t="s">
        <v>635</v>
      </c>
      <c r="Q591" s="635"/>
      <c r="R591" s="640">
        <v>20662</v>
      </c>
      <c r="S591" s="372"/>
      <c r="T591" s="640">
        <v>20187</v>
      </c>
    </row>
    <row r="592" spans="1:20">
      <c r="A592" s="634">
        <v>9</v>
      </c>
      <c r="B592" s="639"/>
      <c r="C592" s="634">
        <v>31640</v>
      </c>
      <c r="D592" s="372" t="s">
        <v>632</v>
      </c>
      <c r="E592" s="372"/>
      <c r="F592" s="640">
        <v>11794</v>
      </c>
      <c r="G592" s="635"/>
      <c r="H592" s="634">
        <v>534</v>
      </c>
      <c r="I592" s="635"/>
      <c r="J592" s="634" t="s">
        <v>635</v>
      </c>
      <c r="K592" s="372"/>
      <c r="L592" s="634" t="s">
        <v>635</v>
      </c>
      <c r="M592" s="372"/>
      <c r="N592" s="634" t="s">
        <v>635</v>
      </c>
      <c r="O592" s="634"/>
      <c r="P592" s="634" t="s">
        <v>635</v>
      </c>
      <c r="Q592" s="635"/>
      <c r="R592" s="640">
        <v>12328</v>
      </c>
      <c r="S592" s="372"/>
      <c r="T592" s="640">
        <v>12061</v>
      </c>
    </row>
    <row r="593" spans="1:20">
      <c r="A593" s="634">
        <v>10</v>
      </c>
      <c r="B593" s="639"/>
      <c r="C593" s="634"/>
      <c r="D593" s="372" t="s">
        <v>633</v>
      </c>
      <c r="E593" s="372"/>
      <c r="F593" s="642">
        <v>155372</v>
      </c>
      <c r="G593" s="372"/>
      <c r="H593" s="642">
        <v>17346</v>
      </c>
      <c r="I593" s="635"/>
      <c r="J593" s="642">
        <v>-2143</v>
      </c>
      <c r="K593" s="635"/>
      <c r="L593" s="642">
        <v>-1096</v>
      </c>
      <c r="M593" s="635"/>
      <c r="N593" s="643" t="s">
        <v>628</v>
      </c>
      <c r="O593" s="635"/>
      <c r="P593" s="643" t="s">
        <v>635</v>
      </c>
      <c r="Q593" s="635"/>
      <c r="R593" s="642">
        <v>169478</v>
      </c>
      <c r="S593" s="635"/>
      <c r="T593" s="642">
        <v>162571</v>
      </c>
    </row>
    <row r="594" spans="1:20">
      <c r="A594" s="634">
        <v>11</v>
      </c>
      <c r="B594" s="639"/>
      <c r="C594" s="634"/>
      <c r="D594" s="372"/>
      <c r="E594" s="372"/>
      <c r="F594" s="372"/>
      <c r="G594" s="372"/>
      <c r="H594" s="372"/>
      <c r="I594" s="635"/>
      <c r="J594" s="635"/>
      <c r="K594" s="635"/>
      <c r="L594" s="635"/>
      <c r="M594" s="635"/>
      <c r="N594" s="635"/>
      <c r="O594" s="635"/>
      <c r="P594" s="635"/>
      <c r="Q594" s="635"/>
      <c r="R594" s="635"/>
      <c r="S594" s="635"/>
      <c r="T594" s="635"/>
    </row>
    <row r="595" spans="1:20">
      <c r="A595" s="634">
        <v>12</v>
      </c>
      <c r="B595" s="639"/>
      <c r="C595" s="634"/>
      <c r="D595" s="372" t="s">
        <v>634</v>
      </c>
      <c r="E595" s="372"/>
      <c r="F595" s="372"/>
      <c r="G595" s="372"/>
      <c r="H595" s="372"/>
      <c r="I595" s="635"/>
      <c r="J595" s="635"/>
      <c r="K595" s="635"/>
      <c r="L595" s="635"/>
      <c r="M595" s="635"/>
      <c r="N595" s="635"/>
      <c r="O595" s="635"/>
      <c r="P595" s="635"/>
      <c r="Q595" s="635"/>
      <c r="R595" s="635"/>
      <c r="S595" s="635"/>
      <c r="T595" s="635"/>
    </row>
    <row r="596" spans="1:20">
      <c r="A596" s="634">
        <v>13</v>
      </c>
      <c r="B596" s="639"/>
      <c r="C596" s="634">
        <v>31141</v>
      </c>
      <c r="D596" s="372" t="s">
        <v>627</v>
      </c>
      <c r="E596" s="372"/>
      <c r="F596" s="634" t="s">
        <v>628</v>
      </c>
      <c r="G596" s="635"/>
      <c r="H596" s="634" t="s">
        <v>635</v>
      </c>
      <c r="I596" s="635"/>
      <c r="J596" s="634" t="s">
        <v>635</v>
      </c>
      <c r="K596" s="372"/>
      <c r="L596" s="634" t="s">
        <v>635</v>
      </c>
      <c r="M596" s="372"/>
      <c r="N596" s="634" t="s">
        <v>635</v>
      </c>
      <c r="O596" s="634"/>
      <c r="P596" s="634" t="s">
        <v>635</v>
      </c>
      <c r="Q596" s="635"/>
      <c r="R596" s="634" t="s">
        <v>635</v>
      </c>
      <c r="S596" s="372"/>
      <c r="T596" s="634" t="s">
        <v>635</v>
      </c>
    </row>
    <row r="597" spans="1:20">
      <c r="A597" s="634">
        <v>14</v>
      </c>
      <c r="B597" s="639"/>
      <c r="C597" s="634">
        <v>31241</v>
      </c>
      <c r="D597" s="372" t="s">
        <v>629</v>
      </c>
      <c r="E597" s="372"/>
      <c r="F597" s="634" t="s">
        <v>628</v>
      </c>
      <c r="G597" s="635"/>
      <c r="H597" s="634" t="s">
        <v>635</v>
      </c>
      <c r="I597" s="635"/>
      <c r="J597" s="634" t="s">
        <v>635</v>
      </c>
      <c r="K597" s="372"/>
      <c r="L597" s="634" t="s">
        <v>635</v>
      </c>
      <c r="M597" s="372"/>
      <c r="N597" s="634" t="s">
        <v>635</v>
      </c>
      <c r="O597" s="634"/>
      <c r="P597" s="634" t="s">
        <v>635</v>
      </c>
      <c r="Q597" s="635"/>
      <c r="R597" s="634" t="s">
        <v>635</v>
      </c>
      <c r="S597" s="372"/>
      <c r="T597" s="634" t="s">
        <v>635</v>
      </c>
    </row>
    <row r="598" spans="1:20">
      <c r="A598" s="634">
        <v>15</v>
      </c>
      <c r="B598" s="639"/>
      <c r="C598" s="634">
        <v>31441</v>
      </c>
      <c r="D598" s="372" t="s">
        <v>630</v>
      </c>
      <c r="E598" s="372"/>
      <c r="F598" s="634" t="s">
        <v>628</v>
      </c>
      <c r="G598" s="635"/>
      <c r="H598" s="634" t="s">
        <v>635</v>
      </c>
      <c r="I598" s="635"/>
      <c r="J598" s="634" t="s">
        <v>635</v>
      </c>
      <c r="K598" s="372"/>
      <c r="L598" s="634" t="s">
        <v>635</v>
      </c>
      <c r="M598" s="372"/>
      <c r="N598" s="634" t="s">
        <v>635</v>
      </c>
      <c r="O598" s="634"/>
      <c r="P598" s="634" t="s">
        <v>635</v>
      </c>
      <c r="Q598" s="635"/>
      <c r="R598" s="634" t="s">
        <v>635</v>
      </c>
      <c r="S598" s="372"/>
      <c r="T598" s="634" t="s">
        <v>635</v>
      </c>
    </row>
    <row r="599" spans="1:20">
      <c r="A599" s="634">
        <v>16</v>
      </c>
      <c r="B599" s="639"/>
      <c r="C599" s="634">
        <v>31541</v>
      </c>
      <c r="D599" s="372" t="s">
        <v>631</v>
      </c>
      <c r="E599" s="372"/>
      <c r="F599" s="634" t="s">
        <v>628</v>
      </c>
      <c r="G599" s="635"/>
      <c r="H599" s="634" t="s">
        <v>635</v>
      </c>
      <c r="I599" s="635"/>
      <c r="J599" s="634" t="s">
        <v>635</v>
      </c>
      <c r="K599" s="372"/>
      <c r="L599" s="634" t="s">
        <v>635</v>
      </c>
      <c r="M599" s="372"/>
      <c r="N599" s="634" t="s">
        <v>635</v>
      </c>
      <c r="O599" s="634"/>
      <c r="P599" s="634" t="s">
        <v>635</v>
      </c>
      <c r="Q599" s="635"/>
      <c r="R599" s="634" t="s">
        <v>635</v>
      </c>
      <c r="S599" s="372"/>
      <c r="T599" s="634" t="s">
        <v>635</v>
      </c>
    </row>
    <row r="600" spans="1:20">
      <c r="A600" s="634">
        <v>17</v>
      </c>
      <c r="B600" s="639"/>
      <c r="C600" s="634">
        <v>31641</v>
      </c>
      <c r="D600" s="372" t="s">
        <v>632</v>
      </c>
      <c r="E600" s="372"/>
      <c r="F600" s="634" t="s">
        <v>628</v>
      </c>
      <c r="G600" s="635"/>
      <c r="H600" s="634" t="s">
        <v>635</v>
      </c>
      <c r="I600" s="635"/>
      <c r="J600" s="634" t="s">
        <v>635</v>
      </c>
      <c r="K600" s="372"/>
      <c r="L600" s="634" t="s">
        <v>635</v>
      </c>
      <c r="M600" s="372"/>
      <c r="N600" s="634" t="s">
        <v>635</v>
      </c>
      <c r="O600" s="634"/>
      <c r="P600" s="634" t="s">
        <v>635</v>
      </c>
      <c r="Q600" s="635"/>
      <c r="R600" s="634" t="s">
        <v>635</v>
      </c>
      <c r="S600" s="372"/>
      <c r="T600" s="634" t="s">
        <v>635</v>
      </c>
    </row>
    <row r="601" spans="1:20">
      <c r="A601" s="634">
        <v>18</v>
      </c>
      <c r="B601" s="639"/>
      <c r="C601" s="634"/>
      <c r="D601" s="372" t="s">
        <v>636</v>
      </c>
      <c r="E601" s="372"/>
      <c r="F601" s="643" t="s">
        <v>628</v>
      </c>
      <c r="G601" s="372"/>
      <c r="H601" s="643" t="s">
        <v>635</v>
      </c>
      <c r="I601" s="635"/>
      <c r="J601" s="643" t="s">
        <v>635</v>
      </c>
      <c r="K601" s="635"/>
      <c r="L601" s="643" t="s">
        <v>635</v>
      </c>
      <c r="M601" s="635"/>
      <c r="N601" s="643" t="s">
        <v>635</v>
      </c>
      <c r="O601" s="635"/>
      <c r="P601" s="643" t="s">
        <v>635</v>
      </c>
      <c r="Q601" s="635"/>
      <c r="R601" s="643" t="s">
        <v>635</v>
      </c>
      <c r="S601" s="635"/>
      <c r="T601" s="643" t="s">
        <v>635</v>
      </c>
    </row>
    <row r="602" spans="1:20">
      <c r="A602" s="634">
        <v>19</v>
      </c>
      <c r="B602" s="639"/>
      <c r="C602" s="372"/>
      <c r="D602" s="372"/>
      <c r="E602" s="372"/>
      <c r="F602" s="372"/>
      <c r="G602" s="372"/>
      <c r="H602" s="372"/>
      <c r="I602" s="372"/>
      <c r="J602" s="372"/>
      <c r="K602" s="372"/>
      <c r="L602" s="372"/>
      <c r="M602" s="372"/>
      <c r="N602" s="372"/>
      <c r="O602" s="372"/>
      <c r="P602" s="372"/>
      <c r="Q602" s="635"/>
      <c r="R602" s="372"/>
      <c r="S602" s="372"/>
      <c r="T602" s="372"/>
    </row>
    <row r="603" spans="1:20">
      <c r="A603" s="634">
        <v>20</v>
      </c>
      <c r="B603" s="639"/>
      <c r="C603" s="634"/>
      <c r="D603" s="372" t="s">
        <v>637</v>
      </c>
      <c r="E603" s="372"/>
      <c r="F603" s="372"/>
      <c r="G603" s="372"/>
      <c r="H603" s="372"/>
      <c r="I603" s="635"/>
      <c r="J603" s="635"/>
      <c r="K603" s="635"/>
      <c r="L603" s="635"/>
      <c r="M603" s="635"/>
      <c r="N603" s="635"/>
      <c r="O603" s="635"/>
      <c r="P603" s="635"/>
      <c r="Q603" s="635"/>
      <c r="R603" s="635"/>
      <c r="S603" s="635"/>
      <c r="T603" s="635"/>
    </row>
    <row r="604" spans="1:20">
      <c r="A604" s="634">
        <v>21</v>
      </c>
      <c r="B604" s="639"/>
      <c r="C604" s="634">
        <v>31142</v>
      </c>
      <c r="D604" s="372" t="s">
        <v>627</v>
      </c>
      <c r="E604" s="372"/>
      <c r="F604" s="634" t="s">
        <v>628</v>
      </c>
      <c r="G604" s="635"/>
      <c r="H604" s="634" t="s">
        <v>635</v>
      </c>
      <c r="I604" s="635"/>
      <c r="J604" s="634" t="s">
        <v>635</v>
      </c>
      <c r="K604" s="372"/>
      <c r="L604" s="634" t="s">
        <v>635</v>
      </c>
      <c r="M604" s="372"/>
      <c r="N604" s="634" t="s">
        <v>635</v>
      </c>
      <c r="O604" s="634"/>
      <c r="P604" s="634" t="s">
        <v>635</v>
      </c>
      <c r="Q604" s="635"/>
      <c r="R604" s="634" t="s">
        <v>635</v>
      </c>
      <c r="S604" s="372"/>
      <c r="T604" s="634" t="s">
        <v>635</v>
      </c>
    </row>
    <row r="605" spans="1:20">
      <c r="A605" s="634">
        <v>22</v>
      </c>
      <c r="B605" s="639"/>
      <c r="C605" s="634">
        <v>31242</v>
      </c>
      <c r="D605" s="372" t="s">
        <v>629</v>
      </c>
      <c r="E605" s="372"/>
      <c r="F605" s="634" t="s">
        <v>628</v>
      </c>
      <c r="G605" s="635"/>
      <c r="H605" s="634" t="s">
        <v>635</v>
      </c>
      <c r="I605" s="635"/>
      <c r="J605" s="634" t="s">
        <v>635</v>
      </c>
      <c r="K605" s="372"/>
      <c r="L605" s="634" t="s">
        <v>635</v>
      </c>
      <c r="M605" s="372"/>
      <c r="N605" s="634" t="s">
        <v>635</v>
      </c>
      <c r="O605" s="634"/>
      <c r="P605" s="634" t="s">
        <v>635</v>
      </c>
      <c r="Q605" s="635"/>
      <c r="R605" s="634" t="s">
        <v>635</v>
      </c>
      <c r="S605" s="372"/>
      <c r="T605" s="634" t="s">
        <v>635</v>
      </c>
    </row>
    <row r="606" spans="1:20">
      <c r="A606" s="634">
        <v>23</v>
      </c>
      <c r="B606" s="639"/>
      <c r="C606" s="634">
        <v>31442</v>
      </c>
      <c r="D606" s="372" t="s">
        <v>630</v>
      </c>
      <c r="E606" s="372"/>
      <c r="F606" s="634" t="s">
        <v>628</v>
      </c>
      <c r="G606" s="635"/>
      <c r="H606" s="634" t="s">
        <v>635</v>
      </c>
      <c r="I606" s="635"/>
      <c r="J606" s="634" t="s">
        <v>635</v>
      </c>
      <c r="K606" s="372"/>
      <c r="L606" s="634" t="s">
        <v>635</v>
      </c>
      <c r="M606" s="372"/>
      <c r="N606" s="634" t="s">
        <v>635</v>
      </c>
      <c r="O606" s="634"/>
      <c r="P606" s="634" t="s">
        <v>635</v>
      </c>
      <c r="Q606" s="635"/>
      <c r="R606" s="634" t="s">
        <v>635</v>
      </c>
      <c r="S606" s="372"/>
      <c r="T606" s="634" t="s">
        <v>635</v>
      </c>
    </row>
    <row r="607" spans="1:20">
      <c r="A607" s="634">
        <v>24</v>
      </c>
      <c r="B607" s="639"/>
      <c r="C607" s="634">
        <v>31542</v>
      </c>
      <c r="D607" s="372" t="s">
        <v>631</v>
      </c>
      <c r="E607" s="372"/>
      <c r="F607" s="634" t="s">
        <v>628</v>
      </c>
      <c r="G607" s="635"/>
      <c r="H607" s="634" t="s">
        <v>635</v>
      </c>
      <c r="I607" s="635"/>
      <c r="J607" s="634" t="s">
        <v>635</v>
      </c>
      <c r="K607" s="372"/>
      <c r="L607" s="634" t="s">
        <v>635</v>
      </c>
      <c r="M607" s="372"/>
      <c r="N607" s="634" t="s">
        <v>635</v>
      </c>
      <c r="O607" s="634"/>
      <c r="P607" s="634" t="s">
        <v>635</v>
      </c>
      <c r="Q607" s="635"/>
      <c r="R607" s="634" t="s">
        <v>635</v>
      </c>
      <c r="S607" s="372"/>
      <c r="T607" s="634" t="s">
        <v>635</v>
      </c>
    </row>
    <row r="608" spans="1:20">
      <c r="A608" s="634">
        <v>25</v>
      </c>
      <c r="B608" s="639"/>
      <c r="C608" s="634">
        <v>31642</v>
      </c>
      <c r="D608" s="372" t="s">
        <v>632</v>
      </c>
      <c r="E608" s="372"/>
      <c r="F608" s="634" t="s">
        <v>628</v>
      </c>
      <c r="G608" s="635"/>
      <c r="H608" s="634" t="s">
        <v>635</v>
      </c>
      <c r="I608" s="635"/>
      <c r="J608" s="634" t="s">
        <v>635</v>
      </c>
      <c r="K608" s="372"/>
      <c r="L608" s="634" t="s">
        <v>635</v>
      </c>
      <c r="M608" s="372"/>
      <c r="N608" s="634" t="s">
        <v>635</v>
      </c>
      <c r="O608" s="634"/>
      <c r="P608" s="634" t="s">
        <v>635</v>
      </c>
      <c r="Q608" s="635"/>
      <c r="R608" s="634" t="s">
        <v>635</v>
      </c>
      <c r="S608" s="372"/>
      <c r="T608" s="634" t="s">
        <v>635</v>
      </c>
    </row>
    <row r="609" spans="1:20">
      <c r="A609" s="634">
        <v>26</v>
      </c>
      <c r="B609" s="639"/>
      <c r="C609" s="634"/>
      <c r="D609" s="372" t="s">
        <v>638</v>
      </c>
      <c r="E609" s="372"/>
      <c r="F609" s="643" t="s">
        <v>628</v>
      </c>
      <c r="G609" s="372"/>
      <c r="H609" s="643" t="s">
        <v>635</v>
      </c>
      <c r="I609" s="635"/>
      <c r="J609" s="643" t="s">
        <v>635</v>
      </c>
      <c r="K609" s="635"/>
      <c r="L609" s="643" t="s">
        <v>635</v>
      </c>
      <c r="M609" s="635"/>
      <c r="N609" s="643" t="s">
        <v>635</v>
      </c>
      <c r="O609" s="635"/>
      <c r="P609" s="643" t="s">
        <v>635</v>
      </c>
      <c r="Q609" s="635"/>
      <c r="R609" s="643" t="s">
        <v>635</v>
      </c>
      <c r="S609" s="635"/>
      <c r="T609" s="643" t="s">
        <v>635</v>
      </c>
    </row>
    <row r="610" spans="1:20">
      <c r="A610" s="634">
        <v>27</v>
      </c>
      <c r="B610" s="639"/>
      <c r="C610" s="634"/>
      <c r="D610" s="372"/>
      <c r="E610" s="372"/>
      <c r="F610" s="372"/>
      <c r="G610" s="372"/>
      <c r="H610" s="372"/>
      <c r="I610" s="635"/>
      <c r="J610" s="635"/>
      <c r="K610" s="635"/>
      <c r="L610" s="635"/>
      <c r="M610" s="635"/>
      <c r="N610" s="635"/>
      <c r="O610" s="635"/>
      <c r="P610" s="635"/>
      <c r="Q610" s="635"/>
      <c r="R610" s="635"/>
      <c r="S610" s="635"/>
      <c r="T610" s="635"/>
    </row>
    <row r="611" spans="1:20">
      <c r="A611" s="634">
        <v>28</v>
      </c>
      <c r="B611" s="639"/>
      <c r="C611" s="634"/>
      <c r="D611" s="372" t="s">
        <v>639</v>
      </c>
      <c r="E611" s="372"/>
      <c r="F611" s="372"/>
      <c r="G611" s="372"/>
      <c r="H611" s="372"/>
      <c r="I611" s="635"/>
      <c r="J611" s="635"/>
      <c r="K611" s="635"/>
      <c r="L611" s="635"/>
      <c r="M611" s="635"/>
      <c r="N611" s="635"/>
      <c r="O611" s="635"/>
      <c r="P611" s="635"/>
      <c r="Q611" s="635"/>
      <c r="R611" s="635"/>
      <c r="S611" s="635"/>
      <c r="T611" s="635"/>
    </row>
    <row r="612" spans="1:20">
      <c r="A612" s="634">
        <v>29</v>
      </c>
      <c r="B612" s="639"/>
      <c r="C612" s="634">
        <v>31143</v>
      </c>
      <c r="D612" s="372" t="s">
        <v>627</v>
      </c>
      <c r="E612" s="372"/>
      <c r="F612" s="634" t="s">
        <v>628</v>
      </c>
      <c r="G612" s="635"/>
      <c r="H612" s="634" t="s">
        <v>635</v>
      </c>
      <c r="I612" s="635"/>
      <c r="J612" s="634" t="s">
        <v>635</v>
      </c>
      <c r="K612" s="372"/>
      <c r="L612" s="634" t="s">
        <v>635</v>
      </c>
      <c r="M612" s="372"/>
      <c r="N612" s="634" t="s">
        <v>635</v>
      </c>
      <c r="O612" s="634"/>
      <c r="P612" s="634" t="s">
        <v>635</v>
      </c>
      <c r="Q612" s="635"/>
      <c r="R612" s="634" t="s">
        <v>635</v>
      </c>
      <c r="S612" s="372"/>
      <c r="T612" s="634" t="s">
        <v>635</v>
      </c>
    </row>
    <row r="613" spans="1:20">
      <c r="A613" s="634">
        <v>30</v>
      </c>
      <c r="B613" s="639"/>
      <c r="C613" s="634">
        <v>31243</v>
      </c>
      <c r="D613" s="372" t="s">
        <v>629</v>
      </c>
      <c r="E613" s="372"/>
      <c r="F613" s="634" t="s">
        <v>628</v>
      </c>
      <c r="G613" s="635"/>
      <c r="H613" s="634" t="s">
        <v>635</v>
      </c>
      <c r="I613" s="635"/>
      <c r="J613" s="634" t="s">
        <v>635</v>
      </c>
      <c r="K613" s="372"/>
      <c r="L613" s="634" t="s">
        <v>635</v>
      </c>
      <c r="M613" s="372"/>
      <c r="N613" s="634" t="s">
        <v>635</v>
      </c>
      <c r="O613" s="634"/>
      <c r="P613" s="634" t="s">
        <v>635</v>
      </c>
      <c r="Q613" s="635"/>
      <c r="R613" s="634" t="s">
        <v>635</v>
      </c>
      <c r="S613" s="372"/>
      <c r="T613" s="634" t="s">
        <v>635</v>
      </c>
    </row>
    <row r="614" spans="1:20">
      <c r="A614" s="634">
        <v>31</v>
      </c>
      <c r="B614" s="639"/>
      <c r="C614" s="634">
        <v>31443</v>
      </c>
      <c r="D614" s="372" t="s">
        <v>630</v>
      </c>
      <c r="E614" s="372"/>
      <c r="F614" s="634" t="s">
        <v>628</v>
      </c>
      <c r="G614" s="635"/>
      <c r="H614" s="634" t="s">
        <v>635</v>
      </c>
      <c r="I614" s="635"/>
      <c r="J614" s="634" t="s">
        <v>635</v>
      </c>
      <c r="K614" s="372"/>
      <c r="L614" s="634" t="s">
        <v>635</v>
      </c>
      <c r="M614" s="372"/>
      <c r="N614" s="634" t="s">
        <v>635</v>
      </c>
      <c r="O614" s="634"/>
      <c r="P614" s="634" t="s">
        <v>635</v>
      </c>
      <c r="Q614" s="635"/>
      <c r="R614" s="634" t="s">
        <v>635</v>
      </c>
      <c r="S614" s="372"/>
      <c r="T614" s="634" t="s">
        <v>635</v>
      </c>
    </row>
    <row r="615" spans="1:20">
      <c r="A615" s="634">
        <v>32</v>
      </c>
      <c r="B615" s="639"/>
      <c r="C615" s="634">
        <v>31543</v>
      </c>
      <c r="D615" s="372" t="s">
        <v>631</v>
      </c>
      <c r="E615" s="372"/>
      <c r="F615" s="634" t="s">
        <v>628</v>
      </c>
      <c r="G615" s="635"/>
      <c r="H615" s="634" t="s">
        <v>635</v>
      </c>
      <c r="I615" s="635"/>
      <c r="J615" s="634" t="s">
        <v>635</v>
      </c>
      <c r="K615" s="372"/>
      <c r="L615" s="634" t="s">
        <v>635</v>
      </c>
      <c r="M615" s="372"/>
      <c r="N615" s="634" t="s">
        <v>635</v>
      </c>
      <c r="O615" s="634"/>
      <c r="P615" s="634" t="s">
        <v>635</v>
      </c>
      <c r="Q615" s="635"/>
      <c r="R615" s="634" t="s">
        <v>635</v>
      </c>
      <c r="S615" s="372"/>
      <c r="T615" s="634" t="s">
        <v>635</v>
      </c>
    </row>
    <row r="616" spans="1:20">
      <c r="A616" s="634">
        <v>33</v>
      </c>
      <c r="B616" s="639"/>
      <c r="C616" s="634">
        <v>31643</v>
      </c>
      <c r="D616" s="372" t="s">
        <v>632</v>
      </c>
      <c r="E616" s="372"/>
      <c r="F616" s="634" t="s">
        <v>628</v>
      </c>
      <c r="G616" s="635"/>
      <c r="H616" s="634" t="s">
        <v>635</v>
      </c>
      <c r="I616" s="635"/>
      <c r="J616" s="634" t="s">
        <v>635</v>
      </c>
      <c r="K616" s="372"/>
      <c r="L616" s="634" t="s">
        <v>635</v>
      </c>
      <c r="M616" s="372"/>
      <c r="N616" s="634" t="s">
        <v>635</v>
      </c>
      <c r="O616" s="634"/>
      <c r="P616" s="634" t="s">
        <v>635</v>
      </c>
      <c r="Q616" s="635"/>
      <c r="R616" s="634" t="s">
        <v>635</v>
      </c>
      <c r="S616" s="372"/>
      <c r="T616" s="634" t="s">
        <v>635</v>
      </c>
    </row>
    <row r="617" spans="1:20">
      <c r="A617" s="634">
        <v>34</v>
      </c>
      <c r="B617" s="639"/>
      <c r="C617" s="634"/>
      <c r="D617" s="372" t="s">
        <v>640</v>
      </c>
      <c r="E617" s="372"/>
      <c r="F617" s="643" t="s">
        <v>628</v>
      </c>
      <c r="G617" s="372"/>
      <c r="H617" s="643" t="s">
        <v>635</v>
      </c>
      <c r="I617" s="635"/>
      <c r="J617" s="643" t="s">
        <v>635</v>
      </c>
      <c r="K617" s="635"/>
      <c r="L617" s="643" t="s">
        <v>635</v>
      </c>
      <c r="M617" s="635"/>
      <c r="N617" s="643" t="s">
        <v>635</v>
      </c>
      <c r="O617" s="635"/>
      <c r="P617" s="643" t="s">
        <v>635</v>
      </c>
      <c r="Q617" s="635"/>
      <c r="R617" s="643" t="s">
        <v>635</v>
      </c>
      <c r="S617" s="635"/>
      <c r="T617" s="643" t="s">
        <v>635</v>
      </c>
    </row>
    <row r="618" spans="1:20">
      <c r="A618" s="634">
        <v>35</v>
      </c>
      <c r="B618" s="639"/>
      <c r="C618" s="372"/>
      <c r="D618" s="372"/>
      <c r="E618" s="372"/>
      <c r="F618" s="372"/>
      <c r="G618" s="372"/>
      <c r="H618" s="372"/>
      <c r="I618" s="372"/>
      <c r="J618" s="372"/>
      <c r="K618" s="372"/>
      <c r="L618" s="372"/>
      <c r="M618" s="372"/>
      <c r="N618" s="372"/>
      <c r="O618" s="372"/>
      <c r="P618" s="372"/>
      <c r="Q618" s="635"/>
      <c r="R618" s="372"/>
      <c r="S618" s="372"/>
      <c r="T618" s="372"/>
    </row>
    <row r="619" spans="1:20">
      <c r="A619" s="634">
        <v>36</v>
      </c>
      <c r="B619" s="639"/>
      <c r="C619" s="634"/>
      <c r="D619" s="372" t="s">
        <v>641</v>
      </c>
      <c r="E619" s="372"/>
      <c r="F619" s="372"/>
      <c r="G619" s="372"/>
      <c r="H619" s="372"/>
      <c r="I619" s="635"/>
      <c r="J619" s="635"/>
      <c r="K619" s="635"/>
      <c r="L619" s="635"/>
      <c r="M619" s="635"/>
      <c r="N619" s="635"/>
      <c r="O619" s="635"/>
      <c r="P619" s="635"/>
      <c r="Q619" s="635"/>
      <c r="R619" s="635"/>
      <c r="S619" s="635"/>
      <c r="T619" s="635"/>
    </row>
    <row r="620" spans="1:20">
      <c r="A620" s="634">
        <v>37</v>
      </c>
      <c r="B620" s="644"/>
      <c r="C620" s="634">
        <v>31144</v>
      </c>
      <c r="D620" s="372" t="s">
        <v>627</v>
      </c>
      <c r="E620" s="372"/>
      <c r="F620" s="640">
        <v>27319</v>
      </c>
      <c r="G620" s="635"/>
      <c r="H620" s="640">
        <v>1951</v>
      </c>
      <c r="I620" s="635"/>
      <c r="J620" s="634" t="s">
        <v>635</v>
      </c>
      <c r="K620" s="372"/>
      <c r="L620" s="634" t="s">
        <v>635</v>
      </c>
      <c r="M620" s="372"/>
      <c r="N620" s="634" t="s">
        <v>635</v>
      </c>
      <c r="O620" s="634"/>
      <c r="P620" s="634" t="s">
        <v>635</v>
      </c>
      <c r="Q620" s="635"/>
      <c r="R620" s="640">
        <v>29270</v>
      </c>
      <c r="S620" s="372"/>
      <c r="T620" s="640">
        <v>28295</v>
      </c>
    </row>
    <row r="621" spans="1:20">
      <c r="A621" s="634">
        <v>38</v>
      </c>
      <c r="B621" s="644"/>
      <c r="C621" s="634">
        <v>31244</v>
      </c>
      <c r="D621" s="372" t="s">
        <v>629</v>
      </c>
      <c r="E621" s="372"/>
      <c r="F621" s="640">
        <v>117102</v>
      </c>
      <c r="G621" s="635"/>
      <c r="H621" s="640">
        <v>17043</v>
      </c>
      <c r="I621" s="635"/>
      <c r="J621" s="634">
        <v>-657</v>
      </c>
      <c r="K621" s="372"/>
      <c r="L621" s="634">
        <v>-302</v>
      </c>
      <c r="M621" s="372"/>
      <c r="N621" s="634" t="s">
        <v>628</v>
      </c>
      <c r="O621" s="634"/>
      <c r="P621" s="634" t="s">
        <v>635</v>
      </c>
      <c r="Q621" s="635"/>
      <c r="R621" s="640">
        <v>133186</v>
      </c>
      <c r="S621" s="372"/>
      <c r="T621" s="640">
        <v>125204</v>
      </c>
    </row>
    <row r="622" spans="1:20">
      <c r="A622" s="634">
        <v>39</v>
      </c>
      <c r="B622" s="644"/>
      <c r="C622" s="634">
        <v>31444</v>
      </c>
      <c r="D622" s="372" t="s">
        <v>630</v>
      </c>
      <c r="E622" s="372"/>
      <c r="F622" s="640">
        <v>53047</v>
      </c>
      <c r="G622" s="635"/>
      <c r="H622" s="640">
        <v>5644</v>
      </c>
      <c r="I622" s="635"/>
      <c r="J622" s="634">
        <v>-657</v>
      </c>
      <c r="K622" s="372"/>
      <c r="L622" s="634">
        <v>-302</v>
      </c>
      <c r="M622" s="372"/>
      <c r="N622" s="634" t="s">
        <v>628</v>
      </c>
      <c r="O622" s="634"/>
      <c r="P622" s="634" t="s">
        <v>635</v>
      </c>
      <c r="Q622" s="635"/>
      <c r="R622" s="640">
        <v>57732</v>
      </c>
      <c r="S622" s="372"/>
      <c r="T622" s="640">
        <v>55450</v>
      </c>
    </row>
    <row r="623" spans="1:20">
      <c r="A623" s="634">
        <v>40</v>
      </c>
      <c r="B623" s="644"/>
      <c r="C623" s="634">
        <v>31544</v>
      </c>
      <c r="D623" s="372" t="s">
        <v>631</v>
      </c>
      <c r="E623" s="372"/>
      <c r="F623" s="640">
        <v>34250</v>
      </c>
      <c r="G623" s="635"/>
      <c r="H623" s="640">
        <v>1480</v>
      </c>
      <c r="I623" s="635"/>
      <c r="J623" s="634" t="s">
        <v>635</v>
      </c>
      <c r="K623" s="372"/>
      <c r="L623" s="634" t="s">
        <v>635</v>
      </c>
      <c r="M623" s="372"/>
      <c r="N623" s="634" t="s">
        <v>635</v>
      </c>
      <c r="O623" s="634"/>
      <c r="P623" s="634" t="s">
        <v>635</v>
      </c>
      <c r="Q623" s="635"/>
      <c r="R623" s="640">
        <v>35730</v>
      </c>
      <c r="S623" s="372"/>
      <c r="T623" s="640">
        <v>34990</v>
      </c>
    </row>
    <row r="624" spans="1:20">
      <c r="A624" s="634">
        <v>41</v>
      </c>
      <c r="B624" s="644"/>
      <c r="C624" s="634">
        <v>31644</v>
      </c>
      <c r="D624" s="372" t="s">
        <v>632</v>
      </c>
      <c r="E624" s="372"/>
      <c r="F624" s="640">
        <v>4400</v>
      </c>
      <c r="G624" s="635"/>
      <c r="H624" s="634">
        <v>113</v>
      </c>
      <c r="I624" s="635"/>
      <c r="J624" s="634" t="s">
        <v>635</v>
      </c>
      <c r="K624" s="372"/>
      <c r="L624" s="634" t="s">
        <v>635</v>
      </c>
      <c r="M624" s="372"/>
      <c r="N624" s="634" t="s">
        <v>635</v>
      </c>
      <c r="O624" s="634"/>
      <c r="P624" s="634" t="s">
        <v>635</v>
      </c>
      <c r="Q624" s="635"/>
      <c r="R624" s="640">
        <v>4512</v>
      </c>
      <c r="S624" s="372"/>
      <c r="T624" s="640">
        <v>4456</v>
      </c>
    </row>
    <row r="625" spans="1:20">
      <c r="A625" s="634">
        <v>42</v>
      </c>
      <c r="B625" s="644"/>
      <c r="C625" s="372"/>
      <c r="D625" s="372" t="s">
        <v>642</v>
      </c>
      <c r="E625" s="372"/>
      <c r="F625" s="642">
        <v>236119</v>
      </c>
      <c r="G625" s="372"/>
      <c r="H625" s="642">
        <v>26231</v>
      </c>
      <c r="I625" s="635"/>
      <c r="J625" s="642">
        <v>-1314</v>
      </c>
      <c r="K625" s="635"/>
      <c r="L625" s="643">
        <v>-604</v>
      </c>
      <c r="M625" s="635"/>
      <c r="N625" s="643" t="s">
        <v>628</v>
      </c>
      <c r="O625" s="635"/>
      <c r="P625" s="643" t="s">
        <v>635</v>
      </c>
      <c r="Q625" s="635"/>
      <c r="R625" s="642">
        <v>260431</v>
      </c>
      <c r="S625" s="635"/>
      <c r="T625" s="642">
        <v>248395</v>
      </c>
    </row>
    <row r="626" spans="1:20">
      <c r="A626" s="634">
        <v>43</v>
      </c>
      <c r="B626" s="644"/>
      <c r="C626" s="372"/>
      <c r="D626" s="372"/>
      <c r="E626" s="372"/>
      <c r="F626" s="372"/>
      <c r="G626" s="372"/>
      <c r="H626" s="372"/>
      <c r="I626" s="372"/>
      <c r="J626" s="372"/>
      <c r="K626" s="372"/>
      <c r="L626" s="372"/>
      <c r="M626" s="372"/>
      <c r="N626" s="372"/>
      <c r="O626" s="372"/>
      <c r="P626" s="372"/>
      <c r="Q626" s="635"/>
      <c r="R626" s="372"/>
      <c r="S626" s="372"/>
      <c r="T626" s="372"/>
    </row>
    <row r="627" spans="1:20" ht="15" thickBot="1">
      <c r="A627" s="637">
        <v>44</v>
      </c>
      <c r="B627" s="660" t="s">
        <v>67</v>
      </c>
      <c r="C627" s="660"/>
      <c r="D627" s="625"/>
      <c r="E627" s="625"/>
      <c r="F627" s="625"/>
      <c r="G627" s="625"/>
      <c r="H627" s="625"/>
      <c r="I627" s="625"/>
      <c r="J627" s="625"/>
      <c r="K627" s="625"/>
      <c r="L627" s="625"/>
      <c r="M627" s="625"/>
      <c r="N627" s="625"/>
      <c r="O627" s="625"/>
      <c r="P627" s="625"/>
      <c r="Q627" s="638"/>
      <c r="R627" s="625"/>
      <c r="S627" s="625"/>
      <c r="T627" s="625"/>
    </row>
    <row r="628" spans="1:20">
      <c r="A628" s="629" t="s">
        <v>818</v>
      </c>
      <c r="B628" s="629"/>
      <c r="C628" s="372"/>
      <c r="D628" s="372"/>
      <c r="E628" s="664"/>
      <c r="F628" s="664"/>
      <c r="G628" s="664"/>
      <c r="H628" s="664"/>
      <c r="I628" s="664"/>
      <c r="J628" s="664"/>
      <c r="K628" s="664"/>
      <c r="L628" s="664"/>
      <c r="M628" s="664"/>
      <c r="N628" s="664"/>
      <c r="O628" s="664"/>
      <c r="P628" s="664"/>
      <c r="Q628" s="635"/>
      <c r="R628" s="426" t="s">
        <v>644</v>
      </c>
      <c r="S628" s="664"/>
      <c r="T628" s="664"/>
    </row>
    <row r="629" spans="1:20" ht="15" thickBot="1">
      <c r="A629" s="625" t="s">
        <v>808</v>
      </c>
      <c r="B629" s="625"/>
      <c r="C629" s="625"/>
      <c r="D629" s="625"/>
      <c r="E629" s="625"/>
      <c r="F629" s="625" t="s">
        <v>809</v>
      </c>
      <c r="G629" s="625"/>
      <c r="H629" s="625"/>
      <c r="I629" s="625"/>
      <c r="J629" s="625"/>
      <c r="K629" s="625"/>
      <c r="L629" s="625"/>
      <c r="M629" s="625"/>
      <c r="N629" s="625"/>
      <c r="O629" s="625"/>
      <c r="P629" s="625"/>
      <c r="Q629" s="638"/>
      <c r="R629" s="625"/>
      <c r="S629" s="625"/>
      <c r="T629" s="625" t="s">
        <v>645</v>
      </c>
    </row>
    <row r="630" spans="1:20">
      <c r="A630" s="664" t="s">
        <v>4</v>
      </c>
      <c r="B630" s="664"/>
      <c r="C630" s="372"/>
      <c r="D630" s="372"/>
      <c r="E630" s="635" t="s">
        <v>553</v>
      </c>
      <c r="F630" s="372" t="s">
        <v>810</v>
      </c>
      <c r="G630" s="664"/>
      <c r="H630" s="664"/>
      <c r="I630" s="664"/>
      <c r="J630" s="664"/>
      <c r="K630" s="661"/>
      <c r="L630" s="661"/>
      <c r="M630" s="661"/>
      <c r="N630" s="661"/>
      <c r="O630" s="661"/>
      <c r="P630" s="661"/>
      <c r="Q630" s="645"/>
      <c r="R630" s="372" t="s">
        <v>608</v>
      </c>
      <c r="S630" s="664"/>
      <c r="T630" s="664"/>
    </row>
    <row r="631" spans="1:20">
      <c r="A631" s="372"/>
      <c r="B631" s="372"/>
      <c r="C631" s="372"/>
      <c r="D631" s="372"/>
      <c r="E631" s="372"/>
      <c r="F631" s="372" t="s">
        <v>811</v>
      </c>
      <c r="G631" s="372"/>
      <c r="H631" s="372"/>
      <c r="I631" s="372"/>
      <c r="J631" s="372"/>
      <c r="K631" s="636"/>
      <c r="L631" s="636"/>
      <c r="M631" s="372"/>
      <c r="N631" s="372"/>
      <c r="O631" s="635"/>
      <c r="P631" s="635"/>
      <c r="Q631" s="635" t="s">
        <v>12</v>
      </c>
      <c r="R631" s="636" t="s">
        <v>9</v>
      </c>
      <c r="S631" s="372"/>
      <c r="T631" s="372"/>
    </row>
    <row r="632" spans="1:20">
      <c r="A632" s="372" t="s">
        <v>10</v>
      </c>
      <c r="B632" s="372"/>
      <c r="C632" s="372"/>
      <c r="D632" s="372"/>
      <c r="E632" s="372"/>
      <c r="F632" s="372"/>
      <c r="G632" s="372"/>
      <c r="H632" s="372"/>
      <c r="I632" s="372"/>
      <c r="J632" s="372"/>
      <c r="K632" s="636"/>
      <c r="L632" s="636"/>
      <c r="M632" s="372"/>
      <c r="N632" s="372"/>
      <c r="O632" s="372"/>
      <c r="P632" s="372"/>
      <c r="Q632" s="635"/>
      <c r="R632" s="636" t="s">
        <v>11</v>
      </c>
      <c r="S632" s="372"/>
      <c r="T632" s="372"/>
    </row>
    <row r="633" spans="1:20">
      <c r="A633" s="372"/>
      <c r="B633" s="372"/>
      <c r="C633" s="372"/>
      <c r="D633" s="372"/>
      <c r="E633" s="372"/>
      <c r="F633" s="372"/>
      <c r="G633" s="372"/>
      <c r="H633" s="372"/>
      <c r="I633" s="372"/>
      <c r="J633" s="372"/>
      <c r="K633" s="636"/>
      <c r="L633" s="636"/>
      <c r="M633" s="372"/>
      <c r="N633" s="372"/>
      <c r="O633" s="372"/>
      <c r="P633" s="372"/>
      <c r="Q633" s="635"/>
      <c r="R633" s="636" t="s">
        <v>13</v>
      </c>
      <c r="S633" s="372"/>
      <c r="T633" s="372"/>
    </row>
    <row r="634" spans="1:20">
      <c r="A634" s="372"/>
      <c r="B634" s="372"/>
      <c r="C634" s="372"/>
      <c r="D634" s="372"/>
      <c r="E634" s="372"/>
      <c r="F634" s="372"/>
      <c r="G634" s="372"/>
      <c r="H634" s="372"/>
      <c r="I634" s="372"/>
      <c r="J634" s="372"/>
      <c r="K634" s="636"/>
      <c r="L634" s="636"/>
      <c r="M634" s="372"/>
      <c r="N634" s="372"/>
      <c r="O634" s="372"/>
      <c r="P634" s="372"/>
      <c r="Q634" s="635"/>
      <c r="R634" s="636" t="s">
        <v>610</v>
      </c>
      <c r="S634" s="372"/>
      <c r="T634" s="372"/>
    </row>
    <row r="635" spans="1:20" ht="15" thickBot="1">
      <c r="A635" s="625" t="s">
        <v>611</v>
      </c>
      <c r="B635" s="625"/>
      <c r="C635" s="625"/>
      <c r="D635" s="625"/>
      <c r="E635" s="625"/>
      <c r="F635" s="625"/>
      <c r="G635" s="625"/>
      <c r="H635" s="637" t="s">
        <v>812</v>
      </c>
      <c r="I635" s="625"/>
      <c r="J635" s="625"/>
      <c r="K635" s="625"/>
      <c r="L635" s="625"/>
      <c r="M635" s="625"/>
      <c r="N635" s="625"/>
      <c r="O635" s="625"/>
      <c r="P635" s="625"/>
      <c r="Q635" s="638"/>
      <c r="R635" s="625" t="s">
        <v>249</v>
      </c>
      <c r="S635" s="625"/>
      <c r="T635" s="625"/>
    </row>
    <row r="636" spans="1:20">
      <c r="A636" s="664"/>
      <c r="B636" s="664"/>
      <c r="C636" s="634"/>
      <c r="D636" s="634"/>
      <c r="E636" s="634"/>
      <c r="F636" s="634"/>
      <c r="G636" s="634"/>
      <c r="H636" s="634"/>
      <c r="I636" s="634"/>
      <c r="J636" s="634"/>
      <c r="K636" s="634"/>
      <c r="L636" s="634"/>
      <c r="M636" s="634"/>
      <c r="N636" s="634"/>
      <c r="O636" s="634"/>
      <c r="P636" s="634"/>
      <c r="Q636" s="635"/>
      <c r="R636" s="634"/>
      <c r="S636" s="634"/>
      <c r="T636" s="634"/>
    </row>
    <row r="637" spans="1:20">
      <c r="A637" s="372"/>
      <c r="B637" s="372"/>
      <c r="C637" s="634">
        <v>-1</v>
      </c>
      <c r="D637" s="634">
        <v>-2</v>
      </c>
      <c r="E637" s="634"/>
      <c r="F637" s="634">
        <v>-3</v>
      </c>
      <c r="G637" s="634"/>
      <c r="H637" s="634">
        <v>-4</v>
      </c>
      <c r="I637" s="634"/>
      <c r="J637" s="634">
        <v>-5</v>
      </c>
      <c r="K637" s="634"/>
      <c r="L637" s="634">
        <v>-6</v>
      </c>
      <c r="M637" s="634"/>
      <c r="N637" s="634">
        <v>-7</v>
      </c>
      <c r="O637" s="634"/>
      <c r="P637" s="634">
        <v>-8</v>
      </c>
      <c r="Q637" s="635"/>
      <c r="R637" s="634">
        <v>-9</v>
      </c>
      <c r="S637" s="634"/>
      <c r="T637" s="634">
        <v>-10</v>
      </c>
    </row>
    <row r="638" spans="1:20">
      <c r="A638" s="372"/>
      <c r="B638" s="372"/>
      <c r="C638" s="634" t="s">
        <v>613</v>
      </c>
      <c r="D638" s="634" t="s">
        <v>613</v>
      </c>
      <c r="E638" s="372"/>
      <c r="F638" s="634" t="s">
        <v>27</v>
      </c>
      <c r="G638" s="634"/>
      <c r="H638" s="634" t="s">
        <v>45</v>
      </c>
      <c r="I638" s="634"/>
      <c r="J638" s="634"/>
      <c r="K638" s="634"/>
      <c r="L638" s="634"/>
      <c r="M638" s="634"/>
      <c r="N638" s="372"/>
      <c r="O638" s="372"/>
      <c r="P638" s="372"/>
      <c r="Q638" s="635"/>
      <c r="R638" s="634" t="s">
        <v>27</v>
      </c>
      <c r="S638" s="372"/>
      <c r="T638" s="372"/>
    </row>
    <row r="639" spans="1:20">
      <c r="A639" s="634" t="s">
        <v>35</v>
      </c>
      <c r="B639" s="634"/>
      <c r="C639" s="634" t="s">
        <v>614</v>
      </c>
      <c r="D639" s="634" t="s">
        <v>614</v>
      </c>
      <c r="E639" s="634"/>
      <c r="F639" s="634" t="s">
        <v>37</v>
      </c>
      <c r="G639" s="634"/>
      <c r="H639" s="634" t="s">
        <v>37</v>
      </c>
      <c r="I639" s="634"/>
      <c r="J639" s="634"/>
      <c r="K639" s="634"/>
      <c r="L639" s="634" t="s">
        <v>813</v>
      </c>
      <c r="M639" s="636"/>
      <c r="N639" s="634" t="s">
        <v>813</v>
      </c>
      <c r="O639" s="634"/>
      <c r="P639" s="634" t="s">
        <v>178</v>
      </c>
      <c r="Q639" s="635"/>
      <c r="R639" s="634" t="s">
        <v>37</v>
      </c>
      <c r="S639" s="634"/>
      <c r="T639" s="634" t="s">
        <v>353</v>
      </c>
    </row>
    <row r="640" spans="1:20" ht="15" thickBot="1">
      <c r="A640" s="637" t="s">
        <v>46</v>
      </c>
      <c r="B640" s="637"/>
      <c r="C640" s="637" t="s">
        <v>371</v>
      </c>
      <c r="D640" s="637" t="s">
        <v>617</v>
      </c>
      <c r="E640" s="637"/>
      <c r="F640" s="637" t="s">
        <v>619</v>
      </c>
      <c r="G640" s="637"/>
      <c r="H640" s="637" t="s">
        <v>814</v>
      </c>
      <c r="I640" s="637"/>
      <c r="J640" s="637" t="s">
        <v>815</v>
      </c>
      <c r="K640" s="637"/>
      <c r="L640" s="637" t="s">
        <v>816</v>
      </c>
      <c r="M640" s="637"/>
      <c r="N640" s="637" t="s">
        <v>817</v>
      </c>
      <c r="O640" s="637"/>
      <c r="P640" s="637" t="s">
        <v>622</v>
      </c>
      <c r="Q640" s="638"/>
      <c r="R640" s="637" t="s">
        <v>623</v>
      </c>
      <c r="S640" s="637"/>
      <c r="T640" s="637" t="s">
        <v>369</v>
      </c>
    </row>
    <row r="641" spans="1:20">
      <c r="A641" s="634">
        <v>1</v>
      </c>
      <c r="B641" s="634"/>
      <c r="C641" s="372"/>
      <c r="D641" s="372"/>
      <c r="E641" s="664"/>
      <c r="F641" s="664"/>
      <c r="G641" s="664"/>
      <c r="H641" s="664"/>
      <c r="I641" s="664"/>
      <c r="J641" s="664"/>
      <c r="K641" s="664"/>
      <c r="L641" s="664"/>
      <c r="M641" s="664"/>
      <c r="N641" s="664"/>
      <c r="O641" s="664"/>
      <c r="P641" s="664"/>
      <c r="Q641" s="635"/>
      <c r="R641" s="372"/>
      <c r="S641" s="664"/>
      <c r="T641" s="664"/>
    </row>
    <row r="642" spans="1:20">
      <c r="A642" s="634">
        <v>2</v>
      </c>
      <c r="B642" s="639"/>
      <c r="C642" s="372"/>
      <c r="D642" s="636" t="s">
        <v>646</v>
      </c>
      <c r="E642" s="372"/>
      <c r="F642" s="372"/>
      <c r="G642" s="372"/>
      <c r="H642" s="372"/>
      <c r="I642" s="372"/>
      <c r="J642" s="372"/>
      <c r="K642" s="372"/>
      <c r="L642" s="372"/>
      <c r="M642" s="372"/>
      <c r="N642" s="372"/>
      <c r="O642" s="372"/>
      <c r="P642" s="372"/>
      <c r="Q642" s="635"/>
      <c r="R642" s="372"/>
      <c r="S642" s="372"/>
      <c r="T642" s="372"/>
    </row>
    <row r="643" spans="1:20">
      <c r="A643" s="634">
        <v>3</v>
      </c>
      <c r="B643" s="639"/>
      <c r="C643" s="634">
        <v>31145</v>
      </c>
      <c r="D643" s="372" t="s">
        <v>627</v>
      </c>
      <c r="E643" s="372"/>
      <c r="F643" s="640">
        <v>19373</v>
      </c>
      <c r="G643" s="635"/>
      <c r="H643" s="640">
        <v>1117</v>
      </c>
      <c r="I643" s="635"/>
      <c r="J643" s="634" t="s">
        <v>635</v>
      </c>
      <c r="K643" s="372"/>
      <c r="L643" s="634" t="s">
        <v>635</v>
      </c>
      <c r="M643" s="372"/>
      <c r="N643" s="634" t="s">
        <v>635</v>
      </c>
      <c r="O643" s="634"/>
      <c r="P643" s="634" t="s">
        <v>635</v>
      </c>
      <c r="Q643" s="635"/>
      <c r="R643" s="640">
        <v>20490</v>
      </c>
      <c r="S643" s="372"/>
      <c r="T643" s="640">
        <v>19931</v>
      </c>
    </row>
    <row r="644" spans="1:20">
      <c r="A644" s="634">
        <v>4</v>
      </c>
      <c r="B644" s="639"/>
      <c r="C644" s="634">
        <v>31245</v>
      </c>
      <c r="D644" s="372" t="s">
        <v>629</v>
      </c>
      <c r="E644" s="372"/>
      <c r="F644" s="640">
        <v>80754</v>
      </c>
      <c r="G644" s="635"/>
      <c r="H644" s="640">
        <v>10613</v>
      </c>
      <c r="I644" s="635"/>
      <c r="J644" s="634">
        <v>-115</v>
      </c>
      <c r="K644" s="372"/>
      <c r="L644" s="634">
        <v>-8</v>
      </c>
      <c r="M644" s="372"/>
      <c r="N644" s="634" t="s">
        <v>628</v>
      </c>
      <c r="O644" s="634"/>
      <c r="P644" s="634" t="s">
        <v>635</v>
      </c>
      <c r="Q644" s="635"/>
      <c r="R644" s="640">
        <v>91244</v>
      </c>
      <c r="S644" s="372"/>
      <c r="T644" s="640">
        <v>86018</v>
      </c>
    </row>
    <row r="645" spans="1:20">
      <c r="A645" s="634">
        <v>5</v>
      </c>
      <c r="B645" s="639"/>
      <c r="C645" s="634">
        <v>31545</v>
      </c>
      <c r="D645" s="372" t="s">
        <v>631</v>
      </c>
      <c r="E645" s="372"/>
      <c r="F645" s="640">
        <v>17640</v>
      </c>
      <c r="G645" s="635"/>
      <c r="H645" s="634">
        <v>755</v>
      </c>
      <c r="I645" s="635"/>
      <c r="J645" s="634">
        <v>-115</v>
      </c>
      <c r="K645" s="372"/>
      <c r="L645" s="634">
        <v>-8</v>
      </c>
      <c r="M645" s="372"/>
      <c r="N645" s="634" t="s">
        <v>628</v>
      </c>
      <c r="O645" s="634"/>
      <c r="P645" s="634" t="s">
        <v>635</v>
      </c>
      <c r="Q645" s="635"/>
      <c r="R645" s="640">
        <v>18272</v>
      </c>
      <c r="S645" s="372"/>
      <c r="T645" s="640">
        <v>17976</v>
      </c>
    </row>
    <row r="646" spans="1:20">
      <c r="A646" s="634">
        <v>6</v>
      </c>
      <c r="B646" s="639"/>
      <c r="C646" s="634">
        <v>31645</v>
      </c>
      <c r="D646" s="372" t="s">
        <v>632</v>
      </c>
      <c r="E646" s="372"/>
      <c r="F646" s="640">
        <v>1279</v>
      </c>
      <c r="G646" s="635"/>
      <c r="H646" s="634">
        <v>33</v>
      </c>
      <c r="I646" s="635"/>
      <c r="J646" s="634" t="s">
        <v>635</v>
      </c>
      <c r="K646" s="372"/>
      <c r="L646" s="634" t="s">
        <v>635</v>
      </c>
      <c r="M646" s="372"/>
      <c r="N646" s="634" t="s">
        <v>635</v>
      </c>
      <c r="O646" s="634"/>
      <c r="P646" s="634" t="s">
        <v>635</v>
      </c>
      <c r="Q646" s="635"/>
      <c r="R646" s="640">
        <v>1311</v>
      </c>
      <c r="S646" s="372"/>
      <c r="T646" s="640">
        <v>1295</v>
      </c>
    </row>
    <row r="647" spans="1:20">
      <c r="A647" s="634">
        <v>7</v>
      </c>
      <c r="B647" s="634"/>
      <c r="C647" s="634"/>
      <c r="D647" s="636" t="s">
        <v>647</v>
      </c>
      <c r="E647" s="372"/>
      <c r="F647" s="642">
        <v>119046</v>
      </c>
      <c r="G647" s="372"/>
      <c r="H647" s="642">
        <v>12517</v>
      </c>
      <c r="I647" s="635"/>
      <c r="J647" s="643">
        <v>-230</v>
      </c>
      <c r="K647" s="635"/>
      <c r="L647" s="643">
        <v>-16</v>
      </c>
      <c r="M647" s="635"/>
      <c r="N647" s="643" t="s">
        <v>628</v>
      </c>
      <c r="O647" s="635"/>
      <c r="P647" s="643" t="s">
        <v>635</v>
      </c>
      <c r="Q647" s="635"/>
      <c r="R647" s="642">
        <v>131318</v>
      </c>
      <c r="S647" s="635"/>
      <c r="T647" s="642">
        <v>125220</v>
      </c>
    </row>
    <row r="648" spans="1:20">
      <c r="A648" s="634">
        <v>8</v>
      </c>
      <c r="B648" s="634"/>
      <c r="C648" s="372"/>
      <c r="D648" s="372"/>
      <c r="E648" s="372"/>
      <c r="F648" s="372"/>
      <c r="G648" s="372"/>
      <c r="H648" s="372"/>
      <c r="I648" s="372"/>
      <c r="J648" s="372"/>
      <c r="K648" s="372"/>
      <c r="L648" s="372"/>
      <c r="M648" s="372"/>
      <c r="N648" s="372"/>
      <c r="O648" s="372"/>
      <c r="P648" s="372"/>
      <c r="Q648" s="635"/>
      <c r="R648" s="372"/>
      <c r="S648" s="372"/>
      <c r="T648" s="372"/>
    </row>
    <row r="649" spans="1:20">
      <c r="A649" s="634">
        <v>9</v>
      </c>
      <c r="B649" s="639"/>
      <c r="C649" s="634"/>
      <c r="D649" s="372" t="s">
        <v>648</v>
      </c>
      <c r="E649" s="372"/>
      <c r="F649" s="372"/>
      <c r="G649" s="372"/>
      <c r="H649" s="372"/>
      <c r="I649" s="635"/>
      <c r="J649" s="635"/>
      <c r="K649" s="635"/>
      <c r="L649" s="635"/>
      <c r="M649" s="635"/>
      <c r="N649" s="635"/>
      <c r="O649" s="635"/>
      <c r="P649" s="635"/>
      <c r="Q649" s="635"/>
      <c r="R649" s="635"/>
      <c r="S649" s="635"/>
      <c r="T649" s="635"/>
    </row>
    <row r="650" spans="1:20">
      <c r="A650" s="634">
        <v>10</v>
      </c>
      <c r="B650" s="639"/>
      <c r="C650" s="634">
        <v>31146</v>
      </c>
      <c r="D650" s="372" t="s">
        <v>627</v>
      </c>
      <c r="E650" s="372"/>
      <c r="F650" s="634" t="s">
        <v>628</v>
      </c>
      <c r="G650" s="635"/>
      <c r="H650" s="634" t="s">
        <v>635</v>
      </c>
      <c r="I650" s="635"/>
      <c r="J650" s="634" t="s">
        <v>635</v>
      </c>
      <c r="K650" s="372"/>
      <c r="L650" s="634" t="s">
        <v>635</v>
      </c>
      <c r="M650" s="372"/>
      <c r="N650" s="634" t="s">
        <v>635</v>
      </c>
      <c r="O650" s="634"/>
      <c r="P650" s="634" t="s">
        <v>635</v>
      </c>
      <c r="Q650" s="635"/>
      <c r="R650" s="634" t="s">
        <v>635</v>
      </c>
      <c r="S650" s="372"/>
      <c r="T650" s="634" t="s">
        <v>635</v>
      </c>
    </row>
    <row r="651" spans="1:20">
      <c r="A651" s="634">
        <v>11</v>
      </c>
      <c r="B651" s="639"/>
      <c r="C651" s="634">
        <v>31246</v>
      </c>
      <c r="D651" s="372" t="s">
        <v>629</v>
      </c>
      <c r="E651" s="372"/>
      <c r="F651" s="634" t="s">
        <v>628</v>
      </c>
      <c r="G651" s="635"/>
      <c r="H651" s="634" t="s">
        <v>635</v>
      </c>
      <c r="I651" s="635"/>
      <c r="J651" s="634" t="s">
        <v>635</v>
      </c>
      <c r="K651" s="372"/>
      <c r="L651" s="634" t="s">
        <v>635</v>
      </c>
      <c r="M651" s="372"/>
      <c r="N651" s="634" t="s">
        <v>635</v>
      </c>
      <c r="O651" s="634"/>
      <c r="P651" s="634" t="s">
        <v>635</v>
      </c>
      <c r="Q651" s="635"/>
      <c r="R651" s="634" t="s">
        <v>635</v>
      </c>
      <c r="S651" s="372"/>
      <c r="T651" s="634" t="s">
        <v>635</v>
      </c>
    </row>
    <row r="652" spans="1:20">
      <c r="A652" s="634">
        <v>12</v>
      </c>
      <c r="B652" s="639"/>
      <c r="C652" s="634">
        <v>31546</v>
      </c>
      <c r="D652" s="372" t="s">
        <v>631</v>
      </c>
      <c r="E652" s="372"/>
      <c r="F652" s="634" t="s">
        <v>628</v>
      </c>
      <c r="G652" s="635"/>
      <c r="H652" s="634" t="s">
        <v>635</v>
      </c>
      <c r="I652" s="635"/>
      <c r="J652" s="634" t="s">
        <v>635</v>
      </c>
      <c r="K652" s="372"/>
      <c r="L652" s="634" t="s">
        <v>635</v>
      </c>
      <c r="M652" s="372"/>
      <c r="N652" s="634" t="s">
        <v>635</v>
      </c>
      <c r="O652" s="634"/>
      <c r="P652" s="634" t="s">
        <v>635</v>
      </c>
      <c r="Q652" s="635"/>
      <c r="R652" s="634" t="s">
        <v>635</v>
      </c>
      <c r="S652" s="372"/>
      <c r="T652" s="634" t="s">
        <v>635</v>
      </c>
    </row>
    <row r="653" spans="1:20">
      <c r="A653" s="634">
        <v>13</v>
      </c>
      <c r="B653" s="639"/>
      <c r="C653" s="634">
        <v>31646</v>
      </c>
      <c r="D653" s="372" t="s">
        <v>632</v>
      </c>
      <c r="E653" s="372"/>
      <c r="F653" s="634" t="s">
        <v>628</v>
      </c>
      <c r="G653" s="635"/>
      <c r="H653" s="634" t="s">
        <v>635</v>
      </c>
      <c r="I653" s="635"/>
      <c r="J653" s="634" t="s">
        <v>635</v>
      </c>
      <c r="K653" s="372"/>
      <c r="L653" s="634" t="s">
        <v>635</v>
      </c>
      <c r="M653" s="372"/>
      <c r="N653" s="634" t="s">
        <v>635</v>
      </c>
      <c r="O653" s="634"/>
      <c r="P653" s="634" t="s">
        <v>635</v>
      </c>
      <c r="Q653" s="635"/>
      <c r="R653" s="634" t="s">
        <v>635</v>
      </c>
      <c r="S653" s="372"/>
      <c r="T653" s="634" t="s">
        <v>635</v>
      </c>
    </row>
    <row r="654" spans="1:20">
      <c r="A654" s="634">
        <v>14</v>
      </c>
      <c r="B654" s="639"/>
      <c r="C654" s="634"/>
      <c r="D654" s="372" t="s">
        <v>649</v>
      </c>
      <c r="E654" s="372"/>
      <c r="F654" s="643" t="s">
        <v>628</v>
      </c>
      <c r="G654" s="372"/>
      <c r="H654" s="643" t="s">
        <v>635</v>
      </c>
      <c r="I654" s="635"/>
      <c r="J654" s="643" t="s">
        <v>635</v>
      </c>
      <c r="K654" s="635"/>
      <c r="L654" s="643" t="s">
        <v>635</v>
      </c>
      <c r="M654" s="635"/>
      <c r="N654" s="643" t="s">
        <v>635</v>
      </c>
      <c r="O654" s="635"/>
      <c r="P654" s="643" t="s">
        <v>635</v>
      </c>
      <c r="Q654" s="635"/>
      <c r="R654" s="643" t="s">
        <v>635</v>
      </c>
      <c r="S654" s="635"/>
      <c r="T654" s="643" t="s">
        <v>635</v>
      </c>
    </row>
    <row r="655" spans="1:20">
      <c r="A655" s="634">
        <v>15</v>
      </c>
      <c r="B655" s="639"/>
      <c r="C655" s="372"/>
      <c r="D655" s="372"/>
      <c r="E655" s="372"/>
      <c r="F655" s="372"/>
      <c r="G655" s="372"/>
      <c r="H655" s="372"/>
      <c r="I655" s="372"/>
      <c r="J655" s="372"/>
      <c r="K655" s="372"/>
      <c r="L655" s="372"/>
      <c r="M655" s="372"/>
      <c r="N655" s="372"/>
      <c r="O655" s="372"/>
      <c r="P655" s="372"/>
      <c r="Q655" s="635"/>
      <c r="R655" s="372"/>
      <c r="S655" s="372"/>
      <c r="T655" s="372"/>
    </row>
    <row r="656" spans="1:20">
      <c r="A656" s="634">
        <v>16</v>
      </c>
      <c r="B656" s="639"/>
      <c r="C656" s="635"/>
      <c r="D656" s="636" t="s">
        <v>650</v>
      </c>
      <c r="E656" s="372"/>
      <c r="F656" s="372"/>
      <c r="G656" s="372"/>
      <c r="H656" s="372"/>
      <c r="I656" s="635"/>
      <c r="J656" s="635"/>
      <c r="K656" s="635"/>
      <c r="L656" s="635"/>
      <c r="M656" s="635"/>
      <c r="N656" s="635"/>
      <c r="O656" s="635"/>
      <c r="P656" s="635"/>
      <c r="Q656" s="635"/>
      <c r="R656" s="635"/>
      <c r="S656" s="635"/>
      <c r="T656" s="635"/>
    </row>
    <row r="657" spans="1:20">
      <c r="A657" s="634">
        <v>17</v>
      </c>
      <c r="B657" s="639"/>
      <c r="C657" s="634">
        <v>31151</v>
      </c>
      <c r="D657" s="372" t="s">
        <v>627</v>
      </c>
      <c r="E657" s="372"/>
      <c r="F657" s="634" t="s">
        <v>628</v>
      </c>
      <c r="G657" s="635"/>
      <c r="H657" s="634" t="s">
        <v>635</v>
      </c>
      <c r="I657" s="635"/>
      <c r="J657" s="634" t="s">
        <v>635</v>
      </c>
      <c r="K657" s="372"/>
      <c r="L657" s="634" t="s">
        <v>635</v>
      </c>
      <c r="M657" s="372"/>
      <c r="N657" s="634" t="s">
        <v>635</v>
      </c>
      <c r="O657" s="634"/>
      <c r="P657" s="634" t="s">
        <v>635</v>
      </c>
      <c r="Q657" s="635"/>
      <c r="R657" s="634" t="s">
        <v>635</v>
      </c>
      <c r="S657" s="372"/>
      <c r="T657" s="634" t="s">
        <v>635</v>
      </c>
    </row>
    <row r="658" spans="1:20">
      <c r="A658" s="634">
        <v>18</v>
      </c>
      <c r="B658" s="639"/>
      <c r="C658" s="634">
        <v>31251</v>
      </c>
      <c r="D658" s="372" t="s">
        <v>629</v>
      </c>
      <c r="E658" s="372"/>
      <c r="F658" s="634" t="s">
        <v>628</v>
      </c>
      <c r="G658" s="635"/>
      <c r="H658" s="634" t="s">
        <v>635</v>
      </c>
      <c r="I658" s="635"/>
      <c r="J658" s="634" t="s">
        <v>635</v>
      </c>
      <c r="K658" s="372"/>
      <c r="L658" s="634" t="s">
        <v>635</v>
      </c>
      <c r="M658" s="372"/>
      <c r="N658" s="634" t="s">
        <v>635</v>
      </c>
      <c r="O658" s="634"/>
      <c r="P658" s="634" t="s">
        <v>635</v>
      </c>
      <c r="Q658" s="635"/>
      <c r="R658" s="634" t="s">
        <v>635</v>
      </c>
      <c r="S658" s="372"/>
      <c r="T658" s="634" t="s">
        <v>635</v>
      </c>
    </row>
    <row r="659" spans="1:20">
      <c r="A659" s="634">
        <v>19</v>
      </c>
      <c r="B659" s="639"/>
      <c r="C659" s="634">
        <v>31551</v>
      </c>
      <c r="D659" s="372" t="s">
        <v>631</v>
      </c>
      <c r="E659" s="372"/>
      <c r="F659" s="634" t="s">
        <v>628</v>
      </c>
      <c r="G659" s="635"/>
      <c r="H659" s="634" t="s">
        <v>635</v>
      </c>
      <c r="I659" s="635"/>
      <c r="J659" s="634" t="s">
        <v>635</v>
      </c>
      <c r="K659" s="372"/>
      <c r="L659" s="634" t="s">
        <v>635</v>
      </c>
      <c r="M659" s="372"/>
      <c r="N659" s="634" t="s">
        <v>635</v>
      </c>
      <c r="O659" s="634"/>
      <c r="P659" s="634" t="s">
        <v>635</v>
      </c>
      <c r="Q659" s="635"/>
      <c r="R659" s="634" t="s">
        <v>635</v>
      </c>
      <c r="S659" s="372"/>
      <c r="T659" s="634" t="s">
        <v>635</v>
      </c>
    </row>
    <row r="660" spans="1:20">
      <c r="A660" s="634">
        <v>20</v>
      </c>
      <c r="B660" s="639"/>
      <c r="C660" s="634">
        <v>31651</v>
      </c>
      <c r="D660" s="372" t="s">
        <v>651</v>
      </c>
      <c r="E660" s="372"/>
      <c r="F660" s="634" t="s">
        <v>628</v>
      </c>
      <c r="G660" s="635"/>
      <c r="H660" s="634" t="s">
        <v>635</v>
      </c>
      <c r="I660" s="635"/>
      <c r="J660" s="634" t="s">
        <v>635</v>
      </c>
      <c r="K660" s="372"/>
      <c r="L660" s="634" t="s">
        <v>635</v>
      </c>
      <c r="M660" s="372"/>
      <c r="N660" s="634" t="s">
        <v>635</v>
      </c>
      <c r="O660" s="634"/>
      <c r="P660" s="634" t="s">
        <v>635</v>
      </c>
      <c r="Q660" s="635"/>
      <c r="R660" s="634" t="s">
        <v>635</v>
      </c>
      <c r="S660" s="372"/>
      <c r="T660" s="634" t="s">
        <v>635</v>
      </c>
    </row>
    <row r="661" spans="1:20">
      <c r="A661" s="634">
        <v>21</v>
      </c>
      <c r="B661" s="639"/>
      <c r="C661" s="634"/>
      <c r="D661" s="636" t="s">
        <v>652</v>
      </c>
      <c r="E661" s="372"/>
      <c r="F661" s="643" t="s">
        <v>628</v>
      </c>
      <c r="G661" s="372"/>
      <c r="H661" s="643" t="s">
        <v>635</v>
      </c>
      <c r="I661" s="635"/>
      <c r="J661" s="643" t="s">
        <v>635</v>
      </c>
      <c r="K661" s="635"/>
      <c r="L661" s="643" t="s">
        <v>635</v>
      </c>
      <c r="M661" s="635"/>
      <c r="N661" s="643" t="s">
        <v>635</v>
      </c>
      <c r="O661" s="635"/>
      <c r="P661" s="643" t="s">
        <v>635</v>
      </c>
      <c r="Q661" s="635"/>
      <c r="R661" s="643" t="s">
        <v>635</v>
      </c>
      <c r="S661" s="635"/>
      <c r="T661" s="643" t="s">
        <v>635</v>
      </c>
    </row>
    <row r="662" spans="1:20">
      <c r="A662" s="634">
        <v>22</v>
      </c>
      <c r="B662" s="639"/>
      <c r="C662" s="372"/>
      <c r="D662" s="372"/>
      <c r="E662" s="372"/>
      <c r="F662" s="372"/>
      <c r="G662" s="372"/>
      <c r="H662" s="372"/>
      <c r="I662" s="372"/>
      <c r="J662" s="372"/>
      <c r="K662" s="372"/>
      <c r="L662" s="372"/>
      <c r="M662" s="372"/>
      <c r="N662" s="372"/>
      <c r="O662" s="372"/>
      <c r="P662" s="372"/>
      <c r="Q662" s="635"/>
      <c r="R662" s="372"/>
      <c r="S662" s="372"/>
      <c r="T662" s="372"/>
    </row>
    <row r="663" spans="1:20">
      <c r="A663" s="634">
        <v>23</v>
      </c>
      <c r="B663" s="639"/>
      <c r="C663" s="635"/>
      <c r="D663" s="636" t="s">
        <v>653</v>
      </c>
      <c r="E663" s="372"/>
      <c r="F663" s="372"/>
      <c r="G663" s="372"/>
      <c r="H663" s="372"/>
      <c r="I663" s="635"/>
      <c r="J663" s="635"/>
      <c r="K663" s="635"/>
      <c r="L663" s="635"/>
      <c r="M663" s="635"/>
      <c r="N663" s="635"/>
      <c r="O663" s="635"/>
      <c r="P663" s="635"/>
      <c r="Q663" s="635"/>
      <c r="R663" s="635"/>
      <c r="S663" s="635"/>
      <c r="T663" s="635"/>
    </row>
    <row r="664" spans="1:20">
      <c r="A664" s="634">
        <v>24</v>
      </c>
      <c r="B664" s="639"/>
      <c r="C664" s="634">
        <v>31152</v>
      </c>
      <c r="D664" s="372" t="s">
        <v>627</v>
      </c>
      <c r="E664" s="372"/>
      <c r="F664" s="634" t="s">
        <v>628</v>
      </c>
      <c r="G664" s="635"/>
      <c r="H664" s="634" t="s">
        <v>635</v>
      </c>
      <c r="I664" s="635"/>
      <c r="J664" s="634" t="s">
        <v>635</v>
      </c>
      <c r="K664" s="372"/>
      <c r="L664" s="634" t="s">
        <v>635</v>
      </c>
      <c r="M664" s="372"/>
      <c r="N664" s="634" t="s">
        <v>635</v>
      </c>
      <c r="O664" s="634"/>
      <c r="P664" s="634" t="s">
        <v>635</v>
      </c>
      <c r="Q664" s="635"/>
      <c r="R664" s="634" t="s">
        <v>635</v>
      </c>
      <c r="S664" s="372"/>
      <c r="T664" s="634" t="s">
        <v>635</v>
      </c>
    </row>
    <row r="665" spans="1:20">
      <c r="A665" s="634">
        <v>25</v>
      </c>
      <c r="B665" s="639"/>
      <c r="C665" s="634">
        <v>31252</v>
      </c>
      <c r="D665" s="372" t="s">
        <v>629</v>
      </c>
      <c r="E665" s="372"/>
      <c r="F665" s="634" t="s">
        <v>628</v>
      </c>
      <c r="G665" s="635"/>
      <c r="H665" s="634" t="s">
        <v>635</v>
      </c>
      <c r="I665" s="635"/>
      <c r="J665" s="634" t="s">
        <v>635</v>
      </c>
      <c r="K665" s="372"/>
      <c r="L665" s="634" t="s">
        <v>635</v>
      </c>
      <c r="M665" s="372"/>
      <c r="N665" s="634" t="s">
        <v>635</v>
      </c>
      <c r="O665" s="634"/>
      <c r="P665" s="634" t="s">
        <v>635</v>
      </c>
      <c r="Q665" s="635"/>
      <c r="R665" s="634" t="s">
        <v>635</v>
      </c>
      <c r="S665" s="372"/>
      <c r="T665" s="634" t="s">
        <v>635</v>
      </c>
    </row>
    <row r="666" spans="1:20">
      <c r="A666" s="634">
        <v>26</v>
      </c>
      <c r="B666" s="639"/>
      <c r="C666" s="634">
        <v>31552</v>
      </c>
      <c r="D666" s="372" t="s">
        <v>631</v>
      </c>
      <c r="E666" s="372"/>
      <c r="F666" s="634" t="s">
        <v>628</v>
      </c>
      <c r="G666" s="635"/>
      <c r="H666" s="634" t="s">
        <v>635</v>
      </c>
      <c r="I666" s="635"/>
      <c r="J666" s="634" t="s">
        <v>635</v>
      </c>
      <c r="K666" s="372"/>
      <c r="L666" s="634" t="s">
        <v>635</v>
      </c>
      <c r="M666" s="372"/>
      <c r="N666" s="634" t="s">
        <v>635</v>
      </c>
      <c r="O666" s="634"/>
      <c r="P666" s="634" t="s">
        <v>635</v>
      </c>
      <c r="Q666" s="635"/>
      <c r="R666" s="634" t="s">
        <v>635</v>
      </c>
      <c r="S666" s="372"/>
      <c r="T666" s="634" t="s">
        <v>635</v>
      </c>
    </row>
    <row r="667" spans="1:20">
      <c r="A667" s="634">
        <v>27</v>
      </c>
      <c r="B667" s="639"/>
      <c r="C667" s="634">
        <v>31652</v>
      </c>
      <c r="D667" s="372" t="s">
        <v>632</v>
      </c>
      <c r="E667" s="372"/>
      <c r="F667" s="634" t="s">
        <v>628</v>
      </c>
      <c r="G667" s="635"/>
      <c r="H667" s="634" t="s">
        <v>635</v>
      </c>
      <c r="I667" s="635"/>
      <c r="J667" s="634" t="s">
        <v>635</v>
      </c>
      <c r="K667" s="372"/>
      <c r="L667" s="634" t="s">
        <v>635</v>
      </c>
      <c r="M667" s="372"/>
      <c r="N667" s="634" t="s">
        <v>635</v>
      </c>
      <c r="O667" s="634"/>
      <c r="P667" s="634" t="s">
        <v>635</v>
      </c>
      <c r="Q667" s="635"/>
      <c r="R667" s="634" t="s">
        <v>635</v>
      </c>
      <c r="S667" s="372"/>
      <c r="T667" s="634" t="s">
        <v>635</v>
      </c>
    </row>
    <row r="668" spans="1:20">
      <c r="A668" s="634">
        <v>28</v>
      </c>
      <c r="B668" s="639"/>
      <c r="C668" s="372"/>
      <c r="D668" s="636" t="s">
        <v>654</v>
      </c>
      <c r="E668" s="372"/>
      <c r="F668" s="643" t="s">
        <v>628</v>
      </c>
      <c r="G668" s="372"/>
      <c r="H668" s="643" t="s">
        <v>635</v>
      </c>
      <c r="I668" s="635"/>
      <c r="J668" s="643" t="s">
        <v>635</v>
      </c>
      <c r="K668" s="635"/>
      <c r="L668" s="643" t="s">
        <v>635</v>
      </c>
      <c r="M668" s="635"/>
      <c r="N668" s="643" t="s">
        <v>635</v>
      </c>
      <c r="O668" s="635"/>
      <c r="P668" s="643" t="s">
        <v>635</v>
      </c>
      <c r="Q668" s="635"/>
      <c r="R668" s="643" t="s">
        <v>635</v>
      </c>
      <c r="S668" s="635"/>
      <c r="T668" s="643" t="s">
        <v>635</v>
      </c>
    </row>
    <row r="669" spans="1:20">
      <c r="A669" s="634">
        <v>29</v>
      </c>
      <c r="B669" s="639"/>
      <c r="C669" s="372"/>
      <c r="D669" s="372"/>
      <c r="E669" s="372"/>
      <c r="F669" s="372"/>
      <c r="G669" s="372"/>
      <c r="H669" s="372"/>
      <c r="I669" s="372"/>
      <c r="J669" s="372"/>
      <c r="K669" s="372"/>
      <c r="L669" s="372"/>
      <c r="M669" s="372"/>
      <c r="N669" s="372"/>
      <c r="O669" s="372"/>
      <c r="P669" s="372"/>
      <c r="Q669" s="635"/>
      <c r="R669" s="372"/>
      <c r="S669" s="372"/>
      <c r="T669" s="372"/>
    </row>
    <row r="670" spans="1:20">
      <c r="A670" s="634">
        <v>30</v>
      </c>
      <c r="B670" s="639"/>
      <c r="C670" s="635"/>
      <c r="D670" s="636" t="s">
        <v>655</v>
      </c>
      <c r="E670" s="372"/>
      <c r="F670" s="372"/>
      <c r="G670" s="372"/>
      <c r="H670" s="372"/>
      <c r="I670" s="372"/>
      <c r="J670" s="372"/>
      <c r="K670" s="372"/>
      <c r="L670" s="372"/>
      <c r="M670" s="372"/>
      <c r="N670" s="372"/>
      <c r="O670" s="372"/>
      <c r="P670" s="372"/>
      <c r="Q670" s="635"/>
      <c r="R670" s="372"/>
      <c r="S670" s="372"/>
      <c r="T670" s="372"/>
    </row>
    <row r="671" spans="1:20">
      <c r="A671" s="634">
        <v>31</v>
      </c>
      <c r="B671" s="639"/>
      <c r="C671" s="634">
        <v>31153</v>
      </c>
      <c r="D671" s="372" t="s">
        <v>627</v>
      </c>
      <c r="E671" s="372"/>
      <c r="F671" s="634" t="s">
        <v>628</v>
      </c>
      <c r="G671" s="635"/>
      <c r="H671" s="634" t="s">
        <v>635</v>
      </c>
      <c r="I671" s="635"/>
      <c r="J671" s="634" t="s">
        <v>635</v>
      </c>
      <c r="K671" s="372"/>
      <c r="L671" s="634" t="s">
        <v>635</v>
      </c>
      <c r="M671" s="372"/>
      <c r="N671" s="634" t="s">
        <v>635</v>
      </c>
      <c r="O671" s="634"/>
      <c r="P671" s="634" t="s">
        <v>635</v>
      </c>
      <c r="Q671" s="635"/>
      <c r="R671" s="634" t="s">
        <v>635</v>
      </c>
      <c r="S671" s="372"/>
      <c r="T671" s="634" t="s">
        <v>635</v>
      </c>
    </row>
    <row r="672" spans="1:20">
      <c r="A672" s="634">
        <v>32</v>
      </c>
      <c r="B672" s="639"/>
      <c r="C672" s="634">
        <v>31253</v>
      </c>
      <c r="D672" s="372" t="s">
        <v>629</v>
      </c>
      <c r="E672" s="372"/>
      <c r="F672" s="634" t="s">
        <v>628</v>
      </c>
      <c r="G672" s="635"/>
      <c r="H672" s="634" t="s">
        <v>635</v>
      </c>
      <c r="I672" s="635"/>
      <c r="J672" s="634" t="s">
        <v>635</v>
      </c>
      <c r="K672" s="372"/>
      <c r="L672" s="634" t="s">
        <v>635</v>
      </c>
      <c r="M672" s="372"/>
      <c r="N672" s="634" t="s">
        <v>635</v>
      </c>
      <c r="O672" s="634"/>
      <c r="P672" s="634" t="s">
        <v>635</v>
      </c>
      <c r="Q672" s="635"/>
      <c r="R672" s="634" t="s">
        <v>635</v>
      </c>
      <c r="S672" s="372"/>
      <c r="T672" s="634" t="s">
        <v>635</v>
      </c>
    </row>
    <row r="673" spans="1:20">
      <c r="A673" s="634">
        <v>33</v>
      </c>
      <c r="B673" s="639"/>
      <c r="C673" s="634">
        <v>31553</v>
      </c>
      <c r="D673" s="372" t="s">
        <v>631</v>
      </c>
      <c r="E673" s="372"/>
      <c r="F673" s="634" t="s">
        <v>628</v>
      </c>
      <c r="G673" s="635"/>
      <c r="H673" s="634" t="s">
        <v>635</v>
      </c>
      <c r="I673" s="635"/>
      <c r="J673" s="634" t="s">
        <v>635</v>
      </c>
      <c r="K673" s="372"/>
      <c r="L673" s="634" t="s">
        <v>635</v>
      </c>
      <c r="M673" s="372"/>
      <c r="N673" s="634" t="s">
        <v>635</v>
      </c>
      <c r="O673" s="634"/>
      <c r="P673" s="634" t="s">
        <v>635</v>
      </c>
      <c r="Q673" s="635"/>
      <c r="R673" s="634" t="s">
        <v>635</v>
      </c>
      <c r="S673" s="372"/>
      <c r="T673" s="634" t="s">
        <v>635</v>
      </c>
    </row>
    <row r="674" spans="1:20">
      <c r="A674" s="634">
        <v>34</v>
      </c>
      <c r="B674" s="639"/>
      <c r="C674" s="634">
        <v>31653</v>
      </c>
      <c r="D674" s="372" t="s">
        <v>632</v>
      </c>
      <c r="E674" s="372"/>
      <c r="F674" s="634" t="s">
        <v>628</v>
      </c>
      <c r="G674" s="635"/>
      <c r="H674" s="634" t="s">
        <v>635</v>
      </c>
      <c r="I674" s="635"/>
      <c r="J674" s="634" t="s">
        <v>635</v>
      </c>
      <c r="K674" s="372"/>
      <c r="L674" s="634" t="s">
        <v>635</v>
      </c>
      <c r="M674" s="372"/>
      <c r="N674" s="634" t="s">
        <v>635</v>
      </c>
      <c r="O674" s="634"/>
      <c r="P674" s="634" t="s">
        <v>635</v>
      </c>
      <c r="Q674" s="635"/>
      <c r="R674" s="634" t="s">
        <v>635</v>
      </c>
      <c r="S674" s="372"/>
      <c r="T674" s="634" t="s">
        <v>635</v>
      </c>
    </row>
    <row r="675" spans="1:20">
      <c r="A675" s="634">
        <v>35</v>
      </c>
      <c r="B675" s="639"/>
      <c r="C675" s="634"/>
      <c r="D675" s="636" t="s">
        <v>656</v>
      </c>
      <c r="E675" s="372"/>
      <c r="F675" s="643" t="s">
        <v>628</v>
      </c>
      <c r="G675" s="372"/>
      <c r="H675" s="643" t="s">
        <v>635</v>
      </c>
      <c r="I675" s="635"/>
      <c r="J675" s="643" t="s">
        <v>635</v>
      </c>
      <c r="K675" s="635"/>
      <c r="L675" s="643" t="s">
        <v>635</v>
      </c>
      <c r="M675" s="635"/>
      <c r="N675" s="643" t="s">
        <v>635</v>
      </c>
      <c r="O675" s="635"/>
      <c r="P675" s="643" t="s">
        <v>635</v>
      </c>
      <c r="Q675" s="635"/>
      <c r="R675" s="643" t="s">
        <v>635</v>
      </c>
      <c r="S675" s="635"/>
      <c r="T675" s="643" t="s">
        <v>635</v>
      </c>
    </row>
    <row r="676" spans="1:20">
      <c r="A676" s="634">
        <v>36</v>
      </c>
      <c r="B676" s="639"/>
      <c r="C676" s="372"/>
      <c r="D676" s="372"/>
      <c r="E676" s="372"/>
      <c r="F676" s="372"/>
      <c r="G676" s="372"/>
      <c r="H676" s="372"/>
      <c r="I676" s="372"/>
      <c r="J676" s="372"/>
      <c r="K676" s="372"/>
      <c r="L676" s="372"/>
      <c r="M676" s="372"/>
      <c r="N676" s="372"/>
      <c r="O676" s="372"/>
      <c r="P676" s="372"/>
      <c r="Q676" s="635"/>
      <c r="R676" s="372"/>
      <c r="S676" s="372"/>
      <c r="T676" s="372"/>
    </row>
    <row r="677" spans="1:20">
      <c r="A677" s="634">
        <v>37</v>
      </c>
      <c r="B677" s="639"/>
      <c r="C677" s="635"/>
      <c r="D677" s="636" t="s">
        <v>657</v>
      </c>
      <c r="E677" s="372"/>
      <c r="F677" s="372"/>
      <c r="G677" s="372"/>
      <c r="H677" s="372"/>
      <c r="I677" s="635"/>
      <c r="J677" s="635"/>
      <c r="K677" s="635"/>
      <c r="L677" s="635"/>
      <c r="M677" s="635"/>
      <c r="N677" s="635"/>
      <c r="O677" s="635"/>
      <c r="P677" s="635"/>
      <c r="Q677" s="635"/>
      <c r="R677" s="635"/>
      <c r="S677" s="635"/>
      <c r="T677" s="635"/>
    </row>
    <row r="678" spans="1:20">
      <c r="A678" s="634">
        <v>38</v>
      </c>
      <c r="B678" s="639"/>
      <c r="C678" s="634">
        <v>31154</v>
      </c>
      <c r="D678" s="372" t="s">
        <v>627</v>
      </c>
      <c r="E678" s="372"/>
      <c r="F678" s="640">
        <v>7341</v>
      </c>
      <c r="G678" s="635"/>
      <c r="H678" s="634">
        <v>593</v>
      </c>
      <c r="I678" s="635"/>
      <c r="J678" s="634" t="s">
        <v>635</v>
      </c>
      <c r="K678" s="372"/>
      <c r="L678" s="634" t="s">
        <v>635</v>
      </c>
      <c r="M678" s="372"/>
      <c r="N678" s="634" t="s">
        <v>635</v>
      </c>
      <c r="O678" s="634"/>
      <c r="P678" s="634" t="s">
        <v>635</v>
      </c>
      <c r="Q678" s="635"/>
      <c r="R678" s="640">
        <v>7934</v>
      </c>
      <c r="S678" s="372"/>
      <c r="T678" s="640">
        <v>7637</v>
      </c>
    </row>
    <row r="679" spans="1:20">
      <c r="A679" s="634">
        <v>39</v>
      </c>
      <c r="B679" s="639"/>
      <c r="C679" s="634">
        <v>31254</v>
      </c>
      <c r="D679" s="372" t="s">
        <v>629</v>
      </c>
      <c r="E679" s="372"/>
      <c r="F679" s="640">
        <v>16146</v>
      </c>
      <c r="G679" s="635"/>
      <c r="H679" s="640">
        <v>2166</v>
      </c>
      <c r="I679" s="635"/>
      <c r="J679" s="634" t="s">
        <v>635</v>
      </c>
      <c r="K679" s="372"/>
      <c r="L679" s="634" t="s">
        <v>635</v>
      </c>
      <c r="M679" s="372"/>
      <c r="N679" s="634" t="s">
        <v>635</v>
      </c>
      <c r="O679" s="634"/>
      <c r="P679" s="634" t="s">
        <v>635</v>
      </c>
      <c r="Q679" s="635"/>
      <c r="R679" s="640">
        <v>18313</v>
      </c>
      <c r="S679" s="372"/>
      <c r="T679" s="640">
        <v>17229</v>
      </c>
    </row>
    <row r="680" spans="1:20">
      <c r="A680" s="634">
        <v>40</v>
      </c>
      <c r="B680" s="639"/>
      <c r="C680" s="634">
        <v>31554</v>
      </c>
      <c r="D680" s="372" t="s">
        <v>631</v>
      </c>
      <c r="E680" s="372"/>
      <c r="F680" s="640">
        <v>10030</v>
      </c>
      <c r="G680" s="635"/>
      <c r="H680" s="634">
        <v>434</v>
      </c>
      <c r="I680" s="635"/>
      <c r="J680" s="634" t="s">
        <v>635</v>
      </c>
      <c r="K680" s="372"/>
      <c r="L680" s="634" t="s">
        <v>635</v>
      </c>
      <c r="M680" s="372"/>
      <c r="N680" s="634" t="s">
        <v>635</v>
      </c>
      <c r="O680" s="634"/>
      <c r="P680" s="634" t="s">
        <v>635</v>
      </c>
      <c r="Q680" s="635"/>
      <c r="R680" s="640">
        <v>10464</v>
      </c>
      <c r="S680" s="372"/>
      <c r="T680" s="640">
        <v>10247</v>
      </c>
    </row>
    <row r="681" spans="1:20">
      <c r="A681" s="634">
        <v>41</v>
      </c>
      <c r="B681" s="639"/>
      <c r="C681" s="634">
        <v>31654</v>
      </c>
      <c r="D681" s="372" t="s">
        <v>632</v>
      </c>
      <c r="E681" s="372"/>
      <c r="F681" s="634">
        <v>378</v>
      </c>
      <c r="G681" s="635"/>
      <c r="H681" s="634">
        <v>13</v>
      </c>
      <c r="I681" s="635"/>
      <c r="J681" s="634" t="s">
        <v>635</v>
      </c>
      <c r="K681" s="372"/>
      <c r="L681" s="634" t="s">
        <v>635</v>
      </c>
      <c r="M681" s="372"/>
      <c r="N681" s="634" t="s">
        <v>635</v>
      </c>
      <c r="O681" s="634"/>
      <c r="P681" s="634" t="s">
        <v>635</v>
      </c>
      <c r="Q681" s="635"/>
      <c r="R681" s="634">
        <v>391</v>
      </c>
      <c r="S681" s="372"/>
      <c r="T681" s="634">
        <v>384</v>
      </c>
    </row>
    <row r="682" spans="1:20">
      <c r="A682" s="634">
        <v>42</v>
      </c>
      <c r="B682" s="639"/>
      <c r="C682" s="634"/>
      <c r="D682" s="636" t="s">
        <v>658</v>
      </c>
      <c r="E682" s="372"/>
      <c r="F682" s="642">
        <v>33894</v>
      </c>
      <c r="G682" s="372"/>
      <c r="H682" s="642">
        <v>3207</v>
      </c>
      <c r="I682" s="635"/>
      <c r="J682" s="643" t="s">
        <v>635</v>
      </c>
      <c r="K682" s="635"/>
      <c r="L682" s="643" t="s">
        <v>635</v>
      </c>
      <c r="M682" s="635"/>
      <c r="N682" s="643" t="s">
        <v>635</v>
      </c>
      <c r="O682" s="635"/>
      <c r="P682" s="643" t="s">
        <v>635</v>
      </c>
      <c r="Q682" s="635"/>
      <c r="R682" s="642">
        <v>37101</v>
      </c>
      <c r="S682" s="635"/>
      <c r="T682" s="642">
        <v>35498</v>
      </c>
    </row>
    <row r="683" spans="1:20">
      <c r="A683" s="634">
        <v>43</v>
      </c>
      <c r="B683" s="639"/>
      <c r="C683" s="372"/>
      <c r="D683" s="372"/>
      <c r="E683" s="372"/>
      <c r="F683" s="372"/>
      <c r="G683" s="372"/>
      <c r="H683" s="372"/>
      <c r="I683" s="372"/>
      <c r="J683" s="372"/>
      <c r="K683" s="372"/>
      <c r="L683" s="372"/>
      <c r="M683" s="372"/>
      <c r="N683" s="372"/>
      <c r="O683" s="372"/>
      <c r="P683" s="372"/>
      <c r="Q683" s="635"/>
      <c r="R683" s="372"/>
      <c r="S683" s="372"/>
      <c r="T683" s="372"/>
    </row>
    <row r="684" spans="1:20" ht="15" thickBot="1">
      <c r="A684" s="637">
        <v>44</v>
      </c>
      <c r="B684" s="660" t="s">
        <v>67</v>
      </c>
      <c r="C684" s="660"/>
      <c r="D684" s="625"/>
      <c r="E684" s="625"/>
      <c r="F684" s="625"/>
      <c r="G684" s="625"/>
      <c r="H684" s="625"/>
      <c r="I684" s="625"/>
      <c r="J684" s="625"/>
      <c r="K684" s="625"/>
      <c r="L684" s="625"/>
      <c r="M684" s="625"/>
      <c r="N684" s="625"/>
      <c r="O684" s="625"/>
      <c r="P684" s="625"/>
      <c r="Q684" s="638"/>
      <c r="R684" s="625"/>
      <c r="S684" s="625"/>
      <c r="T684" s="625"/>
    </row>
    <row r="685" spans="1:20">
      <c r="A685" s="664" t="s">
        <v>818</v>
      </c>
      <c r="B685" s="664"/>
      <c r="C685" s="372"/>
      <c r="D685" s="372"/>
      <c r="E685" s="664"/>
      <c r="F685" s="664"/>
      <c r="G685" s="664"/>
      <c r="H685" s="664"/>
      <c r="I685" s="664"/>
      <c r="J685" s="664"/>
      <c r="K685" s="664"/>
      <c r="L685" s="664"/>
      <c r="M685" s="664"/>
      <c r="N685" s="664"/>
      <c r="O685" s="664"/>
      <c r="P685" s="664"/>
      <c r="Q685" s="635"/>
      <c r="R685" s="372" t="s">
        <v>644</v>
      </c>
      <c r="S685" s="664"/>
      <c r="T685" s="664"/>
    </row>
    <row r="686" spans="1:20" ht="15" thickBot="1">
      <c r="A686" s="625" t="s">
        <v>808</v>
      </c>
      <c r="B686" s="625"/>
      <c r="C686" s="625"/>
      <c r="D686" s="625"/>
      <c r="E686" s="625"/>
      <c r="F686" s="625" t="s">
        <v>809</v>
      </c>
      <c r="G686" s="625"/>
      <c r="H686" s="625"/>
      <c r="I686" s="625"/>
      <c r="J686" s="625"/>
      <c r="K686" s="625"/>
      <c r="L686" s="625"/>
      <c r="M686" s="625"/>
      <c r="N686" s="625"/>
      <c r="O686" s="625"/>
      <c r="P686" s="625"/>
      <c r="Q686" s="638"/>
      <c r="R686" s="625"/>
      <c r="S686" s="625"/>
      <c r="T686" s="625" t="s">
        <v>659</v>
      </c>
    </row>
    <row r="687" spans="1:20">
      <c r="A687" s="664" t="s">
        <v>4</v>
      </c>
      <c r="B687" s="664"/>
      <c r="C687" s="372"/>
      <c r="D687" s="372"/>
      <c r="E687" s="635" t="s">
        <v>553</v>
      </c>
      <c r="F687" s="372" t="s">
        <v>810</v>
      </c>
      <c r="G687" s="664"/>
      <c r="H687" s="664"/>
      <c r="I687" s="664"/>
      <c r="J687" s="664"/>
      <c r="K687" s="661"/>
      <c r="L687" s="661"/>
      <c r="M687" s="661"/>
      <c r="N687" s="661"/>
      <c r="O687" s="661"/>
      <c r="P687" s="661"/>
      <c r="Q687" s="645"/>
      <c r="R687" s="372" t="s">
        <v>608</v>
      </c>
      <c r="S687" s="664"/>
      <c r="T687" s="664"/>
    </row>
    <row r="688" spans="1:20">
      <c r="A688" s="372"/>
      <c r="B688" s="372"/>
      <c r="C688" s="372"/>
      <c r="D688" s="372"/>
      <c r="E688" s="372"/>
      <c r="F688" s="372" t="s">
        <v>811</v>
      </c>
      <c r="G688" s="372"/>
      <c r="H688" s="372"/>
      <c r="I688" s="372"/>
      <c r="J688" s="372"/>
      <c r="K688" s="636"/>
      <c r="L688" s="636"/>
      <c r="M688" s="372"/>
      <c r="N688" s="372"/>
      <c r="O688" s="635"/>
      <c r="P688" s="635"/>
      <c r="Q688" s="635" t="s">
        <v>12</v>
      </c>
      <c r="R688" s="636" t="s">
        <v>9</v>
      </c>
      <c r="S688" s="372"/>
      <c r="T688" s="372"/>
    </row>
    <row r="689" spans="1:20">
      <c r="A689" s="372" t="s">
        <v>10</v>
      </c>
      <c r="B689" s="372"/>
      <c r="C689" s="372"/>
      <c r="D689" s="372"/>
      <c r="E689" s="372"/>
      <c r="F689" s="372"/>
      <c r="G689" s="372"/>
      <c r="H689" s="372"/>
      <c r="I689" s="372"/>
      <c r="J689" s="372"/>
      <c r="K689" s="636"/>
      <c r="L689" s="636"/>
      <c r="M689" s="372"/>
      <c r="N689" s="372"/>
      <c r="O689" s="372"/>
      <c r="P689" s="372"/>
      <c r="Q689" s="635"/>
      <c r="R689" s="636" t="s">
        <v>11</v>
      </c>
      <c r="S689" s="372"/>
      <c r="T689" s="372"/>
    </row>
    <row r="690" spans="1:20">
      <c r="A690" s="372"/>
      <c r="B690" s="372"/>
      <c r="C690" s="372"/>
      <c r="D690" s="372"/>
      <c r="E690" s="372"/>
      <c r="F690" s="372"/>
      <c r="G690" s="372"/>
      <c r="H690" s="372"/>
      <c r="I690" s="372"/>
      <c r="J690" s="372"/>
      <c r="K690" s="636"/>
      <c r="L690" s="636"/>
      <c r="M690" s="372"/>
      <c r="N690" s="372"/>
      <c r="O690" s="372"/>
      <c r="P690" s="372"/>
      <c r="Q690" s="635"/>
      <c r="R690" s="636" t="s">
        <v>13</v>
      </c>
      <c r="S690" s="372"/>
      <c r="T690" s="372"/>
    </row>
    <row r="691" spans="1:20">
      <c r="A691" s="372"/>
      <c r="B691" s="372"/>
      <c r="C691" s="372"/>
      <c r="D691" s="372"/>
      <c r="E691" s="372"/>
      <c r="F691" s="372"/>
      <c r="G691" s="372"/>
      <c r="H691" s="372"/>
      <c r="I691" s="372"/>
      <c r="J691" s="372"/>
      <c r="K691" s="636"/>
      <c r="L691" s="636"/>
      <c r="M691" s="372"/>
      <c r="N691" s="372"/>
      <c r="O691" s="372"/>
      <c r="P691" s="372"/>
      <c r="Q691" s="635"/>
      <c r="R691" s="636" t="s">
        <v>610</v>
      </c>
      <c r="S691" s="372"/>
      <c r="T691" s="372"/>
    </row>
    <row r="692" spans="1:20" ht="15" thickBot="1">
      <c r="A692" s="625" t="s">
        <v>611</v>
      </c>
      <c r="B692" s="625"/>
      <c r="C692" s="625"/>
      <c r="D692" s="625"/>
      <c r="E692" s="625"/>
      <c r="F692" s="625"/>
      <c r="G692" s="625"/>
      <c r="H692" s="637" t="s">
        <v>812</v>
      </c>
      <c r="I692" s="625"/>
      <c r="J692" s="625"/>
      <c r="K692" s="625"/>
      <c r="L692" s="625"/>
      <c r="M692" s="625"/>
      <c r="N692" s="625"/>
      <c r="O692" s="625"/>
      <c r="P692" s="625"/>
      <c r="Q692" s="638"/>
      <c r="R692" s="625" t="s">
        <v>249</v>
      </c>
      <c r="S692" s="625"/>
      <c r="T692" s="625"/>
    </row>
    <row r="693" spans="1:20">
      <c r="A693" s="664"/>
      <c r="B693" s="664"/>
      <c r="C693" s="634"/>
      <c r="D693" s="634"/>
      <c r="E693" s="634"/>
      <c r="F693" s="634"/>
      <c r="G693" s="634"/>
      <c r="H693" s="634"/>
      <c r="I693" s="634"/>
      <c r="J693" s="634"/>
      <c r="K693" s="634"/>
      <c r="L693" s="634"/>
      <c r="M693" s="634"/>
      <c r="N693" s="634"/>
      <c r="O693" s="634"/>
      <c r="P693" s="634"/>
      <c r="Q693" s="635"/>
      <c r="R693" s="634"/>
      <c r="S693" s="634"/>
      <c r="T693" s="634"/>
    </row>
    <row r="694" spans="1:20">
      <c r="A694" s="372"/>
      <c r="B694" s="372"/>
      <c r="C694" s="634">
        <v>-1</v>
      </c>
      <c r="D694" s="634">
        <v>-2</v>
      </c>
      <c r="E694" s="634"/>
      <c r="F694" s="634">
        <v>-3</v>
      </c>
      <c r="G694" s="634"/>
      <c r="H694" s="634">
        <v>-4</v>
      </c>
      <c r="I694" s="634"/>
      <c r="J694" s="634">
        <v>-5</v>
      </c>
      <c r="K694" s="634"/>
      <c r="L694" s="634">
        <v>-6</v>
      </c>
      <c r="M694" s="634"/>
      <c r="N694" s="634">
        <v>-7</v>
      </c>
      <c r="O694" s="634"/>
      <c r="P694" s="634">
        <v>-8</v>
      </c>
      <c r="Q694" s="635"/>
      <c r="R694" s="634">
        <v>-9</v>
      </c>
      <c r="S694" s="634"/>
      <c r="T694" s="634">
        <v>-10</v>
      </c>
    </row>
    <row r="695" spans="1:20">
      <c r="A695" s="372"/>
      <c r="B695" s="372"/>
      <c r="C695" s="634" t="s">
        <v>613</v>
      </c>
      <c r="D695" s="634" t="s">
        <v>613</v>
      </c>
      <c r="E695" s="372"/>
      <c r="F695" s="634" t="s">
        <v>27</v>
      </c>
      <c r="G695" s="634"/>
      <c r="H695" s="634" t="s">
        <v>45</v>
      </c>
      <c r="I695" s="634"/>
      <c r="J695" s="634"/>
      <c r="K695" s="634"/>
      <c r="L695" s="634"/>
      <c r="M695" s="634"/>
      <c r="N695" s="372"/>
      <c r="O695" s="372"/>
      <c r="P695" s="372"/>
      <c r="Q695" s="635"/>
      <c r="R695" s="634" t="s">
        <v>27</v>
      </c>
      <c r="S695" s="372"/>
      <c r="T695" s="372"/>
    </row>
    <row r="696" spans="1:20">
      <c r="A696" s="634" t="s">
        <v>35</v>
      </c>
      <c r="B696" s="634"/>
      <c r="C696" s="634" t="s">
        <v>614</v>
      </c>
      <c r="D696" s="634" t="s">
        <v>614</v>
      </c>
      <c r="E696" s="634"/>
      <c r="F696" s="634" t="s">
        <v>37</v>
      </c>
      <c r="G696" s="634"/>
      <c r="H696" s="634" t="s">
        <v>37</v>
      </c>
      <c r="I696" s="634"/>
      <c r="J696" s="634"/>
      <c r="K696" s="634"/>
      <c r="L696" s="634" t="s">
        <v>813</v>
      </c>
      <c r="M696" s="636"/>
      <c r="N696" s="634" t="s">
        <v>813</v>
      </c>
      <c r="O696" s="634"/>
      <c r="P696" s="634" t="s">
        <v>178</v>
      </c>
      <c r="Q696" s="635"/>
      <c r="R696" s="634" t="s">
        <v>37</v>
      </c>
      <c r="S696" s="634"/>
      <c r="T696" s="634" t="s">
        <v>353</v>
      </c>
    </row>
    <row r="697" spans="1:20" ht="15" thickBot="1">
      <c r="A697" s="637" t="s">
        <v>46</v>
      </c>
      <c r="B697" s="637"/>
      <c r="C697" s="637" t="s">
        <v>371</v>
      </c>
      <c r="D697" s="637" t="s">
        <v>617</v>
      </c>
      <c r="E697" s="637"/>
      <c r="F697" s="637" t="s">
        <v>619</v>
      </c>
      <c r="G697" s="637"/>
      <c r="H697" s="637" t="s">
        <v>814</v>
      </c>
      <c r="I697" s="637"/>
      <c r="J697" s="637" t="s">
        <v>815</v>
      </c>
      <c r="K697" s="637"/>
      <c r="L697" s="637" t="s">
        <v>816</v>
      </c>
      <c r="M697" s="637"/>
      <c r="N697" s="637" t="s">
        <v>817</v>
      </c>
      <c r="O697" s="637"/>
      <c r="P697" s="637" t="s">
        <v>622</v>
      </c>
      <c r="Q697" s="638"/>
      <c r="R697" s="637" t="s">
        <v>623</v>
      </c>
      <c r="S697" s="637"/>
      <c r="T697" s="637" t="s">
        <v>369</v>
      </c>
    </row>
    <row r="698" spans="1:20">
      <c r="A698" s="634">
        <v>1</v>
      </c>
      <c r="B698" s="634"/>
      <c r="C698" s="372"/>
      <c r="D698" s="372"/>
      <c r="E698" s="664"/>
      <c r="F698" s="664"/>
      <c r="G698" s="664"/>
      <c r="H698" s="664"/>
      <c r="I698" s="664"/>
      <c r="J698" s="664"/>
      <c r="K698" s="664"/>
      <c r="L698" s="664"/>
      <c r="M698" s="664"/>
      <c r="N698" s="664"/>
      <c r="O698" s="664"/>
      <c r="P698" s="664"/>
      <c r="Q698" s="635"/>
      <c r="R698" s="372"/>
      <c r="S698" s="664"/>
      <c r="T698" s="664"/>
    </row>
    <row r="699" spans="1:20">
      <c r="A699" s="634">
        <v>2</v>
      </c>
      <c r="B699" s="639"/>
      <c r="C699" s="634">
        <v>31247</v>
      </c>
      <c r="D699" s="372" t="s">
        <v>660</v>
      </c>
      <c r="E699" s="372"/>
      <c r="F699" s="640">
        <v>10187</v>
      </c>
      <c r="G699" s="635"/>
      <c r="H699" s="634" t="s">
        <v>635</v>
      </c>
      <c r="I699" s="635"/>
      <c r="J699" s="634" t="s">
        <v>635</v>
      </c>
      <c r="K699" s="372"/>
      <c r="L699" s="634" t="s">
        <v>635</v>
      </c>
      <c r="M699" s="372"/>
      <c r="N699" s="634" t="s">
        <v>635</v>
      </c>
      <c r="O699" s="634"/>
      <c r="P699" s="634" t="s">
        <v>635</v>
      </c>
      <c r="Q699" s="635"/>
      <c r="R699" s="640">
        <v>10187</v>
      </c>
      <c r="S699" s="372"/>
      <c r="T699" s="640">
        <v>10187</v>
      </c>
    </row>
    <row r="700" spans="1:20">
      <c r="A700" s="634">
        <v>3</v>
      </c>
      <c r="B700" s="639"/>
      <c r="C700" s="634">
        <v>31647</v>
      </c>
      <c r="D700" s="372" t="s">
        <v>661</v>
      </c>
      <c r="E700" s="372"/>
      <c r="F700" s="634">
        <v>313</v>
      </c>
      <c r="G700" s="635"/>
      <c r="H700" s="634">
        <v>105</v>
      </c>
      <c r="I700" s="635"/>
      <c r="J700" s="634">
        <v>-38</v>
      </c>
      <c r="K700" s="372"/>
      <c r="L700" s="634" t="s">
        <v>628</v>
      </c>
      <c r="M700" s="372"/>
      <c r="N700" s="634" t="s">
        <v>635</v>
      </c>
      <c r="O700" s="634"/>
      <c r="P700" s="634" t="s">
        <v>635</v>
      </c>
      <c r="Q700" s="635"/>
      <c r="R700" s="634">
        <v>380</v>
      </c>
      <c r="S700" s="372"/>
      <c r="T700" s="634">
        <v>336</v>
      </c>
    </row>
    <row r="701" spans="1:20">
      <c r="A701" s="634">
        <v>4</v>
      </c>
      <c r="B701" s="639"/>
      <c r="C701" s="634"/>
      <c r="D701" s="372"/>
      <c r="E701" s="372"/>
      <c r="F701" s="372"/>
      <c r="G701" s="372"/>
      <c r="H701" s="372"/>
      <c r="I701" s="635"/>
      <c r="J701" s="643"/>
      <c r="K701" s="635"/>
      <c r="L701" s="643"/>
      <c r="M701" s="635"/>
      <c r="N701" s="643"/>
      <c r="O701" s="635"/>
      <c r="P701" s="643"/>
      <c r="Q701" s="635"/>
      <c r="R701" s="643"/>
      <c r="S701" s="635"/>
      <c r="T701" s="643"/>
    </row>
    <row r="702" spans="1:20" ht="15" thickBot="1">
      <c r="A702" s="634">
        <v>5</v>
      </c>
      <c r="B702" s="639"/>
      <c r="C702" s="634"/>
      <c r="D702" s="636" t="s">
        <v>662</v>
      </c>
      <c r="E702" s="372"/>
      <c r="F702" s="646">
        <v>554931</v>
      </c>
      <c r="G702" s="635"/>
      <c r="H702" s="646">
        <v>59406</v>
      </c>
      <c r="I702" s="635"/>
      <c r="J702" s="646">
        <v>-3724</v>
      </c>
      <c r="K702" s="635"/>
      <c r="L702" s="646">
        <v>-1716</v>
      </c>
      <c r="M702" s="635"/>
      <c r="N702" s="647" t="s">
        <v>628</v>
      </c>
      <c r="O702" s="372"/>
      <c r="P702" s="647" t="s">
        <v>635</v>
      </c>
      <c r="Q702" s="635"/>
      <c r="R702" s="646">
        <v>608896</v>
      </c>
      <c r="S702" s="635"/>
      <c r="T702" s="646">
        <v>582206</v>
      </c>
    </row>
    <row r="703" spans="1:20" ht="15" thickTop="1">
      <c r="A703" s="634">
        <v>6</v>
      </c>
      <c r="B703" s="639"/>
      <c r="C703" s="634"/>
      <c r="D703" s="372"/>
      <c r="E703" s="372"/>
      <c r="F703" s="372"/>
      <c r="G703" s="372"/>
      <c r="H703" s="372"/>
      <c r="I703" s="372"/>
      <c r="J703" s="372"/>
      <c r="K703" s="372"/>
      <c r="L703" s="372"/>
      <c r="M703" s="372"/>
      <c r="N703" s="372"/>
      <c r="O703" s="372"/>
      <c r="P703" s="372"/>
      <c r="Q703" s="635"/>
      <c r="R703" s="372"/>
      <c r="S703" s="372"/>
      <c r="T703" s="372"/>
    </row>
    <row r="704" spans="1:20" ht="15" thickBot="1">
      <c r="A704" s="634">
        <v>7</v>
      </c>
      <c r="B704" s="634"/>
      <c r="C704" s="634"/>
      <c r="D704" s="372" t="s">
        <v>663</v>
      </c>
      <c r="E704" s="372"/>
      <c r="F704" s="646">
        <v>554931</v>
      </c>
      <c r="G704" s="635"/>
      <c r="H704" s="646">
        <v>59406</v>
      </c>
      <c r="I704" s="635"/>
      <c r="J704" s="646">
        <v>-3724</v>
      </c>
      <c r="K704" s="635"/>
      <c r="L704" s="646">
        <v>-1716</v>
      </c>
      <c r="M704" s="635"/>
      <c r="N704" s="647" t="s">
        <v>628</v>
      </c>
      <c r="O704" s="372"/>
      <c r="P704" s="647" t="s">
        <v>635</v>
      </c>
      <c r="Q704" s="635"/>
      <c r="R704" s="646">
        <v>608896</v>
      </c>
      <c r="S704" s="635"/>
      <c r="T704" s="646">
        <v>582206</v>
      </c>
    </row>
    <row r="705" spans="1:20" ht="15" thickTop="1">
      <c r="A705" s="634">
        <v>8</v>
      </c>
      <c r="B705" s="634"/>
      <c r="C705" s="372"/>
      <c r="D705" s="372"/>
      <c r="E705" s="372"/>
      <c r="F705" s="372"/>
      <c r="G705" s="372"/>
      <c r="H705" s="372"/>
      <c r="I705" s="372"/>
      <c r="J705" s="372"/>
      <c r="K705" s="372"/>
      <c r="L705" s="372"/>
      <c r="M705" s="372"/>
      <c r="N705" s="372"/>
      <c r="O705" s="372"/>
      <c r="P705" s="372"/>
      <c r="Q705" s="635"/>
      <c r="R705" s="372"/>
      <c r="S705" s="372"/>
      <c r="T705" s="372"/>
    </row>
    <row r="706" spans="1:20">
      <c r="A706" s="634">
        <v>9</v>
      </c>
      <c r="B706" s="639"/>
      <c r="C706" s="372"/>
      <c r="D706" s="372" t="s">
        <v>664</v>
      </c>
      <c r="E706" s="372"/>
      <c r="F706" s="372"/>
      <c r="G706" s="372"/>
      <c r="H706" s="372"/>
      <c r="I706" s="372"/>
      <c r="J706" s="372"/>
      <c r="K706" s="372"/>
      <c r="L706" s="372"/>
      <c r="M706" s="372"/>
      <c r="N706" s="372"/>
      <c r="O706" s="372"/>
      <c r="P706" s="372"/>
      <c r="Q706" s="635"/>
      <c r="R706" s="372"/>
      <c r="S706" s="372"/>
      <c r="T706" s="372"/>
    </row>
    <row r="707" spans="1:20">
      <c r="A707" s="634">
        <v>10</v>
      </c>
      <c r="B707" s="639"/>
      <c r="C707" s="372"/>
      <c r="D707" s="372" t="s">
        <v>625</v>
      </c>
      <c r="E707" s="372"/>
      <c r="F707" s="372"/>
      <c r="G707" s="372"/>
      <c r="H707" s="372"/>
      <c r="I707" s="372"/>
      <c r="J707" s="372"/>
      <c r="K707" s="372"/>
      <c r="L707" s="372"/>
      <c r="M707" s="372"/>
      <c r="N707" s="372"/>
      <c r="O707" s="372"/>
      <c r="P707" s="372"/>
      <c r="Q707" s="635"/>
      <c r="R707" s="372"/>
      <c r="S707" s="372"/>
      <c r="T707" s="372"/>
    </row>
    <row r="708" spans="1:20">
      <c r="A708" s="634">
        <v>11</v>
      </c>
      <c r="B708" s="639"/>
      <c r="C708" s="372"/>
      <c r="D708" s="372" t="s">
        <v>665</v>
      </c>
      <c r="E708" s="634"/>
      <c r="F708" s="634"/>
      <c r="G708" s="634"/>
      <c r="H708" s="634"/>
      <c r="I708" s="634"/>
      <c r="J708" s="634"/>
      <c r="K708" s="634"/>
      <c r="L708" s="634"/>
      <c r="M708" s="634"/>
      <c r="N708" s="634"/>
      <c r="O708" s="634"/>
      <c r="P708" s="634"/>
      <c r="Q708" s="635"/>
      <c r="R708" s="634"/>
      <c r="S708" s="634"/>
      <c r="T708" s="634"/>
    </row>
    <row r="709" spans="1:20">
      <c r="A709" s="634">
        <v>12</v>
      </c>
      <c r="B709" s="639"/>
      <c r="C709" s="634">
        <v>34144</v>
      </c>
      <c r="D709" s="372" t="s">
        <v>627</v>
      </c>
      <c r="E709" s="634"/>
      <c r="F709" s="640">
        <v>1050</v>
      </c>
      <c r="G709" s="635"/>
      <c r="H709" s="634">
        <v>113</v>
      </c>
      <c r="I709" s="635"/>
      <c r="J709" s="634" t="s">
        <v>635</v>
      </c>
      <c r="K709" s="372"/>
      <c r="L709" s="634" t="s">
        <v>635</v>
      </c>
      <c r="M709" s="372"/>
      <c r="N709" s="634" t="s">
        <v>635</v>
      </c>
      <c r="O709" s="634"/>
      <c r="P709" s="634" t="s">
        <v>635</v>
      </c>
      <c r="Q709" s="635"/>
      <c r="R709" s="640">
        <v>1162</v>
      </c>
      <c r="S709" s="372"/>
      <c r="T709" s="640">
        <v>1106</v>
      </c>
    </row>
    <row r="710" spans="1:20">
      <c r="A710" s="634">
        <v>13</v>
      </c>
      <c r="B710" s="639"/>
      <c r="C710" s="634">
        <v>34244</v>
      </c>
      <c r="D710" s="372" t="s">
        <v>666</v>
      </c>
      <c r="E710" s="634"/>
      <c r="F710" s="634">
        <v>670</v>
      </c>
      <c r="G710" s="635"/>
      <c r="H710" s="634">
        <v>166</v>
      </c>
      <c r="I710" s="635"/>
      <c r="J710" s="634" t="s">
        <v>635</v>
      </c>
      <c r="K710" s="372"/>
      <c r="L710" s="634" t="s">
        <v>635</v>
      </c>
      <c r="M710" s="372"/>
      <c r="N710" s="634" t="s">
        <v>635</v>
      </c>
      <c r="O710" s="634"/>
      <c r="P710" s="634" t="s">
        <v>635</v>
      </c>
      <c r="Q710" s="635"/>
      <c r="R710" s="634">
        <v>835</v>
      </c>
      <c r="S710" s="372"/>
      <c r="T710" s="634">
        <v>752</v>
      </c>
    </row>
    <row r="711" spans="1:20">
      <c r="A711" s="634">
        <v>14</v>
      </c>
      <c r="B711" s="639"/>
      <c r="C711" s="634">
        <v>34344</v>
      </c>
      <c r="D711" s="372" t="s">
        <v>667</v>
      </c>
      <c r="E711" s="634"/>
      <c r="F711" s="640">
        <v>11148</v>
      </c>
      <c r="G711" s="635"/>
      <c r="H711" s="634">
        <v>591</v>
      </c>
      <c r="I711" s="635"/>
      <c r="J711" s="634" t="s">
        <v>635</v>
      </c>
      <c r="K711" s="372"/>
      <c r="L711" s="634" t="s">
        <v>635</v>
      </c>
      <c r="M711" s="372"/>
      <c r="N711" s="634" t="s">
        <v>635</v>
      </c>
      <c r="O711" s="634"/>
      <c r="P711" s="634" t="s">
        <v>635</v>
      </c>
      <c r="Q711" s="635"/>
      <c r="R711" s="640">
        <v>11738</v>
      </c>
      <c r="S711" s="372"/>
      <c r="T711" s="640">
        <v>11443</v>
      </c>
    </row>
    <row r="712" spans="1:20">
      <c r="A712" s="634">
        <v>15</v>
      </c>
      <c r="B712" s="639"/>
      <c r="C712" s="634">
        <v>34544</v>
      </c>
      <c r="D712" s="372" t="s">
        <v>631</v>
      </c>
      <c r="E712" s="634"/>
      <c r="F712" s="640">
        <v>7562</v>
      </c>
      <c r="G712" s="635"/>
      <c r="H712" s="634">
        <v>395</v>
      </c>
      <c r="I712" s="635"/>
      <c r="J712" s="634" t="s">
        <v>635</v>
      </c>
      <c r="K712" s="372"/>
      <c r="L712" s="634" t="s">
        <v>635</v>
      </c>
      <c r="M712" s="372"/>
      <c r="N712" s="634" t="s">
        <v>635</v>
      </c>
      <c r="O712" s="634"/>
      <c r="P712" s="634" t="s">
        <v>635</v>
      </c>
      <c r="Q712" s="635"/>
      <c r="R712" s="640">
        <v>7957</v>
      </c>
      <c r="S712" s="372"/>
      <c r="T712" s="640">
        <v>7759</v>
      </c>
    </row>
    <row r="713" spans="1:20">
      <c r="A713" s="634">
        <v>16</v>
      </c>
      <c r="B713" s="639"/>
      <c r="C713" s="634">
        <v>34644</v>
      </c>
      <c r="D713" s="372" t="s">
        <v>632</v>
      </c>
      <c r="E713" s="372"/>
      <c r="F713" s="634">
        <v>253</v>
      </c>
      <c r="G713" s="635"/>
      <c r="H713" s="634">
        <v>16</v>
      </c>
      <c r="I713" s="635"/>
      <c r="J713" s="634" t="s">
        <v>635</v>
      </c>
      <c r="K713" s="372"/>
      <c r="L713" s="634" t="s">
        <v>635</v>
      </c>
      <c r="M713" s="372"/>
      <c r="N713" s="634" t="s">
        <v>635</v>
      </c>
      <c r="O713" s="634"/>
      <c r="P713" s="634" t="s">
        <v>635</v>
      </c>
      <c r="Q713" s="635"/>
      <c r="R713" s="634">
        <v>269</v>
      </c>
      <c r="S713" s="372"/>
      <c r="T713" s="634">
        <v>261</v>
      </c>
    </row>
    <row r="714" spans="1:20">
      <c r="A714" s="634">
        <v>17</v>
      </c>
      <c r="B714" s="639"/>
      <c r="C714" s="634"/>
      <c r="D714" s="636" t="s">
        <v>668</v>
      </c>
      <c r="E714" s="634"/>
      <c r="F714" s="642">
        <v>20682</v>
      </c>
      <c r="G714" s="372"/>
      <c r="H714" s="642">
        <v>1280</v>
      </c>
      <c r="I714" s="635"/>
      <c r="J714" s="643" t="s">
        <v>635</v>
      </c>
      <c r="K714" s="635"/>
      <c r="L714" s="643" t="s">
        <v>635</v>
      </c>
      <c r="M714" s="635"/>
      <c r="N714" s="643" t="s">
        <v>635</v>
      </c>
      <c r="O714" s="635"/>
      <c r="P714" s="643" t="s">
        <v>635</v>
      </c>
      <c r="Q714" s="635"/>
      <c r="R714" s="642">
        <v>21962</v>
      </c>
      <c r="S714" s="635"/>
      <c r="T714" s="642">
        <v>21322</v>
      </c>
    </row>
    <row r="715" spans="1:20">
      <c r="A715" s="634">
        <v>18</v>
      </c>
      <c r="B715" s="639"/>
      <c r="C715" s="372"/>
      <c r="D715" s="372"/>
      <c r="E715" s="372"/>
      <c r="F715" s="372"/>
      <c r="G715" s="372"/>
      <c r="H715" s="372"/>
      <c r="I715" s="372"/>
      <c r="J715" s="372"/>
      <c r="K715" s="372"/>
      <c r="L715" s="372"/>
      <c r="M715" s="372"/>
      <c r="N715" s="372"/>
      <c r="O715" s="372"/>
      <c r="P715" s="372"/>
      <c r="Q715" s="635"/>
      <c r="R715" s="372"/>
      <c r="S715" s="372"/>
      <c r="T715" s="372"/>
    </row>
    <row r="716" spans="1:20">
      <c r="A716" s="634">
        <v>19</v>
      </c>
      <c r="B716" s="639"/>
      <c r="C716" s="634"/>
      <c r="D716" s="372" t="s">
        <v>669</v>
      </c>
      <c r="E716" s="372"/>
      <c r="F716" s="372"/>
      <c r="G716" s="372"/>
      <c r="H716" s="372"/>
      <c r="I716" s="372"/>
      <c r="J716" s="372"/>
      <c r="K716" s="372"/>
      <c r="L716" s="372"/>
      <c r="M716" s="372"/>
      <c r="N716" s="372"/>
      <c r="O716" s="372"/>
      <c r="P716" s="372"/>
      <c r="Q716" s="635"/>
      <c r="R716" s="372"/>
      <c r="S716" s="372"/>
      <c r="T716" s="372"/>
    </row>
    <row r="717" spans="1:20">
      <c r="A717" s="634">
        <v>20</v>
      </c>
      <c r="B717" s="639"/>
      <c r="C717" s="634">
        <v>34145</v>
      </c>
      <c r="D717" s="372" t="s">
        <v>627</v>
      </c>
      <c r="E717" s="372"/>
      <c r="F717" s="634" t="s">
        <v>628</v>
      </c>
      <c r="G717" s="635"/>
      <c r="H717" s="634" t="s">
        <v>635</v>
      </c>
      <c r="I717" s="635"/>
      <c r="J717" s="634" t="s">
        <v>635</v>
      </c>
      <c r="K717" s="372"/>
      <c r="L717" s="634" t="s">
        <v>635</v>
      </c>
      <c r="M717" s="372"/>
      <c r="N717" s="634" t="s">
        <v>635</v>
      </c>
      <c r="O717" s="634"/>
      <c r="P717" s="634" t="s">
        <v>635</v>
      </c>
      <c r="Q717" s="635"/>
      <c r="R717" s="634" t="s">
        <v>635</v>
      </c>
      <c r="S717" s="372"/>
      <c r="T717" s="634" t="s">
        <v>635</v>
      </c>
    </row>
    <row r="718" spans="1:20">
      <c r="A718" s="634">
        <v>21</v>
      </c>
      <c r="B718" s="639"/>
      <c r="C718" s="634">
        <v>34245</v>
      </c>
      <c r="D718" s="372" t="s">
        <v>666</v>
      </c>
      <c r="E718" s="372"/>
      <c r="F718" s="634">
        <v>-15</v>
      </c>
      <c r="G718" s="635"/>
      <c r="H718" s="634">
        <v>14</v>
      </c>
      <c r="I718" s="635"/>
      <c r="J718" s="634" t="s">
        <v>635</v>
      </c>
      <c r="K718" s="372"/>
      <c r="L718" s="634">
        <v>-20</v>
      </c>
      <c r="M718" s="372"/>
      <c r="N718" s="634" t="s">
        <v>628</v>
      </c>
      <c r="O718" s="634"/>
      <c r="P718" s="634" t="s">
        <v>635</v>
      </c>
      <c r="Q718" s="635"/>
      <c r="R718" s="634">
        <v>-21</v>
      </c>
      <c r="S718" s="372"/>
      <c r="T718" s="634">
        <v>-19</v>
      </c>
    </row>
    <row r="719" spans="1:20">
      <c r="A719" s="634">
        <v>22</v>
      </c>
      <c r="B719" s="639"/>
      <c r="C719" s="634">
        <v>34345</v>
      </c>
      <c r="D719" s="372" t="s">
        <v>667</v>
      </c>
      <c r="E719" s="372"/>
      <c r="F719" s="640">
        <v>14396</v>
      </c>
      <c r="G719" s="635"/>
      <c r="H719" s="640">
        <v>6192</v>
      </c>
      <c r="I719" s="635"/>
      <c r="J719" s="634" t="s">
        <v>635</v>
      </c>
      <c r="K719" s="372"/>
      <c r="L719" s="634">
        <v>-20</v>
      </c>
      <c r="M719" s="372"/>
      <c r="N719" s="634" t="s">
        <v>628</v>
      </c>
      <c r="O719" s="634"/>
      <c r="P719" s="634" t="s">
        <v>635</v>
      </c>
      <c r="Q719" s="635"/>
      <c r="R719" s="640">
        <v>20568</v>
      </c>
      <c r="S719" s="372"/>
      <c r="T719" s="640">
        <v>17481</v>
      </c>
    </row>
    <row r="720" spans="1:20">
      <c r="A720" s="634">
        <v>23</v>
      </c>
      <c r="B720" s="639"/>
      <c r="C720" s="634">
        <v>34545</v>
      </c>
      <c r="D720" s="372" t="s">
        <v>631</v>
      </c>
      <c r="E720" s="372"/>
      <c r="F720" s="634">
        <v>2</v>
      </c>
      <c r="G720" s="635"/>
      <c r="H720" s="634">
        <v>1</v>
      </c>
      <c r="I720" s="635"/>
      <c r="J720" s="634" t="s">
        <v>635</v>
      </c>
      <c r="K720" s="372"/>
      <c r="L720" s="634" t="s">
        <v>635</v>
      </c>
      <c r="M720" s="372"/>
      <c r="N720" s="634" t="s">
        <v>635</v>
      </c>
      <c r="O720" s="634"/>
      <c r="P720" s="634" t="s">
        <v>635</v>
      </c>
      <c r="Q720" s="635"/>
      <c r="R720" s="634">
        <v>3</v>
      </c>
      <c r="S720" s="372"/>
      <c r="T720" s="634">
        <v>2</v>
      </c>
    </row>
    <row r="721" spans="1:20">
      <c r="A721" s="634">
        <v>24</v>
      </c>
      <c r="B721" s="639"/>
      <c r="C721" s="634">
        <v>34645</v>
      </c>
      <c r="D721" s="372" t="s">
        <v>632</v>
      </c>
      <c r="E721" s="372"/>
      <c r="F721" s="634" t="s">
        <v>628</v>
      </c>
      <c r="G721" s="635"/>
      <c r="H721" s="634" t="s">
        <v>635</v>
      </c>
      <c r="I721" s="635"/>
      <c r="J721" s="634" t="s">
        <v>635</v>
      </c>
      <c r="K721" s="372"/>
      <c r="L721" s="634" t="s">
        <v>635</v>
      </c>
      <c r="M721" s="372"/>
      <c r="N721" s="634" t="s">
        <v>635</v>
      </c>
      <c r="O721" s="634"/>
      <c r="P721" s="634" t="s">
        <v>635</v>
      </c>
      <c r="Q721" s="635"/>
      <c r="R721" s="634" t="s">
        <v>635</v>
      </c>
      <c r="S721" s="372"/>
      <c r="T721" s="634" t="s">
        <v>635</v>
      </c>
    </row>
    <row r="722" spans="1:20">
      <c r="A722" s="634">
        <v>25</v>
      </c>
      <c r="B722" s="639"/>
      <c r="C722" s="634"/>
      <c r="D722" s="636" t="s">
        <v>670</v>
      </c>
      <c r="E722" s="372"/>
      <c r="F722" s="642">
        <v>14382</v>
      </c>
      <c r="G722" s="372"/>
      <c r="H722" s="642">
        <v>6207</v>
      </c>
      <c r="I722" s="635"/>
      <c r="J722" s="643" t="s">
        <v>635</v>
      </c>
      <c r="K722" s="635"/>
      <c r="L722" s="643">
        <v>-40</v>
      </c>
      <c r="M722" s="635"/>
      <c r="N722" s="643" t="s">
        <v>628</v>
      </c>
      <c r="O722" s="635"/>
      <c r="P722" s="643" t="s">
        <v>635</v>
      </c>
      <c r="Q722" s="635"/>
      <c r="R722" s="642">
        <v>20549</v>
      </c>
      <c r="S722" s="635"/>
      <c r="T722" s="642">
        <v>17464</v>
      </c>
    </row>
    <row r="723" spans="1:20">
      <c r="A723" s="634">
        <v>26</v>
      </c>
      <c r="B723" s="639"/>
      <c r="C723" s="634"/>
      <c r="D723" s="634"/>
      <c r="E723" s="634"/>
      <c r="F723" s="634"/>
      <c r="G723" s="634"/>
      <c r="H723" s="634"/>
      <c r="I723" s="635"/>
      <c r="J723" s="634"/>
      <c r="K723" s="635"/>
      <c r="L723" s="634"/>
      <c r="M723" s="635"/>
      <c r="N723" s="634"/>
      <c r="O723" s="634"/>
      <c r="P723" s="634"/>
      <c r="Q723" s="635"/>
      <c r="R723" s="634"/>
      <c r="S723" s="635"/>
      <c r="T723" s="634"/>
    </row>
    <row r="724" spans="1:20">
      <c r="A724" s="634">
        <v>27</v>
      </c>
      <c r="B724" s="639"/>
      <c r="C724" s="634"/>
      <c r="D724" s="372" t="s">
        <v>671</v>
      </c>
      <c r="E724" s="372"/>
      <c r="F724" s="372"/>
      <c r="G724" s="372"/>
      <c r="H724" s="372"/>
      <c r="I724" s="372"/>
      <c r="J724" s="372"/>
      <c r="K724" s="372"/>
      <c r="L724" s="372"/>
      <c r="M724" s="372"/>
      <c r="N724" s="372"/>
      <c r="O724" s="372"/>
      <c r="P724" s="372"/>
      <c r="Q724" s="635"/>
      <c r="R724" s="372"/>
      <c r="S724" s="372"/>
      <c r="T724" s="372"/>
    </row>
    <row r="725" spans="1:20">
      <c r="A725" s="634">
        <v>28</v>
      </c>
      <c r="B725" s="639"/>
      <c r="C725" s="634">
        <v>34146</v>
      </c>
      <c r="D725" s="372" t="s">
        <v>627</v>
      </c>
      <c r="E725" s="372"/>
      <c r="F725" s="634" t="s">
        <v>628</v>
      </c>
      <c r="G725" s="635"/>
      <c r="H725" s="634" t="s">
        <v>635</v>
      </c>
      <c r="I725" s="635"/>
      <c r="J725" s="634" t="s">
        <v>635</v>
      </c>
      <c r="K725" s="372"/>
      <c r="L725" s="634" t="s">
        <v>635</v>
      </c>
      <c r="M725" s="372"/>
      <c r="N725" s="634" t="s">
        <v>635</v>
      </c>
      <c r="O725" s="634"/>
      <c r="P725" s="634" t="s">
        <v>635</v>
      </c>
      <c r="Q725" s="635"/>
      <c r="R725" s="634" t="s">
        <v>635</v>
      </c>
      <c r="S725" s="372"/>
      <c r="T725" s="634" t="s">
        <v>635</v>
      </c>
    </row>
    <row r="726" spans="1:20">
      <c r="A726" s="634">
        <v>29</v>
      </c>
      <c r="B726" s="639"/>
      <c r="C726" s="634">
        <v>34246</v>
      </c>
      <c r="D726" s="372" t="s">
        <v>666</v>
      </c>
      <c r="E726" s="372"/>
      <c r="F726" s="634">
        <v>-15</v>
      </c>
      <c r="G726" s="635"/>
      <c r="H726" s="634">
        <v>14</v>
      </c>
      <c r="I726" s="635"/>
      <c r="J726" s="634" t="s">
        <v>635</v>
      </c>
      <c r="K726" s="372"/>
      <c r="L726" s="634" t="s">
        <v>635</v>
      </c>
      <c r="M726" s="372"/>
      <c r="N726" s="634" t="s">
        <v>635</v>
      </c>
      <c r="O726" s="634"/>
      <c r="P726" s="634" t="s">
        <v>635</v>
      </c>
      <c r="Q726" s="635"/>
      <c r="R726" s="634">
        <v>-1</v>
      </c>
      <c r="S726" s="372"/>
      <c r="T726" s="634">
        <v>-8</v>
      </c>
    </row>
    <row r="727" spans="1:20">
      <c r="A727" s="634">
        <v>30</v>
      </c>
      <c r="B727" s="639"/>
      <c r="C727" s="634">
        <v>34346</v>
      </c>
      <c r="D727" s="372" t="s">
        <v>667</v>
      </c>
      <c r="E727" s="372"/>
      <c r="F727" s="640">
        <v>14306</v>
      </c>
      <c r="G727" s="635"/>
      <c r="H727" s="640">
        <v>6147</v>
      </c>
      <c r="I727" s="635"/>
      <c r="J727" s="634" t="s">
        <v>635</v>
      </c>
      <c r="K727" s="372"/>
      <c r="L727" s="634" t="s">
        <v>635</v>
      </c>
      <c r="M727" s="372"/>
      <c r="N727" s="634" t="s">
        <v>635</v>
      </c>
      <c r="O727" s="634"/>
      <c r="P727" s="634" t="s">
        <v>635</v>
      </c>
      <c r="Q727" s="635"/>
      <c r="R727" s="640">
        <v>20453</v>
      </c>
      <c r="S727" s="372"/>
      <c r="T727" s="640">
        <v>17380</v>
      </c>
    </row>
    <row r="728" spans="1:20">
      <c r="A728" s="634">
        <v>31</v>
      </c>
      <c r="B728" s="639"/>
      <c r="C728" s="634">
        <v>34546</v>
      </c>
      <c r="D728" s="372" t="s">
        <v>631</v>
      </c>
      <c r="E728" s="372"/>
      <c r="F728" s="634">
        <v>1</v>
      </c>
      <c r="G728" s="635"/>
      <c r="H728" s="634">
        <v>0</v>
      </c>
      <c r="I728" s="635"/>
      <c r="J728" s="634" t="s">
        <v>635</v>
      </c>
      <c r="K728" s="372"/>
      <c r="L728" s="634" t="s">
        <v>635</v>
      </c>
      <c r="M728" s="372"/>
      <c r="N728" s="634" t="s">
        <v>635</v>
      </c>
      <c r="O728" s="634"/>
      <c r="P728" s="634" t="s">
        <v>635</v>
      </c>
      <c r="Q728" s="635"/>
      <c r="R728" s="634">
        <v>1</v>
      </c>
      <c r="S728" s="372"/>
      <c r="T728" s="634">
        <v>1</v>
      </c>
    </row>
    <row r="729" spans="1:20">
      <c r="A729" s="634">
        <v>32</v>
      </c>
      <c r="B729" s="639"/>
      <c r="C729" s="634">
        <v>34646</v>
      </c>
      <c r="D729" s="372" t="s">
        <v>632</v>
      </c>
      <c r="E729" s="372"/>
      <c r="F729" s="634" t="s">
        <v>628</v>
      </c>
      <c r="G729" s="635"/>
      <c r="H729" s="634" t="s">
        <v>635</v>
      </c>
      <c r="I729" s="635"/>
      <c r="J729" s="634" t="s">
        <v>635</v>
      </c>
      <c r="K729" s="372"/>
      <c r="L729" s="634" t="s">
        <v>635</v>
      </c>
      <c r="M729" s="372"/>
      <c r="N729" s="634" t="s">
        <v>635</v>
      </c>
      <c r="O729" s="634"/>
      <c r="P729" s="634" t="s">
        <v>635</v>
      </c>
      <c r="Q729" s="635"/>
      <c r="R729" s="634" t="s">
        <v>635</v>
      </c>
      <c r="S729" s="372"/>
      <c r="T729" s="634" t="s">
        <v>635</v>
      </c>
    </row>
    <row r="730" spans="1:20">
      <c r="A730" s="634">
        <v>33</v>
      </c>
      <c r="B730" s="639"/>
      <c r="C730" s="372"/>
      <c r="D730" s="636" t="s">
        <v>672</v>
      </c>
      <c r="E730" s="372"/>
      <c r="F730" s="642">
        <v>14292</v>
      </c>
      <c r="G730" s="372"/>
      <c r="H730" s="642">
        <v>6162</v>
      </c>
      <c r="I730" s="635"/>
      <c r="J730" s="643" t="s">
        <v>635</v>
      </c>
      <c r="K730" s="635"/>
      <c r="L730" s="643" t="s">
        <v>635</v>
      </c>
      <c r="M730" s="635"/>
      <c r="N730" s="643" t="s">
        <v>635</v>
      </c>
      <c r="O730" s="635"/>
      <c r="P730" s="643" t="s">
        <v>635</v>
      </c>
      <c r="Q730" s="635"/>
      <c r="R730" s="642">
        <v>20453</v>
      </c>
      <c r="S730" s="635"/>
      <c r="T730" s="642">
        <v>17372</v>
      </c>
    </row>
    <row r="731" spans="1:20">
      <c r="A731" s="634">
        <v>34</v>
      </c>
      <c r="B731" s="639"/>
      <c r="C731" s="372"/>
      <c r="D731" s="372"/>
      <c r="E731" s="372"/>
      <c r="F731" s="372"/>
      <c r="G731" s="372"/>
      <c r="H731" s="372"/>
      <c r="I731" s="372"/>
      <c r="J731" s="372"/>
      <c r="K731" s="372"/>
      <c r="L731" s="372"/>
      <c r="M731" s="372"/>
      <c r="N731" s="372"/>
      <c r="O731" s="372"/>
      <c r="P731" s="372"/>
      <c r="Q731" s="635"/>
      <c r="R731" s="372"/>
      <c r="S731" s="372"/>
      <c r="T731" s="372"/>
    </row>
    <row r="732" spans="1:20">
      <c r="A732" s="634">
        <v>35</v>
      </c>
      <c r="B732" s="639"/>
      <c r="C732" s="634"/>
      <c r="D732" s="372" t="s">
        <v>673</v>
      </c>
      <c r="E732" s="372"/>
      <c r="F732" s="372"/>
      <c r="G732" s="372"/>
      <c r="H732" s="372"/>
      <c r="I732" s="372"/>
      <c r="J732" s="372"/>
      <c r="K732" s="372"/>
      <c r="L732" s="372"/>
      <c r="M732" s="372"/>
      <c r="N732" s="372"/>
      <c r="O732" s="372"/>
      <c r="P732" s="372"/>
      <c r="Q732" s="635"/>
      <c r="R732" s="372"/>
      <c r="S732" s="635"/>
      <c r="T732" s="372"/>
    </row>
    <row r="733" spans="1:20">
      <c r="A733" s="634">
        <v>36</v>
      </c>
      <c r="B733" s="639"/>
      <c r="C733" s="634">
        <v>34143</v>
      </c>
      <c r="D733" s="372" t="s">
        <v>627</v>
      </c>
      <c r="E733" s="372"/>
      <c r="F733" s="640">
        <v>1538</v>
      </c>
      <c r="G733" s="635"/>
      <c r="H733" s="634">
        <v>79</v>
      </c>
      <c r="I733" s="635"/>
      <c r="J733" s="634" t="s">
        <v>635</v>
      </c>
      <c r="K733" s="372"/>
      <c r="L733" s="634" t="s">
        <v>635</v>
      </c>
      <c r="M733" s="372"/>
      <c r="N733" s="634" t="s">
        <v>635</v>
      </c>
      <c r="O733" s="634"/>
      <c r="P733" s="634" t="s">
        <v>635</v>
      </c>
      <c r="Q733" s="635"/>
      <c r="R733" s="640">
        <v>1616</v>
      </c>
      <c r="S733" s="372"/>
      <c r="T733" s="640">
        <v>1577</v>
      </c>
    </row>
    <row r="734" spans="1:20">
      <c r="A734" s="634">
        <v>37</v>
      </c>
      <c r="B734" s="639"/>
      <c r="C734" s="634">
        <v>34243</v>
      </c>
      <c r="D734" s="372" t="s">
        <v>666</v>
      </c>
      <c r="E734" s="372"/>
      <c r="F734" s="640">
        <v>1581</v>
      </c>
      <c r="G734" s="635"/>
      <c r="H734" s="634">
        <v>80</v>
      </c>
      <c r="I734" s="635"/>
      <c r="J734" s="634" t="s">
        <v>635</v>
      </c>
      <c r="K734" s="372"/>
      <c r="L734" s="634">
        <v>-270</v>
      </c>
      <c r="M734" s="372"/>
      <c r="N734" s="634" t="s">
        <v>628</v>
      </c>
      <c r="O734" s="634"/>
      <c r="P734" s="634" t="s">
        <v>635</v>
      </c>
      <c r="Q734" s="635"/>
      <c r="R734" s="640">
        <v>1391</v>
      </c>
      <c r="S734" s="372"/>
      <c r="T734" s="640">
        <v>1486</v>
      </c>
    </row>
    <row r="735" spans="1:20">
      <c r="A735" s="634">
        <v>38</v>
      </c>
      <c r="B735" s="639"/>
      <c r="C735" s="634">
        <v>34343</v>
      </c>
      <c r="D735" s="372" t="s">
        <v>667</v>
      </c>
      <c r="E735" s="372"/>
      <c r="F735" s="640">
        <v>19814</v>
      </c>
      <c r="G735" s="635"/>
      <c r="H735" s="640">
        <v>16717</v>
      </c>
      <c r="I735" s="635"/>
      <c r="J735" s="634" t="s">
        <v>635</v>
      </c>
      <c r="K735" s="372"/>
      <c r="L735" s="634">
        <v>-270</v>
      </c>
      <c r="M735" s="372"/>
      <c r="N735" s="634" t="s">
        <v>628</v>
      </c>
      <c r="O735" s="634"/>
      <c r="P735" s="634" t="s">
        <v>635</v>
      </c>
      <c r="Q735" s="635"/>
      <c r="R735" s="640">
        <v>36260</v>
      </c>
      <c r="S735" s="372"/>
      <c r="T735" s="640">
        <v>28037</v>
      </c>
    </row>
    <row r="736" spans="1:20">
      <c r="A736" s="634">
        <v>39</v>
      </c>
      <c r="B736" s="639"/>
      <c r="C736" s="634">
        <v>34543</v>
      </c>
      <c r="D736" s="372" t="s">
        <v>631</v>
      </c>
      <c r="E736" s="372"/>
      <c r="F736" s="634">
        <v>96</v>
      </c>
      <c r="G736" s="635"/>
      <c r="H736" s="634">
        <v>20</v>
      </c>
      <c r="I736" s="635"/>
      <c r="J736" s="634" t="s">
        <v>635</v>
      </c>
      <c r="K736" s="372"/>
      <c r="L736" s="634" t="s">
        <v>635</v>
      </c>
      <c r="M736" s="372"/>
      <c r="N736" s="634" t="s">
        <v>635</v>
      </c>
      <c r="O736" s="634"/>
      <c r="P736" s="634" t="s">
        <v>635</v>
      </c>
      <c r="Q736" s="635"/>
      <c r="R736" s="634">
        <v>116</v>
      </c>
      <c r="S736" s="372"/>
      <c r="T736" s="634">
        <v>106</v>
      </c>
    </row>
    <row r="737" spans="1:20">
      <c r="A737" s="634">
        <v>40</v>
      </c>
      <c r="B737" s="639"/>
      <c r="C737" s="634">
        <v>34643</v>
      </c>
      <c r="D737" s="372" t="s">
        <v>632</v>
      </c>
      <c r="E737" s="372"/>
      <c r="F737" s="634">
        <v>245</v>
      </c>
      <c r="G737" s="635"/>
      <c r="H737" s="634">
        <v>8</v>
      </c>
      <c r="I737" s="635"/>
      <c r="J737" s="634" t="s">
        <v>635</v>
      </c>
      <c r="K737" s="372"/>
      <c r="L737" s="634" t="s">
        <v>635</v>
      </c>
      <c r="M737" s="372"/>
      <c r="N737" s="634" t="s">
        <v>635</v>
      </c>
      <c r="O737" s="634"/>
      <c r="P737" s="634" t="s">
        <v>635</v>
      </c>
      <c r="Q737" s="635"/>
      <c r="R737" s="634">
        <v>253</v>
      </c>
      <c r="S737" s="372"/>
      <c r="T737" s="634">
        <v>249</v>
      </c>
    </row>
    <row r="738" spans="1:20">
      <c r="A738" s="634">
        <v>41</v>
      </c>
      <c r="B738" s="639"/>
      <c r="C738" s="372"/>
      <c r="D738" s="636" t="s">
        <v>674</v>
      </c>
      <c r="E738" s="372"/>
      <c r="F738" s="642">
        <v>23274</v>
      </c>
      <c r="G738" s="372"/>
      <c r="H738" s="642">
        <v>16904</v>
      </c>
      <c r="I738" s="635"/>
      <c r="J738" s="643" t="s">
        <v>635</v>
      </c>
      <c r="K738" s="635"/>
      <c r="L738" s="643">
        <v>-540</v>
      </c>
      <c r="M738" s="635"/>
      <c r="N738" s="643" t="s">
        <v>628</v>
      </c>
      <c r="O738" s="635"/>
      <c r="P738" s="643" t="s">
        <v>635</v>
      </c>
      <c r="Q738" s="635"/>
      <c r="R738" s="642">
        <v>39637</v>
      </c>
      <c r="S738" s="635"/>
      <c r="T738" s="642">
        <v>31455</v>
      </c>
    </row>
    <row r="739" spans="1:20">
      <c r="A739" s="634">
        <v>42</v>
      </c>
      <c r="B739" s="639"/>
      <c r="C739" s="372"/>
      <c r="D739" s="372"/>
      <c r="E739" s="372"/>
      <c r="F739" s="372"/>
      <c r="G739" s="372"/>
      <c r="H739" s="372"/>
      <c r="I739" s="372"/>
      <c r="J739" s="372"/>
      <c r="K739" s="372"/>
      <c r="L739" s="372"/>
      <c r="M739" s="372"/>
      <c r="N739" s="372"/>
      <c r="O739" s="372"/>
      <c r="P739" s="372"/>
      <c r="Q739" s="635"/>
      <c r="R739" s="383"/>
      <c r="S739" s="372"/>
      <c r="T739" s="372"/>
    </row>
    <row r="740" spans="1:20" ht="15" thickBot="1">
      <c r="A740" s="634">
        <v>43</v>
      </c>
      <c r="B740" s="639"/>
      <c r="C740" s="372"/>
      <c r="D740" s="636" t="s">
        <v>662</v>
      </c>
      <c r="E740" s="372"/>
      <c r="F740" s="646">
        <v>72629</v>
      </c>
      <c r="G740" s="635"/>
      <c r="H740" s="646">
        <v>30552</v>
      </c>
      <c r="I740" s="635"/>
      <c r="J740" s="647" t="s">
        <v>635</v>
      </c>
      <c r="K740" s="635"/>
      <c r="L740" s="647">
        <v>-580</v>
      </c>
      <c r="M740" s="635"/>
      <c r="N740" s="647" t="s">
        <v>628</v>
      </c>
      <c r="O740" s="372"/>
      <c r="P740" s="647" t="s">
        <v>635</v>
      </c>
      <c r="Q740" s="635"/>
      <c r="R740" s="646">
        <v>102602</v>
      </c>
      <c r="S740" s="635"/>
      <c r="T740" s="646">
        <v>87614</v>
      </c>
    </row>
    <row r="741" spans="1:20" ht="15.6" thickTop="1" thickBot="1">
      <c r="A741" s="637">
        <v>44</v>
      </c>
      <c r="B741" s="660" t="s">
        <v>67</v>
      </c>
      <c r="C741" s="660"/>
      <c r="D741" s="625"/>
      <c r="E741" s="625"/>
      <c r="F741" s="625"/>
      <c r="G741" s="625"/>
      <c r="H741" s="625"/>
      <c r="I741" s="625"/>
      <c r="J741" s="625"/>
      <c r="K741" s="625"/>
      <c r="L741" s="625"/>
      <c r="M741" s="625"/>
      <c r="N741" s="625"/>
      <c r="O741" s="625"/>
      <c r="P741" s="625"/>
      <c r="Q741" s="638"/>
      <c r="R741" s="625"/>
      <c r="S741" s="625"/>
      <c r="T741" s="625"/>
    </row>
    <row r="742" spans="1:20">
      <c r="A742" s="664" t="s">
        <v>818</v>
      </c>
      <c r="B742" s="664"/>
      <c r="C742" s="372"/>
      <c r="D742" s="372"/>
      <c r="E742" s="664"/>
      <c r="F742" s="664"/>
      <c r="G742" s="664"/>
      <c r="H742" s="664"/>
      <c r="I742" s="664"/>
      <c r="J742" s="664"/>
      <c r="K742" s="664"/>
      <c r="L742" s="664"/>
      <c r="M742" s="664"/>
      <c r="N742" s="664"/>
      <c r="O742" s="664"/>
      <c r="P742" s="664"/>
      <c r="Q742" s="635"/>
      <c r="R742" s="372" t="s">
        <v>644</v>
      </c>
      <c r="S742" s="664"/>
      <c r="T742" s="664"/>
    </row>
    <row r="743" spans="1:20" ht="15" thickBot="1">
      <c r="A743" s="625" t="s">
        <v>808</v>
      </c>
      <c r="B743" s="625"/>
      <c r="C743" s="625"/>
      <c r="D743" s="625"/>
      <c r="E743" s="625"/>
      <c r="F743" s="625" t="s">
        <v>809</v>
      </c>
      <c r="G743" s="625"/>
      <c r="H743" s="625"/>
      <c r="I743" s="625"/>
      <c r="J743" s="625"/>
      <c r="K743" s="625"/>
      <c r="L743" s="625"/>
      <c r="M743" s="625"/>
      <c r="N743" s="625"/>
      <c r="O743" s="625"/>
      <c r="P743" s="625"/>
      <c r="Q743" s="638"/>
      <c r="R743" s="625"/>
      <c r="S743" s="625"/>
      <c r="T743" s="625" t="s">
        <v>675</v>
      </c>
    </row>
    <row r="744" spans="1:20">
      <c r="A744" s="664" t="s">
        <v>4</v>
      </c>
      <c r="B744" s="664"/>
      <c r="C744" s="372"/>
      <c r="D744" s="372"/>
      <c r="E744" s="635" t="s">
        <v>553</v>
      </c>
      <c r="F744" s="372" t="s">
        <v>810</v>
      </c>
      <c r="G744" s="664"/>
      <c r="H744" s="664"/>
      <c r="I744" s="664"/>
      <c r="J744" s="664"/>
      <c r="K744" s="661"/>
      <c r="L744" s="661"/>
      <c r="M744" s="661"/>
      <c r="N744" s="661"/>
      <c r="O744" s="661"/>
      <c r="P744" s="661"/>
      <c r="Q744" s="645"/>
      <c r="R744" s="372" t="s">
        <v>608</v>
      </c>
      <c r="S744" s="664"/>
      <c r="T744" s="664"/>
    </row>
    <row r="745" spans="1:20">
      <c r="A745" s="372"/>
      <c r="B745" s="372"/>
      <c r="C745" s="372"/>
      <c r="D745" s="372"/>
      <c r="E745" s="372"/>
      <c r="F745" s="372" t="s">
        <v>811</v>
      </c>
      <c r="G745" s="372"/>
      <c r="H745" s="372"/>
      <c r="I745" s="372"/>
      <c r="J745" s="372"/>
      <c r="K745" s="636"/>
      <c r="L745" s="636"/>
      <c r="M745" s="372"/>
      <c r="N745" s="372"/>
      <c r="O745" s="635"/>
      <c r="P745" s="635"/>
      <c r="Q745" s="635" t="s">
        <v>12</v>
      </c>
      <c r="R745" s="636" t="s">
        <v>9</v>
      </c>
      <c r="S745" s="372"/>
      <c r="T745" s="372"/>
    </row>
    <row r="746" spans="1:20">
      <c r="A746" s="372" t="s">
        <v>10</v>
      </c>
      <c r="B746" s="372"/>
      <c r="C746" s="372"/>
      <c r="D746" s="372"/>
      <c r="E746" s="372"/>
      <c r="F746" s="372"/>
      <c r="G746" s="372"/>
      <c r="H746" s="372"/>
      <c r="I746" s="372"/>
      <c r="J746" s="372"/>
      <c r="K746" s="636"/>
      <c r="L746" s="636"/>
      <c r="M746" s="372"/>
      <c r="N746" s="372"/>
      <c r="O746" s="372"/>
      <c r="P746" s="372"/>
      <c r="Q746" s="635"/>
      <c r="R746" s="636" t="s">
        <v>11</v>
      </c>
      <c r="S746" s="372"/>
      <c r="T746" s="372"/>
    </row>
    <row r="747" spans="1:20">
      <c r="A747" s="372"/>
      <c r="B747" s="372"/>
      <c r="C747" s="372"/>
      <c r="D747" s="372"/>
      <c r="E747" s="372"/>
      <c r="F747" s="372"/>
      <c r="G747" s="372"/>
      <c r="H747" s="372"/>
      <c r="I747" s="372"/>
      <c r="J747" s="372"/>
      <c r="K747" s="636"/>
      <c r="L747" s="636"/>
      <c r="M747" s="372"/>
      <c r="N747" s="372"/>
      <c r="O747" s="372"/>
      <c r="P747" s="372"/>
      <c r="Q747" s="635"/>
      <c r="R747" s="636" t="s">
        <v>13</v>
      </c>
      <c r="S747" s="372"/>
      <c r="T747" s="372"/>
    </row>
    <row r="748" spans="1:20">
      <c r="A748" s="372"/>
      <c r="B748" s="372"/>
      <c r="C748" s="372"/>
      <c r="D748" s="372"/>
      <c r="E748" s="372"/>
      <c r="F748" s="372"/>
      <c r="G748" s="372"/>
      <c r="H748" s="372"/>
      <c r="I748" s="372"/>
      <c r="J748" s="372"/>
      <c r="K748" s="636"/>
      <c r="L748" s="636"/>
      <c r="M748" s="372"/>
      <c r="N748" s="372"/>
      <c r="O748" s="372"/>
      <c r="P748" s="372"/>
      <c r="Q748" s="635"/>
      <c r="R748" s="636" t="s">
        <v>610</v>
      </c>
      <c r="S748" s="372"/>
      <c r="T748" s="372"/>
    </row>
    <row r="749" spans="1:20" ht="15" thickBot="1">
      <c r="A749" s="625" t="s">
        <v>611</v>
      </c>
      <c r="B749" s="625"/>
      <c r="C749" s="625"/>
      <c r="D749" s="625"/>
      <c r="E749" s="625"/>
      <c r="F749" s="625"/>
      <c r="G749" s="625"/>
      <c r="H749" s="637" t="s">
        <v>812</v>
      </c>
      <c r="I749" s="625"/>
      <c r="J749" s="625"/>
      <c r="K749" s="625"/>
      <c r="L749" s="625"/>
      <c r="M749" s="625"/>
      <c r="N749" s="625"/>
      <c r="O749" s="625"/>
      <c r="P749" s="625"/>
      <c r="Q749" s="638"/>
      <c r="R749" s="625" t="s">
        <v>249</v>
      </c>
      <c r="S749" s="625"/>
      <c r="T749" s="625"/>
    </row>
    <row r="750" spans="1:20">
      <c r="A750" s="664"/>
      <c r="B750" s="664"/>
      <c r="C750" s="634"/>
      <c r="D750" s="634"/>
      <c r="E750" s="634"/>
      <c r="F750" s="634"/>
      <c r="G750" s="634"/>
      <c r="H750" s="634"/>
      <c r="I750" s="634"/>
      <c r="J750" s="634"/>
      <c r="K750" s="634"/>
      <c r="L750" s="634"/>
      <c r="M750" s="634"/>
      <c r="N750" s="634"/>
      <c r="O750" s="634"/>
      <c r="P750" s="634"/>
      <c r="Q750" s="635"/>
      <c r="R750" s="634"/>
      <c r="S750" s="634"/>
      <c r="T750" s="634"/>
    </row>
    <row r="751" spans="1:20">
      <c r="A751" s="372"/>
      <c r="B751" s="372"/>
      <c r="C751" s="634">
        <v>-1</v>
      </c>
      <c r="D751" s="634">
        <v>-2</v>
      </c>
      <c r="E751" s="634"/>
      <c r="F751" s="634">
        <v>-3</v>
      </c>
      <c r="G751" s="634"/>
      <c r="H751" s="634">
        <v>-4</v>
      </c>
      <c r="I751" s="634"/>
      <c r="J751" s="634">
        <v>-5</v>
      </c>
      <c r="K751" s="634"/>
      <c r="L751" s="634">
        <v>-6</v>
      </c>
      <c r="M751" s="634"/>
      <c r="N751" s="634">
        <v>-7</v>
      </c>
      <c r="O751" s="634"/>
      <c r="P751" s="634">
        <v>-8</v>
      </c>
      <c r="Q751" s="635"/>
      <c r="R751" s="634">
        <v>-9</v>
      </c>
      <c r="S751" s="634"/>
      <c r="T751" s="634">
        <v>-10</v>
      </c>
    </row>
    <row r="752" spans="1:20">
      <c r="A752" s="372"/>
      <c r="B752" s="372"/>
      <c r="C752" s="634" t="s">
        <v>613</v>
      </c>
      <c r="D752" s="634" t="s">
        <v>613</v>
      </c>
      <c r="E752" s="372"/>
      <c r="F752" s="634" t="s">
        <v>27</v>
      </c>
      <c r="G752" s="634"/>
      <c r="H752" s="634" t="s">
        <v>45</v>
      </c>
      <c r="I752" s="634"/>
      <c r="J752" s="634"/>
      <c r="K752" s="634"/>
      <c r="L752" s="634"/>
      <c r="M752" s="634"/>
      <c r="N752" s="372"/>
      <c r="O752" s="372"/>
      <c r="P752" s="372"/>
      <c r="Q752" s="635"/>
      <c r="R752" s="634" t="s">
        <v>27</v>
      </c>
      <c r="S752" s="372"/>
      <c r="T752" s="372"/>
    </row>
    <row r="753" spans="1:20">
      <c r="A753" s="634" t="s">
        <v>35</v>
      </c>
      <c r="B753" s="634"/>
      <c r="C753" s="634" t="s">
        <v>614</v>
      </c>
      <c r="D753" s="634" t="s">
        <v>614</v>
      </c>
      <c r="E753" s="634"/>
      <c r="F753" s="634" t="s">
        <v>37</v>
      </c>
      <c r="G753" s="634"/>
      <c r="H753" s="634" t="s">
        <v>37</v>
      </c>
      <c r="I753" s="634"/>
      <c r="J753" s="634"/>
      <c r="K753" s="634"/>
      <c r="L753" s="634" t="s">
        <v>813</v>
      </c>
      <c r="M753" s="636"/>
      <c r="N753" s="634" t="s">
        <v>813</v>
      </c>
      <c r="O753" s="634"/>
      <c r="P753" s="634" t="s">
        <v>178</v>
      </c>
      <c r="Q753" s="635"/>
      <c r="R753" s="634" t="s">
        <v>37</v>
      </c>
      <c r="S753" s="634"/>
      <c r="T753" s="634" t="s">
        <v>353</v>
      </c>
    </row>
    <row r="754" spans="1:20" ht="15" thickBot="1">
      <c r="A754" s="637" t="s">
        <v>46</v>
      </c>
      <c r="B754" s="637"/>
      <c r="C754" s="637" t="s">
        <v>371</v>
      </c>
      <c r="D754" s="637" t="s">
        <v>617</v>
      </c>
      <c r="E754" s="637"/>
      <c r="F754" s="637" t="s">
        <v>619</v>
      </c>
      <c r="G754" s="637"/>
      <c r="H754" s="637" t="s">
        <v>814</v>
      </c>
      <c r="I754" s="637"/>
      <c r="J754" s="637" t="s">
        <v>815</v>
      </c>
      <c r="K754" s="637"/>
      <c r="L754" s="637" t="s">
        <v>816</v>
      </c>
      <c r="M754" s="637"/>
      <c r="N754" s="637" t="s">
        <v>817</v>
      </c>
      <c r="O754" s="637"/>
      <c r="P754" s="637" t="s">
        <v>622</v>
      </c>
      <c r="Q754" s="638"/>
      <c r="R754" s="637" t="s">
        <v>623</v>
      </c>
      <c r="S754" s="637"/>
      <c r="T754" s="637" t="s">
        <v>369</v>
      </c>
    </row>
    <row r="755" spans="1:20">
      <c r="A755" s="634">
        <v>1</v>
      </c>
      <c r="B755" s="634"/>
      <c r="C755" s="372"/>
      <c r="D755" s="372"/>
      <c r="E755" s="664"/>
      <c r="F755" s="664"/>
      <c r="G755" s="664"/>
      <c r="H755" s="664"/>
      <c r="I755" s="664"/>
      <c r="J755" s="664"/>
      <c r="K755" s="664"/>
      <c r="L755" s="664"/>
      <c r="M755" s="664"/>
      <c r="N755" s="664"/>
      <c r="O755" s="664"/>
      <c r="P755" s="664"/>
      <c r="Q755" s="635"/>
      <c r="R755" s="372"/>
      <c r="S755" s="664"/>
      <c r="T755" s="664"/>
    </row>
    <row r="756" spans="1:20">
      <c r="A756" s="634">
        <v>2</v>
      </c>
      <c r="B756" s="634"/>
      <c r="C756" s="372"/>
      <c r="D756" s="372" t="s">
        <v>676</v>
      </c>
      <c r="E756" s="372"/>
      <c r="F756" s="372"/>
      <c r="G756" s="372"/>
      <c r="H756" s="372"/>
      <c r="I756" s="635"/>
      <c r="J756" s="372"/>
      <c r="K756" s="635"/>
      <c r="L756" s="372"/>
      <c r="M756" s="635"/>
      <c r="N756" s="372"/>
      <c r="O756" s="372"/>
      <c r="P756" s="372"/>
      <c r="Q756" s="635"/>
      <c r="R756" s="372"/>
      <c r="S756" s="635"/>
      <c r="T756" s="372"/>
    </row>
    <row r="757" spans="1:20">
      <c r="A757" s="634">
        <v>3</v>
      </c>
      <c r="B757" s="634"/>
      <c r="C757" s="634"/>
      <c r="D757" s="636" t="s">
        <v>677</v>
      </c>
      <c r="E757" s="372"/>
      <c r="F757" s="372"/>
      <c r="G757" s="635"/>
      <c r="H757" s="635"/>
      <c r="I757" s="635"/>
      <c r="J757" s="635"/>
      <c r="K757" s="635"/>
      <c r="L757" s="635"/>
      <c r="M757" s="635"/>
      <c r="N757" s="635"/>
      <c r="O757" s="635"/>
      <c r="P757" s="635"/>
      <c r="Q757" s="635"/>
      <c r="R757" s="635"/>
      <c r="S757" s="635"/>
      <c r="T757" s="635"/>
    </row>
    <row r="758" spans="1:20">
      <c r="A758" s="634">
        <v>4</v>
      </c>
      <c r="B758" s="634"/>
      <c r="C758" s="634">
        <v>34180</v>
      </c>
      <c r="D758" s="372" t="s">
        <v>627</v>
      </c>
      <c r="E758" s="372"/>
      <c r="F758" s="640">
        <v>67242</v>
      </c>
      <c r="G758" s="635"/>
      <c r="H758" s="640">
        <v>5752</v>
      </c>
      <c r="I758" s="635"/>
      <c r="J758" s="634" t="s">
        <v>635</v>
      </c>
      <c r="K758" s="372"/>
      <c r="L758" s="634" t="s">
        <v>635</v>
      </c>
      <c r="M758" s="372"/>
      <c r="N758" s="634" t="s">
        <v>635</v>
      </c>
      <c r="O758" s="634"/>
      <c r="P758" s="634" t="s">
        <v>635</v>
      </c>
      <c r="Q758" s="635"/>
      <c r="R758" s="640">
        <v>72994</v>
      </c>
      <c r="S758" s="372"/>
      <c r="T758" s="640">
        <v>70118</v>
      </c>
    </row>
    <row r="759" spans="1:20">
      <c r="A759" s="634">
        <v>5</v>
      </c>
      <c r="B759" s="634"/>
      <c r="C759" s="634">
        <v>34280</v>
      </c>
      <c r="D759" s="372" t="s">
        <v>666</v>
      </c>
      <c r="E759" s="372"/>
      <c r="F759" s="640">
        <v>3981</v>
      </c>
      <c r="G759" s="635"/>
      <c r="H759" s="634">
        <v>414</v>
      </c>
      <c r="I759" s="635"/>
      <c r="J759" s="634">
        <v>-619</v>
      </c>
      <c r="K759" s="372"/>
      <c r="L759" s="634">
        <v>-238</v>
      </c>
      <c r="M759" s="372"/>
      <c r="N759" s="634" t="s">
        <v>628</v>
      </c>
      <c r="O759" s="634"/>
      <c r="P759" s="634" t="s">
        <v>635</v>
      </c>
      <c r="Q759" s="635"/>
      <c r="R759" s="640">
        <v>3537</v>
      </c>
      <c r="S759" s="372"/>
      <c r="T759" s="640">
        <v>3898</v>
      </c>
    </row>
    <row r="760" spans="1:20">
      <c r="A760" s="634">
        <v>6</v>
      </c>
      <c r="B760" s="634"/>
      <c r="C760" s="634">
        <v>34380</v>
      </c>
      <c r="D760" s="372" t="s">
        <v>667</v>
      </c>
      <c r="E760" s="372"/>
      <c r="F760" s="640">
        <v>2663</v>
      </c>
      <c r="G760" s="635"/>
      <c r="H760" s="634">
        <v>526</v>
      </c>
      <c r="I760" s="635"/>
      <c r="J760" s="634">
        <v>-619</v>
      </c>
      <c r="K760" s="372"/>
      <c r="L760" s="634">
        <v>-238</v>
      </c>
      <c r="M760" s="372"/>
      <c r="N760" s="634" t="s">
        <v>628</v>
      </c>
      <c r="O760" s="634"/>
      <c r="P760" s="634" t="s">
        <v>635</v>
      </c>
      <c r="Q760" s="635"/>
      <c r="R760" s="640">
        <v>2332</v>
      </c>
      <c r="S760" s="372"/>
      <c r="T760" s="640">
        <v>2636</v>
      </c>
    </row>
    <row r="761" spans="1:20">
      <c r="A761" s="634">
        <v>7</v>
      </c>
      <c r="B761" s="634"/>
      <c r="C761" s="634">
        <v>34580</v>
      </c>
      <c r="D761" s="372" t="s">
        <v>631</v>
      </c>
      <c r="E761" s="372"/>
      <c r="F761" s="640">
        <v>4502</v>
      </c>
      <c r="G761" s="635"/>
      <c r="H761" s="634">
        <v>412</v>
      </c>
      <c r="I761" s="635"/>
      <c r="J761" s="634" t="s">
        <v>635</v>
      </c>
      <c r="K761" s="372"/>
      <c r="L761" s="634" t="s">
        <v>635</v>
      </c>
      <c r="M761" s="372"/>
      <c r="N761" s="634" t="s">
        <v>635</v>
      </c>
      <c r="O761" s="634"/>
      <c r="P761" s="634" t="s">
        <v>635</v>
      </c>
      <c r="Q761" s="635"/>
      <c r="R761" s="640">
        <v>4914</v>
      </c>
      <c r="S761" s="372"/>
      <c r="T761" s="640">
        <v>4708</v>
      </c>
    </row>
    <row r="762" spans="1:20">
      <c r="A762" s="634">
        <v>8</v>
      </c>
      <c r="B762" s="634"/>
      <c r="C762" s="634">
        <v>34680</v>
      </c>
      <c r="D762" s="372" t="s">
        <v>632</v>
      </c>
      <c r="E762" s="372"/>
      <c r="F762" s="634">
        <v>68</v>
      </c>
      <c r="G762" s="635"/>
      <c r="H762" s="634">
        <v>59</v>
      </c>
      <c r="I762" s="635"/>
      <c r="J762" s="634" t="s">
        <v>635</v>
      </c>
      <c r="K762" s="372"/>
      <c r="L762" s="634" t="s">
        <v>635</v>
      </c>
      <c r="M762" s="372"/>
      <c r="N762" s="634" t="s">
        <v>635</v>
      </c>
      <c r="O762" s="634"/>
      <c r="P762" s="634" t="s">
        <v>635</v>
      </c>
      <c r="Q762" s="635"/>
      <c r="R762" s="634">
        <v>127</v>
      </c>
      <c r="S762" s="372"/>
      <c r="T762" s="634">
        <v>98</v>
      </c>
    </row>
    <row r="763" spans="1:20">
      <c r="A763" s="634">
        <v>9</v>
      </c>
      <c r="B763" s="639"/>
      <c r="C763" s="634"/>
      <c r="D763" s="372" t="s">
        <v>678</v>
      </c>
      <c r="E763" s="372"/>
      <c r="F763" s="642">
        <v>78457</v>
      </c>
      <c r="G763" s="372"/>
      <c r="H763" s="642">
        <v>7163</v>
      </c>
      <c r="I763" s="635"/>
      <c r="J763" s="642">
        <v>-1238</v>
      </c>
      <c r="K763" s="635"/>
      <c r="L763" s="643">
        <v>-477</v>
      </c>
      <c r="M763" s="635"/>
      <c r="N763" s="643" t="s">
        <v>628</v>
      </c>
      <c r="O763" s="635"/>
      <c r="P763" s="643" t="s">
        <v>635</v>
      </c>
      <c r="Q763" s="635"/>
      <c r="R763" s="642">
        <v>83905</v>
      </c>
      <c r="S763" s="635"/>
      <c r="T763" s="642">
        <v>81458</v>
      </c>
    </row>
    <row r="764" spans="1:20">
      <c r="A764" s="634">
        <v>10</v>
      </c>
      <c r="B764" s="639"/>
      <c r="C764" s="372"/>
      <c r="D764" s="372"/>
      <c r="E764" s="372"/>
      <c r="F764" s="372"/>
      <c r="G764" s="372"/>
      <c r="H764" s="372"/>
      <c r="I764" s="372"/>
      <c r="J764" s="372"/>
      <c r="K764" s="372"/>
      <c r="L764" s="372"/>
      <c r="M764" s="372"/>
      <c r="N764" s="372"/>
      <c r="O764" s="372"/>
      <c r="P764" s="372"/>
      <c r="Q764" s="635"/>
      <c r="R764" s="372"/>
      <c r="S764" s="372"/>
      <c r="T764" s="372"/>
    </row>
    <row r="765" spans="1:20">
      <c r="A765" s="634">
        <v>11</v>
      </c>
      <c r="B765" s="639"/>
      <c r="C765" s="372"/>
      <c r="D765" s="372" t="s">
        <v>679</v>
      </c>
      <c r="E765" s="372"/>
      <c r="F765" s="372"/>
      <c r="G765" s="635"/>
      <c r="H765" s="635"/>
      <c r="I765" s="635"/>
      <c r="J765" s="635"/>
      <c r="K765" s="635"/>
      <c r="L765" s="635"/>
      <c r="M765" s="635"/>
      <c r="N765" s="635"/>
      <c r="O765" s="635"/>
      <c r="P765" s="635"/>
      <c r="Q765" s="635"/>
      <c r="R765" s="635"/>
      <c r="S765" s="635"/>
      <c r="T765" s="635"/>
    </row>
    <row r="766" spans="1:20">
      <c r="A766" s="634">
        <v>12</v>
      </c>
      <c r="B766" s="639"/>
      <c r="C766" s="634">
        <v>34181</v>
      </c>
      <c r="D766" s="372" t="s">
        <v>627</v>
      </c>
      <c r="E766" s="372"/>
      <c r="F766" s="640">
        <v>28572</v>
      </c>
      <c r="G766" s="635"/>
      <c r="H766" s="640">
        <v>2602</v>
      </c>
      <c r="I766" s="635"/>
      <c r="J766" s="634" t="s">
        <v>635</v>
      </c>
      <c r="K766" s="372"/>
      <c r="L766" s="634" t="s">
        <v>635</v>
      </c>
      <c r="M766" s="372"/>
      <c r="N766" s="634" t="s">
        <v>635</v>
      </c>
      <c r="O766" s="634"/>
      <c r="P766" s="634" t="s">
        <v>635</v>
      </c>
      <c r="Q766" s="635"/>
      <c r="R766" s="640">
        <v>31174</v>
      </c>
      <c r="S766" s="372"/>
      <c r="T766" s="640">
        <v>29873</v>
      </c>
    </row>
    <row r="767" spans="1:20">
      <c r="A767" s="634">
        <v>13</v>
      </c>
      <c r="B767" s="639"/>
      <c r="C767" s="634">
        <v>34281</v>
      </c>
      <c r="D767" s="372" t="s">
        <v>666</v>
      </c>
      <c r="E767" s="372"/>
      <c r="F767" s="640">
        <v>153401</v>
      </c>
      <c r="G767" s="635"/>
      <c r="H767" s="640">
        <v>10177</v>
      </c>
      <c r="I767" s="635"/>
      <c r="J767" s="634">
        <v>-283</v>
      </c>
      <c r="K767" s="372"/>
      <c r="L767" s="634">
        <v>-98</v>
      </c>
      <c r="M767" s="372"/>
      <c r="N767" s="634" t="s">
        <v>628</v>
      </c>
      <c r="O767" s="634"/>
      <c r="P767" s="634" t="s">
        <v>635</v>
      </c>
      <c r="Q767" s="635"/>
      <c r="R767" s="640">
        <v>163197</v>
      </c>
      <c r="S767" s="372"/>
      <c r="T767" s="640">
        <v>158218</v>
      </c>
    </row>
    <row r="768" spans="1:20">
      <c r="A768" s="634">
        <v>14</v>
      </c>
      <c r="B768" s="639"/>
      <c r="C768" s="634">
        <v>34381</v>
      </c>
      <c r="D768" s="372" t="s">
        <v>667</v>
      </c>
      <c r="E768" s="372"/>
      <c r="F768" s="640">
        <v>91770</v>
      </c>
      <c r="G768" s="635"/>
      <c r="H768" s="640">
        <v>8032</v>
      </c>
      <c r="I768" s="635"/>
      <c r="J768" s="634">
        <v>-283</v>
      </c>
      <c r="K768" s="372"/>
      <c r="L768" s="634">
        <v>-98</v>
      </c>
      <c r="M768" s="372"/>
      <c r="N768" s="634" t="s">
        <v>628</v>
      </c>
      <c r="O768" s="634"/>
      <c r="P768" s="634" t="s">
        <v>635</v>
      </c>
      <c r="Q768" s="635"/>
      <c r="R768" s="640">
        <v>99421</v>
      </c>
      <c r="S768" s="372"/>
      <c r="T768" s="640">
        <v>95490</v>
      </c>
    </row>
    <row r="769" spans="1:20">
      <c r="A769" s="634">
        <v>15</v>
      </c>
      <c r="B769" s="639"/>
      <c r="C769" s="634">
        <v>34581</v>
      </c>
      <c r="D769" s="372" t="s">
        <v>631</v>
      </c>
      <c r="E769" s="372"/>
      <c r="F769" s="640">
        <v>45601</v>
      </c>
      <c r="G769" s="635"/>
      <c r="H769" s="640">
        <v>1537</v>
      </c>
      <c r="I769" s="635"/>
      <c r="J769" s="634" t="s">
        <v>635</v>
      </c>
      <c r="K769" s="372"/>
      <c r="L769" s="634" t="s">
        <v>635</v>
      </c>
      <c r="M769" s="372"/>
      <c r="N769" s="634" t="s">
        <v>635</v>
      </c>
      <c r="O769" s="634"/>
      <c r="P769" s="634" t="s">
        <v>635</v>
      </c>
      <c r="Q769" s="635"/>
      <c r="R769" s="640">
        <v>47138</v>
      </c>
      <c r="S769" s="372"/>
      <c r="T769" s="640">
        <v>46370</v>
      </c>
    </row>
    <row r="770" spans="1:20">
      <c r="A770" s="634">
        <v>16</v>
      </c>
      <c r="B770" s="639"/>
      <c r="C770" s="634">
        <v>34681</v>
      </c>
      <c r="D770" s="372" t="s">
        <v>632</v>
      </c>
      <c r="E770" s="372"/>
      <c r="F770" s="640">
        <v>2937</v>
      </c>
      <c r="G770" s="635"/>
      <c r="H770" s="634">
        <v>355</v>
      </c>
      <c r="I770" s="635"/>
      <c r="J770" s="634" t="s">
        <v>635</v>
      </c>
      <c r="K770" s="372"/>
      <c r="L770" s="634" t="s">
        <v>635</v>
      </c>
      <c r="M770" s="372"/>
      <c r="N770" s="634" t="s">
        <v>635</v>
      </c>
      <c r="O770" s="634"/>
      <c r="P770" s="634" t="s">
        <v>635</v>
      </c>
      <c r="Q770" s="635"/>
      <c r="R770" s="640">
        <v>3291</v>
      </c>
      <c r="S770" s="372"/>
      <c r="T770" s="640">
        <v>3114</v>
      </c>
    </row>
    <row r="771" spans="1:20">
      <c r="A771" s="634">
        <v>17</v>
      </c>
      <c r="B771" s="639"/>
      <c r="C771" s="634"/>
      <c r="D771" s="636" t="s">
        <v>680</v>
      </c>
      <c r="E771" s="372"/>
      <c r="F771" s="642">
        <v>322281</v>
      </c>
      <c r="G771" s="372"/>
      <c r="H771" s="642">
        <v>22702</v>
      </c>
      <c r="I771" s="635"/>
      <c r="J771" s="643">
        <v>-566</v>
      </c>
      <c r="K771" s="635"/>
      <c r="L771" s="643">
        <v>-197</v>
      </c>
      <c r="M771" s="635"/>
      <c r="N771" s="643" t="s">
        <v>628</v>
      </c>
      <c r="O771" s="635"/>
      <c r="P771" s="643" t="s">
        <v>635</v>
      </c>
      <c r="Q771" s="635"/>
      <c r="R771" s="642">
        <v>344221</v>
      </c>
      <c r="S771" s="635"/>
      <c r="T771" s="642">
        <v>333064</v>
      </c>
    </row>
    <row r="772" spans="1:20">
      <c r="A772" s="634">
        <v>18</v>
      </c>
      <c r="B772" s="639"/>
      <c r="C772" s="372"/>
      <c r="D772" s="372"/>
      <c r="E772" s="372"/>
      <c r="F772" s="372"/>
      <c r="G772" s="372"/>
      <c r="H772" s="372"/>
      <c r="I772" s="372"/>
      <c r="J772" s="372"/>
      <c r="K772" s="372"/>
      <c r="L772" s="372"/>
      <c r="M772" s="372"/>
      <c r="N772" s="372"/>
      <c r="O772" s="372"/>
      <c r="P772" s="372"/>
      <c r="Q772" s="635"/>
      <c r="R772" s="372"/>
      <c r="S772" s="372"/>
      <c r="T772" s="372"/>
    </row>
    <row r="773" spans="1:20">
      <c r="A773" s="634">
        <v>19</v>
      </c>
      <c r="B773" s="639"/>
      <c r="C773" s="634"/>
      <c r="D773" s="636" t="s">
        <v>681</v>
      </c>
      <c r="E773" s="372"/>
      <c r="F773" s="372"/>
      <c r="G773" s="372"/>
      <c r="H773" s="372"/>
      <c r="I773" s="635"/>
      <c r="J773" s="372"/>
      <c r="K773" s="635"/>
      <c r="L773" s="372"/>
      <c r="M773" s="635"/>
      <c r="N773" s="372"/>
      <c r="O773" s="372"/>
      <c r="P773" s="372"/>
      <c r="Q773" s="635"/>
      <c r="R773" s="372"/>
      <c r="S773" s="635"/>
      <c r="T773" s="372"/>
    </row>
    <row r="774" spans="1:20">
      <c r="A774" s="634">
        <v>20</v>
      </c>
      <c r="B774" s="639"/>
      <c r="C774" s="634">
        <v>34182</v>
      </c>
      <c r="D774" s="372" t="s">
        <v>627</v>
      </c>
      <c r="E774" s="372"/>
      <c r="F774" s="640">
        <v>1332</v>
      </c>
      <c r="G774" s="635"/>
      <c r="H774" s="634">
        <v>53</v>
      </c>
      <c r="I774" s="635"/>
      <c r="J774" s="634" t="s">
        <v>635</v>
      </c>
      <c r="K774" s="372"/>
      <c r="L774" s="634" t="s">
        <v>635</v>
      </c>
      <c r="M774" s="372"/>
      <c r="N774" s="634" t="s">
        <v>635</v>
      </c>
      <c r="O774" s="634"/>
      <c r="P774" s="634" t="s">
        <v>635</v>
      </c>
      <c r="Q774" s="635"/>
      <c r="R774" s="640">
        <v>1384</v>
      </c>
      <c r="S774" s="372"/>
      <c r="T774" s="640">
        <v>1358</v>
      </c>
    </row>
    <row r="775" spans="1:20">
      <c r="A775" s="634">
        <v>21</v>
      </c>
      <c r="B775" s="639"/>
      <c r="C775" s="634">
        <v>34282</v>
      </c>
      <c r="D775" s="372" t="s">
        <v>666</v>
      </c>
      <c r="E775" s="372"/>
      <c r="F775" s="634">
        <v>455</v>
      </c>
      <c r="G775" s="635"/>
      <c r="H775" s="634">
        <v>121</v>
      </c>
      <c r="I775" s="635"/>
      <c r="J775" s="640">
        <v>-1024</v>
      </c>
      <c r="K775" s="372"/>
      <c r="L775" s="634">
        <v>-52</v>
      </c>
      <c r="M775" s="372"/>
      <c r="N775" s="634" t="s">
        <v>628</v>
      </c>
      <c r="O775" s="634"/>
      <c r="P775" s="634" t="s">
        <v>635</v>
      </c>
      <c r="Q775" s="635"/>
      <c r="R775" s="634">
        <v>-501</v>
      </c>
      <c r="S775" s="372"/>
      <c r="T775" s="634">
        <v>358</v>
      </c>
    </row>
    <row r="776" spans="1:20">
      <c r="A776" s="634">
        <v>22</v>
      </c>
      <c r="B776" s="639"/>
      <c r="C776" s="634">
        <v>34382</v>
      </c>
      <c r="D776" s="372" t="s">
        <v>667</v>
      </c>
      <c r="E776" s="372"/>
      <c r="F776" s="640">
        <v>10409</v>
      </c>
      <c r="G776" s="635"/>
      <c r="H776" s="640">
        <v>1477</v>
      </c>
      <c r="I776" s="635"/>
      <c r="J776" s="640">
        <v>-1024</v>
      </c>
      <c r="K776" s="372"/>
      <c r="L776" s="634">
        <v>-52</v>
      </c>
      <c r="M776" s="372"/>
      <c r="N776" s="634" t="s">
        <v>628</v>
      </c>
      <c r="O776" s="634"/>
      <c r="P776" s="634" t="s">
        <v>635</v>
      </c>
      <c r="Q776" s="635"/>
      <c r="R776" s="640">
        <v>10810</v>
      </c>
      <c r="S776" s="372"/>
      <c r="T776" s="640">
        <v>10990</v>
      </c>
    </row>
    <row r="777" spans="1:20">
      <c r="A777" s="634">
        <v>23</v>
      </c>
      <c r="B777" s="639"/>
      <c r="C777" s="634">
        <v>34582</v>
      </c>
      <c r="D777" s="372" t="s">
        <v>631</v>
      </c>
      <c r="E777" s="372"/>
      <c r="F777" s="640">
        <v>11227</v>
      </c>
      <c r="G777" s="635"/>
      <c r="H777" s="634">
        <v>371</v>
      </c>
      <c r="I777" s="635"/>
      <c r="J777" s="634" t="s">
        <v>635</v>
      </c>
      <c r="K777" s="372"/>
      <c r="L777" s="634" t="s">
        <v>635</v>
      </c>
      <c r="M777" s="372"/>
      <c r="N777" s="634" t="s">
        <v>635</v>
      </c>
      <c r="O777" s="634"/>
      <c r="P777" s="634" t="s">
        <v>635</v>
      </c>
      <c r="Q777" s="635"/>
      <c r="R777" s="640">
        <v>11598</v>
      </c>
      <c r="S777" s="372"/>
      <c r="T777" s="640">
        <v>11412</v>
      </c>
    </row>
    <row r="778" spans="1:20">
      <c r="A778" s="634">
        <v>24</v>
      </c>
      <c r="B778" s="639"/>
      <c r="C778" s="634">
        <v>34682</v>
      </c>
      <c r="D778" s="372" t="s">
        <v>632</v>
      </c>
      <c r="E778" s="372"/>
      <c r="F778" s="634">
        <v>140</v>
      </c>
      <c r="G778" s="635"/>
      <c r="H778" s="634">
        <v>3</v>
      </c>
      <c r="I778" s="635"/>
      <c r="J778" s="634" t="s">
        <v>635</v>
      </c>
      <c r="K778" s="372"/>
      <c r="L778" s="634" t="s">
        <v>635</v>
      </c>
      <c r="M778" s="372"/>
      <c r="N778" s="634" t="s">
        <v>635</v>
      </c>
      <c r="O778" s="634"/>
      <c r="P778" s="634" t="s">
        <v>635</v>
      </c>
      <c r="Q778" s="635"/>
      <c r="R778" s="634">
        <v>142</v>
      </c>
      <c r="S778" s="372"/>
      <c r="T778" s="634">
        <v>141</v>
      </c>
    </row>
    <row r="779" spans="1:20">
      <c r="A779" s="634">
        <v>25</v>
      </c>
      <c r="B779" s="639"/>
      <c r="C779" s="634"/>
      <c r="D779" s="636" t="s">
        <v>682</v>
      </c>
      <c r="E779" s="372"/>
      <c r="F779" s="642">
        <v>23562</v>
      </c>
      <c r="G779" s="372"/>
      <c r="H779" s="642">
        <v>2025</v>
      </c>
      <c r="I779" s="635"/>
      <c r="J779" s="642">
        <v>-2049</v>
      </c>
      <c r="K779" s="635"/>
      <c r="L779" s="643">
        <v>-104</v>
      </c>
      <c r="M779" s="635"/>
      <c r="N779" s="643" t="s">
        <v>628</v>
      </c>
      <c r="O779" s="635"/>
      <c r="P779" s="643" t="s">
        <v>635</v>
      </c>
      <c r="Q779" s="635"/>
      <c r="R779" s="642">
        <v>23434</v>
      </c>
      <c r="S779" s="635"/>
      <c r="T779" s="642">
        <v>24259</v>
      </c>
    </row>
    <row r="780" spans="1:20">
      <c r="A780" s="634">
        <v>26</v>
      </c>
      <c r="B780" s="639"/>
      <c r="C780" s="372"/>
      <c r="D780" s="372"/>
      <c r="E780" s="372"/>
      <c r="F780" s="372"/>
      <c r="G780" s="372"/>
      <c r="H780" s="372"/>
      <c r="I780" s="372"/>
      <c r="J780" s="372"/>
      <c r="K780" s="372"/>
      <c r="L780" s="372"/>
      <c r="M780" s="372"/>
      <c r="N780" s="372"/>
      <c r="O780" s="372"/>
      <c r="P780" s="372"/>
      <c r="Q780" s="635"/>
      <c r="R780" s="372"/>
      <c r="S780" s="372"/>
      <c r="T780" s="372"/>
    </row>
    <row r="781" spans="1:20">
      <c r="A781" s="634">
        <v>27</v>
      </c>
      <c r="B781" s="639"/>
      <c r="C781" s="634"/>
      <c r="D781" s="636" t="s">
        <v>683</v>
      </c>
      <c r="E781" s="372"/>
      <c r="F781" s="372"/>
      <c r="G781" s="372"/>
      <c r="H781" s="372"/>
      <c r="I781" s="635"/>
      <c r="J781" s="635"/>
      <c r="K781" s="635"/>
      <c r="L781" s="635"/>
      <c r="M781" s="635"/>
      <c r="N781" s="635"/>
      <c r="O781" s="635"/>
      <c r="P781" s="635"/>
      <c r="Q781" s="635"/>
      <c r="R781" s="635"/>
      <c r="S781" s="635"/>
      <c r="T781" s="635"/>
    </row>
    <row r="782" spans="1:20">
      <c r="A782" s="634">
        <v>28</v>
      </c>
      <c r="B782" s="639"/>
      <c r="C782" s="634">
        <v>34183</v>
      </c>
      <c r="D782" s="372" t="s">
        <v>627</v>
      </c>
      <c r="E782" s="372"/>
      <c r="F782" s="640">
        <v>6001</v>
      </c>
      <c r="G782" s="635"/>
      <c r="H782" s="634">
        <v>243</v>
      </c>
      <c r="I782" s="635"/>
      <c r="J782" s="634" t="s">
        <v>635</v>
      </c>
      <c r="K782" s="372"/>
      <c r="L782" s="634" t="s">
        <v>635</v>
      </c>
      <c r="M782" s="372"/>
      <c r="N782" s="634" t="s">
        <v>635</v>
      </c>
      <c r="O782" s="634"/>
      <c r="P782" s="634" t="s">
        <v>635</v>
      </c>
      <c r="Q782" s="635"/>
      <c r="R782" s="640">
        <v>6244</v>
      </c>
      <c r="S782" s="372"/>
      <c r="T782" s="640">
        <v>6123</v>
      </c>
    </row>
    <row r="783" spans="1:20">
      <c r="A783" s="634">
        <v>29</v>
      </c>
      <c r="B783" s="639"/>
      <c r="C783" s="634">
        <v>34283</v>
      </c>
      <c r="D783" s="372" t="s">
        <v>666</v>
      </c>
      <c r="E783" s="372"/>
      <c r="F783" s="634">
        <v>563</v>
      </c>
      <c r="G783" s="635"/>
      <c r="H783" s="634">
        <v>47</v>
      </c>
      <c r="I783" s="635"/>
      <c r="J783" s="634">
        <v>-390</v>
      </c>
      <c r="K783" s="372"/>
      <c r="L783" s="634" t="s">
        <v>628</v>
      </c>
      <c r="M783" s="372"/>
      <c r="N783" s="634" t="s">
        <v>635</v>
      </c>
      <c r="O783" s="634"/>
      <c r="P783" s="634" t="s">
        <v>635</v>
      </c>
      <c r="Q783" s="635"/>
      <c r="R783" s="634">
        <v>220</v>
      </c>
      <c r="S783" s="372"/>
      <c r="T783" s="634">
        <v>557</v>
      </c>
    </row>
    <row r="784" spans="1:20">
      <c r="A784" s="634">
        <v>30</v>
      </c>
      <c r="B784" s="639"/>
      <c r="C784" s="634">
        <v>34383</v>
      </c>
      <c r="D784" s="372" t="s">
        <v>667</v>
      </c>
      <c r="E784" s="372"/>
      <c r="F784" s="640">
        <v>23363</v>
      </c>
      <c r="G784" s="635"/>
      <c r="H784" s="634">
        <v>875</v>
      </c>
      <c r="I784" s="635"/>
      <c r="J784" s="634">
        <v>-390</v>
      </c>
      <c r="K784" s="372"/>
      <c r="L784" s="634" t="s">
        <v>628</v>
      </c>
      <c r="M784" s="372"/>
      <c r="N784" s="634" t="s">
        <v>635</v>
      </c>
      <c r="O784" s="634"/>
      <c r="P784" s="634" t="s">
        <v>635</v>
      </c>
      <c r="Q784" s="635"/>
      <c r="R784" s="640">
        <v>23848</v>
      </c>
      <c r="S784" s="372"/>
      <c r="T784" s="640">
        <v>23770</v>
      </c>
    </row>
    <row r="785" spans="1:20">
      <c r="A785" s="634">
        <v>31</v>
      </c>
      <c r="B785" s="372"/>
      <c r="C785" s="634">
        <v>34583</v>
      </c>
      <c r="D785" s="372" t="s">
        <v>631</v>
      </c>
      <c r="E785" s="372"/>
      <c r="F785" s="640">
        <v>5946</v>
      </c>
      <c r="G785" s="635"/>
      <c r="H785" s="634">
        <v>152</v>
      </c>
      <c r="I785" s="635"/>
      <c r="J785" s="634" t="s">
        <v>635</v>
      </c>
      <c r="K785" s="372"/>
      <c r="L785" s="634" t="s">
        <v>635</v>
      </c>
      <c r="M785" s="372"/>
      <c r="N785" s="634" t="s">
        <v>635</v>
      </c>
      <c r="O785" s="634"/>
      <c r="P785" s="634" t="s">
        <v>635</v>
      </c>
      <c r="Q785" s="635"/>
      <c r="R785" s="640">
        <v>6098</v>
      </c>
      <c r="S785" s="372"/>
      <c r="T785" s="640">
        <v>6022</v>
      </c>
    </row>
    <row r="786" spans="1:20">
      <c r="A786" s="634">
        <v>32</v>
      </c>
      <c r="B786" s="372"/>
      <c r="C786" s="634">
        <v>34683</v>
      </c>
      <c r="D786" s="372" t="s">
        <v>632</v>
      </c>
      <c r="E786" s="372"/>
      <c r="F786" s="634">
        <v>284</v>
      </c>
      <c r="G786" s="635"/>
      <c r="H786" s="634">
        <v>11</v>
      </c>
      <c r="I786" s="635"/>
      <c r="J786" s="634" t="s">
        <v>635</v>
      </c>
      <c r="K786" s="372"/>
      <c r="L786" s="634" t="s">
        <v>635</v>
      </c>
      <c r="M786" s="372"/>
      <c r="N786" s="634" t="s">
        <v>635</v>
      </c>
      <c r="O786" s="634"/>
      <c r="P786" s="634" t="s">
        <v>635</v>
      </c>
      <c r="Q786" s="635"/>
      <c r="R786" s="634">
        <v>294</v>
      </c>
      <c r="S786" s="372"/>
      <c r="T786" s="634">
        <v>289</v>
      </c>
    </row>
    <row r="787" spans="1:20">
      <c r="A787" s="634">
        <v>33</v>
      </c>
      <c r="B787" s="372"/>
      <c r="C787" s="372"/>
      <c r="D787" s="636" t="s">
        <v>684</v>
      </c>
      <c r="E787" s="372"/>
      <c r="F787" s="642">
        <v>36157</v>
      </c>
      <c r="G787" s="372"/>
      <c r="H787" s="642">
        <v>1328</v>
      </c>
      <c r="I787" s="635"/>
      <c r="J787" s="643">
        <v>-780</v>
      </c>
      <c r="K787" s="635"/>
      <c r="L787" s="643" t="s">
        <v>628</v>
      </c>
      <c r="M787" s="635"/>
      <c r="N787" s="643" t="s">
        <v>635</v>
      </c>
      <c r="O787" s="635"/>
      <c r="P787" s="643" t="s">
        <v>635</v>
      </c>
      <c r="Q787" s="635"/>
      <c r="R787" s="642">
        <v>36704</v>
      </c>
      <c r="S787" s="635"/>
      <c r="T787" s="642">
        <v>36761</v>
      </c>
    </row>
    <row r="788" spans="1:20">
      <c r="A788" s="634">
        <v>34</v>
      </c>
      <c r="B788" s="372"/>
      <c r="C788" s="372"/>
      <c r="D788" s="372"/>
      <c r="E788" s="372"/>
      <c r="F788" s="372"/>
      <c r="G788" s="372"/>
      <c r="H788" s="372"/>
      <c r="I788" s="635"/>
      <c r="J788" s="372"/>
      <c r="K788" s="635"/>
      <c r="L788" s="372"/>
      <c r="M788" s="635"/>
      <c r="N788" s="372"/>
      <c r="O788" s="372"/>
      <c r="P788" s="372"/>
      <c r="Q788" s="635"/>
      <c r="R788" s="372"/>
      <c r="S788" s="635"/>
      <c r="T788" s="372"/>
    </row>
    <row r="789" spans="1:20">
      <c r="A789" s="634">
        <v>35</v>
      </c>
      <c r="B789" s="372"/>
      <c r="C789" s="372"/>
      <c r="D789" s="636" t="s">
        <v>685</v>
      </c>
      <c r="E789" s="372"/>
      <c r="F789" s="372"/>
      <c r="G789" s="372"/>
      <c r="H789" s="372"/>
      <c r="I789" s="635"/>
      <c r="J789" s="635"/>
      <c r="K789" s="635"/>
      <c r="L789" s="635"/>
      <c r="M789" s="635"/>
      <c r="N789" s="635"/>
      <c r="O789" s="635"/>
      <c r="P789" s="635"/>
      <c r="Q789" s="635"/>
      <c r="R789" s="635"/>
      <c r="S789" s="635"/>
      <c r="T789" s="635"/>
    </row>
    <row r="790" spans="1:20">
      <c r="A790" s="634">
        <v>36</v>
      </c>
      <c r="B790" s="372"/>
      <c r="C790" s="634">
        <v>34184</v>
      </c>
      <c r="D790" s="372" t="s">
        <v>627</v>
      </c>
      <c r="E790" s="372"/>
      <c r="F790" s="640">
        <v>2397</v>
      </c>
      <c r="G790" s="635"/>
      <c r="H790" s="634">
        <v>159</v>
      </c>
      <c r="I790" s="635"/>
      <c r="J790" s="634" t="s">
        <v>635</v>
      </c>
      <c r="K790" s="372"/>
      <c r="L790" s="634" t="s">
        <v>635</v>
      </c>
      <c r="M790" s="372"/>
      <c r="N790" s="634" t="s">
        <v>635</v>
      </c>
      <c r="O790" s="634"/>
      <c r="P790" s="634" t="s">
        <v>635</v>
      </c>
      <c r="Q790" s="635"/>
      <c r="R790" s="640">
        <v>2557</v>
      </c>
      <c r="S790" s="372"/>
      <c r="T790" s="640">
        <v>2477</v>
      </c>
    </row>
    <row r="791" spans="1:20">
      <c r="A791" s="634">
        <v>37</v>
      </c>
      <c r="B791" s="372"/>
      <c r="C791" s="634">
        <v>34284</v>
      </c>
      <c r="D791" s="372" t="s">
        <v>666</v>
      </c>
      <c r="E791" s="372"/>
      <c r="F791" s="634">
        <v>290</v>
      </c>
      <c r="G791" s="635"/>
      <c r="H791" s="634">
        <v>105</v>
      </c>
      <c r="I791" s="635"/>
      <c r="J791" s="634">
        <v>-641</v>
      </c>
      <c r="K791" s="372"/>
      <c r="L791" s="634" t="s">
        <v>628</v>
      </c>
      <c r="M791" s="372"/>
      <c r="N791" s="634" t="s">
        <v>635</v>
      </c>
      <c r="O791" s="634"/>
      <c r="P791" s="634" t="s">
        <v>635</v>
      </c>
      <c r="Q791" s="635"/>
      <c r="R791" s="634">
        <v>-246</v>
      </c>
      <c r="S791" s="372"/>
      <c r="T791" s="634">
        <v>293</v>
      </c>
    </row>
    <row r="792" spans="1:20">
      <c r="A792" s="634">
        <v>38</v>
      </c>
      <c r="B792" s="372"/>
      <c r="C792" s="634">
        <v>34384</v>
      </c>
      <c r="D792" s="372" t="s">
        <v>667</v>
      </c>
      <c r="E792" s="372"/>
      <c r="F792" s="640">
        <v>8371</v>
      </c>
      <c r="G792" s="635"/>
      <c r="H792" s="640">
        <v>1172</v>
      </c>
      <c r="I792" s="635"/>
      <c r="J792" s="634">
        <v>-641</v>
      </c>
      <c r="K792" s="372"/>
      <c r="L792" s="634" t="s">
        <v>628</v>
      </c>
      <c r="M792" s="372"/>
      <c r="N792" s="634" t="s">
        <v>635</v>
      </c>
      <c r="O792" s="634"/>
      <c r="P792" s="634" t="s">
        <v>635</v>
      </c>
      <c r="Q792" s="635"/>
      <c r="R792" s="640">
        <v>8902</v>
      </c>
      <c r="S792" s="372"/>
      <c r="T792" s="640">
        <v>8908</v>
      </c>
    </row>
    <row r="793" spans="1:20">
      <c r="A793" s="634">
        <v>39</v>
      </c>
      <c r="B793" s="372"/>
      <c r="C793" s="634">
        <v>34584</v>
      </c>
      <c r="D793" s="372" t="s">
        <v>631</v>
      </c>
      <c r="E793" s="372"/>
      <c r="F793" s="640">
        <v>3438</v>
      </c>
      <c r="G793" s="635"/>
      <c r="H793" s="634">
        <v>98</v>
      </c>
      <c r="I793" s="635"/>
      <c r="J793" s="634" t="s">
        <v>635</v>
      </c>
      <c r="K793" s="372"/>
      <c r="L793" s="634" t="s">
        <v>635</v>
      </c>
      <c r="M793" s="372"/>
      <c r="N793" s="634" t="s">
        <v>635</v>
      </c>
      <c r="O793" s="634"/>
      <c r="P793" s="634" t="s">
        <v>635</v>
      </c>
      <c r="Q793" s="635"/>
      <c r="R793" s="640">
        <v>3536</v>
      </c>
      <c r="S793" s="372"/>
      <c r="T793" s="640">
        <v>3487</v>
      </c>
    </row>
    <row r="794" spans="1:20">
      <c r="A794" s="634">
        <v>40</v>
      </c>
      <c r="B794" s="372"/>
      <c r="C794" s="634">
        <v>34684</v>
      </c>
      <c r="D794" s="372" t="s">
        <v>632</v>
      </c>
      <c r="E794" s="372"/>
      <c r="F794" s="634" t="s">
        <v>628</v>
      </c>
      <c r="G794" s="635"/>
      <c r="H794" s="634" t="s">
        <v>635</v>
      </c>
      <c r="I794" s="635"/>
      <c r="J794" s="634" t="s">
        <v>635</v>
      </c>
      <c r="K794" s="372"/>
      <c r="L794" s="634" t="s">
        <v>635</v>
      </c>
      <c r="M794" s="372"/>
      <c r="N794" s="634" t="s">
        <v>635</v>
      </c>
      <c r="O794" s="634"/>
      <c r="P794" s="634" t="s">
        <v>635</v>
      </c>
      <c r="Q794" s="635"/>
      <c r="R794" s="634" t="s">
        <v>635</v>
      </c>
      <c r="S794" s="372"/>
      <c r="T794" s="634" t="s">
        <v>635</v>
      </c>
    </row>
    <row r="795" spans="1:20">
      <c r="A795" s="634">
        <v>41</v>
      </c>
      <c r="B795" s="372"/>
      <c r="C795" s="372"/>
      <c r="D795" s="636" t="s">
        <v>686</v>
      </c>
      <c r="E795" s="372"/>
      <c r="F795" s="642">
        <v>14497</v>
      </c>
      <c r="G795" s="372"/>
      <c r="H795" s="642">
        <v>1534</v>
      </c>
      <c r="I795" s="635"/>
      <c r="J795" s="642">
        <v>-1283</v>
      </c>
      <c r="K795" s="635"/>
      <c r="L795" s="643" t="s">
        <v>628</v>
      </c>
      <c r="M795" s="635"/>
      <c r="N795" s="643" t="s">
        <v>635</v>
      </c>
      <c r="O795" s="635"/>
      <c r="P795" s="643" t="s">
        <v>635</v>
      </c>
      <c r="Q795" s="635"/>
      <c r="R795" s="642">
        <v>14748</v>
      </c>
      <c r="S795" s="635"/>
      <c r="T795" s="642">
        <v>15165</v>
      </c>
    </row>
    <row r="796" spans="1:20">
      <c r="A796" s="634">
        <v>42</v>
      </c>
      <c r="B796" s="372"/>
      <c r="C796" s="372"/>
      <c r="D796" s="372"/>
      <c r="E796" s="372"/>
      <c r="F796" s="372"/>
      <c r="G796" s="372"/>
      <c r="H796" s="372"/>
      <c r="I796" s="372"/>
      <c r="J796" s="372"/>
      <c r="K796" s="372"/>
      <c r="L796" s="372"/>
      <c r="M796" s="372"/>
      <c r="N796" s="372"/>
      <c r="O796" s="372"/>
      <c r="P796" s="372"/>
      <c r="Q796" s="635"/>
      <c r="R796" s="372"/>
      <c r="S796" s="372"/>
      <c r="T796" s="372"/>
    </row>
    <row r="797" spans="1:20">
      <c r="A797" s="634">
        <v>43</v>
      </c>
      <c r="B797" s="372"/>
      <c r="C797" s="372"/>
      <c r="D797" s="372"/>
      <c r="E797" s="372"/>
      <c r="F797" s="372"/>
      <c r="G797" s="372"/>
      <c r="H797" s="372"/>
      <c r="I797" s="372"/>
      <c r="J797" s="372"/>
      <c r="K797" s="372"/>
      <c r="L797" s="372"/>
      <c r="M797" s="372"/>
      <c r="N797" s="372"/>
      <c r="O797" s="372"/>
      <c r="P797" s="372"/>
      <c r="Q797" s="635"/>
      <c r="R797" s="372"/>
      <c r="S797" s="372"/>
      <c r="T797" s="372"/>
    </row>
    <row r="798" spans="1:20" ht="15" thickBot="1">
      <c r="A798" s="637">
        <v>44</v>
      </c>
      <c r="B798" s="660" t="s">
        <v>67</v>
      </c>
      <c r="C798" s="660"/>
      <c r="D798" s="625"/>
      <c r="E798" s="625"/>
      <c r="F798" s="625"/>
      <c r="G798" s="625"/>
      <c r="H798" s="625"/>
      <c r="I798" s="625"/>
      <c r="J798" s="625"/>
      <c r="K798" s="625"/>
      <c r="L798" s="625"/>
      <c r="M798" s="625"/>
      <c r="N798" s="625"/>
      <c r="O798" s="625"/>
      <c r="P798" s="625"/>
      <c r="Q798" s="638"/>
      <c r="R798" s="625"/>
      <c r="S798" s="625"/>
      <c r="T798" s="625"/>
    </row>
    <row r="799" spans="1:20">
      <c r="A799" s="664" t="s">
        <v>818</v>
      </c>
      <c r="B799" s="664"/>
      <c r="C799" s="372"/>
      <c r="D799" s="372"/>
      <c r="E799" s="664"/>
      <c r="F799" s="664"/>
      <c r="G799" s="664"/>
      <c r="H799" s="664"/>
      <c r="I799" s="664"/>
      <c r="J799" s="664"/>
      <c r="K799" s="664"/>
      <c r="L799" s="664"/>
      <c r="M799" s="664"/>
      <c r="N799" s="664"/>
      <c r="O799" s="664"/>
      <c r="P799" s="664"/>
      <c r="Q799" s="635"/>
      <c r="R799" s="372" t="s">
        <v>644</v>
      </c>
      <c r="S799" s="664"/>
      <c r="T799" s="664"/>
    </row>
    <row r="800" spans="1:20" ht="15" thickBot="1">
      <c r="A800" s="625" t="s">
        <v>808</v>
      </c>
      <c r="B800" s="625"/>
      <c r="C800" s="625"/>
      <c r="D800" s="625"/>
      <c r="E800" s="625"/>
      <c r="F800" s="625" t="s">
        <v>809</v>
      </c>
      <c r="G800" s="625"/>
      <c r="H800" s="625"/>
      <c r="I800" s="625"/>
      <c r="J800" s="625"/>
      <c r="K800" s="625"/>
      <c r="L800" s="625"/>
      <c r="M800" s="625"/>
      <c r="N800" s="625"/>
      <c r="O800" s="625"/>
      <c r="P800" s="625"/>
      <c r="Q800" s="638"/>
      <c r="R800" s="625"/>
      <c r="S800" s="625"/>
      <c r="T800" s="625" t="s">
        <v>687</v>
      </c>
    </row>
    <row r="801" spans="1:20">
      <c r="A801" s="664" t="s">
        <v>4</v>
      </c>
      <c r="B801" s="664"/>
      <c r="C801" s="372"/>
      <c r="D801" s="372"/>
      <c r="E801" s="635" t="s">
        <v>553</v>
      </c>
      <c r="F801" s="372" t="s">
        <v>810</v>
      </c>
      <c r="G801" s="664"/>
      <c r="H801" s="664"/>
      <c r="I801" s="664"/>
      <c r="J801" s="664"/>
      <c r="K801" s="661"/>
      <c r="L801" s="661"/>
      <c r="M801" s="661"/>
      <c r="N801" s="661"/>
      <c r="O801" s="661"/>
      <c r="P801" s="661"/>
      <c r="Q801" s="645"/>
      <c r="R801" s="372" t="s">
        <v>608</v>
      </c>
      <c r="S801" s="664"/>
      <c r="T801" s="664"/>
    </row>
    <row r="802" spans="1:20">
      <c r="A802" s="372"/>
      <c r="B802" s="372"/>
      <c r="C802" s="372"/>
      <c r="D802" s="372"/>
      <c r="E802" s="372"/>
      <c r="F802" s="372" t="s">
        <v>811</v>
      </c>
      <c r="G802" s="372"/>
      <c r="H802" s="372"/>
      <c r="I802" s="372"/>
      <c r="J802" s="372"/>
      <c r="K802" s="636"/>
      <c r="L802" s="636"/>
      <c r="M802" s="372"/>
      <c r="N802" s="372"/>
      <c r="O802" s="635"/>
      <c r="P802" s="635"/>
      <c r="Q802" s="635" t="s">
        <v>12</v>
      </c>
      <c r="R802" s="636" t="s">
        <v>9</v>
      </c>
      <c r="S802" s="372"/>
      <c r="T802" s="372"/>
    </row>
    <row r="803" spans="1:20">
      <c r="A803" s="372" t="s">
        <v>10</v>
      </c>
      <c r="B803" s="372"/>
      <c r="C803" s="372"/>
      <c r="D803" s="372"/>
      <c r="E803" s="372"/>
      <c r="F803" s="372"/>
      <c r="G803" s="372"/>
      <c r="H803" s="372"/>
      <c r="I803" s="372"/>
      <c r="J803" s="372"/>
      <c r="K803" s="636"/>
      <c r="L803" s="636"/>
      <c r="M803" s="372"/>
      <c r="N803" s="372"/>
      <c r="O803" s="372"/>
      <c r="P803" s="372"/>
      <c r="Q803" s="635"/>
      <c r="R803" s="636" t="s">
        <v>11</v>
      </c>
      <c r="S803" s="372"/>
      <c r="T803" s="372"/>
    </row>
    <row r="804" spans="1:20">
      <c r="A804" s="372"/>
      <c r="B804" s="372"/>
      <c r="C804" s="372"/>
      <c r="D804" s="372"/>
      <c r="E804" s="372"/>
      <c r="F804" s="372"/>
      <c r="G804" s="372"/>
      <c r="H804" s="372"/>
      <c r="I804" s="372"/>
      <c r="J804" s="372"/>
      <c r="K804" s="636"/>
      <c r="L804" s="636"/>
      <c r="M804" s="372"/>
      <c r="N804" s="372"/>
      <c r="O804" s="372"/>
      <c r="P804" s="372"/>
      <c r="Q804" s="635"/>
      <c r="R804" s="636" t="s">
        <v>13</v>
      </c>
      <c r="S804" s="372"/>
      <c r="T804" s="372"/>
    </row>
    <row r="805" spans="1:20">
      <c r="A805" s="372"/>
      <c r="B805" s="372"/>
      <c r="C805" s="372"/>
      <c r="D805" s="372"/>
      <c r="E805" s="372"/>
      <c r="F805" s="372"/>
      <c r="G805" s="372"/>
      <c r="H805" s="372"/>
      <c r="I805" s="372"/>
      <c r="J805" s="372"/>
      <c r="K805" s="636"/>
      <c r="L805" s="636"/>
      <c r="M805" s="372"/>
      <c r="N805" s="372"/>
      <c r="O805" s="372"/>
      <c r="P805" s="372"/>
      <c r="Q805" s="635"/>
      <c r="R805" s="636" t="s">
        <v>610</v>
      </c>
      <c r="S805" s="372"/>
      <c r="T805" s="372"/>
    </row>
    <row r="806" spans="1:20" ht="15" thickBot="1">
      <c r="A806" s="625" t="s">
        <v>611</v>
      </c>
      <c r="B806" s="625"/>
      <c r="C806" s="625"/>
      <c r="D806" s="625"/>
      <c r="E806" s="625"/>
      <c r="F806" s="625"/>
      <c r="G806" s="625"/>
      <c r="H806" s="637" t="s">
        <v>812</v>
      </c>
      <c r="I806" s="625"/>
      <c r="J806" s="625"/>
      <c r="K806" s="625"/>
      <c r="L806" s="625"/>
      <c r="M806" s="625"/>
      <c r="N806" s="625"/>
      <c r="O806" s="625"/>
      <c r="P806" s="625"/>
      <c r="Q806" s="638"/>
      <c r="R806" s="625" t="s">
        <v>249</v>
      </c>
      <c r="S806" s="625"/>
      <c r="T806" s="625"/>
    </row>
    <row r="807" spans="1:20">
      <c r="A807" s="664"/>
      <c r="B807" s="664"/>
      <c r="C807" s="634"/>
      <c r="D807" s="634"/>
      <c r="E807" s="634"/>
      <c r="F807" s="634"/>
      <c r="G807" s="634"/>
      <c r="H807" s="634"/>
      <c r="I807" s="634"/>
      <c r="J807" s="634"/>
      <c r="K807" s="634"/>
      <c r="L807" s="634"/>
      <c r="M807" s="634"/>
      <c r="N807" s="634"/>
      <c r="O807" s="634"/>
      <c r="P807" s="634"/>
      <c r="Q807" s="635"/>
      <c r="R807" s="634"/>
      <c r="S807" s="634"/>
      <c r="T807" s="634"/>
    </row>
    <row r="808" spans="1:20">
      <c r="A808" s="372"/>
      <c r="B808" s="372"/>
      <c r="C808" s="634">
        <v>-1</v>
      </c>
      <c r="D808" s="634">
        <v>-2</v>
      </c>
      <c r="E808" s="634"/>
      <c r="F808" s="634">
        <v>-3</v>
      </c>
      <c r="G808" s="634"/>
      <c r="H808" s="634">
        <v>-4</v>
      </c>
      <c r="I808" s="634"/>
      <c r="J808" s="634">
        <v>-5</v>
      </c>
      <c r="K808" s="634"/>
      <c r="L808" s="634">
        <v>-6</v>
      </c>
      <c r="M808" s="634"/>
      <c r="N808" s="634">
        <v>-7</v>
      </c>
      <c r="O808" s="634"/>
      <c r="P808" s="634">
        <v>-8</v>
      </c>
      <c r="Q808" s="635"/>
      <c r="R808" s="634">
        <v>-9</v>
      </c>
      <c r="S808" s="634"/>
      <c r="T808" s="634">
        <v>-10</v>
      </c>
    </row>
    <row r="809" spans="1:20">
      <c r="A809" s="372"/>
      <c r="B809" s="372"/>
      <c r="C809" s="634" t="s">
        <v>613</v>
      </c>
      <c r="D809" s="634" t="s">
        <v>613</v>
      </c>
      <c r="E809" s="372"/>
      <c r="F809" s="634" t="s">
        <v>27</v>
      </c>
      <c r="G809" s="634"/>
      <c r="H809" s="634" t="s">
        <v>45</v>
      </c>
      <c r="I809" s="634"/>
      <c r="J809" s="634"/>
      <c r="K809" s="634"/>
      <c r="L809" s="634"/>
      <c r="M809" s="634"/>
      <c r="N809" s="372"/>
      <c r="O809" s="372"/>
      <c r="P809" s="372"/>
      <c r="Q809" s="635"/>
      <c r="R809" s="634" t="s">
        <v>27</v>
      </c>
      <c r="S809" s="372"/>
      <c r="T809" s="372"/>
    </row>
    <row r="810" spans="1:20">
      <c r="A810" s="634" t="s">
        <v>35</v>
      </c>
      <c r="B810" s="634"/>
      <c r="C810" s="634" t="s">
        <v>614</v>
      </c>
      <c r="D810" s="634" t="s">
        <v>614</v>
      </c>
      <c r="E810" s="634"/>
      <c r="F810" s="634" t="s">
        <v>37</v>
      </c>
      <c r="G810" s="634"/>
      <c r="H810" s="634" t="s">
        <v>37</v>
      </c>
      <c r="I810" s="634"/>
      <c r="J810" s="634"/>
      <c r="K810" s="634"/>
      <c r="L810" s="634" t="s">
        <v>813</v>
      </c>
      <c r="M810" s="636"/>
      <c r="N810" s="634" t="s">
        <v>813</v>
      </c>
      <c r="O810" s="634"/>
      <c r="P810" s="634" t="s">
        <v>178</v>
      </c>
      <c r="Q810" s="635"/>
      <c r="R810" s="634" t="s">
        <v>37</v>
      </c>
      <c r="S810" s="634"/>
      <c r="T810" s="634" t="s">
        <v>353</v>
      </c>
    </row>
    <row r="811" spans="1:20" ht="15" thickBot="1">
      <c r="A811" s="637" t="s">
        <v>46</v>
      </c>
      <c r="B811" s="637"/>
      <c r="C811" s="637" t="s">
        <v>371</v>
      </c>
      <c r="D811" s="637" t="s">
        <v>617</v>
      </c>
      <c r="E811" s="637"/>
      <c r="F811" s="637" t="s">
        <v>619</v>
      </c>
      <c r="G811" s="637"/>
      <c r="H811" s="637" t="s">
        <v>814</v>
      </c>
      <c r="I811" s="637"/>
      <c r="J811" s="637" t="s">
        <v>815</v>
      </c>
      <c r="K811" s="637"/>
      <c r="L811" s="637" t="s">
        <v>816</v>
      </c>
      <c r="M811" s="637"/>
      <c r="N811" s="637" t="s">
        <v>817</v>
      </c>
      <c r="O811" s="637"/>
      <c r="P811" s="637" t="s">
        <v>622</v>
      </c>
      <c r="Q811" s="638"/>
      <c r="R811" s="637" t="s">
        <v>623</v>
      </c>
      <c r="S811" s="637"/>
      <c r="T811" s="637" t="s">
        <v>369</v>
      </c>
    </row>
    <row r="812" spans="1:20">
      <c r="A812" s="634">
        <v>1</v>
      </c>
      <c r="B812" s="634"/>
      <c r="C812" s="372"/>
      <c r="D812" s="372"/>
      <c r="E812" s="664"/>
      <c r="F812" s="664"/>
      <c r="G812" s="664"/>
      <c r="H812" s="664"/>
      <c r="I812" s="664"/>
      <c r="J812" s="664"/>
      <c r="K812" s="664"/>
      <c r="L812" s="664"/>
      <c r="M812" s="664"/>
      <c r="N812" s="664"/>
      <c r="O812" s="664"/>
      <c r="P812" s="664"/>
      <c r="Q812" s="635"/>
      <c r="R812" s="372"/>
      <c r="S812" s="664"/>
      <c r="T812" s="664"/>
    </row>
    <row r="813" spans="1:20">
      <c r="A813" s="634">
        <v>2</v>
      </c>
      <c r="B813" s="639"/>
      <c r="C813" s="634"/>
      <c r="D813" s="636" t="s">
        <v>688</v>
      </c>
      <c r="E813" s="372"/>
      <c r="F813" s="372"/>
      <c r="G813" s="372"/>
      <c r="H813" s="372"/>
      <c r="I813" s="635"/>
      <c r="J813" s="635"/>
      <c r="K813" s="635"/>
      <c r="L813" s="635"/>
      <c r="M813" s="635"/>
      <c r="N813" s="635"/>
      <c r="O813" s="635"/>
      <c r="P813" s="635"/>
      <c r="Q813" s="635"/>
      <c r="R813" s="635"/>
      <c r="S813" s="635"/>
      <c r="T813" s="635"/>
    </row>
    <row r="814" spans="1:20">
      <c r="A814" s="634">
        <v>3</v>
      </c>
      <c r="B814" s="639"/>
      <c r="C814" s="634">
        <v>34185</v>
      </c>
      <c r="D814" s="372" t="s">
        <v>627</v>
      </c>
      <c r="E814" s="372"/>
      <c r="F814" s="640">
        <v>2424</v>
      </c>
      <c r="G814" s="635"/>
      <c r="H814" s="634">
        <v>156</v>
      </c>
      <c r="I814" s="635"/>
      <c r="J814" s="634" t="s">
        <v>635</v>
      </c>
      <c r="K814" s="372"/>
      <c r="L814" s="634" t="s">
        <v>635</v>
      </c>
      <c r="M814" s="372"/>
      <c r="N814" s="634" t="s">
        <v>635</v>
      </c>
      <c r="O814" s="634"/>
      <c r="P814" s="634" t="s">
        <v>635</v>
      </c>
      <c r="Q814" s="635"/>
      <c r="R814" s="640">
        <v>2581</v>
      </c>
      <c r="S814" s="372"/>
      <c r="T814" s="640">
        <v>2502</v>
      </c>
    </row>
    <row r="815" spans="1:20">
      <c r="A815" s="634">
        <v>4</v>
      </c>
      <c r="B815" s="639"/>
      <c r="C815" s="634">
        <v>34285</v>
      </c>
      <c r="D815" s="372" t="s">
        <v>666</v>
      </c>
      <c r="E815" s="372"/>
      <c r="F815" s="634">
        <v>822</v>
      </c>
      <c r="G815" s="635"/>
      <c r="H815" s="634">
        <v>101</v>
      </c>
      <c r="I815" s="635"/>
      <c r="J815" s="634">
        <v>-709</v>
      </c>
      <c r="K815" s="372"/>
      <c r="L815" s="634" t="s">
        <v>628</v>
      </c>
      <c r="M815" s="372"/>
      <c r="N815" s="634" t="s">
        <v>635</v>
      </c>
      <c r="O815" s="634"/>
      <c r="P815" s="634" t="s">
        <v>635</v>
      </c>
      <c r="Q815" s="635"/>
      <c r="R815" s="634">
        <v>214</v>
      </c>
      <c r="S815" s="372"/>
      <c r="T815" s="634">
        <v>783</v>
      </c>
    </row>
    <row r="816" spans="1:20">
      <c r="A816" s="634">
        <v>5</v>
      </c>
      <c r="B816" s="639"/>
      <c r="C816" s="634">
        <v>34385</v>
      </c>
      <c r="D816" s="372" t="s">
        <v>667</v>
      </c>
      <c r="E816" s="372"/>
      <c r="F816" s="640">
        <v>6882</v>
      </c>
      <c r="G816" s="635"/>
      <c r="H816" s="640">
        <v>1073</v>
      </c>
      <c r="I816" s="635"/>
      <c r="J816" s="634">
        <v>-709</v>
      </c>
      <c r="K816" s="372"/>
      <c r="L816" s="634" t="s">
        <v>628</v>
      </c>
      <c r="M816" s="372"/>
      <c r="N816" s="634" t="s">
        <v>635</v>
      </c>
      <c r="O816" s="634"/>
      <c r="P816" s="634" t="s">
        <v>635</v>
      </c>
      <c r="Q816" s="635"/>
      <c r="R816" s="640">
        <v>7247</v>
      </c>
      <c r="S816" s="372"/>
      <c r="T816" s="640">
        <v>7329</v>
      </c>
    </row>
    <row r="817" spans="1:20">
      <c r="A817" s="634">
        <v>6</v>
      </c>
      <c r="B817" s="639"/>
      <c r="C817" s="634">
        <v>34585</v>
      </c>
      <c r="D817" s="372" t="s">
        <v>631</v>
      </c>
      <c r="E817" s="372"/>
      <c r="F817" s="640">
        <v>3414</v>
      </c>
      <c r="G817" s="635"/>
      <c r="H817" s="634">
        <v>94</v>
      </c>
      <c r="I817" s="635"/>
      <c r="J817" s="634" t="s">
        <v>635</v>
      </c>
      <c r="K817" s="372"/>
      <c r="L817" s="634" t="s">
        <v>635</v>
      </c>
      <c r="M817" s="372"/>
      <c r="N817" s="634" t="s">
        <v>635</v>
      </c>
      <c r="O817" s="634"/>
      <c r="P817" s="634" t="s">
        <v>635</v>
      </c>
      <c r="Q817" s="635"/>
      <c r="R817" s="640">
        <v>3507</v>
      </c>
      <c r="S817" s="372"/>
      <c r="T817" s="640">
        <v>3460</v>
      </c>
    </row>
    <row r="818" spans="1:20">
      <c r="A818" s="634">
        <v>7</v>
      </c>
      <c r="B818" s="634"/>
      <c r="C818" s="634">
        <v>34685</v>
      </c>
      <c r="D818" s="372" t="s">
        <v>632</v>
      </c>
      <c r="E818" s="372"/>
      <c r="F818" s="634" t="s">
        <v>628</v>
      </c>
      <c r="G818" s="635"/>
      <c r="H818" s="634" t="s">
        <v>635</v>
      </c>
      <c r="I818" s="635"/>
      <c r="J818" s="634" t="s">
        <v>635</v>
      </c>
      <c r="K818" s="372"/>
      <c r="L818" s="634" t="s">
        <v>635</v>
      </c>
      <c r="M818" s="372"/>
      <c r="N818" s="634" t="s">
        <v>635</v>
      </c>
      <c r="O818" s="634"/>
      <c r="P818" s="634" t="s">
        <v>635</v>
      </c>
      <c r="Q818" s="635"/>
      <c r="R818" s="634" t="s">
        <v>635</v>
      </c>
      <c r="S818" s="372"/>
      <c r="T818" s="634" t="s">
        <v>635</v>
      </c>
    </row>
    <row r="819" spans="1:20">
      <c r="A819" s="634">
        <v>8</v>
      </c>
      <c r="B819" s="634"/>
      <c r="C819" s="634"/>
      <c r="D819" s="636" t="s">
        <v>689</v>
      </c>
      <c r="E819" s="372"/>
      <c r="F819" s="642">
        <v>13541</v>
      </c>
      <c r="G819" s="372"/>
      <c r="H819" s="642">
        <v>1425</v>
      </c>
      <c r="I819" s="635"/>
      <c r="J819" s="642">
        <v>-1417</v>
      </c>
      <c r="K819" s="635"/>
      <c r="L819" s="643" t="s">
        <v>628</v>
      </c>
      <c r="M819" s="635"/>
      <c r="N819" s="643" t="s">
        <v>635</v>
      </c>
      <c r="O819" s="635"/>
      <c r="P819" s="643" t="s">
        <v>635</v>
      </c>
      <c r="Q819" s="635"/>
      <c r="R819" s="642">
        <v>13549</v>
      </c>
      <c r="S819" s="635"/>
      <c r="T819" s="642">
        <v>14076</v>
      </c>
    </row>
    <row r="820" spans="1:20">
      <c r="A820" s="634">
        <v>9</v>
      </c>
      <c r="B820" s="634"/>
      <c r="C820" s="372"/>
      <c r="D820" s="372"/>
      <c r="E820" s="372"/>
      <c r="F820" s="372"/>
      <c r="G820" s="372"/>
      <c r="H820" s="372"/>
      <c r="I820" s="372"/>
      <c r="J820" s="372"/>
      <c r="K820" s="372"/>
      <c r="L820" s="372"/>
      <c r="M820" s="372"/>
      <c r="N820" s="372"/>
      <c r="O820" s="372"/>
      <c r="P820" s="372"/>
      <c r="Q820" s="635"/>
      <c r="R820" s="372"/>
      <c r="S820" s="372"/>
      <c r="T820" s="372"/>
    </row>
    <row r="821" spans="1:20">
      <c r="A821" s="634">
        <v>10</v>
      </c>
      <c r="B821" s="634"/>
      <c r="C821" s="634"/>
      <c r="D821" s="636" t="s">
        <v>690</v>
      </c>
      <c r="E821" s="372"/>
      <c r="F821" s="372"/>
      <c r="G821" s="372"/>
      <c r="H821" s="372"/>
      <c r="I821" s="635"/>
      <c r="J821" s="635"/>
      <c r="K821" s="635"/>
      <c r="L821" s="635"/>
      <c r="M821" s="635"/>
      <c r="N821" s="635"/>
      <c r="O821" s="635"/>
      <c r="P821" s="635"/>
      <c r="Q821" s="635"/>
      <c r="R821" s="635"/>
      <c r="S821" s="635"/>
      <c r="T821" s="635"/>
    </row>
    <row r="822" spans="1:20">
      <c r="A822" s="634">
        <v>11</v>
      </c>
      <c r="B822" s="634"/>
      <c r="C822" s="634">
        <v>34186</v>
      </c>
      <c r="D822" s="372" t="s">
        <v>627</v>
      </c>
      <c r="E822" s="372"/>
      <c r="F822" s="640">
        <v>4267</v>
      </c>
      <c r="G822" s="635"/>
      <c r="H822" s="634">
        <v>396</v>
      </c>
      <c r="I822" s="635"/>
      <c r="J822" s="634">
        <v>-258</v>
      </c>
      <c r="K822" s="372"/>
      <c r="L822" s="634">
        <v>-109</v>
      </c>
      <c r="M822" s="372"/>
      <c r="N822" s="634" t="s">
        <v>628</v>
      </c>
      <c r="O822" s="634"/>
      <c r="P822" s="634" t="s">
        <v>635</v>
      </c>
      <c r="Q822" s="635"/>
      <c r="R822" s="640">
        <v>4296</v>
      </c>
      <c r="S822" s="372"/>
      <c r="T822" s="640">
        <v>4354</v>
      </c>
    </row>
    <row r="823" spans="1:20">
      <c r="A823" s="634">
        <v>12</v>
      </c>
      <c r="B823" s="639"/>
      <c r="C823" s="634">
        <v>34286</v>
      </c>
      <c r="D823" s="372" t="s">
        <v>666</v>
      </c>
      <c r="E823" s="372"/>
      <c r="F823" s="640">
        <v>46405</v>
      </c>
      <c r="G823" s="635"/>
      <c r="H823" s="640">
        <v>7267</v>
      </c>
      <c r="I823" s="635"/>
      <c r="J823" s="634">
        <v>-726</v>
      </c>
      <c r="K823" s="372"/>
      <c r="L823" s="640">
        <v>-1235</v>
      </c>
      <c r="M823" s="372"/>
      <c r="N823" s="634" t="s">
        <v>628</v>
      </c>
      <c r="O823" s="634"/>
      <c r="P823" s="634" t="s">
        <v>635</v>
      </c>
      <c r="Q823" s="635"/>
      <c r="R823" s="640">
        <v>51711</v>
      </c>
      <c r="S823" s="372"/>
      <c r="T823" s="640">
        <v>49277</v>
      </c>
    </row>
    <row r="824" spans="1:20">
      <c r="A824" s="634">
        <v>13</v>
      </c>
      <c r="B824" s="639"/>
      <c r="C824" s="634">
        <v>34386</v>
      </c>
      <c r="D824" s="372" t="s">
        <v>667</v>
      </c>
      <c r="E824" s="372"/>
      <c r="F824" s="640">
        <v>49141</v>
      </c>
      <c r="G824" s="635"/>
      <c r="H824" s="640">
        <v>7855</v>
      </c>
      <c r="I824" s="635"/>
      <c r="J824" s="634">
        <v>-726</v>
      </c>
      <c r="K824" s="372"/>
      <c r="L824" s="640">
        <v>-1235</v>
      </c>
      <c r="M824" s="372"/>
      <c r="N824" s="634" t="s">
        <v>628</v>
      </c>
      <c r="O824" s="634"/>
      <c r="P824" s="634" t="s">
        <v>635</v>
      </c>
      <c r="Q824" s="635"/>
      <c r="R824" s="640">
        <v>55035</v>
      </c>
      <c r="S824" s="372"/>
      <c r="T824" s="640">
        <v>52307</v>
      </c>
    </row>
    <row r="825" spans="1:20">
      <c r="A825" s="634">
        <v>14</v>
      </c>
      <c r="B825" s="639"/>
      <c r="C825" s="634">
        <v>34586</v>
      </c>
      <c r="D825" s="372" t="s">
        <v>631</v>
      </c>
      <c r="E825" s="372"/>
      <c r="F825" s="640">
        <v>4565</v>
      </c>
      <c r="G825" s="635"/>
      <c r="H825" s="634">
        <v>557</v>
      </c>
      <c r="I825" s="635"/>
      <c r="J825" s="634" t="s">
        <v>635</v>
      </c>
      <c r="K825" s="372"/>
      <c r="L825" s="634" t="s">
        <v>635</v>
      </c>
      <c r="M825" s="372"/>
      <c r="N825" s="634" t="s">
        <v>635</v>
      </c>
      <c r="O825" s="634"/>
      <c r="P825" s="634" t="s">
        <v>635</v>
      </c>
      <c r="Q825" s="635"/>
      <c r="R825" s="640">
        <v>5123</v>
      </c>
      <c r="S825" s="372"/>
      <c r="T825" s="640">
        <v>4844</v>
      </c>
    </row>
    <row r="826" spans="1:20">
      <c r="A826" s="634">
        <v>15</v>
      </c>
      <c r="B826" s="639"/>
      <c r="C826" s="634">
        <v>34686</v>
      </c>
      <c r="D826" s="372" t="s">
        <v>632</v>
      </c>
      <c r="E826" s="372"/>
      <c r="F826" s="634">
        <v>31</v>
      </c>
      <c r="G826" s="635"/>
      <c r="H826" s="634">
        <v>5</v>
      </c>
      <c r="I826" s="635"/>
      <c r="J826" s="634" t="s">
        <v>635</v>
      </c>
      <c r="K826" s="372"/>
      <c r="L826" s="634" t="s">
        <v>635</v>
      </c>
      <c r="M826" s="372"/>
      <c r="N826" s="634" t="s">
        <v>635</v>
      </c>
      <c r="O826" s="634"/>
      <c r="P826" s="634" t="s">
        <v>635</v>
      </c>
      <c r="Q826" s="635"/>
      <c r="R826" s="634">
        <v>36</v>
      </c>
      <c r="S826" s="372"/>
      <c r="T826" s="634">
        <v>34</v>
      </c>
    </row>
    <row r="827" spans="1:20">
      <c r="A827" s="634">
        <v>16</v>
      </c>
      <c r="B827" s="639"/>
      <c r="C827" s="634"/>
      <c r="D827" s="636" t="s">
        <v>691</v>
      </c>
      <c r="E827" s="372"/>
      <c r="F827" s="642">
        <v>104409</v>
      </c>
      <c r="G827" s="372"/>
      <c r="H827" s="642">
        <v>16082</v>
      </c>
      <c r="I827" s="635"/>
      <c r="J827" s="642">
        <v>-1710</v>
      </c>
      <c r="K827" s="635"/>
      <c r="L827" s="642">
        <v>-2579</v>
      </c>
      <c r="M827" s="635"/>
      <c r="N827" s="643" t="s">
        <v>628</v>
      </c>
      <c r="O827" s="635"/>
      <c r="P827" s="643" t="s">
        <v>635</v>
      </c>
      <c r="Q827" s="635"/>
      <c r="R827" s="642">
        <v>116201</v>
      </c>
      <c r="S827" s="635"/>
      <c r="T827" s="642">
        <v>110815</v>
      </c>
    </row>
    <row r="828" spans="1:20">
      <c r="A828" s="634">
        <v>17</v>
      </c>
      <c r="B828" s="639"/>
      <c r="C828" s="372"/>
      <c r="D828" s="372"/>
      <c r="E828" s="372"/>
      <c r="F828" s="372"/>
      <c r="G828" s="372"/>
      <c r="H828" s="372"/>
      <c r="I828" s="372"/>
      <c r="J828" s="372"/>
      <c r="K828" s="372"/>
      <c r="L828" s="372"/>
      <c r="M828" s="372"/>
      <c r="N828" s="372"/>
      <c r="O828" s="372"/>
      <c r="P828" s="372"/>
      <c r="Q828" s="635"/>
      <c r="R828" s="372"/>
      <c r="S828" s="372"/>
      <c r="T828" s="372"/>
    </row>
    <row r="829" spans="1:20">
      <c r="A829" s="634">
        <v>18</v>
      </c>
      <c r="B829" s="639"/>
      <c r="C829" s="634">
        <v>34287</v>
      </c>
      <c r="D829" s="636" t="s">
        <v>692</v>
      </c>
      <c r="E829" s="372"/>
      <c r="F829" s="634" t="s">
        <v>635</v>
      </c>
      <c r="G829" s="635"/>
      <c r="H829" s="634" t="s">
        <v>635</v>
      </c>
      <c r="I829" s="635"/>
      <c r="J829" s="634" t="s">
        <v>635</v>
      </c>
      <c r="K829" s="372"/>
      <c r="L829" s="634" t="s">
        <v>635</v>
      </c>
      <c r="M829" s="372"/>
      <c r="N829" s="634" t="s">
        <v>635</v>
      </c>
      <c r="O829" s="634"/>
      <c r="P829" s="634" t="s">
        <v>635</v>
      </c>
      <c r="Q829" s="635"/>
      <c r="R829" s="634" t="s">
        <v>635</v>
      </c>
      <c r="S829" s="372"/>
      <c r="T829" s="634" t="s">
        <v>635</v>
      </c>
    </row>
    <row r="830" spans="1:20">
      <c r="A830" s="634">
        <v>19</v>
      </c>
      <c r="B830" s="639"/>
      <c r="C830" s="634">
        <v>34687</v>
      </c>
      <c r="D830" s="372" t="s">
        <v>693</v>
      </c>
      <c r="E830" s="372"/>
      <c r="F830" s="640">
        <v>1087</v>
      </c>
      <c r="G830" s="635"/>
      <c r="H830" s="634">
        <v>302</v>
      </c>
      <c r="I830" s="635"/>
      <c r="J830" s="634" t="s">
        <v>635</v>
      </c>
      <c r="K830" s="372"/>
      <c r="L830" s="634" t="s">
        <v>635</v>
      </c>
      <c r="M830" s="372"/>
      <c r="N830" s="634" t="s">
        <v>635</v>
      </c>
      <c r="O830" s="634"/>
      <c r="P830" s="634" t="s">
        <v>635</v>
      </c>
      <c r="Q830" s="635"/>
      <c r="R830" s="640">
        <v>1389</v>
      </c>
      <c r="S830" s="372"/>
      <c r="T830" s="640">
        <v>1238</v>
      </c>
    </row>
    <row r="831" spans="1:20">
      <c r="A831" s="634">
        <v>20</v>
      </c>
      <c r="B831" s="639"/>
      <c r="C831" s="634"/>
      <c r="D831" s="372"/>
      <c r="E831" s="372"/>
      <c r="F831" s="372"/>
      <c r="G831" s="372"/>
      <c r="H831" s="372"/>
      <c r="I831" s="635"/>
      <c r="J831" s="643"/>
      <c r="K831" s="635"/>
      <c r="L831" s="643"/>
      <c r="M831" s="635"/>
      <c r="N831" s="643"/>
      <c r="O831" s="635"/>
      <c r="P831" s="643"/>
      <c r="Q831" s="635"/>
      <c r="R831" s="643"/>
      <c r="S831" s="635"/>
      <c r="T831" s="643"/>
    </row>
    <row r="832" spans="1:20" ht="15" thickBot="1">
      <c r="A832" s="634">
        <v>21</v>
      </c>
      <c r="B832" s="639"/>
      <c r="C832" s="634"/>
      <c r="D832" s="372" t="s">
        <v>694</v>
      </c>
      <c r="E832" s="372"/>
      <c r="F832" s="646">
        <v>593990</v>
      </c>
      <c r="G832" s="372"/>
      <c r="H832" s="646">
        <v>52560</v>
      </c>
      <c r="I832" s="635"/>
      <c r="J832" s="646">
        <v>-9043</v>
      </c>
      <c r="K832" s="635"/>
      <c r="L832" s="646">
        <v>-3356</v>
      </c>
      <c r="M832" s="635"/>
      <c r="N832" s="647" t="s">
        <v>628</v>
      </c>
      <c r="O832" s="372"/>
      <c r="P832" s="647" t="s">
        <v>635</v>
      </c>
      <c r="Q832" s="635"/>
      <c r="R832" s="646">
        <v>634152</v>
      </c>
      <c r="S832" s="635"/>
      <c r="T832" s="646">
        <v>616836</v>
      </c>
    </row>
    <row r="833" spans="1:20" ht="15" thickTop="1">
      <c r="A833" s="634">
        <v>22</v>
      </c>
      <c r="B833" s="639"/>
      <c r="C833" s="372"/>
      <c r="D833" s="372"/>
      <c r="E833" s="372"/>
      <c r="F833" s="372"/>
      <c r="G833" s="372"/>
      <c r="H833" s="372"/>
      <c r="I833" s="372"/>
      <c r="J833" s="372"/>
      <c r="K833" s="372"/>
      <c r="L833" s="372"/>
      <c r="M833" s="372"/>
      <c r="N833" s="372"/>
      <c r="O833" s="372"/>
      <c r="P833" s="372"/>
      <c r="Q833" s="635"/>
      <c r="R833" s="372"/>
      <c r="S833" s="372"/>
      <c r="T833" s="372"/>
    </row>
    <row r="834" spans="1:20">
      <c r="A834" s="634">
        <v>23</v>
      </c>
      <c r="B834" s="639"/>
      <c r="C834" s="372"/>
      <c r="D834" s="372"/>
      <c r="E834" s="372"/>
      <c r="F834" s="372"/>
      <c r="G834" s="372"/>
      <c r="H834" s="372"/>
      <c r="I834" s="372"/>
      <c r="J834" s="372"/>
      <c r="K834" s="372"/>
      <c r="L834" s="372"/>
      <c r="M834" s="372"/>
      <c r="N834" s="372"/>
      <c r="O834" s="372"/>
      <c r="P834" s="372"/>
      <c r="Q834" s="635"/>
      <c r="R834" s="372"/>
      <c r="S834" s="372"/>
      <c r="T834" s="372"/>
    </row>
    <row r="835" spans="1:20">
      <c r="A835" s="634">
        <v>24</v>
      </c>
      <c r="B835" s="639"/>
      <c r="C835" s="372"/>
      <c r="D835" s="372"/>
      <c r="E835" s="372"/>
      <c r="F835" s="372"/>
      <c r="G835" s="372"/>
      <c r="H835" s="372"/>
      <c r="I835" s="372"/>
      <c r="J835" s="372"/>
      <c r="K835" s="372"/>
      <c r="L835" s="372"/>
      <c r="M835" s="372"/>
      <c r="N835" s="372"/>
      <c r="O835" s="372"/>
      <c r="P835" s="372"/>
      <c r="Q835" s="635"/>
      <c r="R835" s="372"/>
      <c r="S835" s="372"/>
      <c r="T835" s="372"/>
    </row>
    <row r="836" spans="1:20">
      <c r="A836" s="634">
        <v>25</v>
      </c>
      <c r="B836" s="639"/>
      <c r="C836" s="372"/>
      <c r="D836" s="372" t="s">
        <v>695</v>
      </c>
      <c r="E836" s="372"/>
      <c r="F836" s="372"/>
      <c r="G836" s="372"/>
      <c r="H836" s="372"/>
      <c r="I836" s="372"/>
      <c r="J836" s="372"/>
      <c r="K836" s="372"/>
      <c r="L836" s="372"/>
      <c r="M836" s="372"/>
      <c r="N836" s="372"/>
      <c r="O836" s="372"/>
      <c r="P836" s="372"/>
      <c r="Q836" s="635"/>
      <c r="R836" s="372"/>
      <c r="S836" s="372"/>
      <c r="T836" s="372"/>
    </row>
    <row r="837" spans="1:20">
      <c r="A837" s="634">
        <v>26</v>
      </c>
      <c r="B837" s="644"/>
      <c r="C837" s="372"/>
      <c r="D837" s="636" t="s">
        <v>696</v>
      </c>
      <c r="E837" s="372"/>
      <c r="F837" s="372"/>
      <c r="G837" s="372"/>
      <c r="H837" s="372"/>
      <c r="I837" s="635"/>
      <c r="J837" s="635"/>
      <c r="K837" s="635"/>
      <c r="L837" s="635"/>
      <c r="M837" s="635"/>
      <c r="N837" s="635"/>
      <c r="O837" s="635"/>
      <c r="P837" s="635"/>
      <c r="Q837" s="635"/>
      <c r="R837" s="635"/>
      <c r="S837" s="635"/>
      <c r="T837" s="635"/>
    </row>
    <row r="838" spans="1:20">
      <c r="A838" s="634">
        <v>27</v>
      </c>
      <c r="B838" s="644"/>
      <c r="C838" s="634">
        <v>34130</v>
      </c>
      <c r="D838" s="372" t="s">
        <v>627</v>
      </c>
      <c r="E838" s="372"/>
      <c r="F838" s="640">
        <v>27561</v>
      </c>
      <c r="G838" s="635"/>
      <c r="H838" s="640">
        <v>4153</v>
      </c>
      <c r="I838" s="635"/>
      <c r="J838" s="634" t="s">
        <v>635</v>
      </c>
      <c r="K838" s="372"/>
      <c r="L838" s="634" t="s">
        <v>635</v>
      </c>
      <c r="M838" s="372"/>
      <c r="N838" s="634" t="s">
        <v>635</v>
      </c>
      <c r="O838" s="634"/>
      <c r="P838" s="634" t="s">
        <v>635</v>
      </c>
      <c r="Q838" s="635"/>
      <c r="R838" s="640">
        <v>31713</v>
      </c>
      <c r="S838" s="372"/>
      <c r="T838" s="640">
        <v>29637</v>
      </c>
    </row>
    <row r="839" spans="1:20">
      <c r="A839" s="634">
        <v>28</v>
      </c>
      <c r="B839" s="644"/>
      <c r="C839" s="634">
        <v>34230</v>
      </c>
      <c r="D839" s="372" t="s">
        <v>666</v>
      </c>
      <c r="E839" s="372"/>
      <c r="F839" s="640">
        <v>4084</v>
      </c>
      <c r="G839" s="635"/>
      <c r="H839" s="640">
        <v>1916</v>
      </c>
      <c r="I839" s="635"/>
      <c r="J839" s="640">
        <v>-1794</v>
      </c>
      <c r="K839" s="372"/>
      <c r="L839" s="634">
        <v>-50</v>
      </c>
      <c r="M839" s="372"/>
      <c r="N839" s="634" t="s">
        <v>628</v>
      </c>
      <c r="O839" s="634"/>
      <c r="P839" s="634" t="s">
        <v>635</v>
      </c>
      <c r="Q839" s="635"/>
      <c r="R839" s="640">
        <v>4155</v>
      </c>
      <c r="S839" s="372"/>
      <c r="T839" s="640">
        <v>4014</v>
      </c>
    </row>
    <row r="840" spans="1:20">
      <c r="A840" s="634">
        <v>29</v>
      </c>
      <c r="B840" s="639"/>
      <c r="C840" s="634">
        <v>34330</v>
      </c>
      <c r="D840" s="372" t="s">
        <v>667</v>
      </c>
      <c r="E840" s="372"/>
      <c r="F840" s="640">
        <v>14254</v>
      </c>
      <c r="G840" s="635"/>
      <c r="H840" s="640">
        <v>3281</v>
      </c>
      <c r="I840" s="635"/>
      <c r="J840" s="640">
        <v>-1794</v>
      </c>
      <c r="K840" s="372"/>
      <c r="L840" s="634">
        <v>-50</v>
      </c>
      <c r="M840" s="372"/>
      <c r="N840" s="634" t="s">
        <v>628</v>
      </c>
      <c r="O840" s="634"/>
      <c r="P840" s="634" t="s">
        <v>635</v>
      </c>
      <c r="Q840" s="635"/>
      <c r="R840" s="640">
        <v>15691</v>
      </c>
      <c r="S840" s="372"/>
      <c r="T840" s="640">
        <v>14861</v>
      </c>
    </row>
    <row r="841" spans="1:20">
      <c r="A841" s="634">
        <v>30</v>
      </c>
      <c r="B841" s="639"/>
      <c r="C841" s="634">
        <v>34530</v>
      </c>
      <c r="D841" s="372" t="s">
        <v>631</v>
      </c>
      <c r="E841" s="372"/>
      <c r="F841" s="640">
        <v>14137</v>
      </c>
      <c r="G841" s="635"/>
      <c r="H841" s="634">
        <v>808</v>
      </c>
      <c r="I841" s="635"/>
      <c r="J841" s="634" t="s">
        <v>635</v>
      </c>
      <c r="K841" s="372"/>
      <c r="L841" s="634" t="s">
        <v>635</v>
      </c>
      <c r="M841" s="372"/>
      <c r="N841" s="634" t="s">
        <v>635</v>
      </c>
      <c r="O841" s="634"/>
      <c r="P841" s="634" t="s">
        <v>635</v>
      </c>
      <c r="Q841" s="635"/>
      <c r="R841" s="640">
        <v>14946</v>
      </c>
      <c r="S841" s="372"/>
      <c r="T841" s="640">
        <v>14542</v>
      </c>
    </row>
    <row r="842" spans="1:20">
      <c r="A842" s="634">
        <v>31</v>
      </c>
      <c r="B842" s="639"/>
      <c r="C842" s="634">
        <v>34630</v>
      </c>
      <c r="D842" s="372" t="s">
        <v>632</v>
      </c>
      <c r="E842" s="372"/>
      <c r="F842" s="640">
        <v>5402</v>
      </c>
      <c r="G842" s="635"/>
      <c r="H842" s="634">
        <v>375</v>
      </c>
      <c r="I842" s="635"/>
      <c r="J842" s="634" t="s">
        <v>635</v>
      </c>
      <c r="K842" s="372"/>
      <c r="L842" s="634" t="s">
        <v>635</v>
      </c>
      <c r="M842" s="372"/>
      <c r="N842" s="634" t="s">
        <v>635</v>
      </c>
      <c r="O842" s="634"/>
      <c r="P842" s="634" t="s">
        <v>635</v>
      </c>
      <c r="Q842" s="635"/>
      <c r="R842" s="640">
        <v>5777</v>
      </c>
      <c r="S842" s="372"/>
      <c r="T842" s="640">
        <v>5590</v>
      </c>
    </row>
    <row r="843" spans="1:20">
      <c r="A843" s="634">
        <v>32</v>
      </c>
      <c r="B843" s="639"/>
      <c r="C843" s="634"/>
      <c r="D843" s="636" t="s">
        <v>697</v>
      </c>
      <c r="E843" s="372"/>
      <c r="F843" s="642">
        <v>65438</v>
      </c>
      <c r="G843" s="372"/>
      <c r="H843" s="642">
        <v>10533</v>
      </c>
      <c r="I843" s="635"/>
      <c r="J843" s="642">
        <v>-3589</v>
      </c>
      <c r="K843" s="635"/>
      <c r="L843" s="643">
        <v>-100</v>
      </c>
      <c r="M843" s="635"/>
      <c r="N843" s="643" t="s">
        <v>628</v>
      </c>
      <c r="O843" s="635"/>
      <c r="P843" s="643" t="s">
        <v>635</v>
      </c>
      <c r="Q843" s="635"/>
      <c r="R843" s="642">
        <v>72282</v>
      </c>
      <c r="S843" s="635"/>
      <c r="T843" s="642">
        <v>68644</v>
      </c>
    </row>
    <row r="844" spans="1:20">
      <c r="A844" s="634">
        <v>33</v>
      </c>
      <c r="B844" s="639"/>
      <c r="C844" s="372"/>
      <c r="D844" s="372"/>
      <c r="E844" s="372"/>
      <c r="F844" s="372"/>
      <c r="G844" s="372"/>
      <c r="H844" s="372"/>
      <c r="I844" s="372"/>
      <c r="J844" s="372"/>
      <c r="K844" s="372"/>
      <c r="L844" s="372"/>
      <c r="M844" s="372"/>
      <c r="N844" s="372"/>
      <c r="O844" s="372"/>
      <c r="P844" s="372"/>
      <c r="Q844" s="635"/>
      <c r="R844" s="372"/>
      <c r="S844" s="372"/>
      <c r="T844" s="372"/>
    </row>
    <row r="845" spans="1:20">
      <c r="A845" s="634">
        <v>34</v>
      </c>
      <c r="B845" s="372"/>
      <c r="C845" s="372"/>
      <c r="D845" s="636" t="s">
        <v>698</v>
      </c>
      <c r="E845" s="372"/>
      <c r="F845" s="372"/>
      <c r="G845" s="372"/>
      <c r="H845" s="372"/>
      <c r="I845" s="372"/>
      <c r="J845" s="372"/>
      <c r="K845" s="372"/>
      <c r="L845" s="372"/>
      <c r="M845" s="372"/>
      <c r="N845" s="372"/>
      <c r="O845" s="372"/>
      <c r="P845" s="372"/>
      <c r="Q845" s="635"/>
      <c r="R845" s="372"/>
      <c r="S845" s="372"/>
      <c r="T845" s="372"/>
    </row>
    <row r="846" spans="1:20">
      <c r="A846" s="634">
        <v>35</v>
      </c>
      <c r="B846" s="372"/>
      <c r="C846" s="634">
        <v>34131</v>
      </c>
      <c r="D846" s="372" t="s">
        <v>627</v>
      </c>
      <c r="E846" s="372"/>
      <c r="F846" s="640">
        <v>9610</v>
      </c>
      <c r="G846" s="635"/>
      <c r="H846" s="640">
        <v>1041</v>
      </c>
      <c r="I846" s="635"/>
      <c r="J846" s="634" t="s">
        <v>635</v>
      </c>
      <c r="K846" s="372"/>
      <c r="L846" s="634" t="s">
        <v>635</v>
      </c>
      <c r="M846" s="372"/>
      <c r="N846" s="634" t="s">
        <v>635</v>
      </c>
      <c r="O846" s="634"/>
      <c r="P846" s="634" t="s">
        <v>635</v>
      </c>
      <c r="Q846" s="635"/>
      <c r="R846" s="640">
        <v>10651</v>
      </c>
      <c r="S846" s="372"/>
      <c r="T846" s="640">
        <v>10130</v>
      </c>
    </row>
    <row r="847" spans="1:20">
      <c r="A847" s="634">
        <v>36</v>
      </c>
      <c r="B847" s="372"/>
      <c r="C847" s="634">
        <v>34231</v>
      </c>
      <c r="D847" s="372" t="s">
        <v>666</v>
      </c>
      <c r="E847" s="372"/>
      <c r="F847" s="640">
        <v>38098</v>
      </c>
      <c r="G847" s="635"/>
      <c r="H847" s="640">
        <v>4578</v>
      </c>
      <c r="I847" s="635"/>
      <c r="J847" s="640">
        <v>-3505</v>
      </c>
      <c r="K847" s="372"/>
      <c r="L847" s="634">
        <v>-112</v>
      </c>
      <c r="M847" s="372"/>
      <c r="N847" s="634" t="s">
        <v>628</v>
      </c>
      <c r="O847" s="634"/>
      <c r="P847" s="634" t="s">
        <v>635</v>
      </c>
      <c r="Q847" s="635"/>
      <c r="R847" s="640">
        <v>39059</v>
      </c>
      <c r="S847" s="372"/>
      <c r="T847" s="640">
        <v>38503</v>
      </c>
    </row>
    <row r="848" spans="1:20">
      <c r="A848" s="634">
        <v>37</v>
      </c>
      <c r="B848" s="372"/>
      <c r="C848" s="634">
        <v>34331</v>
      </c>
      <c r="D848" s="372" t="s">
        <v>667</v>
      </c>
      <c r="E848" s="372"/>
      <c r="F848" s="640">
        <v>105037</v>
      </c>
      <c r="G848" s="635"/>
      <c r="H848" s="640">
        <v>13633</v>
      </c>
      <c r="I848" s="635"/>
      <c r="J848" s="640">
        <v>-3505</v>
      </c>
      <c r="K848" s="372"/>
      <c r="L848" s="634">
        <v>-112</v>
      </c>
      <c r="M848" s="372"/>
      <c r="N848" s="634" t="s">
        <v>628</v>
      </c>
      <c r="O848" s="634"/>
      <c r="P848" s="634" t="s">
        <v>635</v>
      </c>
      <c r="Q848" s="635"/>
      <c r="R848" s="640">
        <v>115053</v>
      </c>
      <c r="S848" s="372"/>
      <c r="T848" s="640">
        <v>109965</v>
      </c>
    </row>
    <row r="849" spans="1:20">
      <c r="A849" s="634">
        <v>38</v>
      </c>
      <c r="B849" s="372"/>
      <c r="C849" s="634">
        <v>34531</v>
      </c>
      <c r="D849" s="372" t="s">
        <v>631</v>
      </c>
      <c r="E849" s="372"/>
      <c r="F849" s="640">
        <v>23536</v>
      </c>
      <c r="G849" s="635"/>
      <c r="H849" s="640">
        <v>1364</v>
      </c>
      <c r="I849" s="635"/>
      <c r="J849" s="634" t="s">
        <v>635</v>
      </c>
      <c r="K849" s="372"/>
      <c r="L849" s="634" t="s">
        <v>635</v>
      </c>
      <c r="M849" s="372"/>
      <c r="N849" s="634" t="s">
        <v>635</v>
      </c>
      <c r="O849" s="634"/>
      <c r="P849" s="634" t="s">
        <v>635</v>
      </c>
      <c r="Q849" s="635"/>
      <c r="R849" s="640">
        <v>24901</v>
      </c>
      <c r="S849" s="372"/>
      <c r="T849" s="640">
        <v>24219</v>
      </c>
    </row>
    <row r="850" spans="1:20">
      <c r="A850" s="634">
        <v>39</v>
      </c>
      <c r="B850" s="372"/>
      <c r="C850" s="634">
        <v>34631</v>
      </c>
      <c r="D850" s="372" t="s">
        <v>632</v>
      </c>
      <c r="E850" s="372"/>
      <c r="F850" s="634">
        <v>673</v>
      </c>
      <c r="G850" s="635"/>
      <c r="H850" s="634">
        <v>50</v>
      </c>
      <c r="I850" s="635"/>
      <c r="J850" s="634" t="s">
        <v>635</v>
      </c>
      <c r="K850" s="372"/>
      <c r="L850" s="634" t="s">
        <v>635</v>
      </c>
      <c r="M850" s="372"/>
      <c r="N850" s="634" t="s">
        <v>635</v>
      </c>
      <c r="O850" s="634"/>
      <c r="P850" s="634" t="s">
        <v>635</v>
      </c>
      <c r="Q850" s="635"/>
      <c r="R850" s="634">
        <v>724</v>
      </c>
      <c r="S850" s="372"/>
      <c r="T850" s="634">
        <v>699</v>
      </c>
    </row>
    <row r="851" spans="1:20">
      <c r="A851" s="634">
        <v>40</v>
      </c>
      <c r="B851" s="372"/>
      <c r="C851" s="372"/>
      <c r="D851" s="636" t="s">
        <v>699</v>
      </c>
      <c r="E851" s="372"/>
      <c r="F851" s="642">
        <v>176955</v>
      </c>
      <c r="G851" s="372"/>
      <c r="H851" s="642">
        <v>20667</v>
      </c>
      <c r="I851" s="635"/>
      <c r="J851" s="642">
        <v>-7010</v>
      </c>
      <c r="K851" s="635"/>
      <c r="L851" s="643">
        <v>-224</v>
      </c>
      <c r="M851" s="635"/>
      <c r="N851" s="643" t="s">
        <v>628</v>
      </c>
      <c r="O851" s="635"/>
      <c r="P851" s="643" t="s">
        <v>635</v>
      </c>
      <c r="Q851" s="635"/>
      <c r="R851" s="642">
        <v>190388</v>
      </c>
      <c r="S851" s="635"/>
      <c r="T851" s="642">
        <v>183515</v>
      </c>
    </row>
    <row r="852" spans="1:20">
      <c r="A852" s="634">
        <v>41</v>
      </c>
      <c r="B852" s="372"/>
      <c r="C852" s="372"/>
      <c r="D852" s="372"/>
      <c r="E852" s="372"/>
      <c r="F852" s="372"/>
      <c r="G852" s="372"/>
      <c r="H852" s="372"/>
      <c r="I852" s="372"/>
      <c r="J852" s="372"/>
      <c r="K852" s="372"/>
      <c r="L852" s="372"/>
      <c r="M852" s="372"/>
      <c r="N852" s="372"/>
      <c r="O852" s="372"/>
      <c r="P852" s="372"/>
      <c r="Q852" s="635"/>
      <c r="R852" s="372"/>
      <c r="S852" s="372"/>
      <c r="T852" s="372"/>
    </row>
    <row r="853" spans="1:20">
      <c r="A853" s="634">
        <v>42</v>
      </c>
      <c r="B853" s="372"/>
      <c r="C853" s="372"/>
      <c r="D853" s="372"/>
      <c r="E853" s="372"/>
      <c r="F853" s="372"/>
      <c r="G853" s="372"/>
      <c r="H853" s="372"/>
      <c r="I853" s="372"/>
      <c r="J853" s="372"/>
      <c r="K853" s="372"/>
      <c r="L853" s="372"/>
      <c r="M853" s="372"/>
      <c r="N853" s="372"/>
      <c r="O853" s="372"/>
      <c r="P853" s="372"/>
      <c r="Q853" s="635"/>
      <c r="R853" s="372"/>
      <c r="S853" s="372"/>
      <c r="T853" s="372"/>
    </row>
    <row r="854" spans="1:20">
      <c r="A854" s="634">
        <v>43</v>
      </c>
      <c r="B854" s="372"/>
      <c r="C854" s="372"/>
      <c r="D854" s="372"/>
      <c r="E854" s="372"/>
      <c r="F854" s="372"/>
      <c r="G854" s="372"/>
      <c r="H854" s="372"/>
      <c r="I854" s="372"/>
      <c r="J854" s="372"/>
      <c r="K854" s="372"/>
      <c r="L854" s="372"/>
      <c r="M854" s="372"/>
      <c r="N854" s="372"/>
      <c r="O854" s="372"/>
      <c r="P854" s="372"/>
      <c r="Q854" s="635"/>
      <c r="R854" s="372"/>
      <c r="S854" s="372"/>
      <c r="T854" s="372"/>
    </row>
    <row r="855" spans="1:20" ht="15" thickBot="1">
      <c r="A855" s="637">
        <v>44</v>
      </c>
      <c r="B855" s="660" t="s">
        <v>67</v>
      </c>
      <c r="C855" s="660"/>
      <c r="D855" s="625"/>
      <c r="E855" s="625"/>
      <c r="F855" s="625"/>
      <c r="G855" s="625"/>
      <c r="H855" s="625"/>
      <c r="I855" s="625"/>
      <c r="J855" s="625"/>
      <c r="K855" s="625"/>
      <c r="L855" s="625"/>
      <c r="M855" s="625"/>
      <c r="N855" s="625"/>
      <c r="O855" s="625"/>
      <c r="P855" s="625"/>
      <c r="Q855" s="638"/>
      <c r="R855" s="625"/>
      <c r="S855" s="625"/>
      <c r="T855" s="625"/>
    </row>
    <row r="856" spans="1:20">
      <c r="A856" s="664" t="s">
        <v>818</v>
      </c>
      <c r="B856" s="664"/>
      <c r="C856" s="372"/>
      <c r="D856" s="372"/>
      <c r="E856" s="664"/>
      <c r="F856" s="664"/>
      <c r="G856" s="664"/>
      <c r="H856" s="664"/>
      <c r="I856" s="664"/>
      <c r="J856" s="664"/>
      <c r="K856" s="664"/>
      <c r="L856" s="664"/>
      <c r="M856" s="664"/>
      <c r="N856" s="664"/>
      <c r="O856" s="664"/>
      <c r="P856" s="664"/>
      <c r="Q856" s="635"/>
      <c r="R856" s="372" t="s">
        <v>644</v>
      </c>
      <c r="S856" s="664"/>
      <c r="T856" s="664"/>
    </row>
    <row r="857" spans="1:20" ht="15" thickBot="1">
      <c r="A857" s="625" t="s">
        <v>808</v>
      </c>
      <c r="B857" s="625"/>
      <c r="C857" s="625"/>
      <c r="D857" s="625"/>
      <c r="E857" s="625"/>
      <c r="F857" s="625" t="s">
        <v>809</v>
      </c>
      <c r="G857" s="625"/>
      <c r="H857" s="625"/>
      <c r="I857" s="625"/>
      <c r="J857" s="625"/>
      <c r="K857" s="625"/>
      <c r="L857" s="625"/>
      <c r="M857" s="625"/>
      <c r="N857" s="625"/>
      <c r="O857" s="625"/>
      <c r="P857" s="625"/>
      <c r="Q857" s="638"/>
      <c r="R857" s="625"/>
      <c r="S857" s="625"/>
      <c r="T857" s="625" t="s">
        <v>700</v>
      </c>
    </row>
    <row r="858" spans="1:20">
      <c r="A858" s="664" t="s">
        <v>4</v>
      </c>
      <c r="B858" s="664"/>
      <c r="C858" s="372"/>
      <c r="D858" s="372"/>
      <c r="E858" s="635" t="s">
        <v>553</v>
      </c>
      <c r="F858" s="372" t="s">
        <v>810</v>
      </c>
      <c r="G858" s="664"/>
      <c r="H858" s="664"/>
      <c r="I858" s="664"/>
      <c r="J858" s="664"/>
      <c r="K858" s="661"/>
      <c r="L858" s="661"/>
      <c r="M858" s="661"/>
      <c r="N858" s="661"/>
      <c r="O858" s="661"/>
      <c r="P858" s="661"/>
      <c r="Q858" s="645"/>
      <c r="R858" s="372" t="s">
        <v>608</v>
      </c>
      <c r="S858" s="664"/>
      <c r="T858" s="664"/>
    </row>
    <row r="859" spans="1:20">
      <c r="A859" s="372"/>
      <c r="B859" s="372"/>
      <c r="C859" s="372"/>
      <c r="D859" s="372"/>
      <c r="E859" s="372"/>
      <c r="F859" s="372" t="s">
        <v>811</v>
      </c>
      <c r="G859" s="372"/>
      <c r="H859" s="372"/>
      <c r="I859" s="372"/>
      <c r="J859" s="372"/>
      <c r="K859" s="636"/>
      <c r="L859" s="636"/>
      <c r="M859" s="372"/>
      <c r="N859" s="372"/>
      <c r="O859" s="635"/>
      <c r="P859" s="635"/>
      <c r="Q859" s="635" t="s">
        <v>12</v>
      </c>
      <c r="R859" s="636" t="s">
        <v>9</v>
      </c>
      <c r="S859" s="372"/>
      <c r="T859" s="372"/>
    </row>
    <row r="860" spans="1:20">
      <c r="A860" s="372" t="s">
        <v>10</v>
      </c>
      <c r="B860" s="372"/>
      <c r="C860" s="372"/>
      <c r="D860" s="372"/>
      <c r="E860" s="372"/>
      <c r="F860" s="372"/>
      <c r="G860" s="372"/>
      <c r="H860" s="372"/>
      <c r="I860" s="372"/>
      <c r="J860" s="372"/>
      <c r="K860" s="636"/>
      <c r="L860" s="636"/>
      <c r="M860" s="372"/>
      <c r="N860" s="372"/>
      <c r="O860" s="372"/>
      <c r="P860" s="372"/>
      <c r="Q860" s="635"/>
      <c r="R860" s="636" t="s">
        <v>11</v>
      </c>
      <c r="S860" s="372"/>
      <c r="T860" s="372"/>
    </row>
    <row r="861" spans="1:20">
      <c r="A861" s="372"/>
      <c r="B861" s="372"/>
      <c r="C861" s="372"/>
      <c r="D861" s="372"/>
      <c r="E861" s="372"/>
      <c r="F861" s="372"/>
      <c r="G861" s="372"/>
      <c r="H861" s="372"/>
      <c r="I861" s="372"/>
      <c r="J861" s="372"/>
      <c r="K861" s="636"/>
      <c r="L861" s="636"/>
      <c r="M861" s="372"/>
      <c r="N861" s="372"/>
      <c r="O861" s="372"/>
      <c r="P861" s="372"/>
      <c r="Q861" s="635"/>
      <c r="R861" s="636" t="s">
        <v>13</v>
      </c>
      <c r="S861" s="372"/>
      <c r="T861" s="372"/>
    </row>
    <row r="862" spans="1:20">
      <c r="A862" s="372"/>
      <c r="B862" s="372"/>
      <c r="C862" s="372"/>
      <c r="D862" s="372"/>
      <c r="E862" s="372"/>
      <c r="F862" s="372"/>
      <c r="G862" s="372"/>
      <c r="H862" s="372"/>
      <c r="I862" s="372"/>
      <c r="J862" s="372"/>
      <c r="K862" s="636"/>
      <c r="L862" s="636"/>
      <c r="M862" s="372"/>
      <c r="N862" s="372"/>
      <c r="O862" s="372"/>
      <c r="P862" s="372"/>
      <c r="Q862" s="635"/>
      <c r="R862" s="636" t="s">
        <v>610</v>
      </c>
      <c r="S862" s="372"/>
      <c r="T862" s="372"/>
    </row>
    <row r="863" spans="1:20" ht="15" thickBot="1">
      <c r="A863" s="625" t="s">
        <v>611</v>
      </c>
      <c r="B863" s="625"/>
      <c r="C863" s="625"/>
      <c r="D863" s="625"/>
      <c r="E863" s="625"/>
      <c r="F863" s="625"/>
      <c r="G863" s="625"/>
      <c r="H863" s="637" t="s">
        <v>812</v>
      </c>
      <c r="I863" s="625"/>
      <c r="J863" s="625"/>
      <c r="K863" s="625"/>
      <c r="L863" s="625"/>
      <c r="M863" s="625"/>
      <c r="N863" s="625"/>
      <c r="O863" s="625"/>
      <c r="P863" s="625"/>
      <c r="Q863" s="638"/>
      <c r="R863" s="625" t="s">
        <v>249</v>
      </c>
      <c r="S863" s="625"/>
      <c r="T863" s="625"/>
    </row>
    <row r="864" spans="1:20">
      <c r="A864" s="664"/>
      <c r="B864" s="664"/>
      <c r="C864" s="634"/>
      <c r="D864" s="634"/>
      <c r="E864" s="634"/>
      <c r="F864" s="634"/>
      <c r="G864" s="634"/>
      <c r="H864" s="634"/>
      <c r="I864" s="634"/>
      <c r="J864" s="634"/>
      <c r="K864" s="634"/>
      <c r="L864" s="634"/>
      <c r="M864" s="634"/>
      <c r="N864" s="634"/>
      <c r="O864" s="634"/>
      <c r="P864" s="634"/>
      <c r="Q864" s="635"/>
      <c r="R864" s="634"/>
      <c r="S864" s="634"/>
      <c r="T864" s="634"/>
    </row>
    <row r="865" spans="1:20">
      <c r="A865" s="372"/>
      <c r="B865" s="372"/>
      <c r="C865" s="634">
        <v>-1</v>
      </c>
      <c r="D865" s="634">
        <v>-2</v>
      </c>
      <c r="E865" s="634"/>
      <c r="F865" s="634">
        <v>-3</v>
      </c>
      <c r="G865" s="634"/>
      <c r="H865" s="634">
        <v>-4</v>
      </c>
      <c r="I865" s="634"/>
      <c r="J865" s="634">
        <v>-5</v>
      </c>
      <c r="K865" s="634"/>
      <c r="L865" s="634">
        <v>-6</v>
      </c>
      <c r="M865" s="634"/>
      <c r="N865" s="634">
        <v>-7</v>
      </c>
      <c r="O865" s="634"/>
      <c r="P865" s="634">
        <v>-8</v>
      </c>
      <c r="Q865" s="635"/>
      <c r="R865" s="634">
        <v>-9</v>
      </c>
      <c r="S865" s="634"/>
      <c r="T865" s="634">
        <v>-10</v>
      </c>
    </row>
    <row r="866" spans="1:20">
      <c r="A866" s="372"/>
      <c r="B866" s="372"/>
      <c r="C866" s="634" t="s">
        <v>613</v>
      </c>
      <c r="D866" s="634" t="s">
        <v>613</v>
      </c>
      <c r="E866" s="372"/>
      <c r="F866" s="634" t="s">
        <v>27</v>
      </c>
      <c r="G866" s="634"/>
      <c r="H866" s="634" t="s">
        <v>45</v>
      </c>
      <c r="I866" s="634"/>
      <c r="J866" s="634"/>
      <c r="K866" s="634"/>
      <c r="L866" s="634"/>
      <c r="M866" s="634"/>
      <c r="N866" s="372"/>
      <c r="O866" s="372"/>
      <c r="P866" s="372"/>
      <c r="Q866" s="635"/>
      <c r="R866" s="634" t="s">
        <v>27</v>
      </c>
      <c r="S866" s="372"/>
      <c r="T866" s="372"/>
    </row>
    <row r="867" spans="1:20">
      <c r="A867" s="634" t="s">
        <v>35</v>
      </c>
      <c r="B867" s="634"/>
      <c r="C867" s="634" t="s">
        <v>614</v>
      </c>
      <c r="D867" s="634" t="s">
        <v>614</v>
      </c>
      <c r="E867" s="634"/>
      <c r="F867" s="634" t="s">
        <v>37</v>
      </c>
      <c r="G867" s="634"/>
      <c r="H867" s="634" t="s">
        <v>37</v>
      </c>
      <c r="I867" s="634"/>
      <c r="J867" s="634"/>
      <c r="K867" s="634"/>
      <c r="L867" s="634" t="s">
        <v>813</v>
      </c>
      <c r="M867" s="636"/>
      <c r="N867" s="634" t="s">
        <v>813</v>
      </c>
      <c r="O867" s="634"/>
      <c r="P867" s="634" t="s">
        <v>178</v>
      </c>
      <c r="Q867" s="635"/>
      <c r="R867" s="634" t="s">
        <v>37</v>
      </c>
      <c r="S867" s="634"/>
      <c r="T867" s="634" t="s">
        <v>353</v>
      </c>
    </row>
    <row r="868" spans="1:20" ht="15" thickBot="1">
      <c r="A868" s="637" t="s">
        <v>46</v>
      </c>
      <c r="B868" s="637"/>
      <c r="C868" s="637" t="s">
        <v>371</v>
      </c>
      <c r="D868" s="637" t="s">
        <v>617</v>
      </c>
      <c r="E868" s="637"/>
      <c r="F868" s="637" t="s">
        <v>619</v>
      </c>
      <c r="G868" s="637"/>
      <c r="H868" s="637" t="s">
        <v>814</v>
      </c>
      <c r="I868" s="637"/>
      <c r="J868" s="637" t="s">
        <v>815</v>
      </c>
      <c r="K868" s="637"/>
      <c r="L868" s="637" t="s">
        <v>816</v>
      </c>
      <c r="M868" s="637"/>
      <c r="N868" s="637" t="s">
        <v>817</v>
      </c>
      <c r="O868" s="637"/>
      <c r="P868" s="637" t="s">
        <v>622</v>
      </c>
      <c r="Q868" s="638"/>
      <c r="R868" s="637" t="s">
        <v>623</v>
      </c>
      <c r="S868" s="637"/>
      <c r="T868" s="637" t="s">
        <v>369</v>
      </c>
    </row>
    <row r="869" spans="1:20">
      <c r="A869" s="634">
        <v>1</v>
      </c>
      <c r="B869" s="639"/>
      <c r="C869" s="372"/>
      <c r="D869" s="372"/>
      <c r="E869" s="664"/>
      <c r="F869" s="664"/>
      <c r="G869" s="664"/>
      <c r="H869" s="664"/>
      <c r="I869" s="664"/>
      <c r="J869" s="664"/>
      <c r="K869" s="664"/>
      <c r="L869" s="664"/>
      <c r="M869" s="664"/>
      <c r="N869" s="664"/>
      <c r="O869" s="664"/>
      <c r="P869" s="664"/>
      <c r="Q869" s="635"/>
      <c r="R869" s="372"/>
      <c r="S869" s="664"/>
      <c r="T869" s="664"/>
    </row>
    <row r="870" spans="1:20">
      <c r="A870" s="634">
        <v>2</v>
      </c>
      <c r="B870" s="639"/>
      <c r="C870" s="634"/>
      <c r="D870" s="636" t="s">
        <v>701</v>
      </c>
      <c r="E870" s="372"/>
      <c r="F870" s="372"/>
      <c r="G870" s="372"/>
      <c r="H870" s="372"/>
      <c r="I870" s="635"/>
      <c r="J870" s="635"/>
      <c r="K870" s="635"/>
      <c r="L870" s="635"/>
      <c r="M870" s="635"/>
      <c r="N870" s="635"/>
      <c r="O870" s="635"/>
      <c r="P870" s="635"/>
      <c r="Q870" s="635"/>
      <c r="R870" s="635"/>
      <c r="S870" s="635"/>
      <c r="T870" s="635"/>
    </row>
    <row r="871" spans="1:20">
      <c r="A871" s="634">
        <v>3</v>
      </c>
      <c r="B871" s="639"/>
      <c r="C871" s="634">
        <v>34132</v>
      </c>
      <c r="D871" s="372" t="s">
        <v>627</v>
      </c>
      <c r="E871" s="372"/>
      <c r="F871" s="640">
        <v>14553</v>
      </c>
      <c r="G871" s="635"/>
      <c r="H871" s="640">
        <v>1150</v>
      </c>
      <c r="I871" s="635"/>
      <c r="J871" s="634" t="s">
        <v>635</v>
      </c>
      <c r="K871" s="372"/>
      <c r="L871" s="634" t="s">
        <v>635</v>
      </c>
      <c r="M871" s="372"/>
      <c r="N871" s="634" t="s">
        <v>635</v>
      </c>
      <c r="O871" s="634"/>
      <c r="P871" s="634" t="s">
        <v>635</v>
      </c>
      <c r="Q871" s="635"/>
      <c r="R871" s="640">
        <v>15703</v>
      </c>
      <c r="S871" s="372"/>
      <c r="T871" s="640">
        <v>15128</v>
      </c>
    </row>
    <row r="872" spans="1:20">
      <c r="A872" s="634">
        <v>4</v>
      </c>
      <c r="B872" s="639"/>
      <c r="C872" s="634">
        <v>34232</v>
      </c>
      <c r="D872" s="372" t="s">
        <v>666</v>
      </c>
      <c r="E872" s="372"/>
      <c r="F872" s="640">
        <v>41340</v>
      </c>
      <c r="G872" s="635"/>
      <c r="H872" s="640">
        <v>8065</v>
      </c>
      <c r="I872" s="635"/>
      <c r="J872" s="640">
        <v>-1197</v>
      </c>
      <c r="K872" s="372"/>
      <c r="L872" s="640">
        <v>-1225</v>
      </c>
      <c r="M872" s="372"/>
      <c r="N872" s="634" t="s">
        <v>628</v>
      </c>
      <c r="O872" s="634"/>
      <c r="P872" s="634" t="s">
        <v>635</v>
      </c>
      <c r="Q872" s="635"/>
      <c r="R872" s="640">
        <v>46983</v>
      </c>
      <c r="S872" s="372"/>
      <c r="T872" s="640">
        <v>44248</v>
      </c>
    </row>
    <row r="873" spans="1:20">
      <c r="A873" s="634">
        <v>5</v>
      </c>
      <c r="B873" s="639"/>
      <c r="C873" s="634">
        <v>34332</v>
      </c>
      <c r="D873" s="372" t="s">
        <v>667</v>
      </c>
      <c r="E873" s="372"/>
      <c r="F873" s="640">
        <v>127468</v>
      </c>
      <c r="G873" s="635"/>
      <c r="H873" s="640">
        <v>17642</v>
      </c>
      <c r="I873" s="635"/>
      <c r="J873" s="640">
        <v>-1197</v>
      </c>
      <c r="K873" s="372"/>
      <c r="L873" s="640">
        <v>-1225</v>
      </c>
      <c r="M873" s="372"/>
      <c r="N873" s="634" t="s">
        <v>628</v>
      </c>
      <c r="O873" s="634"/>
      <c r="P873" s="634" t="s">
        <v>635</v>
      </c>
      <c r="Q873" s="635"/>
      <c r="R873" s="640">
        <v>142688</v>
      </c>
      <c r="S873" s="372"/>
      <c r="T873" s="640">
        <v>135165</v>
      </c>
    </row>
    <row r="874" spans="1:20">
      <c r="A874" s="634">
        <v>6</v>
      </c>
      <c r="B874" s="639"/>
      <c r="C874" s="634">
        <v>34532</v>
      </c>
      <c r="D874" s="372" t="s">
        <v>631</v>
      </c>
      <c r="E874" s="372"/>
      <c r="F874" s="640">
        <v>25734</v>
      </c>
      <c r="G874" s="635"/>
      <c r="H874" s="640">
        <v>1600</v>
      </c>
      <c r="I874" s="635"/>
      <c r="J874" s="634" t="s">
        <v>635</v>
      </c>
      <c r="K874" s="372"/>
      <c r="L874" s="634" t="s">
        <v>635</v>
      </c>
      <c r="M874" s="372"/>
      <c r="N874" s="634" t="s">
        <v>635</v>
      </c>
      <c r="O874" s="634"/>
      <c r="P874" s="634" t="s">
        <v>635</v>
      </c>
      <c r="Q874" s="635"/>
      <c r="R874" s="640">
        <v>27334</v>
      </c>
      <c r="S874" s="372"/>
      <c r="T874" s="640">
        <v>26534</v>
      </c>
    </row>
    <row r="875" spans="1:20">
      <c r="A875" s="634">
        <v>7</v>
      </c>
      <c r="B875" s="639"/>
      <c r="C875" s="634">
        <v>34632</v>
      </c>
      <c r="D875" s="372" t="s">
        <v>632</v>
      </c>
      <c r="E875" s="372"/>
      <c r="F875" s="634">
        <v>854</v>
      </c>
      <c r="G875" s="635"/>
      <c r="H875" s="634">
        <v>60</v>
      </c>
      <c r="I875" s="635"/>
      <c r="J875" s="634" t="s">
        <v>635</v>
      </c>
      <c r="K875" s="372"/>
      <c r="L875" s="634" t="s">
        <v>635</v>
      </c>
      <c r="M875" s="372"/>
      <c r="N875" s="634" t="s">
        <v>635</v>
      </c>
      <c r="O875" s="634"/>
      <c r="P875" s="634" t="s">
        <v>635</v>
      </c>
      <c r="Q875" s="635"/>
      <c r="R875" s="634">
        <v>914</v>
      </c>
      <c r="S875" s="372"/>
      <c r="T875" s="634">
        <v>884</v>
      </c>
    </row>
    <row r="876" spans="1:20">
      <c r="A876" s="634">
        <v>8</v>
      </c>
      <c r="B876" s="639"/>
      <c r="C876" s="634"/>
      <c r="D876" s="636" t="s">
        <v>702</v>
      </c>
      <c r="E876" s="372"/>
      <c r="F876" s="642">
        <v>209948</v>
      </c>
      <c r="G876" s="372"/>
      <c r="H876" s="642">
        <v>28518</v>
      </c>
      <c r="I876" s="635"/>
      <c r="J876" s="642">
        <v>-2394</v>
      </c>
      <c r="K876" s="635"/>
      <c r="L876" s="642">
        <v>-2450</v>
      </c>
      <c r="M876" s="635"/>
      <c r="N876" s="643" t="s">
        <v>628</v>
      </c>
      <c r="O876" s="635"/>
      <c r="P876" s="643" t="s">
        <v>635</v>
      </c>
      <c r="Q876" s="635"/>
      <c r="R876" s="642">
        <v>233622</v>
      </c>
      <c r="S876" s="635"/>
      <c r="T876" s="642">
        <v>221959</v>
      </c>
    </row>
    <row r="877" spans="1:20">
      <c r="A877" s="634">
        <v>9</v>
      </c>
      <c r="B877" s="639"/>
      <c r="C877" s="372"/>
      <c r="D877" s="372"/>
      <c r="E877" s="372"/>
      <c r="F877" s="372"/>
      <c r="G877" s="372"/>
      <c r="H877" s="372"/>
      <c r="I877" s="372"/>
      <c r="J877" s="372"/>
      <c r="K877" s="372"/>
      <c r="L877" s="372"/>
      <c r="M877" s="372"/>
      <c r="N877" s="372"/>
      <c r="O877" s="372"/>
      <c r="P877" s="372"/>
      <c r="Q877" s="635"/>
      <c r="R877" s="372"/>
      <c r="S877" s="372"/>
      <c r="T877" s="372"/>
    </row>
    <row r="878" spans="1:20">
      <c r="A878" s="634">
        <v>10</v>
      </c>
      <c r="B878" s="639"/>
      <c r="C878" s="634"/>
      <c r="D878" s="636" t="s">
        <v>703</v>
      </c>
      <c r="E878" s="372"/>
      <c r="F878" s="372"/>
      <c r="G878" s="372"/>
      <c r="H878" s="372"/>
      <c r="I878" s="635"/>
      <c r="J878" s="372"/>
      <c r="K878" s="635"/>
      <c r="L878" s="372"/>
      <c r="M878" s="635"/>
      <c r="N878" s="372"/>
      <c r="O878" s="372"/>
      <c r="P878" s="372"/>
      <c r="Q878" s="635"/>
      <c r="R878" s="372"/>
      <c r="S878" s="635"/>
      <c r="T878" s="372"/>
    </row>
    <row r="879" spans="1:20">
      <c r="A879" s="634">
        <v>11</v>
      </c>
      <c r="B879" s="639"/>
      <c r="C879" s="634">
        <v>34133</v>
      </c>
      <c r="D879" s="372" t="s">
        <v>627</v>
      </c>
      <c r="E879" s="372"/>
      <c r="F879" s="634">
        <v>75</v>
      </c>
      <c r="G879" s="635"/>
      <c r="H879" s="634">
        <v>28</v>
      </c>
      <c r="I879" s="635"/>
      <c r="J879" s="634" t="s">
        <v>635</v>
      </c>
      <c r="K879" s="372"/>
      <c r="L879" s="634" t="s">
        <v>635</v>
      </c>
      <c r="M879" s="372"/>
      <c r="N879" s="634" t="s">
        <v>635</v>
      </c>
      <c r="O879" s="634"/>
      <c r="P879" s="634" t="s">
        <v>635</v>
      </c>
      <c r="Q879" s="635"/>
      <c r="R879" s="634">
        <v>103</v>
      </c>
      <c r="S879" s="372"/>
      <c r="T879" s="634">
        <v>89</v>
      </c>
    </row>
    <row r="880" spans="1:20">
      <c r="A880" s="634">
        <v>12</v>
      </c>
      <c r="B880" s="639"/>
      <c r="C880" s="634">
        <v>34233</v>
      </c>
      <c r="D880" s="372" t="s">
        <v>666</v>
      </c>
      <c r="E880" s="372"/>
      <c r="F880" s="640">
        <v>1093</v>
      </c>
      <c r="G880" s="635"/>
      <c r="H880" s="634">
        <v>152</v>
      </c>
      <c r="I880" s="635"/>
      <c r="J880" s="634" t="s">
        <v>635</v>
      </c>
      <c r="K880" s="372"/>
      <c r="L880" s="634" t="s">
        <v>635</v>
      </c>
      <c r="M880" s="372"/>
      <c r="N880" s="634" t="s">
        <v>635</v>
      </c>
      <c r="O880" s="634"/>
      <c r="P880" s="634" t="s">
        <v>635</v>
      </c>
      <c r="Q880" s="635"/>
      <c r="R880" s="640">
        <v>1245</v>
      </c>
      <c r="S880" s="372"/>
      <c r="T880" s="640">
        <v>1169</v>
      </c>
    </row>
    <row r="881" spans="1:20">
      <c r="A881" s="634">
        <v>13</v>
      </c>
      <c r="B881" s="639"/>
      <c r="C881" s="634">
        <v>34333</v>
      </c>
      <c r="D881" s="372" t="s">
        <v>667</v>
      </c>
      <c r="E881" s="372"/>
      <c r="F881" s="640">
        <v>9023</v>
      </c>
      <c r="G881" s="635"/>
      <c r="H881" s="634">
        <v>356</v>
      </c>
      <c r="I881" s="635"/>
      <c r="J881" s="634" t="s">
        <v>635</v>
      </c>
      <c r="K881" s="372"/>
      <c r="L881" s="634" t="s">
        <v>635</v>
      </c>
      <c r="M881" s="372"/>
      <c r="N881" s="634" t="s">
        <v>635</v>
      </c>
      <c r="O881" s="634"/>
      <c r="P881" s="634" t="s">
        <v>635</v>
      </c>
      <c r="Q881" s="635"/>
      <c r="R881" s="640">
        <v>9380</v>
      </c>
      <c r="S881" s="372"/>
      <c r="T881" s="640">
        <v>9202</v>
      </c>
    </row>
    <row r="882" spans="1:20">
      <c r="A882" s="634">
        <v>14</v>
      </c>
      <c r="B882" s="639"/>
      <c r="C882" s="634">
        <v>34533</v>
      </c>
      <c r="D882" s="372" t="s">
        <v>631</v>
      </c>
      <c r="E882" s="372"/>
      <c r="F882" s="640">
        <v>6498</v>
      </c>
      <c r="G882" s="635"/>
      <c r="H882" s="634">
        <v>364</v>
      </c>
      <c r="I882" s="635"/>
      <c r="J882" s="634" t="s">
        <v>635</v>
      </c>
      <c r="K882" s="372"/>
      <c r="L882" s="634" t="s">
        <v>635</v>
      </c>
      <c r="M882" s="372"/>
      <c r="N882" s="634" t="s">
        <v>635</v>
      </c>
      <c r="O882" s="634"/>
      <c r="P882" s="634" t="s">
        <v>635</v>
      </c>
      <c r="Q882" s="635"/>
      <c r="R882" s="640">
        <v>6862</v>
      </c>
      <c r="S882" s="372"/>
      <c r="T882" s="640">
        <v>6680</v>
      </c>
    </row>
    <row r="883" spans="1:20">
      <c r="A883" s="634">
        <v>15</v>
      </c>
      <c r="B883" s="639"/>
      <c r="C883" s="634">
        <v>34633</v>
      </c>
      <c r="D883" s="372" t="s">
        <v>632</v>
      </c>
      <c r="E883" s="372"/>
      <c r="F883" s="634">
        <v>0</v>
      </c>
      <c r="G883" s="635"/>
      <c r="H883" s="634">
        <v>0</v>
      </c>
      <c r="I883" s="635"/>
      <c r="J883" s="634" t="s">
        <v>635</v>
      </c>
      <c r="K883" s="372"/>
      <c r="L883" s="634" t="s">
        <v>635</v>
      </c>
      <c r="M883" s="372"/>
      <c r="N883" s="634" t="s">
        <v>635</v>
      </c>
      <c r="O883" s="634"/>
      <c r="P883" s="634" t="s">
        <v>635</v>
      </c>
      <c r="Q883" s="635"/>
      <c r="R883" s="634">
        <v>1</v>
      </c>
      <c r="S883" s="372"/>
      <c r="T883" s="634">
        <v>0</v>
      </c>
    </row>
    <row r="884" spans="1:20">
      <c r="A884" s="634">
        <v>16</v>
      </c>
      <c r="B884" s="639"/>
      <c r="C884" s="372"/>
      <c r="D884" s="636" t="s">
        <v>704</v>
      </c>
      <c r="E884" s="372"/>
      <c r="F884" s="642">
        <v>16690</v>
      </c>
      <c r="G884" s="372"/>
      <c r="H884" s="643">
        <v>900</v>
      </c>
      <c r="I884" s="635"/>
      <c r="J884" s="643" t="s">
        <v>635</v>
      </c>
      <c r="K884" s="635"/>
      <c r="L884" s="643" t="s">
        <v>635</v>
      </c>
      <c r="M884" s="635"/>
      <c r="N884" s="643" t="s">
        <v>635</v>
      </c>
      <c r="O884" s="635"/>
      <c r="P884" s="643" t="s">
        <v>635</v>
      </c>
      <c r="Q884" s="635"/>
      <c r="R884" s="642">
        <v>17590</v>
      </c>
      <c r="S884" s="635"/>
      <c r="T884" s="642">
        <v>17140</v>
      </c>
    </row>
    <row r="885" spans="1:20">
      <c r="A885" s="634">
        <v>17</v>
      </c>
      <c r="B885" s="639"/>
      <c r="C885" s="372"/>
      <c r="D885" s="372"/>
      <c r="E885" s="372"/>
      <c r="F885" s="372"/>
      <c r="G885" s="372"/>
      <c r="H885" s="372"/>
      <c r="I885" s="372"/>
      <c r="J885" s="372"/>
      <c r="K885" s="372"/>
      <c r="L885" s="372"/>
      <c r="M885" s="372"/>
      <c r="N885" s="372"/>
      <c r="O885" s="372"/>
      <c r="P885" s="372"/>
      <c r="Q885" s="635"/>
      <c r="R885" s="372"/>
      <c r="S885" s="372"/>
      <c r="T885" s="372"/>
    </row>
    <row r="886" spans="1:20">
      <c r="A886" s="634">
        <v>18</v>
      </c>
      <c r="B886" s="639"/>
      <c r="C886" s="634"/>
      <c r="D886" s="636" t="s">
        <v>705</v>
      </c>
      <c r="E886" s="372"/>
      <c r="F886" s="372"/>
      <c r="G886" s="372"/>
      <c r="H886" s="372"/>
      <c r="I886" s="635"/>
      <c r="J886" s="372"/>
      <c r="K886" s="635"/>
      <c r="L886" s="372"/>
      <c r="M886" s="635"/>
      <c r="N886" s="372"/>
      <c r="O886" s="372"/>
      <c r="P886" s="372"/>
      <c r="Q886" s="635"/>
      <c r="R886" s="372"/>
      <c r="S886" s="635"/>
      <c r="T886" s="372"/>
    </row>
    <row r="887" spans="1:20">
      <c r="A887" s="634">
        <v>19</v>
      </c>
      <c r="B887" s="639"/>
      <c r="C887" s="634">
        <v>34134</v>
      </c>
      <c r="D887" s="372" t="s">
        <v>627</v>
      </c>
      <c r="E887" s="372"/>
      <c r="F887" s="634">
        <v>-73</v>
      </c>
      <c r="G887" s="635"/>
      <c r="H887" s="634">
        <v>15</v>
      </c>
      <c r="I887" s="635"/>
      <c r="J887" s="634" t="s">
        <v>635</v>
      </c>
      <c r="K887" s="372"/>
      <c r="L887" s="634" t="s">
        <v>635</v>
      </c>
      <c r="M887" s="372"/>
      <c r="N887" s="634" t="s">
        <v>635</v>
      </c>
      <c r="O887" s="634"/>
      <c r="P887" s="634" t="s">
        <v>635</v>
      </c>
      <c r="Q887" s="635"/>
      <c r="R887" s="634">
        <v>-58</v>
      </c>
      <c r="S887" s="372"/>
      <c r="T887" s="634">
        <v>-66</v>
      </c>
    </row>
    <row r="888" spans="1:20">
      <c r="A888" s="634">
        <v>20</v>
      </c>
      <c r="B888" s="639"/>
      <c r="C888" s="634">
        <v>34234</v>
      </c>
      <c r="D888" s="372" t="s">
        <v>666</v>
      </c>
      <c r="E888" s="372"/>
      <c r="F888" s="640">
        <v>1415</v>
      </c>
      <c r="G888" s="635"/>
      <c r="H888" s="634">
        <v>95</v>
      </c>
      <c r="I888" s="635"/>
      <c r="J888" s="634" t="s">
        <v>635</v>
      </c>
      <c r="K888" s="372"/>
      <c r="L888" s="634" t="s">
        <v>635</v>
      </c>
      <c r="M888" s="372"/>
      <c r="N888" s="634" t="s">
        <v>635</v>
      </c>
      <c r="O888" s="634"/>
      <c r="P888" s="634" t="s">
        <v>635</v>
      </c>
      <c r="Q888" s="635"/>
      <c r="R888" s="640">
        <v>1510</v>
      </c>
      <c r="S888" s="372"/>
      <c r="T888" s="640">
        <v>1462</v>
      </c>
    </row>
    <row r="889" spans="1:20">
      <c r="A889" s="634">
        <v>21</v>
      </c>
      <c r="B889" s="639"/>
      <c r="C889" s="634">
        <v>34334</v>
      </c>
      <c r="D889" s="372" t="s">
        <v>667</v>
      </c>
      <c r="E889" s="372"/>
      <c r="F889" s="640">
        <v>9492</v>
      </c>
      <c r="G889" s="635"/>
      <c r="H889" s="634">
        <v>329</v>
      </c>
      <c r="I889" s="635"/>
      <c r="J889" s="634" t="s">
        <v>635</v>
      </c>
      <c r="K889" s="372"/>
      <c r="L889" s="634" t="s">
        <v>635</v>
      </c>
      <c r="M889" s="372"/>
      <c r="N889" s="634" t="s">
        <v>635</v>
      </c>
      <c r="O889" s="634"/>
      <c r="P889" s="634" t="s">
        <v>635</v>
      </c>
      <c r="Q889" s="635"/>
      <c r="R889" s="640">
        <v>9821</v>
      </c>
      <c r="S889" s="372"/>
      <c r="T889" s="640">
        <v>9656</v>
      </c>
    </row>
    <row r="890" spans="1:20">
      <c r="A890" s="634">
        <v>22</v>
      </c>
      <c r="B890" s="639"/>
      <c r="C890" s="634">
        <v>34534</v>
      </c>
      <c r="D890" s="372" t="s">
        <v>631</v>
      </c>
      <c r="E890" s="372"/>
      <c r="F890" s="640">
        <v>2060</v>
      </c>
      <c r="G890" s="635"/>
      <c r="H890" s="634">
        <v>102</v>
      </c>
      <c r="I890" s="635"/>
      <c r="J890" s="634" t="s">
        <v>635</v>
      </c>
      <c r="K890" s="372"/>
      <c r="L890" s="634" t="s">
        <v>635</v>
      </c>
      <c r="M890" s="372"/>
      <c r="N890" s="634" t="s">
        <v>635</v>
      </c>
      <c r="O890" s="634"/>
      <c r="P890" s="634" t="s">
        <v>635</v>
      </c>
      <c r="Q890" s="635"/>
      <c r="R890" s="640">
        <v>2162</v>
      </c>
      <c r="S890" s="372"/>
      <c r="T890" s="640">
        <v>2111</v>
      </c>
    </row>
    <row r="891" spans="1:20">
      <c r="A891" s="634">
        <v>23</v>
      </c>
      <c r="B891" s="639"/>
      <c r="C891" s="634">
        <v>34634</v>
      </c>
      <c r="D891" s="372" t="s">
        <v>632</v>
      </c>
      <c r="E891" s="372"/>
      <c r="F891" s="634">
        <v>0</v>
      </c>
      <c r="G891" s="635"/>
      <c r="H891" s="634">
        <v>0</v>
      </c>
      <c r="I891" s="635"/>
      <c r="J891" s="634" t="s">
        <v>635</v>
      </c>
      <c r="K891" s="372"/>
      <c r="L891" s="634" t="s">
        <v>635</v>
      </c>
      <c r="M891" s="372"/>
      <c r="N891" s="634" t="s">
        <v>635</v>
      </c>
      <c r="O891" s="634"/>
      <c r="P891" s="634" t="s">
        <v>635</v>
      </c>
      <c r="Q891" s="635"/>
      <c r="R891" s="634">
        <v>1</v>
      </c>
      <c r="S891" s="372"/>
      <c r="T891" s="634">
        <v>0</v>
      </c>
    </row>
    <row r="892" spans="1:20">
      <c r="A892" s="634">
        <v>24</v>
      </c>
      <c r="B892" s="639"/>
      <c r="C892" s="634"/>
      <c r="D892" s="636" t="s">
        <v>706</v>
      </c>
      <c r="E892" s="372"/>
      <c r="F892" s="642">
        <v>12894</v>
      </c>
      <c r="G892" s="372"/>
      <c r="H892" s="643">
        <v>541</v>
      </c>
      <c r="I892" s="635"/>
      <c r="J892" s="643" t="s">
        <v>635</v>
      </c>
      <c r="K892" s="635"/>
      <c r="L892" s="643" t="s">
        <v>635</v>
      </c>
      <c r="M892" s="635"/>
      <c r="N892" s="643" t="s">
        <v>635</v>
      </c>
      <c r="O892" s="635"/>
      <c r="P892" s="643" t="s">
        <v>635</v>
      </c>
      <c r="Q892" s="635"/>
      <c r="R892" s="642">
        <v>13434</v>
      </c>
      <c r="S892" s="635"/>
      <c r="T892" s="642">
        <v>13164</v>
      </c>
    </row>
    <row r="893" spans="1:20">
      <c r="A893" s="634">
        <v>25</v>
      </c>
      <c r="B893" s="639"/>
      <c r="C893" s="372"/>
      <c r="D893" s="372"/>
      <c r="E893" s="372"/>
      <c r="F893" s="372"/>
      <c r="G893" s="372"/>
      <c r="H893" s="372"/>
      <c r="I893" s="372"/>
      <c r="J893" s="372"/>
      <c r="K893" s="372"/>
      <c r="L893" s="372"/>
      <c r="M893" s="372"/>
      <c r="N893" s="372"/>
      <c r="O893" s="372"/>
      <c r="P893" s="372"/>
      <c r="Q893" s="635"/>
      <c r="R893" s="372"/>
      <c r="S893" s="372"/>
      <c r="T893" s="372"/>
    </row>
    <row r="894" spans="1:20">
      <c r="A894" s="634">
        <v>26</v>
      </c>
      <c r="B894" s="639"/>
      <c r="C894" s="634"/>
      <c r="D894" s="636" t="s">
        <v>707</v>
      </c>
      <c r="E894" s="634"/>
      <c r="F894" s="634"/>
      <c r="G894" s="634"/>
      <c r="H894" s="634"/>
      <c r="I894" s="634"/>
      <c r="J894" s="634"/>
      <c r="K894" s="634"/>
      <c r="L894" s="634"/>
      <c r="M894" s="634"/>
      <c r="N894" s="634"/>
      <c r="O894" s="634"/>
      <c r="P894" s="634"/>
      <c r="Q894" s="635"/>
      <c r="R894" s="634"/>
      <c r="S894" s="634"/>
      <c r="T894" s="634"/>
    </row>
    <row r="895" spans="1:20">
      <c r="A895" s="634">
        <v>27</v>
      </c>
      <c r="B895" s="639"/>
      <c r="C895" s="634">
        <v>34135</v>
      </c>
      <c r="D895" s="372" t="s">
        <v>627</v>
      </c>
      <c r="E895" s="634"/>
      <c r="F895" s="634">
        <v>-28</v>
      </c>
      <c r="G895" s="635"/>
      <c r="H895" s="634">
        <v>39</v>
      </c>
      <c r="I895" s="635"/>
      <c r="J895" s="634" t="s">
        <v>635</v>
      </c>
      <c r="K895" s="372"/>
      <c r="L895" s="634" t="s">
        <v>635</v>
      </c>
      <c r="M895" s="372"/>
      <c r="N895" s="634" t="s">
        <v>635</v>
      </c>
      <c r="O895" s="634"/>
      <c r="P895" s="634" t="s">
        <v>635</v>
      </c>
      <c r="Q895" s="635"/>
      <c r="R895" s="634">
        <v>11</v>
      </c>
      <c r="S895" s="372"/>
      <c r="T895" s="634">
        <v>-8</v>
      </c>
    </row>
    <row r="896" spans="1:20">
      <c r="A896" s="634">
        <v>28</v>
      </c>
      <c r="B896" s="639"/>
      <c r="C896" s="634">
        <v>34235</v>
      </c>
      <c r="D896" s="372" t="s">
        <v>666</v>
      </c>
      <c r="E896" s="634"/>
      <c r="F896" s="634">
        <v>845</v>
      </c>
      <c r="G896" s="635"/>
      <c r="H896" s="634">
        <v>68</v>
      </c>
      <c r="I896" s="635"/>
      <c r="J896" s="634" t="s">
        <v>635</v>
      </c>
      <c r="K896" s="372"/>
      <c r="L896" s="634" t="s">
        <v>635</v>
      </c>
      <c r="M896" s="372"/>
      <c r="N896" s="634" t="s">
        <v>635</v>
      </c>
      <c r="O896" s="634"/>
      <c r="P896" s="634" t="s">
        <v>635</v>
      </c>
      <c r="Q896" s="635"/>
      <c r="R896" s="634">
        <v>913</v>
      </c>
      <c r="S896" s="372"/>
      <c r="T896" s="634">
        <v>879</v>
      </c>
    </row>
    <row r="897" spans="1:20">
      <c r="A897" s="634">
        <v>29</v>
      </c>
      <c r="B897" s="639"/>
      <c r="C897" s="634">
        <v>34335</v>
      </c>
      <c r="D897" s="372" t="s">
        <v>667</v>
      </c>
      <c r="E897" s="634"/>
      <c r="F897" s="640">
        <v>11929</v>
      </c>
      <c r="G897" s="635"/>
      <c r="H897" s="634">
        <v>389</v>
      </c>
      <c r="I897" s="635"/>
      <c r="J897" s="634" t="s">
        <v>635</v>
      </c>
      <c r="K897" s="372"/>
      <c r="L897" s="634" t="s">
        <v>635</v>
      </c>
      <c r="M897" s="372"/>
      <c r="N897" s="634" t="s">
        <v>635</v>
      </c>
      <c r="O897" s="634"/>
      <c r="P897" s="634" t="s">
        <v>635</v>
      </c>
      <c r="Q897" s="635"/>
      <c r="R897" s="640">
        <v>12318</v>
      </c>
      <c r="S897" s="372"/>
      <c r="T897" s="640">
        <v>12124</v>
      </c>
    </row>
    <row r="898" spans="1:20">
      <c r="A898" s="634">
        <v>30</v>
      </c>
      <c r="B898" s="639"/>
      <c r="C898" s="634">
        <v>34535</v>
      </c>
      <c r="D898" s="372" t="s">
        <v>631</v>
      </c>
      <c r="E898" s="634"/>
      <c r="F898" s="640">
        <v>5186</v>
      </c>
      <c r="G898" s="635"/>
      <c r="H898" s="634">
        <v>183</v>
      </c>
      <c r="I898" s="635"/>
      <c r="J898" s="634" t="s">
        <v>635</v>
      </c>
      <c r="K898" s="372"/>
      <c r="L898" s="634" t="s">
        <v>635</v>
      </c>
      <c r="M898" s="372"/>
      <c r="N898" s="634" t="s">
        <v>635</v>
      </c>
      <c r="O898" s="634"/>
      <c r="P898" s="634" t="s">
        <v>635</v>
      </c>
      <c r="Q898" s="635"/>
      <c r="R898" s="640">
        <v>5369</v>
      </c>
      <c r="S898" s="372"/>
      <c r="T898" s="640">
        <v>5278</v>
      </c>
    </row>
    <row r="899" spans="1:20">
      <c r="A899" s="634">
        <v>31</v>
      </c>
      <c r="B899" s="639"/>
      <c r="C899" s="634">
        <v>34635</v>
      </c>
      <c r="D899" s="372" t="s">
        <v>632</v>
      </c>
      <c r="E899" s="372"/>
      <c r="F899" s="634" t="s">
        <v>628</v>
      </c>
      <c r="G899" s="635"/>
      <c r="H899" s="634" t="s">
        <v>635</v>
      </c>
      <c r="I899" s="635"/>
      <c r="J899" s="634" t="s">
        <v>635</v>
      </c>
      <c r="K899" s="372"/>
      <c r="L899" s="634" t="s">
        <v>635</v>
      </c>
      <c r="M899" s="372"/>
      <c r="N899" s="634" t="s">
        <v>635</v>
      </c>
      <c r="O899" s="634"/>
      <c r="P899" s="634" t="s">
        <v>635</v>
      </c>
      <c r="Q899" s="635"/>
      <c r="R899" s="634" t="s">
        <v>635</v>
      </c>
      <c r="S899" s="372"/>
      <c r="T899" s="634" t="s">
        <v>635</v>
      </c>
    </row>
    <row r="900" spans="1:20">
      <c r="A900" s="634">
        <v>32</v>
      </c>
      <c r="B900" s="639"/>
      <c r="C900" s="634"/>
      <c r="D900" s="636" t="s">
        <v>708</v>
      </c>
      <c r="E900" s="634"/>
      <c r="F900" s="642">
        <v>17932</v>
      </c>
      <c r="G900" s="372"/>
      <c r="H900" s="643">
        <v>679</v>
      </c>
      <c r="I900" s="635"/>
      <c r="J900" s="643" t="s">
        <v>635</v>
      </c>
      <c r="K900" s="635"/>
      <c r="L900" s="643" t="s">
        <v>635</v>
      </c>
      <c r="M900" s="635"/>
      <c r="N900" s="643" t="s">
        <v>635</v>
      </c>
      <c r="O900" s="635"/>
      <c r="P900" s="643" t="s">
        <v>635</v>
      </c>
      <c r="Q900" s="635"/>
      <c r="R900" s="642">
        <v>18611</v>
      </c>
      <c r="S900" s="635"/>
      <c r="T900" s="642">
        <v>18272</v>
      </c>
    </row>
    <row r="901" spans="1:20">
      <c r="A901" s="634">
        <v>33</v>
      </c>
      <c r="B901" s="639"/>
      <c r="C901" s="372"/>
      <c r="D901" s="372"/>
      <c r="E901" s="372"/>
      <c r="F901" s="372"/>
      <c r="G901" s="372"/>
      <c r="H901" s="372"/>
      <c r="I901" s="372"/>
      <c r="J901" s="372"/>
      <c r="K901" s="372"/>
      <c r="L901" s="372"/>
      <c r="M901" s="372"/>
      <c r="N901" s="372"/>
      <c r="O901" s="372"/>
      <c r="P901" s="372"/>
      <c r="Q901" s="635"/>
      <c r="R901" s="372"/>
      <c r="S901" s="372"/>
      <c r="T901" s="372"/>
    </row>
    <row r="902" spans="1:20">
      <c r="A902" s="634">
        <v>34</v>
      </c>
      <c r="B902" s="639"/>
      <c r="C902" s="634"/>
      <c r="D902" s="636" t="s">
        <v>709</v>
      </c>
      <c r="E902" s="372"/>
      <c r="F902" s="372"/>
      <c r="G902" s="372"/>
      <c r="H902" s="372"/>
      <c r="I902" s="635"/>
      <c r="J902" s="372"/>
      <c r="K902" s="635"/>
      <c r="L902" s="372"/>
      <c r="M902" s="635"/>
      <c r="N902" s="372"/>
      <c r="O902" s="372"/>
      <c r="P902" s="372"/>
      <c r="Q902" s="635"/>
      <c r="R902" s="372"/>
      <c r="S902" s="372"/>
      <c r="T902" s="372"/>
    </row>
    <row r="903" spans="1:20">
      <c r="A903" s="634">
        <v>35</v>
      </c>
      <c r="B903" s="639"/>
      <c r="C903" s="634">
        <v>34136</v>
      </c>
      <c r="D903" s="372" t="s">
        <v>627</v>
      </c>
      <c r="E903" s="372"/>
      <c r="F903" s="634">
        <v>695</v>
      </c>
      <c r="G903" s="635"/>
      <c r="H903" s="634">
        <v>96</v>
      </c>
      <c r="I903" s="635"/>
      <c r="J903" s="634" t="s">
        <v>635</v>
      </c>
      <c r="K903" s="372"/>
      <c r="L903" s="634" t="s">
        <v>635</v>
      </c>
      <c r="M903" s="372"/>
      <c r="N903" s="634" t="s">
        <v>635</v>
      </c>
      <c r="O903" s="634"/>
      <c r="P903" s="634" t="s">
        <v>635</v>
      </c>
      <c r="Q903" s="635"/>
      <c r="R903" s="634">
        <v>791</v>
      </c>
      <c r="S903" s="372"/>
      <c r="T903" s="634">
        <v>743</v>
      </c>
    </row>
    <row r="904" spans="1:20">
      <c r="A904" s="634">
        <v>36</v>
      </c>
      <c r="B904" s="639"/>
      <c r="C904" s="634">
        <v>34236</v>
      </c>
      <c r="D904" s="372" t="s">
        <v>666</v>
      </c>
      <c r="E904" s="372"/>
      <c r="F904" s="634">
        <v>635</v>
      </c>
      <c r="G904" s="635"/>
      <c r="H904" s="634">
        <v>44</v>
      </c>
      <c r="I904" s="635"/>
      <c r="J904" s="634" t="s">
        <v>635</v>
      </c>
      <c r="K904" s="372"/>
      <c r="L904" s="634" t="s">
        <v>635</v>
      </c>
      <c r="M904" s="372"/>
      <c r="N904" s="634" t="s">
        <v>635</v>
      </c>
      <c r="O904" s="634"/>
      <c r="P904" s="634" t="s">
        <v>635</v>
      </c>
      <c r="Q904" s="635"/>
      <c r="R904" s="634">
        <v>680</v>
      </c>
      <c r="S904" s="372"/>
      <c r="T904" s="634">
        <v>658</v>
      </c>
    </row>
    <row r="905" spans="1:20">
      <c r="A905" s="634">
        <v>37</v>
      </c>
      <c r="B905" s="639"/>
      <c r="C905" s="634">
        <v>34336</v>
      </c>
      <c r="D905" s="372" t="s">
        <v>667</v>
      </c>
      <c r="E905" s="372"/>
      <c r="F905" s="640">
        <v>11494</v>
      </c>
      <c r="G905" s="635"/>
      <c r="H905" s="634">
        <v>316</v>
      </c>
      <c r="I905" s="635"/>
      <c r="J905" s="634" t="s">
        <v>635</v>
      </c>
      <c r="K905" s="372"/>
      <c r="L905" s="634" t="s">
        <v>635</v>
      </c>
      <c r="M905" s="372"/>
      <c r="N905" s="634" t="s">
        <v>635</v>
      </c>
      <c r="O905" s="634"/>
      <c r="P905" s="634" t="s">
        <v>635</v>
      </c>
      <c r="Q905" s="635"/>
      <c r="R905" s="640">
        <v>11810</v>
      </c>
      <c r="S905" s="372"/>
      <c r="T905" s="640">
        <v>11652</v>
      </c>
    </row>
    <row r="906" spans="1:20">
      <c r="A906" s="634">
        <v>38</v>
      </c>
      <c r="B906" s="639"/>
      <c r="C906" s="634">
        <v>34536</v>
      </c>
      <c r="D906" s="372" t="s">
        <v>631</v>
      </c>
      <c r="E906" s="372"/>
      <c r="F906" s="640">
        <v>7179</v>
      </c>
      <c r="G906" s="635"/>
      <c r="H906" s="634">
        <v>346</v>
      </c>
      <c r="I906" s="635"/>
      <c r="J906" s="634" t="s">
        <v>635</v>
      </c>
      <c r="K906" s="372"/>
      <c r="L906" s="634" t="s">
        <v>635</v>
      </c>
      <c r="M906" s="372"/>
      <c r="N906" s="634" t="s">
        <v>635</v>
      </c>
      <c r="O906" s="634"/>
      <c r="P906" s="634" t="s">
        <v>635</v>
      </c>
      <c r="Q906" s="635"/>
      <c r="R906" s="640">
        <v>7525</v>
      </c>
      <c r="S906" s="372"/>
      <c r="T906" s="640">
        <v>7352</v>
      </c>
    </row>
    <row r="907" spans="1:20">
      <c r="A907" s="634">
        <v>39</v>
      </c>
      <c r="B907" s="639"/>
      <c r="C907" s="634">
        <v>34636</v>
      </c>
      <c r="D907" s="372" t="s">
        <v>632</v>
      </c>
      <c r="E907" s="372"/>
      <c r="F907" s="634">
        <v>6</v>
      </c>
      <c r="G907" s="635"/>
      <c r="H907" s="634">
        <v>0</v>
      </c>
      <c r="I907" s="635"/>
      <c r="J907" s="634" t="s">
        <v>635</v>
      </c>
      <c r="K907" s="372"/>
      <c r="L907" s="634" t="s">
        <v>635</v>
      </c>
      <c r="M907" s="372"/>
      <c r="N907" s="634" t="s">
        <v>635</v>
      </c>
      <c r="O907" s="634"/>
      <c r="P907" s="634" t="s">
        <v>635</v>
      </c>
      <c r="Q907" s="635"/>
      <c r="R907" s="634">
        <v>6</v>
      </c>
      <c r="S907" s="372"/>
      <c r="T907" s="634">
        <v>6</v>
      </c>
    </row>
    <row r="908" spans="1:20">
      <c r="A908" s="634">
        <v>40</v>
      </c>
      <c r="B908" s="639"/>
      <c r="C908" s="634"/>
      <c r="D908" s="636" t="s">
        <v>710</v>
      </c>
      <c r="E908" s="372"/>
      <c r="F908" s="642">
        <v>20009</v>
      </c>
      <c r="G908" s="372"/>
      <c r="H908" s="643">
        <v>803</v>
      </c>
      <c r="I908" s="635"/>
      <c r="J908" s="643" t="s">
        <v>635</v>
      </c>
      <c r="K908" s="635"/>
      <c r="L908" s="643" t="s">
        <v>635</v>
      </c>
      <c r="M908" s="635"/>
      <c r="N908" s="643" t="s">
        <v>635</v>
      </c>
      <c r="O908" s="635"/>
      <c r="P908" s="643" t="s">
        <v>635</v>
      </c>
      <c r="Q908" s="635"/>
      <c r="R908" s="642">
        <v>20812</v>
      </c>
      <c r="S908" s="372"/>
      <c r="T908" s="642">
        <v>20411</v>
      </c>
    </row>
    <row r="909" spans="1:20">
      <c r="A909" s="634">
        <v>41</v>
      </c>
      <c r="B909" s="639"/>
      <c r="C909" s="372"/>
      <c r="D909" s="372"/>
      <c r="E909" s="372"/>
      <c r="F909" s="372"/>
      <c r="G909" s="372"/>
      <c r="H909" s="372"/>
      <c r="I909" s="372"/>
      <c r="J909" s="372"/>
      <c r="K909" s="372"/>
      <c r="L909" s="372"/>
      <c r="M909" s="372"/>
      <c r="N909" s="372"/>
      <c r="O909" s="372"/>
      <c r="P909" s="372"/>
      <c r="Q909" s="635"/>
      <c r="R909" s="372"/>
      <c r="S909" s="372"/>
      <c r="T909" s="372"/>
    </row>
    <row r="910" spans="1:20">
      <c r="A910" s="634">
        <v>42</v>
      </c>
      <c r="B910" s="639"/>
      <c r="C910" s="634">
        <v>34637</v>
      </c>
      <c r="D910" s="636" t="s">
        <v>711</v>
      </c>
      <c r="E910" s="372"/>
      <c r="F910" s="634">
        <v>165</v>
      </c>
      <c r="G910" s="635"/>
      <c r="H910" s="634">
        <v>37</v>
      </c>
      <c r="I910" s="635"/>
      <c r="J910" s="634">
        <v>-47</v>
      </c>
      <c r="K910" s="372"/>
      <c r="L910" s="634" t="s">
        <v>628</v>
      </c>
      <c r="M910" s="372"/>
      <c r="N910" s="634" t="s">
        <v>635</v>
      </c>
      <c r="O910" s="634"/>
      <c r="P910" s="634" t="s">
        <v>635</v>
      </c>
      <c r="Q910" s="635"/>
      <c r="R910" s="634">
        <v>154</v>
      </c>
      <c r="S910" s="372"/>
      <c r="T910" s="634">
        <v>169</v>
      </c>
    </row>
    <row r="911" spans="1:20" ht="15" thickBot="1">
      <c r="A911" s="634">
        <v>43</v>
      </c>
      <c r="B911" s="639"/>
      <c r="C911" s="372"/>
      <c r="D911" s="372" t="s">
        <v>712</v>
      </c>
      <c r="E911" s="372"/>
      <c r="F911" s="648">
        <v>520032</v>
      </c>
      <c r="G911" s="372"/>
      <c r="H911" s="648">
        <v>62677</v>
      </c>
      <c r="I911" s="635"/>
      <c r="J911" s="648">
        <v>-13040</v>
      </c>
      <c r="K911" s="635"/>
      <c r="L911" s="648">
        <v>-2774</v>
      </c>
      <c r="M911" s="635"/>
      <c r="N911" s="649" t="s">
        <v>628</v>
      </c>
      <c r="O911" s="372"/>
      <c r="P911" s="649" t="s">
        <v>635</v>
      </c>
      <c r="Q911" s="635"/>
      <c r="R911" s="648">
        <v>566895</v>
      </c>
      <c r="S911" s="372"/>
      <c r="T911" s="648">
        <v>543274</v>
      </c>
    </row>
    <row r="912" spans="1:20" ht="15.6" thickTop="1" thickBot="1">
      <c r="A912" s="637">
        <v>44</v>
      </c>
      <c r="B912" s="660" t="s">
        <v>67</v>
      </c>
      <c r="C912" s="660"/>
      <c r="D912" s="625"/>
      <c r="E912" s="625"/>
      <c r="F912" s="625"/>
      <c r="G912" s="625"/>
      <c r="H912" s="625"/>
      <c r="I912" s="625"/>
      <c r="J912" s="625"/>
      <c r="K912" s="625"/>
      <c r="L912" s="625"/>
      <c r="M912" s="625"/>
      <c r="N912" s="625"/>
      <c r="O912" s="625"/>
      <c r="P912" s="625"/>
      <c r="Q912" s="638"/>
      <c r="R912" s="625"/>
      <c r="S912" s="625"/>
      <c r="T912" s="625"/>
    </row>
    <row r="913" spans="1:20">
      <c r="A913" s="664" t="s">
        <v>818</v>
      </c>
      <c r="B913" s="664"/>
      <c r="C913" s="372"/>
      <c r="D913" s="372"/>
      <c r="E913" s="664"/>
      <c r="F913" s="664"/>
      <c r="G913" s="664"/>
      <c r="H913" s="664"/>
      <c r="I913" s="664"/>
      <c r="J913" s="664"/>
      <c r="K913" s="664"/>
      <c r="L913" s="664"/>
      <c r="M913" s="664"/>
      <c r="N913" s="664"/>
      <c r="O913" s="664"/>
      <c r="P913" s="664"/>
      <c r="Q913" s="635"/>
      <c r="R913" s="372" t="s">
        <v>644</v>
      </c>
      <c r="S913" s="664"/>
      <c r="T913" s="664"/>
    </row>
    <row r="914" spans="1:20" ht="15" thickBot="1">
      <c r="A914" s="625" t="s">
        <v>808</v>
      </c>
      <c r="B914" s="625"/>
      <c r="C914" s="625"/>
      <c r="D914" s="625"/>
      <c r="E914" s="625"/>
      <c r="F914" s="625" t="s">
        <v>809</v>
      </c>
      <c r="G914" s="625"/>
      <c r="H914" s="625"/>
      <c r="I914" s="625"/>
      <c r="J914" s="625"/>
      <c r="K914" s="625"/>
      <c r="L914" s="625"/>
      <c r="M914" s="625"/>
      <c r="N914" s="625"/>
      <c r="O914" s="625"/>
      <c r="P914" s="625"/>
      <c r="Q914" s="638"/>
      <c r="R914" s="625"/>
      <c r="S914" s="625"/>
      <c r="T914" s="625" t="s">
        <v>713</v>
      </c>
    </row>
    <row r="915" spans="1:20">
      <c r="A915" s="664" t="s">
        <v>4</v>
      </c>
      <c r="B915" s="664"/>
      <c r="C915" s="372"/>
      <c r="D915" s="372"/>
      <c r="E915" s="635" t="s">
        <v>553</v>
      </c>
      <c r="F915" s="372" t="s">
        <v>810</v>
      </c>
      <c r="G915" s="664"/>
      <c r="H915" s="664"/>
      <c r="I915" s="664"/>
      <c r="J915" s="664"/>
      <c r="K915" s="661"/>
      <c r="L915" s="661"/>
      <c r="M915" s="661"/>
      <c r="N915" s="661"/>
      <c r="O915" s="661"/>
      <c r="P915" s="661"/>
      <c r="Q915" s="645"/>
      <c r="R915" s="372" t="s">
        <v>608</v>
      </c>
      <c r="S915" s="664"/>
      <c r="T915" s="664"/>
    </row>
    <row r="916" spans="1:20">
      <c r="A916" s="372"/>
      <c r="B916" s="372"/>
      <c r="C916" s="372"/>
      <c r="D916" s="372"/>
      <c r="E916" s="372"/>
      <c r="F916" s="372" t="s">
        <v>811</v>
      </c>
      <c r="G916" s="372"/>
      <c r="H916" s="372"/>
      <c r="I916" s="372"/>
      <c r="J916" s="372"/>
      <c r="K916" s="636"/>
      <c r="L916" s="636"/>
      <c r="M916" s="372"/>
      <c r="N916" s="372"/>
      <c r="O916" s="635"/>
      <c r="P916" s="635"/>
      <c r="Q916" s="635" t="s">
        <v>12</v>
      </c>
      <c r="R916" s="636" t="s">
        <v>9</v>
      </c>
      <c r="S916" s="372"/>
      <c r="T916" s="372"/>
    </row>
    <row r="917" spans="1:20">
      <c r="A917" s="372" t="s">
        <v>10</v>
      </c>
      <c r="B917" s="372"/>
      <c r="C917" s="372"/>
      <c r="D917" s="372"/>
      <c r="E917" s="372"/>
      <c r="F917" s="372"/>
      <c r="G917" s="372"/>
      <c r="H917" s="372"/>
      <c r="I917" s="372"/>
      <c r="J917" s="372"/>
      <c r="K917" s="636"/>
      <c r="L917" s="636"/>
      <c r="M917" s="372"/>
      <c r="N917" s="372"/>
      <c r="O917" s="372"/>
      <c r="P917" s="372"/>
      <c r="Q917" s="635"/>
      <c r="R917" s="636" t="s">
        <v>11</v>
      </c>
      <c r="S917" s="372"/>
      <c r="T917" s="372"/>
    </row>
    <row r="918" spans="1:20">
      <c r="A918" s="372"/>
      <c r="B918" s="372"/>
      <c r="C918" s="372"/>
      <c r="D918" s="372"/>
      <c r="E918" s="372"/>
      <c r="F918" s="372"/>
      <c r="G918" s="372"/>
      <c r="H918" s="372"/>
      <c r="I918" s="372"/>
      <c r="J918" s="372"/>
      <c r="K918" s="636"/>
      <c r="L918" s="636"/>
      <c r="M918" s="372"/>
      <c r="N918" s="372"/>
      <c r="O918" s="372"/>
      <c r="P918" s="372"/>
      <c r="Q918" s="635"/>
      <c r="R918" s="636" t="s">
        <v>13</v>
      </c>
      <c r="S918" s="372"/>
      <c r="T918" s="372"/>
    </row>
    <row r="919" spans="1:20">
      <c r="A919" s="372"/>
      <c r="B919" s="372"/>
      <c r="C919" s="372"/>
      <c r="D919" s="372"/>
      <c r="E919" s="372"/>
      <c r="F919" s="372"/>
      <c r="G919" s="372"/>
      <c r="H919" s="372"/>
      <c r="I919" s="372"/>
      <c r="J919" s="372"/>
      <c r="K919" s="636"/>
      <c r="L919" s="636"/>
      <c r="M919" s="372"/>
      <c r="N919" s="372"/>
      <c r="O919" s="372"/>
      <c r="P919" s="372"/>
      <c r="Q919" s="635"/>
      <c r="R919" s="636" t="s">
        <v>610</v>
      </c>
      <c r="S919" s="372"/>
      <c r="T919" s="372"/>
    </row>
    <row r="920" spans="1:20" ht="15" thickBot="1">
      <c r="A920" s="625" t="s">
        <v>611</v>
      </c>
      <c r="B920" s="625"/>
      <c r="C920" s="625"/>
      <c r="D920" s="625"/>
      <c r="E920" s="625"/>
      <c r="F920" s="625"/>
      <c r="G920" s="625"/>
      <c r="H920" s="637" t="s">
        <v>812</v>
      </c>
      <c r="I920" s="625"/>
      <c r="J920" s="625"/>
      <c r="K920" s="625"/>
      <c r="L920" s="625"/>
      <c r="M920" s="625"/>
      <c r="N920" s="625"/>
      <c r="O920" s="625"/>
      <c r="P920" s="625"/>
      <c r="Q920" s="638"/>
      <c r="R920" s="625" t="s">
        <v>249</v>
      </c>
      <c r="S920" s="625"/>
      <c r="T920" s="625"/>
    </row>
    <row r="921" spans="1:20">
      <c r="A921" s="664"/>
      <c r="B921" s="664"/>
      <c r="C921" s="634"/>
      <c r="D921" s="634"/>
      <c r="E921" s="634"/>
      <c r="F921" s="634"/>
      <c r="G921" s="634"/>
      <c r="H921" s="634"/>
      <c r="I921" s="634"/>
      <c r="J921" s="634"/>
      <c r="K921" s="634"/>
      <c r="L921" s="634"/>
      <c r="M921" s="634"/>
      <c r="N921" s="634"/>
      <c r="O921" s="634"/>
      <c r="P921" s="634"/>
      <c r="Q921" s="635"/>
      <c r="R921" s="634"/>
      <c r="S921" s="634"/>
      <c r="T921" s="634"/>
    </row>
    <row r="922" spans="1:20">
      <c r="A922" s="372"/>
      <c r="B922" s="372"/>
      <c r="C922" s="634">
        <v>-1</v>
      </c>
      <c r="D922" s="634">
        <v>-2</v>
      </c>
      <c r="E922" s="634"/>
      <c r="F922" s="634">
        <v>-3</v>
      </c>
      <c r="G922" s="634"/>
      <c r="H922" s="634">
        <v>-4</v>
      </c>
      <c r="I922" s="634"/>
      <c r="J922" s="634">
        <v>-5</v>
      </c>
      <c r="K922" s="634"/>
      <c r="L922" s="634">
        <v>-6</v>
      </c>
      <c r="M922" s="634"/>
      <c r="N922" s="634">
        <v>-7</v>
      </c>
      <c r="O922" s="634"/>
      <c r="P922" s="634">
        <v>-8</v>
      </c>
      <c r="Q922" s="635"/>
      <c r="R922" s="634">
        <v>-9</v>
      </c>
      <c r="S922" s="634"/>
      <c r="T922" s="634">
        <v>-10</v>
      </c>
    </row>
    <row r="923" spans="1:20">
      <c r="A923" s="372"/>
      <c r="B923" s="372"/>
      <c r="C923" s="634" t="s">
        <v>613</v>
      </c>
      <c r="D923" s="634" t="s">
        <v>613</v>
      </c>
      <c r="E923" s="372"/>
      <c r="F923" s="634" t="s">
        <v>27</v>
      </c>
      <c r="G923" s="634"/>
      <c r="H923" s="634" t="s">
        <v>45</v>
      </c>
      <c r="I923" s="634"/>
      <c r="J923" s="634"/>
      <c r="K923" s="634"/>
      <c r="L923" s="634"/>
      <c r="M923" s="634"/>
      <c r="N923" s="372"/>
      <c r="O923" s="372"/>
      <c r="P923" s="372"/>
      <c r="Q923" s="635"/>
      <c r="R923" s="634" t="s">
        <v>27</v>
      </c>
      <c r="S923" s="372"/>
      <c r="T923" s="372"/>
    </row>
    <row r="924" spans="1:20">
      <c r="A924" s="634" t="s">
        <v>35</v>
      </c>
      <c r="B924" s="634"/>
      <c r="C924" s="634" t="s">
        <v>614</v>
      </c>
      <c r="D924" s="634" t="s">
        <v>614</v>
      </c>
      <c r="E924" s="634"/>
      <c r="F924" s="634" t="s">
        <v>37</v>
      </c>
      <c r="G924" s="634"/>
      <c r="H924" s="634" t="s">
        <v>37</v>
      </c>
      <c r="I924" s="634"/>
      <c r="J924" s="634"/>
      <c r="K924" s="634"/>
      <c r="L924" s="634" t="s">
        <v>813</v>
      </c>
      <c r="M924" s="636"/>
      <c r="N924" s="634" t="s">
        <v>813</v>
      </c>
      <c r="O924" s="634"/>
      <c r="P924" s="634" t="s">
        <v>178</v>
      </c>
      <c r="Q924" s="635"/>
      <c r="R924" s="634" t="s">
        <v>37</v>
      </c>
      <c r="S924" s="634"/>
      <c r="T924" s="634" t="s">
        <v>353</v>
      </c>
    </row>
    <row r="925" spans="1:20" ht="15" thickBot="1">
      <c r="A925" s="637" t="s">
        <v>46</v>
      </c>
      <c r="B925" s="637"/>
      <c r="C925" s="637" t="s">
        <v>371</v>
      </c>
      <c r="D925" s="637" t="s">
        <v>617</v>
      </c>
      <c r="E925" s="637"/>
      <c r="F925" s="637" t="s">
        <v>619</v>
      </c>
      <c r="G925" s="637"/>
      <c r="H925" s="637" t="s">
        <v>814</v>
      </c>
      <c r="I925" s="637"/>
      <c r="J925" s="637" t="s">
        <v>815</v>
      </c>
      <c r="K925" s="637"/>
      <c r="L925" s="637" t="s">
        <v>816</v>
      </c>
      <c r="M925" s="637"/>
      <c r="N925" s="637" t="s">
        <v>817</v>
      </c>
      <c r="O925" s="637"/>
      <c r="P925" s="637" t="s">
        <v>622</v>
      </c>
      <c r="Q925" s="638"/>
      <c r="R925" s="637" t="s">
        <v>623</v>
      </c>
      <c r="S925" s="637"/>
      <c r="T925" s="637" t="s">
        <v>369</v>
      </c>
    </row>
    <row r="926" spans="1:20">
      <c r="A926" s="634">
        <v>1</v>
      </c>
      <c r="B926" s="639"/>
      <c r="C926" s="372"/>
      <c r="D926" s="372"/>
      <c r="E926" s="664"/>
      <c r="F926" s="664"/>
      <c r="G926" s="664"/>
      <c r="H926" s="664"/>
      <c r="I926" s="664"/>
      <c r="J926" s="664"/>
      <c r="K926" s="664"/>
      <c r="L926" s="664"/>
      <c r="M926" s="664"/>
      <c r="N926" s="664"/>
      <c r="O926" s="664"/>
      <c r="P926" s="664"/>
      <c r="Q926" s="635"/>
      <c r="R926" s="372"/>
      <c r="S926" s="664"/>
      <c r="T926" s="664"/>
    </row>
    <row r="927" spans="1:20">
      <c r="A927" s="634">
        <v>2</v>
      </c>
      <c r="B927" s="639"/>
      <c r="C927" s="372"/>
      <c r="D927" s="372" t="s">
        <v>714</v>
      </c>
      <c r="E927" s="372"/>
      <c r="F927" s="372"/>
      <c r="G927" s="372"/>
      <c r="H927" s="372"/>
      <c r="I927" s="635"/>
      <c r="J927" s="372"/>
      <c r="K927" s="635"/>
      <c r="L927" s="372"/>
      <c r="M927" s="635"/>
      <c r="N927" s="372"/>
      <c r="O927" s="372"/>
      <c r="P927" s="372"/>
      <c r="Q927" s="635"/>
      <c r="R927" s="372"/>
      <c r="S927" s="635"/>
      <c r="T927" s="372"/>
    </row>
    <row r="928" spans="1:20">
      <c r="A928" s="634">
        <v>3</v>
      </c>
      <c r="B928" s="639"/>
      <c r="C928" s="634">
        <v>34199</v>
      </c>
      <c r="D928" s="372" t="s">
        <v>627</v>
      </c>
      <c r="E928" s="372"/>
      <c r="F928" s="640">
        <v>54082</v>
      </c>
      <c r="G928" s="635"/>
      <c r="H928" s="640">
        <v>15863</v>
      </c>
      <c r="I928" s="635"/>
      <c r="J928" s="634" t="s">
        <v>635</v>
      </c>
      <c r="K928" s="372"/>
      <c r="L928" s="634" t="s">
        <v>635</v>
      </c>
      <c r="M928" s="372"/>
      <c r="N928" s="634" t="s">
        <v>635</v>
      </c>
      <c r="O928" s="634"/>
      <c r="P928" s="634" t="s">
        <v>635</v>
      </c>
      <c r="Q928" s="635"/>
      <c r="R928" s="640">
        <v>69945</v>
      </c>
      <c r="S928" s="372"/>
      <c r="T928" s="640">
        <v>62014</v>
      </c>
    </row>
    <row r="929" spans="1:20">
      <c r="A929" s="634">
        <v>4</v>
      </c>
      <c r="B929" s="639"/>
      <c r="C929" s="634">
        <v>34399</v>
      </c>
      <c r="D929" s="372" t="s">
        <v>667</v>
      </c>
      <c r="E929" s="372"/>
      <c r="F929" s="640">
        <v>92762</v>
      </c>
      <c r="G929" s="635"/>
      <c r="H929" s="640">
        <v>32971</v>
      </c>
      <c r="I929" s="635"/>
      <c r="J929" s="634" t="s">
        <v>635</v>
      </c>
      <c r="K929" s="372"/>
      <c r="L929" s="634" t="s">
        <v>635</v>
      </c>
      <c r="M929" s="372"/>
      <c r="N929" s="634" t="s">
        <v>635</v>
      </c>
      <c r="O929" s="634"/>
      <c r="P929" s="634" t="s">
        <v>635</v>
      </c>
      <c r="Q929" s="635"/>
      <c r="R929" s="640">
        <v>125733</v>
      </c>
      <c r="S929" s="372"/>
      <c r="T929" s="640">
        <v>109213</v>
      </c>
    </row>
    <row r="930" spans="1:20">
      <c r="A930" s="634">
        <v>5</v>
      </c>
      <c r="B930" s="639"/>
      <c r="C930" s="634">
        <v>34599</v>
      </c>
      <c r="D930" s="372" t="s">
        <v>631</v>
      </c>
      <c r="E930" s="372"/>
      <c r="F930" s="640">
        <v>37445</v>
      </c>
      <c r="G930" s="635"/>
      <c r="H930" s="640">
        <v>10972</v>
      </c>
      <c r="I930" s="635"/>
      <c r="J930" s="634" t="s">
        <v>635</v>
      </c>
      <c r="K930" s="372"/>
      <c r="L930" s="634" t="s">
        <v>635</v>
      </c>
      <c r="M930" s="372"/>
      <c r="N930" s="634" t="s">
        <v>635</v>
      </c>
      <c r="O930" s="634"/>
      <c r="P930" s="634" t="s">
        <v>635</v>
      </c>
      <c r="Q930" s="635"/>
      <c r="R930" s="640">
        <v>48417</v>
      </c>
      <c r="S930" s="372"/>
      <c r="T930" s="640">
        <v>42931</v>
      </c>
    </row>
    <row r="931" spans="1:20">
      <c r="A931" s="634">
        <v>6</v>
      </c>
      <c r="B931" s="639"/>
      <c r="C931" s="634">
        <v>34899</v>
      </c>
      <c r="D931" s="372" t="s">
        <v>715</v>
      </c>
      <c r="E931" s="372"/>
      <c r="F931" s="640">
        <v>4327</v>
      </c>
      <c r="G931" s="635"/>
      <c r="H931" s="640">
        <v>10861</v>
      </c>
      <c r="I931" s="635"/>
      <c r="J931" s="634" t="s">
        <v>635</v>
      </c>
      <c r="K931" s="372"/>
      <c r="L931" s="634" t="s">
        <v>635</v>
      </c>
      <c r="M931" s="372"/>
      <c r="N931" s="634" t="s">
        <v>635</v>
      </c>
      <c r="O931" s="634"/>
      <c r="P931" s="634" t="s">
        <v>635</v>
      </c>
      <c r="Q931" s="635"/>
      <c r="R931" s="640">
        <v>15188</v>
      </c>
      <c r="S931" s="372"/>
      <c r="T931" s="640">
        <v>8753</v>
      </c>
    </row>
    <row r="932" spans="1:20" ht="15" thickBot="1">
      <c r="A932" s="634">
        <v>7</v>
      </c>
      <c r="B932" s="639"/>
      <c r="C932" s="634"/>
      <c r="D932" s="372" t="s">
        <v>716</v>
      </c>
      <c r="E932" s="372"/>
      <c r="F932" s="650">
        <v>188616</v>
      </c>
      <c r="G932" s="372"/>
      <c r="H932" s="650">
        <v>70667</v>
      </c>
      <c r="I932" s="635"/>
      <c r="J932" s="651" t="s">
        <v>635</v>
      </c>
      <c r="K932" s="635"/>
      <c r="L932" s="651" t="s">
        <v>635</v>
      </c>
      <c r="M932" s="635"/>
      <c r="N932" s="651" t="s">
        <v>635</v>
      </c>
      <c r="O932" s="635"/>
      <c r="P932" s="651" t="s">
        <v>635</v>
      </c>
      <c r="Q932" s="635"/>
      <c r="R932" s="650">
        <v>259283</v>
      </c>
      <c r="S932" s="635"/>
      <c r="T932" s="650">
        <v>222910</v>
      </c>
    </row>
    <row r="933" spans="1:20" ht="15" thickTop="1">
      <c r="A933" s="634">
        <v>8</v>
      </c>
      <c r="B933" s="639"/>
      <c r="C933" s="372"/>
      <c r="D933" s="372"/>
      <c r="E933" s="372"/>
      <c r="F933" s="372"/>
      <c r="G933" s="372"/>
      <c r="H933" s="372"/>
      <c r="I933" s="372"/>
      <c r="J933" s="372"/>
      <c r="K933" s="372"/>
      <c r="L933" s="372"/>
      <c r="M933" s="372"/>
      <c r="N933" s="372"/>
      <c r="O933" s="372"/>
      <c r="P933" s="372"/>
      <c r="Q933" s="635"/>
      <c r="R933" s="372"/>
      <c r="S933" s="635"/>
      <c r="T933" s="372"/>
    </row>
    <row r="934" spans="1:20">
      <c r="A934" s="634">
        <v>9</v>
      </c>
      <c r="B934" s="639"/>
      <c r="C934" s="372"/>
      <c r="D934" s="372" t="s">
        <v>717</v>
      </c>
      <c r="E934" s="372"/>
      <c r="F934" s="372"/>
      <c r="G934" s="635"/>
      <c r="H934" s="634"/>
      <c r="I934" s="635"/>
      <c r="J934" s="634"/>
      <c r="K934" s="372"/>
      <c r="L934" s="372"/>
      <c r="M934" s="372"/>
      <c r="N934" s="372"/>
      <c r="O934" s="634"/>
      <c r="P934" s="634"/>
      <c r="Q934" s="635"/>
      <c r="R934" s="634"/>
      <c r="S934" s="372"/>
      <c r="T934" s="372"/>
    </row>
    <row r="935" spans="1:20">
      <c r="A935" s="634">
        <v>10</v>
      </c>
      <c r="B935" s="639"/>
      <c r="C935" s="634">
        <v>34198</v>
      </c>
      <c r="D935" s="372" t="s">
        <v>627</v>
      </c>
      <c r="E935" s="372"/>
      <c r="F935" s="634" t="s">
        <v>628</v>
      </c>
      <c r="G935" s="635"/>
      <c r="H935" s="634" t="s">
        <v>635</v>
      </c>
      <c r="I935" s="635"/>
      <c r="J935" s="634" t="s">
        <v>635</v>
      </c>
      <c r="K935" s="372"/>
      <c r="L935" s="634" t="s">
        <v>635</v>
      </c>
      <c r="M935" s="372"/>
      <c r="N935" s="634" t="s">
        <v>635</v>
      </c>
      <c r="O935" s="634"/>
      <c r="P935" s="634" t="s">
        <v>635</v>
      </c>
      <c r="Q935" s="635"/>
      <c r="R935" s="634" t="s">
        <v>635</v>
      </c>
      <c r="S935" s="372"/>
      <c r="T935" s="634" t="s">
        <v>635</v>
      </c>
    </row>
    <row r="936" spans="1:20">
      <c r="A936" s="634">
        <v>11</v>
      </c>
      <c r="B936" s="639"/>
      <c r="C936" s="634">
        <v>34398</v>
      </c>
      <c r="D936" s="372" t="s">
        <v>667</v>
      </c>
      <c r="E936" s="372"/>
      <c r="F936" s="634">
        <v>57</v>
      </c>
      <c r="G936" s="635"/>
      <c r="H936" s="634">
        <v>32</v>
      </c>
      <c r="I936" s="635"/>
      <c r="J936" s="634" t="s">
        <v>635</v>
      </c>
      <c r="K936" s="372"/>
      <c r="L936" s="634" t="s">
        <v>635</v>
      </c>
      <c r="M936" s="372"/>
      <c r="N936" s="634" t="s">
        <v>635</v>
      </c>
      <c r="O936" s="634"/>
      <c r="P936" s="634" t="s">
        <v>635</v>
      </c>
      <c r="Q936" s="635"/>
      <c r="R936" s="634">
        <v>89</v>
      </c>
      <c r="S936" s="372"/>
      <c r="T936" s="634">
        <v>73</v>
      </c>
    </row>
    <row r="937" spans="1:20">
      <c r="A937" s="634">
        <v>12</v>
      </c>
      <c r="B937" s="639"/>
      <c r="C937" s="634">
        <v>34598</v>
      </c>
      <c r="D937" s="372" t="s">
        <v>631</v>
      </c>
      <c r="E937" s="372"/>
      <c r="F937" s="634" t="s">
        <v>628</v>
      </c>
      <c r="G937" s="635"/>
      <c r="H937" s="634" t="s">
        <v>635</v>
      </c>
      <c r="I937" s="635"/>
      <c r="J937" s="634" t="s">
        <v>635</v>
      </c>
      <c r="K937" s="372"/>
      <c r="L937" s="634" t="s">
        <v>635</v>
      </c>
      <c r="M937" s="372"/>
      <c r="N937" s="634" t="s">
        <v>635</v>
      </c>
      <c r="O937" s="634"/>
      <c r="P937" s="634" t="s">
        <v>635</v>
      </c>
      <c r="Q937" s="635"/>
      <c r="R937" s="634" t="s">
        <v>635</v>
      </c>
      <c r="S937" s="372"/>
      <c r="T937" s="634" t="s">
        <v>635</v>
      </c>
    </row>
    <row r="938" spans="1:20">
      <c r="A938" s="634">
        <v>13</v>
      </c>
      <c r="B938" s="639"/>
      <c r="C938" s="634">
        <v>34898</v>
      </c>
      <c r="D938" s="372" t="s">
        <v>715</v>
      </c>
      <c r="E938" s="372"/>
      <c r="F938" s="634">
        <v>2</v>
      </c>
      <c r="G938" s="635"/>
      <c r="H938" s="634">
        <v>1</v>
      </c>
      <c r="I938" s="635"/>
      <c r="J938" s="634" t="s">
        <v>635</v>
      </c>
      <c r="K938" s="372"/>
      <c r="L938" s="634" t="s">
        <v>635</v>
      </c>
      <c r="M938" s="372"/>
      <c r="N938" s="634" t="s">
        <v>635</v>
      </c>
      <c r="O938" s="634"/>
      <c r="P938" s="634" t="s">
        <v>635</v>
      </c>
      <c r="Q938" s="635"/>
      <c r="R938" s="634">
        <v>3</v>
      </c>
      <c r="S938" s="372"/>
      <c r="T938" s="634">
        <v>2</v>
      </c>
    </row>
    <row r="939" spans="1:20" ht="15" thickBot="1">
      <c r="A939" s="634">
        <v>14</v>
      </c>
      <c r="B939" s="639"/>
      <c r="C939" s="634"/>
      <c r="D939" s="372" t="s">
        <v>718</v>
      </c>
      <c r="E939" s="372"/>
      <c r="F939" s="651">
        <v>59</v>
      </c>
      <c r="G939" s="372"/>
      <c r="H939" s="651">
        <v>33</v>
      </c>
      <c r="I939" s="635"/>
      <c r="J939" s="651" t="s">
        <v>635</v>
      </c>
      <c r="K939" s="635"/>
      <c r="L939" s="651" t="s">
        <v>635</v>
      </c>
      <c r="M939" s="635"/>
      <c r="N939" s="651" t="s">
        <v>635</v>
      </c>
      <c r="O939" s="635"/>
      <c r="P939" s="651" t="s">
        <v>635</v>
      </c>
      <c r="Q939" s="635"/>
      <c r="R939" s="651">
        <v>92</v>
      </c>
      <c r="S939" s="635"/>
      <c r="T939" s="651">
        <v>75</v>
      </c>
    </row>
    <row r="940" spans="1:20" ht="15" thickTop="1">
      <c r="A940" s="634">
        <v>15</v>
      </c>
      <c r="B940" s="639"/>
      <c r="C940" s="372"/>
      <c r="D940" s="372"/>
      <c r="E940" s="372"/>
      <c r="F940" s="372"/>
      <c r="G940" s="372"/>
      <c r="H940" s="372"/>
      <c r="I940" s="372"/>
      <c r="J940" s="372"/>
      <c r="K940" s="372"/>
      <c r="L940" s="372"/>
      <c r="M940" s="372"/>
      <c r="N940" s="372"/>
      <c r="O940" s="372"/>
      <c r="P940" s="372"/>
      <c r="Q940" s="635"/>
      <c r="R940" s="372"/>
      <c r="S940" s="372"/>
      <c r="T940" s="372"/>
    </row>
    <row r="941" spans="1:20">
      <c r="A941" s="634">
        <v>16</v>
      </c>
      <c r="B941" s="639"/>
      <c r="C941" s="634"/>
      <c r="D941" s="636" t="s">
        <v>719</v>
      </c>
      <c r="E941" s="372"/>
      <c r="F941" s="372"/>
      <c r="G941" s="372"/>
      <c r="H941" s="372"/>
      <c r="I941" s="372"/>
      <c r="J941" s="372"/>
      <c r="K941" s="372"/>
      <c r="L941" s="372"/>
      <c r="M941" s="372"/>
      <c r="N941" s="372"/>
      <c r="O941" s="372"/>
      <c r="P941" s="372"/>
      <c r="Q941" s="635"/>
      <c r="R941" s="372"/>
      <c r="S941" s="372"/>
      <c r="T941" s="372"/>
    </row>
    <row r="942" spans="1:20">
      <c r="A942" s="634">
        <v>17</v>
      </c>
      <c r="B942" s="639"/>
      <c r="C942" s="634">
        <v>34120</v>
      </c>
      <c r="D942" s="372" t="s">
        <v>627</v>
      </c>
      <c r="E942" s="372"/>
      <c r="F942" s="634" t="s">
        <v>628</v>
      </c>
      <c r="G942" s="635"/>
      <c r="H942" s="634" t="s">
        <v>635</v>
      </c>
      <c r="I942" s="635"/>
      <c r="J942" s="634" t="s">
        <v>635</v>
      </c>
      <c r="K942" s="372"/>
      <c r="L942" s="634" t="s">
        <v>635</v>
      </c>
      <c r="M942" s="372"/>
      <c r="N942" s="634" t="s">
        <v>635</v>
      </c>
      <c r="O942" s="634"/>
      <c r="P942" s="634" t="s">
        <v>635</v>
      </c>
      <c r="Q942" s="635"/>
      <c r="R942" s="634" t="s">
        <v>635</v>
      </c>
      <c r="S942" s="372"/>
      <c r="T942" s="634" t="s">
        <v>635</v>
      </c>
    </row>
    <row r="943" spans="1:20">
      <c r="A943" s="634">
        <v>18</v>
      </c>
      <c r="B943" s="644"/>
      <c r="C943" s="634">
        <v>34220</v>
      </c>
      <c r="D943" s="372" t="s">
        <v>666</v>
      </c>
      <c r="E943" s="372"/>
      <c r="F943" s="634" t="s">
        <v>628</v>
      </c>
      <c r="G943" s="635"/>
      <c r="H943" s="634">
        <v>762</v>
      </c>
      <c r="I943" s="635"/>
      <c r="J943" s="634" t="s">
        <v>635</v>
      </c>
      <c r="K943" s="372"/>
      <c r="L943" s="634" t="s">
        <v>635</v>
      </c>
      <c r="M943" s="372"/>
      <c r="N943" s="634" t="s">
        <v>635</v>
      </c>
      <c r="O943" s="634"/>
      <c r="P943" s="634" t="s">
        <v>635</v>
      </c>
      <c r="Q943" s="635"/>
      <c r="R943" s="634">
        <v>762</v>
      </c>
      <c r="S943" s="372"/>
      <c r="T943" s="634">
        <v>262</v>
      </c>
    </row>
    <row r="944" spans="1:20">
      <c r="A944" s="634">
        <v>19</v>
      </c>
      <c r="B944" s="644"/>
      <c r="C944" s="634">
        <v>34320</v>
      </c>
      <c r="D944" s="372" t="s">
        <v>667</v>
      </c>
      <c r="E944" s="372"/>
      <c r="F944" s="634" t="s">
        <v>628</v>
      </c>
      <c r="G944" s="635"/>
      <c r="H944" s="634">
        <v>720</v>
      </c>
      <c r="I944" s="635"/>
      <c r="J944" s="634" t="s">
        <v>635</v>
      </c>
      <c r="K944" s="372"/>
      <c r="L944" s="634" t="s">
        <v>635</v>
      </c>
      <c r="M944" s="372"/>
      <c r="N944" s="634" t="s">
        <v>635</v>
      </c>
      <c r="O944" s="634"/>
      <c r="P944" s="634" t="s">
        <v>635</v>
      </c>
      <c r="Q944" s="635"/>
      <c r="R944" s="634">
        <v>720</v>
      </c>
      <c r="S944" s="372"/>
      <c r="T944" s="634">
        <v>248</v>
      </c>
    </row>
    <row r="945" spans="1:20">
      <c r="A945" s="634">
        <v>20</v>
      </c>
      <c r="B945" s="639"/>
      <c r="C945" s="634">
        <v>34520</v>
      </c>
      <c r="D945" s="372" t="s">
        <v>631</v>
      </c>
      <c r="E945" s="372"/>
      <c r="F945" s="634" t="s">
        <v>628</v>
      </c>
      <c r="G945" s="635"/>
      <c r="H945" s="634" t="s">
        <v>635</v>
      </c>
      <c r="I945" s="635"/>
      <c r="J945" s="634" t="s">
        <v>635</v>
      </c>
      <c r="K945" s="372"/>
      <c r="L945" s="634" t="s">
        <v>635</v>
      </c>
      <c r="M945" s="372"/>
      <c r="N945" s="634" t="s">
        <v>635</v>
      </c>
      <c r="O945" s="634"/>
      <c r="P945" s="634" t="s">
        <v>635</v>
      </c>
      <c r="Q945" s="635"/>
      <c r="R945" s="634" t="s">
        <v>635</v>
      </c>
      <c r="S945" s="372"/>
      <c r="T945" s="634" t="s">
        <v>635</v>
      </c>
    </row>
    <row r="946" spans="1:20">
      <c r="A946" s="634">
        <v>21</v>
      </c>
      <c r="B946" s="639"/>
      <c r="C946" s="634">
        <v>34620</v>
      </c>
      <c r="D946" s="372" t="s">
        <v>632</v>
      </c>
      <c r="E946" s="372"/>
      <c r="F946" s="634" t="s">
        <v>628</v>
      </c>
      <c r="G946" s="635"/>
      <c r="H946" s="634" t="s">
        <v>635</v>
      </c>
      <c r="I946" s="635"/>
      <c r="J946" s="634" t="s">
        <v>635</v>
      </c>
      <c r="K946" s="372"/>
      <c r="L946" s="634" t="s">
        <v>635</v>
      </c>
      <c r="M946" s="372"/>
      <c r="N946" s="634" t="s">
        <v>635</v>
      </c>
      <c r="O946" s="634"/>
      <c r="P946" s="634" t="s">
        <v>635</v>
      </c>
      <c r="Q946" s="635"/>
      <c r="R946" s="634" t="s">
        <v>635</v>
      </c>
      <c r="S946" s="372"/>
      <c r="T946" s="634" t="s">
        <v>635</v>
      </c>
    </row>
    <row r="947" spans="1:20">
      <c r="A947" s="634">
        <v>22</v>
      </c>
      <c r="B947" s="639"/>
      <c r="C947" s="634">
        <v>34820</v>
      </c>
      <c r="D947" s="372" t="s">
        <v>715</v>
      </c>
      <c r="E947" s="372"/>
      <c r="F947" s="634" t="s">
        <v>628</v>
      </c>
      <c r="G947" s="635"/>
      <c r="H947" s="640">
        <v>1964</v>
      </c>
      <c r="I947" s="635"/>
      <c r="J947" s="634" t="s">
        <v>635</v>
      </c>
      <c r="K947" s="372"/>
      <c r="L947" s="634" t="s">
        <v>635</v>
      </c>
      <c r="M947" s="372"/>
      <c r="N947" s="634" t="s">
        <v>635</v>
      </c>
      <c r="O947" s="634"/>
      <c r="P947" s="634" t="s">
        <v>635</v>
      </c>
      <c r="Q947" s="635"/>
      <c r="R947" s="640">
        <v>1964</v>
      </c>
      <c r="S947" s="372"/>
      <c r="T947" s="634">
        <v>663</v>
      </c>
    </row>
    <row r="948" spans="1:20" ht="15" thickBot="1">
      <c r="A948" s="634">
        <v>23</v>
      </c>
      <c r="B948" s="639"/>
      <c r="C948" s="372"/>
      <c r="D948" s="636" t="s">
        <v>720</v>
      </c>
      <c r="E948" s="372"/>
      <c r="F948" s="651" t="s">
        <v>628</v>
      </c>
      <c r="G948" s="372"/>
      <c r="H948" s="650">
        <v>3446</v>
      </c>
      <c r="I948" s="635"/>
      <c r="J948" s="651" t="s">
        <v>635</v>
      </c>
      <c r="K948" s="635"/>
      <c r="L948" s="651" t="s">
        <v>635</v>
      </c>
      <c r="M948" s="635"/>
      <c r="N948" s="651" t="s">
        <v>635</v>
      </c>
      <c r="O948" s="635"/>
      <c r="P948" s="651" t="s">
        <v>635</v>
      </c>
      <c r="Q948" s="635"/>
      <c r="R948" s="650">
        <v>3446</v>
      </c>
      <c r="S948" s="372"/>
      <c r="T948" s="650">
        <v>1172</v>
      </c>
    </row>
    <row r="949" spans="1:20" ht="15" thickTop="1">
      <c r="A949" s="634">
        <v>24</v>
      </c>
      <c r="B949" s="639"/>
      <c r="C949" s="372"/>
      <c r="D949" s="372"/>
      <c r="E949" s="372"/>
      <c r="F949" s="372"/>
      <c r="G949" s="372"/>
      <c r="H949" s="372"/>
      <c r="I949" s="372"/>
      <c r="J949" s="372"/>
      <c r="K949" s="372"/>
      <c r="L949" s="372"/>
      <c r="M949" s="372"/>
      <c r="N949" s="372"/>
      <c r="O949" s="372"/>
      <c r="P949" s="372"/>
      <c r="Q949" s="372"/>
      <c r="R949" s="372"/>
      <c r="S949" s="635"/>
      <c r="T949" s="372"/>
    </row>
    <row r="950" spans="1:20" ht="15" thickBot="1">
      <c r="A950" s="634">
        <v>25</v>
      </c>
      <c r="B950" s="639"/>
      <c r="C950" s="634"/>
      <c r="D950" s="372" t="s">
        <v>721</v>
      </c>
      <c r="E950" s="372"/>
      <c r="F950" s="646">
        <v>1375326</v>
      </c>
      <c r="G950" s="372"/>
      <c r="H950" s="646">
        <v>219936</v>
      </c>
      <c r="I950" s="635"/>
      <c r="J950" s="646">
        <v>-22083</v>
      </c>
      <c r="K950" s="635"/>
      <c r="L950" s="646">
        <v>-6711</v>
      </c>
      <c r="M950" s="635"/>
      <c r="N950" s="647" t="s">
        <v>628</v>
      </c>
      <c r="O950" s="372"/>
      <c r="P950" s="647" t="s">
        <v>635</v>
      </c>
      <c r="Q950" s="635"/>
      <c r="R950" s="646">
        <v>1566469</v>
      </c>
      <c r="S950" s="635"/>
      <c r="T950" s="646">
        <v>1471882</v>
      </c>
    </row>
    <row r="951" spans="1:20" ht="15" thickTop="1">
      <c r="A951" s="634">
        <v>26</v>
      </c>
      <c r="B951" s="372"/>
      <c r="C951" s="372"/>
      <c r="D951" s="372"/>
      <c r="E951" s="372"/>
      <c r="F951" s="372"/>
      <c r="G951" s="372"/>
      <c r="H951" s="372"/>
      <c r="I951" s="635"/>
      <c r="J951" s="635"/>
      <c r="K951" s="635"/>
      <c r="L951" s="635"/>
      <c r="M951" s="635"/>
      <c r="N951" s="635"/>
      <c r="O951" s="635"/>
      <c r="P951" s="635"/>
      <c r="Q951" s="635"/>
      <c r="R951" s="635"/>
      <c r="S951" s="635"/>
      <c r="T951" s="635"/>
    </row>
    <row r="952" spans="1:20" ht="15" thickBot="1">
      <c r="A952" s="634">
        <v>27</v>
      </c>
      <c r="B952" s="372"/>
      <c r="C952" s="372"/>
      <c r="D952" s="372" t="s">
        <v>722</v>
      </c>
      <c r="E952" s="372"/>
      <c r="F952" s="646">
        <v>1930257</v>
      </c>
      <c r="G952" s="372"/>
      <c r="H952" s="646">
        <v>279342</v>
      </c>
      <c r="I952" s="635"/>
      <c r="J952" s="646">
        <v>-25807</v>
      </c>
      <c r="K952" s="635"/>
      <c r="L952" s="646">
        <v>-8427</v>
      </c>
      <c r="M952" s="635"/>
      <c r="N952" s="647" t="s">
        <v>628</v>
      </c>
      <c r="O952" s="372"/>
      <c r="P952" s="647" t="s">
        <v>635</v>
      </c>
      <c r="Q952" s="635"/>
      <c r="R952" s="646">
        <v>2175365</v>
      </c>
      <c r="S952" s="372"/>
      <c r="T952" s="646">
        <v>2054088</v>
      </c>
    </row>
    <row r="953" spans="1:20" ht="15" thickTop="1">
      <c r="A953" s="634">
        <v>28</v>
      </c>
      <c r="B953" s="639"/>
      <c r="C953" s="372"/>
      <c r="D953" s="372"/>
      <c r="E953" s="372"/>
      <c r="F953" s="372"/>
      <c r="G953" s="372"/>
      <c r="H953" s="372"/>
      <c r="I953" s="372"/>
      <c r="J953" s="372"/>
      <c r="K953" s="372"/>
      <c r="L953" s="372"/>
      <c r="M953" s="372"/>
      <c r="N953" s="372"/>
      <c r="O953" s="372"/>
      <c r="P953" s="372"/>
      <c r="Q953" s="635"/>
      <c r="R953" s="372"/>
      <c r="S953" s="372"/>
      <c r="T953" s="372"/>
    </row>
    <row r="954" spans="1:20">
      <c r="A954" s="634">
        <v>29</v>
      </c>
      <c r="B954" s="639"/>
      <c r="C954" s="634"/>
      <c r="D954" s="372" t="s">
        <v>723</v>
      </c>
      <c r="E954" s="372"/>
      <c r="F954" s="372"/>
      <c r="G954" s="372"/>
      <c r="H954" s="372"/>
      <c r="I954" s="635"/>
      <c r="J954" s="635"/>
      <c r="K954" s="634"/>
      <c r="L954" s="635"/>
      <c r="M954" s="634"/>
      <c r="N954" s="635"/>
      <c r="O954" s="634"/>
      <c r="P954" s="635"/>
      <c r="Q954" s="635"/>
      <c r="R954" s="635"/>
      <c r="S954" s="634"/>
      <c r="T954" s="634"/>
    </row>
    <row r="955" spans="1:20">
      <c r="A955" s="634">
        <v>30</v>
      </c>
      <c r="B955" s="639"/>
      <c r="C955" s="634">
        <v>35001</v>
      </c>
      <c r="D955" s="372" t="s">
        <v>724</v>
      </c>
      <c r="E955" s="372"/>
      <c r="F955" s="640">
        <v>5089</v>
      </c>
      <c r="G955" s="635"/>
      <c r="H955" s="634">
        <v>187</v>
      </c>
      <c r="I955" s="635"/>
      <c r="J955" s="634" t="s">
        <v>635</v>
      </c>
      <c r="K955" s="372"/>
      <c r="L955" s="634" t="s">
        <v>635</v>
      </c>
      <c r="M955" s="372"/>
      <c r="N955" s="634" t="s">
        <v>635</v>
      </c>
      <c r="O955" s="634"/>
      <c r="P955" s="634" t="s">
        <v>635</v>
      </c>
      <c r="Q955" s="635"/>
      <c r="R955" s="640">
        <v>5276</v>
      </c>
      <c r="S955" s="372"/>
      <c r="T955" s="640">
        <v>5183</v>
      </c>
    </row>
    <row r="956" spans="1:20">
      <c r="A956" s="634">
        <v>31</v>
      </c>
      <c r="B956" s="639"/>
      <c r="C956" s="634">
        <v>35100</v>
      </c>
      <c r="D956" s="372" t="s">
        <v>725</v>
      </c>
      <c r="E956" s="372"/>
      <c r="F956" s="634" t="s">
        <v>628</v>
      </c>
      <c r="G956" s="635"/>
      <c r="H956" s="634" t="s">
        <v>635</v>
      </c>
      <c r="I956" s="635"/>
      <c r="J956" s="634" t="s">
        <v>635</v>
      </c>
      <c r="K956" s="372"/>
      <c r="L956" s="634" t="s">
        <v>635</v>
      </c>
      <c r="M956" s="372"/>
      <c r="N956" s="634" t="s">
        <v>635</v>
      </c>
      <c r="O956" s="634"/>
      <c r="P956" s="634" t="s">
        <v>635</v>
      </c>
      <c r="Q956" s="635"/>
      <c r="R956" s="634" t="s">
        <v>635</v>
      </c>
      <c r="S956" s="372"/>
      <c r="T956" s="634" t="s">
        <v>635</v>
      </c>
    </row>
    <row r="957" spans="1:20">
      <c r="A957" s="634">
        <v>32</v>
      </c>
      <c r="B957" s="639"/>
      <c r="C957" s="634">
        <v>35200</v>
      </c>
      <c r="D957" s="372" t="s">
        <v>726</v>
      </c>
      <c r="E957" s="372"/>
      <c r="F957" s="640">
        <v>16146</v>
      </c>
      <c r="G957" s="635"/>
      <c r="H957" s="640">
        <v>1655</v>
      </c>
      <c r="I957" s="635"/>
      <c r="J957" s="634" t="s">
        <v>635</v>
      </c>
      <c r="K957" s="372"/>
      <c r="L957" s="634" t="s">
        <v>635</v>
      </c>
      <c r="M957" s="372"/>
      <c r="N957" s="634" t="s">
        <v>635</v>
      </c>
      <c r="O957" s="634"/>
      <c r="P957" s="634" t="s">
        <v>635</v>
      </c>
      <c r="Q957" s="635"/>
      <c r="R957" s="640">
        <v>17801</v>
      </c>
      <c r="S957" s="372"/>
      <c r="T957" s="640">
        <v>16974</v>
      </c>
    </row>
    <row r="958" spans="1:20">
      <c r="A958" s="634">
        <v>33</v>
      </c>
      <c r="B958" s="639"/>
      <c r="C958" s="634">
        <v>35300</v>
      </c>
      <c r="D958" s="372" t="s">
        <v>727</v>
      </c>
      <c r="E958" s="372"/>
      <c r="F958" s="640">
        <v>95817</v>
      </c>
      <c r="G958" s="635"/>
      <c r="H958" s="640">
        <v>10776</v>
      </c>
      <c r="I958" s="635"/>
      <c r="J958" s="640">
        <v>-5514</v>
      </c>
      <c r="K958" s="372"/>
      <c r="L958" s="634">
        <v>4</v>
      </c>
      <c r="M958" s="372"/>
      <c r="N958" s="634" t="s">
        <v>635</v>
      </c>
      <c r="O958" s="634"/>
      <c r="P958" s="634" t="s">
        <v>635</v>
      </c>
      <c r="Q958" s="635"/>
      <c r="R958" s="640">
        <v>101083</v>
      </c>
      <c r="S958" s="372"/>
      <c r="T958" s="640">
        <v>99557</v>
      </c>
    </row>
    <row r="959" spans="1:20">
      <c r="A959" s="634">
        <v>34</v>
      </c>
      <c r="B959" s="639"/>
      <c r="C959" s="634">
        <v>35400</v>
      </c>
      <c r="D959" s="372" t="s">
        <v>728</v>
      </c>
      <c r="E959" s="372"/>
      <c r="F959" s="640">
        <v>5281</v>
      </c>
      <c r="G959" s="635"/>
      <c r="H959" s="634">
        <v>66</v>
      </c>
      <c r="I959" s="635"/>
      <c r="J959" s="634" t="s">
        <v>635</v>
      </c>
      <c r="K959" s="372"/>
      <c r="L959" s="634" t="s">
        <v>635</v>
      </c>
      <c r="M959" s="372"/>
      <c r="N959" s="634" t="s">
        <v>635</v>
      </c>
      <c r="O959" s="634"/>
      <c r="P959" s="634" t="s">
        <v>635</v>
      </c>
      <c r="Q959" s="635"/>
      <c r="R959" s="640">
        <v>5347</v>
      </c>
      <c r="S959" s="372"/>
      <c r="T959" s="640">
        <v>5314</v>
      </c>
    </row>
    <row r="960" spans="1:20">
      <c r="A960" s="634">
        <v>35</v>
      </c>
      <c r="B960" s="639"/>
      <c r="C960" s="634">
        <v>35500</v>
      </c>
      <c r="D960" s="372" t="s">
        <v>729</v>
      </c>
      <c r="E960" s="372"/>
      <c r="F960" s="640">
        <v>139407</v>
      </c>
      <c r="G960" s="635"/>
      <c r="H960" s="640">
        <v>15079</v>
      </c>
      <c r="I960" s="635"/>
      <c r="J960" s="640">
        <v>-5910</v>
      </c>
      <c r="K960" s="372"/>
      <c r="L960" s="640">
        <v>-2931</v>
      </c>
      <c r="M960" s="372"/>
      <c r="N960" s="634" t="s">
        <v>628</v>
      </c>
      <c r="O960" s="634"/>
      <c r="P960" s="634" t="s">
        <v>635</v>
      </c>
      <c r="Q960" s="635"/>
      <c r="R960" s="640">
        <v>145644</v>
      </c>
      <c r="S960" s="372"/>
      <c r="T960" s="640">
        <v>143297</v>
      </c>
    </row>
    <row r="961" spans="1:20">
      <c r="A961" s="634">
        <v>36</v>
      </c>
      <c r="B961" s="639"/>
      <c r="C961" s="634">
        <v>35600</v>
      </c>
      <c r="D961" s="372" t="s">
        <v>730</v>
      </c>
      <c r="E961" s="372"/>
      <c r="F961" s="640">
        <v>31677</v>
      </c>
      <c r="G961" s="635"/>
      <c r="H961" s="640">
        <v>5692</v>
      </c>
      <c r="I961" s="635"/>
      <c r="J961" s="640">
        <v>-5696</v>
      </c>
      <c r="K961" s="372"/>
      <c r="L961" s="634">
        <v>2</v>
      </c>
      <c r="M961" s="372"/>
      <c r="N961" s="634" t="s">
        <v>635</v>
      </c>
      <c r="O961" s="634"/>
      <c r="P961" s="634" t="s">
        <v>635</v>
      </c>
      <c r="Q961" s="635"/>
      <c r="R961" s="640">
        <v>31675</v>
      </c>
      <c r="S961" s="372"/>
      <c r="T961" s="640">
        <v>32778</v>
      </c>
    </row>
    <row r="962" spans="1:20">
      <c r="A962" s="634">
        <v>37</v>
      </c>
      <c r="B962" s="639"/>
      <c r="C962" s="634">
        <v>35601</v>
      </c>
      <c r="D962" s="372" t="s">
        <v>731</v>
      </c>
      <c r="E962" s="372"/>
      <c r="F962" s="640">
        <v>1797</v>
      </c>
      <c r="G962" s="635"/>
      <c r="H962" s="634">
        <v>22</v>
      </c>
      <c r="I962" s="635"/>
      <c r="J962" s="634" t="s">
        <v>635</v>
      </c>
      <c r="K962" s="372"/>
      <c r="L962" s="634" t="s">
        <v>635</v>
      </c>
      <c r="M962" s="372"/>
      <c r="N962" s="634" t="s">
        <v>635</v>
      </c>
      <c r="O962" s="634"/>
      <c r="P962" s="634" t="s">
        <v>635</v>
      </c>
      <c r="Q962" s="635"/>
      <c r="R962" s="640">
        <v>1819</v>
      </c>
      <c r="S962" s="372"/>
      <c r="T962" s="640">
        <v>1808</v>
      </c>
    </row>
    <row r="963" spans="1:20">
      <c r="A963" s="634">
        <v>38</v>
      </c>
      <c r="B963" s="639"/>
      <c r="C963" s="634">
        <v>35700</v>
      </c>
      <c r="D963" s="372" t="s">
        <v>732</v>
      </c>
      <c r="E963" s="372"/>
      <c r="F963" s="640">
        <v>1847</v>
      </c>
      <c r="G963" s="635"/>
      <c r="H963" s="634">
        <v>79</v>
      </c>
      <c r="I963" s="635"/>
      <c r="J963" s="634" t="s">
        <v>635</v>
      </c>
      <c r="K963" s="372"/>
      <c r="L963" s="634" t="s">
        <v>635</v>
      </c>
      <c r="M963" s="372"/>
      <c r="N963" s="634" t="s">
        <v>635</v>
      </c>
      <c r="O963" s="634"/>
      <c r="P963" s="634" t="s">
        <v>635</v>
      </c>
      <c r="Q963" s="635"/>
      <c r="R963" s="640">
        <v>1925</v>
      </c>
      <c r="S963" s="372"/>
      <c r="T963" s="640">
        <v>1886</v>
      </c>
    </row>
    <row r="964" spans="1:20">
      <c r="A964" s="634">
        <v>39</v>
      </c>
      <c r="B964" s="639"/>
      <c r="C964" s="634">
        <v>35800</v>
      </c>
      <c r="D964" s="372" t="s">
        <v>733</v>
      </c>
      <c r="E964" s="372"/>
      <c r="F964" s="640">
        <v>3964</v>
      </c>
      <c r="G964" s="635"/>
      <c r="H964" s="634">
        <v>346</v>
      </c>
      <c r="I964" s="635"/>
      <c r="J964" s="634" t="s">
        <v>635</v>
      </c>
      <c r="K964" s="372"/>
      <c r="L964" s="634" t="s">
        <v>635</v>
      </c>
      <c r="M964" s="372"/>
      <c r="N964" s="634" t="s">
        <v>635</v>
      </c>
      <c r="O964" s="634"/>
      <c r="P964" s="634" t="s">
        <v>635</v>
      </c>
      <c r="Q964" s="635"/>
      <c r="R964" s="640">
        <v>4310</v>
      </c>
      <c r="S964" s="372"/>
      <c r="T964" s="640">
        <v>4137</v>
      </c>
    </row>
    <row r="965" spans="1:20">
      <c r="A965" s="634">
        <v>40</v>
      </c>
      <c r="B965" s="639"/>
      <c r="C965" s="634">
        <v>35900</v>
      </c>
      <c r="D965" s="372" t="s">
        <v>734</v>
      </c>
      <c r="E965" s="372"/>
      <c r="F965" s="640">
        <v>3557</v>
      </c>
      <c r="G965" s="635"/>
      <c r="H965" s="634">
        <v>356</v>
      </c>
      <c r="I965" s="635"/>
      <c r="J965" s="634">
        <v>14</v>
      </c>
      <c r="K965" s="372"/>
      <c r="L965" s="634">
        <v>0</v>
      </c>
      <c r="M965" s="372"/>
      <c r="N965" s="634" t="s">
        <v>635</v>
      </c>
      <c r="O965" s="634"/>
      <c r="P965" s="634" t="s">
        <v>635</v>
      </c>
      <c r="Q965" s="635"/>
      <c r="R965" s="640">
        <v>3927</v>
      </c>
      <c r="S965" s="372"/>
      <c r="T965" s="640">
        <v>3738</v>
      </c>
    </row>
    <row r="966" spans="1:20" ht="15" thickBot="1">
      <c r="A966" s="634">
        <v>41</v>
      </c>
      <c r="B966" s="639"/>
      <c r="C966" s="634"/>
      <c r="D966" s="372" t="s">
        <v>735</v>
      </c>
      <c r="E966" s="372"/>
      <c r="F966" s="648">
        <v>304582</v>
      </c>
      <c r="G966" s="635"/>
      <c r="H966" s="648">
        <v>34258</v>
      </c>
      <c r="I966" s="635"/>
      <c r="J966" s="648">
        <v>-17107</v>
      </c>
      <c r="K966" s="635"/>
      <c r="L966" s="648">
        <v>-2925</v>
      </c>
      <c r="M966" s="635"/>
      <c r="N966" s="649" t="s">
        <v>628</v>
      </c>
      <c r="O966" s="372"/>
      <c r="P966" s="649" t="s">
        <v>635</v>
      </c>
      <c r="Q966" s="635"/>
      <c r="R966" s="648">
        <v>318808</v>
      </c>
      <c r="S966" s="635"/>
      <c r="T966" s="648">
        <v>314672</v>
      </c>
    </row>
    <row r="967" spans="1:20" ht="15" thickTop="1">
      <c r="A967" s="634">
        <v>42</v>
      </c>
      <c r="B967" s="639"/>
      <c r="C967" s="372"/>
      <c r="D967" s="372"/>
      <c r="E967" s="372"/>
      <c r="F967" s="372"/>
      <c r="G967" s="372"/>
      <c r="H967" s="372"/>
      <c r="I967" s="372"/>
      <c r="J967" s="372"/>
      <c r="K967" s="372"/>
      <c r="L967" s="372"/>
      <c r="M967" s="372"/>
      <c r="N967" s="372"/>
      <c r="O967" s="372"/>
      <c r="P967" s="372"/>
      <c r="Q967" s="635"/>
      <c r="R967" s="372"/>
      <c r="S967" s="372"/>
      <c r="T967" s="372"/>
    </row>
    <row r="968" spans="1:20">
      <c r="A968" s="634">
        <v>43</v>
      </c>
      <c r="B968" s="639"/>
      <c r="C968" s="372"/>
      <c r="D968" s="372"/>
      <c r="E968" s="372"/>
      <c r="F968" s="372"/>
      <c r="G968" s="372"/>
      <c r="H968" s="372"/>
      <c r="I968" s="372"/>
      <c r="J968" s="372"/>
      <c r="K968" s="372"/>
      <c r="L968" s="372"/>
      <c r="M968" s="372"/>
      <c r="N968" s="372"/>
      <c r="O968" s="372"/>
      <c r="P968" s="372"/>
      <c r="Q968" s="635"/>
      <c r="R968" s="372"/>
      <c r="S968" s="372"/>
      <c r="T968" s="372"/>
    </row>
    <row r="969" spans="1:20" ht="15" thickBot="1">
      <c r="A969" s="637">
        <v>44</v>
      </c>
      <c r="B969" s="660" t="s">
        <v>67</v>
      </c>
      <c r="C969" s="660"/>
      <c r="D969" s="625"/>
      <c r="E969" s="625"/>
      <c r="F969" s="625"/>
      <c r="G969" s="625"/>
      <c r="H969" s="625"/>
      <c r="I969" s="625"/>
      <c r="J969" s="625"/>
      <c r="K969" s="625"/>
      <c r="L969" s="625"/>
      <c r="M969" s="625"/>
      <c r="N969" s="625"/>
      <c r="O969" s="625"/>
      <c r="P969" s="625"/>
      <c r="Q969" s="638"/>
      <c r="R969" s="625"/>
      <c r="S969" s="625"/>
      <c r="T969" s="625"/>
    </row>
    <row r="970" spans="1:20">
      <c r="A970" s="664" t="s">
        <v>818</v>
      </c>
      <c r="B970" s="664"/>
      <c r="C970" s="372"/>
      <c r="D970" s="372"/>
      <c r="E970" s="664"/>
      <c r="F970" s="664"/>
      <c r="G970" s="664"/>
      <c r="H970" s="664"/>
      <c r="I970" s="664"/>
      <c r="J970" s="664"/>
      <c r="K970" s="664"/>
      <c r="L970" s="664"/>
      <c r="M970" s="664"/>
      <c r="N970" s="664"/>
      <c r="O970" s="664"/>
      <c r="P970" s="664"/>
      <c r="Q970" s="635"/>
      <c r="R970" s="372" t="s">
        <v>644</v>
      </c>
      <c r="S970" s="664"/>
      <c r="T970" s="664"/>
    </row>
    <row r="971" spans="1:20" ht="15" thickBot="1">
      <c r="A971" s="625" t="s">
        <v>808</v>
      </c>
      <c r="B971" s="625"/>
      <c r="C971" s="625"/>
      <c r="D971" s="625"/>
      <c r="E971" s="625"/>
      <c r="F971" s="625" t="s">
        <v>809</v>
      </c>
      <c r="G971" s="625"/>
      <c r="H971" s="625"/>
      <c r="I971" s="625"/>
      <c r="J971" s="625"/>
      <c r="K971" s="625"/>
      <c r="L971" s="625"/>
      <c r="M971" s="625"/>
      <c r="N971" s="625"/>
      <c r="O971" s="625"/>
      <c r="P971" s="625"/>
      <c r="Q971" s="638"/>
      <c r="R971" s="625"/>
      <c r="S971" s="625"/>
      <c r="T971" s="625" t="s">
        <v>736</v>
      </c>
    </row>
    <row r="972" spans="1:20">
      <c r="A972" s="664" t="s">
        <v>4</v>
      </c>
      <c r="B972" s="664"/>
      <c r="C972" s="372"/>
      <c r="D972" s="372"/>
      <c r="E972" s="635" t="s">
        <v>553</v>
      </c>
      <c r="F972" s="372" t="s">
        <v>810</v>
      </c>
      <c r="G972" s="664"/>
      <c r="H972" s="664"/>
      <c r="I972" s="664"/>
      <c r="J972" s="664"/>
      <c r="K972" s="661"/>
      <c r="L972" s="661"/>
      <c r="M972" s="661"/>
      <c r="N972" s="661"/>
      <c r="O972" s="661"/>
      <c r="P972" s="661"/>
      <c r="Q972" s="645"/>
      <c r="R972" s="372" t="s">
        <v>608</v>
      </c>
      <c r="S972" s="664"/>
      <c r="T972" s="664"/>
    </row>
    <row r="973" spans="1:20">
      <c r="A973" s="372"/>
      <c r="B973" s="372"/>
      <c r="C973" s="372"/>
      <c r="D973" s="372"/>
      <c r="E973" s="372"/>
      <c r="F973" s="372" t="s">
        <v>811</v>
      </c>
      <c r="G973" s="372"/>
      <c r="H973" s="372"/>
      <c r="I973" s="372"/>
      <c r="J973" s="372"/>
      <c r="K973" s="636"/>
      <c r="L973" s="636"/>
      <c r="M973" s="372"/>
      <c r="N973" s="372"/>
      <c r="O973" s="635"/>
      <c r="P973" s="635"/>
      <c r="Q973" s="635" t="s">
        <v>12</v>
      </c>
      <c r="R973" s="636" t="s">
        <v>9</v>
      </c>
      <c r="S973" s="372"/>
      <c r="T973" s="372"/>
    </row>
    <row r="974" spans="1:20">
      <c r="A974" s="372" t="s">
        <v>10</v>
      </c>
      <c r="B974" s="372"/>
      <c r="C974" s="372"/>
      <c r="D974" s="372"/>
      <c r="E974" s="372"/>
      <c r="F974" s="372"/>
      <c r="G974" s="372"/>
      <c r="H974" s="372"/>
      <c r="I974" s="372"/>
      <c r="J974" s="372"/>
      <c r="K974" s="636"/>
      <c r="L974" s="636"/>
      <c r="M974" s="372"/>
      <c r="N974" s="372"/>
      <c r="O974" s="372"/>
      <c r="P974" s="372"/>
      <c r="Q974" s="635"/>
      <c r="R974" s="636" t="s">
        <v>11</v>
      </c>
      <c r="S974" s="372"/>
      <c r="T974" s="372"/>
    </row>
    <row r="975" spans="1:20">
      <c r="A975" s="372"/>
      <c r="B975" s="372"/>
      <c r="C975" s="372"/>
      <c r="D975" s="372"/>
      <c r="E975" s="372"/>
      <c r="F975" s="372"/>
      <c r="G975" s="372"/>
      <c r="H975" s="372"/>
      <c r="I975" s="372"/>
      <c r="J975" s="372"/>
      <c r="K975" s="636"/>
      <c r="L975" s="636"/>
      <c r="M975" s="372"/>
      <c r="N975" s="372"/>
      <c r="O975" s="372"/>
      <c r="P975" s="372"/>
      <c r="Q975" s="635"/>
      <c r="R975" s="636" t="s">
        <v>13</v>
      </c>
      <c r="S975" s="372"/>
      <c r="T975" s="372"/>
    </row>
    <row r="976" spans="1:20">
      <c r="A976" s="372"/>
      <c r="B976" s="372"/>
      <c r="C976" s="372"/>
      <c r="D976" s="372"/>
      <c r="E976" s="372"/>
      <c r="F976" s="372"/>
      <c r="G976" s="372"/>
      <c r="H976" s="372"/>
      <c r="I976" s="372"/>
      <c r="J976" s="372"/>
      <c r="K976" s="636"/>
      <c r="L976" s="636"/>
      <c r="M976" s="372"/>
      <c r="N976" s="372"/>
      <c r="O976" s="372"/>
      <c r="P976" s="372"/>
      <c r="Q976" s="635"/>
      <c r="R976" s="636" t="s">
        <v>610</v>
      </c>
      <c r="S976" s="372"/>
      <c r="T976" s="372"/>
    </row>
    <row r="977" spans="1:20" ht="15" thickBot="1">
      <c r="A977" s="625" t="s">
        <v>611</v>
      </c>
      <c r="B977" s="625"/>
      <c r="C977" s="625"/>
      <c r="D977" s="625"/>
      <c r="E977" s="625"/>
      <c r="F977" s="625"/>
      <c r="G977" s="625"/>
      <c r="H977" s="637" t="s">
        <v>812</v>
      </c>
      <c r="I977" s="625"/>
      <c r="J977" s="625"/>
      <c r="K977" s="625"/>
      <c r="L977" s="625"/>
      <c r="M977" s="625"/>
      <c r="N977" s="625"/>
      <c r="O977" s="625"/>
      <c r="P977" s="625"/>
      <c r="Q977" s="638"/>
      <c r="R977" s="625" t="s">
        <v>249</v>
      </c>
      <c r="S977" s="625"/>
      <c r="T977" s="625"/>
    </row>
    <row r="978" spans="1:20">
      <c r="A978" s="664"/>
      <c r="B978" s="664"/>
      <c r="C978" s="634"/>
      <c r="D978" s="634"/>
      <c r="E978" s="634"/>
      <c r="F978" s="634"/>
      <c r="G978" s="634"/>
      <c r="H978" s="634"/>
      <c r="I978" s="634"/>
      <c r="J978" s="634"/>
      <c r="K978" s="634"/>
      <c r="L978" s="634"/>
      <c r="M978" s="634"/>
      <c r="N978" s="634"/>
      <c r="O978" s="634"/>
      <c r="P978" s="634"/>
      <c r="Q978" s="635"/>
      <c r="R978" s="634"/>
      <c r="S978" s="634"/>
      <c r="T978" s="634"/>
    </row>
    <row r="979" spans="1:20">
      <c r="A979" s="372"/>
      <c r="B979" s="372"/>
      <c r="C979" s="634">
        <v>-1</v>
      </c>
      <c r="D979" s="634">
        <v>-2</v>
      </c>
      <c r="E979" s="634"/>
      <c r="F979" s="634">
        <v>-3</v>
      </c>
      <c r="G979" s="634"/>
      <c r="H979" s="634">
        <v>-4</v>
      </c>
      <c r="I979" s="634"/>
      <c r="J979" s="634">
        <v>-5</v>
      </c>
      <c r="K979" s="634"/>
      <c r="L979" s="634">
        <v>-6</v>
      </c>
      <c r="M979" s="634"/>
      <c r="N979" s="634">
        <v>-7</v>
      </c>
      <c r="O979" s="634"/>
      <c r="P979" s="634">
        <v>-8</v>
      </c>
      <c r="Q979" s="635"/>
      <c r="R979" s="634">
        <v>-9</v>
      </c>
      <c r="S979" s="634"/>
      <c r="T979" s="634">
        <v>-10</v>
      </c>
    </row>
    <row r="980" spans="1:20">
      <c r="A980" s="372"/>
      <c r="B980" s="372"/>
      <c r="C980" s="634" t="s">
        <v>613</v>
      </c>
      <c r="D980" s="634" t="s">
        <v>613</v>
      </c>
      <c r="E980" s="372"/>
      <c r="F980" s="634" t="s">
        <v>27</v>
      </c>
      <c r="G980" s="634"/>
      <c r="H980" s="634" t="s">
        <v>45</v>
      </c>
      <c r="I980" s="634"/>
      <c r="J980" s="634"/>
      <c r="K980" s="634"/>
      <c r="L980" s="634"/>
      <c r="M980" s="634"/>
      <c r="N980" s="372"/>
      <c r="O980" s="372"/>
      <c r="P980" s="372"/>
      <c r="Q980" s="635"/>
      <c r="R980" s="634" t="s">
        <v>27</v>
      </c>
      <c r="S980" s="372"/>
      <c r="T980" s="372"/>
    </row>
    <row r="981" spans="1:20">
      <c r="A981" s="634" t="s">
        <v>35</v>
      </c>
      <c r="B981" s="634"/>
      <c r="C981" s="634" t="s">
        <v>614</v>
      </c>
      <c r="D981" s="634" t="s">
        <v>614</v>
      </c>
      <c r="E981" s="634"/>
      <c r="F981" s="634" t="s">
        <v>37</v>
      </c>
      <c r="G981" s="634"/>
      <c r="H981" s="634" t="s">
        <v>37</v>
      </c>
      <c r="I981" s="634"/>
      <c r="J981" s="634"/>
      <c r="K981" s="634"/>
      <c r="L981" s="634" t="s">
        <v>813</v>
      </c>
      <c r="M981" s="636"/>
      <c r="N981" s="634" t="s">
        <v>813</v>
      </c>
      <c r="O981" s="634"/>
      <c r="P981" s="634" t="s">
        <v>178</v>
      </c>
      <c r="Q981" s="635"/>
      <c r="R981" s="634" t="s">
        <v>37</v>
      </c>
      <c r="S981" s="634"/>
      <c r="T981" s="634" t="s">
        <v>353</v>
      </c>
    </row>
    <row r="982" spans="1:20" ht="15" thickBot="1">
      <c r="A982" s="637" t="s">
        <v>46</v>
      </c>
      <c r="B982" s="637"/>
      <c r="C982" s="637" t="s">
        <v>371</v>
      </c>
      <c r="D982" s="637" t="s">
        <v>617</v>
      </c>
      <c r="E982" s="637"/>
      <c r="F982" s="637" t="s">
        <v>619</v>
      </c>
      <c r="G982" s="637"/>
      <c r="H982" s="637" t="s">
        <v>814</v>
      </c>
      <c r="I982" s="637"/>
      <c r="J982" s="637" t="s">
        <v>815</v>
      </c>
      <c r="K982" s="637"/>
      <c r="L982" s="637" t="s">
        <v>816</v>
      </c>
      <c r="M982" s="637"/>
      <c r="N982" s="637" t="s">
        <v>817</v>
      </c>
      <c r="O982" s="637"/>
      <c r="P982" s="637" t="s">
        <v>622</v>
      </c>
      <c r="Q982" s="638"/>
      <c r="R982" s="637" t="s">
        <v>623</v>
      </c>
      <c r="S982" s="637"/>
      <c r="T982" s="637" t="s">
        <v>369</v>
      </c>
    </row>
    <row r="983" spans="1:20">
      <c r="A983" s="634">
        <v>1</v>
      </c>
      <c r="B983" s="634"/>
      <c r="C983" s="372"/>
      <c r="D983" s="372"/>
      <c r="E983" s="664"/>
      <c r="F983" s="664"/>
      <c r="G983" s="664"/>
      <c r="H983" s="664"/>
      <c r="I983" s="664"/>
      <c r="J983" s="664"/>
      <c r="K983" s="664"/>
      <c r="L983" s="664"/>
      <c r="M983" s="664"/>
      <c r="N983" s="664"/>
      <c r="O983" s="664"/>
      <c r="P983" s="664"/>
      <c r="Q983" s="635"/>
      <c r="R983" s="372"/>
      <c r="S983" s="664"/>
      <c r="T983" s="664"/>
    </row>
    <row r="984" spans="1:20">
      <c r="A984" s="634">
        <v>2</v>
      </c>
      <c r="B984" s="639"/>
      <c r="C984" s="634"/>
      <c r="D984" s="372" t="s">
        <v>737</v>
      </c>
      <c r="E984" s="372"/>
      <c r="F984" s="372"/>
      <c r="G984" s="372"/>
      <c r="H984" s="372"/>
      <c r="I984" s="634"/>
      <c r="J984" s="634"/>
      <c r="K984" s="634"/>
      <c r="L984" s="634"/>
      <c r="M984" s="634"/>
      <c r="N984" s="634"/>
      <c r="O984" s="634"/>
      <c r="P984" s="634"/>
      <c r="Q984" s="635"/>
      <c r="R984" s="634"/>
      <c r="S984" s="634"/>
      <c r="T984" s="634"/>
    </row>
    <row r="985" spans="1:20">
      <c r="A985" s="634">
        <v>3</v>
      </c>
      <c r="B985" s="639"/>
      <c r="C985" s="634">
        <v>36001</v>
      </c>
      <c r="D985" s="372" t="s">
        <v>724</v>
      </c>
      <c r="E985" s="372"/>
      <c r="F985" s="372"/>
      <c r="G985" s="635"/>
      <c r="H985" s="634"/>
      <c r="I985" s="635"/>
      <c r="J985" s="634"/>
      <c r="K985" s="635"/>
      <c r="L985" s="634"/>
      <c r="M985" s="635"/>
      <c r="N985" s="634"/>
      <c r="O985" s="634"/>
      <c r="P985" s="634"/>
      <c r="Q985" s="635"/>
      <c r="R985" s="634"/>
      <c r="S985" s="635"/>
      <c r="T985" s="634"/>
    </row>
    <row r="986" spans="1:20">
      <c r="A986" s="634">
        <v>4</v>
      </c>
      <c r="B986" s="639"/>
      <c r="C986" s="634">
        <v>36100</v>
      </c>
      <c r="D986" s="372" t="s">
        <v>726</v>
      </c>
      <c r="E986" s="372"/>
      <c r="F986" s="640">
        <v>9856</v>
      </c>
      <c r="G986" s="635"/>
      <c r="H986" s="634">
        <v>881</v>
      </c>
      <c r="I986" s="635"/>
      <c r="J986" s="634" t="s">
        <v>635</v>
      </c>
      <c r="K986" s="372"/>
      <c r="L986" s="634" t="s">
        <v>635</v>
      </c>
      <c r="M986" s="372"/>
      <c r="N986" s="634" t="s">
        <v>635</v>
      </c>
      <c r="O986" s="634"/>
      <c r="P986" s="634" t="s">
        <v>635</v>
      </c>
      <c r="Q986" s="635"/>
      <c r="R986" s="640">
        <v>10737</v>
      </c>
      <c r="S986" s="372"/>
      <c r="T986" s="640">
        <v>10297</v>
      </c>
    </row>
    <row r="987" spans="1:20">
      <c r="A987" s="634">
        <v>5</v>
      </c>
      <c r="B987" s="639"/>
      <c r="C987" s="634">
        <v>36200</v>
      </c>
      <c r="D987" s="372" t="s">
        <v>727</v>
      </c>
      <c r="E987" s="372"/>
      <c r="F987" s="640">
        <v>79370</v>
      </c>
      <c r="G987" s="635"/>
      <c r="H987" s="640">
        <v>9114</v>
      </c>
      <c r="I987" s="635"/>
      <c r="J987" s="640">
        <v>-1849</v>
      </c>
      <c r="K987" s="372"/>
      <c r="L987" s="640">
        <v>-1407</v>
      </c>
      <c r="M987" s="372"/>
      <c r="N987" s="634">
        <v>271</v>
      </c>
      <c r="O987" s="634"/>
      <c r="P987" s="634" t="s">
        <v>635</v>
      </c>
      <c r="Q987" s="635"/>
      <c r="R987" s="640">
        <v>85499</v>
      </c>
      <c r="S987" s="372"/>
      <c r="T987" s="640">
        <v>82677</v>
      </c>
    </row>
    <row r="988" spans="1:20">
      <c r="A988" s="634">
        <v>6</v>
      </c>
      <c r="B988" s="639"/>
      <c r="C988" s="634">
        <v>36300</v>
      </c>
      <c r="D988" s="372" t="s">
        <v>725</v>
      </c>
      <c r="E988" s="372"/>
      <c r="F988" s="634" t="s">
        <v>628</v>
      </c>
      <c r="G988" s="635"/>
      <c r="H988" s="634" t="s">
        <v>635</v>
      </c>
      <c r="I988" s="635"/>
      <c r="J988" s="634" t="s">
        <v>635</v>
      </c>
      <c r="K988" s="372"/>
      <c r="L988" s="634" t="s">
        <v>635</v>
      </c>
      <c r="M988" s="372"/>
      <c r="N988" s="634" t="s">
        <v>635</v>
      </c>
      <c r="O988" s="634"/>
      <c r="P988" s="634" t="s">
        <v>635</v>
      </c>
      <c r="Q988" s="635"/>
      <c r="R988" s="634" t="s">
        <v>635</v>
      </c>
      <c r="S988" s="372"/>
      <c r="T988" s="634" t="s">
        <v>635</v>
      </c>
    </row>
    <row r="989" spans="1:20">
      <c r="A989" s="634">
        <v>7</v>
      </c>
      <c r="B989" s="634"/>
      <c r="C989" s="634">
        <v>36400</v>
      </c>
      <c r="D989" s="372" t="s">
        <v>738</v>
      </c>
      <c r="E989" s="372"/>
      <c r="F989" s="640">
        <v>189632</v>
      </c>
      <c r="G989" s="635"/>
      <c r="H989" s="640">
        <v>26342</v>
      </c>
      <c r="I989" s="635"/>
      <c r="J989" s="640">
        <v>-12934</v>
      </c>
      <c r="K989" s="372"/>
      <c r="L989" s="640">
        <v>-7240</v>
      </c>
      <c r="M989" s="372"/>
      <c r="N989" s="634">
        <v>644</v>
      </c>
      <c r="O989" s="634"/>
      <c r="P989" s="634" t="s">
        <v>635</v>
      </c>
      <c r="Q989" s="635"/>
      <c r="R989" s="640">
        <v>196444</v>
      </c>
      <c r="S989" s="372"/>
      <c r="T989" s="640">
        <v>192986</v>
      </c>
    </row>
    <row r="990" spans="1:20">
      <c r="A990" s="634">
        <v>8</v>
      </c>
      <c r="B990" s="634"/>
      <c r="C990" s="634">
        <v>36500</v>
      </c>
      <c r="D990" s="372" t="s">
        <v>730</v>
      </c>
      <c r="E990" s="372"/>
      <c r="F990" s="640">
        <v>152135</v>
      </c>
      <c r="G990" s="635"/>
      <c r="H990" s="640">
        <v>7051</v>
      </c>
      <c r="I990" s="635"/>
      <c r="J990" s="640">
        <v>-7909</v>
      </c>
      <c r="K990" s="372"/>
      <c r="L990" s="634">
        <v>-703</v>
      </c>
      <c r="M990" s="372"/>
      <c r="N990" s="634">
        <v>136</v>
      </c>
      <c r="O990" s="634"/>
      <c r="P990" s="634" t="s">
        <v>635</v>
      </c>
      <c r="Q990" s="635"/>
      <c r="R990" s="640">
        <v>150709</v>
      </c>
      <c r="S990" s="372"/>
      <c r="T990" s="640">
        <v>151439</v>
      </c>
    </row>
    <row r="991" spans="1:20">
      <c r="A991" s="634">
        <v>9</v>
      </c>
      <c r="B991" s="634"/>
      <c r="C991" s="634">
        <v>36600</v>
      </c>
      <c r="D991" s="372" t="s">
        <v>732</v>
      </c>
      <c r="E991" s="372"/>
      <c r="F991" s="640">
        <v>98415</v>
      </c>
      <c r="G991" s="635"/>
      <c r="H991" s="640">
        <v>8151</v>
      </c>
      <c r="I991" s="635"/>
      <c r="J991" s="634">
        <v>-235</v>
      </c>
      <c r="K991" s="372"/>
      <c r="L991" s="640">
        <v>-2286</v>
      </c>
      <c r="M991" s="372"/>
      <c r="N991" s="634">
        <v>441</v>
      </c>
      <c r="O991" s="634"/>
      <c r="P991" s="634" t="s">
        <v>635</v>
      </c>
      <c r="Q991" s="635"/>
      <c r="R991" s="640">
        <v>104486</v>
      </c>
      <c r="S991" s="372"/>
      <c r="T991" s="640">
        <v>101457</v>
      </c>
    </row>
    <row r="992" spans="1:20">
      <c r="A992" s="634">
        <v>10</v>
      </c>
      <c r="B992" s="639"/>
      <c r="C992" s="634">
        <v>36700</v>
      </c>
      <c r="D992" s="372" t="s">
        <v>733</v>
      </c>
      <c r="E992" s="372"/>
      <c r="F992" s="640">
        <v>62438</v>
      </c>
      <c r="G992" s="635"/>
      <c r="H992" s="640">
        <v>27883</v>
      </c>
      <c r="I992" s="635"/>
      <c r="J992" s="640">
        <v>-16455</v>
      </c>
      <c r="K992" s="372"/>
      <c r="L992" s="640">
        <v>-8982</v>
      </c>
      <c r="M992" s="372"/>
      <c r="N992" s="634">
        <v>305</v>
      </c>
      <c r="O992" s="634"/>
      <c r="P992" s="634" t="s">
        <v>635</v>
      </c>
      <c r="Q992" s="635"/>
      <c r="R992" s="640">
        <v>65189</v>
      </c>
      <c r="S992" s="372"/>
      <c r="T992" s="640">
        <v>63380</v>
      </c>
    </row>
    <row r="993" spans="1:20">
      <c r="A993" s="634">
        <v>11</v>
      </c>
      <c r="B993" s="639"/>
      <c r="C993" s="634">
        <v>36800</v>
      </c>
      <c r="D993" s="372" t="s">
        <v>739</v>
      </c>
      <c r="E993" s="372"/>
      <c r="F993" s="640">
        <v>365510</v>
      </c>
      <c r="G993" s="635"/>
      <c r="H993" s="640">
        <v>40689</v>
      </c>
      <c r="I993" s="635"/>
      <c r="J993" s="640">
        <v>-8243</v>
      </c>
      <c r="K993" s="372"/>
      <c r="L993" s="640">
        <v>-6682</v>
      </c>
      <c r="M993" s="372"/>
      <c r="N993" s="640">
        <v>1288</v>
      </c>
      <c r="O993" s="634"/>
      <c r="P993" s="634" t="s">
        <v>635</v>
      </c>
      <c r="Q993" s="635"/>
      <c r="R993" s="640">
        <v>392562</v>
      </c>
      <c r="S993" s="372"/>
      <c r="T993" s="640">
        <v>379252</v>
      </c>
    </row>
    <row r="994" spans="1:20">
      <c r="A994" s="634">
        <v>12</v>
      </c>
      <c r="B994" s="639"/>
      <c r="C994" s="634">
        <v>36900</v>
      </c>
      <c r="D994" s="372" t="s">
        <v>740</v>
      </c>
      <c r="E994" s="372"/>
      <c r="F994" s="640">
        <v>66612</v>
      </c>
      <c r="G994" s="635"/>
      <c r="H994" s="640">
        <v>1994</v>
      </c>
      <c r="I994" s="635"/>
      <c r="J994" s="634">
        <v>-181</v>
      </c>
      <c r="K994" s="372"/>
      <c r="L994" s="634">
        <v>-176</v>
      </c>
      <c r="M994" s="372"/>
      <c r="N994" s="634">
        <v>34</v>
      </c>
      <c r="O994" s="634"/>
      <c r="P994" s="634" t="s">
        <v>635</v>
      </c>
      <c r="Q994" s="635"/>
      <c r="R994" s="640">
        <v>68283</v>
      </c>
      <c r="S994" s="372"/>
      <c r="T994" s="640">
        <v>67454</v>
      </c>
    </row>
    <row r="995" spans="1:20">
      <c r="A995" s="634">
        <v>13</v>
      </c>
      <c r="B995" s="639"/>
      <c r="C995" s="634">
        <v>36902</v>
      </c>
      <c r="D995" s="372" t="s">
        <v>741</v>
      </c>
      <c r="E995" s="372"/>
      <c r="F995" s="640">
        <v>74803</v>
      </c>
      <c r="G995" s="635"/>
      <c r="H995" s="640">
        <v>4063</v>
      </c>
      <c r="I995" s="635"/>
      <c r="J995" s="634">
        <v>-108</v>
      </c>
      <c r="K995" s="372"/>
      <c r="L995" s="634">
        <v>-352</v>
      </c>
      <c r="M995" s="372"/>
      <c r="N995" s="634">
        <v>68</v>
      </c>
      <c r="O995" s="634"/>
      <c r="P995" s="634" t="s">
        <v>635</v>
      </c>
      <c r="Q995" s="635"/>
      <c r="R995" s="640">
        <v>78474</v>
      </c>
      <c r="S995" s="372"/>
      <c r="T995" s="640">
        <v>76640</v>
      </c>
    </row>
    <row r="996" spans="1:20">
      <c r="A996" s="634">
        <v>14</v>
      </c>
      <c r="B996" s="639"/>
      <c r="C996" s="634">
        <v>37000</v>
      </c>
      <c r="D996" s="372" t="s">
        <v>742</v>
      </c>
      <c r="E996" s="372"/>
      <c r="F996" s="640">
        <v>5210</v>
      </c>
      <c r="G996" s="635"/>
      <c r="H996" s="640">
        <v>1372</v>
      </c>
      <c r="I996" s="635"/>
      <c r="J996" s="634" t="s">
        <v>635</v>
      </c>
      <c r="K996" s="372"/>
      <c r="L996" s="634" t="s">
        <v>635</v>
      </c>
      <c r="M996" s="372"/>
      <c r="N996" s="634" t="s">
        <v>635</v>
      </c>
      <c r="O996" s="634"/>
      <c r="P996" s="634" t="s">
        <v>635</v>
      </c>
      <c r="Q996" s="635"/>
      <c r="R996" s="640">
        <v>6583</v>
      </c>
      <c r="S996" s="372"/>
      <c r="T996" s="640">
        <v>5897</v>
      </c>
    </row>
    <row r="997" spans="1:20">
      <c r="A997" s="634">
        <v>15</v>
      </c>
      <c r="B997" s="634"/>
      <c r="C997" s="634">
        <v>37001</v>
      </c>
      <c r="D997" s="372" t="s">
        <v>743</v>
      </c>
      <c r="E997" s="372"/>
      <c r="F997" s="640">
        <v>16007</v>
      </c>
      <c r="G997" s="635"/>
      <c r="H997" s="640">
        <v>13384</v>
      </c>
      <c r="I997" s="635"/>
      <c r="J997" s="640">
        <v>-7319</v>
      </c>
      <c r="K997" s="372"/>
      <c r="L997" s="640">
        <v>-1172</v>
      </c>
      <c r="M997" s="372"/>
      <c r="N997" s="634">
        <v>345</v>
      </c>
      <c r="O997" s="634"/>
      <c r="P997" s="634" t="s">
        <v>635</v>
      </c>
      <c r="Q997" s="635"/>
      <c r="R997" s="640">
        <v>21245</v>
      </c>
      <c r="S997" s="372"/>
      <c r="T997" s="640">
        <v>18779</v>
      </c>
    </row>
    <row r="998" spans="1:20">
      <c r="A998" s="634">
        <v>16</v>
      </c>
      <c r="B998" s="634"/>
      <c r="C998" s="634">
        <v>37010</v>
      </c>
      <c r="D998" s="372" t="s">
        <v>744</v>
      </c>
      <c r="E998" s="372"/>
      <c r="F998" s="634">
        <v>409</v>
      </c>
      <c r="G998" s="635"/>
      <c r="H998" s="634">
        <v>647</v>
      </c>
      <c r="I998" s="635"/>
      <c r="J998" s="634" t="s">
        <v>635</v>
      </c>
      <c r="K998" s="372"/>
      <c r="L998" s="634">
        <v>-5</v>
      </c>
      <c r="M998" s="372"/>
      <c r="N998" s="634" t="s">
        <v>628</v>
      </c>
      <c r="O998" s="634"/>
      <c r="P998" s="634" t="s">
        <v>635</v>
      </c>
      <c r="Q998" s="635"/>
      <c r="R998" s="640">
        <v>1052</v>
      </c>
      <c r="S998" s="372"/>
      <c r="T998" s="634">
        <v>705</v>
      </c>
    </row>
    <row r="999" spans="1:20">
      <c r="A999" s="634">
        <v>17</v>
      </c>
      <c r="B999" s="634"/>
      <c r="C999" s="634">
        <v>37300</v>
      </c>
      <c r="D999" s="372" t="s">
        <v>745</v>
      </c>
      <c r="E999" s="372"/>
      <c r="F999" s="640">
        <v>127432</v>
      </c>
      <c r="G999" s="635"/>
      <c r="H999" s="640">
        <v>14373</v>
      </c>
      <c r="I999" s="635"/>
      <c r="J999" s="640">
        <v>-5091</v>
      </c>
      <c r="K999" s="372"/>
      <c r="L999" s="640">
        <v>-2934</v>
      </c>
      <c r="M999" s="372"/>
      <c r="N999" s="634" t="s">
        <v>628</v>
      </c>
      <c r="O999" s="634"/>
      <c r="P999" s="634" t="s">
        <v>635</v>
      </c>
      <c r="Q999" s="635"/>
      <c r="R999" s="640">
        <v>133780</v>
      </c>
      <c r="S999" s="372"/>
      <c r="T999" s="640">
        <v>130582</v>
      </c>
    </row>
    <row r="1000" spans="1:20">
      <c r="A1000" s="634">
        <v>18</v>
      </c>
      <c r="B1000" s="634"/>
      <c r="C1000" s="634">
        <v>37302</v>
      </c>
      <c r="D1000" s="372" t="s">
        <v>746</v>
      </c>
      <c r="E1000" s="372"/>
      <c r="F1000" s="640">
        <v>1184</v>
      </c>
      <c r="G1000" s="635"/>
      <c r="H1000" s="634">
        <v>903</v>
      </c>
      <c r="I1000" s="635"/>
      <c r="J1000" s="634" t="s">
        <v>635</v>
      </c>
      <c r="K1000" s="372"/>
      <c r="L1000" s="634" t="s">
        <v>635</v>
      </c>
      <c r="M1000" s="372"/>
      <c r="N1000" s="634" t="s">
        <v>635</v>
      </c>
      <c r="O1000" s="634"/>
      <c r="P1000" s="634" t="s">
        <v>635</v>
      </c>
      <c r="Q1000" s="635"/>
      <c r="R1000" s="640">
        <v>2086</v>
      </c>
      <c r="S1000" s="372"/>
      <c r="T1000" s="640">
        <v>1635</v>
      </c>
    </row>
    <row r="1001" spans="1:20" ht="15" thickBot="1">
      <c r="A1001" s="634">
        <v>19</v>
      </c>
      <c r="B1001" s="639"/>
      <c r="C1001" s="372"/>
      <c r="D1001" s="372" t="s">
        <v>747</v>
      </c>
      <c r="E1001" s="372"/>
      <c r="F1001" s="648">
        <v>1249015</v>
      </c>
      <c r="G1001" s="635"/>
      <c r="H1001" s="648">
        <v>156847</v>
      </c>
      <c r="I1001" s="635"/>
      <c r="J1001" s="648">
        <v>-60324</v>
      </c>
      <c r="K1001" s="635"/>
      <c r="L1001" s="648">
        <v>-31939</v>
      </c>
      <c r="M1001" s="635"/>
      <c r="N1001" s="648">
        <v>3532</v>
      </c>
      <c r="O1001" s="372"/>
      <c r="P1001" s="649" t="s">
        <v>635</v>
      </c>
      <c r="Q1001" s="635"/>
      <c r="R1001" s="648">
        <v>1317130</v>
      </c>
      <c r="S1001" s="635"/>
      <c r="T1001" s="648">
        <v>1283180</v>
      </c>
    </row>
    <row r="1002" spans="1:20" ht="15" thickTop="1">
      <c r="A1002" s="634">
        <v>20</v>
      </c>
      <c r="B1002" s="634"/>
      <c r="C1002" s="372"/>
      <c r="D1002" s="372"/>
      <c r="E1002" s="372"/>
      <c r="F1002" s="372"/>
      <c r="G1002" s="372"/>
      <c r="H1002" s="372"/>
      <c r="I1002" s="372"/>
      <c r="J1002" s="372"/>
      <c r="K1002" s="372"/>
      <c r="L1002" s="372"/>
      <c r="M1002" s="372"/>
      <c r="N1002" s="372"/>
      <c r="O1002" s="372"/>
      <c r="P1002" s="372"/>
      <c r="Q1002" s="635"/>
      <c r="R1002" s="372"/>
      <c r="S1002" s="372"/>
      <c r="T1002" s="372"/>
    </row>
    <row r="1003" spans="1:20">
      <c r="A1003" s="634">
        <v>21</v>
      </c>
      <c r="B1003" s="634"/>
      <c r="C1003" s="372"/>
      <c r="D1003" s="372" t="s">
        <v>748</v>
      </c>
      <c r="E1003" s="372"/>
      <c r="F1003" s="372"/>
      <c r="G1003" s="372"/>
      <c r="H1003" s="372"/>
      <c r="I1003" s="635"/>
      <c r="J1003" s="635"/>
      <c r="K1003" s="635"/>
      <c r="L1003" s="635"/>
      <c r="M1003" s="635"/>
      <c r="N1003" s="635"/>
      <c r="O1003" s="635"/>
      <c r="P1003" s="635"/>
      <c r="Q1003" s="635"/>
      <c r="R1003" s="635"/>
      <c r="S1003" s="635"/>
      <c r="T1003" s="635"/>
    </row>
    <row r="1004" spans="1:20">
      <c r="A1004" s="634">
        <v>22</v>
      </c>
      <c r="B1004" s="634"/>
      <c r="C1004" s="634">
        <v>39000</v>
      </c>
      <c r="D1004" s="372" t="s">
        <v>726</v>
      </c>
      <c r="E1004" s="372"/>
      <c r="F1004" s="640">
        <v>52208</v>
      </c>
      <c r="G1004" s="635"/>
      <c r="H1004" s="640">
        <v>7193</v>
      </c>
      <c r="I1004" s="635"/>
      <c r="J1004" s="640">
        <v>-15499</v>
      </c>
      <c r="K1004" s="372"/>
      <c r="L1004" s="634">
        <v>-480</v>
      </c>
      <c r="M1004" s="372"/>
      <c r="N1004" s="634" t="s">
        <v>628</v>
      </c>
      <c r="O1004" s="634"/>
      <c r="P1004" s="634" t="s">
        <v>635</v>
      </c>
      <c r="Q1004" s="635"/>
      <c r="R1004" s="640">
        <v>43422</v>
      </c>
      <c r="S1004" s="372"/>
      <c r="T1004" s="640">
        <v>45486</v>
      </c>
    </row>
    <row r="1005" spans="1:20">
      <c r="A1005" s="634">
        <v>23</v>
      </c>
      <c r="B1005" s="634"/>
      <c r="C1005" s="634">
        <v>39101</v>
      </c>
      <c r="D1005" s="372" t="s">
        <v>749</v>
      </c>
      <c r="E1005" s="372"/>
      <c r="F1005" s="640">
        <v>3782</v>
      </c>
      <c r="G1005" s="635"/>
      <c r="H1005" s="634">
        <v>934</v>
      </c>
      <c r="I1005" s="635"/>
      <c r="J1005" s="634">
        <v>-675</v>
      </c>
      <c r="K1005" s="372"/>
      <c r="L1005" s="634" t="s">
        <v>628</v>
      </c>
      <c r="M1005" s="372"/>
      <c r="N1005" s="634" t="s">
        <v>635</v>
      </c>
      <c r="O1005" s="634"/>
      <c r="P1005" s="634" t="s">
        <v>635</v>
      </c>
      <c r="Q1005" s="635"/>
      <c r="R1005" s="640">
        <v>4041</v>
      </c>
      <c r="S1005" s="372"/>
      <c r="T1005" s="640">
        <v>3841</v>
      </c>
    </row>
    <row r="1006" spans="1:20">
      <c r="A1006" s="634">
        <v>24</v>
      </c>
      <c r="B1006" s="634"/>
      <c r="C1006" s="634">
        <v>39102</v>
      </c>
      <c r="D1006" s="372" t="s">
        <v>750</v>
      </c>
      <c r="E1006" s="372"/>
      <c r="F1006" s="640">
        <v>8575</v>
      </c>
      <c r="G1006" s="635"/>
      <c r="H1006" s="640">
        <v>3293</v>
      </c>
      <c r="I1006" s="635"/>
      <c r="J1006" s="634">
        <v>-891</v>
      </c>
      <c r="K1006" s="372"/>
      <c r="L1006" s="634" t="s">
        <v>628</v>
      </c>
      <c r="M1006" s="372"/>
      <c r="N1006" s="634" t="s">
        <v>635</v>
      </c>
      <c r="O1006" s="634"/>
      <c r="P1006" s="634" t="s">
        <v>635</v>
      </c>
      <c r="Q1006" s="635"/>
      <c r="R1006" s="640">
        <v>10977</v>
      </c>
      <c r="S1006" s="372"/>
      <c r="T1006" s="640">
        <v>9594</v>
      </c>
    </row>
    <row r="1007" spans="1:20">
      <c r="A1007" s="634">
        <v>25</v>
      </c>
      <c r="B1007" s="634"/>
      <c r="C1007" s="634">
        <v>39103</v>
      </c>
      <c r="D1007" s="372" t="s">
        <v>751</v>
      </c>
      <c r="E1007" s="372"/>
      <c r="F1007" s="634" t="s">
        <v>628</v>
      </c>
      <c r="G1007" s="635"/>
      <c r="H1007" s="634" t="s">
        <v>635</v>
      </c>
      <c r="I1007" s="635"/>
      <c r="J1007" s="634" t="s">
        <v>635</v>
      </c>
      <c r="K1007" s="372"/>
      <c r="L1007" s="634" t="s">
        <v>635</v>
      </c>
      <c r="M1007" s="372"/>
      <c r="N1007" s="634" t="s">
        <v>635</v>
      </c>
      <c r="O1007" s="634"/>
      <c r="P1007" s="634" t="s">
        <v>635</v>
      </c>
      <c r="Q1007" s="635"/>
      <c r="R1007" s="634" t="s">
        <v>635</v>
      </c>
      <c r="S1007" s="372"/>
      <c r="T1007" s="634" t="s">
        <v>635</v>
      </c>
    </row>
    <row r="1008" spans="1:20">
      <c r="A1008" s="634">
        <v>26</v>
      </c>
      <c r="B1008" s="634"/>
      <c r="C1008" s="634">
        <v>39104</v>
      </c>
      <c r="D1008" s="372" t="s">
        <v>752</v>
      </c>
      <c r="E1008" s="372"/>
      <c r="F1008" s="640">
        <v>24183</v>
      </c>
      <c r="G1008" s="635"/>
      <c r="H1008" s="640">
        <v>10572</v>
      </c>
      <c r="I1008" s="635"/>
      <c r="J1008" s="640">
        <v>-4172</v>
      </c>
      <c r="K1008" s="372"/>
      <c r="L1008" s="634" t="s">
        <v>628</v>
      </c>
      <c r="M1008" s="372"/>
      <c r="N1008" s="634" t="s">
        <v>635</v>
      </c>
      <c r="O1008" s="634"/>
      <c r="P1008" s="634" t="s">
        <v>635</v>
      </c>
      <c r="Q1008" s="635"/>
      <c r="R1008" s="640">
        <v>30583</v>
      </c>
      <c r="S1008" s="372"/>
      <c r="T1008" s="640">
        <v>25663</v>
      </c>
    </row>
    <row r="1009" spans="1:20">
      <c r="A1009" s="634">
        <v>27</v>
      </c>
      <c r="B1009" s="634"/>
      <c r="C1009" s="634">
        <v>39202</v>
      </c>
      <c r="D1009" s="636" t="s">
        <v>753</v>
      </c>
      <c r="E1009" s="372"/>
      <c r="F1009" s="640">
        <v>7608</v>
      </c>
      <c r="G1009" s="635"/>
      <c r="H1009" s="640">
        <v>2167</v>
      </c>
      <c r="I1009" s="635"/>
      <c r="J1009" s="634">
        <v>-20</v>
      </c>
      <c r="K1009" s="372"/>
      <c r="L1009" s="634" t="s">
        <v>628</v>
      </c>
      <c r="M1009" s="372"/>
      <c r="N1009" s="634">
        <v>35</v>
      </c>
      <c r="O1009" s="634"/>
      <c r="P1009" s="634" t="s">
        <v>635</v>
      </c>
      <c r="Q1009" s="635"/>
      <c r="R1009" s="640">
        <v>9790</v>
      </c>
      <c r="S1009" s="372"/>
      <c r="T1009" s="640">
        <v>8691</v>
      </c>
    </row>
    <row r="1010" spans="1:20">
      <c r="A1010" s="634">
        <v>28</v>
      </c>
      <c r="B1010" s="634"/>
      <c r="C1010" s="634">
        <v>39203</v>
      </c>
      <c r="D1010" s="636" t="s">
        <v>754</v>
      </c>
      <c r="E1010" s="372"/>
      <c r="F1010" s="640">
        <v>28089</v>
      </c>
      <c r="G1010" s="635"/>
      <c r="H1010" s="640">
        <v>3366</v>
      </c>
      <c r="I1010" s="635"/>
      <c r="J1010" s="634" t="s">
        <v>635</v>
      </c>
      <c r="K1010" s="372"/>
      <c r="L1010" s="634">
        <v>56</v>
      </c>
      <c r="M1010" s="372"/>
      <c r="N1010" s="640">
        <v>1000</v>
      </c>
      <c r="O1010" s="634"/>
      <c r="P1010" s="634" t="s">
        <v>635</v>
      </c>
      <c r="Q1010" s="635"/>
      <c r="R1010" s="640">
        <v>32512</v>
      </c>
      <c r="S1010" s="372"/>
      <c r="T1010" s="640">
        <v>30234</v>
      </c>
    </row>
    <row r="1011" spans="1:20">
      <c r="A1011" s="634">
        <v>29</v>
      </c>
      <c r="B1011" s="639"/>
      <c r="C1011" s="634">
        <v>39204</v>
      </c>
      <c r="D1011" s="636" t="s">
        <v>755</v>
      </c>
      <c r="E1011" s="372"/>
      <c r="F1011" s="634" t="s">
        <v>628</v>
      </c>
      <c r="G1011" s="635"/>
      <c r="H1011" s="634" t="s">
        <v>635</v>
      </c>
      <c r="I1011" s="635"/>
      <c r="J1011" s="634" t="s">
        <v>635</v>
      </c>
      <c r="K1011" s="372"/>
      <c r="L1011" s="634" t="s">
        <v>635</v>
      </c>
      <c r="M1011" s="372"/>
      <c r="N1011" s="634" t="s">
        <v>635</v>
      </c>
      <c r="O1011" s="634"/>
      <c r="P1011" s="634" t="s">
        <v>635</v>
      </c>
      <c r="Q1011" s="635"/>
      <c r="R1011" s="634" t="s">
        <v>635</v>
      </c>
      <c r="S1011" s="372"/>
      <c r="T1011" s="634" t="s">
        <v>635</v>
      </c>
    </row>
    <row r="1012" spans="1:20">
      <c r="A1012" s="634">
        <v>30</v>
      </c>
      <c r="B1012" s="639"/>
      <c r="C1012" s="634">
        <v>39212</v>
      </c>
      <c r="D1012" s="372" t="s">
        <v>756</v>
      </c>
      <c r="E1012" s="372"/>
      <c r="F1012" s="640">
        <v>2193</v>
      </c>
      <c r="G1012" s="635"/>
      <c r="H1012" s="634">
        <v>364</v>
      </c>
      <c r="I1012" s="635"/>
      <c r="J1012" s="634" t="s">
        <v>635</v>
      </c>
      <c r="K1012" s="372"/>
      <c r="L1012" s="634" t="s">
        <v>635</v>
      </c>
      <c r="M1012" s="372"/>
      <c r="N1012" s="634" t="s">
        <v>635</v>
      </c>
      <c r="O1012" s="634"/>
      <c r="P1012" s="634" t="s">
        <v>635</v>
      </c>
      <c r="Q1012" s="635"/>
      <c r="R1012" s="640">
        <v>2557</v>
      </c>
      <c r="S1012" s="372"/>
      <c r="T1012" s="640">
        <v>2375</v>
      </c>
    </row>
    <row r="1013" spans="1:20">
      <c r="A1013" s="634">
        <v>31</v>
      </c>
      <c r="B1013" s="639"/>
      <c r="C1013" s="634">
        <v>39213</v>
      </c>
      <c r="D1013" s="372" t="s">
        <v>757</v>
      </c>
      <c r="E1013" s="372"/>
      <c r="F1013" s="634">
        <v>273</v>
      </c>
      <c r="G1013" s="635"/>
      <c r="H1013" s="634">
        <v>65</v>
      </c>
      <c r="I1013" s="635"/>
      <c r="J1013" s="634" t="s">
        <v>635</v>
      </c>
      <c r="K1013" s="372"/>
      <c r="L1013" s="634" t="s">
        <v>635</v>
      </c>
      <c r="M1013" s="372"/>
      <c r="N1013" s="634" t="s">
        <v>635</v>
      </c>
      <c r="O1013" s="634"/>
      <c r="P1013" s="634" t="s">
        <v>635</v>
      </c>
      <c r="Q1013" s="635"/>
      <c r="R1013" s="634">
        <v>338</v>
      </c>
      <c r="S1013" s="372"/>
      <c r="T1013" s="634">
        <v>305</v>
      </c>
    </row>
    <row r="1014" spans="1:20">
      <c r="A1014" s="634">
        <v>32</v>
      </c>
      <c r="B1014" s="639"/>
      <c r="C1014" s="634">
        <v>39214</v>
      </c>
      <c r="D1014" s="372" t="s">
        <v>758</v>
      </c>
      <c r="E1014" s="372"/>
      <c r="F1014" s="634" t="s">
        <v>628</v>
      </c>
      <c r="G1014" s="635"/>
      <c r="H1014" s="634" t="s">
        <v>635</v>
      </c>
      <c r="I1014" s="635"/>
      <c r="J1014" s="634" t="s">
        <v>635</v>
      </c>
      <c r="K1014" s="372"/>
      <c r="L1014" s="634" t="s">
        <v>635</v>
      </c>
      <c r="M1014" s="372"/>
      <c r="N1014" s="634" t="s">
        <v>635</v>
      </c>
      <c r="O1014" s="634"/>
      <c r="P1014" s="634" t="s">
        <v>635</v>
      </c>
      <c r="Q1014" s="635"/>
      <c r="R1014" s="634" t="s">
        <v>635</v>
      </c>
      <c r="S1014" s="372"/>
      <c r="T1014" s="634" t="s">
        <v>635</v>
      </c>
    </row>
    <row r="1015" spans="1:20">
      <c r="A1015" s="634">
        <v>33</v>
      </c>
      <c r="B1015" s="639"/>
      <c r="C1015" s="634">
        <v>39300</v>
      </c>
      <c r="D1015" s="372" t="s">
        <v>759</v>
      </c>
      <c r="E1015" s="372"/>
      <c r="F1015" s="634" t="s">
        <v>628</v>
      </c>
      <c r="G1015" s="635"/>
      <c r="H1015" s="634" t="s">
        <v>635</v>
      </c>
      <c r="I1015" s="635"/>
      <c r="J1015" s="634" t="s">
        <v>635</v>
      </c>
      <c r="K1015" s="372"/>
      <c r="L1015" s="634" t="s">
        <v>635</v>
      </c>
      <c r="M1015" s="372"/>
      <c r="N1015" s="634" t="s">
        <v>635</v>
      </c>
      <c r="O1015" s="634"/>
      <c r="P1015" s="634" t="s">
        <v>635</v>
      </c>
      <c r="Q1015" s="635"/>
      <c r="R1015" s="634" t="s">
        <v>635</v>
      </c>
      <c r="S1015" s="372"/>
      <c r="T1015" s="634" t="s">
        <v>635</v>
      </c>
    </row>
    <row r="1016" spans="1:20">
      <c r="A1016" s="634">
        <v>34</v>
      </c>
      <c r="B1016" s="639"/>
      <c r="C1016" s="634">
        <v>39400</v>
      </c>
      <c r="D1016" s="372" t="s">
        <v>760</v>
      </c>
      <c r="E1016" s="372"/>
      <c r="F1016" s="640">
        <v>6576</v>
      </c>
      <c r="G1016" s="635"/>
      <c r="H1016" s="640">
        <v>2266</v>
      </c>
      <c r="I1016" s="635"/>
      <c r="J1016" s="640">
        <v>-2312</v>
      </c>
      <c r="K1016" s="372"/>
      <c r="L1016" s="634" t="s">
        <v>628</v>
      </c>
      <c r="M1016" s="372"/>
      <c r="N1016" s="634" t="s">
        <v>635</v>
      </c>
      <c r="O1016" s="634"/>
      <c r="P1016" s="634" t="s">
        <v>635</v>
      </c>
      <c r="Q1016" s="635"/>
      <c r="R1016" s="640">
        <v>6530</v>
      </c>
      <c r="S1016" s="372"/>
      <c r="T1016" s="640">
        <v>6796</v>
      </c>
    </row>
    <row r="1017" spans="1:20">
      <c r="A1017" s="634">
        <v>35</v>
      </c>
      <c r="B1017" s="639"/>
      <c r="C1017" s="634">
        <v>39401</v>
      </c>
      <c r="D1017" s="372" t="s">
        <v>761</v>
      </c>
      <c r="E1017" s="372"/>
      <c r="F1017" s="640">
        <v>2993</v>
      </c>
      <c r="G1017" s="635"/>
      <c r="H1017" s="634">
        <v>838</v>
      </c>
      <c r="I1017" s="635"/>
      <c r="J1017" s="634" t="s">
        <v>635</v>
      </c>
      <c r="K1017" s="372"/>
      <c r="L1017" s="634" t="s">
        <v>635</v>
      </c>
      <c r="M1017" s="372"/>
      <c r="N1017" s="634" t="s">
        <v>635</v>
      </c>
      <c r="O1017" s="634"/>
      <c r="P1017" s="634" t="s">
        <v>635</v>
      </c>
      <c r="Q1017" s="635"/>
      <c r="R1017" s="640">
        <v>3831</v>
      </c>
      <c r="S1017" s="372"/>
      <c r="T1017" s="640">
        <v>3412</v>
      </c>
    </row>
    <row r="1018" spans="1:20">
      <c r="A1018" s="634">
        <v>36</v>
      </c>
      <c r="B1018" s="639"/>
      <c r="C1018" s="634">
        <v>39500</v>
      </c>
      <c r="D1018" s="372" t="s">
        <v>762</v>
      </c>
      <c r="E1018" s="372"/>
      <c r="F1018" s="640">
        <v>1908</v>
      </c>
      <c r="G1018" s="635"/>
      <c r="H1018" s="640">
        <v>2504</v>
      </c>
      <c r="I1018" s="635"/>
      <c r="J1018" s="634">
        <v>-458</v>
      </c>
      <c r="K1018" s="372"/>
      <c r="L1018" s="634" t="s">
        <v>628</v>
      </c>
      <c r="M1018" s="372"/>
      <c r="N1018" s="634" t="s">
        <v>635</v>
      </c>
      <c r="O1018" s="634"/>
      <c r="P1018" s="634" t="s">
        <v>635</v>
      </c>
      <c r="Q1018" s="635"/>
      <c r="R1018" s="640">
        <v>3954</v>
      </c>
      <c r="S1018" s="372"/>
      <c r="T1018" s="640">
        <v>2822</v>
      </c>
    </row>
    <row r="1019" spans="1:20">
      <c r="A1019" s="634">
        <v>37</v>
      </c>
      <c r="B1019" s="639"/>
      <c r="C1019" s="634">
        <v>39600</v>
      </c>
      <c r="D1019" s="372" t="s">
        <v>763</v>
      </c>
      <c r="E1019" s="372"/>
      <c r="F1019" s="634" t="s">
        <v>628</v>
      </c>
      <c r="G1019" s="635"/>
      <c r="H1019" s="634" t="s">
        <v>635</v>
      </c>
      <c r="I1019" s="635"/>
      <c r="J1019" s="634" t="s">
        <v>635</v>
      </c>
      <c r="K1019" s="372"/>
      <c r="L1019" s="634" t="s">
        <v>635</v>
      </c>
      <c r="M1019" s="372"/>
      <c r="N1019" s="634" t="s">
        <v>635</v>
      </c>
      <c r="O1019" s="634"/>
      <c r="P1019" s="634" t="s">
        <v>635</v>
      </c>
      <c r="Q1019" s="635"/>
      <c r="R1019" s="634" t="s">
        <v>635</v>
      </c>
      <c r="S1019" s="372"/>
      <c r="T1019" s="634" t="s">
        <v>635</v>
      </c>
    </row>
    <row r="1020" spans="1:20">
      <c r="A1020" s="634">
        <v>38</v>
      </c>
      <c r="B1020" s="639"/>
      <c r="C1020" s="634">
        <v>39700</v>
      </c>
      <c r="D1020" s="372" t="s">
        <v>764</v>
      </c>
      <c r="E1020" s="372"/>
      <c r="F1020" s="640">
        <v>25139</v>
      </c>
      <c r="G1020" s="635"/>
      <c r="H1020" s="640">
        <v>6540</v>
      </c>
      <c r="I1020" s="635"/>
      <c r="J1020" s="640">
        <v>-13201</v>
      </c>
      <c r="K1020" s="372"/>
      <c r="L1020" s="634">
        <v>-2</v>
      </c>
      <c r="M1020" s="372"/>
      <c r="N1020" s="634" t="s">
        <v>628</v>
      </c>
      <c r="O1020" s="634"/>
      <c r="P1020" s="634" t="s">
        <v>635</v>
      </c>
      <c r="Q1020" s="635"/>
      <c r="R1020" s="640">
        <v>18476</v>
      </c>
      <c r="S1020" s="372"/>
      <c r="T1020" s="640">
        <v>24587</v>
      </c>
    </row>
    <row r="1021" spans="1:20">
      <c r="A1021" s="634">
        <v>39</v>
      </c>
      <c r="B1021" s="639"/>
      <c r="C1021" s="634">
        <v>39725</v>
      </c>
      <c r="D1021" s="372" t="s">
        <v>765</v>
      </c>
      <c r="E1021" s="372"/>
      <c r="F1021" s="640">
        <v>27439</v>
      </c>
      <c r="G1021" s="635"/>
      <c r="H1021" s="640">
        <v>1810</v>
      </c>
      <c r="I1021" s="635"/>
      <c r="J1021" s="640">
        <v>-4245</v>
      </c>
      <c r="K1021" s="372"/>
      <c r="L1021" s="634" t="s">
        <v>628</v>
      </c>
      <c r="M1021" s="372"/>
      <c r="N1021" s="634" t="s">
        <v>635</v>
      </c>
      <c r="O1021" s="634"/>
      <c r="P1021" s="634" t="s">
        <v>635</v>
      </c>
      <c r="Q1021" s="635"/>
      <c r="R1021" s="640">
        <v>25005</v>
      </c>
      <c r="S1021" s="372"/>
      <c r="T1021" s="640">
        <v>25897</v>
      </c>
    </row>
    <row r="1022" spans="1:20">
      <c r="A1022" s="634">
        <v>40</v>
      </c>
      <c r="B1022" s="639"/>
      <c r="C1022" s="634">
        <v>39800</v>
      </c>
      <c r="D1022" s="372" t="s">
        <v>766</v>
      </c>
      <c r="E1022" s="372"/>
      <c r="F1022" s="640">
        <v>2747</v>
      </c>
      <c r="G1022" s="635"/>
      <c r="H1022" s="634">
        <v>705</v>
      </c>
      <c r="I1022" s="635"/>
      <c r="J1022" s="634">
        <v>-693</v>
      </c>
      <c r="K1022" s="372"/>
      <c r="L1022" s="634" t="s">
        <v>628</v>
      </c>
      <c r="M1022" s="372"/>
      <c r="N1022" s="634" t="s">
        <v>635</v>
      </c>
      <c r="O1022" s="634"/>
      <c r="P1022" s="634" t="s">
        <v>635</v>
      </c>
      <c r="Q1022" s="635"/>
      <c r="R1022" s="640">
        <v>2760</v>
      </c>
      <c r="S1022" s="372"/>
      <c r="T1022" s="640">
        <v>2741</v>
      </c>
    </row>
    <row r="1023" spans="1:20" ht="15" thickBot="1">
      <c r="A1023" s="634">
        <v>41</v>
      </c>
      <c r="B1023" s="639"/>
      <c r="C1023" s="634"/>
      <c r="D1023" s="372" t="s">
        <v>767</v>
      </c>
      <c r="E1023" s="372"/>
      <c r="F1023" s="648">
        <v>193714</v>
      </c>
      <c r="G1023" s="372"/>
      <c r="H1023" s="648">
        <v>42615</v>
      </c>
      <c r="I1023" s="635"/>
      <c r="J1023" s="648">
        <v>-42165</v>
      </c>
      <c r="K1023" s="635"/>
      <c r="L1023" s="649">
        <v>-425</v>
      </c>
      <c r="M1023" s="635"/>
      <c r="N1023" s="648">
        <v>1035</v>
      </c>
      <c r="O1023" s="372"/>
      <c r="P1023" s="649" t="s">
        <v>635</v>
      </c>
      <c r="Q1023" s="635"/>
      <c r="R1023" s="648">
        <v>194775</v>
      </c>
      <c r="S1023" s="635"/>
      <c r="T1023" s="648">
        <v>192445</v>
      </c>
    </row>
    <row r="1024" spans="1:20" ht="15" thickTop="1">
      <c r="A1024" s="634">
        <v>42</v>
      </c>
      <c r="B1024" s="639"/>
      <c r="C1024" s="634"/>
      <c r="D1024" s="372"/>
      <c r="E1024" s="372"/>
      <c r="F1024" s="372"/>
      <c r="G1024" s="372"/>
      <c r="H1024" s="372"/>
      <c r="I1024" s="372"/>
      <c r="J1024" s="372"/>
      <c r="K1024" s="372"/>
      <c r="L1024" s="372"/>
      <c r="M1024" s="372"/>
      <c r="N1024" s="372"/>
      <c r="O1024" s="372"/>
      <c r="P1024" s="372"/>
      <c r="Q1024" s="635"/>
      <c r="R1024" s="372"/>
      <c r="S1024" s="372"/>
      <c r="T1024" s="372"/>
    </row>
    <row r="1025" spans="1:20" ht="15" thickBot="1">
      <c r="A1025" s="634">
        <v>43</v>
      </c>
      <c r="B1025" s="639"/>
      <c r="C1025" s="634"/>
      <c r="D1025" s="636" t="s">
        <v>819</v>
      </c>
      <c r="E1025" s="372"/>
      <c r="F1025" s="652">
        <v>3677569</v>
      </c>
      <c r="G1025" s="635"/>
      <c r="H1025" s="652">
        <v>513062</v>
      </c>
      <c r="I1025" s="635"/>
      <c r="J1025" s="652">
        <v>-145403</v>
      </c>
      <c r="K1025" s="635"/>
      <c r="L1025" s="652">
        <v>-43716</v>
      </c>
      <c r="M1025" s="635"/>
      <c r="N1025" s="652">
        <v>4567</v>
      </c>
      <c r="O1025" s="635"/>
      <c r="P1025" s="653" t="s">
        <v>635</v>
      </c>
      <c r="Q1025" s="635"/>
      <c r="R1025" s="652">
        <v>4006079</v>
      </c>
      <c r="S1025" s="635"/>
      <c r="T1025" s="652">
        <v>3844386</v>
      </c>
    </row>
    <row r="1026" spans="1:20" ht="15.6" thickTop="1" thickBot="1">
      <c r="A1026" s="637">
        <v>44</v>
      </c>
      <c r="B1026" s="660" t="s">
        <v>67</v>
      </c>
      <c r="C1026" s="660"/>
      <c r="D1026" s="625"/>
      <c r="E1026" s="625"/>
      <c r="F1026" s="625"/>
      <c r="G1026" s="625"/>
      <c r="H1026" s="625"/>
      <c r="I1026" s="625"/>
      <c r="J1026" s="625"/>
      <c r="K1026" s="625"/>
      <c r="L1026" s="625"/>
      <c r="M1026" s="625"/>
      <c r="N1026" s="625"/>
      <c r="O1026" s="625"/>
      <c r="P1026" s="625"/>
      <c r="Q1026" s="638"/>
      <c r="R1026" s="625"/>
      <c r="S1026" s="625"/>
      <c r="T1026" s="625"/>
    </row>
    <row r="1027" spans="1:20">
      <c r="A1027" s="664" t="s">
        <v>818</v>
      </c>
      <c r="B1027" s="664"/>
      <c r="C1027" s="372"/>
      <c r="D1027" s="372"/>
      <c r="E1027" s="664"/>
      <c r="F1027" s="664"/>
      <c r="G1027" s="664"/>
      <c r="H1027" s="664"/>
      <c r="I1027" s="664"/>
      <c r="J1027" s="664"/>
      <c r="K1027" s="664"/>
      <c r="L1027" s="664"/>
      <c r="M1027" s="664"/>
      <c r="N1027" s="664"/>
      <c r="O1027" s="664"/>
      <c r="P1027" s="664"/>
      <c r="Q1027" s="635"/>
      <c r="R1027" s="372" t="s">
        <v>644</v>
      </c>
      <c r="S1027" s="664"/>
      <c r="T1027" s="664"/>
    </row>
    <row r="1028" spans="1:20" ht="15" thickBot="1">
      <c r="A1028" s="625" t="s">
        <v>808</v>
      </c>
      <c r="B1028" s="625"/>
      <c r="C1028" s="625"/>
      <c r="D1028" s="625"/>
      <c r="E1028" s="625"/>
      <c r="F1028" s="625" t="s">
        <v>809</v>
      </c>
      <c r="G1028" s="625"/>
      <c r="H1028" s="625"/>
      <c r="I1028" s="625"/>
      <c r="J1028" s="625"/>
      <c r="K1028" s="625"/>
      <c r="L1028" s="625"/>
      <c r="M1028" s="625"/>
      <c r="N1028" s="625"/>
      <c r="O1028" s="625"/>
      <c r="P1028" s="625"/>
      <c r="Q1028" s="638"/>
      <c r="R1028" s="625"/>
      <c r="S1028" s="625"/>
      <c r="T1028" s="625" t="s">
        <v>769</v>
      </c>
    </row>
    <row r="1029" spans="1:20">
      <c r="A1029" s="664" t="s">
        <v>4</v>
      </c>
      <c r="B1029" s="664"/>
      <c r="C1029" s="372"/>
      <c r="D1029" s="372"/>
      <c r="E1029" s="635" t="s">
        <v>553</v>
      </c>
      <c r="F1029" s="372" t="s">
        <v>810</v>
      </c>
      <c r="G1029" s="664"/>
      <c r="H1029" s="664"/>
      <c r="I1029" s="664"/>
      <c r="J1029" s="664"/>
      <c r="K1029" s="661"/>
      <c r="L1029" s="661"/>
      <c r="M1029" s="661"/>
      <c r="N1029" s="661"/>
      <c r="O1029" s="661"/>
      <c r="P1029" s="661"/>
      <c r="Q1029" s="645"/>
      <c r="R1029" s="372" t="s">
        <v>608</v>
      </c>
      <c r="S1029" s="664"/>
      <c r="T1029" s="664"/>
    </row>
    <row r="1030" spans="1:20">
      <c r="A1030" s="372"/>
      <c r="B1030" s="372"/>
      <c r="C1030" s="372"/>
      <c r="D1030" s="372"/>
      <c r="E1030" s="372"/>
      <c r="F1030" s="372" t="s">
        <v>811</v>
      </c>
      <c r="G1030" s="372"/>
      <c r="H1030" s="372"/>
      <c r="I1030" s="372"/>
      <c r="J1030" s="372"/>
      <c r="K1030" s="636"/>
      <c r="L1030" s="636"/>
      <c r="M1030" s="372"/>
      <c r="N1030" s="372"/>
      <c r="O1030" s="635"/>
      <c r="P1030" s="635"/>
      <c r="Q1030" s="635" t="s">
        <v>12</v>
      </c>
      <c r="R1030" s="636" t="s">
        <v>9</v>
      </c>
      <c r="S1030" s="372"/>
      <c r="T1030" s="372"/>
    </row>
    <row r="1031" spans="1:20">
      <c r="A1031" s="372" t="s">
        <v>10</v>
      </c>
      <c r="B1031" s="372"/>
      <c r="C1031" s="372"/>
      <c r="D1031" s="372"/>
      <c r="E1031" s="372"/>
      <c r="F1031" s="372"/>
      <c r="G1031" s="372"/>
      <c r="H1031" s="372"/>
      <c r="I1031" s="372"/>
      <c r="J1031" s="372"/>
      <c r="K1031" s="636"/>
      <c r="L1031" s="636"/>
      <c r="M1031" s="372"/>
      <c r="N1031" s="372"/>
      <c r="O1031" s="372"/>
      <c r="P1031" s="372"/>
      <c r="Q1031" s="635"/>
      <c r="R1031" s="636" t="s">
        <v>11</v>
      </c>
      <c r="S1031" s="372"/>
      <c r="T1031" s="372"/>
    </row>
    <row r="1032" spans="1:20">
      <c r="A1032" s="372"/>
      <c r="B1032" s="372"/>
      <c r="C1032" s="372"/>
      <c r="D1032" s="372"/>
      <c r="E1032" s="372"/>
      <c r="F1032" s="372"/>
      <c r="G1032" s="372"/>
      <c r="H1032" s="372"/>
      <c r="I1032" s="372"/>
      <c r="J1032" s="372"/>
      <c r="K1032" s="636"/>
      <c r="L1032" s="636"/>
      <c r="M1032" s="372"/>
      <c r="N1032" s="372"/>
      <c r="O1032" s="372"/>
      <c r="P1032" s="372"/>
      <c r="Q1032" s="635"/>
      <c r="R1032" s="636" t="s">
        <v>13</v>
      </c>
      <c r="S1032" s="372"/>
      <c r="T1032" s="372"/>
    </row>
    <row r="1033" spans="1:20">
      <c r="A1033" s="372"/>
      <c r="B1033" s="372"/>
      <c r="C1033" s="372"/>
      <c r="D1033" s="372"/>
      <c r="E1033" s="372"/>
      <c r="F1033" s="372"/>
      <c r="G1033" s="372"/>
      <c r="H1033" s="372"/>
      <c r="I1033" s="372"/>
      <c r="J1033" s="372"/>
      <c r="K1033" s="636"/>
      <c r="L1033" s="636"/>
      <c r="M1033" s="372"/>
      <c r="N1033" s="372"/>
      <c r="O1033" s="372"/>
      <c r="P1033" s="372"/>
      <c r="Q1033" s="635"/>
      <c r="R1033" s="636" t="s">
        <v>610</v>
      </c>
      <c r="S1033" s="372"/>
      <c r="T1033" s="372"/>
    </row>
    <row r="1034" spans="1:20" ht="15" thickBot="1">
      <c r="A1034" s="625" t="s">
        <v>611</v>
      </c>
      <c r="B1034" s="625"/>
      <c r="C1034" s="625"/>
      <c r="D1034" s="625"/>
      <c r="E1034" s="625"/>
      <c r="F1034" s="625"/>
      <c r="G1034" s="625"/>
      <c r="H1034" s="637" t="s">
        <v>812</v>
      </c>
      <c r="I1034" s="625"/>
      <c r="J1034" s="625"/>
      <c r="K1034" s="625"/>
      <c r="L1034" s="625"/>
      <c r="M1034" s="625"/>
      <c r="N1034" s="625"/>
      <c r="O1034" s="625"/>
      <c r="P1034" s="625"/>
      <c r="Q1034" s="638"/>
      <c r="R1034" s="625" t="s">
        <v>249</v>
      </c>
      <c r="S1034" s="625"/>
      <c r="T1034" s="625"/>
    </row>
    <row r="1035" spans="1:20">
      <c r="A1035" s="664"/>
      <c r="B1035" s="664"/>
      <c r="C1035" s="634"/>
      <c r="D1035" s="634"/>
      <c r="E1035" s="634"/>
      <c r="F1035" s="634"/>
      <c r="G1035" s="634"/>
      <c r="H1035" s="634"/>
      <c r="I1035" s="634"/>
      <c r="J1035" s="634"/>
      <c r="K1035" s="634"/>
      <c r="L1035" s="634"/>
      <c r="M1035" s="634"/>
      <c r="N1035" s="634"/>
      <c r="O1035" s="634"/>
      <c r="P1035" s="634"/>
      <c r="Q1035" s="635"/>
      <c r="R1035" s="634"/>
      <c r="S1035" s="634"/>
      <c r="T1035" s="634"/>
    </row>
    <row r="1036" spans="1:20">
      <c r="A1036" s="372"/>
      <c r="B1036" s="372"/>
      <c r="C1036" s="634">
        <v>-1</v>
      </c>
      <c r="D1036" s="634">
        <v>-2</v>
      </c>
      <c r="E1036" s="634"/>
      <c r="F1036" s="634">
        <v>-3</v>
      </c>
      <c r="G1036" s="634"/>
      <c r="H1036" s="634">
        <v>-4</v>
      </c>
      <c r="I1036" s="634"/>
      <c r="J1036" s="634">
        <v>-5</v>
      </c>
      <c r="K1036" s="634"/>
      <c r="L1036" s="634">
        <v>-6</v>
      </c>
      <c r="M1036" s="634"/>
      <c r="N1036" s="634">
        <v>-7</v>
      </c>
      <c r="O1036" s="634"/>
      <c r="P1036" s="634">
        <v>-8</v>
      </c>
      <c r="Q1036" s="635"/>
      <c r="R1036" s="634">
        <v>-9</v>
      </c>
      <c r="S1036" s="634"/>
      <c r="T1036" s="634">
        <v>-10</v>
      </c>
    </row>
    <row r="1037" spans="1:20">
      <c r="A1037" s="372"/>
      <c r="B1037" s="372"/>
      <c r="C1037" s="634" t="s">
        <v>613</v>
      </c>
      <c r="D1037" s="634" t="s">
        <v>613</v>
      </c>
      <c r="E1037" s="372"/>
      <c r="F1037" s="634" t="s">
        <v>27</v>
      </c>
      <c r="G1037" s="634"/>
      <c r="H1037" s="634" t="s">
        <v>45</v>
      </c>
      <c r="I1037" s="634"/>
      <c r="J1037" s="634"/>
      <c r="K1037" s="634"/>
      <c r="L1037" s="634"/>
      <c r="M1037" s="634"/>
      <c r="N1037" s="372"/>
      <c r="O1037" s="372"/>
      <c r="P1037" s="372"/>
      <c r="Q1037" s="635"/>
      <c r="R1037" s="634" t="s">
        <v>27</v>
      </c>
      <c r="S1037" s="372"/>
      <c r="T1037" s="372"/>
    </row>
    <row r="1038" spans="1:20">
      <c r="A1038" s="634" t="s">
        <v>35</v>
      </c>
      <c r="B1038" s="634"/>
      <c r="C1038" s="634" t="s">
        <v>614</v>
      </c>
      <c r="D1038" s="634" t="s">
        <v>614</v>
      </c>
      <c r="E1038" s="634"/>
      <c r="F1038" s="634" t="s">
        <v>37</v>
      </c>
      <c r="G1038" s="634"/>
      <c r="H1038" s="634" t="s">
        <v>37</v>
      </c>
      <c r="I1038" s="634"/>
      <c r="J1038" s="634"/>
      <c r="K1038" s="634"/>
      <c r="L1038" s="634" t="s">
        <v>813</v>
      </c>
      <c r="M1038" s="636"/>
      <c r="N1038" s="634" t="s">
        <v>813</v>
      </c>
      <c r="O1038" s="634"/>
      <c r="P1038" s="634" t="s">
        <v>178</v>
      </c>
      <c r="Q1038" s="635"/>
      <c r="R1038" s="634" t="s">
        <v>37</v>
      </c>
      <c r="S1038" s="634"/>
      <c r="T1038" s="634" t="s">
        <v>353</v>
      </c>
    </row>
    <row r="1039" spans="1:20" ht="15" thickBot="1">
      <c r="A1039" s="637" t="s">
        <v>46</v>
      </c>
      <c r="B1039" s="637"/>
      <c r="C1039" s="637" t="s">
        <v>371</v>
      </c>
      <c r="D1039" s="637" t="s">
        <v>617</v>
      </c>
      <c r="E1039" s="637"/>
      <c r="F1039" s="637" t="s">
        <v>619</v>
      </c>
      <c r="G1039" s="637"/>
      <c r="H1039" s="637" t="s">
        <v>814</v>
      </c>
      <c r="I1039" s="637"/>
      <c r="J1039" s="637" t="s">
        <v>815</v>
      </c>
      <c r="K1039" s="637"/>
      <c r="L1039" s="637" t="s">
        <v>816</v>
      </c>
      <c r="M1039" s="637"/>
      <c r="N1039" s="637" t="s">
        <v>817</v>
      </c>
      <c r="O1039" s="637"/>
      <c r="P1039" s="637" t="s">
        <v>622</v>
      </c>
      <c r="Q1039" s="638"/>
      <c r="R1039" s="637" t="s">
        <v>623</v>
      </c>
      <c r="S1039" s="637"/>
      <c r="T1039" s="637" t="s">
        <v>369</v>
      </c>
    </row>
    <row r="1040" spans="1:20">
      <c r="A1040" s="634">
        <v>1</v>
      </c>
      <c r="B1040" s="639"/>
      <c r="C1040" s="372"/>
      <c r="D1040" s="372"/>
      <c r="E1040" s="664"/>
      <c r="F1040" s="664"/>
      <c r="G1040" s="664"/>
      <c r="H1040" s="664"/>
      <c r="I1040" s="664"/>
      <c r="J1040" s="664"/>
      <c r="K1040" s="664"/>
      <c r="L1040" s="664"/>
      <c r="M1040" s="664"/>
      <c r="N1040" s="664"/>
      <c r="O1040" s="664"/>
      <c r="P1040" s="664"/>
      <c r="Q1040" s="635"/>
      <c r="R1040" s="372"/>
      <c r="S1040" s="664"/>
      <c r="T1040" s="664"/>
    </row>
    <row r="1041" spans="1:20">
      <c r="A1041" s="634">
        <v>2</v>
      </c>
      <c r="B1041" s="639"/>
      <c r="C1041" s="634"/>
      <c r="D1041" s="372" t="s">
        <v>770</v>
      </c>
      <c r="E1041" s="372"/>
      <c r="F1041" s="372"/>
      <c r="G1041" s="372"/>
      <c r="H1041" s="372"/>
      <c r="I1041" s="634"/>
      <c r="J1041" s="634"/>
      <c r="K1041" s="634"/>
      <c r="L1041" s="634"/>
      <c r="M1041" s="634"/>
      <c r="N1041" s="634"/>
      <c r="O1041" s="634"/>
      <c r="P1041" s="634"/>
      <c r="Q1041" s="635"/>
      <c r="R1041" s="634"/>
      <c r="S1041" s="634"/>
      <c r="T1041" s="634"/>
    </row>
    <row r="1042" spans="1:20">
      <c r="A1042" s="634">
        <v>3</v>
      </c>
      <c r="B1042" s="639"/>
      <c r="C1042" s="634" t="s">
        <v>771</v>
      </c>
      <c r="D1042" s="636" t="s">
        <v>772</v>
      </c>
      <c r="E1042" s="372"/>
      <c r="F1042" s="654" t="s">
        <v>628</v>
      </c>
      <c r="G1042" s="635"/>
      <c r="H1042" s="654" t="s">
        <v>635</v>
      </c>
      <c r="I1042" s="635"/>
      <c r="J1042" s="654" t="s">
        <v>635</v>
      </c>
      <c r="K1042" s="372"/>
      <c r="L1042" s="654" t="s">
        <v>635</v>
      </c>
      <c r="M1042" s="372"/>
      <c r="N1042" s="654" t="s">
        <v>635</v>
      </c>
      <c r="O1042" s="634"/>
      <c r="P1042" s="654" t="s">
        <v>635</v>
      </c>
      <c r="Q1042" s="635"/>
      <c r="R1042" s="634" t="s">
        <v>635</v>
      </c>
      <c r="S1042" s="372"/>
      <c r="T1042" s="654" t="s">
        <v>635</v>
      </c>
    </row>
    <row r="1043" spans="1:20">
      <c r="A1043" s="634">
        <v>4</v>
      </c>
      <c r="B1043" s="639"/>
      <c r="C1043" s="634" t="s">
        <v>773</v>
      </c>
      <c r="D1043" s="372" t="s">
        <v>774</v>
      </c>
      <c r="E1043" s="372"/>
      <c r="F1043" s="654" t="s">
        <v>635</v>
      </c>
      <c r="G1043" s="635"/>
      <c r="H1043" s="654" t="s">
        <v>635</v>
      </c>
      <c r="I1043" s="635"/>
      <c r="J1043" s="654" t="s">
        <v>635</v>
      </c>
      <c r="K1043" s="372"/>
      <c r="L1043" s="654" t="s">
        <v>635</v>
      </c>
      <c r="M1043" s="372"/>
      <c r="N1043" s="654" t="s">
        <v>635</v>
      </c>
      <c r="O1043" s="634"/>
      <c r="P1043" s="654" t="s">
        <v>635</v>
      </c>
      <c r="Q1043" s="635"/>
      <c r="R1043" s="634" t="s">
        <v>635</v>
      </c>
      <c r="S1043" s="372"/>
      <c r="T1043" s="654" t="s">
        <v>635</v>
      </c>
    </row>
    <row r="1044" spans="1:20">
      <c r="A1044" s="634">
        <v>5</v>
      </c>
      <c r="B1044" s="639"/>
      <c r="C1044" s="634">
        <v>35000</v>
      </c>
      <c r="D1044" s="372" t="s">
        <v>775</v>
      </c>
      <c r="E1044" s="372"/>
      <c r="F1044" s="634" t="s">
        <v>628</v>
      </c>
      <c r="G1044" s="635"/>
      <c r="H1044" s="634" t="s">
        <v>635</v>
      </c>
      <c r="I1044" s="635"/>
      <c r="J1044" s="634" t="s">
        <v>635</v>
      </c>
      <c r="K1044" s="372"/>
      <c r="L1044" s="634" t="s">
        <v>635</v>
      </c>
      <c r="M1044" s="372"/>
      <c r="N1044" s="634" t="s">
        <v>635</v>
      </c>
      <c r="O1044" s="634"/>
      <c r="P1044" s="634" t="s">
        <v>635</v>
      </c>
      <c r="Q1044" s="635"/>
      <c r="R1044" s="634" t="s">
        <v>635</v>
      </c>
      <c r="S1044" s="372"/>
      <c r="T1044" s="634" t="s">
        <v>635</v>
      </c>
    </row>
    <row r="1045" spans="1:20">
      <c r="A1045" s="634">
        <v>6</v>
      </c>
      <c r="B1045" s="639"/>
      <c r="C1045" s="634">
        <v>36000</v>
      </c>
      <c r="D1045" s="372" t="s">
        <v>776</v>
      </c>
      <c r="E1045" s="372"/>
      <c r="F1045" s="634" t="s">
        <v>628</v>
      </c>
      <c r="G1045" s="635"/>
      <c r="H1045" s="634" t="s">
        <v>635</v>
      </c>
      <c r="I1045" s="635"/>
      <c r="J1045" s="634" t="s">
        <v>635</v>
      </c>
      <c r="K1045" s="372"/>
      <c r="L1045" s="634" t="s">
        <v>635</v>
      </c>
      <c r="M1045" s="372"/>
      <c r="N1045" s="634" t="s">
        <v>635</v>
      </c>
      <c r="O1045" s="634"/>
      <c r="P1045" s="634" t="s">
        <v>635</v>
      </c>
      <c r="Q1045" s="635"/>
      <c r="R1045" s="634" t="s">
        <v>635</v>
      </c>
      <c r="S1045" s="372"/>
      <c r="T1045" s="634" t="s">
        <v>635</v>
      </c>
    </row>
    <row r="1046" spans="1:20">
      <c r="A1046" s="634">
        <v>7</v>
      </c>
      <c r="B1046" s="639"/>
      <c r="C1046" s="634">
        <v>38900</v>
      </c>
      <c r="D1046" s="372" t="s">
        <v>777</v>
      </c>
      <c r="E1046" s="372"/>
      <c r="F1046" s="634" t="s">
        <v>628</v>
      </c>
      <c r="G1046" s="635"/>
      <c r="H1046" s="634" t="s">
        <v>635</v>
      </c>
      <c r="I1046" s="635"/>
      <c r="J1046" s="634" t="s">
        <v>635</v>
      </c>
      <c r="K1046" s="372"/>
      <c r="L1046" s="634" t="s">
        <v>635</v>
      </c>
      <c r="M1046" s="372"/>
      <c r="N1046" s="634" t="s">
        <v>635</v>
      </c>
      <c r="O1046" s="634"/>
      <c r="P1046" s="634" t="s">
        <v>635</v>
      </c>
      <c r="Q1046" s="635"/>
      <c r="R1046" s="634" t="s">
        <v>635</v>
      </c>
      <c r="S1046" s="372"/>
      <c r="T1046" s="634" t="s">
        <v>635</v>
      </c>
    </row>
    <row r="1047" spans="1:20" ht="15" thickBot="1">
      <c r="A1047" s="634">
        <v>8</v>
      </c>
      <c r="B1047" s="639"/>
      <c r="C1047" s="634"/>
      <c r="D1047" s="372" t="s">
        <v>820</v>
      </c>
      <c r="E1047" s="372"/>
      <c r="F1047" s="657" t="s">
        <v>628</v>
      </c>
      <c r="G1047" s="372"/>
      <c r="H1047" s="657" t="s">
        <v>635</v>
      </c>
      <c r="I1047" s="635"/>
      <c r="J1047" s="657" t="s">
        <v>635</v>
      </c>
      <c r="K1047" s="635"/>
      <c r="L1047" s="657" t="s">
        <v>635</v>
      </c>
      <c r="M1047" s="635"/>
      <c r="N1047" s="657" t="s">
        <v>635</v>
      </c>
      <c r="O1047" s="635"/>
      <c r="P1047" s="657" t="s">
        <v>635</v>
      </c>
      <c r="Q1047" s="635"/>
      <c r="R1047" s="657" t="s">
        <v>635</v>
      </c>
      <c r="S1047" s="635"/>
      <c r="T1047" s="657" t="s">
        <v>635</v>
      </c>
    </row>
    <row r="1048" spans="1:20" ht="15" thickTop="1">
      <c r="A1048" s="634">
        <v>9</v>
      </c>
      <c r="B1048" s="639"/>
      <c r="C1048" s="372"/>
      <c r="D1048" s="372"/>
      <c r="E1048" s="372"/>
      <c r="F1048" s="372"/>
      <c r="G1048" s="372"/>
      <c r="H1048" s="372"/>
      <c r="I1048" s="372"/>
      <c r="J1048" s="372"/>
      <c r="K1048" s="372"/>
      <c r="L1048" s="372"/>
      <c r="M1048" s="372"/>
      <c r="N1048" s="372"/>
      <c r="O1048" s="372"/>
      <c r="P1048" s="372"/>
      <c r="Q1048" s="635"/>
      <c r="R1048" s="372"/>
      <c r="S1048" s="372"/>
      <c r="T1048" s="372"/>
    </row>
    <row r="1049" spans="1:20">
      <c r="A1049" s="634">
        <v>10</v>
      </c>
      <c r="B1049" s="639"/>
      <c r="C1049" s="634"/>
      <c r="D1049" s="372" t="s">
        <v>779</v>
      </c>
      <c r="E1049" s="372"/>
      <c r="F1049" s="372"/>
      <c r="G1049" s="372"/>
      <c r="H1049" s="372"/>
      <c r="I1049" s="635"/>
      <c r="J1049" s="635"/>
      <c r="K1049" s="635"/>
      <c r="L1049" s="635"/>
      <c r="M1049" s="635"/>
      <c r="N1049" s="635"/>
      <c r="O1049" s="635"/>
      <c r="P1049" s="635"/>
      <c r="Q1049" s="635"/>
      <c r="R1049" s="635"/>
      <c r="S1049" s="635"/>
      <c r="T1049" s="635"/>
    </row>
    <row r="1050" spans="1:20">
      <c r="A1050" s="634">
        <v>11</v>
      </c>
      <c r="B1050" s="639"/>
      <c r="C1050" s="634">
        <v>30315</v>
      </c>
      <c r="D1050" s="636" t="s">
        <v>780</v>
      </c>
      <c r="E1050" s="372"/>
      <c r="F1050" s="640">
        <v>176428</v>
      </c>
      <c r="G1050" s="635"/>
      <c r="H1050" s="640">
        <v>39639</v>
      </c>
      <c r="I1050" s="635"/>
      <c r="J1050" s="640">
        <v>-4800</v>
      </c>
      <c r="K1050" s="372"/>
      <c r="L1050" s="634" t="s">
        <v>628</v>
      </c>
      <c r="M1050" s="372"/>
      <c r="N1050" s="634" t="s">
        <v>635</v>
      </c>
      <c r="O1050" s="634"/>
      <c r="P1050" s="634" t="s">
        <v>635</v>
      </c>
      <c r="Q1050" s="635"/>
      <c r="R1050" s="640">
        <v>211267</v>
      </c>
      <c r="S1050" s="372"/>
      <c r="T1050" s="640">
        <v>192032</v>
      </c>
    </row>
    <row r="1051" spans="1:20">
      <c r="A1051" s="634">
        <v>12</v>
      </c>
      <c r="B1051" s="639"/>
      <c r="C1051" s="634">
        <v>30302</v>
      </c>
      <c r="D1051" s="372" t="s">
        <v>781</v>
      </c>
      <c r="E1051" s="372"/>
      <c r="F1051" s="634" t="s">
        <v>628</v>
      </c>
      <c r="G1051" s="635"/>
      <c r="H1051" s="634" t="s">
        <v>635</v>
      </c>
      <c r="I1051" s="635"/>
      <c r="J1051" s="634" t="s">
        <v>635</v>
      </c>
      <c r="K1051" s="372"/>
      <c r="L1051" s="634" t="s">
        <v>635</v>
      </c>
      <c r="M1051" s="372"/>
      <c r="N1051" s="634" t="s">
        <v>635</v>
      </c>
      <c r="O1051" s="634"/>
      <c r="P1051" s="634" t="s">
        <v>635</v>
      </c>
      <c r="Q1051" s="635"/>
      <c r="R1051" s="634" t="s">
        <v>635</v>
      </c>
      <c r="S1051" s="372"/>
      <c r="T1051" s="634" t="s">
        <v>635</v>
      </c>
    </row>
    <row r="1052" spans="1:20">
      <c r="A1052" s="634">
        <v>13</v>
      </c>
      <c r="B1052" s="639"/>
      <c r="C1052" s="634">
        <v>30399</v>
      </c>
      <c r="D1052" s="372" t="s">
        <v>782</v>
      </c>
      <c r="E1052" s="372"/>
      <c r="F1052" s="634">
        <v>363</v>
      </c>
      <c r="G1052" s="635"/>
      <c r="H1052" s="634">
        <v>152</v>
      </c>
      <c r="I1052" s="635"/>
      <c r="J1052" s="634" t="s">
        <v>635</v>
      </c>
      <c r="K1052" s="372"/>
      <c r="L1052" s="634" t="s">
        <v>635</v>
      </c>
      <c r="M1052" s="372"/>
      <c r="N1052" s="634" t="s">
        <v>635</v>
      </c>
      <c r="O1052" s="634"/>
      <c r="P1052" s="634" t="s">
        <v>635</v>
      </c>
      <c r="Q1052" s="635"/>
      <c r="R1052" s="634">
        <v>515</v>
      </c>
      <c r="S1052" s="372"/>
      <c r="T1052" s="634">
        <v>439</v>
      </c>
    </row>
    <row r="1053" spans="1:20" ht="15" thickBot="1">
      <c r="A1053" s="634">
        <v>14</v>
      </c>
      <c r="B1053" s="372"/>
      <c r="C1053" s="372"/>
      <c r="D1053" s="372" t="s">
        <v>783</v>
      </c>
      <c r="E1053" s="372"/>
      <c r="F1053" s="656">
        <v>176791</v>
      </c>
      <c r="G1053" s="372"/>
      <c r="H1053" s="656">
        <v>39792</v>
      </c>
      <c r="I1053" s="635"/>
      <c r="J1053" s="656">
        <v>-4800</v>
      </c>
      <c r="K1053" s="635"/>
      <c r="L1053" s="657" t="s">
        <v>628</v>
      </c>
      <c r="M1053" s="635"/>
      <c r="N1053" s="657" t="s">
        <v>635</v>
      </c>
      <c r="O1053" s="635"/>
      <c r="P1053" s="657" t="s">
        <v>635</v>
      </c>
      <c r="Q1053" s="635"/>
      <c r="R1053" s="656">
        <v>211782</v>
      </c>
      <c r="S1053" s="635"/>
      <c r="T1053" s="656">
        <v>192471</v>
      </c>
    </row>
    <row r="1054" spans="1:20" ht="15" thickTop="1">
      <c r="A1054" s="634">
        <v>15</v>
      </c>
      <c r="B1054" s="372"/>
      <c r="C1054" s="372"/>
      <c r="D1054" s="372"/>
      <c r="E1054" s="372"/>
      <c r="F1054" s="372"/>
      <c r="G1054" s="372"/>
      <c r="H1054" s="372"/>
      <c r="I1054" s="372"/>
      <c r="J1054" s="372"/>
      <c r="K1054" s="372"/>
      <c r="L1054" s="372"/>
      <c r="M1054" s="372"/>
      <c r="N1054" s="372"/>
      <c r="O1054" s="372"/>
      <c r="P1054" s="372"/>
      <c r="Q1054" s="635"/>
      <c r="R1054" s="372"/>
      <c r="S1054" s="372"/>
      <c r="T1054" s="372"/>
    </row>
    <row r="1055" spans="1:20">
      <c r="A1055" s="634">
        <v>16</v>
      </c>
      <c r="B1055" s="372"/>
      <c r="C1055" s="372"/>
      <c r="D1055" s="636" t="s">
        <v>784</v>
      </c>
      <c r="E1055" s="372"/>
      <c r="F1055" s="372"/>
      <c r="G1055" s="372"/>
      <c r="H1055" s="372"/>
      <c r="I1055" s="372"/>
      <c r="J1055" s="372"/>
      <c r="K1055" s="372"/>
      <c r="L1055" s="372"/>
      <c r="M1055" s="372"/>
      <c r="N1055" s="372"/>
      <c r="O1055" s="372"/>
      <c r="P1055" s="372"/>
      <c r="Q1055" s="635"/>
      <c r="R1055" s="372"/>
      <c r="S1055" s="372"/>
      <c r="T1055" s="372"/>
    </row>
    <row r="1056" spans="1:20">
      <c r="A1056" s="634">
        <v>17</v>
      </c>
      <c r="B1056" s="372"/>
      <c r="C1056" s="634">
        <v>31700</v>
      </c>
      <c r="D1056" s="372" t="s">
        <v>785</v>
      </c>
      <c r="E1056" s="372"/>
      <c r="F1056" s="640">
        <v>1504</v>
      </c>
      <c r="G1056" s="635"/>
      <c r="H1056" s="634">
        <v>157</v>
      </c>
      <c r="I1056" s="635"/>
      <c r="J1056" s="634" t="s">
        <v>635</v>
      </c>
      <c r="K1056" s="372"/>
      <c r="L1056" s="634" t="s">
        <v>635</v>
      </c>
      <c r="M1056" s="372"/>
      <c r="N1056" s="634" t="s">
        <v>635</v>
      </c>
      <c r="O1056" s="634"/>
      <c r="P1056" s="634" t="s">
        <v>635</v>
      </c>
      <c r="Q1056" s="635"/>
      <c r="R1056" s="640">
        <v>1661</v>
      </c>
      <c r="S1056" s="372"/>
      <c r="T1056" s="640">
        <v>1583</v>
      </c>
    </row>
    <row r="1057" spans="1:20">
      <c r="A1057" s="634">
        <v>18</v>
      </c>
      <c r="B1057" s="372"/>
      <c r="C1057" s="634">
        <v>34700</v>
      </c>
      <c r="D1057" s="372" t="s">
        <v>786</v>
      </c>
      <c r="E1057" s="372"/>
      <c r="F1057" s="640">
        <v>1981</v>
      </c>
      <c r="G1057" s="635"/>
      <c r="H1057" s="634">
        <v>421</v>
      </c>
      <c r="I1057" s="635"/>
      <c r="J1057" s="634" t="s">
        <v>635</v>
      </c>
      <c r="K1057" s="372"/>
      <c r="L1057" s="634" t="s">
        <v>635</v>
      </c>
      <c r="M1057" s="372"/>
      <c r="N1057" s="634" t="s">
        <v>635</v>
      </c>
      <c r="O1057" s="634"/>
      <c r="P1057" s="634" t="s">
        <v>635</v>
      </c>
      <c r="Q1057" s="635"/>
      <c r="R1057" s="640">
        <v>2402</v>
      </c>
      <c r="S1057" s="372"/>
      <c r="T1057" s="640">
        <v>2191</v>
      </c>
    </row>
    <row r="1058" spans="1:20">
      <c r="A1058" s="634">
        <v>19</v>
      </c>
      <c r="B1058" s="639"/>
      <c r="C1058" s="634">
        <v>37400</v>
      </c>
      <c r="D1058" s="372" t="s">
        <v>787</v>
      </c>
      <c r="E1058" s="372"/>
      <c r="F1058" s="640">
        <v>1867</v>
      </c>
      <c r="G1058" s="635"/>
      <c r="H1058" s="634">
        <v>100</v>
      </c>
      <c r="I1058" s="635"/>
      <c r="J1058" s="634" t="s">
        <v>635</v>
      </c>
      <c r="K1058" s="372"/>
      <c r="L1058" s="634" t="s">
        <v>635</v>
      </c>
      <c r="M1058" s="372"/>
      <c r="N1058" s="634" t="s">
        <v>635</v>
      </c>
      <c r="O1058" s="634"/>
      <c r="P1058" s="634" t="s">
        <v>635</v>
      </c>
      <c r="Q1058" s="635"/>
      <c r="R1058" s="640">
        <v>1968</v>
      </c>
      <c r="S1058" s="372"/>
      <c r="T1058" s="640">
        <v>1917</v>
      </c>
    </row>
    <row r="1059" spans="1:20">
      <c r="A1059" s="634">
        <v>20</v>
      </c>
      <c r="B1059" s="639"/>
      <c r="C1059" s="634">
        <v>39910</v>
      </c>
      <c r="D1059" s="372" t="s">
        <v>788</v>
      </c>
      <c r="E1059" s="372"/>
      <c r="F1059" s="634">
        <v>141</v>
      </c>
      <c r="G1059" s="635"/>
      <c r="H1059" s="634">
        <v>12</v>
      </c>
      <c r="I1059" s="635"/>
      <c r="J1059" s="634" t="s">
        <v>635</v>
      </c>
      <c r="K1059" s="372"/>
      <c r="L1059" s="634" t="s">
        <v>635</v>
      </c>
      <c r="M1059" s="372"/>
      <c r="N1059" s="634" t="s">
        <v>635</v>
      </c>
      <c r="O1059" s="634"/>
      <c r="P1059" s="634" t="s">
        <v>635</v>
      </c>
      <c r="Q1059" s="635"/>
      <c r="R1059" s="634">
        <v>152</v>
      </c>
      <c r="S1059" s="372"/>
      <c r="T1059" s="634">
        <v>147</v>
      </c>
    </row>
    <row r="1060" spans="1:20" ht="15" thickBot="1">
      <c r="A1060" s="634">
        <v>21</v>
      </c>
      <c r="B1060" s="639"/>
      <c r="C1060" s="372"/>
      <c r="D1060" s="636" t="s">
        <v>789</v>
      </c>
      <c r="E1060" s="372"/>
      <c r="F1060" s="656">
        <v>5493</v>
      </c>
      <c r="G1060" s="372"/>
      <c r="H1060" s="657">
        <v>689</v>
      </c>
      <c r="I1060" s="635"/>
      <c r="J1060" s="657" t="s">
        <v>635</v>
      </c>
      <c r="K1060" s="635"/>
      <c r="L1060" s="657" t="s">
        <v>635</v>
      </c>
      <c r="M1060" s="635"/>
      <c r="N1060" s="657" t="s">
        <v>635</v>
      </c>
      <c r="O1060" s="635"/>
      <c r="P1060" s="657" t="s">
        <v>635</v>
      </c>
      <c r="Q1060" s="635"/>
      <c r="R1060" s="656">
        <v>6183</v>
      </c>
      <c r="S1060" s="635"/>
      <c r="T1060" s="656">
        <v>5838</v>
      </c>
    </row>
    <row r="1061" spans="1:20" ht="15" thickTop="1">
      <c r="A1061" s="634">
        <v>22</v>
      </c>
      <c r="B1061" s="639"/>
      <c r="C1061" s="372"/>
      <c r="D1061" s="636"/>
      <c r="E1061" s="372"/>
      <c r="F1061" s="372"/>
      <c r="G1061" s="372"/>
      <c r="H1061" s="372"/>
      <c r="I1061" s="372"/>
      <c r="J1061" s="372"/>
      <c r="K1061" s="372"/>
      <c r="L1061" s="372"/>
      <c r="M1061" s="372"/>
      <c r="N1061" s="372"/>
      <c r="O1061" s="372"/>
      <c r="P1061" s="372"/>
      <c r="Q1061" s="635"/>
      <c r="R1061" s="372"/>
      <c r="S1061" s="372"/>
      <c r="T1061" s="372"/>
    </row>
    <row r="1062" spans="1:20">
      <c r="A1062" s="634">
        <v>23</v>
      </c>
      <c r="B1062" s="639"/>
      <c r="C1062" s="372"/>
      <c r="D1062" s="372" t="s">
        <v>790</v>
      </c>
      <c r="E1062" s="372"/>
      <c r="F1062" s="372"/>
      <c r="G1062" s="372"/>
      <c r="H1062" s="372"/>
      <c r="I1062" s="372"/>
      <c r="J1062" s="372"/>
      <c r="K1062" s="372"/>
      <c r="L1062" s="372"/>
      <c r="M1062" s="372"/>
      <c r="N1062" s="372"/>
      <c r="O1062" s="372"/>
      <c r="P1062" s="372"/>
      <c r="Q1062" s="635"/>
      <c r="R1062" s="372"/>
      <c r="S1062" s="372"/>
      <c r="T1062" s="372"/>
    </row>
    <row r="1063" spans="1:20">
      <c r="A1063" s="634">
        <v>24</v>
      </c>
      <c r="B1063" s="639"/>
      <c r="C1063" s="634">
        <v>10110</v>
      </c>
      <c r="D1063" s="372" t="s">
        <v>791</v>
      </c>
      <c r="E1063" s="372"/>
      <c r="F1063" s="634" t="s">
        <v>628</v>
      </c>
      <c r="G1063" s="635"/>
      <c r="H1063" s="634" t="s">
        <v>635</v>
      </c>
      <c r="I1063" s="635"/>
      <c r="J1063" s="634" t="s">
        <v>635</v>
      </c>
      <c r="K1063" s="372"/>
      <c r="L1063" s="634" t="s">
        <v>635</v>
      </c>
      <c r="M1063" s="372"/>
      <c r="N1063" s="634" t="s">
        <v>635</v>
      </c>
      <c r="O1063" s="634"/>
      <c r="P1063" s="634" t="s">
        <v>635</v>
      </c>
      <c r="Q1063" s="635"/>
      <c r="R1063" s="634" t="s">
        <v>635</v>
      </c>
      <c r="S1063" s="372"/>
      <c r="T1063" s="634" t="s">
        <v>635</v>
      </c>
    </row>
    <row r="1064" spans="1:20">
      <c r="A1064" s="634">
        <v>25</v>
      </c>
      <c r="B1064" s="639"/>
      <c r="C1064" s="634">
        <v>10112</v>
      </c>
      <c r="D1064" s="372" t="s">
        <v>792</v>
      </c>
      <c r="E1064" s="372"/>
      <c r="F1064" s="634" t="s">
        <v>628</v>
      </c>
      <c r="G1064" s="635"/>
      <c r="H1064" s="634" t="s">
        <v>635</v>
      </c>
      <c r="I1064" s="635"/>
      <c r="J1064" s="634" t="s">
        <v>635</v>
      </c>
      <c r="K1064" s="372"/>
      <c r="L1064" s="634" t="s">
        <v>635</v>
      </c>
      <c r="M1064" s="372"/>
      <c r="N1064" s="634" t="s">
        <v>635</v>
      </c>
      <c r="O1064" s="634"/>
      <c r="P1064" s="634" t="s">
        <v>635</v>
      </c>
      <c r="Q1064" s="635"/>
      <c r="R1064" s="634" t="s">
        <v>635</v>
      </c>
      <c r="S1064" s="372"/>
      <c r="T1064" s="634" t="s">
        <v>635</v>
      </c>
    </row>
    <row r="1065" spans="1:20" ht="15" thickBot="1">
      <c r="A1065" s="634">
        <v>26</v>
      </c>
      <c r="B1065" s="639"/>
      <c r="C1065" s="634"/>
      <c r="D1065" s="372" t="s">
        <v>793</v>
      </c>
      <c r="E1065" s="372"/>
      <c r="F1065" s="657" t="s">
        <v>628</v>
      </c>
      <c r="G1065" s="372"/>
      <c r="H1065" s="657" t="s">
        <v>635</v>
      </c>
      <c r="I1065" s="635"/>
      <c r="J1065" s="657" t="s">
        <v>635</v>
      </c>
      <c r="K1065" s="635"/>
      <c r="L1065" s="657" t="s">
        <v>635</v>
      </c>
      <c r="M1065" s="635"/>
      <c r="N1065" s="657" t="s">
        <v>635</v>
      </c>
      <c r="O1065" s="635"/>
      <c r="P1065" s="657" t="s">
        <v>635</v>
      </c>
      <c r="Q1065" s="635"/>
      <c r="R1065" s="657" t="s">
        <v>635</v>
      </c>
      <c r="S1065" s="372"/>
      <c r="T1065" s="657" t="s">
        <v>635</v>
      </c>
    </row>
    <row r="1066" spans="1:20" ht="15" thickTop="1">
      <c r="A1066" s="634">
        <v>27</v>
      </c>
      <c r="B1066" s="639"/>
      <c r="C1066" s="372"/>
      <c r="D1066" s="372"/>
      <c r="E1066" s="372"/>
      <c r="F1066" s="372"/>
      <c r="G1066" s="372"/>
      <c r="H1066" s="372"/>
      <c r="I1066" s="372"/>
      <c r="J1066" s="372"/>
      <c r="K1066" s="372"/>
      <c r="L1066" s="372"/>
      <c r="M1066" s="372"/>
      <c r="N1066" s="372"/>
      <c r="O1066" s="372"/>
      <c r="P1066" s="372"/>
      <c r="Q1066" s="635"/>
      <c r="R1066" s="372"/>
      <c r="S1066" s="372"/>
      <c r="T1066" s="372"/>
    </row>
    <row r="1067" spans="1:20" ht="15" thickBot="1">
      <c r="A1067" s="634">
        <v>28</v>
      </c>
      <c r="B1067" s="639"/>
      <c r="C1067" s="372"/>
      <c r="D1067" s="636" t="s">
        <v>821</v>
      </c>
      <c r="E1067" s="372"/>
      <c r="F1067" s="652">
        <v>3859853</v>
      </c>
      <c r="G1067" s="372"/>
      <c r="H1067" s="652">
        <v>553543</v>
      </c>
      <c r="I1067" s="372"/>
      <c r="J1067" s="652">
        <v>-150204</v>
      </c>
      <c r="K1067" s="372"/>
      <c r="L1067" s="652">
        <v>-43716</v>
      </c>
      <c r="M1067" s="372"/>
      <c r="N1067" s="652">
        <v>4567</v>
      </c>
      <c r="O1067" s="635"/>
      <c r="P1067" s="653" t="s">
        <v>635</v>
      </c>
      <c r="Q1067" s="635"/>
      <c r="R1067" s="652">
        <v>4224044</v>
      </c>
      <c r="S1067" s="372"/>
      <c r="T1067" s="652">
        <v>4042695</v>
      </c>
    </row>
    <row r="1068" spans="1:20" ht="15" thickTop="1">
      <c r="A1068" s="634">
        <v>29</v>
      </c>
      <c r="B1068" s="639"/>
      <c r="C1068" s="372"/>
      <c r="D1068" s="372"/>
      <c r="E1068" s="372"/>
      <c r="F1068" s="372"/>
      <c r="G1068" s="372"/>
      <c r="H1068" s="372"/>
      <c r="I1068" s="372"/>
      <c r="J1068" s="372"/>
      <c r="K1068" s="372"/>
      <c r="L1068" s="372"/>
      <c r="M1068" s="372"/>
      <c r="N1068" s="372"/>
      <c r="O1068" s="372"/>
      <c r="P1068" s="372"/>
      <c r="Q1068" s="635"/>
      <c r="R1068" s="372"/>
      <c r="S1068" s="372"/>
      <c r="T1068" s="372"/>
    </row>
    <row r="1069" spans="1:20">
      <c r="A1069" s="634">
        <v>30</v>
      </c>
      <c r="B1069" s="639"/>
      <c r="C1069" s="372"/>
      <c r="D1069" s="636" t="s">
        <v>795</v>
      </c>
      <c r="E1069" s="372"/>
      <c r="F1069" s="372"/>
      <c r="G1069" s="372"/>
      <c r="H1069" s="372"/>
      <c r="I1069" s="372"/>
      <c r="J1069" s="372"/>
      <c r="K1069" s="372"/>
      <c r="L1069" s="372"/>
      <c r="M1069" s="372"/>
      <c r="N1069" s="372"/>
      <c r="O1069" s="372"/>
      <c r="P1069" s="372"/>
      <c r="Q1069" s="635"/>
      <c r="R1069" s="372"/>
      <c r="S1069" s="372"/>
      <c r="T1069" s="372"/>
    </row>
    <row r="1070" spans="1:20">
      <c r="A1070" s="634">
        <v>31</v>
      </c>
      <c r="B1070" s="639"/>
      <c r="C1070" s="634">
        <v>11401</v>
      </c>
      <c r="D1070" s="636" t="s">
        <v>796</v>
      </c>
      <c r="E1070" s="372"/>
      <c r="F1070" s="640">
        <v>5858</v>
      </c>
      <c r="G1070" s="635"/>
      <c r="H1070" s="634">
        <v>186</v>
      </c>
      <c r="I1070" s="635"/>
      <c r="J1070" s="634" t="s">
        <v>635</v>
      </c>
      <c r="K1070" s="372"/>
      <c r="L1070" s="634" t="s">
        <v>635</v>
      </c>
      <c r="M1070" s="372"/>
      <c r="N1070" s="634" t="s">
        <v>635</v>
      </c>
      <c r="O1070" s="634"/>
      <c r="P1070" s="634" t="s">
        <v>635</v>
      </c>
      <c r="Q1070" s="635"/>
      <c r="R1070" s="640">
        <v>6043</v>
      </c>
      <c r="S1070" s="372"/>
      <c r="T1070" s="640">
        <v>5951</v>
      </c>
    </row>
    <row r="1071" spans="1:20">
      <c r="A1071" s="634">
        <v>32</v>
      </c>
      <c r="B1071" s="639"/>
      <c r="C1071" s="634">
        <v>11402</v>
      </c>
      <c r="D1071" s="636" t="s">
        <v>797</v>
      </c>
      <c r="E1071" s="372"/>
      <c r="F1071" s="634">
        <v>887</v>
      </c>
      <c r="G1071" s="635"/>
      <c r="H1071" s="634">
        <v>42</v>
      </c>
      <c r="I1071" s="635"/>
      <c r="J1071" s="634" t="s">
        <v>635</v>
      </c>
      <c r="K1071" s="372"/>
      <c r="L1071" s="634" t="s">
        <v>635</v>
      </c>
      <c r="M1071" s="372"/>
      <c r="N1071" s="634" t="s">
        <v>635</v>
      </c>
      <c r="O1071" s="634"/>
      <c r="P1071" s="634" t="s">
        <v>635</v>
      </c>
      <c r="Q1071" s="635"/>
      <c r="R1071" s="634">
        <v>929</v>
      </c>
      <c r="S1071" s="372"/>
      <c r="T1071" s="634">
        <v>908</v>
      </c>
    </row>
    <row r="1072" spans="1:20">
      <c r="A1072" s="634">
        <v>33</v>
      </c>
      <c r="B1072" s="639"/>
      <c r="C1072" s="634">
        <v>11403</v>
      </c>
      <c r="D1072" s="372" t="s">
        <v>798</v>
      </c>
      <c r="E1072" s="372"/>
      <c r="F1072" s="634">
        <v>139</v>
      </c>
      <c r="G1072" s="635"/>
      <c r="H1072" s="634">
        <v>9</v>
      </c>
      <c r="I1072" s="635"/>
      <c r="J1072" s="634" t="s">
        <v>635</v>
      </c>
      <c r="K1072" s="372"/>
      <c r="L1072" s="634" t="s">
        <v>635</v>
      </c>
      <c r="M1072" s="372"/>
      <c r="N1072" s="634" t="s">
        <v>635</v>
      </c>
      <c r="O1072" s="634"/>
      <c r="P1072" s="634" t="s">
        <v>635</v>
      </c>
      <c r="Q1072" s="635"/>
      <c r="R1072" s="634">
        <v>148</v>
      </c>
      <c r="S1072" s="372"/>
      <c r="T1072" s="634">
        <v>143</v>
      </c>
    </row>
    <row r="1073" spans="1:20" ht="15" thickBot="1">
      <c r="A1073" s="634">
        <v>34</v>
      </c>
      <c r="B1073" s="639"/>
      <c r="C1073" s="372"/>
      <c r="D1073" s="636" t="s">
        <v>799</v>
      </c>
      <c r="E1073" s="372"/>
      <c r="F1073" s="656">
        <v>6883</v>
      </c>
      <c r="G1073" s="372"/>
      <c r="H1073" s="657">
        <v>237</v>
      </c>
      <c r="I1073" s="635"/>
      <c r="J1073" s="657" t="s">
        <v>635</v>
      </c>
      <c r="K1073" s="635"/>
      <c r="L1073" s="657" t="s">
        <v>635</v>
      </c>
      <c r="M1073" s="635"/>
      <c r="N1073" s="657" t="s">
        <v>635</v>
      </c>
      <c r="O1073" s="635"/>
      <c r="P1073" s="657" t="s">
        <v>635</v>
      </c>
      <c r="Q1073" s="635"/>
      <c r="R1073" s="656">
        <v>7120</v>
      </c>
      <c r="S1073" s="635"/>
      <c r="T1073" s="656">
        <v>7002</v>
      </c>
    </row>
    <row r="1074" spans="1:20" ht="15" thickTop="1">
      <c r="A1074" s="634">
        <v>35</v>
      </c>
      <c r="B1074" s="639"/>
      <c r="C1074" s="372"/>
      <c r="D1074" s="372"/>
      <c r="E1074" s="372"/>
      <c r="F1074" s="372"/>
      <c r="G1074" s="372"/>
      <c r="H1074" s="372"/>
      <c r="I1074" s="372"/>
      <c r="J1074" s="372"/>
      <c r="K1074" s="372"/>
      <c r="L1074" s="372"/>
      <c r="M1074" s="372"/>
      <c r="N1074" s="372"/>
      <c r="O1074" s="372"/>
      <c r="P1074" s="372"/>
      <c r="Q1074" s="635"/>
      <c r="R1074" s="372"/>
      <c r="S1074" s="372"/>
      <c r="T1074" s="372"/>
    </row>
    <row r="1075" spans="1:20">
      <c r="A1075" s="634">
        <v>36</v>
      </c>
      <c r="B1075" s="639"/>
      <c r="C1075" s="634">
        <v>10200</v>
      </c>
      <c r="D1075" s="636" t="s">
        <v>800</v>
      </c>
      <c r="E1075" s="372"/>
      <c r="F1075" s="634" t="s">
        <v>628</v>
      </c>
      <c r="G1075" s="635"/>
      <c r="H1075" s="634" t="s">
        <v>635</v>
      </c>
      <c r="I1075" s="635"/>
      <c r="J1075" s="634" t="s">
        <v>635</v>
      </c>
      <c r="K1075" s="372"/>
      <c r="L1075" s="634" t="s">
        <v>635</v>
      </c>
      <c r="M1075" s="372"/>
      <c r="N1075" s="634" t="s">
        <v>635</v>
      </c>
      <c r="O1075" s="634"/>
      <c r="P1075" s="634" t="s">
        <v>635</v>
      </c>
      <c r="Q1075" s="635"/>
      <c r="R1075" s="634" t="s">
        <v>635</v>
      </c>
      <c r="S1075" s="372"/>
      <c r="T1075" s="634" t="s">
        <v>635</v>
      </c>
    </row>
    <row r="1076" spans="1:20">
      <c r="A1076" s="634">
        <v>37</v>
      </c>
      <c r="B1076" s="639"/>
      <c r="C1076" s="634">
        <v>10501</v>
      </c>
      <c r="D1076" s="636" t="s">
        <v>801</v>
      </c>
      <c r="E1076" s="372"/>
      <c r="F1076" s="634" t="s">
        <v>628</v>
      </c>
      <c r="G1076" s="635"/>
      <c r="H1076" s="634" t="s">
        <v>635</v>
      </c>
      <c r="I1076" s="635"/>
      <c r="J1076" s="634" t="s">
        <v>635</v>
      </c>
      <c r="K1076" s="372"/>
      <c r="L1076" s="634" t="s">
        <v>635</v>
      </c>
      <c r="M1076" s="372"/>
      <c r="N1076" s="634" t="s">
        <v>635</v>
      </c>
      <c r="O1076" s="634"/>
      <c r="P1076" s="634" t="s">
        <v>635</v>
      </c>
      <c r="Q1076" s="635"/>
      <c r="R1076" s="634" t="s">
        <v>635</v>
      </c>
      <c r="S1076" s="372"/>
      <c r="T1076" s="634" t="s">
        <v>635</v>
      </c>
    </row>
    <row r="1077" spans="1:20">
      <c r="A1077" s="634">
        <v>38</v>
      </c>
      <c r="B1077" s="639"/>
      <c r="C1077" s="372"/>
      <c r="D1077" s="372"/>
      <c r="E1077" s="372"/>
      <c r="F1077" s="372"/>
      <c r="G1077" s="372"/>
      <c r="H1077" s="372"/>
      <c r="I1077" s="372"/>
      <c r="J1077" s="372"/>
      <c r="K1077" s="372"/>
      <c r="L1077" s="372"/>
      <c r="M1077" s="372"/>
      <c r="N1077" s="372"/>
      <c r="O1077" s="372"/>
      <c r="P1077" s="372"/>
      <c r="Q1077" s="635"/>
      <c r="R1077" s="372"/>
      <c r="S1077" s="372"/>
      <c r="T1077" s="372"/>
    </row>
    <row r="1078" spans="1:20">
      <c r="A1078" s="634">
        <v>39</v>
      </c>
      <c r="B1078" s="639"/>
      <c r="C1078" s="634">
        <v>10803</v>
      </c>
      <c r="D1078" s="372" t="s">
        <v>802</v>
      </c>
      <c r="E1078" s="372"/>
      <c r="F1078" s="640">
        <v>75855</v>
      </c>
      <c r="G1078" s="635"/>
      <c r="H1078" s="640">
        <v>2301</v>
      </c>
      <c r="I1078" s="635"/>
      <c r="J1078" s="634" t="s">
        <v>635</v>
      </c>
      <c r="K1078" s="372"/>
      <c r="L1078" s="640">
        <v>-33256</v>
      </c>
      <c r="M1078" s="372"/>
      <c r="N1078" s="634" t="s">
        <v>628</v>
      </c>
      <c r="O1078" s="634"/>
      <c r="P1078" s="640">
        <v>33256</v>
      </c>
      <c r="Q1078" s="635"/>
      <c r="R1078" s="640">
        <v>78156</v>
      </c>
      <c r="S1078" s="372"/>
      <c r="T1078" s="640">
        <v>74601</v>
      </c>
    </row>
    <row r="1079" spans="1:20">
      <c r="A1079" s="634">
        <v>40</v>
      </c>
      <c r="B1079" s="639"/>
      <c r="C1079" s="372"/>
      <c r="D1079" s="372" t="s">
        <v>803</v>
      </c>
      <c r="E1079" s="372"/>
      <c r="F1079" s="671">
        <v>37782</v>
      </c>
      <c r="G1079" s="372"/>
      <c r="H1079" s="671">
        <v>15141</v>
      </c>
      <c r="I1079" s="372"/>
      <c r="J1079" s="672" t="s">
        <v>635</v>
      </c>
      <c r="K1079" s="372"/>
      <c r="L1079" s="672" t="s">
        <v>635</v>
      </c>
      <c r="M1079" s="372"/>
      <c r="N1079" s="672" t="s">
        <v>635</v>
      </c>
      <c r="O1079" s="372"/>
      <c r="P1079" s="672" t="s">
        <v>635</v>
      </c>
      <c r="Q1079" s="635"/>
      <c r="R1079" s="673">
        <v>52923</v>
      </c>
      <c r="S1079" s="372"/>
      <c r="T1079" s="671">
        <v>45353</v>
      </c>
    </row>
    <row r="1080" spans="1:20" ht="15" thickBot="1">
      <c r="A1080" s="634">
        <v>41</v>
      </c>
      <c r="B1080" s="639"/>
      <c r="C1080" s="372"/>
      <c r="D1080" s="372" t="s">
        <v>804</v>
      </c>
      <c r="E1080" s="372"/>
      <c r="F1080" s="648">
        <v>113637</v>
      </c>
      <c r="G1080" s="372"/>
      <c r="H1080" s="648">
        <v>17442</v>
      </c>
      <c r="I1080" s="372"/>
      <c r="J1080" s="649" t="s">
        <v>635</v>
      </c>
      <c r="K1080" s="372"/>
      <c r="L1080" s="648">
        <v>-33256</v>
      </c>
      <c r="M1080" s="372"/>
      <c r="N1080" s="649" t="s">
        <v>628</v>
      </c>
      <c r="O1080" s="372"/>
      <c r="P1080" s="648">
        <v>33256</v>
      </c>
      <c r="Q1080" s="635"/>
      <c r="R1080" s="648">
        <v>131079</v>
      </c>
      <c r="S1080" s="372"/>
      <c r="T1080" s="648">
        <v>119954</v>
      </c>
    </row>
    <row r="1081" spans="1:20" ht="15" thickTop="1">
      <c r="A1081" s="634">
        <v>42</v>
      </c>
      <c r="B1081" s="639"/>
      <c r="C1081" s="372"/>
      <c r="D1081" s="372"/>
      <c r="E1081" s="372"/>
      <c r="F1081" s="372"/>
      <c r="G1081" s="372"/>
      <c r="H1081" s="372"/>
      <c r="I1081" s="372"/>
      <c r="J1081" s="372"/>
      <c r="K1081" s="372"/>
      <c r="L1081" s="372"/>
      <c r="M1081" s="372"/>
      <c r="N1081" s="372"/>
      <c r="O1081" s="372"/>
      <c r="P1081" s="372"/>
      <c r="Q1081" s="635"/>
      <c r="R1081" s="372"/>
      <c r="S1081" s="372"/>
      <c r="T1081" s="372"/>
    </row>
    <row r="1082" spans="1:20" ht="15" thickBot="1">
      <c r="A1082" s="634">
        <v>43</v>
      </c>
      <c r="B1082" s="639"/>
      <c r="C1082" s="372"/>
      <c r="D1082" s="372" t="s">
        <v>822</v>
      </c>
      <c r="E1082" s="372"/>
      <c r="F1082" s="652">
        <v>3980373</v>
      </c>
      <c r="G1082" s="372"/>
      <c r="H1082" s="652">
        <v>571222</v>
      </c>
      <c r="I1082" s="653"/>
      <c r="J1082" s="652">
        <v>-150204</v>
      </c>
      <c r="K1082" s="635"/>
      <c r="L1082" s="652">
        <v>-76972</v>
      </c>
      <c r="M1082" s="635"/>
      <c r="N1082" s="652">
        <v>4567</v>
      </c>
      <c r="O1082" s="635"/>
      <c r="P1082" s="652">
        <v>33256</v>
      </c>
      <c r="Q1082" s="635"/>
      <c r="R1082" s="652">
        <v>4362243</v>
      </c>
      <c r="S1082" s="635"/>
      <c r="T1082" s="652">
        <v>4169650</v>
      </c>
    </row>
    <row r="1083" spans="1:20" ht="15.6" thickTop="1" thickBot="1">
      <c r="A1083" s="637">
        <v>44</v>
      </c>
      <c r="B1083" s="660" t="s">
        <v>67</v>
      </c>
      <c r="C1083" s="660"/>
      <c r="D1083" s="625"/>
      <c r="E1083" s="625"/>
      <c r="F1083" s="625"/>
      <c r="G1083" s="625"/>
      <c r="H1083" s="625"/>
      <c r="I1083" s="674"/>
      <c r="J1083" s="674"/>
      <c r="K1083" s="625"/>
      <c r="L1083" s="625"/>
      <c r="M1083" s="625"/>
      <c r="N1083" s="625"/>
      <c r="O1083" s="625"/>
      <c r="P1083" s="625"/>
      <c r="Q1083" s="638"/>
      <c r="R1083" s="625"/>
      <c r="S1083" s="625"/>
      <c r="T1083" s="625"/>
    </row>
    <row r="1084" spans="1:20">
      <c r="A1084" s="664" t="s">
        <v>818</v>
      </c>
      <c r="B1084" s="664"/>
      <c r="C1084" s="372"/>
      <c r="D1084" s="372"/>
      <c r="E1084" s="664"/>
      <c r="F1084" s="664"/>
      <c r="G1084" s="664"/>
      <c r="H1084" s="664"/>
      <c r="I1084" s="664"/>
      <c r="J1084" s="664"/>
      <c r="K1084" s="664"/>
      <c r="L1084" s="664"/>
      <c r="M1084" s="664"/>
      <c r="N1084" s="664"/>
      <c r="O1084" s="664"/>
      <c r="P1084" s="664"/>
      <c r="Q1084" s="635"/>
      <c r="R1084" s="372" t="s">
        <v>644</v>
      </c>
      <c r="S1084" s="664"/>
      <c r="T1084" s="664"/>
    </row>
    <row r="1085" spans="1:20" ht="15" thickBot="1">
      <c r="A1085" s="625" t="s">
        <v>808</v>
      </c>
      <c r="B1085" s="625"/>
      <c r="C1085" s="625"/>
      <c r="D1085" s="625"/>
      <c r="E1085" s="625"/>
      <c r="F1085" s="625" t="s">
        <v>809</v>
      </c>
      <c r="G1085" s="625"/>
      <c r="H1085" s="625"/>
      <c r="I1085" s="625"/>
      <c r="J1085" s="625"/>
      <c r="K1085" s="625"/>
      <c r="L1085" s="625"/>
      <c r="M1085" s="625"/>
      <c r="N1085" s="625"/>
      <c r="O1085" s="625"/>
      <c r="P1085" s="625"/>
      <c r="Q1085" s="638"/>
      <c r="R1085" s="625"/>
      <c r="S1085" s="625"/>
      <c r="T1085" s="625" t="s">
        <v>806</v>
      </c>
    </row>
    <row r="1086" spans="1:20">
      <c r="A1086" s="664" t="s">
        <v>4</v>
      </c>
      <c r="B1086" s="664"/>
      <c r="C1086" s="372"/>
      <c r="D1086" s="372"/>
      <c r="E1086" s="635" t="s">
        <v>553</v>
      </c>
      <c r="F1086" s="372" t="s">
        <v>810</v>
      </c>
      <c r="G1086" s="664"/>
      <c r="H1086" s="664"/>
      <c r="I1086" s="664"/>
      <c r="J1086" s="664"/>
      <c r="K1086" s="661"/>
      <c r="L1086" s="661"/>
      <c r="M1086" s="661"/>
      <c r="N1086" s="661"/>
      <c r="O1086" s="661"/>
      <c r="P1086" s="661"/>
      <c r="Q1086" s="645"/>
      <c r="R1086" s="372" t="s">
        <v>608</v>
      </c>
      <c r="S1086" s="664"/>
      <c r="T1086" s="664"/>
    </row>
    <row r="1087" spans="1:20">
      <c r="A1087" s="372"/>
      <c r="B1087" s="372"/>
      <c r="C1087" s="372"/>
      <c r="D1087" s="372"/>
      <c r="E1087" s="372"/>
      <c r="F1087" s="372" t="s">
        <v>811</v>
      </c>
      <c r="G1087" s="372"/>
      <c r="H1087" s="372"/>
      <c r="I1087" s="372"/>
      <c r="J1087" s="372"/>
      <c r="K1087" s="636"/>
      <c r="L1087" s="636"/>
      <c r="M1087" s="372"/>
      <c r="N1087" s="372"/>
      <c r="O1087" s="635"/>
      <c r="P1087" s="635"/>
      <c r="Q1087" s="635" t="s">
        <v>12</v>
      </c>
      <c r="R1087" s="636" t="s">
        <v>9</v>
      </c>
      <c r="S1087" s="372"/>
      <c r="T1087" s="372"/>
    </row>
    <row r="1088" spans="1:20">
      <c r="A1088" s="372" t="s">
        <v>10</v>
      </c>
      <c r="B1088" s="372"/>
      <c r="C1088" s="372"/>
      <c r="D1088" s="372"/>
      <c r="E1088" s="372"/>
      <c r="F1088" s="372"/>
      <c r="G1088" s="372"/>
      <c r="H1088" s="372"/>
      <c r="I1088" s="372"/>
      <c r="J1088" s="372"/>
      <c r="K1088" s="636"/>
      <c r="L1088" s="636"/>
      <c r="M1088" s="372"/>
      <c r="N1088" s="372"/>
      <c r="O1088" s="372"/>
      <c r="P1088" s="372"/>
      <c r="Q1088" s="635"/>
      <c r="R1088" s="636" t="s">
        <v>11</v>
      </c>
      <c r="S1088" s="372"/>
      <c r="T1088" s="372"/>
    </row>
    <row r="1089" spans="1:20">
      <c r="A1089" s="372"/>
      <c r="B1089" s="372"/>
      <c r="C1089" s="372"/>
      <c r="D1089" s="372"/>
      <c r="E1089" s="372"/>
      <c r="F1089" s="372"/>
      <c r="G1089" s="372"/>
      <c r="H1089" s="372"/>
      <c r="I1089" s="372"/>
      <c r="J1089" s="372"/>
      <c r="K1089" s="636"/>
      <c r="L1089" s="636"/>
      <c r="M1089" s="372"/>
      <c r="N1089" s="372"/>
      <c r="O1089" s="372"/>
      <c r="P1089" s="372"/>
      <c r="Q1089" s="635"/>
      <c r="R1089" s="636" t="s">
        <v>13</v>
      </c>
      <c r="S1089" s="372"/>
      <c r="T1089" s="372"/>
    </row>
    <row r="1090" spans="1:20">
      <c r="A1090" s="372"/>
      <c r="B1090" s="372"/>
      <c r="C1090" s="372"/>
      <c r="D1090" s="372"/>
      <c r="E1090" s="372"/>
      <c r="F1090" s="372"/>
      <c r="G1090" s="372"/>
      <c r="H1090" s="372"/>
      <c r="I1090" s="372"/>
      <c r="J1090" s="372"/>
      <c r="K1090" s="636"/>
      <c r="L1090" s="636"/>
      <c r="M1090" s="372"/>
      <c r="N1090" s="372"/>
      <c r="O1090" s="372"/>
      <c r="P1090" s="372"/>
      <c r="Q1090" s="635"/>
      <c r="R1090" s="636" t="s">
        <v>610</v>
      </c>
      <c r="S1090" s="372"/>
      <c r="T1090" s="372"/>
    </row>
    <row r="1091" spans="1:20" ht="15" thickBot="1">
      <c r="A1091" s="625" t="s">
        <v>611</v>
      </c>
      <c r="B1091" s="625"/>
      <c r="C1091" s="625"/>
      <c r="D1091" s="625"/>
      <c r="E1091" s="625"/>
      <c r="F1091" s="625"/>
      <c r="G1091" s="625"/>
      <c r="H1091" s="637" t="s">
        <v>812</v>
      </c>
      <c r="I1091" s="625"/>
      <c r="J1091" s="625"/>
      <c r="K1091" s="625"/>
      <c r="L1091" s="625"/>
      <c r="M1091" s="625"/>
      <c r="N1091" s="625"/>
      <c r="O1091" s="625"/>
      <c r="P1091" s="625"/>
      <c r="Q1091" s="638"/>
      <c r="R1091" s="625" t="s">
        <v>249</v>
      </c>
      <c r="S1091" s="625"/>
      <c r="T1091" s="625"/>
    </row>
    <row r="1092" spans="1:20">
      <c r="A1092" s="634"/>
      <c r="B1092" s="664"/>
      <c r="C1092" s="664"/>
      <c r="D1092" s="634"/>
      <c r="E1092" s="634"/>
      <c r="F1092" s="634"/>
      <c r="G1092" s="634"/>
      <c r="H1092" s="634"/>
      <c r="I1092" s="634"/>
      <c r="J1092" s="634"/>
      <c r="K1092" s="634"/>
      <c r="L1092" s="634"/>
      <c r="M1092" s="634"/>
      <c r="N1092" s="634"/>
      <c r="O1092" s="634"/>
      <c r="P1092" s="634"/>
      <c r="Q1092" s="635"/>
      <c r="R1092" s="634"/>
      <c r="S1092" s="634"/>
      <c r="T1092" s="634"/>
    </row>
    <row r="1093" spans="1:20">
      <c r="A1093" s="634"/>
      <c r="B1093" s="372"/>
      <c r="C1093" s="634">
        <v>-1</v>
      </c>
      <c r="D1093" s="634">
        <v>-2</v>
      </c>
      <c r="E1093" s="634"/>
      <c r="F1093" s="634">
        <v>-3</v>
      </c>
      <c r="G1093" s="634"/>
      <c r="H1093" s="634">
        <v>-4</v>
      </c>
      <c r="I1093" s="634"/>
      <c r="J1093" s="634">
        <v>-5</v>
      </c>
      <c r="K1093" s="634"/>
      <c r="L1093" s="634">
        <v>-6</v>
      </c>
      <c r="M1093" s="634"/>
      <c r="N1093" s="634">
        <v>-7</v>
      </c>
      <c r="O1093" s="634"/>
      <c r="P1093" s="634">
        <v>-8</v>
      </c>
      <c r="Q1093" s="635"/>
      <c r="R1093" s="634">
        <v>-9</v>
      </c>
      <c r="S1093" s="634"/>
      <c r="T1093" s="634">
        <v>-10</v>
      </c>
    </row>
    <row r="1094" spans="1:20">
      <c r="A1094" s="634"/>
      <c r="B1094" s="372"/>
      <c r="C1094" s="634" t="s">
        <v>613</v>
      </c>
      <c r="D1094" s="634" t="s">
        <v>613</v>
      </c>
      <c r="E1094" s="372"/>
      <c r="F1094" s="634" t="s">
        <v>27</v>
      </c>
      <c r="G1094" s="634"/>
      <c r="H1094" s="634" t="s">
        <v>45</v>
      </c>
      <c r="I1094" s="634"/>
      <c r="J1094" s="634"/>
      <c r="K1094" s="634"/>
      <c r="L1094" s="634"/>
      <c r="M1094" s="634"/>
      <c r="N1094" s="372"/>
      <c r="O1094" s="372"/>
      <c r="P1094" s="372"/>
      <c r="Q1094" s="635"/>
      <c r="R1094" s="634" t="s">
        <v>27</v>
      </c>
      <c r="S1094" s="372"/>
      <c r="T1094" s="372"/>
    </row>
    <row r="1095" spans="1:20">
      <c r="A1095" s="634" t="s">
        <v>35</v>
      </c>
      <c r="B1095" s="634"/>
      <c r="C1095" s="634" t="s">
        <v>614</v>
      </c>
      <c r="D1095" s="634" t="s">
        <v>614</v>
      </c>
      <c r="E1095" s="634"/>
      <c r="F1095" s="634" t="s">
        <v>37</v>
      </c>
      <c r="G1095" s="634"/>
      <c r="H1095" s="634" t="s">
        <v>37</v>
      </c>
      <c r="I1095" s="634"/>
      <c r="J1095" s="634"/>
      <c r="K1095" s="634"/>
      <c r="L1095" s="634" t="s">
        <v>813</v>
      </c>
      <c r="M1095" s="636"/>
      <c r="N1095" s="634" t="s">
        <v>813</v>
      </c>
      <c r="O1095" s="634"/>
      <c r="P1095" s="634" t="s">
        <v>178</v>
      </c>
      <c r="Q1095" s="635"/>
      <c r="R1095" s="634" t="s">
        <v>37</v>
      </c>
      <c r="S1095" s="634"/>
      <c r="T1095" s="634" t="s">
        <v>353</v>
      </c>
    </row>
    <row r="1096" spans="1:20" ht="15" thickBot="1">
      <c r="A1096" s="637" t="s">
        <v>46</v>
      </c>
      <c r="B1096" s="637"/>
      <c r="C1096" s="637" t="s">
        <v>371</v>
      </c>
      <c r="D1096" s="637" t="s">
        <v>617</v>
      </c>
      <c r="E1096" s="637"/>
      <c r="F1096" s="637" t="s">
        <v>619</v>
      </c>
      <c r="G1096" s="637"/>
      <c r="H1096" s="637" t="s">
        <v>814</v>
      </c>
      <c r="I1096" s="637"/>
      <c r="J1096" s="637" t="s">
        <v>815</v>
      </c>
      <c r="K1096" s="637"/>
      <c r="L1096" s="637" t="s">
        <v>816</v>
      </c>
      <c r="M1096" s="637"/>
      <c r="N1096" s="637" t="s">
        <v>817</v>
      </c>
      <c r="O1096" s="637"/>
      <c r="P1096" s="637" t="s">
        <v>622</v>
      </c>
      <c r="Q1096" s="638"/>
      <c r="R1096" s="637" t="s">
        <v>623</v>
      </c>
      <c r="S1096" s="637"/>
      <c r="T1096" s="637" t="s">
        <v>369</v>
      </c>
    </row>
    <row r="1097" spans="1:20">
      <c r="A1097" s="634">
        <v>1</v>
      </c>
      <c r="B1097" s="639"/>
      <c r="C1097" s="372"/>
      <c r="D1097" s="372"/>
      <c r="E1097" s="664"/>
      <c r="F1097" s="664"/>
      <c r="G1097" s="664"/>
      <c r="H1097" s="664"/>
      <c r="I1097" s="664"/>
      <c r="J1097" s="664"/>
      <c r="K1097" s="664"/>
      <c r="L1097" s="664"/>
      <c r="M1097" s="664"/>
      <c r="N1097" s="664"/>
      <c r="O1097" s="664"/>
      <c r="P1097" s="664"/>
      <c r="Q1097" s="635"/>
      <c r="R1097" s="372"/>
      <c r="S1097" s="664"/>
      <c r="T1097" s="664"/>
    </row>
    <row r="1098" spans="1:20">
      <c r="A1098" s="634">
        <v>2</v>
      </c>
      <c r="B1098" s="639"/>
      <c r="C1098" s="372"/>
      <c r="D1098" s="372"/>
      <c r="E1098" s="372"/>
      <c r="F1098" s="372"/>
      <c r="G1098" s="372"/>
      <c r="H1098" s="372"/>
      <c r="I1098" s="372"/>
      <c r="J1098" s="372"/>
      <c r="K1098" s="372"/>
      <c r="L1098" s="372"/>
      <c r="M1098" s="372"/>
      <c r="N1098" s="372"/>
      <c r="O1098" s="372"/>
      <c r="P1098" s="372"/>
      <c r="Q1098" s="635"/>
      <c r="R1098" s="372"/>
      <c r="S1098" s="372"/>
      <c r="T1098" s="372"/>
    </row>
    <row r="1099" spans="1:20">
      <c r="A1099" s="634">
        <v>3</v>
      </c>
      <c r="B1099" s="639"/>
      <c r="C1099" s="372"/>
      <c r="D1099" s="372" t="s">
        <v>663</v>
      </c>
      <c r="E1099" s="372"/>
      <c r="F1099" s="658">
        <v>554931</v>
      </c>
      <c r="G1099" s="372"/>
      <c r="H1099" s="658">
        <v>59406</v>
      </c>
      <c r="I1099" s="372"/>
      <c r="J1099" s="658">
        <v>-3724</v>
      </c>
      <c r="K1099" s="372"/>
      <c r="L1099" s="658">
        <v>-1716</v>
      </c>
      <c r="M1099" s="372"/>
      <c r="N1099" s="372" t="s">
        <v>628</v>
      </c>
      <c r="O1099" s="372"/>
      <c r="P1099" s="372" t="s">
        <v>635</v>
      </c>
      <c r="Q1099" s="635"/>
      <c r="R1099" s="658">
        <v>608896</v>
      </c>
      <c r="S1099" s="372"/>
      <c r="T1099" s="658">
        <v>582206</v>
      </c>
    </row>
    <row r="1100" spans="1:20">
      <c r="A1100" s="634">
        <v>4</v>
      </c>
      <c r="B1100" s="639"/>
      <c r="C1100" s="372"/>
      <c r="D1100" s="372"/>
      <c r="E1100" s="372"/>
      <c r="F1100" s="372"/>
      <c r="G1100" s="372"/>
      <c r="H1100" s="372"/>
      <c r="I1100" s="372"/>
      <c r="J1100" s="372"/>
      <c r="K1100" s="372"/>
      <c r="L1100" s="372"/>
      <c r="M1100" s="372"/>
      <c r="N1100" s="372"/>
      <c r="O1100" s="372"/>
      <c r="P1100" s="372"/>
      <c r="Q1100" s="635"/>
      <c r="R1100" s="372"/>
      <c r="S1100" s="372"/>
      <c r="T1100" s="372"/>
    </row>
    <row r="1101" spans="1:20">
      <c r="A1101" s="634">
        <v>5</v>
      </c>
      <c r="B1101" s="639"/>
      <c r="C1101" s="372"/>
      <c r="D1101" s="372" t="s">
        <v>721</v>
      </c>
      <c r="E1101" s="372"/>
      <c r="F1101" s="659">
        <v>1375326</v>
      </c>
      <c r="G1101" s="372"/>
      <c r="H1101" s="659">
        <v>219936</v>
      </c>
      <c r="I1101" s="372"/>
      <c r="J1101" s="659">
        <v>-22083</v>
      </c>
      <c r="K1101" s="372"/>
      <c r="L1101" s="659">
        <v>-6711</v>
      </c>
      <c r="M1101" s="372"/>
      <c r="N1101" s="363" t="s">
        <v>628</v>
      </c>
      <c r="O1101" s="372"/>
      <c r="P1101" s="363" t="s">
        <v>635</v>
      </c>
      <c r="Q1101" s="635"/>
      <c r="R1101" s="659">
        <v>1566469</v>
      </c>
      <c r="S1101" s="372"/>
      <c r="T1101" s="659">
        <v>1471882</v>
      </c>
    </row>
    <row r="1102" spans="1:20">
      <c r="A1102" s="634">
        <v>6</v>
      </c>
      <c r="B1102" s="639"/>
      <c r="C1102" s="372"/>
      <c r="D1102" s="372"/>
      <c r="E1102" s="372"/>
      <c r="F1102" s="372"/>
      <c r="G1102" s="372"/>
      <c r="H1102" s="372"/>
      <c r="I1102" s="372"/>
      <c r="J1102" s="372"/>
      <c r="K1102" s="372"/>
      <c r="L1102" s="372"/>
      <c r="M1102" s="372"/>
      <c r="N1102" s="372"/>
      <c r="O1102" s="372"/>
      <c r="P1102" s="372"/>
      <c r="Q1102" s="635"/>
      <c r="R1102" s="383"/>
      <c r="S1102" s="372"/>
      <c r="T1102" s="372"/>
    </row>
    <row r="1103" spans="1:20" ht="15" thickBot="1">
      <c r="A1103" s="634">
        <v>7</v>
      </c>
      <c r="B1103" s="639"/>
      <c r="C1103" s="372"/>
      <c r="D1103" s="372" t="s">
        <v>722</v>
      </c>
      <c r="E1103" s="372"/>
      <c r="F1103" s="646">
        <v>1930257</v>
      </c>
      <c r="G1103" s="372"/>
      <c r="H1103" s="646">
        <v>279342</v>
      </c>
      <c r="I1103" s="372"/>
      <c r="J1103" s="646">
        <v>-25807</v>
      </c>
      <c r="K1103" s="372"/>
      <c r="L1103" s="646">
        <v>-8427</v>
      </c>
      <c r="M1103" s="372"/>
      <c r="N1103" s="647" t="s">
        <v>628</v>
      </c>
      <c r="O1103" s="372"/>
      <c r="P1103" s="647" t="s">
        <v>635</v>
      </c>
      <c r="Q1103" s="635"/>
      <c r="R1103" s="646">
        <v>2175365</v>
      </c>
      <c r="S1103" s="372"/>
      <c r="T1103" s="646">
        <v>2054088</v>
      </c>
    </row>
    <row r="1104" spans="1:20" ht="15" thickTop="1">
      <c r="A1104" s="634">
        <v>8</v>
      </c>
      <c r="B1104" s="639"/>
      <c r="C1104" s="372"/>
      <c r="D1104" s="372"/>
      <c r="E1104" s="372"/>
      <c r="F1104" s="372"/>
      <c r="G1104" s="372"/>
      <c r="H1104" s="372"/>
      <c r="I1104" s="372"/>
      <c r="J1104" s="372"/>
      <c r="K1104" s="372"/>
      <c r="L1104" s="372"/>
      <c r="M1104" s="372"/>
      <c r="N1104" s="372"/>
      <c r="O1104" s="372"/>
      <c r="P1104" s="372"/>
      <c r="Q1104" s="635"/>
      <c r="R1104" s="372"/>
      <c r="S1104" s="372"/>
      <c r="T1104" s="372"/>
    </row>
    <row r="1105" spans="1:20">
      <c r="A1105" s="634">
        <v>9</v>
      </c>
      <c r="B1105" s="639"/>
      <c r="C1105" s="372"/>
      <c r="D1105" s="372" t="s">
        <v>735</v>
      </c>
      <c r="E1105" s="372"/>
      <c r="F1105" s="658">
        <v>304582</v>
      </c>
      <c r="G1105" s="372"/>
      <c r="H1105" s="658">
        <v>34258</v>
      </c>
      <c r="I1105" s="372"/>
      <c r="J1105" s="658">
        <v>-17107</v>
      </c>
      <c r="K1105" s="372"/>
      <c r="L1105" s="658">
        <v>-2925</v>
      </c>
      <c r="M1105" s="372"/>
      <c r="N1105" s="372" t="s">
        <v>628</v>
      </c>
      <c r="O1105" s="372"/>
      <c r="P1105" s="372" t="s">
        <v>635</v>
      </c>
      <c r="Q1105" s="635"/>
      <c r="R1105" s="658">
        <v>318808</v>
      </c>
      <c r="S1105" s="372"/>
      <c r="T1105" s="658">
        <v>314672</v>
      </c>
    </row>
    <row r="1106" spans="1:20">
      <c r="A1106" s="634">
        <v>10</v>
      </c>
      <c r="B1106" s="639"/>
      <c r="C1106" s="372"/>
      <c r="D1106" s="372"/>
      <c r="E1106" s="372"/>
      <c r="F1106" s="372"/>
      <c r="G1106" s="372"/>
      <c r="H1106" s="372"/>
      <c r="I1106" s="372"/>
      <c r="J1106" s="372"/>
      <c r="K1106" s="372"/>
      <c r="L1106" s="372"/>
      <c r="M1106" s="372"/>
      <c r="N1106" s="372"/>
      <c r="O1106" s="372"/>
      <c r="P1106" s="372"/>
      <c r="Q1106" s="635"/>
      <c r="R1106" s="372"/>
      <c r="S1106" s="372"/>
      <c r="T1106" s="372"/>
    </row>
    <row r="1107" spans="1:20">
      <c r="A1107" s="634">
        <v>11</v>
      </c>
      <c r="B1107" s="639"/>
      <c r="C1107" s="372"/>
      <c r="D1107" s="372" t="s">
        <v>747</v>
      </c>
      <c r="E1107" s="372"/>
      <c r="F1107" s="658">
        <v>1249015</v>
      </c>
      <c r="G1107" s="372"/>
      <c r="H1107" s="658">
        <v>156847</v>
      </c>
      <c r="I1107" s="372"/>
      <c r="J1107" s="658">
        <v>-60324</v>
      </c>
      <c r="K1107" s="372"/>
      <c r="L1107" s="658">
        <v>-31939</v>
      </c>
      <c r="M1107" s="372"/>
      <c r="N1107" s="658">
        <v>3532</v>
      </c>
      <c r="O1107" s="372"/>
      <c r="P1107" s="372" t="s">
        <v>635</v>
      </c>
      <c r="Q1107" s="635"/>
      <c r="R1107" s="658">
        <v>1317130</v>
      </c>
      <c r="S1107" s="372"/>
      <c r="T1107" s="658">
        <v>1283180</v>
      </c>
    </row>
    <row r="1108" spans="1:20">
      <c r="A1108" s="634">
        <v>12</v>
      </c>
      <c r="B1108" s="639"/>
      <c r="C1108" s="372"/>
      <c r="D1108" s="372"/>
      <c r="E1108" s="372"/>
      <c r="F1108" s="372"/>
      <c r="G1108" s="372"/>
      <c r="H1108" s="372"/>
      <c r="I1108" s="372"/>
      <c r="J1108" s="372"/>
      <c r="K1108" s="372"/>
      <c r="L1108" s="372"/>
      <c r="M1108" s="372"/>
      <c r="N1108" s="372"/>
      <c r="O1108" s="372"/>
      <c r="P1108" s="372"/>
      <c r="Q1108" s="635"/>
      <c r="R1108" s="372"/>
      <c r="S1108" s="372"/>
      <c r="T1108" s="372"/>
    </row>
    <row r="1109" spans="1:20">
      <c r="A1109" s="634">
        <v>13</v>
      </c>
      <c r="B1109" s="639"/>
      <c r="C1109" s="372"/>
      <c r="D1109" s="372" t="s">
        <v>767</v>
      </c>
      <c r="E1109" s="372"/>
      <c r="F1109" s="659">
        <v>193714</v>
      </c>
      <c r="G1109" s="372"/>
      <c r="H1109" s="659">
        <v>42615</v>
      </c>
      <c r="I1109" s="372"/>
      <c r="J1109" s="659">
        <v>-42165</v>
      </c>
      <c r="K1109" s="372"/>
      <c r="L1109" s="363">
        <v>-425</v>
      </c>
      <c r="M1109" s="372"/>
      <c r="N1109" s="659">
        <v>1035</v>
      </c>
      <c r="O1109" s="372"/>
      <c r="P1109" s="363" t="s">
        <v>635</v>
      </c>
      <c r="Q1109" s="635"/>
      <c r="R1109" s="659">
        <v>194775</v>
      </c>
      <c r="S1109" s="372"/>
      <c r="T1109" s="659">
        <v>192445</v>
      </c>
    </row>
    <row r="1110" spans="1:20">
      <c r="A1110" s="634">
        <v>14</v>
      </c>
      <c r="B1110" s="639"/>
      <c r="C1110" s="372"/>
      <c r="D1110" s="372"/>
      <c r="E1110" s="372"/>
      <c r="F1110" s="372"/>
      <c r="G1110" s="372"/>
      <c r="H1110" s="372"/>
      <c r="I1110" s="372"/>
      <c r="J1110" s="372"/>
      <c r="K1110" s="372"/>
      <c r="L1110" s="372"/>
      <c r="M1110" s="372"/>
      <c r="N1110" s="372"/>
      <c r="O1110" s="372"/>
      <c r="P1110" s="372"/>
      <c r="Q1110" s="635"/>
      <c r="R1110" s="383"/>
      <c r="S1110" s="372"/>
      <c r="T1110" s="372"/>
    </row>
    <row r="1111" spans="1:20" ht="15" thickBot="1">
      <c r="A1111" s="634">
        <v>15</v>
      </c>
      <c r="B1111" s="639"/>
      <c r="C1111" s="372"/>
      <c r="D1111" s="636" t="s">
        <v>819</v>
      </c>
      <c r="E1111" s="372"/>
      <c r="F1111" s="646">
        <v>3677569</v>
      </c>
      <c r="G1111" s="372"/>
      <c r="H1111" s="646">
        <v>513062</v>
      </c>
      <c r="I1111" s="372"/>
      <c r="J1111" s="646">
        <v>-145403</v>
      </c>
      <c r="K1111" s="372"/>
      <c r="L1111" s="646">
        <v>-43716</v>
      </c>
      <c r="M1111" s="372"/>
      <c r="N1111" s="646">
        <v>4567</v>
      </c>
      <c r="O1111" s="372"/>
      <c r="P1111" s="647" t="s">
        <v>635</v>
      </c>
      <c r="Q1111" s="635"/>
      <c r="R1111" s="646">
        <v>4006079</v>
      </c>
      <c r="S1111" s="372"/>
      <c r="T1111" s="646">
        <v>3844386</v>
      </c>
    </row>
    <row r="1112" spans="1:20" ht="15" thickTop="1">
      <c r="A1112" s="634">
        <v>16</v>
      </c>
      <c r="B1112" s="639"/>
      <c r="C1112" s="372"/>
      <c r="D1112" s="372"/>
      <c r="E1112" s="372"/>
      <c r="F1112" s="372"/>
      <c r="G1112" s="372"/>
      <c r="H1112" s="372"/>
      <c r="I1112" s="372"/>
      <c r="J1112" s="372"/>
      <c r="K1112" s="372"/>
      <c r="L1112" s="372"/>
      <c r="M1112" s="372"/>
      <c r="N1112" s="372"/>
      <c r="O1112" s="372"/>
      <c r="P1112" s="372"/>
      <c r="Q1112" s="635"/>
      <c r="R1112" s="372"/>
      <c r="S1112" s="372"/>
      <c r="T1112" s="372"/>
    </row>
    <row r="1113" spans="1:20">
      <c r="A1113" s="634">
        <v>17</v>
      </c>
      <c r="B1113" s="639"/>
      <c r="C1113" s="372"/>
      <c r="D1113" s="372" t="s">
        <v>778</v>
      </c>
      <c r="E1113" s="372"/>
      <c r="F1113" s="372" t="s">
        <v>628</v>
      </c>
      <c r="G1113" s="372"/>
      <c r="H1113" s="372" t="s">
        <v>635</v>
      </c>
      <c r="I1113" s="372"/>
      <c r="J1113" s="372" t="s">
        <v>635</v>
      </c>
      <c r="K1113" s="372"/>
      <c r="L1113" s="372" t="s">
        <v>635</v>
      </c>
      <c r="M1113" s="372"/>
      <c r="N1113" s="372" t="s">
        <v>635</v>
      </c>
      <c r="O1113" s="372"/>
      <c r="P1113" s="372" t="s">
        <v>635</v>
      </c>
      <c r="Q1113" s="635"/>
      <c r="R1113" s="372" t="s">
        <v>635</v>
      </c>
      <c r="S1113" s="372"/>
      <c r="T1113" s="372" t="s">
        <v>635</v>
      </c>
    </row>
    <row r="1114" spans="1:20">
      <c r="A1114" s="634">
        <v>18</v>
      </c>
      <c r="B1114" s="639"/>
      <c r="C1114" s="372"/>
      <c r="D1114" s="372"/>
      <c r="E1114" s="372"/>
      <c r="F1114" s="372"/>
      <c r="G1114" s="372"/>
      <c r="H1114" s="372"/>
      <c r="I1114" s="372"/>
      <c r="J1114" s="372"/>
      <c r="K1114" s="372"/>
      <c r="L1114" s="372"/>
      <c r="M1114" s="372"/>
      <c r="N1114" s="372"/>
      <c r="O1114" s="372"/>
      <c r="P1114" s="372"/>
      <c r="Q1114" s="635"/>
      <c r="R1114" s="372"/>
      <c r="S1114" s="372"/>
      <c r="T1114" s="372"/>
    </row>
    <row r="1115" spans="1:20">
      <c r="A1115" s="634">
        <v>19</v>
      </c>
      <c r="B1115" s="639"/>
      <c r="C1115" s="372"/>
      <c r="D1115" s="636" t="s">
        <v>783</v>
      </c>
      <c r="E1115" s="372"/>
      <c r="F1115" s="658">
        <v>176791</v>
      </c>
      <c r="G1115" s="372"/>
      <c r="H1115" s="658">
        <v>39792</v>
      </c>
      <c r="I1115" s="372"/>
      <c r="J1115" s="658">
        <v>-4800</v>
      </c>
      <c r="K1115" s="372"/>
      <c r="L1115" s="372" t="s">
        <v>628</v>
      </c>
      <c r="M1115" s="372"/>
      <c r="N1115" s="372" t="s">
        <v>635</v>
      </c>
      <c r="O1115" s="372"/>
      <c r="P1115" s="372" t="s">
        <v>635</v>
      </c>
      <c r="Q1115" s="635"/>
      <c r="R1115" s="658">
        <v>211782</v>
      </c>
      <c r="S1115" s="372"/>
      <c r="T1115" s="658">
        <v>192471</v>
      </c>
    </row>
    <row r="1116" spans="1:20">
      <c r="A1116" s="634">
        <v>20</v>
      </c>
      <c r="B1116" s="639"/>
      <c r="C1116" s="372"/>
      <c r="D1116" s="636"/>
      <c r="E1116" s="372"/>
      <c r="F1116" s="372"/>
      <c r="G1116" s="372"/>
      <c r="H1116" s="372"/>
      <c r="I1116" s="372"/>
      <c r="J1116" s="372"/>
      <c r="K1116" s="372"/>
      <c r="L1116" s="372"/>
      <c r="M1116" s="372"/>
      <c r="N1116" s="372"/>
      <c r="O1116" s="372"/>
      <c r="P1116" s="372"/>
      <c r="Q1116" s="635"/>
      <c r="R1116" s="372"/>
      <c r="S1116" s="372"/>
      <c r="T1116" s="372"/>
    </row>
    <row r="1117" spans="1:20">
      <c r="A1117" s="634">
        <v>21</v>
      </c>
      <c r="B1117" s="639"/>
      <c r="C1117" s="372"/>
      <c r="D1117" s="636" t="s">
        <v>789</v>
      </c>
      <c r="E1117" s="372"/>
      <c r="F1117" s="658">
        <v>5493</v>
      </c>
      <c r="G1117" s="372"/>
      <c r="H1117" s="372">
        <v>689</v>
      </c>
      <c r="I1117" s="372"/>
      <c r="J1117" s="372" t="s">
        <v>635</v>
      </c>
      <c r="K1117" s="372"/>
      <c r="L1117" s="372" t="s">
        <v>635</v>
      </c>
      <c r="M1117" s="372"/>
      <c r="N1117" s="372" t="s">
        <v>635</v>
      </c>
      <c r="O1117" s="372"/>
      <c r="P1117" s="372" t="s">
        <v>635</v>
      </c>
      <c r="Q1117" s="635"/>
      <c r="R1117" s="658">
        <v>6183</v>
      </c>
      <c r="S1117" s="372"/>
      <c r="T1117" s="658">
        <v>5838</v>
      </c>
    </row>
    <row r="1118" spans="1:20">
      <c r="A1118" s="634">
        <v>22</v>
      </c>
      <c r="B1118" s="639"/>
      <c r="C1118" s="372"/>
      <c r="D1118" s="372"/>
      <c r="E1118" s="372"/>
      <c r="F1118" s="372"/>
      <c r="G1118" s="372"/>
      <c r="H1118" s="372"/>
      <c r="I1118" s="372"/>
      <c r="J1118" s="372"/>
      <c r="K1118" s="372"/>
      <c r="L1118" s="372"/>
      <c r="M1118" s="372"/>
      <c r="N1118" s="372"/>
      <c r="O1118" s="372"/>
      <c r="P1118" s="372"/>
      <c r="Q1118" s="635"/>
      <c r="R1118" s="372"/>
      <c r="S1118" s="372"/>
      <c r="T1118" s="372"/>
    </row>
    <row r="1119" spans="1:20">
      <c r="A1119" s="634">
        <v>23</v>
      </c>
      <c r="B1119" s="639"/>
      <c r="C1119" s="372"/>
      <c r="D1119" s="372" t="s">
        <v>793</v>
      </c>
      <c r="E1119" s="372"/>
      <c r="F1119" s="363" t="s">
        <v>628</v>
      </c>
      <c r="G1119" s="372"/>
      <c r="H1119" s="363" t="s">
        <v>635</v>
      </c>
      <c r="I1119" s="372"/>
      <c r="J1119" s="363" t="s">
        <v>635</v>
      </c>
      <c r="K1119" s="372"/>
      <c r="L1119" s="363" t="s">
        <v>635</v>
      </c>
      <c r="M1119" s="372"/>
      <c r="N1119" s="363" t="s">
        <v>635</v>
      </c>
      <c r="O1119" s="372"/>
      <c r="P1119" s="363" t="s">
        <v>635</v>
      </c>
      <c r="Q1119" s="635"/>
      <c r="R1119" s="363" t="s">
        <v>635</v>
      </c>
      <c r="S1119" s="372"/>
      <c r="T1119" s="363" t="s">
        <v>635</v>
      </c>
    </row>
    <row r="1120" spans="1:20">
      <c r="A1120" s="634">
        <v>24</v>
      </c>
      <c r="B1120" s="639"/>
      <c r="C1120" s="372"/>
      <c r="D1120" s="372"/>
      <c r="E1120" s="372"/>
      <c r="F1120" s="372"/>
      <c r="G1120" s="372"/>
      <c r="H1120" s="372"/>
      <c r="I1120" s="372"/>
      <c r="J1120" s="372"/>
      <c r="K1120" s="372"/>
      <c r="L1120" s="372"/>
      <c r="M1120" s="372"/>
      <c r="N1120" s="372"/>
      <c r="O1120" s="372"/>
      <c r="P1120" s="372"/>
      <c r="Q1120" s="635"/>
      <c r="R1120" s="383"/>
      <c r="S1120" s="372"/>
      <c r="T1120" s="372"/>
    </row>
    <row r="1121" spans="1:20" ht="15" thickBot="1">
      <c r="A1121" s="634">
        <v>25</v>
      </c>
      <c r="B1121" s="639"/>
      <c r="C1121" s="372"/>
      <c r="D1121" s="636" t="s">
        <v>821</v>
      </c>
      <c r="E1121" s="372"/>
      <c r="F1121" s="646">
        <v>3859853</v>
      </c>
      <c r="G1121" s="372"/>
      <c r="H1121" s="646">
        <v>553543</v>
      </c>
      <c r="I1121" s="372"/>
      <c r="J1121" s="646">
        <v>-150204</v>
      </c>
      <c r="K1121" s="372"/>
      <c r="L1121" s="646">
        <v>-43716</v>
      </c>
      <c r="M1121" s="372"/>
      <c r="N1121" s="646">
        <v>4567</v>
      </c>
      <c r="O1121" s="372"/>
      <c r="P1121" s="647" t="s">
        <v>635</v>
      </c>
      <c r="Q1121" s="635"/>
      <c r="R1121" s="646">
        <v>4224044</v>
      </c>
      <c r="S1121" s="372"/>
      <c r="T1121" s="646">
        <v>4042695</v>
      </c>
    </row>
    <row r="1122" spans="1:20" ht="15" thickTop="1">
      <c r="A1122" s="634">
        <v>26</v>
      </c>
      <c r="B1122" s="639"/>
      <c r="C1122" s="372"/>
      <c r="D1122" s="372"/>
      <c r="E1122" s="372"/>
      <c r="F1122" s="372"/>
      <c r="G1122" s="372"/>
      <c r="H1122" s="372"/>
      <c r="I1122" s="372"/>
      <c r="J1122" s="372"/>
      <c r="K1122" s="372"/>
      <c r="L1122" s="372"/>
      <c r="M1122" s="372"/>
      <c r="N1122" s="372"/>
      <c r="O1122" s="372"/>
      <c r="P1122" s="372"/>
      <c r="Q1122" s="635"/>
      <c r="R1122" s="372"/>
      <c r="S1122" s="372"/>
      <c r="T1122" s="372"/>
    </row>
    <row r="1123" spans="1:20">
      <c r="A1123" s="634">
        <v>27</v>
      </c>
      <c r="B1123" s="639"/>
      <c r="C1123" s="372"/>
      <c r="D1123" s="636" t="s">
        <v>799</v>
      </c>
      <c r="E1123" s="372"/>
      <c r="F1123" s="658">
        <v>6883</v>
      </c>
      <c r="G1123" s="372"/>
      <c r="H1123" s="372">
        <v>237</v>
      </c>
      <c r="I1123" s="372"/>
      <c r="J1123" s="372" t="s">
        <v>807</v>
      </c>
      <c r="K1123" s="372"/>
      <c r="L1123" s="372" t="s">
        <v>807</v>
      </c>
      <c r="M1123" s="372"/>
      <c r="N1123" s="372" t="s">
        <v>807</v>
      </c>
      <c r="O1123" s="372"/>
      <c r="P1123" s="372" t="s">
        <v>807</v>
      </c>
      <c r="Q1123" s="635"/>
      <c r="R1123" s="658">
        <v>7120</v>
      </c>
      <c r="S1123" s="372"/>
      <c r="T1123" s="719">
        <v>7002</v>
      </c>
    </row>
    <row r="1124" spans="1:20">
      <c r="A1124" s="634">
        <v>28</v>
      </c>
      <c r="B1124" s="639"/>
      <c r="C1124" s="372"/>
      <c r="D1124" s="372"/>
      <c r="E1124" s="372"/>
      <c r="F1124" s="372"/>
      <c r="G1124" s="372"/>
      <c r="H1124" s="372"/>
      <c r="I1124" s="372"/>
      <c r="J1124" s="372"/>
      <c r="K1124" s="372"/>
      <c r="L1124" s="372"/>
      <c r="M1124" s="372"/>
      <c r="N1124" s="372"/>
      <c r="O1124" s="372"/>
      <c r="P1124" s="372"/>
      <c r="Q1124" s="635"/>
      <c r="R1124" s="372"/>
      <c r="S1124" s="372"/>
      <c r="T1124" s="720"/>
    </row>
    <row r="1125" spans="1:20">
      <c r="A1125" s="634">
        <v>29</v>
      </c>
      <c r="B1125" s="639"/>
      <c r="C1125" s="372"/>
      <c r="D1125" s="636" t="s">
        <v>800</v>
      </c>
      <c r="E1125" s="372"/>
      <c r="F1125" s="372" t="s">
        <v>628</v>
      </c>
      <c r="G1125" s="372"/>
      <c r="H1125" s="372" t="s">
        <v>635</v>
      </c>
      <c r="I1125" s="372"/>
      <c r="J1125" s="372" t="s">
        <v>635</v>
      </c>
      <c r="K1125" s="372"/>
      <c r="L1125" s="372" t="s">
        <v>635</v>
      </c>
      <c r="M1125" s="372"/>
      <c r="N1125" s="372" t="s">
        <v>635</v>
      </c>
      <c r="O1125" s="372"/>
      <c r="P1125" s="372" t="s">
        <v>635</v>
      </c>
      <c r="Q1125" s="635"/>
      <c r="R1125" s="372" t="s">
        <v>635</v>
      </c>
      <c r="S1125" s="372"/>
      <c r="T1125" s="720" t="s">
        <v>635</v>
      </c>
    </row>
    <row r="1126" spans="1:20">
      <c r="A1126" s="634">
        <v>30</v>
      </c>
      <c r="B1126" s="639"/>
      <c r="C1126" s="372"/>
      <c r="D1126" s="372"/>
      <c r="E1126" s="372"/>
      <c r="F1126" s="372"/>
      <c r="G1126" s="372"/>
      <c r="H1126" s="372"/>
      <c r="I1126" s="372"/>
      <c r="J1126" s="372"/>
      <c r="K1126" s="372"/>
      <c r="L1126" s="372"/>
      <c r="M1126" s="372"/>
      <c r="N1126" s="372"/>
      <c r="O1126" s="372"/>
      <c r="P1126" s="372"/>
      <c r="Q1126" s="635"/>
      <c r="R1126" s="372"/>
      <c r="S1126" s="372"/>
      <c r="T1126" s="720"/>
    </row>
    <row r="1127" spans="1:20">
      <c r="A1127" s="634">
        <v>31</v>
      </c>
      <c r="B1127" s="639"/>
      <c r="C1127" s="372"/>
      <c r="D1127" s="372" t="s">
        <v>801</v>
      </c>
      <c r="E1127" s="372"/>
      <c r="F1127" s="372" t="s">
        <v>628</v>
      </c>
      <c r="G1127" s="372"/>
      <c r="H1127" s="372" t="s">
        <v>635</v>
      </c>
      <c r="I1127" s="372"/>
      <c r="J1127" s="372" t="s">
        <v>635</v>
      </c>
      <c r="K1127" s="372"/>
      <c r="L1127" s="372" t="s">
        <v>635</v>
      </c>
      <c r="M1127" s="372"/>
      <c r="N1127" s="372" t="s">
        <v>635</v>
      </c>
      <c r="O1127" s="372"/>
      <c r="P1127" s="372" t="s">
        <v>635</v>
      </c>
      <c r="Q1127" s="635"/>
      <c r="R1127" s="372" t="s">
        <v>635</v>
      </c>
      <c r="S1127" s="372"/>
      <c r="T1127" s="720" t="s">
        <v>635</v>
      </c>
    </row>
    <row r="1128" spans="1:20">
      <c r="A1128" s="634">
        <v>32</v>
      </c>
      <c r="B1128" s="639"/>
      <c r="C1128" s="372"/>
      <c r="D1128" s="372"/>
      <c r="E1128" s="372"/>
      <c r="F1128" s="372"/>
      <c r="G1128" s="372"/>
      <c r="H1128" s="372"/>
      <c r="I1128" s="372"/>
      <c r="J1128" s="372"/>
      <c r="K1128" s="372"/>
      <c r="L1128" s="372"/>
      <c r="M1128" s="372"/>
      <c r="N1128" s="372"/>
      <c r="O1128" s="372"/>
      <c r="P1128" s="372"/>
      <c r="Q1128" s="635"/>
      <c r="R1128" s="372"/>
      <c r="S1128" s="372"/>
      <c r="T1128" s="720"/>
    </row>
    <row r="1129" spans="1:20">
      <c r="A1129" s="634">
        <v>33</v>
      </c>
      <c r="B1129" s="639"/>
      <c r="C1129" s="372"/>
      <c r="D1129" s="372" t="s">
        <v>804</v>
      </c>
      <c r="E1129" s="372"/>
      <c r="F1129" s="658">
        <v>113637</v>
      </c>
      <c r="G1129" s="372"/>
      <c r="H1129" s="658">
        <v>17442</v>
      </c>
      <c r="I1129" s="372"/>
      <c r="J1129" s="372" t="s">
        <v>635</v>
      </c>
      <c r="K1129" s="372"/>
      <c r="L1129" s="658">
        <v>-33256</v>
      </c>
      <c r="M1129" s="372"/>
      <c r="N1129" s="372" t="s">
        <v>628</v>
      </c>
      <c r="O1129" s="372"/>
      <c r="P1129" s="658">
        <v>33256</v>
      </c>
      <c r="Q1129" s="635"/>
      <c r="R1129" s="658">
        <v>131079</v>
      </c>
      <c r="S1129" s="372"/>
      <c r="T1129" s="719">
        <v>119954</v>
      </c>
    </row>
    <row r="1130" spans="1:20">
      <c r="A1130" s="634">
        <v>34</v>
      </c>
      <c r="B1130" s="639"/>
      <c r="C1130" s="372"/>
      <c r="D1130" s="372"/>
      <c r="E1130" s="372"/>
      <c r="F1130" s="372"/>
      <c r="G1130" s="372"/>
      <c r="H1130" s="372"/>
      <c r="I1130" s="372"/>
      <c r="J1130" s="372"/>
      <c r="K1130" s="372"/>
      <c r="L1130" s="372"/>
      <c r="M1130" s="372"/>
      <c r="N1130" s="372"/>
      <c r="O1130" s="372"/>
      <c r="P1130" s="372"/>
      <c r="Q1130" s="635"/>
      <c r="R1130" s="383"/>
      <c r="S1130" s="372"/>
      <c r="T1130" s="372"/>
    </row>
    <row r="1131" spans="1:20" ht="15" thickBot="1">
      <c r="A1131" s="634">
        <v>35</v>
      </c>
      <c r="B1131" s="639"/>
      <c r="C1131" s="372"/>
      <c r="D1131" s="372" t="s">
        <v>822</v>
      </c>
      <c r="E1131" s="372"/>
      <c r="F1131" s="646">
        <v>3980373</v>
      </c>
      <c r="G1131" s="372"/>
      <c r="H1131" s="646">
        <v>571222</v>
      </c>
      <c r="I1131" s="372"/>
      <c r="J1131" s="646">
        <v>-150204</v>
      </c>
      <c r="K1131" s="372"/>
      <c r="L1131" s="646">
        <v>-76972</v>
      </c>
      <c r="M1131" s="372"/>
      <c r="N1131" s="646">
        <v>4567</v>
      </c>
      <c r="O1131" s="372"/>
      <c r="P1131" s="646">
        <v>33256</v>
      </c>
      <c r="Q1131" s="635"/>
      <c r="R1131" s="646">
        <v>4362243</v>
      </c>
      <c r="S1131" s="372"/>
      <c r="T1131" s="646">
        <v>4169650</v>
      </c>
    </row>
    <row r="1132" spans="1:20" ht="15" thickTop="1">
      <c r="A1132" s="634">
        <v>36</v>
      </c>
      <c r="B1132" s="639"/>
      <c r="C1132" s="372"/>
      <c r="D1132" s="372"/>
      <c r="E1132" s="372"/>
      <c r="F1132" s="372" t="s">
        <v>628</v>
      </c>
      <c r="G1132" s="372"/>
      <c r="H1132" s="372" t="s">
        <v>635</v>
      </c>
      <c r="I1132" s="372"/>
      <c r="J1132" s="372" t="s">
        <v>635</v>
      </c>
      <c r="K1132" s="372"/>
      <c r="L1132" s="372" t="s">
        <v>635</v>
      </c>
      <c r="M1132" s="372"/>
      <c r="N1132" s="372" t="s">
        <v>635</v>
      </c>
      <c r="O1132" s="372"/>
      <c r="P1132" s="372" t="s">
        <v>635</v>
      </c>
      <c r="Q1132" s="635"/>
      <c r="R1132" s="372" t="s">
        <v>635</v>
      </c>
      <c r="S1132" s="372"/>
      <c r="T1132" s="372" t="s">
        <v>635</v>
      </c>
    </row>
    <row r="1133" spans="1:20">
      <c r="A1133" s="634">
        <v>37</v>
      </c>
      <c r="B1133" s="639"/>
      <c r="C1133" s="372"/>
      <c r="D1133" s="372"/>
      <c r="E1133" s="372"/>
      <c r="F1133" s="372" t="s">
        <v>628</v>
      </c>
      <c r="G1133" s="372"/>
      <c r="H1133" s="372" t="s">
        <v>635</v>
      </c>
      <c r="I1133" s="372"/>
      <c r="J1133" s="372" t="s">
        <v>635</v>
      </c>
      <c r="K1133" s="372"/>
      <c r="L1133" s="372">
        <v>0</v>
      </c>
      <c r="M1133" s="372"/>
      <c r="N1133" s="372">
        <v>0</v>
      </c>
      <c r="O1133" s="372"/>
      <c r="P1133" s="372" t="s">
        <v>635</v>
      </c>
      <c r="Q1133" s="635"/>
      <c r="R1133" s="372" t="s">
        <v>635</v>
      </c>
      <c r="S1133" s="372"/>
      <c r="T1133" s="372" t="s">
        <v>635</v>
      </c>
    </row>
    <row r="1134" spans="1:20">
      <c r="A1134" s="634">
        <v>38</v>
      </c>
      <c r="B1134" s="639"/>
      <c r="C1134" s="372"/>
      <c r="D1134" s="372"/>
      <c r="E1134" s="372"/>
      <c r="F1134" s="372"/>
      <c r="G1134" s="372"/>
      <c r="H1134" s="372"/>
      <c r="I1134" s="372"/>
      <c r="J1134" s="372"/>
      <c r="K1134" s="372"/>
      <c r="L1134" s="372"/>
      <c r="M1134" s="372"/>
      <c r="N1134" s="372"/>
      <c r="O1134" s="372"/>
      <c r="P1134" s="372"/>
      <c r="Q1134" s="635"/>
      <c r="R1134" s="372"/>
      <c r="S1134" s="372"/>
      <c r="T1134" s="372"/>
    </row>
    <row r="1135" spans="1:20">
      <c r="A1135" s="634">
        <v>39</v>
      </c>
      <c r="B1135" s="644"/>
      <c r="C1135" s="372"/>
      <c r="D1135" s="372"/>
      <c r="E1135" s="372"/>
      <c r="F1135" s="372"/>
      <c r="G1135" s="372"/>
      <c r="H1135" s="372"/>
      <c r="I1135" s="372"/>
      <c r="J1135" s="372"/>
      <c r="K1135" s="372"/>
      <c r="L1135" s="372"/>
      <c r="M1135" s="372"/>
      <c r="N1135" s="372"/>
      <c r="O1135" s="372"/>
      <c r="P1135" s="372"/>
      <c r="Q1135" s="635"/>
      <c r="R1135" s="372"/>
      <c r="S1135" s="372"/>
      <c r="T1135" s="372"/>
    </row>
    <row r="1136" spans="1:20">
      <c r="A1136" s="634">
        <v>40</v>
      </c>
      <c r="B1136" s="644"/>
      <c r="C1136" s="372"/>
      <c r="D1136" s="372"/>
      <c r="E1136" s="372"/>
      <c r="F1136" s="372"/>
      <c r="G1136" s="372"/>
      <c r="H1136" s="372"/>
      <c r="I1136" s="372"/>
      <c r="J1136" s="372"/>
      <c r="K1136" s="372"/>
      <c r="L1136" s="372"/>
      <c r="M1136" s="372"/>
      <c r="N1136" s="372"/>
      <c r="O1136" s="372"/>
      <c r="P1136" s="372"/>
      <c r="Q1136" s="635"/>
      <c r="R1136" s="372"/>
      <c r="S1136" s="372"/>
      <c r="T1136" s="372"/>
    </row>
    <row r="1137" spans="1:20">
      <c r="A1137" s="634">
        <v>41</v>
      </c>
      <c r="B1137" s="644"/>
      <c r="C1137" s="372"/>
      <c r="D1137" s="372"/>
      <c r="E1137" s="372"/>
      <c r="F1137" s="372"/>
      <c r="G1137" s="372"/>
      <c r="H1137" s="372"/>
      <c r="I1137" s="372"/>
      <c r="J1137" s="372"/>
      <c r="K1137" s="372"/>
      <c r="L1137" s="372"/>
      <c r="M1137" s="372"/>
      <c r="N1137" s="372"/>
      <c r="O1137" s="372"/>
      <c r="P1137" s="372"/>
      <c r="Q1137" s="635"/>
      <c r="R1137" s="372"/>
      <c r="S1137" s="372"/>
      <c r="T1137" s="372"/>
    </row>
    <row r="1138" spans="1:20">
      <c r="A1138" s="634">
        <v>42</v>
      </c>
      <c r="B1138" s="644"/>
      <c r="C1138" s="372"/>
      <c r="D1138" s="372"/>
      <c r="E1138" s="372"/>
      <c r="F1138" s="372"/>
      <c r="G1138" s="372"/>
      <c r="H1138" s="372"/>
      <c r="I1138" s="372"/>
      <c r="J1138" s="372"/>
      <c r="K1138" s="372"/>
      <c r="L1138" s="372"/>
      <c r="M1138" s="372"/>
      <c r="N1138" s="372"/>
      <c r="O1138" s="372"/>
      <c r="P1138" s="372"/>
      <c r="Q1138" s="635"/>
      <c r="R1138" s="372"/>
      <c r="S1138" s="372"/>
      <c r="T1138" s="372"/>
    </row>
    <row r="1139" spans="1:20">
      <c r="A1139" s="634">
        <v>43</v>
      </c>
      <c r="B1139" s="644"/>
      <c r="C1139" s="372"/>
      <c r="D1139" s="372"/>
      <c r="E1139" s="372"/>
      <c r="F1139" s="372"/>
      <c r="G1139" s="372"/>
      <c r="H1139" s="372"/>
      <c r="I1139" s="372"/>
      <c r="J1139" s="372"/>
      <c r="K1139" s="372"/>
      <c r="L1139" s="372"/>
      <c r="M1139" s="372"/>
      <c r="N1139" s="372"/>
      <c r="O1139" s="372"/>
      <c r="P1139" s="372"/>
      <c r="Q1139" s="635"/>
      <c r="R1139" s="372"/>
      <c r="S1139" s="372"/>
      <c r="T1139" s="372"/>
    </row>
    <row r="1140" spans="1:20" ht="15" thickBot="1">
      <c r="A1140" s="637">
        <v>44</v>
      </c>
      <c r="B1140" s="660" t="s">
        <v>67</v>
      </c>
      <c r="C1140" s="660"/>
      <c r="D1140" s="625"/>
      <c r="E1140" s="625"/>
      <c r="F1140" s="625"/>
      <c r="G1140" s="625"/>
      <c r="H1140" s="625"/>
      <c r="I1140" s="625"/>
      <c r="J1140" s="625"/>
      <c r="K1140" s="625"/>
      <c r="L1140" s="625"/>
      <c r="M1140" s="625"/>
      <c r="N1140" s="625"/>
      <c r="O1140" s="625"/>
      <c r="P1140" s="625"/>
      <c r="Q1140" s="638"/>
      <c r="R1140" s="625"/>
      <c r="S1140" s="625"/>
      <c r="T1140" s="625"/>
    </row>
    <row r="1141" spans="1:20">
      <c r="A1141" s="664" t="s">
        <v>818</v>
      </c>
      <c r="B1141" s="664"/>
      <c r="C1141" s="372"/>
      <c r="D1141" s="372"/>
      <c r="E1141" s="664"/>
      <c r="F1141" s="664"/>
      <c r="G1141" s="664"/>
      <c r="H1141" s="664"/>
      <c r="I1141" s="664"/>
      <c r="J1141" s="664"/>
      <c r="K1141" s="664"/>
      <c r="L1141" s="664"/>
      <c r="M1141" s="664"/>
      <c r="N1141" s="664"/>
      <c r="O1141" s="664"/>
      <c r="P1141" s="664"/>
      <c r="Q1141" s="635"/>
      <c r="R1141" s="372" t="s">
        <v>644</v>
      </c>
      <c r="S1141" s="664"/>
      <c r="T1141" s="664"/>
    </row>
  </sheetData>
  <pageMargins left="0.7" right="0.7" top="0.75" bottom="0.75" header="0.3" footer="0.3"/>
  <customProperties>
    <customPr name="EpmWorksheetKeyString_GU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5f9a743-18e3-40ef-b0a4-47096f190587">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3961404F3F6B34988E14CCD792B016F" ma:contentTypeVersion="6" ma:contentTypeDescription="Create a new document." ma:contentTypeScope="" ma:versionID="c410bab37c303177467c07dd821a813e">
  <xsd:schema xmlns:xsd="http://www.w3.org/2001/XMLSchema" xmlns:xs="http://www.w3.org/2001/XMLSchema" xmlns:p="http://schemas.microsoft.com/office/2006/metadata/properties" xmlns:ns2="48215e7f-c7c9-482e-8541-9f0dcdf0a62e" xmlns:ns3="f5f9a743-18e3-40ef-b0a4-47096f190587" targetNamespace="http://schemas.microsoft.com/office/2006/metadata/properties" ma:root="true" ma:fieldsID="992d1cf030671a911d22a5604d084b24" ns2:_="" ns3:_="">
    <xsd:import namespace="48215e7f-c7c9-482e-8541-9f0dcdf0a62e"/>
    <xsd:import namespace="f5f9a743-18e3-40ef-b0a4-47096f19058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215e7f-c7c9-482e-8541-9f0dcdf0a6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f9a743-18e3-40ef-b0a4-47096f19058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6CCD617-E62C-4C66-BB31-64F4825D070E}">
  <ds:schemaRefs>
    <ds:schemaRef ds:uri="http://schemas.microsoft.com/office/2006/metadata/properties"/>
    <ds:schemaRef ds:uri="http://schemas.microsoft.com/office/infopath/2007/PartnerControls"/>
    <ds:schemaRef ds:uri="68f740ed-1bb5-4d6a-85fa-63caa26fe738"/>
  </ds:schemaRefs>
</ds:datastoreItem>
</file>

<file path=customXml/itemProps2.xml><?xml version="1.0" encoding="utf-8"?>
<ds:datastoreItem xmlns:ds="http://schemas.openxmlformats.org/officeDocument/2006/customXml" ds:itemID="{2DB3CA30-D31B-425D-999B-961E1AF87BC5}"/>
</file>

<file path=customXml/itemProps3.xml><?xml version="1.0" encoding="utf-8"?>
<ds:datastoreItem xmlns:ds="http://schemas.openxmlformats.org/officeDocument/2006/customXml" ds:itemID="{7C346F77-208F-4D15-9A2C-35AD5BC655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12</vt:i4>
      </vt:variant>
    </vt:vector>
  </HeadingPairs>
  <TitlesOfParts>
    <vt:vector size="36" baseType="lpstr">
      <vt:lpstr>B-1</vt:lpstr>
      <vt:lpstr>B-2</vt:lpstr>
      <vt:lpstr>B-6</vt:lpstr>
      <vt:lpstr>B-3</vt:lpstr>
      <vt:lpstr>B-4</vt:lpstr>
      <vt:lpstr>B-5</vt:lpstr>
      <vt:lpstr>B-5 (detailed)</vt:lpstr>
      <vt:lpstr>B-7</vt:lpstr>
      <vt:lpstr>B-9</vt:lpstr>
      <vt:lpstr>Seg of CWIP</vt:lpstr>
      <vt:lpstr>B-17</vt:lpstr>
      <vt:lpstr>Test Year</vt:lpstr>
      <vt:lpstr>Prior Year</vt:lpstr>
      <vt:lpstr>Historical</vt:lpstr>
      <vt:lpstr>Prior Historical</vt:lpstr>
      <vt:lpstr>2023A Sch 1of3</vt:lpstr>
      <vt:lpstr>2024B Sch 1of3</vt:lpstr>
      <vt:lpstr>2025B Sch 1of3</vt:lpstr>
      <vt:lpstr>B-3 2022</vt:lpstr>
      <vt:lpstr>Separation Factors</vt:lpstr>
      <vt:lpstr>Tab B 22</vt:lpstr>
      <vt:lpstr>Tab B 23</vt:lpstr>
      <vt:lpstr>Tab B 24B</vt:lpstr>
      <vt:lpstr>Tab B 25B</vt:lpstr>
      <vt:lpstr>'2023A Sch 1of3'!Print_Area</vt:lpstr>
      <vt:lpstr>'2024B Sch 1of3'!Print_Area</vt:lpstr>
      <vt:lpstr>'2025B Sch 1of3'!Print_Area</vt:lpstr>
      <vt:lpstr>'B-1'!Print_Area</vt:lpstr>
      <vt:lpstr>'B-17'!Print_Area</vt:lpstr>
      <vt:lpstr>'B-2'!Print_Area</vt:lpstr>
      <vt:lpstr>'B-3'!Print_Area</vt:lpstr>
      <vt:lpstr>'B-3 2022'!Print_Area</vt:lpstr>
      <vt:lpstr>'B-4'!Print_Area</vt:lpstr>
      <vt:lpstr>'B-5'!Print_Area</vt:lpstr>
      <vt:lpstr>'B-5 (detailed)'!Print_Area</vt:lpstr>
      <vt:lpstr>'B-6'!Print_Area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Hilt, Annabelle J.</dc:creator>
  <cp:keywords/>
  <dc:description/>
  <cp:lastModifiedBy>Otero, Onixa</cp:lastModifiedBy>
  <cp:revision/>
  <cp:lastPrinted>2024-04-08T18:31:44Z</cp:lastPrinted>
  <dcterms:created xsi:type="dcterms:W3CDTF">2023-05-09T12:56:09Z</dcterms:created>
  <dcterms:modified xsi:type="dcterms:W3CDTF">2024-04-08T18:39:45Z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83f872e-d8d7-43ac-9961-0f2ad31e50e5_Enabled">
    <vt:lpwstr>true</vt:lpwstr>
  </property>
  <property fmtid="{D5CDD505-2E9C-101B-9397-08002B2CF9AE}" pid="3" name="MSIP_Label_a83f872e-d8d7-43ac-9961-0f2ad31e50e5_SetDate">
    <vt:lpwstr>2023-05-09T13:27:56Z</vt:lpwstr>
  </property>
  <property fmtid="{D5CDD505-2E9C-101B-9397-08002B2CF9AE}" pid="4" name="MSIP_Label_a83f872e-d8d7-43ac-9961-0f2ad31e50e5_Method">
    <vt:lpwstr>Standard</vt:lpwstr>
  </property>
  <property fmtid="{D5CDD505-2E9C-101B-9397-08002B2CF9AE}" pid="5" name="MSIP_Label_a83f872e-d8d7-43ac-9961-0f2ad31e50e5_Name">
    <vt:lpwstr>a83f872e-d8d7-43ac-9961-0f2ad31e50e5</vt:lpwstr>
  </property>
  <property fmtid="{D5CDD505-2E9C-101B-9397-08002B2CF9AE}" pid="6" name="MSIP_Label_a83f872e-d8d7-43ac-9961-0f2ad31e50e5_SiteId">
    <vt:lpwstr>fa8c194a-f8e2-43c5-bc39-b637579e39e0</vt:lpwstr>
  </property>
  <property fmtid="{D5CDD505-2E9C-101B-9397-08002B2CF9AE}" pid="7" name="MSIP_Label_a83f872e-d8d7-43ac-9961-0f2ad31e50e5_ActionId">
    <vt:lpwstr>6705f24d-0d39-43e2-96e4-818bb7f54090</vt:lpwstr>
  </property>
  <property fmtid="{D5CDD505-2E9C-101B-9397-08002B2CF9AE}" pid="8" name="MSIP_Label_a83f872e-d8d7-43ac-9961-0f2ad31e50e5_ContentBits">
    <vt:lpwstr>0</vt:lpwstr>
  </property>
  <property fmtid="{D5CDD505-2E9C-101B-9397-08002B2CF9AE}" pid="9" name="SV_QUERY_LIST_4F35BF76-6C0D-4D9B-82B2-816C12CF3733">
    <vt:lpwstr>empty_477D106A-C0D6-4607-AEBD-E2C9D60EA279</vt:lpwstr>
  </property>
  <property fmtid="{D5CDD505-2E9C-101B-9397-08002B2CF9AE}" pid="10" name="SV_HIDDEN_GRID_QUERY_LIST_4F35BF76-6C0D-4D9B-82B2-816C12CF3733">
    <vt:lpwstr>empty_477D106A-C0D6-4607-AEBD-E2C9D60EA279</vt:lpwstr>
  </property>
  <property fmtid="{D5CDD505-2E9C-101B-9397-08002B2CF9AE}" pid="11" name="ContentTypeId">
    <vt:lpwstr>0x01010093961404F3F6B34988E14CCD792B016F</vt:lpwstr>
  </property>
  <property fmtid="{D5CDD505-2E9C-101B-9397-08002B2CF9AE}" pid="12" name="Order">
    <vt:r8>762700</vt:r8>
  </property>
  <property fmtid="{D5CDD505-2E9C-101B-9397-08002B2CF9AE}" pid="13" name="xd_Signature">
    <vt:bool>false</vt:bool>
  </property>
  <property fmtid="{D5CDD505-2E9C-101B-9397-08002B2CF9AE}" pid="14" name="xd_ProgID">
    <vt:lpwstr/>
  </property>
  <property fmtid="{D5CDD505-2E9C-101B-9397-08002B2CF9AE}" pid="15" name="_SourceUrl">
    <vt:lpwstr/>
  </property>
  <property fmtid="{D5CDD505-2E9C-101B-9397-08002B2CF9AE}" pid="16" name="_SharedFileIndex">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ies>
</file>